
<file path=[Content_Types].xml><?xml version="1.0" encoding="utf-8"?>
<Types xmlns="http://schemas.openxmlformats.org/package/2006/content-types">
  <Override PartName="/xl/_rels/workbook.xml.rels" ContentType="application/vnd.openxmlformats-package.relationships+xml"/>
  <Override PartName="/xl/drawings/vmlDrawing10.vml" ContentType="application/vnd.openxmlformats-officedocument.vmlDrawing"/>
  <Override PartName="/xl/drawings/vmlDrawing9.vml" ContentType="application/vnd.openxmlformats-officedocument.vmlDrawing"/>
  <Override PartName="/xl/drawings/vmlDrawing7.vml" ContentType="application/vnd.openxmlformats-officedocument.vmlDrawing"/>
  <Override PartName="/xl/drawings/vmlDrawing6.vml" ContentType="application/vnd.openxmlformats-officedocument.vmlDrawing"/>
  <Override PartName="/xl/drawings/vmlDrawing1.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_rels/drawing1.xml.rels" ContentType="application/vnd.openxmlformats-package.relationships+xml"/>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sharedStrings.xml" ContentType="application/vnd.openxmlformats-officedocument.spreadsheetml.sharedStrings+xml"/>
  <Override PartName="/xl/worksheets/_rels/sheet15.xml.rels" ContentType="application/vnd.openxmlformats-package.relationships+xml"/>
  <Override PartName="/xl/worksheets/_rels/sheet13.xml.rels" ContentType="application/vnd.openxmlformats-package.relationships+xml"/>
  <Override PartName="/xl/worksheets/_rels/sheet12.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2.xml.rels" ContentType="application/vnd.openxmlformats-package.relationships+xml"/>
  <Override PartName="/xl/worksheets/_rels/sheet18.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charts/chart3.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Override PartName="/xl/styles.xml" ContentType="application/vnd.openxmlformats-officedocument.spreadsheetml.styles+xml"/>
  <Override PartName="/xl/comments8.xml" ContentType="application/vnd.openxmlformats-officedocument.spreadsheetml.comments+xml"/>
  <Override PartName="/xl/comments5.xml" ContentType="application/vnd.openxmlformats-officedocument.spreadsheetml.comments+xml"/>
  <Override PartName="/xl/comments7.xml" ContentType="application/vnd.openxmlformats-officedocument.spreadsheetml.comments+xml"/>
  <Override PartName="/xl/comments9.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8.xml" ContentType="application/vnd.openxmlformats-officedocument.spreadsheetml.comments+xml"/>
  <Override PartName="/xl/comments10.xml" ContentType="application/vnd.openxmlformats-officedocument.spreadsheetml.comments+xml"/>
  <Override PartName="/xl/comments13.xml" ContentType="application/vnd.openxmlformats-officedocument.spreadsheetml.comments+xml"/>
  <Override PartName="/xl/comments15.xml" ContentType="application/vnd.openxmlformats-officedocument.spreadsheetml.comment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Home" sheetId="1" state="visible" r:id="rId2"/>
    <sheet name="Summary" sheetId="2" state="visible" r:id="rId3"/>
    <sheet name="Spectrum" sheetId="3" state="visible" r:id="rId4"/>
    <sheet name="Prioritization" sheetId="4" state="visible" r:id="rId5"/>
    <sheet name="Cascade" sheetId="5" state="visible" r:id="rId6"/>
    <sheet name="PMTCT" sheetId="6" state="visible" r:id="rId7"/>
    <sheet name="EID" sheetId="7" state="visible" r:id="rId8"/>
    <sheet name="TB" sheetId="8" state="visible" r:id="rId9"/>
    <sheet name="VMMC" sheetId="9" state="visible" r:id="rId10"/>
    <sheet name="HTS" sheetId="10" state="visible" r:id="rId11"/>
    <sheet name="CXCA" sheetId="11" state="visible" r:id="rId12"/>
    <sheet name="HTS_RECENT" sheetId="12" state="visible" r:id="rId13"/>
    <sheet name="TX_TB_PREV" sheetId="13" state="visible" r:id="rId14"/>
    <sheet name="PP" sheetId="14" state="visible" r:id="rId15"/>
    <sheet name="OVC" sheetId="15" state="visible" r:id="rId16"/>
    <sheet name="GEND" sheetId="16" state="visible" r:id="rId17"/>
    <sheet name="AGYW" sheetId="17" state="visible" r:id="rId18"/>
    <sheet name="PrEP" sheetId="18" state="visible" r:id="rId19"/>
    <sheet name="KP" sheetId="19" state="visible" r:id="rId20"/>
    <sheet name="KP Validation" sheetId="20" state="visible" r:id="rId21"/>
    <sheet name="KP_MAT" sheetId="21" state="visible" r:id="rId22"/>
    <sheet name="PSNUxIM" sheetId="22" state="visible" r:id="rId23"/>
  </sheets>
  <definedNames>
    <definedName function="false" hidden="false" name="MIN_DSD" vbProcedure="false">ROUND(MAX(IF(ISNUMBER(FIND("DSD",PSNUxIM!$CW$14:$FS$14)),PSNUxIM!$CW1:$FS1)),1)</definedName>
    <definedName function="false" hidden="false" name="MIN_TA" vbProcedure="false">ROUND(MAX(IF(ISNUMBER(FIND("TA",PSNUxIM!$CW$14:$FS$14)),PSNUxIM!$CW1:$FS1)),1)</definedName>
    <definedName function="false" hidden="false" localSheetId="2" name="_xlnm._FilterDatabase" vbProcedure="false">spectrum!#ref!</definedName>
    <definedName function="false" hidden="false" localSheetId="4" name="_xlnm._FilterDatabase" vbProcedure="false">Cascade!$B$14:$BR$3876</definedName>
    <definedName function="false" hidden="false" localSheetId="5" name="_xlnm._FilterDatabase" vbProcedure="false">PMTCT!$B$14:$BA$15</definedName>
    <definedName function="false" hidden="false" localSheetId="6" name="_xlnm._FilterDatabase" vbProcedure="false">EID!$B$14:$G$18</definedName>
    <definedName function="false" hidden="false" localSheetId="7" name="_xlnm._FilterDatabase" vbProcedure="false">TB!$B$14:$U$3879</definedName>
    <definedName function="false" hidden="false" localSheetId="8" name="_xlnm._FilterDatabase" vbProcedure="false">VMMC!$B$14:$AF$15</definedName>
    <definedName function="false" hidden="false" localSheetId="9" name="_xlnm._FilterDatabase" vbProcedure="false">HTS!$B$14:$BY$3551</definedName>
    <definedName function="false" hidden="false" localSheetId="10" name="_xlnm._FilterDatabase" vbProcedure="false">CXCA!$C$1:$C$51</definedName>
    <definedName function="false" hidden="false" localSheetId="11" name="HTS_INDEX.share" vbProcedure="false">hts_recent!#ref!</definedName>
    <definedName function="false" hidden="false" localSheetId="11" name="HTS_TST.Distributions" vbProcedure="false">hts_recent!#ref!</definedName>
    <definedName function="false" hidden="false" localSheetId="11" name="HTS_TST.Emergency" vbProcedure="false">HTS_RECENT!$V:$W</definedName>
    <definedName function="false" hidden="false" localSheetId="11" name="HTS_TST.Emergency.Share" vbProcedure="false">hts_recent!#ref!</definedName>
    <definedName function="false" hidden="false" localSheetId="11" name="HTS_TST.Inpat" vbProcedure="false">HTS_RECENT!$R:$S</definedName>
    <definedName function="false" hidden="false" localSheetId="11" name="HTS_TST.Inpat.Share" vbProcedure="false">hts_recent!#ref!</definedName>
    <definedName function="false" hidden="false" localSheetId="11" name="HTS_TST.Linkages" vbProcedure="false">hts_recent!#ref!</definedName>
    <definedName function="false" hidden="false" localSheetId="11" name="HTS_TST.Malnutrition" vbProcedure="false">hts_recent!#ref!</definedName>
    <definedName function="false" hidden="false" localSheetId="11" name="HTS_TST.Malnutrition.Share" vbProcedure="false">hts_recent!#ref!</definedName>
    <definedName function="false" hidden="false" localSheetId="11" name="HTS_TST.MobileMod" vbProcedure="false">HTS_RECENT!$AB:$AC</definedName>
    <definedName function="false" hidden="false" localSheetId="11" name="HTS_TST.MobileMod.Share" vbProcedure="false">hts_recent!#ref!</definedName>
    <definedName function="false" hidden="false" localSheetId="11" name="HTS_TST.Other" vbProcedure="false">HTS_RECENT!$X:$Y</definedName>
    <definedName function="false" hidden="false" localSheetId="11" name="HTS_TST.Other.Share" vbProcedure="false">hts_recent!#ref!</definedName>
    <definedName function="false" hidden="false" localSheetId="11" name="HTS_TST.OtherMod" vbProcedure="false">HTS_RECENT!$AD:$AE</definedName>
    <definedName function="false" hidden="false" localSheetId="11" name="HTS_TST.OtherMod.Share" vbProcedure="false">hts_recent!#ref!</definedName>
    <definedName function="false" hidden="false" localSheetId="11" name="HTS_TST.Pediatric" vbProcedure="false">hts_recent!#ref!</definedName>
    <definedName function="false" hidden="false" localSheetId="11" name="HTS_TST.Pediatric.Share" vbProcedure="false">hts_recent!#ref!</definedName>
    <definedName function="false" hidden="false" localSheetId="11" name="HTS_TST.STIClinic" vbProcedure="false">HTS_RECENT!$T:$U</definedName>
    <definedName function="false" hidden="false" localSheetId="11" name="HTS_TST.STIClinic.Share" vbProcedure="false">hts_recent!#ref!</definedName>
    <definedName function="false" hidden="false" localSheetId="11" name="HTS_TST.VCT" vbProcedure="false">HTS_RECENT!$Z:$AA</definedName>
    <definedName function="false" hidden="false" localSheetId="11" name="HTS_TST.VCT.Share" vbProcedure="false">hts_recent!#ref!</definedName>
    <definedName function="false" hidden="false" localSheetId="11" name="HTS_TST.VCTMod" vbProcedure="false">hts_recent!#ref!</definedName>
    <definedName function="false" hidden="false" localSheetId="11" name="HTS_TST.VCTMod.Share" vbProcedure="false">hts_recent!#ref!</definedName>
    <definedName function="false" hidden="false" localSheetId="11" name="HTS_TST_POS.PMTCT" vbProcedure="false">hts_recent!#ref!</definedName>
    <definedName function="false" hidden="false" localSheetId="11" name="HTS_TST_POS.TB" vbProcedure="false">hts_recent!#ref!</definedName>
    <definedName function="false" hidden="false" localSheetId="11" name="HTS_TST_POS.VMMC" vbProcedure="false">hts_recent!#ref!</definedName>
    <definedName function="false" hidden="false" localSheetId="11" name="_xlnm._FilterDatabase" vbProcedure="false">HTS_RECENT!$B$14:$AE$3551</definedName>
    <definedName function="false" hidden="false" localSheetId="12" name="_xlnm._FilterDatabase" vbProcedure="false">TX_TB_PREV!$B$14:$X$15</definedName>
    <definedName function="false" hidden="false" localSheetId="13" name="_xlnm._FilterDatabase" vbProcedure="false">PP!$B$14:$H$51</definedName>
    <definedName function="false" hidden="false" localSheetId="14" name="_xlnm._FilterDatabase" vbProcedure="false">OVC!$B$14:$U$1911</definedName>
    <definedName function="false" hidden="false" localSheetId="16" name="PrEP_CURR.N.Age_Sex.T" vbProcedure="false">agyw!#ref!</definedName>
    <definedName function="false" hidden="false" localSheetId="16" name="PrEP_NEW.N.Age_Sex.T" vbProcedure="false">agyw!#ref!</definedName>
    <definedName function="false" hidden="false" localSheetId="16" name="_xlnm._FilterDatabase" vbProcedure="false">AGYW!$B$14:$M$39</definedName>
    <definedName function="false" hidden="false" localSheetId="17" name="_xlnm._FilterDatabase" vbProcedure="false">PrEP!$B$14:$O$39</definedName>
    <definedName function="false" hidden="false" localSheetId="18" name="_xlnm._FilterDatabase" vbProcedure="false">KP!$B$14:$K$66</definedName>
    <definedName function="false" hidden="false" localSheetId="19" name="HTS_RECENT.N.KeyPop_HIVStatus.T" vbProcedure="false">'kp validation'!#ref!</definedName>
    <definedName function="false" hidden="false" localSheetId="19" name="HTS_SELF.N.KeyPop.T" vbProcedure="false">'kp validation'!#ref!</definedName>
    <definedName function="false" hidden="false" localSheetId="19" name="HTS_TST.N.KeyPop_Result.T.Negative" vbProcedure="false">'kp validation'!#ref!</definedName>
    <definedName function="false" hidden="false" localSheetId="19" name="HTS_TST.N.KeyPop_Result.T.Positive" vbProcedure="false">'kp validation'!#ref!</definedName>
    <definedName function="false" hidden="false" localSheetId="19" name="KP_MAT.N.Sex.T" vbProcedure="false">'kp validation'!#ref!</definedName>
    <definedName function="false" hidden="false" localSheetId="19" name="KP_PREV.N.KeyPop.T" vbProcedure="false">'kp validation'!#ref!</definedName>
    <definedName function="false" hidden="false" localSheetId="19" name="PrEP_CURR.N.KeyPop.T" vbProcedure="false">'kp validation'!#ref!</definedName>
    <definedName function="false" hidden="false" localSheetId="19" name="PrEP_NEW.N.KeyPop.T" vbProcedure="false">'kp validation'!#ref!</definedName>
    <definedName function="false" hidden="false" localSheetId="19" name="TX_CURR.N.KeyPop_HIVStatus.T" vbProcedure="false">'KP Validation'!$U:$U</definedName>
    <definedName function="false" hidden="false" localSheetId="19" name="TX_NEW.N.KeyPop_HIVStatus.T" vbProcedure="false">'kp validation'!#ref!</definedName>
    <definedName function="false" hidden="false" localSheetId="19" name="TX_PVLS.D.KeyPop_HIVStatus.T" vbProcedure="false">'kp validation'!#ref!</definedName>
    <definedName function="false" hidden="false" localSheetId="19" name="TX_PVLS.N.KeyPop_HIVStatus.T" vbProcedure="false">'kp validation'!#ref!</definedName>
    <definedName function="false" hidden="false" localSheetId="19" name="_xlnm._FilterDatabase" vbProcedure="false">'KP Validation'!$B$14:$BV$63</definedName>
    <definedName function="false" hidden="false" localSheetId="20" name="HTS_RECENT.N.KeyPop_HIVStatus.T" vbProcedure="false">kp_mat!#ref!</definedName>
    <definedName function="false" hidden="false" localSheetId="20" name="HTS_SELF.N.KeyPop.T" vbProcedure="false">kp_mat!#ref!</definedName>
    <definedName function="false" hidden="false" localSheetId="20" name="HTS_TST.N.KeyPop_Result.T.Negative" vbProcedure="false">kp_mat!#ref!</definedName>
    <definedName function="false" hidden="false" localSheetId="20" name="HTS_TST.N.KeyPop_Result.T.Positive" vbProcedure="false">kp_mat!#ref!</definedName>
    <definedName function="false" hidden="false" localSheetId="20" name="KP_MAT.N.Sex.T" vbProcedure="false">KP_MAT!$J:$J</definedName>
    <definedName function="false" hidden="false" localSheetId="20" name="KP_PREV.N.KeyPop.T" vbProcedure="false">kp_mat!#ref!</definedName>
    <definedName function="false" hidden="false" localSheetId="20" name="PrEP_CURR.N.KeyPop.T" vbProcedure="false">kp_mat!#ref!</definedName>
    <definedName function="false" hidden="false" localSheetId="20" name="PrEP_NEW.N.KeyPop.T" vbProcedure="false">kp_mat!#ref!</definedName>
    <definedName function="false" hidden="false" localSheetId="20" name="TX_CURR.N.KeyPop_HIVStatus.T" vbProcedure="false">kp_mat!#ref!</definedName>
    <definedName function="false" hidden="false" localSheetId="20" name="TX_NEW.N.KeyPop_HIVStatus.T" vbProcedure="false">kp_mat!#ref!</definedName>
    <definedName function="false" hidden="false" localSheetId="20" name="TX_PVLS.D.KeyPop_HIVStatus.T" vbProcedure="false">kp_mat!#ref!</definedName>
    <definedName function="false" hidden="false" localSheetId="20" name="TX_PVLS.N.KeyPop_HIVStatus.T" vbProcedure="false">kp_mat!#ref!</definedName>
    <definedName function="false" hidden="false" localSheetId="20" name="_xlnm._FilterDatabase" vbProcedure="false">KP_MAT!$B$14:$J$75</definedName>
    <definedName function="false" hidden="false" localSheetId="21" name="_xlnm._FilterDatabase" vbProcedure="false">PSNUxIM!$A$14:$AK$16</definedName>
  </definedNames>
  <calcPr iterateCount="100" refMode="A1" iterate="false" iterateDelta="0.0001"/>
  <extLst>
    <ext xmlns:loext="http://schemas.libreoffice.org/" uri="{7626C862-2A13-11E5-B345-FEFF819CDC9F}">
      <loext:extCalcPr stringRefSyntax="ExcelA1"/>
    </ext>
  </extLst>
</workbook>
</file>

<file path=xl/comments5.xml><?xml version="1.0" encoding="utf-8"?>
<comments xmlns="http://schemas.openxmlformats.org/spreadsheetml/2006/main" xmlns:xdr="http://schemas.openxmlformats.org/drawingml/2006/spreadsheetDrawing">
  <authors>
    <author> </author>
  </authors>
  <commentList>
    <comment ref="AN1" authorId="0">
      <text>
        <r>
          <rPr>
            <b val="true"/>
            <sz val="10"/>
            <color rgb="FF000000"/>
            <rFont val="Tahoma"/>
            <family val="2"/>
            <charset val="1"/>
          </rPr>
          <t xml:space="preserve">TX_PVLS:
</t>
        </r>
        <r>
          <rPr>
            <sz val="10"/>
            <color rgb="FF000000"/>
            <rFont val="Tahoma"/>
            <family val="2"/>
            <charset val="1"/>
          </rPr>
          <t xml:space="preserve">For targeting purposes, 100% of TX_PVLS will be allocated to Routine testing instead of Targeted.</t>
        </r>
      </text>
    </comment>
    <comment ref="AP3" authorId="0">
      <text>
        <r>
          <rPr>
            <b val="true"/>
            <sz val="10"/>
            <color rgb="FF000000"/>
            <rFont val="Tahoma"/>
            <family val="2"/>
            <charset val="1"/>
          </rPr>
          <t xml:space="preserve">TX_PVLS (D) &gt; TX_CURR
</t>
        </r>
        <r>
          <rPr>
            <sz val="10"/>
            <color rgb="FF000000"/>
            <rFont val="Tahoma"/>
            <family val="2"/>
            <charset val="1"/>
          </rPr>
          <t xml:space="preserve">Yellow cells below denote cases where TX_PVLS (D) is less than TX_CURR. While this may be possible due to Loss to Follow-up, these cases should receive special consideration in strategies.</t>
        </r>
      </text>
    </comment>
    <comment ref="BA3" authorId="0">
      <text>
        <r>
          <rPr>
            <sz val="10"/>
            <color rgb="FF000000"/>
            <rFont val="Tahoma"/>
            <family val="2"/>
            <charset val="1"/>
          </rPr>
          <t xml:space="preserve">Linkage rates set here flow to all other tabs.</t>
        </r>
      </text>
    </comment>
  </commentList>
</comments>
</file>

<file path=xl/comments7.xml><?xml version="1.0" encoding="utf-8"?>
<comments xmlns="http://schemas.openxmlformats.org/spreadsheetml/2006/main" xmlns:xdr="http://schemas.openxmlformats.org/drawingml/2006/spreadsheetDrawing">
  <authors>
    <author> </author>
  </authors>
  <commentList>
    <comment ref="E3" authorId="0">
      <text>
        <r>
          <rPr>
            <sz val="10"/>
            <color rgb="FF000000"/>
            <rFont val="Tahoma"/>
            <family val="2"/>
            <charset val="1"/>
          </rPr>
          <t xml:space="preserve">Estimated based on total HIV positive pregnant women identified through PEPFAR PMTCT_STAT and Post ANC1 HTS_TST.</t>
        </r>
      </text>
    </comment>
    <comment ref="H1" authorId="0">
      <text>
        <r>
          <rPr>
            <sz val="10"/>
            <color rgb="FF000000"/>
            <rFont val="Tahoma"/>
            <family val="2"/>
            <charset val="1"/>
          </rPr>
          <t xml:space="preserve">Targets for PMTCT_HEI_POS are not required for target-setting, but historic data and related assumptions are used to link EID testing with TX_NEW &lt;1.</t>
        </r>
      </text>
    </comment>
    <comment ref="I3" authorId="0">
      <text>
        <r>
          <rPr>
            <b val="true"/>
            <sz val="10"/>
            <color rgb="FF000000"/>
            <rFont val="Tahoma"/>
            <family val="2"/>
            <charset val="1"/>
          </rPr>
          <t xml:space="preserve">Red highlights:</t>
        </r>
        <r>
          <rPr>
            <sz val="10"/>
            <color rgb="FF000000"/>
            <rFont val="Tahoma"/>
            <family val="2"/>
            <charset val="1"/>
          </rPr>
          <t xml:space="preserve"> Enter yields.</t>
        </r>
      </text>
    </comment>
    <comment ref="K3" authorId="0">
      <text>
        <r>
          <rPr>
            <b val="true"/>
            <sz val="10"/>
            <color rgb="FF000000"/>
            <rFont val="Tahoma"/>
            <family val="2"/>
            <charset val="1"/>
          </rPr>
          <t xml:space="preserve">Red highlights: </t>
        </r>
        <r>
          <rPr>
            <sz val="10"/>
            <color rgb="FF000000"/>
            <rFont val="Tahoma"/>
            <family val="2"/>
            <charset val="1"/>
          </rPr>
          <t xml:space="preserve">Enter yields</t>
        </r>
      </text>
    </comment>
  </commentList>
</comments>
</file>

<file path=xl/comments8.xml><?xml version="1.0" encoding="utf-8"?>
<comments xmlns="http://schemas.openxmlformats.org/spreadsheetml/2006/main" xmlns:xdr="http://schemas.openxmlformats.org/drawingml/2006/spreadsheetDrawing">
  <authors>
    <author> </author>
  </authors>
  <commentList>
    <comment ref="G3" authorId="0">
      <text>
        <r>
          <rPr>
            <sz val="10"/>
            <color rgb="FF000000"/>
            <rFont val="Tahoma"/>
            <family val="2"/>
            <charset val="1"/>
          </rPr>
          <t xml:space="preserve">Values highlighted yellow below represent estimated increases in incidence.</t>
        </r>
      </text>
    </comment>
    <comment ref="Q3" authorId="0">
      <text>
        <r>
          <rPr>
            <sz val="10"/>
            <color rgb="FF000000"/>
            <rFont val="Tahoma"/>
            <family val="2"/>
            <charset val="1"/>
          </rPr>
          <t xml:space="preserve">Targets highlighted yellow below represent increases over previous year targets.</t>
        </r>
      </text>
    </comment>
  </commentList>
</comments>
</file>

<file path=xl/comments9.xml><?xml version="1.0" encoding="utf-8"?>
<comments xmlns="http://schemas.openxmlformats.org/spreadsheetml/2006/main" xmlns:xdr="http://schemas.openxmlformats.org/drawingml/2006/spreadsheetDrawing">
  <authors>
    <author> </author>
  </authors>
  <commentList>
    <comment ref="AE3" authorId="0">
      <text>
        <r>
          <rPr>
            <sz val="10"/>
            <color rgb="FF000000"/>
            <rFont val="Tahoma"/>
            <family val="2"/>
            <charset val="1"/>
          </rPr>
          <t xml:space="preserve">Not reported in DATIM, but used as internal check against TX_NEW in TX tab.</t>
        </r>
      </text>
    </comment>
  </commentList>
</comments>
</file>

<file path=xl/comments10.xml><?xml version="1.0" encoding="utf-8"?>
<comments xmlns="http://schemas.openxmlformats.org/spreadsheetml/2006/main" xmlns:xdr="http://schemas.openxmlformats.org/drawingml/2006/spreadsheetDrawing">
  <authors>
    <author> </author>
  </authors>
  <commentList>
    <comment ref="N3" authorId="0">
      <text>
        <r>
          <rPr>
            <b val="true"/>
            <sz val="10"/>
            <color rgb="FF000000"/>
            <rFont val="Tahoma"/>
            <family val="2"/>
            <charset val="1"/>
          </rPr>
          <t xml:space="preserve">Red highlights: </t>
        </r>
        <r>
          <rPr>
            <sz val="10"/>
            <color rgb="FF000000"/>
            <rFont val="Tahoma"/>
            <family val="2"/>
            <charset val="1"/>
          </rPr>
          <t xml:space="preserve">Information required.</t>
        </r>
      </text>
    </comment>
    <comment ref="O3" authorId="0">
      <text>
        <r>
          <rPr>
            <b val="true"/>
            <sz val="10"/>
            <color rgb="FF000000"/>
            <rFont val="Tahoma"/>
            <family val="2"/>
            <charset val="1"/>
          </rPr>
          <t xml:space="preserve">Yellow highlights: </t>
        </r>
        <r>
          <rPr>
            <sz val="10"/>
            <color rgb="FF000000"/>
            <rFont val="Tahoma"/>
            <family val="2"/>
            <charset val="1"/>
          </rPr>
          <t xml:space="preserve">HTS_INDEX yields &lt;20% for 15+ yr olds. Encourage testing strategies that prioritize testing among high yield populations, or work to increase yields through more refined identification methods.
</t>
        </r>
        <r>
          <rPr>
            <b val="true"/>
            <sz val="10"/>
            <color rgb="FF000000"/>
            <rFont val="Tahoma"/>
            <family val="2"/>
            <charset val="1"/>
          </rPr>
          <t xml:space="preserve">Red highlights: </t>
        </r>
        <r>
          <rPr>
            <sz val="10"/>
            <color rgb="FF000000"/>
            <rFont val="Tahoma"/>
            <family val="2"/>
            <charset val="1"/>
          </rPr>
          <t xml:space="preserve">Information required.</t>
        </r>
      </text>
    </comment>
    <comment ref="P3" authorId="0">
      <text>
        <r>
          <rPr>
            <b val="true"/>
            <sz val="10"/>
            <color rgb="FF000000"/>
            <rFont val="Tahoma"/>
            <family val="0"/>
            <charset val="1"/>
          </rPr>
          <t xml:space="preserve">Yellow highlights: </t>
        </r>
        <r>
          <rPr>
            <sz val="10"/>
            <color rgb="FF000000"/>
            <rFont val="Tahoma"/>
            <family val="0"/>
            <charset val="1"/>
          </rPr>
          <t xml:space="preserve">HTS_INDEX yields &lt;20% for 15+ yr olds. Encourage testing strategies that prioritize testing among high yield populations, or work to increase yields through more refined identification methods.
</t>
        </r>
        <r>
          <rPr>
            <b val="true"/>
            <sz val="10"/>
            <color rgb="FF000000"/>
            <rFont val="Tahoma"/>
            <family val="0"/>
            <charset val="1"/>
          </rPr>
          <t xml:space="preserve">Red highlights: </t>
        </r>
        <r>
          <rPr>
            <sz val="10"/>
            <color rgb="FF000000"/>
            <rFont val="Tahoma"/>
            <family val="0"/>
            <charset val="1"/>
          </rPr>
          <t xml:space="preserve">Information required.</t>
        </r>
      </text>
    </comment>
    <comment ref="R3" authorId="0">
      <text>
        <r>
          <rPr>
            <b val="true"/>
            <sz val="10"/>
            <color rgb="FF000000"/>
            <rFont val="Tahoma"/>
            <family val="2"/>
            <charset val="1"/>
          </rPr>
          <t xml:space="preserve">#DIV</t>
        </r>
        <r>
          <rPr>
            <sz val="10"/>
            <color rgb="FF000000"/>
            <rFont val="Tahoma"/>
            <family val="2"/>
            <charset val="1"/>
          </rPr>
          <t xml:space="preserve">If you see this displayed in the Roll-up row, filter for this error value and enter valid yield rates for HTS_INDEX to the left.</t>
        </r>
      </text>
    </comment>
    <comment ref="T3" authorId="0">
      <text>
        <r>
          <rPr>
            <b val="true"/>
            <sz val="10"/>
            <color rgb="FF000000"/>
            <rFont val="Tahoma"/>
            <family val="2"/>
            <charset val="1"/>
          </rPr>
          <t xml:space="preserve">#DIV</t>
        </r>
        <r>
          <rPr>
            <sz val="10"/>
            <color rgb="FF000000"/>
            <rFont val="Tahoma"/>
            <family val="2"/>
            <charset val="1"/>
          </rPr>
          <t xml:space="preserve">If you see this displayed in the Roll-up row, filter for this error value and enter valid yield rates for HTS_INDEX to the left.</t>
        </r>
      </text>
    </comment>
    <comment ref="V1" authorId="0">
      <text>
        <r>
          <rPr>
            <b val="true"/>
            <sz val="10"/>
            <color rgb="FF000000"/>
            <rFont val="Tahoma"/>
            <family val="2"/>
            <charset val="1"/>
          </rPr>
          <t xml:space="preserve">Gray columns</t>
        </r>
        <r>
          <rPr>
            <sz val="10"/>
            <color rgb="FF000000"/>
            <rFont val="Tahoma"/>
            <family val="2"/>
            <charset val="1"/>
          </rPr>
          <t xml:space="preserve"> cannot be altered. Allocations are determined elsewhere, as indicated by following hyperlinks.
</t>
        </r>
        <r>
          <rPr>
            <b val="true"/>
            <sz val="10"/>
            <color rgb="FF000000"/>
            <rFont val="Tahoma"/>
            <family val="2"/>
            <charset val="1"/>
          </rPr>
          <t xml:space="preserve">Green columns</t>
        </r>
        <r>
          <rPr>
            <sz val="10"/>
            <color rgb="FF000000"/>
            <rFont val="Tahoma"/>
            <family val="2"/>
            <charset val="1"/>
          </rPr>
          <t xml:space="preserve"> can and should be altered. Initial percentages are based on most recent APR results.</t>
        </r>
      </text>
    </comment>
    <comment ref="AJ3" authorId="0">
      <text>
        <r>
          <rPr>
            <sz val="10"/>
            <color rgb="FF000000"/>
            <rFont val="Tahoma"/>
            <family val="2"/>
            <charset val="1"/>
          </rPr>
          <t xml:space="preserve">Where ART Coverage is greater than 80%, do not set targets for the Community - Other modality. Cases where this guidance is disregarded will be highlighted yellow below.</t>
        </r>
      </text>
    </comment>
    <comment ref="AK3" authorId="0">
      <text>
        <r>
          <rPr>
            <b val="true"/>
            <sz val="10"/>
            <color rgb="FF000000"/>
            <rFont val="Tahoma"/>
            <family val="2"/>
            <charset val="1"/>
          </rPr>
          <t xml:space="preserve">Red Highlights</t>
        </r>
        <r>
          <rPr>
            <sz val="10"/>
            <color rgb="FF000000"/>
            <rFont val="Tahoma"/>
            <family val="2"/>
            <charset val="1"/>
          </rPr>
          <t xml:space="preserve"> below indicate cases where HTS_TST_POS is either over- or under-distributed to modalities. Filter on these cases and address by reallocating among modalities as appropriate.</t>
        </r>
      </text>
    </comment>
    <comment ref="AN4" authorId="0">
      <text>
        <r>
          <rPr>
            <b val="true"/>
            <sz val="10"/>
            <color rgb="FF000000"/>
            <rFont val="Tahoma"/>
            <family val="0"/>
            <charset val="1"/>
          </rPr>
          <t xml:space="preserve">#DIV</t>
        </r>
        <r>
          <rPr>
            <sz val="10"/>
            <color rgb="FF000000"/>
            <rFont val="Tahoma"/>
            <family val="0"/>
            <charset val="1"/>
          </rPr>
          <t xml:space="preserve">If you see this here, check yields.</t>
        </r>
      </text>
    </comment>
    <comment ref="AQ4" authorId="0">
      <text>
        <r>
          <rPr>
            <b val="true"/>
            <sz val="10"/>
            <color rgb="FF000000"/>
            <rFont val="Tahoma"/>
            <family val="0"/>
            <charset val="1"/>
          </rPr>
          <t xml:space="preserve">#DIV</t>
        </r>
        <r>
          <rPr>
            <sz val="10"/>
            <color rgb="FF000000"/>
            <rFont val="Tahoma"/>
            <family val="0"/>
            <charset val="1"/>
          </rPr>
          <t xml:space="preserve">If you see this here, check yields.</t>
        </r>
      </text>
    </comment>
    <comment ref="AT4" authorId="0">
      <text>
        <r>
          <rPr>
            <b val="true"/>
            <sz val="10"/>
            <color rgb="FF000000"/>
            <rFont val="Tahoma"/>
            <family val="0"/>
            <charset val="1"/>
          </rPr>
          <t xml:space="preserve">#DIV</t>
        </r>
        <r>
          <rPr>
            <sz val="10"/>
            <color rgb="FF000000"/>
            <rFont val="Tahoma"/>
            <family val="0"/>
            <charset val="1"/>
          </rPr>
          <t xml:space="preserve">If you see this here, check yields.</t>
        </r>
      </text>
    </comment>
    <comment ref="AW4" authorId="0">
      <text>
        <r>
          <rPr>
            <b val="true"/>
            <sz val="10"/>
            <color rgb="FF000000"/>
            <rFont val="Tahoma"/>
            <family val="0"/>
            <charset val="1"/>
          </rPr>
          <t xml:space="preserve">#DIV</t>
        </r>
        <r>
          <rPr>
            <sz val="10"/>
            <color rgb="FF000000"/>
            <rFont val="Tahoma"/>
            <family val="0"/>
            <charset val="1"/>
          </rPr>
          <t xml:space="preserve">If you see this here, check yields.</t>
        </r>
      </text>
    </comment>
    <comment ref="AZ4" authorId="0">
      <text>
        <r>
          <rPr>
            <b val="true"/>
            <sz val="10"/>
            <color rgb="FF000000"/>
            <rFont val="Tahoma"/>
            <family val="0"/>
            <charset val="1"/>
          </rPr>
          <t xml:space="preserve">#DIV</t>
        </r>
        <r>
          <rPr>
            <sz val="10"/>
            <color rgb="FF000000"/>
            <rFont val="Tahoma"/>
            <family val="0"/>
            <charset val="1"/>
          </rPr>
          <t xml:space="preserve">If you see this here, check yields.</t>
        </r>
      </text>
    </comment>
    <comment ref="BA3" authorId="0">
      <text>
        <r>
          <rPr>
            <sz val="10"/>
            <color rgb="FF000000"/>
            <rFont val="Tahoma"/>
            <family val="2"/>
            <charset val="1"/>
          </rPr>
          <t xml:space="preserve">When ART coverage is ≤ 70%, Other PITC yield will be flagged when &lt; 5%. When ART coverage is &gt;70%, Other PITC yield will be flagged when &lt;10%.</t>
        </r>
      </text>
    </comment>
    <comment ref="BC4" authorId="0">
      <text>
        <r>
          <rPr>
            <b val="true"/>
            <sz val="10"/>
            <color rgb="FF000000"/>
            <rFont val="Tahoma"/>
            <family val="2"/>
            <charset val="1"/>
          </rPr>
          <t xml:space="preserve">#DIV</t>
        </r>
        <r>
          <rPr>
            <sz val="10"/>
            <color rgb="FF000000"/>
            <rFont val="Tahoma"/>
            <family val="2"/>
            <charset val="1"/>
          </rPr>
          <t xml:space="preserve">If you see this here, check yields.</t>
        </r>
      </text>
    </comment>
    <comment ref="BF4" authorId="0">
      <text>
        <r>
          <rPr>
            <b val="true"/>
            <sz val="10"/>
            <color rgb="FF000000"/>
            <rFont val="Tahoma"/>
            <family val="2"/>
            <charset val="1"/>
          </rPr>
          <t xml:space="preserve">#DIV</t>
        </r>
        <r>
          <rPr>
            <sz val="10"/>
            <color rgb="FF000000"/>
            <rFont val="Tahoma"/>
            <family val="2"/>
            <charset val="1"/>
          </rPr>
          <t xml:space="preserve">If you see this here, check yields.</t>
        </r>
      </text>
    </comment>
    <comment ref="BI4" authorId="0">
      <text>
        <r>
          <rPr>
            <b val="true"/>
            <sz val="10"/>
            <color rgb="FF000000"/>
            <rFont val="Tahoma"/>
            <family val="0"/>
            <charset val="1"/>
          </rPr>
          <t xml:space="preserve">#DIV</t>
        </r>
        <r>
          <rPr>
            <sz val="10"/>
            <color rgb="FF000000"/>
            <rFont val="Tahoma"/>
            <family val="0"/>
            <charset val="1"/>
          </rPr>
          <t xml:space="preserve">If you see this here, check yields.</t>
        </r>
      </text>
    </comment>
    <comment ref="BK3" authorId="0">
      <text>
        <r>
          <rPr>
            <sz val="10"/>
            <color rgb="FF000000"/>
            <rFont val="Tahoma"/>
            <family val="0"/>
            <charset val="1"/>
          </rPr>
          <t xml:space="preserve">Where ART Coverage is greater than 80%, do not set targets for the Community - Other modality. Cases where this guidance is disregarded will be highlighted yellow below.</t>
        </r>
      </text>
    </comment>
    <comment ref="BL3" authorId="0">
      <text>
        <r>
          <rPr>
            <sz val="10"/>
            <color rgb="FF000000"/>
            <rFont val="Tahoma"/>
            <family val="0"/>
            <charset val="1"/>
          </rPr>
          <t xml:space="preserve">Where ART Coverage is greater than 80%, do not set targets for the Community - Other modality. Cases where this guidance is disregarded will be highlighted yellow below.</t>
        </r>
      </text>
    </comment>
    <comment ref="BL4" authorId="0">
      <text>
        <r>
          <rPr>
            <b val="true"/>
            <sz val="10"/>
            <color rgb="FF000000"/>
            <rFont val="Tahoma"/>
            <family val="0"/>
            <charset val="1"/>
          </rPr>
          <t xml:space="preserve">#DIV</t>
        </r>
        <r>
          <rPr>
            <sz val="10"/>
            <color rgb="FF000000"/>
            <rFont val="Tahoma"/>
            <family val="0"/>
            <charset val="1"/>
          </rPr>
          <t xml:space="preserve">If you see this here, check yields.</t>
        </r>
      </text>
    </comment>
    <comment ref="BN3" authorId="0">
      <text>
        <r>
          <rPr>
            <sz val="10"/>
            <color rgb="FF000000"/>
            <rFont val="Tahoma"/>
            <family val="2"/>
            <charset val="1"/>
          </rPr>
          <t xml:space="preserve">Inclusive of PMTCT_STAT, HTS PMTCT Post ANC1, TB, VMMC, INDEX, and all other modalities.</t>
        </r>
      </text>
    </comment>
    <comment ref="BU3" authorId="0">
      <text>
        <r>
          <rPr>
            <sz val="10"/>
            <color rgb="FF000000"/>
            <rFont val="Tahoma"/>
            <family val="2"/>
            <charset val="1"/>
          </rPr>
          <t xml:space="preserve">Inclusive of PMTCT_STAT, HTS PMTCT Post ANC1, TB, VMMC, INDEX, and all other modalities.</t>
        </r>
      </text>
    </comment>
    <comment ref="BU4" authorId="0">
      <text>
        <r>
          <rPr>
            <b val="true"/>
            <sz val="10"/>
            <color rgb="FF000000"/>
            <rFont val="Tahoma"/>
            <family val="0"/>
            <charset val="1"/>
          </rPr>
          <t xml:space="preserve">#DIV</t>
        </r>
        <r>
          <rPr>
            <sz val="10"/>
            <color rgb="FF000000"/>
            <rFont val="Tahoma"/>
            <family val="0"/>
            <charset val="1"/>
          </rPr>
          <t xml:space="preserve">If you see this here, check yields.</t>
        </r>
      </text>
    </comment>
    <comment ref="BV3" authorId="0">
      <text>
        <r>
          <rPr>
            <sz val="10"/>
            <color rgb="FF000000"/>
            <rFont val="Tahoma"/>
            <family val="0"/>
            <charset val="1"/>
          </rPr>
          <t xml:space="preserve">Total Positives divided by Total Tests.</t>
        </r>
      </text>
    </comment>
    <comment ref="BY3" authorId="0">
      <text>
        <r>
          <rPr>
            <sz val="10"/>
            <color rgb="FF000000"/>
            <rFont val="Tahoma"/>
            <family val="0"/>
            <charset val="1"/>
          </rPr>
          <t xml:space="preserve">If HTS_SELF was not reported or performed in FY21, but will be in FY22, set manually in target column.</t>
        </r>
      </text>
    </comment>
  </commentList>
</comments>
</file>

<file path=xl/comments11.xml><?xml version="1.0" encoding="utf-8"?>
<comments xmlns="http://schemas.openxmlformats.org/spreadsheetml/2006/main" xmlns:xdr="http://schemas.openxmlformats.org/drawingml/2006/spreadsheetDrawing">
  <authors>
    <author> </author>
  </authors>
  <commentList>
    <comment ref="J3" authorId="0">
      <text>
        <r>
          <rPr>
            <b val="true"/>
            <sz val="10"/>
            <color rgb="FF000000"/>
            <rFont val="Tahoma"/>
            <family val="2"/>
            <charset val="1"/>
          </rPr>
          <t xml:space="preserve">Yellow highlights = </t>
        </r>
        <r>
          <rPr>
            <sz val="10"/>
            <color rgb="FF000000"/>
            <rFont val="Tahoma"/>
            <family val="2"/>
            <charset val="1"/>
          </rPr>
          <t xml:space="preserve">Screening coverage rate is less than 50%.</t>
        </r>
      </text>
    </comment>
  </commentList>
</comments>
</file>

<file path=xl/comments12.xml><?xml version="1.0" encoding="utf-8"?>
<comments xmlns="http://schemas.openxmlformats.org/spreadsheetml/2006/main" xmlns:xdr="http://schemas.openxmlformats.org/drawingml/2006/spreadsheetDrawing">
  <authors>
    <author> </author>
  </authors>
  <commentList>
    <comment ref="AH3" authorId="0">
      <text>
        <r>
          <rPr>
            <b val="true"/>
            <sz val="10"/>
            <color rgb="FF000000"/>
            <rFont val="Tahoma"/>
            <family val="2"/>
            <charset val="1"/>
          </rPr>
          <t xml:space="preserve">Red highlights </t>
        </r>
        <r>
          <rPr>
            <sz val="10"/>
            <color rgb="FF000000"/>
            <rFont val="Tahoma"/>
            <family val="2"/>
            <charset val="1"/>
          </rPr>
          <t xml:space="preserve">= Coverage rate &gt;100%
</t>
        </r>
        <r>
          <rPr>
            <b val="true"/>
            <sz val="10"/>
            <color rgb="FF000000"/>
            <rFont val="Tahoma"/>
            <family val="2"/>
            <charset val="1"/>
          </rPr>
          <t xml:space="preserve">Yellow highlights </t>
        </r>
        <r>
          <rPr>
            <sz val="10"/>
            <color rgb="FF000000"/>
            <rFont val="Tahoma"/>
            <family val="2"/>
            <charset val="1"/>
          </rPr>
          <t xml:space="preserve">= Coverage rate &lt; 100%</t>
        </r>
      </text>
    </comment>
  </commentList>
</comments>
</file>

<file path=xl/comments13.xml><?xml version="1.0" encoding="utf-8"?>
<comments xmlns="http://schemas.openxmlformats.org/spreadsheetml/2006/main" xmlns:xdr="http://schemas.openxmlformats.org/drawingml/2006/spreadsheetDrawing">
  <authors>
    <author> </author>
  </authors>
  <commentList>
    <comment ref="F3" authorId="0">
      <text>
        <r>
          <rPr>
            <sz val="10"/>
            <color rgb="FF000000"/>
            <rFont val="Tahoma"/>
            <family val="0"/>
            <charset val="1"/>
          </rPr>
          <t xml:space="preserve">Red highlights indicate cases where coverage rates are missing, but required.</t>
        </r>
      </text>
    </comment>
    <comment ref="G3" authorId="0">
      <text>
        <r>
          <rPr>
            <sz val="10"/>
            <color rgb="FF000000"/>
            <rFont val="Tahoma"/>
            <family val="0"/>
            <charset val="1"/>
          </rPr>
          <t xml:space="preserve">Red highlights indicate cases where coverage rates are missing, but required.</t>
        </r>
      </text>
    </comment>
    <comment ref="H3" authorId="0">
      <text>
        <r>
          <rPr>
            <sz val="10"/>
            <color rgb="FF000000"/>
            <rFont val="Tahoma"/>
            <family val="0"/>
            <charset val="1"/>
          </rPr>
          <t xml:space="preserve">Red highlights indicate cases where yields are missing, but required.</t>
        </r>
      </text>
    </comment>
    <comment ref="I3" authorId="0">
      <text>
        <r>
          <rPr>
            <sz val="10"/>
            <color rgb="FF000000"/>
            <rFont val="Tahoma"/>
            <family val="2"/>
            <charset val="1"/>
          </rPr>
          <t xml:space="preserve">Red highlights indicate cases where yields are missing, but required.</t>
        </r>
      </text>
    </comment>
  </commentList>
</comments>
</file>

<file path=xl/comments15.xml><?xml version="1.0" encoding="utf-8"?>
<comments xmlns="http://schemas.openxmlformats.org/spreadsheetml/2006/main" xmlns:xdr="http://schemas.openxmlformats.org/drawingml/2006/spreadsheetDrawing">
  <authors>
    <author> </author>
  </authors>
  <commentList>
    <comment ref="N3" authorId="0">
      <text>
        <r>
          <rPr>
            <sz val="10"/>
            <color rgb="FF000000"/>
            <rFont val="Tahoma"/>
            <family val="2"/>
            <charset val="1"/>
          </rPr>
          <t xml:space="preserve">Does not include Exited or Transferred Out in Denominator.</t>
        </r>
      </text>
    </comment>
    <comment ref="U3" authorId="0">
      <text>
        <r>
          <rPr>
            <sz val="10"/>
            <color rgb="FF000000"/>
            <rFont val="Tahoma"/>
            <family val="2"/>
            <charset val="1"/>
          </rPr>
          <t xml:space="preserve">OVC_HIVSTAT will be aggregated across Age</t>
        </r>
      </text>
    </comment>
  </commentList>
</comments>
</file>

<file path=xl/comments18.xml><?xml version="1.0" encoding="utf-8"?>
<comments xmlns="http://schemas.openxmlformats.org/spreadsheetml/2006/main" xmlns:xdr="http://schemas.openxmlformats.org/drawingml/2006/spreadsheetDrawing">
  <authors>
    <author> </author>
  </authors>
  <commentList>
    <comment ref="O3" authorId="0">
      <text>
        <r>
          <rPr>
            <sz val="8"/>
            <color rgb="FF000000"/>
            <rFont val="Tahoma"/>
            <family val="2"/>
            <charset val="1"/>
          </rPr>
          <t xml:space="preserve">If PrEP_NEW is less than PrEP_CURR, the cell will be highlighted red.</t>
        </r>
      </text>
    </comment>
  </commentList>
</comments>
</file>

<file path=xl/sharedStrings.xml><?xml version="1.0" encoding="utf-8"?>
<sst xmlns="http://schemas.openxmlformats.org/spreadsheetml/2006/main" count="27551" uniqueCount="1204">
  <si>
    <t xml:space="preserve">PEPFAR</t>
  </si>
  <si>
    <t xml:space="preserve">COP21 Data Pack</t>
  </si>
  <si>
    <t xml:space="preserve">Lesotho</t>
  </si>
  <si>
    <t xml:space="preserve">qllxzIjjurr</t>
  </si>
  <si>
    <t xml:space="preserve">Generated on: 2021-05-26 11:50:45</t>
  </si>
  <si>
    <t xml:space="preserve">Package version: 4.5.2</t>
  </si>
  <si>
    <t xml:space="preserve">Data Pack</t>
  </si>
  <si>
    <t xml:space="preserve">COP 21</t>
  </si>
  <si>
    <t xml:space="preserve">Host Country Overview</t>
  </si>
  <si>
    <t xml:space="preserve">Projected FY21 Host Country ART Coverage</t>
  </si>
  <si>
    <t xml:space="preserve">Projected FY21 Host Country Total on ART</t>
  </si>
  <si>
    <t xml:space="preserve">Targeted FY22 PEPFAR TX_CURR</t>
  </si>
  <si>
    <t xml:space="preserve">Projected FY21 Host Country HIV Prevalence</t>
  </si>
  <si>
    <t xml:space="preserve">PEPFAR FY22 Target Overview</t>
  </si>
  <si>
    <t xml:space="preserve">(FY21)</t>
  </si>
  <si>
    <t xml:space="preserve">(FY22)</t>
  </si>
  <si>
    <t xml:space="preserve">PLHIV</t>
  </si>
  <si>
    <t xml:space="preserve">DIAGNOSED_SUBNAT</t>
  </si>
  <si>
    <t xml:space="preserve">TX_CURR_SUBNAT</t>
  </si>
  <si>
    <t xml:space="preserve">VL_SUPPRESSION_SUBNAT</t>
  </si>
  <si>
    <t xml:space="preserve">&lt;15</t>
  </si>
  <si>
    <t xml:space="preserve">Females, 15+</t>
  </si>
  <si>
    <t xml:space="preserve">Males, 15+</t>
  </si>
  <si>
    <t xml:space="preserve">HTS_TST</t>
  </si>
  <si>
    <t xml:space="preserve">HTS_TST_POS</t>
  </si>
  <si>
    <t xml:space="preserve">TX_NEW</t>
  </si>
  <si>
    <t xml:space="preserve">TX_CURR</t>
  </si>
  <si>
    <t xml:space="preserve">TX_PVLS (D)</t>
  </si>
  <si>
    <t xml:space="preserve">TX_PVLS (N)</t>
  </si>
  <si>
    <t xml:space="preserve">psnu</t>
  </si>
  <si>
    <t xml:space="preserve">psnu_uid</t>
  </si>
  <si>
    <t xml:space="preserve">area_id</t>
  </si>
  <si>
    <t xml:space="preserve">indicator_code</t>
  </si>
  <si>
    <t xml:space="preserve">dataelement_uid</t>
  </si>
  <si>
    <t xml:space="preserve">age</t>
  </si>
  <si>
    <t xml:space="preserve">age_uid</t>
  </si>
  <si>
    <t xml:space="preserve">sex</t>
  </si>
  <si>
    <t xml:space="preserve">sex_uid</t>
  </si>
  <si>
    <t xml:space="preserve">calendar_quarter</t>
  </si>
  <si>
    <t xml:space="preserve">value</t>
  </si>
  <si>
    <t xml:space="preserve">age_sex_rse</t>
  </si>
  <si>
    <t xml:space="preserve">district_rse</t>
  </si>
  <si>
    <t xml:space="preserve">ID</t>
  </si>
  <si>
    <t xml:space="preserve">Select cell D2</t>
  </si>
  <si>
    <t xml:space="preserve">--&gt;</t>
  </si>
  <si>
    <t xml:space="preserve">Maseru [#SNU] [#DREAMS] [tKOXiaNhAyJ]</t>
  </si>
  <si>
    <t xml:space="preserve">tKOXiaNhAyJ</t>
  </si>
  <si>
    <t xml:space="preserve">NA</t>
  </si>
  <si>
    <t xml:space="preserve">KP_ESTIMATES.Total.T</t>
  </si>
  <si>
    <t xml:space="preserve">qFyJH6fUPQk</t>
  </si>
  <si>
    <t xml:space="preserve">CY2021Q3</t>
  </si>
  <si>
    <t xml:space="preserve">Adding Estimates from Spectrum</t>
  </si>
  <si>
    <t xml:space="preserve">POP_EST.T_1</t>
  </si>
  <si>
    <t xml:space="preserve">KssDaTsGWnS</t>
  </si>
  <si>
    <t xml:space="preserve">01-04</t>
  </si>
  <si>
    <t xml:space="preserve">VHpjs9qdLFF</t>
  </si>
  <si>
    <t xml:space="preserve">Female</t>
  </si>
  <si>
    <t xml:space="preserve">Z1EnpTPaUfq</t>
  </si>
  <si>
    <t xml:space="preserve">Male</t>
  </si>
  <si>
    <t xml:space="preserve">Qn0I5FbKQOA</t>
  </si>
  <si>
    <t xml:space="preserve">Follow the below instructions to successfully import Spectrum estimates into your Data Pack:</t>
  </si>
  <si>
    <t xml:space="preserve">10-14</t>
  </si>
  <si>
    <t xml:space="preserve">jcGQdcpPSJP</t>
  </si>
  <si>
    <t xml:space="preserve">15-19</t>
  </si>
  <si>
    <t xml:space="preserve">ttf9eZCHsTU</t>
  </si>
  <si>
    <t xml:space="preserve">1) Select cell D2.</t>
  </si>
  <si>
    <t xml:space="preserve">20-24</t>
  </si>
  <si>
    <t xml:space="preserve">GaScV37Kk29</t>
  </si>
  <si>
    <t xml:space="preserve">2) In the Excel ribbon above, select Data &gt; From Text to open the Data Import Wizard.</t>
  </si>
  <si>
    <t xml:space="preserve">25-29</t>
  </si>
  <si>
    <t xml:space="preserve">meeNUPwEOtj</t>
  </si>
  <si>
    <t xml:space="preserve">3) Select the file created in and exported from Spectrum.</t>
  </si>
  <si>
    <t xml:space="preserve">30-34</t>
  </si>
  <si>
    <t xml:space="preserve">AZaNm5B8vn9</t>
  </si>
  <si>
    <t xml:space="preserve">4) In Step 1 of the Text Import Wizard, select `Delimited` for the Data Type, and start import at row 2. Click `Next`.</t>
  </si>
  <si>
    <t xml:space="preserve">35-39</t>
  </si>
  <si>
    <t xml:space="preserve">R32YPF38CJJ</t>
  </si>
  <si>
    <t xml:space="preserve">40-44</t>
  </si>
  <si>
    <t xml:space="preserve">JEth8vg25Rv</t>
  </si>
  <si>
    <t xml:space="preserve">5) In Step 2 of the Text Import Wizard, select `Comma` as Delimiter Type. Click `Next`.</t>
  </si>
  <si>
    <t xml:space="preserve">45-49</t>
  </si>
  <si>
    <t xml:space="preserve">rQLOOlL3UOQ</t>
  </si>
  <si>
    <t xml:space="preserve">6) In Step 3 of the Text Import Wizard, click `Finish`.</t>
  </si>
  <si>
    <t xml:space="preserve">05-09</t>
  </si>
  <si>
    <t xml:space="preserve">eQG9DwiqSQR</t>
  </si>
  <si>
    <t xml:space="preserve">7) In the next prompt, click `Ok`.</t>
  </si>
  <si>
    <t xml:space="preserve">50+</t>
  </si>
  <si>
    <t xml:space="preserve">TpXlQcoXGZF</t>
  </si>
  <si>
    <t xml:space="preserve">8) In column Q, drag formulas down to extend to last row of Spectrum import file.</t>
  </si>
  <si>
    <t xml:space="preserve">&lt;01</t>
  </si>
  <si>
    <t xml:space="preserve">sMBMO5xAq5T</t>
  </si>
  <si>
    <t xml:space="preserve">HIV_PREV.T_1</t>
  </si>
  <si>
    <t xml:space="preserve">lJtpR5byqps</t>
  </si>
  <si>
    <t xml:space="preserve">DIAGNOSED_SUBNAT.T_1</t>
  </si>
  <si>
    <t xml:space="preserve">nF19GOjcnoD</t>
  </si>
  <si>
    <t xml:space="preserve">VL_SUPPRESSED.T_1</t>
  </si>
  <si>
    <t xml:space="preserve">zoKiMGRucOY</t>
  </si>
  <si>
    <t xml:space="preserve">PLHIV.T_1</t>
  </si>
  <si>
    <t xml:space="preserve">iwSejvD8cXl</t>
  </si>
  <si>
    <t xml:space="preserve">TX_CURR_SUBNAT.T_1</t>
  </si>
  <si>
    <t xml:space="preserve">xghQXueYJxu</t>
  </si>
  <si>
    <t xml:space="preserve">Thaba Tseka [#SNU] [jyhIrCoB31x]</t>
  </si>
  <si>
    <t xml:space="preserve">jyhIrCoB31x</t>
  </si>
  <si>
    <t xml:space="preserve">Leribe [#SNU] [FjSmRywOWUp]</t>
  </si>
  <si>
    <t xml:space="preserve">FjSmRywOWUp</t>
  </si>
  <si>
    <t xml:space="preserve">Mohale's Hoek [#SNU] [#DREAMS] [YGI7vISD2kJ]</t>
  </si>
  <si>
    <t xml:space="preserve">YGI7vISD2kJ</t>
  </si>
  <si>
    <t xml:space="preserve">Mafeteng [#SNU] [#DREAMS] [DiFv5WXIHM5]</t>
  </si>
  <si>
    <t xml:space="preserve">DiFv5WXIHM5</t>
  </si>
  <si>
    <t xml:space="preserve">Berea [#SNU] [#DREAMS] [wpg5evyl1OL]</t>
  </si>
  <si>
    <t xml:space="preserve">wpg5evyl1OL</t>
  </si>
  <si>
    <t xml:space="preserve">Qacha's Nek [#SNU] [zTaMbxvQtJ6]</t>
  </si>
  <si>
    <t xml:space="preserve">zTaMbxvQtJ6</t>
  </si>
  <si>
    <t xml:space="preserve">Mokhotlong [#SNU] [tjhYqc1MlVo]</t>
  </si>
  <si>
    <t xml:space="preserve">tjhYqc1MlVo</t>
  </si>
  <si>
    <t xml:space="preserve">Butha Buthe [#SNU] [mvPRqBFtVC0]</t>
  </si>
  <si>
    <t xml:space="preserve">mvPRqBFtVC0</t>
  </si>
  <si>
    <t xml:space="preserve">Quthing [#SNU] [HuwCoDZG0FY]</t>
  </si>
  <si>
    <t xml:space="preserve">HuwCoDZG0FY</t>
  </si>
  <si>
    <t xml:space="preserve">Prioritization</t>
  </si>
  <si>
    <t xml:space="preserve">Reference</t>
  </si>
  <si>
    <t xml:space="preserve">Targets</t>
  </si>
  <si>
    <t xml:space="preserve">SNU Prioritization (FY21)</t>
  </si>
  <si>
    <t xml:space="preserve">SNU Prioritization (FY22)</t>
  </si>
  <si>
    <t xml:space="preserve">FY22 SNU Prioritization Translation</t>
  </si>
  <si>
    <t xml:space="preserve">Roll-up</t>
  </si>
  <si>
    <t xml:space="preserve">datapack</t>
  </si>
  <si>
    <t xml:space="preserve">impatt</t>
  </si>
  <si>
    <t xml:space="preserve">row_header</t>
  </si>
  <si>
    <t xml:space="preserve">past</t>
  </si>
  <si>
    <t xml:space="preserve">target</t>
  </si>
  <si>
    <t xml:space="preserve">reference</t>
  </si>
  <si>
    <t xml:space="preserve">string</t>
  </si>
  <si>
    <t xml:space="preserve">integer</t>
  </si>
  <si>
    <t xml:space="preserve">r4zbW3owX9n</t>
  </si>
  <si>
    <t xml:space="preserve">SNU1</t>
  </si>
  <si>
    <t xml:space="preserve">PSNU</t>
  </si>
  <si>
    <t xml:space="preserve">IMPATT.PRIORITY_SNU.T_1</t>
  </si>
  <si>
    <t xml:space="preserve">IMPATT.PRIORITY_SNU.T</t>
  </si>
  <si>
    <t xml:space="preserve">PRIORITY_SNU.translation</t>
  </si>
  <si>
    <t xml:space="preserve">_Military Lesotho</t>
  </si>
  <si>
    <t xml:space="preserve">_Military Lesotho [#Military] [dDOqoFnD5Be]</t>
  </si>
  <si>
    <t xml:space="preserve">Berea</t>
  </si>
  <si>
    <t xml:space="preserve">Butha Buthe</t>
  </si>
  <si>
    <t xml:space="preserve">Leribe</t>
  </si>
  <si>
    <t xml:space="preserve">Mafeteng</t>
  </si>
  <si>
    <t xml:space="preserve">Maseru</t>
  </si>
  <si>
    <t xml:space="preserve">Mohale's Hoek</t>
  </si>
  <si>
    <t xml:space="preserve">Mokhotlong</t>
  </si>
  <si>
    <t xml:space="preserve">Qacha's Nek</t>
  </si>
  <si>
    <t xml:space="preserve">Quthing</t>
  </si>
  <si>
    <t xml:space="preserve">Thaba Tseka</t>
  </si>
  <si>
    <t xml:space="preserve">Cascade</t>
  </si>
  <si>
    <t xml:space="preserve">Host Country Context</t>
  </si>
  <si>
    <t xml:space="preserve">TX_NET_NEW_SUBNAT</t>
  </si>
  <si>
    <t xml:space="preserve">Testing</t>
  </si>
  <si>
    <t xml:space="preserve">Assumptions</t>
  </si>
  <si>
    <t xml:space="preserve">Check</t>
  </si>
  <si>
    <t xml:space="preserve">Host Country Est. Population (FY21)</t>
  </si>
  <si>
    <t xml:space="preserve">RSE: Population (District-level)</t>
  </si>
  <si>
    <t xml:space="preserve">Host Country Est. PLHIV (FY21)</t>
  </si>
  <si>
    <t xml:space="preserve">RSE: PLHIV (District-level)</t>
  </si>
  <si>
    <t xml:space="preserve">Host Country Est. HIV Prevalence (FY21) (%)</t>
  </si>
  <si>
    <t xml:space="preserve">RSE: HIV Prevalence (District-level)</t>
  </si>
  <si>
    <t xml:space="preserve">Host Country Est. PLHIV who know HIV Status (FY21)</t>
  </si>
  <si>
    <t xml:space="preserve">Host Country Est. % PLHIV who know HIV Status (FY21) (%)</t>
  </si>
  <si>
    <t xml:space="preserve">Host Country Observed TX_CURR_SUBNAT (FY20)</t>
  </si>
  <si>
    <t xml:space="preserve">RSE: TX_CURR_SUBNAT.R (District-level)</t>
  </si>
  <si>
    <t xml:space="preserve">Host Country Est. TX_CURR_SUBNAT (FY21)</t>
  </si>
  <si>
    <t xml:space="preserve">RSE: TX_CURR_SUBNAT.T_1 (District-level)</t>
  </si>
  <si>
    <t xml:space="preserve">Host Country Est. Virally Suppressed ART Patients (FY21)</t>
  </si>
  <si>
    <t xml:space="preserve">Host Country Est. Viral Load Suppression Rate (FY21) (%)</t>
  </si>
  <si>
    <t xml:space="preserve">PEPFAR TX_CURR (FY20 Results)</t>
  </si>
  <si>
    <t xml:space="preserve">PEPFAR TX_CURR (FY21 Targets)</t>
  </si>
  <si>
    <t xml:space="preserve">PEPFAR TX_NET_NEW (FY21 Targets)</t>
  </si>
  <si>
    <t xml:space="preserve">PEPFAR Coverage of Host Country TX_CURR_SUBNAT (FY21) (%)</t>
  </si>
  <si>
    <r>
      <rPr>
        <b val="true"/>
        <sz val="12"/>
        <color rgb="FF000000"/>
        <rFont val="Calibri"/>
        <family val="2"/>
        <charset val="1"/>
      </rPr>
      <t xml:space="preserve">PEPFAR Coverage of Host Country TX_NET_NEW_SUBNAT</t>
    </r>
    <r>
      <rPr>
        <sz val="12"/>
        <color rgb="FF000000"/>
        <rFont val="Calibri"/>
        <family val="2"/>
        <charset val="1"/>
      </rPr>
      <t xml:space="preserve"> (FY22) (%)</t>
    </r>
  </si>
  <si>
    <t xml:space="preserve">Host Country Est. ART Coverage (FY21) (%)</t>
  </si>
  <si>
    <t xml:space="preserve">Targeted Host Country ART Coverage (FY22) (%)</t>
  </si>
  <si>
    <t xml:space="preserve">Targeted Host Country TX_CURR_SUBNAT (FY22)</t>
  </si>
  <si>
    <t xml:space="preserve">Targeted Host Country TX_NET_NEW_SUBNAT (FY22)</t>
  </si>
  <si>
    <t xml:space="preserve">PMTCT_HEI_POS Linked to ART (FY22)</t>
  </si>
  <si>
    <t xml:space="preserve">TX_NET_NEW (FY22)</t>
  </si>
  <si>
    <t xml:space="preserve">TX_CURR (FY22)</t>
  </si>
  <si>
    <t xml:space="preserve">Proportion of TX_NET_NEW from New ART Initiation (FY22) (%)</t>
  </si>
  <si>
    <t xml:space="preserve">Targeted Retention Rate - New on ART (FY22) (%)</t>
  </si>
  <si>
    <t xml:space="preserve">Targeted Retention Rate - Already on ART (FY22) (%)</t>
  </si>
  <si>
    <t xml:space="preserve">LTFU from FY21 TX_CURR Cohort</t>
  </si>
  <si>
    <t xml:space="preserve">Individuals to be added to Treatment Cohort</t>
  </si>
  <si>
    <t xml:space="preserve">TX_NEW (FY20 Results)</t>
  </si>
  <si>
    <t xml:space="preserve">TX_NEW (FY21 Targets)</t>
  </si>
  <si>
    <t xml:space="preserve">TX_NEW
(FY22)</t>
  </si>
  <si>
    <t xml:space="preserve">% of TX_NEW Eligible for VL Test (%)</t>
  </si>
  <si>
    <t xml:space="preserve">Proportion of eligible w/ access to VL testing (%)</t>
  </si>
  <si>
    <t xml:space="preserve">Routine (FY22)</t>
  </si>
  <si>
    <t xml:space="preserve">Observed VL Suppression Rate (FY20) (%)</t>
  </si>
  <si>
    <t xml:space="preserve">Targeted VL Suppression Rate (FY22) (%)</t>
  </si>
  <si>
    <t xml:space="preserve">Host Country Targeted Viral Load Suppression Rate (FY22) (%)</t>
  </si>
  <si>
    <t xml:space="preserve">Host Country VL_SUPPRESSION_SUBNAT (FY22)</t>
  </si>
  <si>
    <t xml:space="preserve">Total to add to VL_SUPPRESSION_SUBNAT (FY22)</t>
  </si>
  <si>
    <t xml:space="preserve">TX_NEW from Previously Diagnosed (%)</t>
  </si>
  <si>
    <t xml:space="preserve">TX_NEW from Previously Diagnosed (FY22)</t>
  </si>
  <si>
    <t xml:space="preserve">TX_NEW from all other sources (FY22)</t>
  </si>
  <si>
    <t xml:space="preserve">Observed ART Linkage Rate (FY20) (%)</t>
  </si>
  <si>
    <t xml:space="preserve">Targeted ART Linkage Rate (FY22) (%)</t>
  </si>
  <si>
    <t xml:space="preserve">% of HTS_TST_POS from HTS_INDEX (FY20) (%)</t>
  </si>
  <si>
    <t xml:space="preserve">Targeted % of HTS_TST_POS from HTS_INDEX (FY22) (%)</t>
  </si>
  <si>
    <t xml:space="preserve">HTS_TST_POS + PMTCT_HEI_POS (FY22)</t>
  </si>
  <si>
    <t xml:space="preserve">HTS_INDEX (FY22)</t>
  </si>
  <si>
    <t xml:space="preserve">PMTCT_STAT New Positives (FY22)</t>
  </si>
  <si>
    <t xml:space="preserve">HTS_TST Post ANC1 New Positives (FY22)</t>
  </si>
  <si>
    <t xml:space="preserve">TB_STAT New Positives (FY22)</t>
  </si>
  <si>
    <t xml:space="preserve">VMMC Tested Positives (FY22)</t>
  </si>
  <si>
    <t xml:space="preserve">PMTCT_HEI_POS</t>
  </si>
  <si>
    <t xml:space="preserve">HTS_TST_POS from All Other Modalities (FY22)</t>
  </si>
  <si>
    <t xml:space="preserve">Total Positives from HTS_INDEX (FY22) (%)</t>
  </si>
  <si>
    <t xml:space="preserve">Total Positives from PMTCT ANC1 (FY22) (%)</t>
  </si>
  <si>
    <t xml:space="preserve">Total Positives from PMTCT Post ANC1 (FY22) (%)</t>
  </si>
  <si>
    <t xml:space="preserve">Total Positives from TB_STAT (FY22) (%)</t>
  </si>
  <si>
    <t xml:space="preserve">Total Positives from VMMC (FY22) (%)</t>
  </si>
  <si>
    <t xml:space="preserve">Total Positives from PMTCT_HEI_POS (FY22) (%)</t>
  </si>
  <si>
    <t xml:space="preserve">Total Positives from All Other Modalities (FY22) (%)</t>
  </si>
  <si>
    <t xml:space="preserve">PEPFAR Coverage of Host Country Total Positives Identified (FY22) (%)</t>
  </si>
  <si>
    <t xml:space="preserve">Host Country DIAGNOSED_SUBNAT (FY22)</t>
  </si>
  <si>
    <t xml:space="preserve">subnat</t>
  </si>
  <si>
    <t xml:space="preserve">mer</t>
  </si>
  <si>
    <t xml:space="preserve">result</t>
  </si>
  <si>
    <t xml:space="preserve">assumption</t>
  </si>
  <si>
    <t xml:space="preserve">calculation</t>
  </si>
  <si>
    <t xml:space="preserve">percentage</t>
  </si>
  <si>
    <t xml:space="preserve">MktYDp33kd6</t>
  </si>
  <si>
    <t xml:space="preserve">Hyvw9VnZ2ch</t>
  </si>
  <si>
    <t xml:space="preserve">di4b6joXm84</t>
  </si>
  <si>
    <t xml:space="preserve">yXZtvoYQXcD</t>
  </si>
  <si>
    <t xml:space="preserve">vmfKLKi1NBA</t>
  </si>
  <si>
    <t xml:space="preserve">WpZwPieQ060</t>
  </si>
  <si>
    <t xml:space="preserve">N55pM5ZuWcI</t>
  </si>
  <si>
    <t xml:space="preserve">ebCEt4u78PX</t>
  </si>
  <si>
    <t xml:space="preserve">HGZY9RNZjRd</t>
  </si>
  <si>
    <t xml:space="preserve">FjLaCnuoQWR</t>
  </si>
  <si>
    <t xml:space="preserve">DhrLCUBm3bK</t>
  </si>
  <si>
    <t xml:space="preserve">KlAFsRMw17y</t>
  </si>
  <si>
    <t xml:space="preserve">LCrR2BK3wmA</t>
  </si>
  <si>
    <t xml:space="preserve">KM4dyooZHUP</t>
  </si>
  <si>
    <t xml:space="preserve">rGptWqlhaVU.KM4dyooZHUP</t>
  </si>
  <si>
    <t xml:space="preserve">5 yr</t>
  </si>
  <si>
    <t xml:space="preserve">5 yr, 01+</t>
  </si>
  <si>
    <t xml:space="preserve">5 yr, 10+</t>
  </si>
  <si>
    <t xml:space="preserve">5 yr, 15+</t>
  </si>
  <si>
    <t xml:space="preserve">M/F</t>
  </si>
  <si>
    <t xml:space="preserve">Females</t>
  </si>
  <si>
    <t xml:space="preserve">Males</t>
  </si>
  <si>
    <t xml:space="preserve">Age</t>
  </si>
  <si>
    <t xml:space="preserve">Sex</t>
  </si>
  <si>
    <t xml:space="preserve">POP_EST.DistrictUncertainty</t>
  </si>
  <si>
    <t xml:space="preserve">PLHIV.DistrictUncertainty</t>
  </si>
  <si>
    <t xml:space="preserve">HIV_PREV.DistrictUncertainty</t>
  </si>
  <si>
    <t xml:space="preserve">DIAGNOSED_SUBNAT.Rt.T_1</t>
  </si>
  <si>
    <t xml:space="preserve">TX_CURR_SUBNAT.R</t>
  </si>
  <si>
    <t xml:space="preserve">TX_CURR_SUBNAT.DistrictUncertainty.R</t>
  </si>
  <si>
    <t xml:space="preserve">TX_CURR_SUBNAT.DistrictUncertainty.T_1</t>
  </si>
  <si>
    <t xml:space="preserve">VL_SUPPRESSED.Rt.T_1</t>
  </si>
  <si>
    <t xml:space="preserve">TX_CURR.R</t>
  </si>
  <si>
    <t xml:space="preserve">TX_CURR.T_1</t>
  </si>
  <si>
    <t xml:space="preserve">TX_NET_NEW.T_1</t>
  </si>
  <si>
    <t xml:space="preserve">TX_CURR.NatlContr.T_1</t>
  </si>
  <si>
    <t xml:space="preserve">TX_CURR.NatlContr.T</t>
  </si>
  <si>
    <t xml:space="preserve">TX_CURR_SUBNAT.Rt.T_1</t>
  </si>
  <si>
    <t xml:space="preserve">TX_CURR_SUBNAT.Rt.T</t>
  </si>
  <si>
    <t xml:space="preserve">TX_CURR_SUBNAT.T</t>
  </si>
  <si>
    <t xml:space="preserve">TX_NET_NEW_SUBNAT.T</t>
  </si>
  <si>
    <t xml:space="preserve">PMTCT_HEI_POS.Linked.T</t>
  </si>
  <si>
    <t xml:space="preserve">TX_NET_NEW.T</t>
  </si>
  <si>
    <t xml:space="preserve">TX_CURR.T</t>
  </si>
  <si>
    <t xml:space="preserve">TX_NET_NEW.NewRt.T</t>
  </si>
  <si>
    <t xml:space="preserve">TX_RET.New.T</t>
  </si>
  <si>
    <t xml:space="preserve">TX_RET.Already.T</t>
  </si>
  <si>
    <t xml:space="preserve">TX_CURR.LTFU.T</t>
  </si>
  <si>
    <t xml:space="preserve">TX_CURR.Added.T</t>
  </si>
  <si>
    <t xml:space="preserve">TX_NEW.R</t>
  </si>
  <si>
    <t xml:space="preserve">TX_NEW.T_1</t>
  </si>
  <si>
    <t xml:space="preserve">TX_NEW.T</t>
  </si>
  <si>
    <t xml:space="preserve">TX_PVLS.D.Eligible.Rt.T</t>
  </si>
  <si>
    <t xml:space="preserve">TX_PVLS.D.Access.Rt.T</t>
  </si>
  <si>
    <t xml:space="preserve">TX_PVLS.D.Routine.T</t>
  </si>
  <si>
    <t xml:space="preserve">TX_PVLS.N.Rt.R</t>
  </si>
  <si>
    <t xml:space="preserve">TX_PVLS.N.Rt.T</t>
  </si>
  <si>
    <t xml:space="preserve">VL_SUPPRESSED.Rt.T</t>
  </si>
  <si>
    <t xml:space="preserve">TX_PVLS.N.Routine.T</t>
  </si>
  <si>
    <t xml:space="preserve">VL_SUPPRESSION_SUBNAT.T</t>
  </si>
  <si>
    <t xml:space="preserve">VL_SUPPRESSION_SUBNAT.Net_New.T</t>
  </si>
  <si>
    <t xml:space="preserve">TX_NEW.PrevDiag.Share.T</t>
  </si>
  <si>
    <t xml:space="preserve">TX_NEW.PrevDiag.T</t>
  </si>
  <si>
    <t xml:space="preserve">TX_NEW.Other.T</t>
  </si>
  <si>
    <t xml:space="preserve">HTS_TST.Linkage.R</t>
  </si>
  <si>
    <t xml:space="preserve">HTS_TST.Linkage.T</t>
  </si>
  <si>
    <t xml:space="preserve">HTS_TST.Index.Pos.Share.R</t>
  </si>
  <si>
    <t xml:space="preserve">HTS_TST.Index.Pos.Share.Targeted</t>
  </si>
  <si>
    <t xml:space="preserve">HTS_TST.Pos.Total_With_HEI.T</t>
  </si>
  <si>
    <t xml:space="preserve">HTS_INDEX.Pos.T</t>
  </si>
  <si>
    <t xml:space="preserve">PMTCT_STAT.N.New.Pos.T</t>
  </si>
  <si>
    <t xml:space="preserve">HTS_TST.PostANC1.Pos.T</t>
  </si>
  <si>
    <t xml:space="preserve">TB_STAT.N.New.Pos.T</t>
  </si>
  <si>
    <t xml:space="preserve">VMMC_CIRC.Pos.T</t>
  </si>
  <si>
    <t xml:space="preserve">PMTCT_HEI_POS.T</t>
  </si>
  <si>
    <t xml:space="preserve">HTS_TST.Pos.Total_Other.T</t>
  </si>
  <si>
    <t xml:space="preserve">HTS_TST.Index.Pos.Share.T</t>
  </si>
  <si>
    <t xml:space="preserve">HTS_TST.PMTCT_STAT.Pos.Share.T</t>
  </si>
  <si>
    <t xml:space="preserve">HTS_TST.PostANC1.Pos.Share.T</t>
  </si>
  <si>
    <t xml:space="preserve">HTS_TST.TB.Pos.Share.T</t>
  </si>
  <si>
    <t xml:space="preserve">HTS_TST.VMMC.Pos.Share.T</t>
  </si>
  <si>
    <t xml:space="preserve">HTS_TST.HEI_POS.Share.T</t>
  </si>
  <si>
    <t xml:space="preserve">HTS_TST.Total_Other.Pos.Share.T</t>
  </si>
  <si>
    <t xml:space="preserve">DIAGNOSED_SUBNAT.NatlContr.T</t>
  </si>
  <si>
    <t xml:space="preserve">DIAGNOSED_SUBNAT.T</t>
  </si>
  <si>
    <t xml:space="preserve">PMTCT_STAT &amp; PMTCT_ART</t>
  </si>
  <si>
    <t xml:space="preserve">PMTCT_STAT (D)</t>
  </si>
  <si>
    <t xml:space="preserve">PMTCT_STAT_SUBNAT (D)</t>
  </si>
  <si>
    <t xml:space="preserve">PMTCT_STAT (N)</t>
  </si>
  <si>
    <t xml:space="preserve">PMTCT_STAT_SUBNAT (N)</t>
  </si>
  <si>
    <t xml:space="preserve">PMTCT_ART (N)</t>
  </si>
  <si>
    <t xml:space="preserve">PMTCT_ART_SUBNAT</t>
  </si>
  <si>
    <t xml:space="preserve">HTS_TST: PMTCT Post ANC1</t>
  </si>
  <si>
    <t xml:space="preserve">Testing Rationalization</t>
  </si>
  <si>
    <t xml:space="preserve">To shut off PMTCT_STAT entirely:
1. Replace all formulas for "PMTCT_STAT (D) (FY22)" with zeros.</t>
  </si>
  <si>
    <t xml:space="preserve">Host Country Est. Female Population (FY21)</t>
  </si>
  <si>
    <t xml:space="preserve">Host Country PMTCT_STAT_SUBNAT (D) - # New ANC clients (FY21)</t>
  </si>
  <si>
    <t xml:space="preserve">Host Country PMTCT_STAT_SUBNAT (N) - Known Positive (FY21)</t>
  </si>
  <si>
    <t xml:space="preserve">Host Country PMTCT_STAT_SUBNAT (N) - New Positive (FY21)</t>
  </si>
  <si>
    <t xml:space="preserve">Host Country PMTCT_STAT_SUBNAT (N) - New Negative (FY21)</t>
  </si>
  <si>
    <t xml:space="preserve">Host Country PMTCT_ART_SUBNAT (D) - # HIV-positive pregnant women (FY21)</t>
  </si>
  <si>
    <t xml:space="preserve">Host Country PMTCT_ART_SUBNAT (N) - Already on ART (FY21)</t>
  </si>
  <si>
    <t xml:space="preserve">Host Country PMTCT_ART_SUBNAT (N) - New on ART (FY21)</t>
  </si>
  <si>
    <t xml:space="preserve">FY21 Targets</t>
  </si>
  <si>
    <t xml:space="preserve">Expected change in new ANC clients (%)</t>
  </si>
  <si>
    <t xml:space="preserve">PMTCT_STAT (D) (FY22)</t>
  </si>
  <si>
    <t xml:space="preserve">Projected PEPFAR proportion of Host Country PMTCT_STAT_SUBNAT (D) (FY21) (%)</t>
  </si>
  <si>
    <t xml:space="preserve">Targeted PEPFAR proportion of Host Country PMTCT_STAT_SUBNAT (D) (FY22) (%)</t>
  </si>
  <si>
    <t xml:space="preserve">PMTCT_STAT_SUBNAT (D) (FY22)</t>
  </si>
  <si>
    <t xml:space="preserve">Targeted testing coverage of ANC1 clients (FY22) (%)</t>
  </si>
  <si>
    <t xml:space="preserve">PEPFAR % ANC1 clients already Known HIV Positive (FY20) (%)</t>
  </si>
  <si>
    <t xml:space="preserve">Est. % ANC1 clients already Known HIV Positive (%)</t>
  </si>
  <si>
    <t xml:space="preserve">PEPFAR Positivity Rate among Newly Tested ANC1 clients (FY20) (%)</t>
  </si>
  <si>
    <t xml:space="preserve">Est. Positivity Rate among Newly Tested ANC1 clients (%)</t>
  </si>
  <si>
    <t xml:space="preserve">Total PMTCT_STAT (N)</t>
  </si>
  <si>
    <t xml:space="preserve">Known HIV Status, Positive</t>
  </si>
  <si>
    <t xml:space="preserve">Newly Tested, Positive</t>
  </si>
  <si>
    <t xml:space="preserve">Newly Tested, Negative</t>
  </si>
  <si>
    <t xml:space="preserve">Total PMTCT_STAT_SUBNAT (N)</t>
  </si>
  <si>
    <t xml:space="preserve">Host Country PMTCT_STAT_SUBNAT (N) - Known Positive (FY22)</t>
  </si>
  <si>
    <t xml:space="preserve">Host Country PMTCT_STAT_SUBNAT (N) - New Positive (FY22)</t>
  </si>
  <si>
    <t xml:space="preserve">Host Country PMTCT_STAT_SUBNAT (N) - New Negative (FY22)</t>
  </si>
  <si>
    <t xml:space="preserve">Targeted ART Linkage Rate (%)</t>
  </si>
  <si>
    <t xml:space="preserve">Already on ART</t>
  </si>
  <si>
    <t xml:space="preserve">New on ART</t>
  </si>
  <si>
    <t xml:space="preserve">Host Country PMTCT_ART_SUBNAT (D) - # HIV-positive pregnant women (FY22)</t>
  </si>
  <si>
    <t xml:space="preserve">Host Country PMTCT_ART_SUBNAT (N) - Already on ART (FY22)</t>
  </si>
  <si>
    <t xml:space="preserve">Host Country PMTCT_ART_SUBNAT (N) - New on ART (FY22)</t>
  </si>
  <si>
    <t xml:space="preserve">Total eligible for Post ANC1 retesting</t>
  </si>
  <si>
    <t xml:space="preserve">Yield (FY20 Results) (%)</t>
  </si>
  <si>
    <t xml:space="preserve">Yield (%)</t>
  </si>
  <si>
    <t xml:space="preserve">Positive</t>
  </si>
  <si>
    <t xml:space="preserve">Negative</t>
  </si>
  <si>
    <t xml:space="preserve">Linked to ART</t>
  </si>
  <si>
    <t xml:space="preserve">Total PMTCT: Positives (From ANC1 &amp; Post ANC1)</t>
  </si>
  <si>
    <t xml:space="preserve">Total HTS_TST_POS (FY22)</t>
  </si>
  <si>
    <t xml:space="preserve">Total Positives from PMTCT_STAT ANC1 (FY22) (%)</t>
  </si>
  <si>
    <t xml:space="preserve">jdFCj4dEvIK</t>
  </si>
  <si>
    <t xml:space="preserve">thhkv2dmiuc</t>
  </si>
  <si>
    <t xml:space="preserve">jaX3SUTcIki</t>
  </si>
  <si>
    <t xml:space="preserve">LvwJYdp0Jmr</t>
  </si>
  <si>
    <t xml:space="preserve">f10j57Ifd7k</t>
  </si>
  <si>
    <t xml:space="preserve">Qdn0vmNSflO</t>
  </si>
  <si>
    <t xml:space="preserve">qesr9meNVYc</t>
  </si>
  <si>
    <t xml:space="preserve">dd2WtJJxFYj</t>
  </si>
  <si>
    <t xml:space="preserve">bu3sosk4HWn</t>
  </si>
  <si>
    <t xml:space="preserve">mfYq3HGUIX3</t>
  </si>
  <si>
    <t xml:space="preserve">vsudHZwmvb2</t>
  </si>
  <si>
    <t xml:space="preserve">CrhtWrSnb2D</t>
  </si>
  <si>
    <t xml:space="preserve">LvheCKbuFJZ</t>
  </si>
  <si>
    <t xml:space="preserve">Vr59uUJBySG</t>
  </si>
  <si>
    <t xml:space="preserve">BiB1MtA7o4A</t>
  </si>
  <si>
    <t xml:space="preserve">rSKP7Z85FX9.KM4dyooZHUP</t>
  </si>
  <si>
    <t xml:space="preserve">udcRwufEXFQ.KM4dyooZHUP</t>
  </si>
  <si>
    <t xml:space="preserve">Gb0GYkqotaO</t>
  </si>
  <si>
    <t xml:space="preserve">PMTCT_STAT_SUBNAT.D.T_1</t>
  </si>
  <si>
    <t xml:space="preserve">PMTCT_STAT_SUBNAT.N.Known.Pos.T_1</t>
  </si>
  <si>
    <t xml:space="preserve">PMTCT_STAT_SUBNAT.N.New.Pos.T_1</t>
  </si>
  <si>
    <t xml:space="preserve">PMTCT_STAT_SUBNAT.N.New.Neg.T_1</t>
  </si>
  <si>
    <t xml:space="preserve">PMTCT_ART_SUBNAT.D.T_1</t>
  </si>
  <si>
    <t xml:space="preserve">PMTCT_ART_SUBNAT.N.Already.T_1</t>
  </si>
  <si>
    <t xml:space="preserve">PMTCT_ART_SUBNAT.N.New.T_1</t>
  </si>
  <si>
    <t xml:space="preserve">PMTCT_STAT.D.T_1</t>
  </si>
  <si>
    <t xml:space="preserve">PMTCT_STAT.D.Growth.T</t>
  </si>
  <si>
    <t xml:space="preserve">PMTCT_STAT.D.T</t>
  </si>
  <si>
    <t xml:space="preserve">PMTCT_STAT.D.NatlContr.T_1</t>
  </si>
  <si>
    <t xml:space="preserve">PMTCT_STAT.D.NatlContr.T</t>
  </si>
  <si>
    <t xml:space="preserve">PMTCT_STAT_SUBNAT.D.T</t>
  </si>
  <si>
    <t xml:space="preserve">PMTCT_STAT.N.Rt.T</t>
  </si>
  <si>
    <t xml:space="preserve">PMTCT_STAT.N.KnownPosRt.R</t>
  </si>
  <si>
    <t xml:space="preserve">PMTCT_STAT.N.KnownPosRt.T</t>
  </si>
  <si>
    <t xml:space="preserve">PMTCT_STAT.N.New.Yield.R</t>
  </si>
  <si>
    <t xml:space="preserve">PMTCT_STAT.N.New.Yield.T</t>
  </si>
  <si>
    <t xml:space="preserve">PMTCT_STAT.N.T</t>
  </si>
  <si>
    <t xml:space="preserve">PMTCT_STAT.N.KnownPos.T</t>
  </si>
  <si>
    <t xml:space="preserve">PMTCT_STAT.N.New.Neg.T</t>
  </si>
  <si>
    <t xml:space="preserve">PMTCT_STAT_SUBNAT.N.T</t>
  </si>
  <si>
    <t xml:space="preserve">PMTCT_STAT_SUBNAT.N.Known.Pos.T</t>
  </si>
  <si>
    <t xml:space="preserve">PMTCT_STAT_SUBNAT.N.New.Pos.T</t>
  </si>
  <si>
    <t xml:space="preserve">PMTCT_STAT_SUBNAT.N.New.Neg.T</t>
  </si>
  <si>
    <t xml:space="preserve">PMTCT_STAT.Linkage.T</t>
  </si>
  <si>
    <t xml:space="preserve">PMTCT_ART.Already.T</t>
  </si>
  <si>
    <t xml:space="preserve">PMTCT_ART.New.T</t>
  </si>
  <si>
    <t xml:space="preserve">PMTCT_ART_SUBNAT.D.T</t>
  </si>
  <si>
    <t xml:space="preserve">PMTCT_ART_SUBNAT.N.Already.T</t>
  </si>
  <si>
    <t xml:space="preserve">PMTCT_ART_SUBNAT.N.New.T</t>
  </si>
  <si>
    <t xml:space="preserve">HTS_TST.PostANC1.Eligible.T</t>
  </si>
  <si>
    <t xml:space="preserve">HTS_TST.PostANC1.Yield</t>
  </si>
  <si>
    <t xml:space="preserve">HTS_TST.PostANC1.Yield.T</t>
  </si>
  <si>
    <t xml:space="preserve">HTS_TST.PostANC1.Pos.Linkage.T</t>
  </si>
  <si>
    <t xml:space="preserve">HTS_TST.PostANC1.Neg.T</t>
  </si>
  <si>
    <t xml:space="preserve">TX_NEW.PostANC1.T</t>
  </si>
  <si>
    <t xml:space="preserve">PMTCT.Pos.T</t>
  </si>
  <si>
    <t xml:space="preserve">HTS_TST.Pos.T</t>
  </si>
  <si>
    <t xml:space="preserve">PMTCT_EID</t>
  </si>
  <si>
    <t xml:space="preserve">PMTCT_EID (N)</t>
  </si>
  <si>
    <t xml:space="preserve">PMTCT_HEI_POS (N)</t>
  </si>
  <si>
    <t xml:space="preserve">Targeted % HIV exposed infants tested by 2 mo (%)</t>
  </si>
  <si>
    <t xml:space="preserve">Targeted % HIV exposed infants tested by 12 mo (%)</t>
  </si>
  <si>
    <t xml:space="preserve">Est. # infants born to HIV-positive women</t>
  </si>
  <si>
    <t xml:space="preserve">≤ 02 mo</t>
  </si>
  <si>
    <t xml:space="preserve">02 - 12 mo</t>
  </si>
  <si>
    <t xml:space="preserve">Est. Positivity Rate, ≤ 02 mo (FY20 Results) (%)</t>
  </si>
  <si>
    <t xml:space="preserve">Est. Positivity Rate, ≤ 02 mo (FY22) (%)</t>
  </si>
  <si>
    <t xml:space="preserve">Est. Positivity Rate, 02 - 12 mo (FY20 Results) (%)</t>
  </si>
  <si>
    <t xml:space="preserve">Est. Positivity Rate, 02 - 12 mo (FY22) (%)</t>
  </si>
  <si>
    <t xml:space="preserve">Targeted proportion of HIV-infected infants linked to ART (%)</t>
  </si>
  <si>
    <t xml:space="preserve">Total HIV infected infants identified</t>
  </si>
  <si>
    <t xml:space="preserve">HIV infected infants confirmed initiated ART</t>
  </si>
  <si>
    <t xml:space="preserve">euzbW4INAqn</t>
  </si>
  <si>
    <t xml:space="preserve">aFPTXEOa7nu</t>
  </si>
  <si>
    <t xml:space="preserve">J4SQd7SnDi2</t>
  </si>
  <si>
    <t xml:space="preserve">pbXCUjm50XK</t>
  </si>
  <si>
    <t xml:space="preserve">PMTCT_EID.2.Rt.T</t>
  </si>
  <si>
    <t xml:space="preserve">PMTCT_EID.12.Rt.T</t>
  </si>
  <si>
    <t xml:space="preserve">PMTCT_EID.D.T</t>
  </si>
  <si>
    <t xml:space="preserve">PMTCT_EID.N.2.T</t>
  </si>
  <si>
    <t xml:space="preserve">PMTCT_EID.N.12.T</t>
  </si>
  <si>
    <t xml:space="preserve">PMTCT_HEI_POS.2.Yield.R</t>
  </si>
  <si>
    <t xml:space="preserve">PMTCT_HEI_POS.2.Yield.T</t>
  </si>
  <si>
    <t xml:space="preserve">PMTCT_HEI_POS.12.Yield.R</t>
  </si>
  <si>
    <t xml:space="preserve">PMTCT_HEI_POS.12.Yield.T</t>
  </si>
  <si>
    <t xml:space="preserve">PMTCT_HEI_POS.Linkage.T</t>
  </si>
  <si>
    <t xml:space="preserve">TB_STAT &amp; TB_ART</t>
  </si>
  <si>
    <t xml:space="preserve">TB_STAT (D)</t>
  </si>
  <si>
    <t xml:space="preserve">TB_STAT (N)</t>
  </si>
  <si>
    <t xml:space="preserve">TB_ART</t>
  </si>
  <si>
    <t xml:space="preserve">To shut off TB_STAT entirely:
1. Replace all formulas for "TB_STAT (D) (FY22) targets with zeros.</t>
  </si>
  <si>
    <t xml:space="preserve">Estimated Change in Incidence (%)</t>
  </si>
  <si>
    <t xml:space="preserve">TB_STAT (D) (FY22)</t>
  </si>
  <si>
    <t xml:space="preserve">TB_STAT (N): New Positives (FY21 Targets)</t>
  </si>
  <si>
    <t xml:space="preserve">Targeted TB_STAT Coverage (FY22) (%)</t>
  </si>
  <si>
    <t xml:space="preserve">Est. % TB clients already Known HIV Positive (FY20 Results) (%)</t>
  </si>
  <si>
    <t xml:space="preserve">Est. % TB clients already Known HIV Positive (FY22) (%)</t>
  </si>
  <si>
    <t xml:space="preserve">Est. Positivity Rate among Newly Tested (FY20 Results) (%)</t>
  </si>
  <si>
    <t xml:space="preserve">Est. Positivity Rate among Newly Tested (FY22) (%)</t>
  </si>
  <si>
    <t xml:space="preserve">Total TB_STAT (N)</t>
  </si>
  <si>
    <t xml:space="preserve">Total Positives from PMTCT_STAT (FY22) (%)</t>
  </si>
  <si>
    <t xml:space="preserve">Total Positives from Post ANC1 (FY22) (%)</t>
  </si>
  <si>
    <t xml:space="preserve">eeYmLTvWk8k</t>
  </si>
  <si>
    <t xml:space="preserve">tqP00nubcdo</t>
  </si>
  <si>
    <t xml:space="preserve">hJeWl5XjzgM</t>
  </si>
  <si>
    <t xml:space="preserve">OLbVI34nrpu</t>
  </si>
  <si>
    <t xml:space="preserve">VkrrexUefpS</t>
  </si>
  <si>
    <t xml:space="preserve">VVixfmL4Try</t>
  </si>
  <si>
    <t xml:space="preserve">TB_STAT.D.T_1</t>
  </si>
  <si>
    <t xml:space="preserve">TB_STAT.D.Growth.T</t>
  </si>
  <si>
    <t xml:space="preserve">TB_STAT.D.T</t>
  </si>
  <si>
    <t xml:space="preserve">TB_STAT.N.New.Pos.T_1</t>
  </si>
  <si>
    <t xml:space="preserve">TB_STAT.N.Rt.T</t>
  </si>
  <si>
    <t xml:space="preserve">TB_STAT.N.KnownPosRt.R</t>
  </si>
  <si>
    <t xml:space="preserve">TB_STAT.N.KnownPosRt.T</t>
  </si>
  <si>
    <t xml:space="preserve">TB_STAT.N.New.Yield.R</t>
  </si>
  <si>
    <t xml:space="preserve">TB_STAT.N.New.Yield.T</t>
  </si>
  <si>
    <t xml:space="preserve">TB_STAT.N.T</t>
  </si>
  <si>
    <t xml:space="preserve">TB_STAT.N.KnownPos.T</t>
  </si>
  <si>
    <t xml:space="preserve">TB_STAT.N.New.Neg.T</t>
  </si>
  <si>
    <t xml:space="preserve">TB_STAT.Linkage.T</t>
  </si>
  <si>
    <t xml:space="preserve">TB_ART.Already.T</t>
  </si>
  <si>
    <t xml:space="preserve">TB_ART.New.T</t>
  </si>
  <si>
    <t xml:space="preserve">VMMC</t>
  </si>
  <si>
    <t xml:space="preserve">VMMC_CIRC_SUBNAT</t>
  </si>
  <si>
    <t xml:space="preserve">VMMC_CIRC</t>
  </si>
  <si>
    <t xml:space="preserve">To shut off VMMC_CIRC entirely:
1. Replace all formulas for "Total VMMC_CIRC" with zeros.</t>
  </si>
  <si>
    <t xml:space="preserve">Host Country Est. Male Population (FY21)</t>
  </si>
  <si>
    <t xml:space="preserve">Host Country Est. Art Coverage (FY21) (%)</t>
  </si>
  <si>
    <t xml:space="preserve">Host Country VMMC_CIRC_SUBNAT (FY21)</t>
  </si>
  <si>
    <t xml:space="preserve">Host Country VMMC_TOTALCIRC_SUBNAT (FY21)</t>
  </si>
  <si>
    <t xml:space="preserve">Host Country Est. VMMC Coverage (FY21) (%)</t>
  </si>
  <si>
    <t xml:space="preserve">Targeted Host Country VMMC Coverage (FY22) (%)</t>
  </si>
  <si>
    <t xml:space="preserve">Targeted Host Country VMMC_TOTALCIRC_SUBNAT (FY22)</t>
  </si>
  <si>
    <t xml:space="preserve">Targeted Host Country VMMC_CIRC_SUBNAT (FY22)</t>
  </si>
  <si>
    <t xml:space="preserve">PEPFAR VMMC_CIRC (FY20 Results)</t>
  </si>
  <si>
    <t xml:space="preserve">PEPFAR VMMC_CIRC (FY21 Targets)</t>
  </si>
  <si>
    <t xml:space="preserve">PEPFAR Coverage of Host Country VMMC_CIRC_SUBNAT (FY21) (%)</t>
  </si>
  <si>
    <t xml:space="preserve">PEPFAR Coverage of Host Country VMMC_CIRC_SUBNAT (FY22) (%)</t>
  </si>
  <si>
    <t xml:space="preserve">_Military ONLY: Change in VMMC_CIRC FY21-FY22 (%)</t>
  </si>
  <si>
    <t xml:space="preserve">Observed Indeterminate/Not Tested rate (FY20 Results) (%)</t>
  </si>
  <si>
    <t xml:space="preserve">Est. Indeterminate/Not Tested rate (FY22) (%)</t>
  </si>
  <si>
    <t xml:space="preserve">Observed Positivity Rate among Newly Tested (FY20 Results) (%)</t>
  </si>
  <si>
    <t xml:space="preserve">Total VMMC_CIRC</t>
  </si>
  <si>
    <t xml:space="preserve">Indeterminate/Not Tested</t>
  </si>
  <si>
    <t xml:space="preserve">HIV Positive</t>
  </si>
  <si>
    <t xml:space="preserve">HIV Negative</t>
  </si>
  <si>
    <t xml:space="preserve">VMMC_CIRC_POS linked to ART</t>
  </si>
  <si>
    <t xml:space="preserve">Total Positives from VMMC_CIRC (FY22) (%)</t>
  </si>
  <si>
    <t xml:space="preserve">SSun4i7nHlV</t>
  </si>
  <si>
    <t xml:space="preserve">ZayJeEa6pCa</t>
  </si>
  <si>
    <t xml:space="preserve">cRCw63EQEbM</t>
  </si>
  <si>
    <t xml:space="preserve">HSuXwjXxLio</t>
  </si>
  <si>
    <t xml:space="preserve">jCfFnI5DZST</t>
  </si>
  <si>
    <t xml:space="preserve">TiMvlchPiPH</t>
  </si>
  <si>
    <t xml:space="preserve">s3fnRLVtDhG</t>
  </si>
  <si>
    <t xml:space="preserve">xlSW2W3YGtk</t>
  </si>
  <si>
    <t xml:space="preserve">gUdtLH3fV1m</t>
  </si>
  <si>
    <t xml:space="preserve">VMMC_CIRC_SUBNAT.T_1</t>
  </si>
  <si>
    <t xml:space="preserve">VMMC_TOTALCIRC_SUBNAT.T_1</t>
  </si>
  <si>
    <t xml:space="preserve">VMMC_TOTALCIRC_SUBNAT.Rt.T_1</t>
  </si>
  <si>
    <t xml:space="preserve">VMMC_TOTALCIRC_SUBNAT.Rt.T</t>
  </si>
  <si>
    <t xml:space="preserve">VMMC_TOTALCIRC_SUBNAT.T</t>
  </si>
  <si>
    <t xml:space="preserve">VMMC_CIRC_SUBNAT.T</t>
  </si>
  <si>
    <t xml:space="preserve">VMMC_CIRC.R</t>
  </si>
  <si>
    <t xml:space="preserve">VMMC_CIRC.T_1</t>
  </si>
  <si>
    <t xml:space="preserve">VMMC_CIRC.NatlContr.T_1</t>
  </si>
  <si>
    <t xml:space="preserve">VMMC_CIRC.NatlContr.T</t>
  </si>
  <si>
    <t xml:space="preserve">VMMC_CIRC.Change.Military</t>
  </si>
  <si>
    <t xml:space="preserve">VMMC_CIRC.Unk.Rt.R</t>
  </si>
  <si>
    <t xml:space="preserve">VMMC_CIRC.Unk.Rt.T</t>
  </si>
  <si>
    <t xml:space="preserve">VMMC_CIRC.Yield.R</t>
  </si>
  <si>
    <t xml:space="preserve">VMMC_CIRC.Yield.T</t>
  </si>
  <si>
    <t xml:space="preserve">VMMC_CIRC.Linkage.T</t>
  </si>
  <si>
    <t xml:space="preserve">VMMC_CIRC.T</t>
  </si>
  <si>
    <t xml:space="preserve">VMMC_CIRC.Unk.T</t>
  </si>
  <si>
    <t xml:space="preserve">VMMC_CIRC.Neg.T</t>
  </si>
  <si>
    <t xml:space="preserve">TX_NEW.VMMC.T</t>
  </si>
  <si>
    <t xml:space="preserve">HTS</t>
  </si>
  <si>
    <t xml:space="preserve">Testing Summary from Other Tabs</t>
  </si>
  <si>
    <t xml:space="preserve">HTS_INDEX</t>
  </si>
  <si>
    <t xml:space="preserve">HTS_TST - Distribution of Positive Tests</t>
  </si>
  <si>
    <t xml:space="preserve">Inpatient (Facility)</t>
  </si>
  <si>
    <t xml:space="preserve">Pediatric (Facility)</t>
  </si>
  <si>
    <t xml:space="preserve">Malnutrition (Facility)</t>
  </si>
  <si>
    <t xml:space="preserve">STI Clinic (Facility)</t>
  </si>
  <si>
    <t xml:space="preserve">Emergency (Facility)</t>
  </si>
  <si>
    <t xml:space="preserve">Other PITC (Facility)</t>
  </si>
  <si>
    <t xml:space="preserve">VCT (Facility)</t>
  </si>
  <si>
    <t xml:space="preserve">Mobile (Community)</t>
  </si>
  <si>
    <t xml:space="preserve">Other (Community)</t>
  </si>
  <si>
    <t xml:space="preserve">HTS_TST (Total)</t>
  </si>
  <si>
    <t xml:space="preserve">HTS_SELF (N)</t>
  </si>
  <si>
    <t xml:space="preserve">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</si>
  <si>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 xml:space="preserve">Host Country ART Coverage (FY21) (%)</t>
  </si>
  <si>
    <t xml:space="preserve">VMMC_CIRC New Positives (FY22)</t>
  </si>
  <si>
    <t xml:space="preserve">% HTS_INDEX_POS identified in Community Sites (%)</t>
  </si>
  <si>
    <t xml:space="preserve">COMMUNITY - Yield (among Contacts newly tested) (%)</t>
  </si>
  <si>
    <t xml:space="preserve">FACILITY - Yield (among Contacts newly tested) (%)</t>
  </si>
  <si>
    <t xml:space="preserve">COMMUNITY - Contacts Tested, New Positive</t>
  </si>
  <si>
    <t xml:space="preserve">COMMUNITY - Contacts Tested, New Negative</t>
  </si>
  <si>
    <t xml:space="preserve">FACILITY - Contacts Tested, New Positive</t>
  </si>
  <si>
    <t xml:space="preserve">FACILITY - Contacts Tested, New Negative</t>
  </si>
  <si>
    <t xml:space="preserve">Actual % HTS_TST_POS from Index (%)</t>
  </si>
  <si>
    <t xml:space="preserve">HTS_INDEX_COM: New Positive (%)</t>
  </si>
  <si>
    <t xml:space="preserve">HTS_INDEX_FAC: New Positive (%)</t>
  </si>
  <si>
    <t xml:space="preserve">PMTCT_STAT: New Positive (%)</t>
  </si>
  <si>
    <t xml:space="preserve">HTS_TST PMTCT Post ANC1: Positive (%)</t>
  </si>
  <si>
    <t xml:space="preserve">TB_STAT: New Positive (%)</t>
  </si>
  <si>
    <t xml:space="preserve">VMMC_CIRC: HIV Positive (%)</t>
  </si>
  <si>
    <t xml:space="preserve">Facility - Inpatient (%)</t>
  </si>
  <si>
    <t xml:space="preserve">Facility - Pediatric (%)</t>
  </si>
  <si>
    <t xml:space="preserve">Facility - Malnutrition (%)</t>
  </si>
  <si>
    <t xml:space="preserve">Facility - STI Clinic (%)</t>
  </si>
  <si>
    <t xml:space="preserve">Facility - Emergency (%)</t>
  </si>
  <si>
    <t xml:space="preserve">Facility - Other PITC (%)</t>
  </si>
  <si>
    <t xml:space="preserve">Facility - VCT (%)</t>
  </si>
  <si>
    <t xml:space="preserve">Community - Mobile (%)</t>
  </si>
  <si>
    <t xml:space="preserve">Community - Other (%)</t>
  </si>
  <si>
    <t xml:space="preserve">Distribution Check (%)</t>
  </si>
  <si>
    <t xml:space="preserve">Original HTS_TST_POS</t>
  </si>
  <si>
    <t xml:space="preserve">Final HTS_TST_POS</t>
  </si>
  <si>
    <t xml:space="preserve">HTS_TST_POS difference to adjust</t>
  </si>
  <si>
    <t xml:space="preserve">PMTCT_STAT New Negatives (FY22)</t>
  </si>
  <si>
    <t xml:space="preserve">HTS_TST Post ANC1 Negatives (FY22)</t>
  </si>
  <si>
    <t xml:space="preserve">TB_STAT New Negatives (FY22)</t>
  </si>
  <si>
    <t xml:space="preserve">VMMC_CIRC Negatives (FY22)</t>
  </si>
  <si>
    <t xml:space="preserve">Total HTS_TST_NEG</t>
  </si>
  <si>
    <t xml:space="preserve">Total HTS_TST</t>
  </si>
  <si>
    <t xml:space="preserve">Aggregate Yield Rate (%)</t>
  </si>
  <si>
    <t xml:space="preserve">HTS_SELF (FY21 Targets)</t>
  </si>
  <si>
    <t xml:space="preserve">% Change in HTS_SELF (%)</t>
  </si>
  <si>
    <t xml:space="preserve">HTS_SELF (FY22)</t>
  </si>
  <si>
    <t xml:space="preserve">zjWvbsJM43i</t>
  </si>
  <si>
    <t xml:space="preserve">uh9PhdnIkHp</t>
  </si>
  <si>
    <t xml:space="preserve">ydi7w5XUSNn</t>
  </si>
  <si>
    <t xml:space="preserve">N0j5TDUdTHQ</t>
  </si>
  <si>
    <t xml:space="preserve">YQmTFDhOXza</t>
  </si>
  <si>
    <t xml:space="preserve">JDdf06ZTwyz</t>
  </si>
  <si>
    <t xml:space="preserve">Ea3rt2Nb0QG</t>
  </si>
  <si>
    <t xml:space="preserve">gwHmP4hr3DP</t>
  </si>
  <si>
    <t xml:space="preserve">pfijmxjaMhp</t>
  </si>
  <si>
    <t xml:space="preserve">SpiiKPXh98N</t>
  </si>
  <si>
    <t xml:space="preserve">TCNNxKm4KZb</t>
  </si>
  <si>
    <t xml:space="preserve">r9N46a1q942</t>
  </si>
  <si>
    <t xml:space="preserve">Wa2oJtmc0CE</t>
  </si>
  <si>
    <t xml:space="preserve">A2eyuXZUCEk</t>
  </si>
  <si>
    <t xml:space="preserve">aMnJ58kqylT</t>
  </si>
  <si>
    <t xml:space="preserve">Jsv1CQ3JbCy</t>
  </si>
  <si>
    <t xml:space="preserve">n32vXYJ6Wkn</t>
  </si>
  <si>
    <t xml:space="preserve">Jky7p2XOCNk</t>
  </si>
  <si>
    <t xml:space="preserve">W680huEe6Hw</t>
  </si>
  <si>
    <t xml:space="preserve">nmaqnOpWT1h</t>
  </si>
  <si>
    <t xml:space="preserve">CXM6vjMKs8r</t>
  </si>
  <si>
    <t xml:space="preserve">oZ4YhB1Fkgk</t>
  </si>
  <si>
    <t xml:space="preserve">VIhAZvOIQRL</t>
  </si>
  <si>
    <t xml:space="preserve">NcMMbbymtij</t>
  </si>
  <si>
    <t xml:space="preserve">01-04 Only</t>
  </si>
  <si>
    <t xml:space="preserve">HTS_INDEX.Pos.ComShare</t>
  </si>
  <si>
    <t xml:space="preserve">HTS_INDEX_COM.New.Yield</t>
  </si>
  <si>
    <t xml:space="preserve">HTS_INDEX_FAC.New.Yield</t>
  </si>
  <si>
    <t xml:space="preserve">HTS_INDEX_COM.New.Pos.T</t>
  </si>
  <si>
    <t xml:space="preserve">HTS_INDEX_COM.New.Neg.T</t>
  </si>
  <si>
    <t xml:space="preserve">HTS_INDEX_FAC.New.Pos.T</t>
  </si>
  <si>
    <t xml:space="preserve">HTS_INDEX_FAC.New.Neg.T</t>
  </si>
  <si>
    <t xml:space="preserve">HTS_TST.Index.Pos.Share</t>
  </si>
  <si>
    <t xml:space="preserve">HTS_TST.IndexCom.Pos.Share</t>
  </si>
  <si>
    <t xml:space="preserve">HTS_TST.IndexFac.Pos.Share</t>
  </si>
  <si>
    <t xml:space="preserve">HTS_TST.PMTCT.Pos.Share</t>
  </si>
  <si>
    <t xml:space="preserve">HTS_TST.PostANC1.Pos.Share</t>
  </si>
  <si>
    <t xml:space="preserve">HTS_TST.TB.Pos.Share</t>
  </si>
  <si>
    <t xml:space="preserve">HTS_TST.VMMC.Pos.Share</t>
  </si>
  <si>
    <t xml:space="preserve">HTS_TST.Inpat.Pos.Share</t>
  </si>
  <si>
    <t xml:space="preserve">HTS_TST.Peds.Pos.Share</t>
  </si>
  <si>
    <t xml:space="preserve">HTS_TST.Maln.Pos.Share</t>
  </si>
  <si>
    <t xml:space="preserve">HTS_TST.STI.Pos.Share</t>
  </si>
  <si>
    <t xml:space="preserve">HTS_TST.EW.Pos.Share</t>
  </si>
  <si>
    <t xml:space="preserve">HTS_TST.Other.Pos.Share</t>
  </si>
  <si>
    <t xml:space="preserve">HTS_TST.VCT.Pos.Share</t>
  </si>
  <si>
    <t xml:space="preserve">HTS_TST.MobileCom.Pos.Share</t>
  </si>
  <si>
    <t xml:space="preserve">HTS_TST.OtherCom.Pos.Share</t>
  </si>
  <si>
    <t xml:space="preserve">HTS_TST.Pos.DistCheck</t>
  </si>
  <si>
    <t xml:space="preserve">HTS_TST.Inpat.Pos.Yield</t>
  </si>
  <si>
    <t xml:space="preserve">HTS_TST.Inpat.Pos.T</t>
  </si>
  <si>
    <t xml:space="preserve">HTS_TST.Inpat.Neg.T</t>
  </si>
  <si>
    <t xml:space="preserve">HTS_TST.Peds.Yield</t>
  </si>
  <si>
    <t xml:space="preserve">HTS_TST.Peds.Pos.T</t>
  </si>
  <si>
    <t xml:space="preserve">HTS_TST.Peds.Neg.T</t>
  </si>
  <si>
    <t xml:space="preserve">HTS_TST.Maln.Yield</t>
  </si>
  <si>
    <t xml:space="preserve">HTS_TST.Maln.Pos.T</t>
  </si>
  <si>
    <t xml:space="preserve">HTS_TST.Maln.Neg.T</t>
  </si>
  <si>
    <t xml:space="preserve">HTS_TST.STI.Yield</t>
  </si>
  <si>
    <t xml:space="preserve">HTS_TST.STI.Pos.T</t>
  </si>
  <si>
    <t xml:space="preserve">HTS_TST.STI.Neg.T</t>
  </si>
  <si>
    <t xml:space="preserve">HTS_TST.EW.Yield</t>
  </si>
  <si>
    <t xml:space="preserve">HTS_TST.EW.Pos.T</t>
  </si>
  <si>
    <t xml:space="preserve">HTS_TST.EW.Neg.T</t>
  </si>
  <si>
    <t xml:space="preserve">HTS_TST.Other.Yield</t>
  </si>
  <si>
    <t xml:space="preserve">HTS_TST.Other.Pos.T</t>
  </si>
  <si>
    <t xml:space="preserve">HTS_TST.Other.Neg.T</t>
  </si>
  <si>
    <t xml:space="preserve">HTS_TST.VCT.Yield</t>
  </si>
  <si>
    <t xml:space="preserve">HTS_TST.VCT.Pos.T</t>
  </si>
  <si>
    <t xml:space="preserve">HTS_TST.VCT.Neg.T</t>
  </si>
  <si>
    <t xml:space="preserve">HTS_TST.MobileCom.Yield</t>
  </si>
  <si>
    <t xml:space="preserve">HTS_TST.MobileCom.Pos.T</t>
  </si>
  <si>
    <t xml:space="preserve">HTS_TST.MobileCom.Neg.T</t>
  </si>
  <si>
    <t xml:space="preserve">HTS_TST.OtherCom.Yield</t>
  </si>
  <si>
    <t xml:space="preserve">HTS_TST.OtherCom.Pos.T</t>
  </si>
  <si>
    <t xml:space="preserve">HTS_TST.OtherCom.Neg.T</t>
  </si>
  <si>
    <t xml:space="preserve">HTS_TST.Pos.Original</t>
  </si>
  <si>
    <t xml:space="preserve">HTS_TST.Pos.Total</t>
  </si>
  <si>
    <t xml:space="preserve">HTS_TST.Pos.Diff</t>
  </si>
  <si>
    <t xml:space="preserve">HTS_TST.Neg.Total</t>
  </si>
  <si>
    <t xml:space="preserve">HTS_TST.Total</t>
  </si>
  <si>
    <t xml:space="preserve">HTS_TST.Yield</t>
  </si>
  <si>
    <t xml:space="preserve">HTS_SELF.T_1</t>
  </si>
  <si>
    <t xml:space="preserve">HTS_SELF.Growth</t>
  </si>
  <si>
    <t xml:space="preserve">HTS_SELF.T</t>
  </si>
  <si>
    <t xml:space="preserve">CXCA</t>
  </si>
  <si>
    <t xml:space="preserve">CXCA_SCRN</t>
  </si>
  <si>
    <t xml:space="preserve">To shut off CXCA_SCRN entirely, replace all percentages in the green column, "Target CXCA Screening coverage rate (%)" with zeros.</t>
  </si>
  <si>
    <t xml:space="preserve">CXCA_SCRN FY20 Results</t>
  </si>
  <si>
    <t xml:space="preserve">CXCA_SCRN FY21 Targets</t>
  </si>
  <si>
    <t xml:space="preserve">Observed CXCA Screening Coverage Rate (FY20 Results) (%)</t>
  </si>
  <si>
    <t xml:space="preserve">Targeted CXCA Screening coverage rate (%)</t>
  </si>
  <si>
    <t xml:space="preserve">CXCA_SCRN (FY22)</t>
  </si>
  <si>
    <t xml:space="preserve">XboLlTkc4Av</t>
  </si>
  <si>
    <t xml:space="preserve">hfR9r70Fk99</t>
  </si>
  <si>
    <t xml:space="preserve">XWK6yAwhol8</t>
  </si>
  <si>
    <t xml:space="preserve">wQ5XOuU0LVH</t>
  </si>
  <si>
    <t xml:space="preserve">5 yr, 25-49</t>
  </si>
  <si>
    <t xml:space="preserve">CXCA_SCRN.R</t>
  </si>
  <si>
    <t xml:space="preserve">CXCA_SCRN.T_1</t>
  </si>
  <si>
    <t xml:space="preserve">CXCA_SCRN.Rt.R</t>
  </si>
  <si>
    <t xml:space="preserve">CXCA_SCRN.Rt.T</t>
  </si>
  <si>
    <t xml:space="preserve">CXCA_SCRN.T</t>
  </si>
  <si>
    <t xml:space="preserve">HTS_RECENT</t>
  </si>
  <si>
    <t xml:space="preserve">PMTCT (Facility)</t>
  </si>
  <si>
    <t xml:space="preserve">PMTCT Post ANC1 (Facility)</t>
  </si>
  <si>
    <t xml:space="preserve">TB (Facility)</t>
  </si>
  <si>
    <t xml:space="preserve">VMMC (Facility)</t>
  </si>
  <si>
    <t xml:space="preserve">Index (Community)</t>
  </si>
  <si>
    <t xml:space="preserve">Index (Facility)</t>
  </si>
  <si>
    <t xml:space="preserve">HTS_RECENT (Total)</t>
  </si>
  <si>
    <t xml:space="preserve">% of Positives</t>
  </si>
  <si>
    <t xml:space="preserve"># Tested for Recent Infection</t>
  </si>
  <si>
    <t xml:space="preserve">Total Recency Tests</t>
  </si>
  <si>
    <t xml:space="preserve">Aggregate Recency Test Coverage Rate (%)</t>
  </si>
  <si>
    <t xml:space="preserve">J1fW7eRVAvg</t>
  </si>
  <si>
    <t xml:space="preserve">plNFWb5y1xZ</t>
  </si>
  <si>
    <t xml:space="preserve">UXsJUOYhGKw</t>
  </si>
  <si>
    <t xml:space="preserve">XDT2DJvZo7s</t>
  </si>
  <si>
    <t xml:space="preserve">LIAjiT4jTs6</t>
  </si>
  <si>
    <t xml:space="preserve">J1BAupscTaW</t>
  </si>
  <si>
    <t xml:space="preserve">LqBvfeIM16u</t>
  </si>
  <si>
    <t xml:space="preserve">eb2ZBmNFOHl</t>
  </si>
  <si>
    <t xml:space="preserve">isc6NmtIRN6</t>
  </si>
  <si>
    <t xml:space="preserve">VTV9sGJ4UG9</t>
  </si>
  <si>
    <t xml:space="preserve">eobYc4wjsBv</t>
  </si>
  <si>
    <t xml:space="preserve">VczqDKZHGPM</t>
  </si>
  <si>
    <t xml:space="preserve">CsS3NWTqfpu</t>
  </si>
  <si>
    <t xml:space="preserve">ICfpR6tTRav</t>
  </si>
  <si>
    <t xml:space="preserve">OJRxJ6RKD1Y</t>
  </si>
  <si>
    <t xml:space="preserve">kvpanmX8jqF</t>
  </si>
  <si>
    <t xml:space="preserve">PiXbpFs1eHW</t>
  </si>
  <si>
    <t xml:space="preserve">oaZYhkz7cFQ</t>
  </si>
  <si>
    <t xml:space="preserve">odyWaFzVFFt</t>
  </si>
  <si>
    <t xml:space="preserve">JHvmBrMCjy7</t>
  </si>
  <si>
    <t xml:space="preserve">z6GXOWXNpjr</t>
  </si>
  <si>
    <t xml:space="preserve">ZNMNKgHs4KO</t>
  </si>
  <si>
    <t xml:space="preserve">vcs4BFXyhMY</t>
  </si>
  <si>
    <t xml:space="preserve">c7RGWvHw00d</t>
  </si>
  <si>
    <t xml:space="preserve">t7g2D0Wcbh2</t>
  </si>
  <si>
    <t xml:space="preserve">Y7ZamXjNycI</t>
  </si>
  <si>
    <t xml:space="preserve">HTS_RECENT.PMTCT_STAT.Rt</t>
  </si>
  <si>
    <t xml:space="preserve">HTS_RECENT.PMTCT_STAT.T</t>
  </si>
  <si>
    <t xml:space="preserve">HTS_RECENT.PostANC1.Rt</t>
  </si>
  <si>
    <t xml:space="preserve">HTS_RECENT.PostANC1.T</t>
  </si>
  <si>
    <t xml:space="preserve">HTS_RECENT.TB.Rt</t>
  </si>
  <si>
    <t xml:space="preserve">HTS_RECENT.TB.T</t>
  </si>
  <si>
    <t xml:space="preserve">HTS_RECENT.VMMC.Rt</t>
  </si>
  <si>
    <t xml:space="preserve">HTS_RECENT.VMMC.T</t>
  </si>
  <si>
    <t xml:space="preserve">HTS_RECENT.IndexCom.Rt</t>
  </si>
  <si>
    <t xml:space="preserve">HTS_RECENT.IndexCom.T</t>
  </si>
  <si>
    <t xml:space="preserve">HTS_RECENT.IndexFac.Rt</t>
  </si>
  <si>
    <t xml:space="preserve">HTS_RECENT.IndexFac.T</t>
  </si>
  <si>
    <t xml:space="preserve">HTS_RECENT.Inpat.Rt</t>
  </si>
  <si>
    <t xml:space="preserve">HTS_RECENT.Inpat.T</t>
  </si>
  <si>
    <t xml:space="preserve">HTS_RECENT.STI.Rt</t>
  </si>
  <si>
    <t xml:space="preserve">HTS_RECENT.STI.T</t>
  </si>
  <si>
    <t xml:space="preserve">HTS_RECENT.EW.Rt</t>
  </si>
  <si>
    <t xml:space="preserve">HTS_RECENT.EW.T</t>
  </si>
  <si>
    <t xml:space="preserve">HTS_RECENT.Other.Rt</t>
  </si>
  <si>
    <t xml:space="preserve">HTS_RECENT.Other.T</t>
  </si>
  <si>
    <t xml:space="preserve">HTS_RECENT.VCT.Rt</t>
  </si>
  <si>
    <t xml:space="preserve">HTS_RECENT.VCT.T</t>
  </si>
  <si>
    <t xml:space="preserve">HTS_RECENT.MobileCom.Rt</t>
  </si>
  <si>
    <t xml:space="preserve">HTS_RECENT.MobileCom.T</t>
  </si>
  <si>
    <t xml:space="preserve">HTS_RECENT.OtherCom.Rt</t>
  </si>
  <si>
    <t xml:space="preserve">HTS_RECENT.OtherCom.T</t>
  </si>
  <si>
    <t xml:space="preserve">HTS_RECENT.T</t>
  </si>
  <si>
    <t xml:space="preserve">HTS_RECENT.Rt.T</t>
  </si>
  <si>
    <t xml:space="preserve">TX_TB &amp; TB_PREV</t>
  </si>
  <si>
    <t xml:space="preserve">TX_TB (D)</t>
  </si>
  <si>
    <t xml:space="preserve">TB_PREV (D)</t>
  </si>
  <si>
    <t xml:space="preserve">TB_PREV (N)</t>
  </si>
  <si>
    <t xml:space="preserve">Targeted coverage: New on ART (%)</t>
  </si>
  <si>
    <t xml:space="preserve">Targeted coverage: Already on ART (%)</t>
  </si>
  <si>
    <t xml:space="preserve">Est. TB Screen Positivity Rate: New on ART (%)</t>
  </si>
  <si>
    <t xml:space="preserve">Est. TB Screen Positivity Rate: Already on ART (%)</t>
  </si>
  <si>
    <t xml:space="preserve">TX_NEW (FY22)</t>
  </si>
  <si>
    <t xml:space="preserve">TX_CURR (FY21)</t>
  </si>
  <si>
    <t xml:space="preserve">New on ART, TB Screen +</t>
  </si>
  <si>
    <t xml:space="preserve">New on ART, TB Screen -</t>
  </si>
  <si>
    <t xml:space="preserve">Already on ART, TB Screen +</t>
  </si>
  <si>
    <t xml:space="preserve">Already on ART, TB Screen -</t>
  </si>
  <si>
    <t xml:space="preserve">% TX_TB (D) Screen Neg., New on ART initiated on TPT (%)</t>
  </si>
  <si>
    <t xml:space="preserve">% TX_TB (D) Screen Neg., Already on ART initiated on TPT (%)</t>
  </si>
  <si>
    <t xml:space="preserve">New on ART (FY21 Targets)</t>
  </si>
  <si>
    <t xml:space="preserve">Already on ART (FY21 Targets)</t>
  </si>
  <si>
    <t xml:space="preserve">Targeted TPT completion (%)</t>
  </si>
  <si>
    <t xml:space="preserve">Projected Change: New on ART (%)</t>
  </si>
  <si>
    <t xml:space="preserve">Projected Change: Already on ART (%)</t>
  </si>
  <si>
    <t xml:space="preserve">BeEA8PsZ8Ky</t>
  </si>
  <si>
    <t xml:space="preserve">L3qltmjNtSr</t>
  </si>
  <si>
    <t xml:space="preserve">DA7uTAScxxi</t>
  </si>
  <si>
    <t xml:space="preserve">DcQet8tM3my</t>
  </si>
  <si>
    <t xml:space="preserve">HUgQMmRVHMS</t>
  </si>
  <si>
    <t xml:space="preserve">MdqPezsikDr</t>
  </si>
  <si>
    <t xml:space="preserve">udcRwufEXFQ.FNsYVm36CYM.KM4dyooZHUP</t>
  </si>
  <si>
    <t xml:space="preserve">udcRwufEXFQ.xv3iwsb4m3m.KM4dyooZHUP</t>
  </si>
  <si>
    <t xml:space="preserve">rSKP7Z85FX9.FNsYVm36CYM.KM4dyooZHUP</t>
  </si>
  <si>
    <t xml:space="preserve">rSKP7Z85FX9.xv3iwsb4m3m.KM4dyooZHUP</t>
  </si>
  <si>
    <t xml:space="preserve">Coarse Ages</t>
  </si>
  <si>
    <t xml:space="preserve">TX_TB.D.New.Cov.Target</t>
  </si>
  <si>
    <t xml:space="preserve">TX_TB.D.Already.Cov.Target</t>
  </si>
  <si>
    <t xml:space="preserve">TX_TB.D.New.Yield</t>
  </si>
  <si>
    <t xml:space="preserve">TX_TB.D.Already.Yield</t>
  </si>
  <si>
    <t xml:space="preserve">TX_NEW.15s</t>
  </si>
  <si>
    <t xml:space="preserve">TX_CURR.15s</t>
  </si>
  <si>
    <t xml:space="preserve">TX_TB.D.New.Pos.T</t>
  </si>
  <si>
    <t xml:space="preserve">TX_TB.D.New.Neg.T</t>
  </si>
  <si>
    <t xml:space="preserve">TX_TB.D.Already.Pos.T</t>
  </si>
  <si>
    <t xml:space="preserve">TX_TB.D.Already.Neg.T</t>
  </si>
  <si>
    <t xml:space="preserve">TX_TB.D.New.Neg.Linkage</t>
  </si>
  <si>
    <t xml:space="preserve">TX_TB.D.Already.Neg.Linkage</t>
  </si>
  <si>
    <t xml:space="preserve">TB_PREV.D.New.T</t>
  </si>
  <si>
    <t xml:space="preserve">TB_PREV.D.Already.T</t>
  </si>
  <si>
    <t xml:space="preserve">TB_PREV.N.New.T_1</t>
  </si>
  <si>
    <t xml:space="preserve">TB_PREV.N.Already.T_1</t>
  </si>
  <si>
    <t xml:space="preserve">TB_PREV.N.Cov</t>
  </si>
  <si>
    <t xml:space="preserve">TB_PREV.N.New.T</t>
  </si>
  <si>
    <t xml:space="preserve">TB_PREV.N.Already.T</t>
  </si>
  <si>
    <t xml:space="preserve">TB_PREV.N.New.Growth.Target</t>
  </si>
  <si>
    <t xml:space="preserve">TB_PREV.N.Already.Growth.Target</t>
  </si>
  <si>
    <t xml:space="preserve">15+</t>
  </si>
  <si>
    <t xml:space="preserve">PP</t>
  </si>
  <si>
    <t xml:space="preserve">PP_PREV</t>
  </si>
  <si>
    <t xml:space="preserve">Expected change in PP_PREV services (%)</t>
  </si>
  <si>
    <t xml:space="preserve">PP_PREV (FY22)</t>
  </si>
  <si>
    <t xml:space="preserve">LpkXILJwnmO</t>
  </si>
  <si>
    <t xml:space="preserve">HV0zRuYnuv8</t>
  </si>
  <si>
    <t xml:space="preserve">PP_PREV.T_1</t>
  </si>
  <si>
    <t xml:space="preserve">PP_PREV.Growth.T</t>
  </si>
  <si>
    <t xml:space="preserve">PP_PREV.T</t>
  </si>
  <si>
    <t xml:space="preserve">OVC</t>
  </si>
  <si>
    <t xml:space="preserve">OVC_SERV</t>
  </si>
  <si>
    <t xml:space="preserve">OVC_HIVSTAT</t>
  </si>
  <si>
    <t xml:space="preserve">DREAMS SNU?</t>
  </si>
  <si>
    <t xml:space="preserve">FY20 Results</t>
  </si>
  <si>
    <t xml:space="preserve">Projected Net Change in OVC_SERV (%)</t>
  </si>
  <si>
    <t xml:space="preserve">DREAMS % of Total OVC_SERV (%)</t>
  </si>
  <si>
    <t xml:space="preserve">Preventive % of Total OVC_SERV (%)</t>
  </si>
  <si>
    <t xml:space="preserve">Comprehensive % of Total OVC_SERV (%)</t>
  </si>
  <si>
    <t xml:space="preserve">Targeted Graduation Rate among Comprehensive (%)</t>
  </si>
  <si>
    <t xml:space="preserve">Total OVC_SERV</t>
  </si>
  <si>
    <t xml:space="preserve">DREAMS</t>
  </si>
  <si>
    <t xml:space="preserve">Preventive</t>
  </si>
  <si>
    <t xml:space="preserve">Comprehensive - Graduated</t>
  </si>
  <si>
    <t xml:space="preserve">Comprehensive - Active</t>
  </si>
  <si>
    <t xml:space="preserve">% OVC (&lt;18) with reported HIV Status (%)</t>
  </si>
  <si>
    <t xml:space="preserve"># OVC with reported HIV Status</t>
  </si>
  <si>
    <t xml:space="preserve">rxgD4kPnUIg</t>
  </si>
  <si>
    <t xml:space="preserve">HVzzfyVVIs1</t>
  </si>
  <si>
    <t xml:space="preserve">j3NQAv8Fe3v</t>
  </si>
  <si>
    <t xml:space="preserve">NbvZdpPzNf6</t>
  </si>
  <si>
    <t xml:space="preserve">HVzzfyVVIs1.cx8hxarh4Ke</t>
  </si>
  <si>
    <t xml:space="preserve">TqpIEl7LfV7</t>
  </si>
  <si>
    <t xml:space="preserve">MD74x7fNR4j</t>
  </si>
  <si>
    <t xml:space="preserve">Qk8HjZeOBom</t>
  </si>
  <si>
    <t xml:space="preserve">DsIC5hZsqDF</t>
  </si>
  <si>
    <t xml:space="preserve">ZTN9wn0OQt1</t>
  </si>
  <si>
    <t xml:space="preserve">Qk8HjZeOBom.TIuD9nSQAd9</t>
  </si>
  <si>
    <t xml:space="preserve">Tp792ZiaQed</t>
  </si>
  <si>
    <t xml:space="preserve">q1ViBVu6waQ</t>
  </si>
  <si>
    <t xml:space="preserve">PohP5DBPfMs</t>
  </si>
  <si>
    <t xml:space="preserve">&lt;01-18+ (OVC &amp; Caregivers)</t>
  </si>
  <si>
    <t xml:space="preserve">10-17 (OVC)</t>
  </si>
  <si>
    <t xml:space="preserve">5 yr, 05-14</t>
  </si>
  <si>
    <t xml:space="preserve">&lt;01-17 (OVC)</t>
  </si>
  <si>
    <t xml:space="preserve">DREAMS_SNU.Flag</t>
  </si>
  <si>
    <t xml:space="preserve">OVC_SERV.R</t>
  </si>
  <si>
    <t xml:space="preserve">OVC_SERV.T_1</t>
  </si>
  <si>
    <t xml:space="preserve">OVC_SERV.Growth.T</t>
  </si>
  <si>
    <t xml:space="preserve">OVC_SERV.DREAMS.Rt.T</t>
  </si>
  <si>
    <t xml:space="preserve">OVC_SERV.Prev.Rt.T</t>
  </si>
  <si>
    <t xml:space="preserve">OVC_SERV.Comp.Rt.T</t>
  </si>
  <si>
    <t xml:space="preserve">OVC_SERV.Grad.Rt.T</t>
  </si>
  <si>
    <t xml:space="preserve">OVC_SERV.T</t>
  </si>
  <si>
    <t xml:space="preserve">OVC_SERV.DREAMS.T</t>
  </si>
  <si>
    <t xml:space="preserve">OVC_SERV.Prev.T</t>
  </si>
  <si>
    <t xml:space="preserve">OVC_SERV.Grad.T</t>
  </si>
  <si>
    <t xml:space="preserve">OVC_SERV.Active.T</t>
  </si>
  <si>
    <t xml:space="preserve">OVC_HIVSTAT.Rt.T</t>
  </si>
  <si>
    <t xml:space="preserve">OVC_HIVSTAT.T</t>
  </si>
  <si>
    <t xml:space="preserve">15-17</t>
  </si>
  <si>
    <t xml:space="preserve">18-20</t>
  </si>
  <si>
    <t xml:space="preserve">18+</t>
  </si>
  <si>
    <t xml:space="preserve">43</t>
  </si>
  <si>
    <t xml:space="preserve">9</t>
  </si>
  <si>
    <t xml:space="preserve">33</t>
  </si>
  <si>
    <t xml:space="preserve">Y9</t>
  </si>
  <si>
    <t xml:space="preserve">GEND</t>
  </si>
  <si>
    <t xml:space="preserve">GEND_GBV</t>
  </si>
  <si>
    <t xml:space="preserve">Physical/Emotional Violence (FY21 Targets)</t>
  </si>
  <si>
    <t xml:space="preserve">Sexual Violence (FY21 Targets)</t>
  </si>
  <si>
    <t xml:space="preserve">Expected change in GEND_GBV - Physical/Emotional Violence services (%)</t>
  </si>
  <si>
    <t xml:space="preserve">Expected change in GEND_GBV - Sexual Violence services (%)</t>
  </si>
  <si>
    <t xml:space="preserve">Physical/Emotional Violence (FY22)</t>
  </si>
  <si>
    <t xml:space="preserve">Sexual Violence (FY22)</t>
  </si>
  <si>
    <t xml:space="preserve">N4sS65QUOP3</t>
  </si>
  <si>
    <t xml:space="preserve">XUtNKyPozHq</t>
  </si>
  <si>
    <t xml:space="preserve">USe0kg2Bind</t>
  </si>
  <si>
    <t xml:space="preserve">bchuAJAMSZO</t>
  </si>
  <si>
    <t xml:space="preserve">GEND_GBV.PE.T_1</t>
  </si>
  <si>
    <t xml:space="preserve">GEND_GBV.S.T_1</t>
  </si>
  <si>
    <t xml:space="preserve">GEND_GBV.PE.Growth.T</t>
  </si>
  <si>
    <t xml:space="preserve">GEND_GBV.S.Growth.T</t>
  </si>
  <si>
    <t xml:space="preserve">GEND_GBV.PE.T</t>
  </si>
  <si>
    <t xml:space="preserve">GEND_GBV.S.T</t>
  </si>
  <si>
    <t xml:space="preserve">AGYW</t>
  </si>
  <si>
    <t xml:space="preserve">AGYW_PREV</t>
  </si>
  <si>
    <t xml:space="preserve">Host Country Est. Number of Vulnerable AGYW (FY21)</t>
  </si>
  <si>
    <t xml:space="preserve">PrEP_NEW (FY22)</t>
  </si>
  <si>
    <t xml:space="preserve"> PrEP_CURR (FY22)</t>
  </si>
  <si>
    <t xml:space="preserve"> PP_PREV (FY22)</t>
  </si>
  <si>
    <t xml:space="preserve">HTS_TST - Positives (FY22)</t>
  </si>
  <si>
    <t xml:space="preserve">HTS_TST - Negatives (FY22)</t>
  </si>
  <si>
    <t xml:space="preserve">Primary Package Incomplete: Service Started (FY20 Results)</t>
  </si>
  <si>
    <t xml:space="preserve">Primary Package Incomplete: Service Completed (FY20 Results)</t>
  </si>
  <si>
    <t xml:space="preserve">Primary Package Completed (FY20 Results)</t>
  </si>
  <si>
    <t xml:space="preserve">Primary Package and Secondary (FY20 Results)</t>
  </si>
  <si>
    <t xml:space="preserve">Total AGYW_PREV (FY20 Results)</t>
  </si>
  <si>
    <t xml:space="preserve">Observed Percent Completion (FY20 Results) (%)</t>
  </si>
  <si>
    <t xml:space="preserve">Projected Net Change in Total AGYW_PREV from FY20 Results (%)</t>
  </si>
  <si>
    <t xml:space="preserve">Targeted Percent Completion (%)</t>
  </si>
  <si>
    <t xml:space="preserve">Denominator - Started or Completed any DREAMS Service</t>
  </si>
  <si>
    <t xml:space="preserve">Numerator - Completed at least Primary Package</t>
  </si>
  <si>
    <t xml:space="preserve">aZrOAEKtXAo</t>
  </si>
  <si>
    <t xml:space="preserve">RAZ3P5llmi4</t>
  </si>
  <si>
    <t xml:space="preserve">ZW2qWywZuGl</t>
  </si>
  <si>
    <t xml:space="preserve">gGkFUE1ob8y</t>
  </si>
  <si>
    <t xml:space="preserve">HO5wSDKttn3</t>
  </si>
  <si>
    <t xml:space="preserve">tSYnSvSK200</t>
  </si>
  <si>
    <t xml:space="preserve">AjOFwnjVTTm</t>
  </si>
  <si>
    <t xml:space="preserve">YSe4riCTiZv</t>
  </si>
  <si>
    <t xml:space="preserve">5 yr, 10-29</t>
  </si>
  <si>
    <t xml:space="preserve">5 yr, 15-29</t>
  </si>
  <si>
    <t xml:space="preserve">AGYW_SUBNAT.T_1</t>
  </si>
  <si>
    <t xml:space="preserve">PrEP_NEW.T</t>
  </si>
  <si>
    <t xml:space="preserve">PrEP_CURR.T</t>
  </si>
  <si>
    <t xml:space="preserve">AGYW_PREV.Started.R</t>
  </si>
  <si>
    <t xml:space="preserve">AGYW_PREV.Incomplete.R</t>
  </si>
  <si>
    <t xml:space="preserve">AGYW_PREV.Complete.R</t>
  </si>
  <si>
    <t xml:space="preserve">AGYW_PREV.CompletePlus.R</t>
  </si>
  <si>
    <t xml:space="preserve">AGYW_PREV.D.R</t>
  </si>
  <si>
    <t xml:space="preserve">AGYW_PREV.N.Rt.R</t>
  </si>
  <si>
    <t xml:space="preserve">AGYW_PREV.D.Growth.T</t>
  </si>
  <si>
    <t xml:space="preserve">AGYW_PREV.N.Rt.T</t>
  </si>
  <si>
    <t xml:space="preserve">AGYW_PREV.D.T</t>
  </si>
  <si>
    <t xml:space="preserve">AGYW_PREV.N.T</t>
  </si>
  <si>
    <t xml:space="preserve">PrEP</t>
  </si>
  <si>
    <t xml:space="preserve">PrEP_NEW</t>
  </si>
  <si>
    <t xml:space="preserve">PrEP_CURR</t>
  </si>
  <si>
    <t xml:space="preserve">Host Country Est. PLHIV (FY22)</t>
  </si>
  <si>
    <t xml:space="preserve">HTS_TST_NEG
(FY22)</t>
  </si>
  <si>
    <t xml:space="preserve">AGYW_PREV (D) (FY22)</t>
  </si>
  <si>
    <t xml:space="preserve">AGYW_PREV (N) (FY22)</t>
  </si>
  <si>
    <t xml:space="preserve">PrEP_NEW (FY20 Results)</t>
  </si>
  <si>
    <t xml:space="preserve">PrEP_NEW (FY21 Targets)</t>
  </si>
  <si>
    <t xml:space="preserve">Newly on PrEP (FY22)</t>
  </si>
  <si>
    <t xml:space="preserve">PrEP_CURR (FY20 Results)</t>
  </si>
  <si>
    <t xml:space="preserve">PrEP_CURR (FY21 Targets)</t>
  </si>
  <si>
    <t xml:space="preserve">Current on PrEP (FY22)</t>
  </si>
  <si>
    <t xml:space="preserve">KNO4emPfF91</t>
  </si>
  <si>
    <t xml:space="preserve">rXV784LlUQ4</t>
  </si>
  <si>
    <t xml:space="preserve">x5H3nrR8BNW</t>
  </si>
  <si>
    <t xml:space="preserve">irb0EORmNvv</t>
  </si>
  <si>
    <t xml:space="preserve">b6OI9qB0Who</t>
  </si>
  <si>
    <t xml:space="preserve">DjW93zhi4zZ</t>
  </si>
  <si>
    <t xml:space="preserve">UkV4LwXGXlP</t>
  </si>
  <si>
    <t xml:space="preserve">W4BGn0YggH0</t>
  </si>
  <si>
    <t xml:space="preserve">HTS_TST.Neg.T</t>
  </si>
  <si>
    <t xml:space="preserve">PrEP_NEW.R</t>
  </si>
  <si>
    <t xml:space="preserve">PrEP_NEW.T_1</t>
  </si>
  <si>
    <t xml:space="preserve">PrEP_CURR.R</t>
  </si>
  <si>
    <t xml:space="preserve">PrEP_CURR.T_1</t>
  </si>
  <si>
    <t xml:space="preserve">KP</t>
  </si>
  <si>
    <t xml:space="preserve">KP_ESTIMATES</t>
  </si>
  <si>
    <t xml:space="preserve">KP_PREV</t>
  </si>
  <si>
    <t xml:space="preserve">HTS_SELF</t>
  </si>
  <si>
    <t xml:space="preserve">Projected</t>
  </si>
  <si>
    <t xml:space="preserve">Host Country Est. Total Size (FY21)</t>
  </si>
  <si>
    <t xml:space="preserve">Host Country Est. KPLHIV (FY21)</t>
  </si>
  <si>
    <t xml:space="preserve">PrEP_CURR - KeyPop (FY21 Targets)</t>
  </si>
  <si>
    <t xml:space="preserve">PrEP_CURR - KeyPop (FY22)</t>
  </si>
  <si>
    <t xml:space="preserve">PrEP_NEW - KeyPop (FY21 Targets)</t>
  </si>
  <si>
    <t xml:space="preserve">PrEP_NEW - KeyPop (FY22)</t>
  </si>
  <si>
    <t xml:space="preserve">KP_PREV (FY21 Targets)</t>
  </si>
  <si>
    <t xml:space="preserve">KP_PREV (FY22)</t>
  </si>
  <si>
    <t xml:space="preserve">TX_CURR - KeyPop (FY20 Results)</t>
  </si>
  <si>
    <t xml:space="preserve">TX_CURR - KeyPop (FY21 Targets)</t>
  </si>
  <si>
    <t xml:space="preserve">TX_CURR - KeyPop (FY22)</t>
  </si>
  <si>
    <t xml:space="preserve">TX_NET_NEW - KeyPop (FY22)</t>
  </si>
  <si>
    <t xml:space="preserve">TX_NEW - KeyPop (FY21 Targets)</t>
  </si>
  <si>
    <t xml:space="preserve">TX_NEW - KeyPop (FY22)</t>
  </si>
  <si>
    <t xml:space="preserve">% of TX_NEW Eligible for VL Test (FY22) (%)</t>
  </si>
  <si>
    <t xml:space="preserve">Proportion of eligible w/ access to VL testing (FY22) (%)</t>
  </si>
  <si>
    <t xml:space="preserve">TX_PVLS (D) - KeyPop (FY22)</t>
  </si>
  <si>
    <t xml:space="preserve">TX_PVLS (N) - KeyPop (FY22)</t>
  </si>
  <si>
    <t xml:space="preserve">TX_NEW from Previously Diagnosed (FY22) (%)</t>
  </si>
  <si>
    <t xml:space="preserve">KeyPop, Positive (FY21)</t>
  </si>
  <si>
    <t xml:space="preserve">KeyPop, Negative (FY21)</t>
  </si>
  <si>
    <t xml:space="preserve">Yield (FY22) (%)</t>
  </si>
  <si>
    <t xml:space="preserve">KeyPop, Positive (FY22)</t>
  </si>
  <si>
    <t xml:space="preserve">KeyPop, Negative (FY22)</t>
  </si>
  <si>
    <t xml:space="preserve">% of HTS_TST KeyPop Positives (FY22) (%)</t>
  </si>
  <si>
    <t xml:space="preserve">HTS_RECENT - KeyPop (FY22)</t>
  </si>
  <si>
    <t xml:space="preserve">HTS_SELF - KeyPop (FY21 Targets)</t>
  </si>
  <si>
    <t xml:space="preserve">HTS_SELF - KeyPop (FY22)</t>
  </si>
  <si>
    <t xml:space="preserve">LADGHYIE9m1</t>
  </si>
  <si>
    <t xml:space="preserve">P3AT3zcyRhU</t>
  </si>
  <si>
    <t xml:space="preserve">LszHDl1UBp2</t>
  </si>
  <si>
    <t xml:space="preserve">lXqlw8UxoqF</t>
  </si>
  <si>
    <t xml:space="preserve">wDWUutgeEX8</t>
  </si>
  <si>
    <t xml:space="preserve">ScQASwweWXL</t>
  </si>
  <si>
    <t xml:space="preserve">OLbhrUez4dP</t>
  </si>
  <si>
    <t xml:space="preserve">ktZYUSS0Zjo</t>
  </si>
  <si>
    <t xml:space="preserve">P9OjdVVMHMW</t>
  </si>
  <si>
    <t xml:space="preserve">tGtB1nLnQjC</t>
  </si>
  <si>
    <t xml:space="preserve">ef1o9r1kDIH</t>
  </si>
  <si>
    <t xml:space="preserve">y42bZItNsea</t>
  </si>
  <si>
    <t xml:space="preserve">qL1qysWLZoq</t>
  </si>
  <si>
    <t xml:space="preserve">G7eK9Fy8PJO</t>
  </si>
  <si>
    <t xml:space="preserve">gdHE7Kk9Q1k</t>
  </si>
  <si>
    <t xml:space="preserve">VRgwEePUvdD</t>
  </si>
  <si>
    <t xml:space="preserve">rEKqsIDMOgB</t>
  </si>
  <si>
    <t xml:space="preserve">uIqAr4ev05I</t>
  </si>
  <si>
    <t xml:space="preserve">SyQHN3Jpcww</t>
  </si>
  <si>
    <t xml:space="preserve">ZYB5AHSw7Tm</t>
  </si>
  <si>
    <t xml:space="preserve">Qshwh8ZOmYD</t>
  </si>
  <si>
    <t xml:space="preserve">MA4lEpgzAxS</t>
  </si>
  <si>
    <t xml:space="preserve">uZ2UTVh2wkJ</t>
  </si>
  <si>
    <t xml:space="preserve">Hx5jjGAdVsT</t>
  </si>
  <si>
    <t xml:space="preserve">Coarse KPs</t>
  </si>
  <si>
    <t xml:space="preserve">KeyPop</t>
  </si>
  <si>
    <t xml:space="preserve">KP_ESTIMATES.Pos.T</t>
  </si>
  <si>
    <t xml:space="preserve">KP_ESTIMATES.Prev.T</t>
  </si>
  <si>
    <t xml:space="preserve">PrEP_CURR.KP.T_1</t>
  </si>
  <si>
    <t xml:space="preserve">PrEP_CURR.KP.T</t>
  </si>
  <si>
    <t xml:space="preserve">PrEP_NEW.KP.T_1</t>
  </si>
  <si>
    <t xml:space="preserve">PrEP_NEW.KP.T</t>
  </si>
  <si>
    <t xml:space="preserve">KP_PREV.T_1</t>
  </si>
  <si>
    <t xml:space="preserve">KP_PREV.T</t>
  </si>
  <si>
    <t xml:space="preserve">TX_CURR.KP.R</t>
  </si>
  <si>
    <t xml:space="preserve">TX_CURR.KP.T_1</t>
  </si>
  <si>
    <t xml:space="preserve">TX_CURR.KP.T</t>
  </si>
  <si>
    <t xml:space="preserve">TX_NET_NEW.KP.T</t>
  </si>
  <si>
    <t xml:space="preserve">TX_NEW.KP.T_1</t>
  </si>
  <si>
    <t xml:space="preserve">TX_NET_NEW.KP.NewRt.T</t>
  </si>
  <si>
    <t xml:space="preserve">TX_RET.KP.Already.T</t>
  </si>
  <si>
    <t xml:space="preserve">TX_RET.KP.New.T</t>
  </si>
  <si>
    <t xml:space="preserve">TX_NEW.KP.T</t>
  </si>
  <si>
    <t xml:space="preserve">TX_PVLS.D.KP.Eligible</t>
  </si>
  <si>
    <t xml:space="preserve">TX_PVLS.D.KP.Access</t>
  </si>
  <si>
    <t xml:space="preserve">TX_PVLS.D.KP.T</t>
  </si>
  <si>
    <t xml:space="preserve">TX_PVLS.N.KP.Rt</t>
  </si>
  <si>
    <t xml:space="preserve">TX_PVLS.N.KP.T</t>
  </si>
  <si>
    <t xml:space="preserve">TX_NEW.KP.PrevDiag.Share.T</t>
  </si>
  <si>
    <t xml:space="preserve">TX_NEW.KP.PrevDiag.T</t>
  </si>
  <si>
    <t xml:space="preserve">TX_NEW.KP.Other.T</t>
  </si>
  <si>
    <t xml:space="preserve">HTS_TST.KP.Pos.T_1</t>
  </si>
  <si>
    <t xml:space="preserve">HTS_TST.KP.Neg.T_1</t>
  </si>
  <si>
    <t xml:space="preserve">HTS_TST.KP.Linkage.T</t>
  </si>
  <si>
    <t xml:space="preserve">HTS_TST.KP.Pos.Yield.T</t>
  </si>
  <si>
    <t xml:space="preserve">HTS_TST.KP.Pos.T</t>
  </si>
  <si>
    <t xml:space="preserve">HTS_TST.KP.Neg.T</t>
  </si>
  <si>
    <t xml:space="preserve">HTS_RECENT.KP.Cov</t>
  </si>
  <si>
    <t xml:space="preserve">HTS_RECENT.KP.T</t>
  </si>
  <si>
    <t xml:space="preserve">HTS_SELF.KP.T_1</t>
  </si>
  <si>
    <t xml:space="preserve">HTS_SELF.KP.T</t>
  </si>
  <si>
    <t xml:space="preserve">FSW</t>
  </si>
  <si>
    <t xml:space="preserve">MSM</t>
  </si>
  <si>
    <t xml:space="preserve">People in prisons and other enclosed settings</t>
  </si>
  <si>
    <t xml:space="preserve">PWID</t>
  </si>
  <si>
    <t xml:space="preserve">TG</t>
  </si>
  <si>
    <t xml:space="preserve">KP Validation</t>
  </si>
  <si>
    <t xml:space="preserve">HTS_TST - Positives</t>
  </si>
  <si>
    <t xml:space="preserve">HTS_TST - Negatives</t>
  </si>
  <si>
    <t xml:space="preserve">Total Targets</t>
  </si>
  <si>
    <t xml:space="preserve">KP Targets Validation</t>
  </si>
  <si>
    <t xml:space="preserve">Female, 15+ (FY22)</t>
  </si>
  <si>
    <t xml:space="preserve">AGYW, 15+ (FY22)</t>
  </si>
  <si>
    <t xml:space="preserve">Male, 15+ (FY22)</t>
  </si>
  <si>
    <t xml:space="preserve">PrEP_CURR.Female.T</t>
  </si>
  <si>
    <t xml:space="preserve">PrEP_CURR.AGYW.T</t>
  </si>
  <si>
    <t xml:space="preserve">PrEP_CURR.Male.T</t>
  </si>
  <si>
    <t xml:space="preserve">PrEP_CURR.KP.FSW.T</t>
  </si>
  <si>
    <t xml:space="preserve">PrEP_CURR.KP.MSM.T</t>
  </si>
  <si>
    <t xml:space="preserve">PrEP_CURR.KP.Enclosed.T</t>
  </si>
  <si>
    <t xml:space="preserve">PrEP_CURR.KP.PWID.T</t>
  </si>
  <si>
    <t xml:space="preserve">PrEP_CURR.KP.TG.T</t>
  </si>
  <si>
    <t xml:space="preserve">PrEP_NEW.Female.T</t>
  </si>
  <si>
    <t xml:space="preserve">PrEP_NEW.AGYW.T</t>
  </si>
  <si>
    <t xml:space="preserve">PrEP_NEW.Male.T</t>
  </si>
  <si>
    <t xml:space="preserve">PrEP_NEW.KP.FSW.T</t>
  </si>
  <si>
    <t xml:space="preserve">PrEP_NEW.KP.MSM.T</t>
  </si>
  <si>
    <t xml:space="preserve">PrEP_NEW.KP.Enclosed.T</t>
  </si>
  <si>
    <t xml:space="preserve">PrEP_NEW.KP.PWID.T</t>
  </si>
  <si>
    <t xml:space="preserve">PrEP_NEW.KP.TG.T</t>
  </si>
  <si>
    <t xml:space="preserve">TX_CURR.Female.T</t>
  </si>
  <si>
    <t xml:space="preserve">TX_CURR.Male.T</t>
  </si>
  <si>
    <t xml:space="preserve">TX_CURR.KP.FSW.T</t>
  </si>
  <si>
    <t xml:space="preserve">TX_CURR.KP.MSM.T</t>
  </si>
  <si>
    <t xml:space="preserve">TX_CURR.KP.Enclosed.T</t>
  </si>
  <si>
    <t xml:space="preserve">TX_CURR.KP.PWID.T</t>
  </si>
  <si>
    <t xml:space="preserve">TX_CURR.KP.TG.T</t>
  </si>
  <si>
    <t xml:space="preserve">TX_NEW.Female.T</t>
  </si>
  <si>
    <t xml:space="preserve">TX_NEW.Male.T</t>
  </si>
  <si>
    <t xml:space="preserve">TX_NEW.KP.FSW.T</t>
  </si>
  <si>
    <t xml:space="preserve">TX_NEW.KP.MSM.T</t>
  </si>
  <si>
    <t xml:space="preserve">TX_NEW.KP.Enclosed.T</t>
  </si>
  <si>
    <t xml:space="preserve">TX_NEW.KP.PWID.T</t>
  </si>
  <si>
    <t xml:space="preserve">TX_NEW.KP.TG.T</t>
  </si>
  <si>
    <t xml:space="preserve">TX_PVLS.D.Female.T</t>
  </si>
  <si>
    <t xml:space="preserve">TX_PVLS.D.Male.T</t>
  </si>
  <si>
    <t xml:space="preserve">TX_PVLS.D.KP.FSW.T</t>
  </si>
  <si>
    <t xml:space="preserve">TX_PVLS.D.KP.MSM.T</t>
  </si>
  <si>
    <t xml:space="preserve">TX_PVLS.D.KP.Enclosed.T</t>
  </si>
  <si>
    <t xml:space="preserve">TX_PVLS.D.KP.PWID.T</t>
  </si>
  <si>
    <t xml:space="preserve">TX_PVLS.D.KP.TG.T</t>
  </si>
  <si>
    <t xml:space="preserve">TX_PVLS.N.Female.T</t>
  </si>
  <si>
    <t xml:space="preserve">TX_PVLS.Male.T</t>
  </si>
  <si>
    <t xml:space="preserve">TX_PVLS.N.KP.FSW.T</t>
  </si>
  <si>
    <t xml:space="preserve">TX_PVLS.N.KP.MSM.T</t>
  </si>
  <si>
    <t xml:space="preserve">TX_PVLS.N.KP.Enclosed.T</t>
  </si>
  <si>
    <t xml:space="preserve">TX_PVLS.N.KP.PWID.T</t>
  </si>
  <si>
    <t xml:space="preserve">TX_PVLS.N.KP.TG.T</t>
  </si>
  <si>
    <t xml:space="preserve">HTS_TST.Pos.Female.T</t>
  </si>
  <si>
    <t xml:space="preserve">HTS_TST.Pos.Male.T</t>
  </si>
  <si>
    <t xml:space="preserve">HTS_TST.Pos.KP.FSW.T</t>
  </si>
  <si>
    <t xml:space="preserve">HTS_TST.Pos.KP.MSM.T</t>
  </si>
  <si>
    <t xml:space="preserve">HTS_TST.Pos.KP.Enclosed.T</t>
  </si>
  <si>
    <t xml:space="preserve">HTS_TST.Pos.KP.PWID.T</t>
  </si>
  <si>
    <t xml:space="preserve">HTS_TST.Pos.KP.TG.T</t>
  </si>
  <si>
    <t xml:space="preserve">HTS_TST.Neg.Female.T</t>
  </si>
  <si>
    <t xml:space="preserve">HTS_TST.Neg.Male.T</t>
  </si>
  <si>
    <t xml:space="preserve">HTS_TST.Neg.KP.FSW.T</t>
  </si>
  <si>
    <t xml:space="preserve">HTS_TST.Neg.KP.MSM.T</t>
  </si>
  <si>
    <t xml:space="preserve">HTS_TST.Neg.KP.Enclosed.T</t>
  </si>
  <si>
    <t xml:space="preserve">HTS_TST.Neg.KP.PWID.T</t>
  </si>
  <si>
    <t xml:space="preserve">HTS_TST.Neg.KP.TG.T</t>
  </si>
  <si>
    <t xml:space="preserve">HTS_RECENT.Female.T</t>
  </si>
  <si>
    <t xml:space="preserve">HTS_RECENT.Male.T</t>
  </si>
  <si>
    <t xml:space="preserve">HTS_RECENT.KP.FSW.T</t>
  </si>
  <si>
    <t xml:space="preserve">HTS_RECENT.KP.MSM.T</t>
  </si>
  <si>
    <t xml:space="preserve">HTS_RECENT.KP.Enclosed.T</t>
  </si>
  <si>
    <t xml:space="preserve">HTS_RECENT.KP.PWID.T</t>
  </si>
  <si>
    <t xml:space="preserve">HTS_RECENT.KP.TG.T</t>
  </si>
  <si>
    <t xml:space="preserve">HTS_SELF.Female.T</t>
  </si>
  <si>
    <t xml:space="preserve">HTS_SELF.Male.T</t>
  </si>
  <si>
    <t xml:space="preserve">HTS_SELF.KP.FSW.T</t>
  </si>
  <si>
    <t xml:space="preserve">HTS_SELF.KP.MSM.T</t>
  </si>
  <si>
    <t xml:space="preserve">HTS_SELF.KP.Enclosed.T</t>
  </si>
  <si>
    <t xml:space="preserve">HTS_SELF.KP.PWID.T</t>
  </si>
  <si>
    <t xml:space="preserve">HTS_SELF.KP.TG.T</t>
  </si>
  <si>
    <t xml:space="preserve">KP_MAT</t>
  </si>
  <si>
    <t xml:space="preserve">Host Country Est. KP_MAT_SUBNAT (FY21)</t>
  </si>
  <si>
    <t xml:space="preserve">PEPFAR KP_MAT (FY21 Targets)</t>
  </si>
  <si>
    <t xml:space="preserve">Observed PEPFAR Coverage of KP_MAT_SUBNAT (FY21 Targets) (%)</t>
  </si>
  <si>
    <t xml:space="preserve">Targeted PEPFAR Coverage of KP_MAT_SUBNAT (FY22) (%)</t>
  </si>
  <si>
    <t xml:space="preserve">Targeted Change in KP_MAT (FY22) (%)</t>
  </si>
  <si>
    <t xml:space="preserve">KP_MAT (FY22)</t>
  </si>
  <si>
    <t xml:space="preserve">Host Country KP_MAT_SUBNAT (FY22)</t>
  </si>
  <si>
    <t xml:space="preserve">ctGo7s0K63z</t>
  </si>
  <si>
    <t xml:space="preserve">gG0fbMLqEB5</t>
  </si>
  <si>
    <t xml:space="preserve">KJZrqS4XcJ2</t>
  </si>
  <si>
    <t xml:space="preserve">KP_MAT_SUBNAT.T_1</t>
  </si>
  <si>
    <t xml:space="preserve">KP_MAT.T_1</t>
  </si>
  <si>
    <t xml:space="preserve">KP_MAT.NatlContr.T_1</t>
  </si>
  <si>
    <t xml:space="preserve">KP_MAT.NatlContr.T</t>
  </si>
  <si>
    <t xml:space="preserve">KP_MAT.Growth.T</t>
  </si>
  <si>
    <t xml:space="preserve">KP_MAT.T</t>
  </si>
  <si>
    <t xml:space="preserve">KP_MAT_SUBNAT.T</t>
  </si>
  <si>
    <t xml:space="preserve">SNU x IM</t>
  </si>
  <si>
    <t xml:space="preserve">Percentage Allocation (Do not delete IMs. Unhide buffer and type into column to right, using format "#####_DSD")</t>
  </si>
  <si>
    <t xml:space="preserve">Deduplication</t>
  </si>
  <si>
    <t xml:space="preserve">Target Values (Do not edit or alter. To adjust, edit corresponding percentages to left.)</t>
  </si>
  <si>
    <t xml:space="preserve">SNU x IM Target Allocation Percentages</t>
  </si>
  <si>
    <t xml:space="preserve">Deduplicated Total</t>
  </si>
  <si>
    <t xml:space="preserve">Deduplicated DSD</t>
  </si>
  <si>
    <t xml:space="preserve">Deduplicated TA</t>
  </si>
  <si>
    <t xml:space="preserve">Mechanism-Level Targets</t>
  </si>
  <si>
    <t xml:space="preserve">Confirm or reallocate DataPackTarget values among Mechanisms in row 14.
Make sure targets have been 100% distributed by confirming Rollup and DataPackTarget columns are equal.</t>
  </si>
  <si>
    <t xml:space="preserve">Enter "SUM", "MAX", or "CUSTOM" below. (Blank assumes "SUM".)</t>
  </si>
  <si>
    <t xml:space="preserve">If "CUSTOM", enter negative Dedupe allocation (%) below, to add to positive IM allocations (%).</t>
  </si>
  <si>
    <t xml:space="preserve">allocation</t>
  </si>
  <si>
    <t xml:space="preserve">DataPackTarget</t>
  </si>
  <si>
    <t xml:space="preserve">Rollup</t>
  </si>
  <si>
    <t xml:space="preserve">12345_DSD</t>
  </si>
  <si>
    <t xml:space="preserve">SUM - Crosswalk Total</t>
  </si>
  <si>
    <t xml:space="preserve">MAX - Crosswalk Total</t>
  </si>
  <si>
    <t xml:space="preserve">Crosswalk Dedupe Resolution (FY22)</t>
  </si>
  <si>
    <t xml:space="preserve">Custom Crosswalk Dedupe Allocation (FY22) (% of DataPackTarget)</t>
  </si>
  <si>
    <t xml:space="preserve">Total Deduplicated Rollup (FY22)</t>
  </si>
  <si>
    <t xml:space="preserve">SUM - DSD</t>
  </si>
  <si>
    <t xml:space="preserve">MAX - DSD</t>
  </si>
  <si>
    <t xml:space="preserve">DSD Count</t>
  </si>
  <si>
    <t xml:space="preserve">DSD Dedupe Resolution (FY22)</t>
  </si>
  <si>
    <t xml:space="preserve">Custom DSD Dedupe Allocation (FY22) (% of DataPackTarget)</t>
  </si>
  <si>
    <t xml:space="preserve">Deduplicated DSD Rollup (FY22)</t>
  </si>
  <si>
    <t xml:space="preserve">SUM - TA</t>
  </si>
  <si>
    <t xml:space="preserve">MAX - TA</t>
  </si>
  <si>
    <t xml:space="preserve">TA Count</t>
  </si>
  <si>
    <t xml:space="preserve">TA Dedupe Resolution (FY22)</t>
  </si>
  <si>
    <t xml:space="preserve">Custom TA Dedupe Allocation (FY22) (% of DataPackTarget)</t>
  </si>
  <si>
    <t xml:space="preserve">Deduplicated TA Rollup (FY22)</t>
  </si>
</sst>
</file>

<file path=xl/styles.xml><?xml version="1.0" encoding="utf-8"?>
<styleSheet xmlns="http://schemas.openxmlformats.org/spreadsheetml/2006/main">
  <numFmts count="7">
    <numFmt numFmtId="164" formatCode="General"/>
    <numFmt numFmtId="165" formatCode="DDDD&quot;, &quot;MMM\ DD&quot;, &quot;YYYY"/>
    <numFmt numFmtId="166" formatCode="0%"/>
    <numFmt numFmtId="167" formatCode="#,##0"/>
    <numFmt numFmtId="168" formatCode="@"/>
    <numFmt numFmtId="169" formatCode="0.00%"/>
    <numFmt numFmtId="170" formatCode="_(* #,##0_);_(* \(#,##0\);_(* \-??_);_(@_)"/>
  </numFmts>
  <fonts count="37">
    <font>
      <sz val="12"/>
      <color rgb="FF000000"/>
      <name val="Calibri"/>
      <family val="2"/>
      <charset val="1"/>
    </font>
    <font>
      <sz val="10"/>
      <name val="Arial"/>
      <family val="0"/>
    </font>
    <font>
      <sz val="10"/>
      <name val="Arial"/>
      <family val="0"/>
    </font>
    <font>
      <sz val="10"/>
      <name val="Arial"/>
      <family val="0"/>
    </font>
    <font>
      <sz val="36"/>
      <color rgb="FF7F7F7F"/>
      <name val="Calibri"/>
      <family val="0"/>
      <charset val="1"/>
    </font>
    <font>
      <b val="true"/>
      <sz val="76"/>
      <color rgb="FF000000"/>
      <name val="Calibri"/>
      <family val="0"/>
      <charset val="1"/>
    </font>
    <font>
      <b val="true"/>
      <sz val="64"/>
      <color rgb="FF9CBEBD"/>
      <name val="Calibri"/>
      <family val="0"/>
      <charset val="1"/>
    </font>
    <font>
      <b val="true"/>
      <sz val="26"/>
      <color rgb="FFFFFFFF"/>
      <name val="Calibri"/>
      <family val="2"/>
      <charset val="1"/>
    </font>
    <font>
      <sz val="12"/>
      <color rgb="FF000000"/>
      <name val="Calibri"/>
      <family val="0"/>
      <charset val="1"/>
    </font>
    <font>
      <b val="true"/>
      <sz val="36"/>
      <color rgb="FF000000"/>
      <name val="Calibri"/>
      <family val="2"/>
      <charset val="1"/>
    </font>
    <font>
      <sz val="16"/>
      <color rgb="FFFFFFFF"/>
      <name val="Calibri"/>
      <family val="2"/>
      <charset val="1"/>
    </font>
    <font>
      <sz val="12"/>
      <color rgb="FFFFFFFF"/>
      <name val="Calibri"/>
      <family val="2"/>
      <charset val="1"/>
    </font>
    <font>
      <b val="true"/>
      <sz val="12"/>
      <color rgb="FF000000"/>
      <name val="Calibri"/>
      <family val="2"/>
      <charset val="1"/>
    </font>
    <font>
      <b val="true"/>
      <sz val="36"/>
      <color rgb="FF0563C1"/>
      <name val="Calibri"/>
      <family val="2"/>
      <charset val="1"/>
    </font>
    <font>
      <sz val="11"/>
      <color rgb="FFFFFFFF"/>
      <name val="Calibri"/>
      <family val="2"/>
      <charset val="1"/>
    </font>
    <font>
      <i val="true"/>
      <sz val="12"/>
      <color rgb="FF000000"/>
      <name val="Calibri"/>
      <family val="2"/>
      <charset val="1"/>
    </font>
    <font>
      <b val="true"/>
      <sz val="14"/>
      <color rgb="FF595959"/>
      <name val="Calibri"/>
      <family val="2"/>
    </font>
    <font>
      <sz val="9"/>
      <color rgb="FF595959"/>
      <name val="Calibri"/>
      <family val="2"/>
    </font>
    <font>
      <b val="true"/>
      <u val="single"/>
      <sz val="12"/>
      <color rgb="FF000000"/>
      <name val="Calibri"/>
      <family val="2"/>
      <charset val="1"/>
    </font>
    <font>
      <b val="true"/>
      <sz val="18"/>
      <color rgb="FF000000"/>
      <name val="Calibri"/>
      <family val="2"/>
      <charset val="1"/>
    </font>
    <font>
      <sz val="18"/>
      <color rgb="FF000000"/>
      <name val="Calibri"/>
      <family val="2"/>
      <charset val="1"/>
    </font>
    <font>
      <i val="true"/>
      <sz val="14"/>
      <color rgb="FF000000"/>
      <name val="Calibri"/>
      <family val="2"/>
      <charset val="1"/>
    </font>
    <font>
      <b val="true"/>
      <i val="true"/>
      <sz val="14"/>
      <color rgb="FF000000"/>
      <name val="Calibri"/>
      <family val="2"/>
      <charset val="1"/>
    </font>
    <font>
      <b val="true"/>
      <sz val="12"/>
      <color rgb="FFC2D8D8"/>
      <name val="Calibri"/>
      <family val="2"/>
      <charset val="1"/>
    </font>
    <font>
      <sz val="12"/>
      <color rgb="FFC2D8D8"/>
      <name val="Calibri"/>
      <family val="2"/>
      <charset val="1"/>
    </font>
    <font>
      <b val="true"/>
      <sz val="12"/>
      <color rgb="FF000000"/>
      <name val="Calibri"/>
      <family val="0"/>
      <charset val="1"/>
    </font>
    <font>
      <b val="true"/>
      <sz val="12"/>
      <color rgb="FF0563C1"/>
      <name val="Calibri"/>
      <family val="2"/>
      <charset val="1"/>
    </font>
    <font>
      <b val="true"/>
      <sz val="10"/>
      <color rgb="FF000000"/>
      <name val="Tahoma"/>
      <family val="2"/>
      <charset val="1"/>
    </font>
    <font>
      <sz val="10"/>
      <color rgb="FF000000"/>
      <name val="Tahoma"/>
      <family val="2"/>
      <charset val="1"/>
    </font>
    <font>
      <sz val="12"/>
      <color rgb="FF0563C1"/>
      <name val="Calibri"/>
      <family val="2"/>
      <charset val="1"/>
    </font>
    <font>
      <sz val="11"/>
      <color rgb="FF000000"/>
      <name val="Calibri"/>
      <family val="2"/>
      <charset val="1"/>
    </font>
    <font>
      <b val="true"/>
      <sz val="10"/>
      <color rgb="FF000000"/>
      <name val="Tahoma"/>
      <family val="0"/>
      <charset val="1"/>
    </font>
    <font>
      <sz val="10"/>
      <color rgb="FF000000"/>
      <name val="Tahoma"/>
      <family val="0"/>
      <charset val="1"/>
    </font>
    <font>
      <sz val="8"/>
      <color rgb="FF000000"/>
      <name val="Tahoma"/>
      <family val="2"/>
      <charset val="1"/>
    </font>
    <font>
      <b val="true"/>
      <sz val="14"/>
      <color rgb="FF000000"/>
      <name val="Calibri"/>
      <family val="2"/>
      <charset val="1"/>
    </font>
    <font>
      <b val="true"/>
      <sz val="11"/>
      <color rgb="FF000000"/>
      <name val="Calibri"/>
      <family val="2"/>
      <charset val="1"/>
    </font>
    <font>
      <b val="true"/>
      <i val="true"/>
      <sz val="11"/>
      <color rgb="FF000000"/>
      <name val="Calibri"/>
      <family val="2"/>
      <charset val="1"/>
    </font>
  </fonts>
  <fills count="12">
    <fill>
      <patternFill patternType="none"/>
    </fill>
    <fill>
      <patternFill patternType="gray125"/>
    </fill>
    <fill>
      <patternFill patternType="solid">
        <fgColor rgb="FF404040"/>
        <bgColor rgb="FF333300"/>
      </patternFill>
    </fill>
    <fill>
      <patternFill patternType="solid">
        <fgColor rgb="FF9CBEBD"/>
        <bgColor rgb="FFBFBFBF"/>
      </patternFill>
    </fill>
    <fill>
      <patternFill patternType="solid">
        <fgColor rgb="FFFFEB84"/>
        <bgColor rgb="FFFFE699"/>
      </patternFill>
    </fill>
    <fill>
      <patternFill patternType="solid">
        <fgColor rgb="FFE4E0A7"/>
        <bgColor rgb="FFFFE699"/>
      </patternFill>
    </fill>
    <fill>
      <patternFill patternType="solid">
        <fgColor rgb="FFBFBFBF"/>
        <bgColor rgb="FF9CBEBD"/>
      </patternFill>
    </fill>
    <fill>
      <patternFill patternType="solid">
        <fgColor rgb="FFC2D8D8"/>
        <bgColor rgb="FFD9D9D9"/>
      </patternFill>
    </fill>
    <fill>
      <patternFill patternType="solid">
        <fgColor rgb="FFFFF2CC"/>
        <bgColor rgb="FFFFEB9C"/>
      </patternFill>
    </fill>
    <fill>
      <patternFill patternType="solid">
        <fgColor rgb="FFFFFF00"/>
        <bgColor rgb="FFFFEB84"/>
      </patternFill>
    </fill>
    <fill>
      <patternFill patternType="solid">
        <fgColor rgb="FFFF0000"/>
        <bgColor rgb="FFC00000"/>
      </patternFill>
    </fill>
    <fill>
      <patternFill patternType="solid">
        <fgColor rgb="FFFFE699"/>
        <bgColor rgb="FFFFEB9C"/>
      </patternFill>
    </fill>
  </fills>
  <borders count="27">
    <border diagonalUp="false" diagonalDown="false">
      <left/>
      <right/>
      <top/>
      <bottom/>
      <diagonal/>
    </border>
    <border diagonalUp="false" diagonalDown="false">
      <left style="thin">
        <color rgb="FFD9D9D9"/>
      </left>
      <right/>
      <top style="thin">
        <color rgb="FFD9D9D9"/>
      </top>
      <bottom/>
      <diagonal/>
    </border>
    <border diagonalUp="false" diagonalDown="false">
      <left/>
      <right/>
      <top style="thin">
        <color rgb="FFD9D9D9"/>
      </top>
      <bottom/>
      <diagonal/>
    </border>
    <border diagonalUp="false" diagonalDown="false">
      <left/>
      <right style="thin">
        <color rgb="FFD9D9D9"/>
      </right>
      <top style="thin">
        <color rgb="FFD9D9D9"/>
      </top>
      <bottom/>
      <diagonal/>
    </border>
    <border diagonalUp="false" diagonalDown="false">
      <left style="thin">
        <color rgb="FFD9D9D9"/>
      </left>
      <right style="thin">
        <color rgb="FFD9D9D9"/>
      </right>
      <top/>
      <bottom/>
      <diagonal/>
    </border>
    <border diagonalUp="false" diagonalDown="false">
      <left style="thin">
        <color rgb="FFD9D9D9"/>
      </left>
      <right/>
      <top/>
      <bottom style="thin">
        <color rgb="FFD9D9D9"/>
      </bottom>
      <diagonal/>
    </border>
    <border diagonalUp="false" diagonalDown="false">
      <left/>
      <right/>
      <top/>
      <bottom style="thin">
        <color rgb="FFD9D9D9"/>
      </bottom>
      <diagonal/>
    </border>
    <border diagonalUp="false" diagonalDown="false">
      <left/>
      <right style="thin">
        <color rgb="FFD9D9D9"/>
      </right>
      <top/>
      <bottom style="thin">
        <color rgb="FFD9D9D9"/>
      </bottom>
      <diagonal/>
    </border>
    <border diagonalUp="false" diagonalDown="false">
      <left style="thin">
        <color rgb="FFD9D9D9"/>
      </left>
      <right/>
      <top/>
      <bottom/>
      <diagonal/>
    </border>
    <border diagonalUp="false" diagonalDown="false">
      <left/>
      <right style="thin">
        <color rgb="FFD9D9D9"/>
      </right>
      <top/>
      <bottom/>
      <diagonal/>
    </border>
    <border diagonalUp="false" diagonalDown="false">
      <left/>
      <right style="thin"/>
      <top/>
      <bottom style="thin"/>
      <diagonal/>
    </border>
    <border diagonalUp="false" diagonalDown="false">
      <left style="thin"/>
      <right/>
      <top/>
      <bottom style="thin"/>
      <diagonal/>
    </border>
    <border diagonalUp="false" diagonalDown="false">
      <left style="thin">
        <color rgb="FFD9D9D9"/>
      </left>
      <right style="thin"/>
      <top/>
      <bottom style="thin"/>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thin">
        <color rgb="FFD9D9D9"/>
      </left>
      <right style="thin"/>
      <top style="thin"/>
      <bottom style="thin"/>
      <diagonal/>
    </border>
    <border diagonalUp="false" diagonalDown="false">
      <left style="thin">
        <color rgb="FFD9D9D9"/>
      </left>
      <right style="thin"/>
      <top style="thin"/>
      <bottom/>
      <diagonal/>
    </border>
    <border diagonalUp="false" diagonalDown="false">
      <left style="thin"/>
      <right style="thin"/>
      <top style="thin"/>
      <bottom/>
      <diagonal/>
    </border>
    <border diagonalUp="false" diagonalDown="false">
      <left style="thin"/>
      <right/>
      <top style="thin"/>
      <bottom/>
      <diagonal/>
    </border>
    <border diagonalUp="false" diagonalDown="false">
      <left style="medium"/>
      <right style="medium"/>
      <top style="medium"/>
      <bottom style="medium"/>
      <diagonal/>
    </border>
    <border diagonalUp="false" diagonalDown="false">
      <left style="thick">
        <color rgb="FFE7E6E6"/>
      </left>
      <right/>
      <top/>
      <bottom/>
      <diagonal/>
    </border>
    <border diagonalUp="false" diagonalDown="false">
      <left/>
      <right style="medium">
        <color rgb="FFE7E6E6"/>
      </right>
      <top/>
      <bottom/>
      <diagonal/>
    </border>
    <border diagonalUp="false" diagonalDown="false">
      <left style="medium">
        <color rgb="FFE7E6E6"/>
      </left>
      <right/>
      <top/>
      <bottom/>
      <diagonal/>
    </border>
    <border diagonalUp="false" diagonalDown="false">
      <left/>
      <right style="thick">
        <color rgb="FFE7E6E6"/>
      </right>
      <top/>
      <bottom/>
      <diagonal/>
    </border>
    <border diagonalUp="false" diagonalDown="false">
      <left style="medium"/>
      <right/>
      <top style="medium"/>
      <bottom style="medium"/>
      <diagonal/>
    </border>
    <border diagonalUp="false" diagonalDown="false">
      <left/>
      <right style="medium"/>
      <top style="medium"/>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5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4" fontId="7" fillId="2" borderId="0"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true" applyProtection="false">
      <alignment horizontal="right" vertical="center" textRotation="0" wrapText="false" indent="0" shrinkToFit="false"/>
      <protection locked="true" hidden="false"/>
    </xf>
    <xf numFmtId="164" fontId="10" fillId="2" borderId="0" xfId="0" applyFont="true" applyBorder="true" applyAlignment="true" applyProtection="false">
      <alignment horizontal="center" vertical="bottom" textRotation="0" wrapText="false" indent="0" shrinkToFit="false"/>
      <protection locked="true" hidden="false"/>
    </xf>
    <xf numFmtId="164" fontId="11" fillId="2" borderId="0" xfId="0" applyFont="true" applyBorder="false" applyAlignment="true" applyProtection="false">
      <alignment horizontal="center" vertical="bottom" textRotation="0" wrapText="false" indent="0" shrinkToFit="false"/>
      <protection locked="true" hidden="false"/>
    </xf>
    <xf numFmtId="164" fontId="11" fillId="2" borderId="0" xfId="0" applyFont="true" applyBorder="false" applyAlignment="false" applyProtection="false">
      <alignment horizontal="general" vertical="bottom" textRotation="0" wrapText="false" indent="0" shrinkToFit="false"/>
      <protection locked="true" hidden="false"/>
    </xf>
    <xf numFmtId="164" fontId="11" fillId="2" borderId="0" xfId="0" applyFont="true" applyBorder="false" applyAlignment="true" applyProtection="false">
      <alignment horizontal="center" vertical="center" textRotation="0" wrapText="false" indent="0" shrinkToFit="false"/>
      <protection locked="true" hidden="false"/>
    </xf>
    <xf numFmtId="164" fontId="11" fillId="2" borderId="0" xfId="0" applyFont="true" applyBorder="false" applyAlignment="true" applyProtection="false">
      <alignment horizontal="general" vertical="center" textRotation="0" wrapText="false" indent="0" shrinkToFit="false"/>
      <protection locked="true" hidden="false"/>
    </xf>
    <xf numFmtId="164" fontId="12" fillId="0" borderId="1" xfId="0" applyFont="true" applyBorder="true" applyAlignment="true" applyProtection="false">
      <alignment horizontal="left" vertical="bottom" textRotation="0" wrapText="false" indent="1" shrinkToFit="false"/>
      <protection locked="true" hidden="false"/>
    </xf>
    <xf numFmtId="164" fontId="8" fillId="0" borderId="2" xfId="0" applyFont="true" applyBorder="true" applyAlignment="false" applyProtection="false">
      <alignment horizontal="general" vertical="bottom" textRotation="0" wrapText="false" indent="0" shrinkToFit="false"/>
      <protection locked="true" hidden="false"/>
    </xf>
    <xf numFmtId="164" fontId="8" fillId="0" borderId="3" xfId="0" applyFont="true" applyBorder="true" applyAlignment="false" applyProtection="false">
      <alignment horizontal="general" vertical="bottom" textRotation="0" wrapText="false" indent="0" shrinkToFit="false"/>
      <protection locked="true" hidden="false"/>
    </xf>
    <xf numFmtId="164" fontId="12" fillId="0" borderId="2" xfId="0" applyFont="true" applyBorder="true" applyAlignment="false" applyProtection="false">
      <alignment horizontal="general" vertical="bottom" textRotation="0" wrapText="false" indent="0" shrinkToFit="false"/>
      <protection locked="true" hidden="false"/>
    </xf>
    <xf numFmtId="166" fontId="13" fillId="0" borderId="4" xfId="0" applyFont="true" applyBorder="true" applyAlignment="true" applyProtection="false">
      <alignment horizontal="center" vertical="center" textRotation="0" wrapText="false" indent="0" shrinkToFit="false"/>
      <protection locked="true" hidden="false"/>
    </xf>
    <xf numFmtId="167" fontId="13" fillId="0" borderId="4" xfId="0" applyFont="true" applyBorder="true" applyAlignment="true" applyProtection="false">
      <alignment horizontal="center" vertical="bottom" textRotation="0" wrapText="false" indent="0" shrinkToFit="false"/>
      <protection locked="true" hidden="false"/>
    </xf>
    <xf numFmtId="164" fontId="14" fillId="2" borderId="0" xfId="0" applyFont="true" applyBorder="false" applyAlignment="true" applyProtection="false">
      <alignment horizontal="center" vertical="center" textRotation="0" wrapText="false" indent="0" shrinkToFit="false"/>
      <protection locked="true" hidden="false"/>
    </xf>
    <xf numFmtId="164" fontId="8" fillId="0" borderId="5" xfId="0" applyFont="true" applyBorder="true" applyAlignment="false" applyProtection="false">
      <alignment horizontal="general" vertical="bottom" textRotation="0" wrapText="false" indent="0" shrinkToFit="false"/>
      <protection locked="true" hidden="false"/>
    </xf>
    <xf numFmtId="164" fontId="8" fillId="0" borderId="6" xfId="0" applyFont="true" applyBorder="true" applyAlignment="false" applyProtection="false">
      <alignment horizontal="general" vertical="bottom" textRotation="0" wrapText="false" indent="0" shrinkToFit="false"/>
      <protection locked="true" hidden="false"/>
    </xf>
    <xf numFmtId="164" fontId="8" fillId="0" borderId="7"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15" fillId="0" borderId="10" xfId="0" applyFont="true" applyBorder="true" applyAlignment="true" applyProtection="false">
      <alignment horizontal="center" vertical="top" textRotation="0" wrapText="true" indent="0" shrinkToFit="false"/>
      <protection locked="true" hidden="false"/>
    </xf>
    <xf numFmtId="164" fontId="15" fillId="0" borderId="11" xfId="0" applyFont="true" applyBorder="true" applyAlignment="true" applyProtection="false">
      <alignment horizontal="center" vertical="top" textRotation="0" wrapText="true" indent="0" shrinkToFit="false"/>
      <protection locked="true" hidden="false"/>
    </xf>
    <xf numFmtId="164" fontId="0" fillId="0" borderId="12" xfId="0" applyFont="true" applyBorder="true" applyAlignment="false" applyProtection="false">
      <alignment horizontal="general" vertical="bottom" textRotation="0" wrapText="false" indent="0" shrinkToFit="false"/>
      <protection locked="true" hidden="false"/>
    </xf>
    <xf numFmtId="164" fontId="12" fillId="0" borderId="13" xfId="0" applyFont="true" applyBorder="true" applyAlignment="true" applyProtection="false">
      <alignment horizontal="center" vertical="center" textRotation="0" wrapText="true" indent="0" shrinkToFit="false"/>
      <protection locked="true" hidden="false"/>
    </xf>
    <xf numFmtId="164" fontId="12" fillId="0" borderId="11" xfId="0" applyFont="true" applyBorder="true" applyAlignment="true" applyProtection="false">
      <alignment horizontal="center" vertical="center" textRotation="0" wrapText="true" indent="0" shrinkToFit="false"/>
      <protection locked="true" hidden="false"/>
    </xf>
    <xf numFmtId="164" fontId="15" fillId="0" borderId="12" xfId="0" applyFont="true" applyBorder="true" applyAlignment="true" applyProtection="false">
      <alignment horizontal="right" vertical="bottom" textRotation="0" wrapText="false" indent="0" shrinkToFit="false"/>
      <protection locked="true" hidden="false"/>
    </xf>
    <xf numFmtId="167" fontId="0" fillId="0" borderId="14" xfId="0" applyFont="true" applyBorder="true" applyAlignment="false" applyProtection="false">
      <alignment horizontal="general" vertical="bottom" textRotation="0" wrapText="false" indent="0" shrinkToFit="false"/>
      <protection locked="true" hidden="false"/>
    </xf>
    <xf numFmtId="167" fontId="0" fillId="0" borderId="15" xfId="0" applyFont="true" applyBorder="true" applyAlignment="false" applyProtection="false">
      <alignment horizontal="general" vertical="bottom" textRotation="0" wrapText="false" indent="0" shrinkToFit="false"/>
      <protection locked="true" hidden="false"/>
    </xf>
    <xf numFmtId="164" fontId="15" fillId="0" borderId="16" xfId="0" applyFont="true" applyBorder="true" applyAlignment="true" applyProtection="false">
      <alignment horizontal="right" vertical="bottom" textRotation="0" wrapText="false" indent="0" shrinkToFit="false"/>
      <protection locked="true" hidden="false"/>
    </xf>
    <xf numFmtId="164" fontId="15" fillId="0" borderId="17" xfId="0" applyFont="true" applyBorder="true" applyAlignment="true" applyProtection="false">
      <alignment horizontal="right" vertical="bottom" textRotation="0" wrapText="false" indent="0" shrinkToFit="false"/>
      <protection locked="true" hidden="false"/>
    </xf>
    <xf numFmtId="167" fontId="0" fillId="0" borderId="18" xfId="0" applyFont="true" applyBorder="true" applyAlignment="false" applyProtection="false">
      <alignment horizontal="general" vertical="bottom" textRotation="0" wrapText="false" indent="0" shrinkToFit="false"/>
      <protection locked="true" hidden="false"/>
    </xf>
    <xf numFmtId="167" fontId="0" fillId="0" borderId="19"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center" vertical="top" textRotation="0" wrapText="tru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8" fontId="12" fillId="0" borderId="0" xfId="0" applyFont="true" applyBorder="false" applyAlignment="false" applyProtection="false">
      <alignment horizontal="general" vertical="bottom" textRotation="0" wrapText="false" indent="0" shrinkToFit="false"/>
      <protection locked="true" hidden="false"/>
    </xf>
    <xf numFmtId="164" fontId="12" fillId="4" borderId="20" xfId="0" applyFont="true" applyBorder="true" applyAlignment="true" applyProtection="false">
      <alignment horizontal="center" vertical="bottom" textRotation="0" wrapText="false" indent="0" shrinkToFit="false"/>
      <protection locked="true" hidden="false"/>
    </xf>
    <xf numFmtId="164" fontId="12" fillId="3" borderId="0" xfId="0" applyFont="true" applyBorder="false" applyAlignment="false" applyProtection="false">
      <alignment horizontal="general" vertical="bottom" textRotation="0" wrapText="false" indent="0" shrinkToFit="false"/>
      <protection locked="true" hidden="false"/>
    </xf>
    <xf numFmtId="164" fontId="18" fillId="3" borderId="0" xfId="0" applyFont="true" applyBorder="false" applyAlignment="true" applyProtection="false">
      <alignment horizontal="center" vertical="bottom" textRotation="0" wrapText="false" indent="0" shrinkToFit="false"/>
      <protection locked="true" hidden="false"/>
    </xf>
    <xf numFmtId="164" fontId="8" fillId="3" borderId="0" xfId="0" applyFont="true" applyBorder="true" applyAlignment="true" applyProtection="false">
      <alignment horizontal="left" vertical="top" textRotation="0" wrapText="true" indent="0" shrinkToFit="false"/>
      <protection locked="true" hidden="false"/>
    </xf>
    <xf numFmtId="164" fontId="8" fillId="3" borderId="0" xfId="0" applyFont="true" applyBorder="false" applyAlignment="true" applyProtection="false">
      <alignment horizontal="general" vertical="top" textRotation="0" wrapText="tru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19" fillId="0" borderId="0" xfId="0" applyFont="true" applyBorder="false" applyAlignment="true" applyProtection="false">
      <alignment horizontal="general" vertical="center" textRotation="0" wrapText="false" indent="0" shrinkToFit="false"/>
      <protection locked="true" hidden="false"/>
    </xf>
    <xf numFmtId="164" fontId="19" fillId="5" borderId="0" xfId="0" applyFont="true" applyBorder="false" applyAlignment="true" applyProtection="false">
      <alignment horizontal="left" vertical="center" textRotation="0" wrapText="false" indent="0" shrinkToFit="false"/>
      <protection locked="true" hidden="false"/>
    </xf>
    <xf numFmtId="164" fontId="20" fillId="5" borderId="0" xfId="0" applyFont="true" applyBorder="false" applyAlignment="true" applyProtection="false">
      <alignment horizontal="general" vertical="center" textRotation="0" wrapText="false" indent="0" shrinkToFit="false"/>
      <protection locked="true" hidden="false"/>
    </xf>
    <xf numFmtId="168" fontId="21"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left" vertical="bottom" textRotation="0" wrapText="false" indent="0" shrinkToFit="false"/>
      <protection locked="true" hidden="false"/>
    </xf>
    <xf numFmtId="164" fontId="22" fillId="0" borderId="0" xfId="0" applyFont="true" applyBorder="false" applyAlignment="true" applyProtection="false">
      <alignment horizontal="left"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8" fontId="8" fillId="0" borderId="0" xfId="0" applyFont="true" applyBorder="false" applyAlignment="true" applyProtection="false">
      <alignment horizontal="center" vertical="center" textRotation="0" wrapText="true" indent="0" shrinkToFit="false"/>
      <protection locked="true" hidden="false"/>
    </xf>
    <xf numFmtId="164" fontId="8" fillId="6" borderId="0" xfId="0" applyFont="true" applyBorder="false" applyAlignment="true" applyProtection="false">
      <alignment horizontal="center" vertical="center" textRotation="0" wrapText="true" indent="0" shrinkToFit="false"/>
      <protection locked="true" hidden="false"/>
    </xf>
    <xf numFmtId="164" fontId="12" fillId="3" borderId="0" xfId="0" applyFont="true" applyBorder="false" applyAlignment="true" applyProtection="false">
      <alignment horizontal="center" vertical="center" textRotation="0" wrapText="true" indent="0" shrinkToFit="false"/>
      <protection locked="true" hidden="false"/>
    </xf>
    <xf numFmtId="164" fontId="0" fillId="6" borderId="0" xfId="0" applyFont="true" applyBorder="false" applyAlignment="true" applyProtection="false">
      <alignment horizontal="center" vertical="center" textRotation="0" wrapText="true" indent="0" shrinkToFit="false"/>
      <protection locked="true" hidden="false"/>
    </xf>
    <xf numFmtId="168" fontId="8"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8" fontId="8" fillId="0" borderId="0" xfId="0" applyFont="true" applyBorder="false" applyAlignment="false" applyProtection="false">
      <alignment horizontal="general" vertical="bottom" textRotation="0" wrapText="false" indent="0" shrinkToFit="false"/>
      <protection locked="true" hidden="false"/>
    </xf>
    <xf numFmtId="168" fontId="12" fillId="7" borderId="0" xfId="0" applyFont="true" applyBorder="false" applyAlignment="false" applyProtection="false">
      <alignment horizontal="general" vertical="bottom" textRotation="0" wrapText="false" indent="0" shrinkToFit="false"/>
      <protection locked="true" hidden="false"/>
    </xf>
    <xf numFmtId="164" fontId="23" fillId="7" borderId="0" xfId="0" applyFont="true" applyBorder="false" applyAlignment="true" applyProtection="false">
      <alignment horizontal="left" vertical="bottom" textRotation="0" wrapText="false" indent="0" shrinkToFit="false"/>
      <protection locked="true" hidden="false"/>
    </xf>
    <xf numFmtId="164" fontId="24" fillId="7" borderId="0" xfId="0" applyFont="true" applyBorder="false" applyAlignment="false" applyProtection="false">
      <alignment horizontal="general" vertical="bottom" textRotation="0" wrapText="false" indent="0" shrinkToFit="false"/>
      <protection locked="true" hidden="false"/>
    </xf>
    <xf numFmtId="167" fontId="8" fillId="0" borderId="0" xfId="0" applyFont="true" applyBorder="false" applyAlignment="false" applyProtection="false">
      <alignment horizontal="general" vertical="bottom" textRotation="0" wrapText="false" indent="0" shrinkToFit="false"/>
      <protection locked="true" hidden="false"/>
    </xf>
    <xf numFmtId="167" fontId="12" fillId="0" borderId="0" xfId="0" applyFont="true" applyBorder="false" applyAlignment="true" applyProtection="false">
      <alignment horizontal="center" vertical="bottom" textRotation="0" wrapText="false" indent="0" shrinkToFit="false"/>
      <protection locked="true" hidden="false"/>
    </xf>
    <xf numFmtId="167" fontId="25" fillId="0" borderId="0" xfId="0" applyFont="true" applyBorder="false" applyAlignment="false" applyProtection="false">
      <alignment horizontal="general" vertical="bottom" textRotation="0" wrapText="false" indent="0" shrinkToFit="false"/>
      <protection locked="true" hidden="false"/>
    </xf>
    <xf numFmtId="167" fontId="19" fillId="5" borderId="0" xfId="0" applyFont="true" applyBorder="false" applyAlignment="true" applyProtection="false">
      <alignment horizontal="general" vertical="center" textRotation="0" wrapText="false" indent="0" shrinkToFit="false"/>
      <protection locked="true" hidden="false"/>
    </xf>
    <xf numFmtId="169" fontId="19" fillId="5" borderId="0" xfId="0" applyFont="true" applyBorder="false" applyAlignment="true" applyProtection="false">
      <alignment horizontal="general" vertical="center" textRotation="0" wrapText="false" indent="0" shrinkToFit="false"/>
      <protection locked="true" hidden="false"/>
    </xf>
    <xf numFmtId="169" fontId="20" fillId="5" borderId="0" xfId="0" applyFont="true" applyBorder="false" applyAlignment="true" applyProtection="false">
      <alignment horizontal="general" vertical="center" textRotation="0" wrapText="false" indent="0" shrinkToFit="false"/>
      <protection locked="true" hidden="false"/>
    </xf>
    <xf numFmtId="166" fontId="20" fillId="5" borderId="0" xfId="0" applyFont="true" applyBorder="false" applyAlignment="true" applyProtection="false">
      <alignment horizontal="general" vertical="center" textRotation="0" wrapText="false" indent="0" shrinkToFit="false"/>
      <protection locked="true" hidden="false"/>
    </xf>
    <xf numFmtId="167" fontId="19" fillId="5" borderId="21" xfId="0" applyFont="true" applyBorder="true" applyAlignment="true" applyProtection="false">
      <alignment horizontal="general" vertical="center" textRotation="0" wrapText="false" indent="0" shrinkToFit="false"/>
      <protection locked="true" hidden="false"/>
    </xf>
    <xf numFmtId="166" fontId="19" fillId="5" borderId="0" xfId="0" applyFont="true" applyBorder="false" applyAlignment="true" applyProtection="false">
      <alignment horizontal="general" vertical="center" textRotation="0" wrapText="false" indent="0" shrinkToFit="false"/>
      <protection locked="true" hidden="false"/>
    </xf>
    <xf numFmtId="166" fontId="19" fillId="5" borderId="21" xfId="0" applyFont="true" applyBorder="true" applyAlignment="true" applyProtection="false">
      <alignment horizontal="general" vertical="center" textRotation="0" wrapText="false" indent="0" shrinkToFit="false"/>
      <protection locked="true" hidden="false"/>
    </xf>
    <xf numFmtId="167" fontId="20" fillId="5" borderId="0" xfId="0" applyFont="true" applyBorder="false" applyAlignment="true" applyProtection="false">
      <alignment horizontal="general" vertical="center" textRotation="0" wrapText="false" indent="0" shrinkToFit="false"/>
      <protection locked="true" hidden="false"/>
    </xf>
    <xf numFmtId="167" fontId="22" fillId="0" borderId="0" xfId="0" applyFont="true" applyBorder="false" applyAlignment="false" applyProtection="false">
      <alignment horizontal="general" vertical="bottom" textRotation="0" wrapText="false" indent="0" shrinkToFit="false"/>
      <protection locked="true" hidden="false"/>
    </xf>
    <xf numFmtId="169" fontId="21" fillId="0" borderId="0" xfId="0" applyFont="true" applyBorder="false" applyAlignment="false" applyProtection="false">
      <alignment horizontal="general" vertical="bottom" textRotation="0" wrapText="false" indent="0" shrinkToFit="false"/>
      <protection locked="true" hidden="false"/>
    </xf>
    <xf numFmtId="169" fontId="22" fillId="0" borderId="0" xfId="0" applyFont="true" applyBorder="false" applyAlignment="false" applyProtection="false">
      <alignment horizontal="general" vertical="bottom" textRotation="0" wrapText="false" indent="0" shrinkToFit="false"/>
      <protection locked="true" hidden="false"/>
    </xf>
    <xf numFmtId="166" fontId="21" fillId="0" borderId="0" xfId="0" applyFont="true" applyBorder="false" applyAlignment="false" applyProtection="false">
      <alignment horizontal="general" vertical="bottom" textRotation="0" wrapText="false" indent="0" shrinkToFit="false"/>
      <protection locked="true" hidden="false"/>
    </xf>
    <xf numFmtId="167" fontId="21" fillId="0" borderId="21" xfId="0" applyFont="true" applyBorder="true" applyAlignment="false" applyProtection="false">
      <alignment horizontal="general" vertical="bottom" textRotation="0" wrapText="false" indent="0" shrinkToFit="false"/>
      <protection locked="true" hidden="false"/>
    </xf>
    <xf numFmtId="167" fontId="21" fillId="0" borderId="0" xfId="0" applyFont="true" applyBorder="false" applyAlignment="false" applyProtection="false">
      <alignment horizontal="general" vertical="bottom" textRotation="0" wrapText="false" indent="0" shrinkToFit="false"/>
      <protection locked="true" hidden="false"/>
    </xf>
    <xf numFmtId="167" fontId="22" fillId="0" borderId="21" xfId="0" applyFont="true" applyBorder="true" applyAlignment="false" applyProtection="false">
      <alignment horizontal="general" vertical="bottom" textRotation="0" wrapText="false" indent="0" shrinkToFit="false"/>
      <protection locked="true" hidden="false"/>
    </xf>
    <xf numFmtId="166" fontId="21" fillId="0" borderId="21" xfId="0" applyFont="true" applyBorder="true" applyAlignment="false" applyProtection="false">
      <alignment horizontal="general" vertical="bottom" textRotation="0" wrapText="false" indent="0" shrinkToFit="false"/>
      <protection locked="true" hidden="false"/>
    </xf>
    <xf numFmtId="167" fontId="12" fillId="3" borderId="0" xfId="0" applyFont="true" applyBorder="false" applyAlignment="true" applyProtection="false">
      <alignment horizontal="center" vertical="center" textRotation="0" wrapText="true" indent="0" shrinkToFit="false"/>
      <protection locked="true" hidden="false"/>
    </xf>
    <xf numFmtId="169" fontId="0" fillId="6" borderId="0" xfId="0" applyFont="true" applyBorder="false" applyAlignment="true" applyProtection="false">
      <alignment horizontal="center" vertical="center" textRotation="0" wrapText="true" indent="0" shrinkToFit="false"/>
      <protection locked="true" hidden="false"/>
    </xf>
    <xf numFmtId="169" fontId="12" fillId="3" borderId="0" xfId="0" applyFont="true" applyBorder="false" applyAlignment="true" applyProtection="false">
      <alignment horizontal="center" vertical="center" textRotation="0" wrapText="true" indent="0" shrinkToFit="false"/>
      <protection locked="true" hidden="false"/>
    </xf>
    <xf numFmtId="166" fontId="8" fillId="6" borderId="0" xfId="0" applyFont="true" applyBorder="false" applyAlignment="true" applyProtection="false">
      <alignment horizontal="center" vertical="center" textRotation="0" wrapText="true" indent="0" shrinkToFit="false"/>
      <protection locked="true" hidden="false"/>
    </xf>
    <xf numFmtId="167" fontId="0" fillId="6" borderId="21" xfId="0" applyFont="true" applyBorder="true" applyAlignment="true" applyProtection="false">
      <alignment horizontal="center" vertical="center" textRotation="0" wrapText="true" indent="0" shrinkToFit="false"/>
      <protection locked="true" hidden="false"/>
    </xf>
    <xf numFmtId="167" fontId="0" fillId="6" borderId="0" xfId="0" applyFont="true" applyBorder="false" applyAlignment="true" applyProtection="false">
      <alignment horizontal="center" vertical="center" textRotation="0" wrapText="true" indent="0" shrinkToFit="false"/>
      <protection locked="true" hidden="false"/>
    </xf>
    <xf numFmtId="170" fontId="12" fillId="3" borderId="0" xfId="0" applyFont="true" applyBorder="false" applyAlignment="true" applyProtection="false">
      <alignment horizontal="center" vertical="center" textRotation="0" wrapText="true" indent="0" shrinkToFit="false"/>
      <protection locked="true" hidden="false"/>
    </xf>
    <xf numFmtId="166" fontId="0" fillId="3" borderId="0" xfId="0" applyFont="true" applyBorder="false" applyAlignment="true" applyProtection="false">
      <alignment horizontal="center" vertical="center" textRotation="0" wrapText="true" indent="0" shrinkToFit="false"/>
      <protection locked="true" hidden="false"/>
    </xf>
    <xf numFmtId="167" fontId="12" fillId="6" borderId="0" xfId="0" applyFont="true" applyBorder="false" applyAlignment="true" applyProtection="false">
      <alignment horizontal="center" vertical="center" textRotation="0" wrapText="true" indent="0" shrinkToFit="false"/>
      <protection locked="true" hidden="false"/>
    </xf>
    <xf numFmtId="167" fontId="26" fillId="6" borderId="21" xfId="0" applyFont="true" applyBorder="true" applyAlignment="true" applyProtection="false">
      <alignment horizontal="center" vertical="center" textRotation="0" wrapText="true" indent="0" shrinkToFit="false"/>
      <protection locked="true" hidden="false"/>
    </xf>
    <xf numFmtId="166" fontId="0" fillId="3" borderId="21" xfId="0" applyFont="true" applyBorder="true" applyAlignment="true" applyProtection="false">
      <alignment horizontal="center" vertical="center" textRotation="0" wrapText="true" indent="0" shrinkToFit="false"/>
      <protection locked="true" hidden="false"/>
    </xf>
    <xf numFmtId="166" fontId="0" fillId="6" borderId="0" xfId="0" applyFont="true" applyBorder="false" applyAlignment="true" applyProtection="false">
      <alignment horizontal="center" vertical="center" textRotation="0" wrapText="true" indent="0" shrinkToFit="false"/>
      <protection locked="true" hidden="false"/>
    </xf>
    <xf numFmtId="167" fontId="26" fillId="6" borderId="0" xfId="0" applyFont="true" applyBorder="false" applyAlignment="true" applyProtection="false">
      <alignment horizontal="center" vertical="center" textRotation="0" wrapText="true" indent="0" shrinkToFit="false"/>
      <protection locked="true" hidden="false"/>
    </xf>
    <xf numFmtId="167" fontId="12" fillId="0" borderId="0" xfId="0" applyFont="true" applyBorder="false" applyAlignment="true" applyProtection="false">
      <alignment horizontal="right" vertical="bottom" textRotation="0" wrapText="false" indent="0" shrinkToFit="false"/>
      <protection locked="true" hidden="false"/>
    </xf>
    <xf numFmtId="169" fontId="0" fillId="0" borderId="0" xfId="0" applyFont="true" applyBorder="false" applyAlignment="true" applyProtection="false">
      <alignment horizontal="right" vertical="bottom" textRotation="0" wrapText="false" indent="0" shrinkToFit="false"/>
      <protection locked="true" hidden="false"/>
    </xf>
    <xf numFmtId="169" fontId="12" fillId="0" borderId="0" xfId="0" applyFont="true" applyBorder="false" applyAlignment="true" applyProtection="false">
      <alignment horizontal="right" vertical="bottom" textRotation="0" wrapText="false" indent="0" shrinkToFit="false"/>
      <protection locked="true" hidden="false"/>
    </xf>
    <xf numFmtId="166" fontId="8" fillId="0" borderId="0" xfId="0" applyFont="true" applyBorder="false" applyAlignment="true" applyProtection="false">
      <alignment horizontal="right" vertical="bottom" textRotation="0" wrapText="false" indent="0" shrinkToFit="false"/>
      <protection locked="true" hidden="false"/>
    </xf>
    <xf numFmtId="167" fontId="0" fillId="0" borderId="0" xfId="0" applyFont="true" applyBorder="false" applyAlignment="true" applyProtection="false">
      <alignment horizontal="right" vertical="bottom" textRotation="0" wrapText="false" indent="0" shrinkToFit="false"/>
      <protection locked="true" hidden="false"/>
    </xf>
    <xf numFmtId="167" fontId="8" fillId="0" borderId="0" xfId="0" applyFont="true" applyBorder="false" applyAlignment="true" applyProtection="false">
      <alignment horizontal="right" vertical="bottom" textRotation="0" wrapText="false" indent="0" shrinkToFit="false"/>
      <protection locked="true" hidden="false"/>
    </xf>
    <xf numFmtId="167" fontId="12" fillId="0" borderId="21" xfId="0" applyFont="true" applyBorder="true" applyAlignment="true" applyProtection="false">
      <alignment horizontal="right" vertical="bottom" textRotation="0" wrapText="false" indent="0" shrinkToFit="false"/>
      <protection locked="true" hidden="false"/>
    </xf>
    <xf numFmtId="166" fontId="0" fillId="0" borderId="21" xfId="0" applyFont="true" applyBorder="true" applyAlignment="true" applyProtection="false">
      <alignment horizontal="right"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6" fontId="8" fillId="0" borderId="21" xfId="0" applyFont="true" applyBorder="true" applyAlignment="true" applyProtection="false">
      <alignment horizontal="right" vertical="bottom" textRotation="0" wrapText="false" indent="0" shrinkToFit="false"/>
      <protection locked="true" hidden="false"/>
    </xf>
    <xf numFmtId="167" fontId="12" fillId="0" borderId="0" xfId="0" applyFont="true" applyBorder="false" applyAlignment="false" applyProtection="false">
      <alignment horizontal="general" vertical="bottom" textRotation="0" wrapText="false" indent="0" shrinkToFit="false"/>
      <protection locked="true" hidden="false"/>
    </xf>
    <xf numFmtId="169" fontId="8" fillId="0" borderId="0" xfId="0" applyFont="true" applyBorder="false" applyAlignment="false" applyProtection="false">
      <alignment horizontal="general" vertical="bottom" textRotation="0" wrapText="false" indent="0" shrinkToFit="false"/>
      <protection locked="true" hidden="false"/>
    </xf>
    <xf numFmtId="169" fontId="12"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7" fontId="8" fillId="0" borderId="21" xfId="0" applyFont="true" applyBorder="true" applyAlignment="false" applyProtection="false">
      <alignment horizontal="general" vertical="bottom" textRotation="0" wrapText="false" indent="0" shrinkToFit="false"/>
      <protection locked="true" hidden="false"/>
    </xf>
    <xf numFmtId="166" fontId="12" fillId="0" borderId="21" xfId="0" applyFont="true" applyBorder="true" applyAlignment="false" applyProtection="false">
      <alignment horizontal="general" vertical="bottom" textRotation="0" wrapText="false" indent="0" shrinkToFit="false"/>
      <protection locked="true" hidden="false"/>
    </xf>
    <xf numFmtId="166" fontId="12" fillId="0" borderId="0" xfId="0" applyFont="true" applyBorder="false" applyAlignment="false" applyProtection="false">
      <alignment horizontal="general" vertical="bottom" textRotation="0" wrapText="false" indent="0" shrinkToFit="false"/>
      <protection locked="true" hidden="false"/>
    </xf>
    <xf numFmtId="166" fontId="0" fillId="0" borderId="21"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6" fontId="8" fillId="0" borderId="21" xfId="0" applyFont="true" applyBorder="true" applyAlignment="false" applyProtection="false">
      <alignment horizontal="general" vertical="bottom" textRotation="0" wrapText="false" indent="0" shrinkToFit="false"/>
      <protection locked="true" hidden="false"/>
    </xf>
    <xf numFmtId="167" fontId="12" fillId="0" borderId="21" xfId="0" applyFont="true" applyBorder="true" applyAlignment="false" applyProtection="false">
      <alignment horizontal="general" vertical="bottom" textRotation="0" wrapText="false" indent="0" shrinkToFit="false"/>
      <protection locked="true" hidden="false"/>
    </xf>
    <xf numFmtId="168" fontId="12" fillId="7" borderId="0" xfId="0" applyFont="true" applyBorder="false" applyAlignment="true" applyProtection="false">
      <alignment horizontal="left" vertical="bottom" textRotation="0" wrapText="false" indent="0" shrinkToFit="false"/>
      <protection locked="true" hidden="false"/>
    </xf>
    <xf numFmtId="167" fontId="23" fillId="7" borderId="0" xfId="0" applyFont="true" applyBorder="false" applyAlignment="false" applyProtection="false">
      <alignment horizontal="general" vertical="bottom" textRotation="0" wrapText="false" indent="0" shrinkToFit="false"/>
      <protection locked="true" hidden="false"/>
    </xf>
    <xf numFmtId="169" fontId="24" fillId="7" borderId="0" xfId="0" applyFont="true" applyBorder="false" applyAlignment="false" applyProtection="false">
      <alignment horizontal="general" vertical="bottom" textRotation="0" wrapText="false" indent="0" shrinkToFit="false"/>
      <protection locked="true" hidden="false"/>
    </xf>
    <xf numFmtId="169" fontId="23" fillId="7" borderId="0" xfId="0" applyFont="true" applyBorder="false" applyAlignment="false" applyProtection="false">
      <alignment horizontal="general" vertical="bottom" textRotation="0" wrapText="false" indent="0" shrinkToFit="false"/>
      <protection locked="true" hidden="false"/>
    </xf>
    <xf numFmtId="167" fontId="24" fillId="7" borderId="0" xfId="0" applyFont="true" applyBorder="false" applyAlignment="false" applyProtection="false">
      <alignment horizontal="general" vertical="bottom" textRotation="0" wrapText="false" indent="0" shrinkToFit="false"/>
      <protection locked="true" hidden="false"/>
    </xf>
    <xf numFmtId="167" fontId="23" fillId="7" borderId="21" xfId="0" applyFont="true" applyBorder="true" applyAlignment="true" applyProtection="false">
      <alignment horizontal="left" vertical="bottom" textRotation="0" wrapText="false" indent="0" shrinkToFit="false"/>
      <protection locked="true" hidden="false"/>
    </xf>
    <xf numFmtId="167" fontId="23" fillId="7" borderId="0" xfId="0" applyFont="true" applyBorder="false" applyAlignment="true" applyProtection="false">
      <alignment horizontal="left" vertical="bottom" textRotation="0" wrapText="false" indent="0" shrinkToFit="false"/>
      <protection locked="true" hidden="false"/>
    </xf>
    <xf numFmtId="166" fontId="23" fillId="7" borderId="0" xfId="0" applyFont="true" applyBorder="false" applyAlignment="true" applyProtection="false">
      <alignment horizontal="left" vertical="bottom" textRotation="0" wrapText="false" indent="0" shrinkToFit="false"/>
      <protection locked="true" hidden="false"/>
    </xf>
    <xf numFmtId="166" fontId="24" fillId="7" borderId="21" xfId="0" applyFont="true" applyBorder="true" applyAlignment="true" applyProtection="false">
      <alignment horizontal="left" vertical="bottom" textRotation="0" wrapText="false" indent="0" shrinkToFit="false"/>
      <protection locked="true" hidden="false"/>
    </xf>
    <xf numFmtId="166" fontId="24" fillId="7" borderId="0" xfId="0" applyFont="true" applyBorder="false" applyAlignment="true" applyProtection="false">
      <alignment horizontal="left" vertical="bottom" textRotation="0" wrapText="false" indent="0" shrinkToFit="false"/>
      <protection locked="true" hidden="false"/>
    </xf>
    <xf numFmtId="167" fontId="24" fillId="7" borderId="0" xfId="0" applyFont="true" applyBorder="false" applyAlignment="true" applyProtection="false">
      <alignment horizontal="left" vertical="bottom" textRotation="0" wrapText="false" indent="0" shrinkToFit="false"/>
      <protection locked="true" hidden="false"/>
    </xf>
    <xf numFmtId="166" fontId="23" fillId="7" borderId="21" xfId="0" applyFont="true" applyBorder="true" applyAlignment="true" applyProtection="false">
      <alignment horizontal="left" vertical="bottom" textRotation="0" wrapText="false" indent="0" shrinkToFit="false"/>
      <protection locked="true" hidden="false"/>
    </xf>
    <xf numFmtId="167" fontId="0" fillId="0" borderId="21" xfId="0" applyFont="true" applyBorder="true" applyAlignment="false" applyProtection="false">
      <alignment horizontal="general" vertical="bottom" textRotation="0" wrapText="false" indent="0" shrinkToFit="false"/>
      <protection locked="true" hidden="false"/>
    </xf>
    <xf numFmtId="168" fontId="8" fillId="8" borderId="20" xfId="0" applyFont="true" applyBorder="true" applyAlignment="true" applyProtection="false">
      <alignment horizontal="left" vertical="center" textRotation="0" wrapText="true" indent="0" shrinkToFit="false"/>
      <protection locked="true" hidden="false"/>
    </xf>
    <xf numFmtId="167" fontId="22" fillId="0" borderId="0" xfId="0" applyFont="true" applyBorder="false" applyAlignment="true" applyProtection="false">
      <alignment horizontal="general" vertical="center" textRotation="0" wrapText="false" indent="0" shrinkToFit="false"/>
      <protection locked="true" hidden="false"/>
    </xf>
    <xf numFmtId="167" fontId="29" fillId="6" borderId="0" xfId="0" applyFont="true" applyBorder="false" applyAlignment="true" applyProtection="false">
      <alignment horizontal="center" vertical="center" textRotation="0" wrapText="true" indent="0" shrinkToFit="false"/>
      <protection locked="true" hidden="false"/>
    </xf>
    <xf numFmtId="169" fontId="29" fillId="6" borderId="0" xfId="0" applyFont="true" applyBorder="false" applyAlignment="true" applyProtection="false">
      <alignment horizontal="center" vertical="center" textRotation="0" wrapText="true" indent="0" shrinkToFit="false"/>
      <protection locked="true" hidden="false"/>
    </xf>
    <xf numFmtId="166" fontId="29" fillId="6" borderId="0" xfId="0" applyFont="true" applyBorder="false" applyAlignment="true" applyProtection="false">
      <alignment horizontal="center" vertical="center" textRotation="0" wrapText="true" indent="0" shrinkToFit="false"/>
      <protection locked="true" hidden="false"/>
    </xf>
    <xf numFmtId="167" fontId="8" fillId="6" borderId="21" xfId="0" applyFont="true" applyBorder="true" applyAlignment="true" applyProtection="false">
      <alignment horizontal="center" vertical="center" textRotation="0" wrapText="true" indent="0" shrinkToFit="false"/>
      <protection locked="true" hidden="false"/>
    </xf>
    <xf numFmtId="166" fontId="8" fillId="3" borderId="0" xfId="0" applyFont="true" applyBorder="false" applyAlignment="true" applyProtection="false">
      <alignment horizontal="center" vertical="center" textRotation="0" wrapText="true" indent="0" shrinkToFit="false"/>
      <protection locked="true" hidden="false"/>
    </xf>
    <xf numFmtId="166" fontId="8" fillId="6" borderId="21" xfId="0" applyFont="true" applyBorder="true" applyAlignment="true" applyProtection="false">
      <alignment horizontal="center" vertical="center" textRotation="0" wrapText="true" indent="0" shrinkToFit="false"/>
      <protection locked="true" hidden="false"/>
    </xf>
    <xf numFmtId="166" fontId="8" fillId="3" borderId="21" xfId="0" applyFont="true" applyBorder="true" applyAlignment="true" applyProtection="false">
      <alignment horizontal="center" vertical="center" textRotation="0" wrapText="true" indent="0" shrinkToFit="false"/>
      <protection locked="true" hidden="false"/>
    </xf>
    <xf numFmtId="167" fontId="12" fillId="6" borderId="21" xfId="0" applyFont="true" applyBorder="true" applyAlignment="true" applyProtection="false">
      <alignment horizontal="center" vertical="center" textRotation="0" wrapText="true" indent="0" shrinkToFit="false"/>
      <protection locked="true" hidden="false"/>
    </xf>
    <xf numFmtId="166" fontId="0" fillId="6" borderId="21" xfId="0" applyFont="true" applyBorder="true" applyAlignment="true" applyProtection="false">
      <alignment horizontal="center" vertical="center" textRotation="0" wrapText="true" indent="0" shrinkToFit="false"/>
      <protection locked="true" hidden="false"/>
    </xf>
    <xf numFmtId="164" fontId="12" fillId="6" borderId="0" xfId="0" applyFont="true" applyBorder="false" applyAlignment="true" applyProtection="false">
      <alignment horizontal="center" vertical="center" textRotation="0" wrapText="false" indent="0" shrinkToFit="false"/>
      <protection locked="true" hidden="false"/>
    </xf>
    <xf numFmtId="164" fontId="12" fillId="6" borderId="21" xfId="0" applyFont="true" applyBorder="true" applyAlignment="true" applyProtection="false">
      <alignment horizontal="center" vertical="center" textRotation="0" wrapText="true" indent="0" shrinkToFit="false"/>
      <protection locked="true" hidden="false"/>
    </xf>
    <xf numFmtId="164" fontId="12" fillId="6" borderId="0" xfId="0" applyFont="true" applyBorder="false" applyAlignment="true" applyProtection="false">
      <alignment horizontal="center" vertical="center" textRotation="0" wrapText="true" indent="0" shrinkToFit="false"/>
      <protection locked="true" hidden="false"/>
    </xf>
    <xf numFmtId="167" fontId="0" fillId="3" borderId="21" xfId="0" applyFont="true" applyBorder="true" applyAlignment="true" applyProtection="false">
      <alignment horizontal="center" vertical="center" textRotation="0" wrapText="true" indent="0" shrinkToFit="false"/>
      <protection locked="true" hidden="false"/>
    </xf>
    <xf numFmtId="164" fontId="8" fillId="6" borderId="0" xfId="0" applyFont="true" applyBorder="false" applyAlignment="true" applyProtection="false">
      <alignment horizontal="center" vertical="center" textRotation="0" wrapText="false" indent="0" shrinkToFit="false"/>
      <protection locked="true" hidden="false"/>
    </xf>
    <xf numFmtId="167" fontId="29" fillId="6" borderId="21" xfId="0" applyFont="true" applyBorder="true" applyAlignment="true" applyProtection="false">
      <alignment horizontal="center" vertical="center" textRotation="0" wrapText="true" indent="0" shrinkToFit="false"/>
      <protection locked="true" hidden="false"/>
    </xf>
    <xf numFmtId="167" fontId="0" fillId="0" borderId="21" xfId="0" applyFont="true" applyBorder="true" applyAlignment="true" applyProtection="false">
      <alignment horizontal="right" vertical="bottom" textRotation="0" wrapText="false" indent="0" shrinkToFit="false"/>
      <protection locked="true" hidden="false"/>
    </xf>
    <xf numFmtId="167" fontId="12" fillId="0" borderId="0" xfId="0" applyFont="true" applyBorder="false" applyAlignment="true" applyProtection="false">
      <alignment horizontal="right" vertical="center" textRotation="0" wrapText="false" indent="0" shrinkToFit="false"/>
      <protection locked="true" hidden="false"/>
    </xf>
    <xf numFmtId="166" fontId="30" fillId="0" borderId="0" xfId="0" applyFont="true" applyBorder="false" applyAlignment="true" applyProtection="false">
      <alignment horizontal="right" vertical="bottom" textRotation="0" wrapText="false" indent="0" shrinkToFit="false"/>
      <protection locked="true" hidden="false"/>
    </xf>
    <xf numFmtId="167" fontId="12" fillId="0" borderId="0" xfId="0" applyFont="true" applyBorder="false" applyAlignment="true" applyProtection="false">
      <alignment horizontal="general" vertical="center" textRotation="0" wrapText="false" indent="0" shrinkToFit="false"/>
      <protection locked="true" hidden="false"/>
    </xf>
    <xf numFmtId="167" fontId="12" fillId="9" borderId="0" xfId="0" applyFont="true" applyBorder="false" applyAlignment="false" applyProtection="false">
      <alignment horizontal="general" vertical="bottom" textRotation="0" wrapText="false" indent="0" shrinkToFit="false"/>
      <protection locked="true" hidden="false"/>
    </xf>
    <xf numFmtId="166" fontId="24" fillId="7" borderId="0" xfId="0" applyFont="true" applyBorder="false" applyAlignment="false" applyProtection="false">
      <alignment horizontal="general" vertical="bottom" textRotation="0" wrapText="false" indent="0" shrinkToFit="false"/>
      <protection locked="true" hidden="false"/>
    </xf>
    <xf numFmtId="167" fontId="24" fillId="7" borderId="21" xfId="0" applyFont="true" applyBorder="true" applyAlignment="false" applyProtection="false">
      <alignment horizontal="general" vertical="bottom" textRotation="0" wrapText="false" indent="0" shrinkToFit="false"/>
      <protection locked="true" hidden="false"/>
    </xf>
    <xf numFmtId="164" fontId="24" fillId="7" borderId="21" xfId="0" applyFont="true" applyBorder="true" applyAlignment="false" applyProtection="false">
      <alignment horizontal="general" vertical="bottom" textRotation="0" wrapText="false" indent="0" shrinkToFit="false"/>
      <protection locked="true" hidden="false"/>
    </xf>
    <xf numFmtId="164" fontId="23" fillId="7" borderId="0" xfId="0" applyFont="true" applyBorder="false" applyAlignment="false" applyProtection="false">
      <alignment horizontal="general" vertical="bottom" textRotation="0" wrapText="false" indent="0" shrinkToFit="false"/>
      <protection locked="true" hidden="false"/>
    </xf>
    <xf numFmtId="166" fontId="24" fillId="7" borderId="21" xfId="0" applyFont="true" applyBorder="true" applyAlignment="false" applyProtection="false">
      <alignment horizontal="general" vertical="bottom" textRotation="0" wrapText="false" indent="0" shrinkToFit="false"/>
      <protection locked="true" hidden="false"/>
    </xf>
    <xf numFmtId="166" fontId="30" fillId="0" borderId="0" xfId="0" applyFont="true" applyBorder="false" applyAlignment="false" applyProtection="false">
      <alignment horizontal="general" vertical="bottom" textRotation="0" wrapText="false" indent="0" shrinkToFit="false"/>
      <protection locked="true" hidden="false"/>
    </xf>
    <xf numFmtId="167" fontId="8" fillId="6" borderId="0" xfId="0" applyFont="true" applyBorder="false" applyAlignment="true" applyProtection="false">
      <alignment horizontal="center" vertical="center" textRotation="0" wrapText="true" indent="0" shrinkToFit="false"/>
      <protection locked="true" hidden="false"/>
    </xf>
    <xf numFmtId="167" fontId="8" fillId="0" borderId="21" xfId="0" applyFont="true" applyBorder="true" applyAlignment="true" applyProtection="false">
      <alignment horizontal="right" vertical="bottom" textRotation="0" wrapText="false" indent="0" shrinkToFit="false"/>
      <protection locked="true" hidden="false"/>
    </xf>
    <xf numFmtId="166" fontId="29" fillId="6" borderId="21" xfId="0" applyFont="true" applyBorder="true" applyAlignment="true" applyProtection="false">
      <alignment horizontal="center" vertical="center" textRotation="0" wrapText="true" indent="0" shrinkToFit="false"/>
      <protection locked="true" hidden="false"/>
    </xf>
    <xf numFmtId="166" fontId="29" fillId="3" borderId="0" xfId="0" applyFont="true" applyBorder="fals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6" fontId="29" fillId="3" borderId="21" xfId="0" applyFont="true" applyBorder="true" applyAlignment="true" applyProtection="false">
      <alignment horizontal="center" vertical="center" textRotation="0" wrapText="tru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7" fontId="19" fillId="5" borderId="0" xfId="0" applyFont="true" applyBorder="false" applyAlignment="true" applyProtection="false">
      <alignment horizontal="left" vertical="center" textRotation="0" wrapText="false" indent="0" shrinkToFit="false"/>
      <protection locked="true" hidden="false"/>
    </xf>
    <xf numFmtId="167" fontId="21" fillId="0" borderId="0" xfId="0" applyFont="true" applyBorder="false" applyAlignment="true" applyProtection="false">
      <alignment horizontal="left" vertical="bottom" textRotation="0" wrapText="false" indent="0" shrinkToFit="false"/>
      <protection locked="true" hidden="false"/>
    </xf>
    <xf numFmtId="167" fontId="8" fillId="0" borderId="0" xfId="0" applyFont="true" applyBorder="false" applyAlignment="true" applyProtection="false">
      <alignment horizontal="left" vertical="bottom" textRotation="0" wrapText="false" indent="0" shrinkToFit="false"/>
      <protection locked="true" hidden="false"/>
    </xf>
    <xf numFmtId="167" fontId="0" fillId="0" borderId="0" xfId="0" applyFont="true" applyBorder="false" applyAlignment="true" applyProtection="false">
      <alignment horizontal="left" vertical="bottom" textRotation="0" wrapText="false" indent="0" shrinkToFit="false"/>
      <protection locked="true" hidden="false"/>
    </xf>
    <xf numFmtId="167" fontId="24" fillId="7" borderId="0" xfId="0" applyFont="true" applyBorder="false" applyAlignment="true" applyProtection="false">
      <alignment horizontal="center" vertical="bottom" textRotation="0" wrapText="false" indent="0" shrinkToFit="false"/>
      <protection locked="true" hidden="false"/>
    </xf>
    <xf numFmtId="168" fontId="19" fillId="0" borderId="0" xfId="0" applyFont="true" applyBorder="false" applyAlignment="true" applyProtection="false">
      <alignment horizontal="left" vertical="center" textRotation="0" wrapText="false" indent="0" shrinkToFit="false"/>
      <protection locked="true" hidden="false"/>
    </xf>
    <xf numFmtId="166" fontId="19" fillId="5" borderId="0" xfId="0" applyFont="true" applyBorder="false" applyAlignment="true" applyProtection="false">
      <alignment horizontal="left" vertical="center" textRotation="0" wrapText="false" indent="0" shrinkToFit="false"/>
      <protection locked="true" hidden="false"/>
    </xf>
    <xf numFmtId="166" fontId="22" fillId="0" borderId="0" xfId="0" applyFont="true" applyBorder="false" applyAlignment="false" applyProtection="false">
      <alignment horizontal="general" vertical="bottom" textRotation="0" wrapText="false" indent="0" shrinkToFit="false"/>
      <protection locked="true" hidden="false"/>
    </xf>
    <xf numFmtId="167" fontId="8" fillId="3" borderId="0" xfId="0" applyFont="true" applyBorder="false" applyAlignment="true" applyProtection="false">
      <alignment horizontal="center" vertical="center" textRotation="0" wrapText="true" indent="0" shrinkToFit="false"/>
      <protection locked="true" hidden="false"/>
    </xf>
    <xf numFmtId="167" fontId="8" fillId="10" borderId="0" xfId="0" applyFont="true" applyBorder="false" applyAlignment="false" applyProtection="false">
      <alignment horizontal="general" vertical="bottom" textRotation="0" wrapText="false" indent="0" shrinkToFit="false"/>
      <protection locked="true" hidden="false"/>
    </xf>
    <xf numFmtId="166" fontId="8" fillId="10" borderId="0" xfId="0" applyFont="true" applyBorder="false" applyAlignment="false" applyProtection="false">
      <alignment horizontal="general" vertical="bottom" textRotation="0" wrapText="false" indent="0" shrinkToFit="false"/>
      <protection locked="true" hidden="false"/>
    </xf>
    <xf numFmtId="168" fontId="12" fillId="0" borderId="0" xfId="0" applyFont="true" applyBorder="false" applyAlignment="true" applyProtection="false">
      <alignment horizontal="center" vertical="center" textRotation="0" wrapText="true" indent="0" shrinkToFit="false"/>
      <protection locked="true" hidden="false"/>
    </xf>
    <xf numFmtId="167" fontId="12" fillId="3" borderId="21" xfId="0" applyFont="true" applyBorder="true" applyAlignment="true" applyProtection="false">
      <alignment horizontal="center" vertical="center" textRotation="0" wrapText="true" indent="0" shrinkToFit="false"/>
      <protection locked="true" hidden="false"/>
    </xf>
    <xf numFmtId="166" fontId="12" fillId="3" borderId="0" xfId="0" applyFont="true" applyBorder="false" applyAlignment="true" applyProtection="false">
      <alignment horizontal="center" vertical="center" textRotation="0" wrapText="true" indent="0" shrinkToFit="false"/>
      <protection locked="true" hidden="false"/>
    </xf>
    <xf numFmtId="168" fontId="0" fillId="0" borderId="0" xfId="0" applyFont="true" applyBorder="false" applyAlignment="true" applyProtection="false">
      <alignment horizontal="right" vertical="bottom" textRotation="0" wrapText="false" indent="0" shrinkToFit="false"/>
      <protection locked="true" hidden="false"/>
    </xf>
    <xf numFmtId="166" fontId="12" fillId="0" borderId="0" xfId="0" applyFont="true" applyBorder="false" applyAlignment="true" applyProtection="false">
      <alignment horizontal="right" vertical="bottom" textRotation="0" wrapText="false" indent="0" shrinkToFit="false"/>
      <protection locked="true" hidden="false"/>
    </xf>
    <xf numFmtId="167" fontId="23" fillId="7" borderId="21" xfId="0" applyFont="true" applyBorder="true" applyAlignment="false" applyProtection="false">
      <alignment horizontal="general" vertical="bottom" textRotation="0" wrapText="false" indent="0" shrinkToFit="false"/>
      <protection locked="true" hidden="false"/>
    </xf>
    <xf numFmtId="166" fontId="25" fillId="0" borderId="0" xfId="0" applyFont="true" applyBorder="false" applyAlignment="false" applyProtection="false">
      <alignment horizontal="general" vertical="bottom" textRotation="0" wrapText="false" indent="0" shrinkToFit="false"/>
      <protection locked="true" hidden="false"/>
    </xf>
    <xf numFmtId="167" fontId="19" fillId="5" borderId="22" xfId="0" applyFont="true" applyBorder="true" applyAlignment="true" applyProtection="false">
      <alignment horizontal="general" vertical="center" textRotation="0" wrapText="false" indent="0" shrinkToFit="false"/>
      <protection locked="true" hidden="false"/>
    </xf>
    <xf numFmtId="167" fontId="19" fillId="5" borderId="23" xfId="0" applyFont="true" applyBorder="true" applyAlignment="true" applyProtection="false">
      <alignment horizontal="general" vertical="center" textRotation="0" wrapText="false" indent="0" shrinkToFit="false"/>
      <protection locked="true" hidden="false"/>
    </xf>
    <xf numFmtId="167" fontId="21" fillId="0" borderId="22" xfId="0" applyFont="true" applyBorder="true" applyAlignment="false" applyProtection="false">
      <alignment horizontal="general" vertical="bottom" textRotation="0" wrapText="false" indent="0" shrinkToFit="false"/>
      <protection locked="true" hidden="false"/>
    </xf>
    <xf numFmtId="167" fontId="22" fillId="0" borderId="23" xfId="0" applyFont="true" applyBorder="true" applyAlignment="false" applyProtection="false">
      <alignment horizontal="general" vertical="bottom" textRotation="0" wrapText="false" indent="0" shrinkToFit="false"/>
      <protection locked="true" hidden="false"/>
    </xf>
    <xf numFmtId="167" fontId="34" fillId="0" borderId="0" xfId="0" applyFont="true" applyBorder="false" applyAlignment="false" applyProtection="false">
      <alignment horizontal="general" vertical="bottom" textRotation="0" wrapText="false" indent="0" shrinkToFit="false"/>
      <protection locked="true" hidden="false"/>
    </xf>
    <xf numFmtId="167" fontId="29" fillId="6" borderId="22" xfId="0" applyFont="true" applyBorder="true" applyAlignment="true" applyProtection="false">
      <alignment horizontal="center" vertical="center" textRotation="0" wrapText="true" indent="0" shrinkToFit="false"/>
      <protection locked="true" hidden="false"/>
    </xf>
    <xf numFmtId="167" fontId="29" fillId="6" borderId="23" xfId="0" applyFont="true" applyBorder="true" applyAlignment="true" applyProtection="false">
      <alignment horizontal="center" vertical="center" textRotation="0" wrapText="true" indent="0" shrinkToFit="false"/>
      <protection locked="true" hidden="false"/>
    </xf>
    <xf numFmtId="167" fontId="0" fillId="0" borderId="22" xfId="0" applyFont="true" applyBorder="true" applyAlignment="true" applyProtection="false">
      <alignment horizontal="right" vertical="bottom" textRotation="0" wrapText="false" indent="0" shrinkToFit="false"/>
      <protection locked="true" hidden="false"/>
    </xf>
    <xf numFmtId="167" fontId="12" fillId="0" borderId="23" xfId="0" applyFont="true" applyBorder="true" applyAlignment="true" applyProtection="false">
      <alignment horizontal="right" vertical="bottom" textRotation="0" wrapText="false" indent="0" shrinkToFit="false"/>
      <protection locked="true" hidden="false"/>
    </xf>
    <xf numFmtId="167" fontId="0" fillId="0" borderId="22" xfId="0" applyFont="true" applyBorder="true" applyAlignment="false" applyProtection="false">
      <alignment horizontal="general" vertical="bottom" textRotation="0" wrapText="false" indent="0" shrinkToFit="false"/>
      <protection locked="true" hidden="false"/>
    </xf>
    <xf numFmtId="167" fontId="12" fillId="0" borderId="23" xfId="0" applyFont="true" applyBorder="true" applyAlignment="false" applyProtection="false">
      <alignment horizontal="general" vertical="bottom" textRotation="0" wrapText="false" indent="0" shrinkToFit="false"/>
      <protection locked="true" hidden="false"/>
    </xf>
    <xf numFmtId="167" fontId="24" fillId="7" borderId="22" xfId="0" applyFont="true" applyBorder="true" applyAlignment="false" applyProtection="false">
      <alignment horizontal="general" vertical="bottom" textRotation="0" wrapText="false" indent="0" shrinkToFit="false"/>
      <protection locked="true" hidden="false"/>
    </xf>
    <xf numFmtId="167" fontId="23" fillId="7" borderId="23" xfId="0" applyFont="true" applyBorder="true" applyAlignment="false" applyProtection="false">
      <alignment horizontal="general" vertical="bottom" textRotation="0" wrapText="false" indent="0" shrinkToFit="false"/>
      <protection locked="true" hidden="false"/>
    </xf>
    <xf numFmtId="167" fontId="0" fillId="3" borderId="0" xfId="0" applyFont="true" applyBorder="false" applyAlignment="true" applyProtection="false">
      <alignment horizontal="center" vertical="center" textRotation="0" wrapText="true" indent="0" shrinkToFit="false"/>
      <protection locked="true" hidden="false"/>
    </xf>
    <xf numFmtId="168" fontId="19" fillId="0" borderId="0" xfId="0" applyFont="true" applyBorder="false" applyAlignment="true" applyProtection="false">
      <alignment horizontal="center" vertical="center" textRotation="0" wrapText="false" indent="0" shrinkToFit="false"/>
      <protection locked="true" hidden="false"/>
    </xf>
    <xf numFmtId="167" fontId="19" fillId="5" borderId="0" xfId="0" applyFont="true" applyBorder="false" applyAlignment="true" applyProtection="false">
      <alignment horizontal="right" vertical="center" textRotation="0" wrapText="false" indent="0" shrinkToFit="false"/>
      <protection locked="true" hidden="false"/>
    </xf>
    <xf numFmtId="164" fontId="19" fillId="5" borderId="24" xfId="0" applyFont="true" applyBorder="true" applyAlignment="true" applyProtection="false">
      <alignment horizontal="general" vertical="center" textRotation="0" wrapText="false" indent="0" shrinkToFit="false"/>
      <protection locked="true" hidden="false"/>
    </xf>
    <xf numFmtId="166" fontId="19" fillId="5" borderId="24" xfId="0" applyFont="true" applyBorder="true" applyAlignment="true" applyProtection="false">
      <alignment horizontal="general" vertical="center" textRotation="0" wrapText="false" indent="0" shrinkToFit="false"/>
      <protection locked="true" hidden="false"/>
    </xf>
    <xf numFmtId="164" fontId="19" fillId="5" borderId="0" xfId="0" applyFont="true" applyBorder="false" applyAlignment="true" applyProtection="false">
      <alignment horizontal="center" vertical="center" textRotation="0" wrapText="false" indent="0" shrinkToFit="false"/>
      <protection locked="true" hidden="false"/>
    </xf>
    <xf numFmtId="167" fontId="19" fillId="5" borderId="24" xfId="0" applyFont="true" applyBorder="true" applyAlignment="true" applyProtection="false">
      <alignment horizontal="general" vertical="center" textRotation="0" wrapText="false" indent="0" shrinkToFit="false"/>
      <protection locked="true" hidden="false"/>
    </xf>
    <xf numFmtId="168" fontId="21" fillId="0" borderId="0" xfId="0" applyFont="true" applyBorder="false" applyAlignment="true" applyProtection="false">
      <alignment horizontal="center"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1" fillId="0" borderId="24" xfId="0" applyFont="true" applyBorder="true" applyAlignment="false" applyProtection="false">
      <alignment horizontal="general" vertical="bottom" textRotation="0" wrapText="false" indent="0" shrinkToFit="false"/>
      <protection locked="true" hidden="false"/>
    </xf>
    <xf numFmtId="166" fontId="21" fillId="0" borderId="24" xfId="0" applyFont="true" applyBorder="true" applyAlignment="fals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center" vertical="bottom" textRotation="0" wrapText="false" indent="0" shrinkToFit="false"/>
      <protection locked="true" hidden="false"/>
    </xf>
    <xf numFmtId="167" fontId="21" fillId="0" borderId="24" xfId="0" applyFont="true" applyBorder="true" applyAlignment="false" applyProtection="false">
      <alignment horizontal="general" vertical="bottom" textRotation="0" wrapText="false" indent="0" shrinkToFit="false"/>
      <protection locked="true" hidden="false"/>
    </xf>
    <xf numFmtId="168" fontId="35" fillId="11" borderId="25" xfId="0" applyFont="true" applyBorder="true" applyAlignment="true" applyProtection="false">
      <alignment horizontal="left" vertical="center" textRotation="0" wrapText="true" indent="0" shrinkToFit="false"/>
      <protection locked="true" hidden="false"/>
    </xf>
    <xf numFmtId="168" fontId="35" fillId="11" borderId="26" xfId="0" applyFont="true" applyBorder="true" applyAlignment="true" applyProtection="false">
      <alignment horizontal="left" vertical="center" textRotation="0" wrapText="true" indent="0" shrinkToFit="false"/>
      <protection locked="true" hidden="false"/>
    </xf>
    <xf numFmtId="167" fontId="21" fillId="0" borderId="0" xfId="0" applyFont="true" applyBorder="false" applyAlignment="true" applyProtection="false">
      <alignment horizontal="right" vertical="bottom" textRotation="0" wrapText="false" indent="0" shrinkToFit="false"/>
      <protection locked="true" hidden="false"/>
    </xf>
    <xf numFmtId="164" fontId="36" fillId="11" borderId="20" xfId="0" applyFont="true" applyBorder="true" applyAlignment="true" applyProtection="false">
      <alignment horizontal="center" vertical="center" textRotation="0" wrapText="true" indent="0" shrinkToFit="false"/>
      <protection locked="true" hidden="false"/>
    </xf>
    <xf numFmtId="166" fontId="36" fillId="11" borderId="20" xfId="0" applyFont="true" applyBorder="true" applyAlignment="true" applyProtection="false">
      <alignment horizontal="center" vertical="center" textRotation="0" wrapText="true" indent="0" shrinkToFit="false"/>
      <protection locked="true" hidden="false"/>
    </xf>
    <xf numFmtId="168" fontId="30" fillId="0" borderId="0" xfId="0" applyFont="true" applyBorder="false" applyAlignment="true" applyProtection="false">
      <alignment horizontal="right" vertical="bottom" textRotation="0" wrapText="false" indent="0" shrinkToFit="false"/>
      <protection locked="true" hidden="false"/>
    </xf>
    <xf numFmtId="164" fontId="30" fillId="0" borderId="0" xfId="0" applyFont="true" applyBorder="false" applyAlignment="true" applyProtection="false">
      <alignment horizontal="right" vertical="bottom" textRotation="0" wrapText="false" indent="0" shrinkToFit="false"/>
      <protection locked="true" hidden="false"/>
    </xf>
    <xf numFmtId="167" fontId="30" fillId="0" borderId="0" xfId="0" applyFont="true" applyBorder="false" applyAlignment="true" applyProtection="false">
      <alignment horizontal="right" vertical="bottom" textRotation="0" wrapText="false" indent="0" shrinkToFit="false"/>
      <protection locked="true" hidden="false"/>
    </xf>
    <xf numFmtId="164" fontId="30" fillId="0" borderId="24" xfId="0" applyFont="true" applyBorder="true" applyAlignment="true" applyProtection="false">
      <alignment horizontal="right" vertical="bottom" textRotation="0" wrapText="false" indent="0" shrinkToFit="false"/>
      <protection locked="true" hidden="false"/>
    </xf>
    <xf numFmtId="166" fontId="8" fillId="0" borderId="24"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7" fontId="8" fillId="0" borderId="24" xfId="0" applyFont="true" applyBorder="true" applyAlignment="false" applyProtection="false">
      <alignment horizontal="general" vertical="bottom" textRotation="0" wrapText="false" indent="0" shrinkToFit="false"/>
      <protection locked="true" hidden="false"/>
    </xf>
    <xf numFmtId="168" fontId="30" fillId="0" borderId="0" xfId="0" applyFont="true" applyBorder="false" applyAlignment="true" applyProtection="false">
      <alignment horizontal="left" vertical="bottom" textRotation="0" wrapText="false" indent="0" shrinkToFit="false"/>
      <protection locked="true" hidden="false"/>
    </xf>
    <xf numFmtId="164" fontId="30" fillId="0" borderId="0" xfId="0" applyFont="true" applyBorder="false" applyAlignment="true" applyProtection="false">
      <alignment horizontal="left" vertical="bottom" textRotation="0" wrapText="false" indent="0" shrinkToFit="false"/>
      <protection locked="true" hidden="false"/>
    </xf>
    <xf numFmtId="167" fontId="30" fillId="0" borderId="0" xfId="0" applyFont="true" applyBorder="false" applyAlignment="true" applyProtection="false">
      <alignment horizontal="left" vertical="bottom" textRotation="0" wrapText="false" indent="0" shrinkToFit="false"/>
      <protection locked="true" hidden="false"/>
    </xf>
    <xf numFmtId="164" fontId="30" fillId="0" borderId="24" xfId="0" applyFont="true" applyBorder="true" applyAlignment="true" applyProtection="false">
      <alignment horizontal="left" vertical="bottom" textRotation="0" wrapText="false" indent="0" shrinkToFit="false"/>
      <protection locked="true" hidden="false"/>
    </xf>
    <xf numFmtId="166" fontId="30" fillId="0" borderId="0" xfId="0" applyFont="true" applyBorder="false" applyAlignment="true" applyProtection="false">
      <alignment horizontal="left" vertical="bottom" textRotation="0" wrapText="false" indent="0" shrinkToFit="false"/>
      <protection locked="true" hidden="false"/>
    </xf>
    <xf numFmtId="166" fontId="8" fillId="0" borderId="0" xfId="0" applyFont="true" applyBorder="false" applyAlignment="true" applyProtection="false">
      <alignment horizontal="left" vertical="bottom" textRotation="0" wrapText="false" indent="0" shrinkToFit="false"/>
      <protection locked="true" hidden="false"/>
    </xf>
    <xf numFmtId="166" fontId="8" fillId="0" borderId="24"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7" fontId="8" fillId="0" borderId="24" xfId="0" applyFont="true" applyBorder="true" applyAlignment="true" applyProtection="false">
      <alignment horizontal="left" vertical="bottom" textRotation="0" wrapText="false" indent="0" shrinkToFit="false"/>
      <protection locked="true" hidden="false"/>
    </xf>
    <xf numFmtId="168" fontId="8" fillId="0" borderId="0" xfId="0" applyFont="true" applyBorder="false" applyAlignment="true" applyProtection="false">
      <alignment horizontal="left" vertical="bottom" textRotation="0" wrapText="false" indent="0" shrinkToFit="false"/>
      <protection locked="true" hidden="false"/>
    </xf>
    <xf numFmtId="166" fontId="30" fillId="0" borderId="24" xfId="0" applyFont="true" applyBorder="true" applyAlignment="true" applyProtection="false">
      <alignment horizontal="left" vertical="bottom" textRotation="0" wrapText="false" indent="0" shrinkToFit="false"/>
      <protection locked="true" hidden="false"/>
    </xf>
    <xf numFmtId="168" fontId="35" fillId="6" borderId="0" xfId="0" applyFont="true" applyBorder="false" applyAlignment="true" applyProtection="false">
      <alignment horizontal="center" vertical="center" textRotation="0" wrapText="false" indent="0" shrinkToFit="false"/>
      <protection locked="true" hidden="false"/>
    </xf>
    <xf numFmtId="164" fontId="35" fillId="6" borderId="0" xfId="0" applyFont="true" applyBorder="false" applyAlignment="true" applyProtection="false">
      <alignment horizontal="center" vertical="center" textRotation="0" wrapText="false" indent="0" shrinkToFit="false"/>
      <protection locked="true" hidden="false"/>
    </xf>
    <xf numFmtId="167" fontId="35" fillId="6" borderId="0" xfId="0" applyFont="true" applyBorder="false" applyAlignment="true" applyProtection="false">
      <alignment horizontal="center" vertical="center" textRotation="0" wrapText="true" indent="0" shrinkToFit="false"/>
      <protection locked="true" hidden="false"/>
    </xf>
    <xf numFmtId="164" fontId="35" fillId="6" borderId="24" xfId="0" applyFont="true" applyBorder="true" applyAlignment="true" applyProtection="false">
      <alignment horizontal="center" vertical="center" textRotation="0" wrapText="true" indent="0" shrinkToFit="false"/>
      <protection locked="true" hidden="false"/>
    </xf>
    <xf numFmtId="166" fontId="35" fillId="3" borderId="0" xfId="0" applyFont="true" applyBorder="false" applyAlignment="true" applyProtection="false">
      <alignment horizontal="center" vertical="center" textRotation="90" wrapText="true" indent="0" shrinkToFit="false"/>
      <protection locked="true" hidden="false"/>
    </xf>
    <xf numFmtId="166" fontId="12" fillId="3" borderId="0" xfId="0" applyFont="true" applyBorder="false" applyAlignment="true" applyProtection="false">
      <alignment horizontal="center" vertical="center" textRotation="90" wrapText="false" indent="0" shrinkToFit="false"/>
      <protection locked="true" hidden="false"/>
    </xf>
    <xf numFmtId="166" fontId="12" fillId="3" borderId="24" xfId="0" applyFont="true" applyBorder="true" applyAlignment="true" applyProtection="false">
      <alignment horizontal="center" vertical="center" textRotation="90" wrapText="false" indent="0" shrinkToFit="false"/>
      <protection locked="true" hidden="false"/>
    </xf>
    <xf numFmtId="164" fontId="0" fillId="3" borderId="0" xfId="0" applyFont="true" applyBorder="false" applyAlignment="true" applyProtection="false">
      <alignment horizontal="center" vertical="center" textRotation="0" wrapText="true" indent="0" shrinkToFit="false"/>
      <protection locked="true" hidden="false"/>
    </xf>
    <xf numFmtId="167" fontId="12" fillId="6" borderId="24" xfId="0" applyFont="true" applyBorder="true" applyAlignment="true" applyProtection="false">
      <alignment horizontal="center" vertical="center" textRotation="0" wrapText="true" indent="0" shrinkToFit="false"/>
      <protection locked="true" hidden="false"/>
    </xf>
    <xf numFmtId="167" fontId="12" fillId="6" borderId="0" xfId="0" applyFont="true" applyBorder="false" applyAlignment="true" applyProtection="false">
      <alignment horizontal="center" vertical="center" textRotation="90" wrapText="false" indent="0" shrinkToFit="false"/>
      <protection locked="true" hidden="false"/>
    </xf>
    <xf numFmtId="167"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bgColor rgb="FF7F7F8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bgColor rgb="FF7F7F80"/>
        </patternFill>
      </fill>
    </dxf>
    <dxf>
      <font>
        <color rgb="FFC00000"/>
      </font>
      <fill>
        <patternFill>
          <bgColor rgb="FF7F7F80"/>
        </patternFill>
      </fill>
    </dxf>
    <dxf>
      <font>
        <color rgb="FFC00000"/>
      </font>
      <fill>
        <patternFill>
          <bgColor rgb="FF7F7F80"/>
        </patternFill>
      </fill>
    </dxf>
    <dxf>
      <font>
        <color rgb="FFC00000"/>
      </font>
      <fill>
        <patternFill>
          <bgColor rgb="FF7F7F80"/>
        </patternFill>
      </fill>
    </dxf>
    <dxf>
      <font>
        <color rgb="FFC00000"/>
      </font>
      <fill>
        <patternFill>
          <bgColor rgb="FF7F7F80"/>
        </patternFill>
      </fill>
    </dxf>
    <dxf>
      <font>
        <color rgb="FFC00000"/>
      </font>
      <fill>
        <patternFill>
          <bgColor rgb="FF7F7F8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6100"/>
      <rgbColor rgb="FF000080"/>
      <rgbColor rgb="FF7F7F7F"/>
      <rgbColor rgb="FF800080"/>
      <rgbColor rgb="FF008080"/>
      <rgbColor rgb="FFBFBFBF"/>
      <rgbColor rgb="FF7F7F80"/>
      <rgbColor rgb="FF9999FF"/>
      <rgbColor rgb="FF993366"/>
      <rgbColor rgb="FFFFF2CC"/>
      <rgbColor rgb="FFE7E6E6"/>
      <rgbColor rgb="FF660066"/>
      <rgbColor rgb="FFFF8080"/>
      <rgbColor rgb="FF0563C1"/>
      <rgbColor rgb="FFC2D8D8"/>
      <rgbColor rgb="FF000080"/>
      <rgbColor rgb="FFFF00FF"/>
      <rgbColor rgb="FFFFEB84"/>
      <rgbColor rgb="FF00FFFF"/>
      <rgbColor rgb="FF800080"/>
      <rgbColor rgb="FFC00000"/>
      <rgbColor rgb="FF008080"/>
      <rgbColor rgb="FF0000FF"/>
      <rgbColor rgb="FF00CCFF"/>
      <rgbColor rgb="FFD9D9D9"/>
      <rgbColor rgb="FFC6EFCE"/>
      <rgbColor rgb="FFFFEB9C"/>
      <rgbColor rgb="FF9CBEBD"/>
      <rgbColor rgb="FFE4E0A7"/>
      <rgbColor rgb="FFCC99FF"/>
      <rgbColor rgb="FFFFC7CE"/>
      <rgbColor rgb="FF4472C4"/>
      <rgbColor rgb="FF33CCCC"/>
      <rgbColor rgb="FF99CC00"/>
      <rgbColor rgb="FFFFE699"/>
      <rgbColor rgb="FFFF9900"/>
      <rgbColor rgb="FFED7D31"/>
      <rgbColor rgb="FF595959"/>
      <rgbColor rgb="FFA5A5A5"/>
      <rgbColor rgb="FF003366"/>
      <rgbColor rgb="FF339966"/>
      <rgbColor rgb="FF003300"/>
      <rgbColor rgb="FF333300"/>
      <rgbColor rgb="FF9C5700"/>
      <rgbColor rgb="FF993366"/>
      <rgbColor rgb="FF333399"/>
      <rgbColor rgb="FF40404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595959"/>
                </a:solidFill>
                <a:latin typeface="Calibri"/>
              </a:defRPr>
            </a:pPr>
            <a:r>
              <a:rPr b="1" sz="1400" spc="-1" strike="noStrike">
                <a:solidFill>
                  <a:srgbClr val="595959"/>
                </a:solidFill>
                <a:latin typeface="Calibri"/>
              </a:rPr>
              <a:t>FY21 Projections</a:t>
            </a:r>
          </a:p>
        </c:rich>
      </c:tx>
      <c:overlay val="0"/>
      <c:spPr>
        <a:noFill/>
        <a:ln>
          <a:noFill/>
        </a:ln>
      </c:spPr>
    </c:title>
    <c:autoTitleDeleted val="0"/>
    <c:plotArea>
      <c:barChart>
        <c:barDir val="col"/>
        <c:grouping val="stacked"/>
        <c:varyColors val="0"/>
        <c:ser>
          <c:idx val="0"/>
          <c:order val="0"/>
          <c:tx>
            <c:strRef>
              <c:f>Summary!$D$23</c:f>
              <c:strCache>
                <c:ptCount val="1"/>
                <c:pt idx="0">
                  <c:v/>
                </c:pt>
              </c:strCache>
            </c:strRef>
          </c:tx>
          <c:spPr>
            <a:solidFill>
              <a:srgbClr val="4472c4"/>
            </a:solidFill>
            <a:ln>
              <a:noFill/>
            </a:ln>
          </c:spPr>
          <c:invertIfNegative val="0"/>
          <c:dLbls>
            <c:numFmt formatCode="General" sourceLinked="1"/>
            <c:dLblPos val="ctr"/>
            <c:showLegendKey val="0"/>
            <c:showVal val="0"/>
            <c:showCatName val="0"/>
            <c:showSerName val="0"/>
            <c:showPercent val="0"/>
            <c:showLeaderLines val="0"/>
          </c:dLbls>
          <c:cat>
            <c:strRef>
              <c:f>Summary!$E$22:$H$22</c:f>
              <c:strCache>
                <c:ptCount val="4"/>
                <c:pt idx="0">
                  <c:v>(FY21)</c:v>
                </c:pt>
                <c:pt idx="1">
                  <c:v/>
                </c:pt>
                <c:pt idx="2">
                  <c:v/>
                </c:pt>
                <c:pt idx="3">
                  <c:v/>
                </c:pt>
              </c:strCache>
            </c:strRef>
          </c:cat>
          <c:val>
            <c:numRef>
              <c:f>Summary!$E$23:$H$23</c:f>
              <c:numCache>
                <c:formatCode>General</c:formatCode>
                <c:ptCount val="4"/>
                <c:pt idx="0">
                  <c:v/>
                </c:pt>
                <c:pt idx="1">
                  <c:v/>
                </c:pt>
                <c:pt idx="2">
                  <c:v/>
                </c:pt>
                <c:pt idx="3">
                  <c:v/>
                </c:pt>
              </c:numCache>
            </c:numRef>
          </c:val>
        </c:ser>
        <c:ser>
          <c:idx val="1"/>
          <c:order val="1"/>
          <c:tx>
            <c:strRef>
              <c:f>Summary!$D$24</c:f>
              <c:strCache>
                <c:ptCount val="1"/>
                <c:pt idx="0">
                  <c:v>&lt;15</c:v>
                </c:pt>
              </c:strCache>
            </c:strRef>
          </c:tx>
          <c:spPr>
            <a:solidFill>
              <a:srgbClr val="ed7d31"/>
            </a:solidFill>
            <a:ln>
              <a:noFill/>
            </a:ln>
          </c:spPr>
          <c:invertIfNegative val="0"/>
          <c:dLbls>
            <c:numFmt formatCode="General" sourceLinked="1"/>
            <c:dLblPos val="ctr"/>
            <c:showLegendKey val="0"/>
            <c:showVal val="0"/>
            <c:showCatName val="0"/>
            <c:showSerName val="0"/>
            <c:showPercent val="0"/>
            <c:showLeaderLines val="0"/>
          </c:dLbls>
          <c:cat>
            <c:strRef>
              <c:f>Summary!$E$22:$H$22</c:f>
              <c:strCache>
                <c:ptCount val="4"/>
                <c:pt idx="0">
                  <c:v>(FY21)</c:v>
                </c:pt>
                <c:pt idx="1">
                  <c:v/>
                </c:pt>
                <c:pt idx="2">
                  <c:v/>
                </c:pt>
                <c:pt idx="3">
                  <c:v/>
                </c:pt>
              </c:strCache>
            </c:strRef>
          </c:cat>
          <c:val>
            <c:numRef>
              <c:f>Summary!$E$24:$H$24</c:f>
              <c:numCache>
                <c:formatCode>General</c:formatCode>
                <c:ptCount val="4"/>
                <c:pt idx="0">
                  <c:v>10315</c:v>
                </c:pt>
                <c:pt idx="1">
                  <c:v>6420</c:v>
                </c:pt>
                <c:pt idx="2">
                  <c:v>7077</c:v>
                </c:pt>
                <c:pt idx="3">
                  <c:v>0</c:v>
                </c:pt>
              </c:numCache>
            </c:numRef>
          </c:val>
        </c:ser>
        <c:ser>
          <c:idx val="2"/>
          <c:order val="2"/>
          <c:tx>
            <c:strRef>
              <c:f>Summary!$D$25</c:f>
              <c:strCache>
                <c:ptCount val="1"/>
                <c:pt idx="0">
                  <c:v>Females, 15+</c:v>
                </c:pt>
              </c:strCache>
            </c:strRef>
          </c:tx>
          <c:spPr>
            <a:solidFill>
              <a:srgbClr val="a5a5a5"/>
            </a:solidFill>
            <a:ln>
              <a:noFill/>
            </a:ln>
          </c:spPr>
          <c:invertIfNegative val="0"/>
          <c:dLbls>
            <c:numFmt formatCode="General" sourceLinked="1"/>
            <c:dLblPos val="ctr"/>
            <c:showLegendKey val="0"/>
            <c:showVal val="0"/>
            <c:showCatName val="0"/>
            <c:showSerName val="0"/>
            <c:showPercent val="0"/>
            <c:showLeaderLines val="0"/>
          </c:dLbls>
          <c:cat>
            <c:strRef>
              <c:f>Summary!$E$22:$H$22</c:f>
              <c:strCache>
                <c:ptCount val="4"/>
                <c:pt idx="0">
                  <c:v>(FY21)</c:v>
                </c:pt>
                <c:pt idx="1">
                  <c:v/>
                </c:pt>
                <c:pt idx="2">
                  <c:v/>
                </c:pt>
                <c:pt idx="3">
                  <c:v/>
                </c:pt>
              </c:strCache>
            </c:strRef>
          </c:cat>
          <c:val>
            <c:numRef>
              <c:f>Summary!$E$25:$H$25</c:f>
              <c:numCache>
                <c:formatCode>General</c:formatCode>
                <c:ptCount val="4"/>
                <c:pt idx="0">
                  <c:v>193236</c:v>
                </c:pt>
                <c:pt idx="1">
                  <c:v>158165</c:v>
                </c:pt>
                <c:pt idx="2">
                  <c:v>145996</c:v>
                </c:pt>
                <c:pt idx="3">
                  <c:v>0</c:v>
                </c:pt>
              </c:numCache>
            </c:numRef>
          </c:val>
        </c:ser>
        <c:gapWidth val="150"/>
        <c:overlap val="100"/>
        <c:axId val="6671503"/>
        <c:axId val="28280450"/>
      </c:barChart>
      <c:catAx>
        <c:axId val="667150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8280450"/>
        <c:crosses val="autoZero"/>
        <c:auto val="1"/>
        <c:lblAlgn val="ctr"/>
        <c:lblOffset val="100"/>
      </c:catAx>
      <c:valAx>
        <c:axId val="28280450"/>
        <c:scaling>
          <c:orientation val="minMax"/>
        </c:scaling>
        <c:delete val="0"/>
        <c:axPos val="l"/>
        <c:numFmt formatCode="General"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671503"/>
        <c:crosses val="autoZero"/>
      </c:valAx>
      <c:spPr>
        <a:noFill/>
        <a:ln>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595959"/>
                </a:solidFill>
                <a:latin typeface="Calibri"/>
              </a:defRPr>
            </a:pPr>
            <a:r>
              <a:rPr b="1" sz="1400" spc="-1" strike="noStrike">
                <a:solidFill>
                  <a:srgbClr val="595959"/>
                </a:solidFill>
                <a:latin typeface="Calibri"/>
              </a:rPr>
              <a:t>Host Country Overview</a:t>
            </a:r>
          </a:p>
        </c:rich>
      </c:tx>
      <c:overlay val="0"/>
      <c:spPr>
        <a:noFill/>
        <a:ln>
          <a:noFill/>
        </a:ln>
      </c:spPr>
    </c:title>
    <c:autoTitleDeleted val="0"/>
    <c:plotArea>
      <c:barChart>
        <c:barDir val="col"/>
        <c:grouping val="stacked"/>
        <c:varyColors val="0"/>
        <c:ser>
          <c:idx val="0"/>
          <c:order val="0"/>
          <c:tx>
            <c:strRef>
              <c:f>Summary!$D$24</c:f>
              <c:strCache>
                <c:ptCount val="1"/>
                <c:pt idx="0">
                  <c:v>&lt;15</c:v>
                </c:pt>
              </c:strCache>
            </c:strRef>
          </c:tx>
          <c:spPr>
            <a:solidFill>
              <a:srgbClr val="4472c4"/>
            </a:solidFill>
            <a:ln>
              <a:noFill/>
            </a:ln>
          </c:spPr>
          <c:invertIfNegative val="0"/>
          <c:dLbls>
            <c:numFmt formatCode="#,##0" sourceLinked="1"/>
            <c:dLblPos val="ctr"/>
            <c:showLegendKey val="0"/>
            <c:showVal val="0"/>
            <c:showCatName val="0"/>
            <c:showSerName val="0"/>
            <c:showPercent val="0"/>
            <c:showLeaderLines val="0"/>
          </c:dLbls>
          <c:cat>
            <c:strRef>
              <c:f>Summary!$E$22:$K$23</c:f>
              <c:strCache>
                <c:ptCount val="14"/>
                <c:pt idx="0">
                  <c:v>(FY21)</c:v>
                </c:pt>
                <c:pt idx="1">
                  <c:v>PLHIV</c:v>
                </c:pt>
                <c:pt idx="2">
                  <c:v/>
                </c:pt>
                <c:pt idx="3">
                  <c:v>DIAGNOSED_SUBNAT</c:v>
                </c:pt>
                <c:pt idx="4">
                  <c:v/>
                </c:pt>
                <c:pt idx="5">
                  <c:v>TX_CURR_SUBNAT</c:v>
                </c:pt>
                <c:pt idx="6">
                  <c:v/>
                </c:pt>
                <c:pt idx="7">
                  <c:v>VL_SUPPRESSION_SUBNAT</c:v>
                </c:pt>
                <c:pt idx="8">
                  <c:v>(FY22)</c:v>
                </c:pt>
                <c:pt idx="9">
                  <c:v>DIAGNOSED_SUBNAT</c:v>
                </c:pt>
                <c:pt idx="10">
                  <c:v/>
                </c:pt>
                <c:pt idx="11">
                  <c:v>TX_CURR_SUBNAT</c:v>
                </c:pt>
                <c:pt idx="12">
                  <c:v/>
                </c:pt>
                <c:pt idx="13">
                  <c:v>VL_SUPPRESSION_SUBNAT</c:v>
                </c:pt>
              </c:strCache>
            </c:strRef>
          </c:cat>
          <c:val>
            <c:numRef>
              <c:f>Summary!$E$24:$K$24</c:f>
              <c:numCache>
                <c:formatCode>General</c:formatCode>
                <c:ptCount val="7"/>
                <c:pt idx="0">
                  <c:v>10315</c:v>
                </c:pt>
                <c:pt idx="1">
                  <c:v>6420</c:v>
                </c:pt>
                <c:pt idx="2">
                  <c:v>7077</c:v>
                </c:pt>
                <c:pt idx="3">
                  <c:v>0</c:v>
                </c:pt>
                <c:pt idx="4">
                  <c:v>229476</c:v>
                </c:pt>
                <c:pt idx="5">
                  <c:v>9627</c:v>
                </c:pt>
                <c:pt idx="6">
                  <c:v>9151</c:v>
                </c:pt>
              </c:numCache>
            </c:numRef>
          </c:val>
        </c:ser>
        <c:ser>
          <c:idx val="1"/>
          <c:order val="1"/>
          <c:tx>
            <c:strRef>
              <c:f>Summary!$D$25</c:f>
              <c:strCache>
                <c:ptCount val="1"/>
                <c:pt idx="0">
                  <c:v>Females, 15+</c:v>
                </c:pt>
              </c:strCache>
            </c:strRef>
          </c:tx>
          <c:spPr>
            <a:solidFill>
              <a:srgbClr val="ed7d31"/>
            </a:solidFill>
            <a:ln>
              <a:noFill/>
            </a:ln>
          </c:spPr>
          <c:invertIfNegative val="0"/>
          <c:dLbls>
            <c:numFmt formatCode="#,##0" sourceLinked="1"/>
            <c:dLblPos val="ctr"/>
            <c:showLegendKey val="0"/>
            <c:showVal val="0"/>
            <c:showCatName val="0"/>
            <c:showSerName val="0"/>
            <c:showPercent val="0"/>
            <c:showLeaderLines val="0"/>
          </c:dLbls>
          <c:cat>
            <c:strRef>
              <c:f>Summary!$E$22:$K$23</c:f>
              <c:strCache>
                <c:ptCount val="14"/>
                <c:pt idx="0">
                  <c:v>(FY21)</c:v>
                </c:pt>
                <c:pt idx="1">
                  <c:v>PLHIV</c:v>
                </c:pt>
                <c:pt idx="2">
                  <c:v/>
                </c:pt>
                <c:pt idx="3">
                  <c:v>DIAGNOSED_SUBNAT</c:v>
                </c:pt>
                <c:pt idx="4">
                  <c:v/>
                </c:pt>
                <c:pt idx="5">
                  <c:v>TX_CURR_SUBNAT</c:v>
                </c:pt>
                <c:pt idx="6">
                  <c:v/>
                </c:pt>
                <c:pt idx="7">
                  <c:v>VL_SUPPRESSION_SUBNAT</c:v>
                </c:pt>
                <c:pt idx="8">
                  <c:v>(FY22)</c:v>
                </c:pt>
                <c:pt idx="9">
                  <c:v>DIAGNOSED_SUBNAT</c:v>
                </c:pt>
                <c:pt idx="10">
                  <c:v/>
                </c:pt>
                <c:pt idx="11">
                  <c:v>TX_CURR_SUBNAT</c:v>
                </c:pt>
                <c:pt idx="12">
                  <c:v/>
                </c:pt>
                <c:pt idx="13">
                  <c:v>VL_SUPPRESSION_SUBNAT</c:v>
                </c:pt>
              </c:strCache>
            </c:strRef>
          </c:cat>
          <c:val>
            <c:numRef>
              <c:f>Summary!$E$25:$K$25</c:f>
              <c:numCache>
                <c:formatCode>General</c:formatCode>
                <c:ptCount val="7"/>
                <c:pt idx="0">
                  <c:v>193236</c:v>
                </c:pt>
                <c:pt idx="1">
                  <c:v>158165</c:v>
                </c:pt>
                <c:pt idx="2">
                  <c:v>145996</c:v>
                </c:pt>
                <c:pt idx="3">
                  <c:v>0</c:v>
                </c:pt>
                <c:pt idx="4">
                  <c:v>190539</c:v>
                </c:pt>
                <c:pt idx="5">
                  <c:v>175959</c:v>
                </c:pt>
                <c:pt idx="6">
                  <c:v>167161</c:v>
                </c:pt>
              </c:numCache>
            </c:numRef>
          </c:val>
        </c:ser>
        <c:ser>
          <c:idx val="2"/>
          <c:order val="2"/>
          <c:tx>
            <c:strRef>
              <c:f>Summary!$D$26</c:f>
              <c:strCache>
                <c:ptCount val="1"/>
                <c:pt idx="0">
                  <c:v>Males, 15+</c:v>
                </c:pt>
              </c:strCache>
            </c:strRef>
          </c:tx>
          <c:spPr>
            <a:solidFill>
              <a:srgbClr val="a5a5a5"/>
            </a:solidFill>
            <a:ln>
              <a:noFill/>
            </a:ln>
          </c:spPr>
          <c:invertIfNegative val="0"/>
          <c:dLbls>
            <c:numFmt formatCode="#,##0" sourceLinked="1"/>
            <c:dLblPos val="ctr"/>
            <c:showLegendKey val="0"/>
            <c:showVal val="0"/>
            <c:showCatName val="0"/>
            <c:showSerName val="0"/>
            <c:showPercent val="0"/>
            <c:showLeaderLines val="0"/>
          </c:dLbls>
          <c:cat>
            <c:strRef>
              <c:f>Summary!$E$22:$K$23</c:f>
              <c:strCache>
                <c:ptCount val="14"/>
                <c:pt idx="0">
                  <c:v>(FY21)</c:v>
                </c:pt>
                <c:pt idx="1">
                  <c:v>PLHIV</c:v>
                </c:pt>
                <c:pt idx="2">
                  <c:v/>
                </c:pt>
                <c:pt idx="3">
                  <c:v>DIAGNOSED_SUBNAT</c:v>
                </c:pt>
                <c:pt idx="4">
                  <c:v/>
                </c:pt>
                <c:pt idx="5">
                  <c:v>TX_CURR_SUBNAT</c:v>
                </c:pt>
                <c:pt idx="6">
                  <c:v/>
                </c:pt>
                <c:pt idx="7">
                  <c:v>VL_SUPPRESSION_SUBNAT</c:v>
                </c:pt>
                <c:pt idx="8">
                  <c:v>(FY22)</c:v>
                </c:pt>
                <c:pt idx="9">
                  <c:v>DIAGNOSED_SUBNAT</c:v>
                </c:pt>
                <c:pt idx="10">
                  <c:v/>
                </c:pt>
                <c:pt idx="11">
                  <c:v>TX_CURR_SUBNAT</c:v>
                </c:pt>
                <c:pt idx="12">
                  <c:v/>
                </c:pt>
                <c:pt idx="13">
                  <c:v>VL_SUPPRESSION_SUBNAT</c:v>
                </c:pt>
              </c:strCache>
            </c:strRef>
          </c:cat>
          <c:val>
            <c:numRef>
              <c:f>Summary!$E$26:$K$26</c:f>
              <c:numCache>
                <c:formatCode>General</c:formatCode>
                <c:ptCount val="7"/>
                <c:pt idx="0">
                  <c:v>131889</c:v>
                </c:pt>
                <c:pt idx="1">
                  <c:v>99134</c:v>
                </c:pt>
                <c:pt idx="2">
                  <c:v>85154</c:v>
                </c:pt>
                <c:pt idx="3">
                  <c:v>0</c:v>
                </c:pt>
                <c:pt idx="4">
                  <c:v>133062</c:v>
                </c:pt>
                <c:pt idx="5">
                  <c:v>118716</c:v>
                </c:pt>
                <c:pt idx="6">
                  <c:v>112781</c:v>
                </c:pt>
              </c:numCache>
            </c:numRef>
          </c:val>
        </c:ser>
        <c:gapWidth val="150"/>
        <c:overlap val="100"/>
        <c:axId val="57215033"/>
        <c:axId val="33763799"/>
      </c:barChart>
      <c:catAx>
        <c:axId val="5721503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3763799"/>
        <c:crosses val="autoZero"/>
        <c:auto val="1"/>
        <c:lblAlgn val="ctr"/>
        <c:lblOffset val="100"/>
      </c:catAx>
      <c:valAx>
        <c:axId val="33763799"/>
        <c:scaling>
          <c:orientation val="minMax"/>
        </c:scaling>
        <c:delete val="0"/>
        <c:axPos val="l"/>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7215033"/>
        <c:crosses val="autoZero"/>
      </c:valAx>
      <c:spPr>
        <a:noFill/>
        <a:ln>
          <a:noFill/>
        </a:ln>
      </c:spPr>
    </c:plotArea>
    <c:legend>
      <c:legendPos val="l"/>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400" spc="-1" strike="noStrike">
                <a:solidFill>
                  <a:srgbClr val="595959"/>
                </a:solidFill>
                <a:latin typeface="Calibri"/>
              </a:defRPr>
            </a:pPr>
            <a:r>
              <a:rPr b="1" sz="1400" spc="-1" strike="noStrike">
                <a:solidFill>
                  <a:srgbClr val="595959"/>
                </a:solidFill>
                <a:latin typeface="Calibri"/>
              </a:rPr>
              <a:t>PEPFAR FY22 Targets Overview</a:t>
            </a:r>
          </a:p>
        </c:rich>
      </c:tx>
      <c:overlay val="0"/>
      <c:spPr>
        <a:noFill/>
        <a:ln>
          <a:noFill/>
        </a:ln>
      </c:spPr>
    </c:title>
    <c:autoTitleDeleted val="0"/>
    <c:plotArea>
      <c:barChart>
        <c:barDir val="col"/>
        <c:grouping val="stacked"/>
        <c:varyColors val="0"/>
        <c:ser>
          <c:idx val="0"/>
          <c:order val="0"/>
          <c:tx>
            <c:strRef>
              <c:f>Summary!$D$42</c:f>
              <c:strCache>
                <c:ptCount val="1"/>
                <c:pt idx="0">
                  <c:v>&lt;15</c:v>
                </c:pt>
              </c:strCache>
            </c:strRef>
          </c:tx>
          <c:spPr>
            <a:solidFill>
              <a:srgbClr val="4472c4"/>
            </a:solidFill>
            <a:ln>
              <a:noFill/>
            </a:ln>
          </c:spPr>
          <c:invertIfNegative val="0"/>
          <c:dLbls>
            <c:numFmt formatCode="#,##0" sourceLinked="1"/>
            <c:dLblPos val="ctr"/>
            <c:showLegendKey val="0"/>
            <c:showVal val="0"/>
            <c:showCatName val="0"/>
            <c:showSerName val="0"/>
            <c:showPercent val="0"/>
            <c:showLeaderLines val="0"/>
          </c:dLbls>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General</c:formatCode>
                <c:ptCount val="6"/>
                <c:pt idx="0">
                  <c:v>57651</c:v>
                </c:pt>
                <c:pt idx="1">
                  <c:v>-19265</c:v>
                </c:pt>
                <c:pt idx="2">
                  <c:v>205450</c:v>
                </c:pt>
                <c:pt idx="3">
                  <c:v>206728</c:v>
                </c:pt>
                <c:pt idx="4">
                  <c:v>145123</c:v>
                </c:pt>
                <c:pt idx="5">
                  <c:v>137874</c:v>
                </c:pt>
              </c:numCache>
            </c:numRef>
          </c:val>
        </c:ser>
        <c:ser>
          <c:idx val="1"/>
          <c:order val="1"/>
          <c:tx>
            <c:strRef>
              <c:f>Summary!$D$43</c:f>
              <c:strCache>
                <c:ptCount val="1"/>
                <c:pt idx="0">
                  <c:v>Females, 15+</c:v>
                </c:pt>
              </c:strCache>
            </c:strRef>
          </c:tx>
          <c:spPr>
            <a:solidFill>
              <a:srgbClr val="ed7d31"/>
            </a:solidFill>
            <a:ln>
              <a:noFill/>
            </a:ln>
          </c:spPr>
          <c:invertIfNegative val="0"/>
          <c:dLbls>
            <c:numFmt formatCode="#,##0" sourceLinked="1"/>
            <c:dLblPos val="ctr"/>
            <c:showLegendKey val="0"/>
            <c:showVal val="0"/>
            <c:showCatName val="0"/>
            <c:showSerName val="0"/>
            <c:showPercent val="0"/>
            <c:showLeaderLines val="0"/>
          </c:dLbls>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General</c:formatCode>
                <c:ptCount val="6"/>
                <c:pt idx="0">
                  <c:v>5007</c:v>
                </c:pt>
                <c:pt idx="1">
                  <c:v>-1104066</c:v>
                </c:pt>
                <c:pt idx="2">
                  <c:v>552</c:v>
                </c:pt>
                <c:pt idx="3">
                  <c:v>2700</c:v>
                </c:pt>
                <c:pt idx="4">
                  <c:v>2581</c:v>
                </c:pt>
                <c:pt idx="5">
                  <c:v>2453</c:v>
                </c:pt>
              </c:numCache>
            </c:numRef>
          </c:val>
        </c:ser>
        <c:ser>
          <c:idx val="2"/>
          <c:order val="2"/>
          <c:tx>
            <c:strRef>
              <c:f>Summary!$D$44</c:f>
              <c:strCache>
                <c:ptCount val="1"/>
                <c:pt idx="0">
                  <c:v>Males, 15+</c:v>
                </c:pt>
              </c:strCache>
            </c:strRef>
          </c:tx>
          <c:spPr>
            <a:solidFill>
              <a:srgbClr val="a5a5a5"/>
            </a:solidFill>
            <a:ln>
              <a:noFill/>
            </a:ln>
          </c:spPr>
          <c:invertIfNegative val="0"/>
          <c:dLbls>
            <c:numFmt formatCode="#,##0" sourceLinked="1"/>
            <c:dLblPos val="ctr"/>
            <c:showLegendKey val="0"/>
            <c:showVal val="0"/>
            <c:showCatName val="0"/>
            <c:showSerName val="0"/>
            <c:showPercent val="0"/>
            <c:showLeaderLines val="0"/>
          </c:dLbls>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General</c:formatCode>
                <c:ptCount val="6"/>
                <c:pt idx="0">
                  <c:v>108176</c:v>
                </c:pt>
                <c:pt idx="1">
                  <c:v>-670266</c:v>
                </c:pt>
                <c:pt idx="2">
                  <c:v>1087</c:v>
                </c:pt>
                <c:pt idx="3">
                  <c:v>3189</c:v>
                </c:pt>
                <c:pt idx="4">
                  <c:v>2929</c:v>
                </c:pt>
                <c:pt idx="5">
                  <c:v>2788</c:v>
                </c:pt>
              </c:numCache>
            </c:numRef>
          </c:val>
        </c:ser>
        <c:gapWidth val="150"/>
        <c:overlap val="100"/>
        <c:axId val="99894537"/>
        <c:axId val="55304590"/>
      </c:barChart>
      <c:catAx>
        <c:axId val="99894537"/>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5304590"/>
        <c:crosses val="autoZero"/>
        <c:auto val="1"/>
        <c:lblAlgn val="ctr"/>
        <c:lblOffset val="100"/>
      </c:catAx>
      <c:valAx>
        <c:axId val="55304590"/>
        <c:scaling>
          <c:orientation val="minMax"/>
        </c:scaling>
        <c:delete val="0"/>
        <c:axPos val="l"/>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99894537"/>
        <c:crosses val="autoZero"/>
      </c:valAx>
      <c:spPr>
        <a:noFill/>
        <a:ln>
          <a:noFill/>
        </a:ln>
      </c:spPr>
    </c:plotArea>
    <c:legend>
      <c:legendPos val="l"/>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28800</xdr:colOff>
      <xdr:row>10</xdr:row>
      <xdr:rowOff>7920</xdr:rowOff>
    </xdr:from>
    <xdr:to>
      <xdr:col>8</xdr:col>
      <xdr:colOff>472680</xdr:colOff>
      <xdr:row>20</xdr:row>
      <xdr:rowOff>253080</xdr:rowOff>
    </xdr:to>
    <xdr:graphicFrame>
      <xdr:nvGraphicFramePr>
        <xdr:cNvPr id="0" name="Chart 5"/>
        <xdr:cNvGraphicFramePr/>
      </xdr:nvGraphicFramePr>
      <xdr:xfrm>
        <a:off x="2493720" y="2916000"/>
        <a:ext cx="5409720" cy="4055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28800</xdr:colOff>
      <xdr:row>10</xdr:row>
      <xdr:rowOff>7920</xdr:rowOff>
    </xdr:from>
    <xdr:to>
      <xdr:col>17</xdr:col>
      <xdr:colOff>992520</xdr:colOff>
      <xdr:row>20</xdr:row>
      <xdr:rowOff>253080</xdr:rowOff>
    </xdr:to>
    <xdr:graphicFrame>
      <xdr:nvGraphicFramePr>
        <xdr:cNvPr id="1" name="Chart 6"/>
        <xdr:cNvGraphicFramePr/>
      </xdr:nvGraphicFramePr>
      <xdr:xfrm>
        <a:off x="2493720" y="2916000"/>
        <a:ext cx="14867640" cy="40550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28800</xdr:colOff>
      <xdr:row>28</xdr:row>
      <xdr:rowOff>7920</xdr:rowOff>
    </xdr:from>
    <xdr:to>
      <xdr:col>17</xdr:col>
      <xdr:colOff>992520</xdr:colOff>
      <xdr:row>38</xdr:row>
      <xdr:rowOff>253080</xdr:rowOff>
    </xdr:to>
    <xdr:graphicFrame>
      <xdr:nvGraphicFramePr>
        <xdr:cNvPr id="2" name="Chart 7"/>
        <xdr:cNvGraphicFramePr/>
      </xdr:nvGraphicFramePr>
      <xdr:xfrm>
        <a:off x="2493720" y="9240480"/>
        <a:ext cx="14867640" cy="40554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2.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3.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4.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5.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6.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7.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8.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9.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0.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B2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Q2:Q1432 A1"/>
    </sheetView>
  </sheetViews>
  <sheetFormatPr defaultRowHeight="15" zeroHeight="false" outlineLevelRow="0" outlineLevelCol="0"/>
  <cols>
    <col collapsed="false" customWidth="true" hidden="false" outlineLevel="0" max="1" min="1" style="0" width="4.82"/>
    <col collapsed="false" customWidth="true" hidden="false" outlineLevel="0" max="1025" min="2" style="0" width="10.61"/>
  </cols>
  <sheetData>
    <row r="2" customFormat="false" ht="47" hidden="false" customHeight="true" outlineLevel="0" collapsed="false">
      <c r="B2" s="1" t="s">
        <v>0</v>
      </c>
    </row>
    <row r="10" customFormat="false" ht="97" hidden="false" customHeight="true" outlineLevel="0" collapsed="false">
      <c r="B10" s="2" t="s">
        <v>1</v>
      </c>
    </row>
    <row r="20" customFormat="false" ht="82" hidden="false" customHeight="true" outlineLevel="0" collapsed="false">
      <c r="B20" s="3" t="s">
        <v>2</v>
      </c>
    </row>
    <row r="25" customFormat="false" ht="15" hidden="false" customHeight="false" outlineLevel="0" collapsed="false">
      <c r="B25" s="0" t="s">
        <v>3</v>
      </c>
    </row>
    <row r="27" customFormat="false" ht="15" hidden="false" customHeight="false" outlineLevel="0" collapsed="false">
      <c r="B27" s="0" t="s">
        <v>4</v>
      </c>
    </row>
    <row r="29" customFormat="false" ht="15" hidden="false" customHeight="false" outlineLevel="0" collapsed="false">
      <c r="B29" s="0"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S48"/>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1" sqref="Q2:Q1432 A1"/>
    </sheetView>
  </sheetViews>
  <sheetFormatPr defaultRowHeight="15" zeroHeight="false" outlineLevelRow="0" outlineLevelCol="0"/>
  <cols>
    <col collapsed="false" customWidth="true" hidden="false" outlineLevel="0" max="1" min="1" style="0" width="4.5"/>
    <col collapsed="false" customWidth="true" hidden="false" outlineLevel="0" max="2" min="2" style="0" width="23.51"/>
    <col collapsed="false" customWidth="true" hidden="false" outlineLevel="0" max="3" min="3" style="0" width="3.83"/>
    <col collapsed="false" customWidth="true" hidden="false" outlineLevel="0" max="18" min="4" style="0" width="12.83"/>
    <col collapsed="false" customWidth="true" hidden="false" outlineLevel="0" max="19" min="19" style="0" width="3.83"/>
    <col collapsed="false" customWidth="true" hidden="false" outlineLevel="0" max="1025" min="20" style="0" width="10.61"/>
  </cols>
  <sheetData>
    <row r="1" customFormat="false" ht="48" hidden="false" customHeight="true" outlineLevel="0" collapsed="false">
      <c r="A1" s="4" t="s">
        <v>6</v>
      </c>
      <c r="B1" s="4"/>
      <c r="C1" s="5"/>
      <c r="D1" s="6" t="str">
        <f aca="false">"Hello, "&amp;Home!$B$20&amp;" Team"</f>
        <v>Hello, Lesotho Team</v>
      </c>
      <c r="E1" s="5"/>
      <c r="F1" s="5"/>
      <c r="G1" s="5"/>
      <c r="H1" s="5"/>
      <c r="I1" s="5"/>
      <c r="J1" s="5"/>
      <c r="K1" s="5"/>
      <c r="L1" s="5"/>
      <c r="M1" s="5"/>
      <c r="N1" s="5"/>
      <c r="O1" s="5"/>
      <c r="P1" s="5"/>
      <c r="Q1" s="5"/>
      <c r="R1" s="7" t="str">
        <f aca="true">TEXT(TODAY(),"ddd, mmm dd")</f>
        <v>Thu, May 27</v>
      </c>
      <c r="S1" s="5"/>
    </row>
    <row r="2" customFormat="false" ht="21" hidden="false" customHeight="true" outlineLevel="0" collapsed="false">
      <c r="A2" s="8" t="s">
        <v>7</v>
      </c>
      <c r="B2" s="8"/>
      <c r="C2" s="5"/>
      <c r="D2" s="5"/>
      <c r="E2" s="5"/>
      <c r="F2" s="5"/>
      <c r="G2" s="5"/>
      <c r="H2" s="5"/>
      <c r="I2" s="5"/>
      <c r="J2" s="5"/>
      <c r="K2" s="5"/>
      <c r="L2" s="5"/>
      <c r="M2" s="5"/>
      <c r="N2" s="5"/>
      <c r="O2" s="5"/>
      <c r="P2" s="5"/>
      <c r="Q2" s="5"/>
      <c r="R2" s="5"/>
      <c r="S2" s="5"/>
    </row>
    <row r="3" customFormat="false" ht="15" hidden="false" customHeight="false" outlineLevel="0" collapsed="false">
      <c r="A3" s="9"/>
      <c r="B3" s="10"/>
      <c r="C3" s="5"/>
      <c r="D3" s="5"/>
      <c r="E3" s="5"/>
      <c r="F3" s="5"/>
      <c r="G3" s="5"/>
      <c r="H3" s="5"/>
      <c r="I3" s="5"/>
      <c r="J3" s="5"/>
      <c r="K3" s="5"/>
      <c r="L3" s="5"/>
      <c r="M3" s="5"/>
      <c r="N3" s="5"/>
      <c r="O3" s="5"/>
      <c r="P3" s="5"/>
      <c r="Q3" s="5"/>
      <c r="R3" s="5"/>
      <c r="S3" s="5"/>
    </row>
    <row r="4" customFormat="false" ht="15" hidden="false" customHeight="false" outlineLevel="0" collapsed="false">
      <c r="A4" s="9"/>
      <c r="B4" s="10"/>
      <c r="C4" s="5"/>
      <c r="D4" s="5"/>
      <c r="E4" s="5"/>
      <c r="F4" s="5"/>
      <c r="G4" s="5"/>
      <c r="H4" s="5"/>
      <c r="I4" s="5"/>
      <c r="J4" s="5"/>
      <c r="K4" s="5"/>
      <c r="L4" s="5"/>
      <c r="M4" s="5"/>
      <c r="N4" s="5"/>
      <c r="O4" s="5"/>
      <c r="P4" s="5"/>
      <c r="Q4" s="5"/>
      <c r="R4" s="5"/>
      <c r="S4" s="5"/>
    </row>
    <row r="5" customFormat="false" ht="20" hidden="false" customHeight="true" outlineLevel="0" collapsed="false">
      <c r="A5" s="11" t="n">
        <v>1</v>
      </c>
      <c r="B5" s="12" t="s">
        <v>8</v>
      </c>
      <c r="C5" s="5"/>
      <c r="D5" s="13" t="s">
        <v>9</v>
      </c>
      <c r="E5" s="14"/>
      <c r="F5" s="15"/>
      <c r="G5" s="5"/>
      <c r="H5" s="13" t="s">
        <v>10</v>
      </c>
      <c r="I5" s="14"/>
      <c r="J5" s="15"/>
      <c r="K5" s="5"/>
      <c r="L5" s="13" t="s">
        <v>11</v>
      </c>
      <c r="M5" s="16"/>
      <c r="N5" s="15"/>
      <c r="O5" s="5"/>
      <c r="P5" s="13" t="s">
        <v>12</v>
      </c>
      <c r="Q5" s="14"/>
      <c r="R5" s="15"/>
      <c r="S5" s="5"/>
    </row>
    <row r="6" customFormat="false" ht="20" hidden="false" customHeight="true" outlineLevel="0" collapsed="false">
      <c r="A6" s="11"/>
      <c r="B6" s="12"/>
      <c r="C6" s="5"/>
      <c r="D6" s="17" t="n">
        <f aca="false">IFERROR(SUM(Cascade!$P:$P)/SUM(Cascade!$H:$H),"")</f>
        <v>0.710192582876222</v>
      </c>
      <c r="E6" s="17"/>
      <c r="F6" s="17"/>
      <c r="G6" s="5"/>
      <c r="H6" s="18" t="n">
        <f aca="false">SUM(Cascade!$P:$P)-Cascade!$P$4</f>
        <v>238227</v>
      </c>
      <c r="I6" s="18"/>
      <c r="J6" s="18"/>
      <c r="K6" s="5"/>
      <c r="L6" s="18" t="n">
        <f aca="false">SUM(Cascade!$AE:$AE)-Cascade!$AE$4</f>
        <v>212617</v>
      </c>
      <c r="M6" s="18"/>
      <c r="N6" s="18"/>
      <c r="O6" s="5"/>
      <c r="P6" s="17" t="n">
        <f aca="false">IFERROR(SUM(Cascade!$H:$H)/SUM(Cascade!$F:$F),"")</f>
        <v>0.162566243660358</v>
      </c>
      <c r="Q6" s="17"/>
      <c r="R6" s="17"/>
      <c r="S6" s="5"/>
    </row>
    <row r="7" customFormat="false" ht="20" hidden="false" customHeight="true" outlineLevel="0" collapsed="false">
      <c r="A7" s="19" t="n">
        <v>2</v>
      </c>
      <c r="B7" s="12" t="s">
        <v>13</v>
      </c>
      <c r="C7" s="5"/>
      <c r="D7" s="17"/>
      <c r="E7" s="17"/>
      <c r="F7" s="17"/>
      <c r="G7" s="5"/>
      <c r="H7" s="18"/>
      <c r="I7" s="18"/>
      <c r="J7" s="18"/>
      <c r="K7" s="5"/>
      <c r="L7" s="18"/>
      <c r="M7" s="18"/>
      <c r="N7" s="18"/>
      <c r="O7" s="5"/>
      <c r="P7" s="17"/>
      <c r="Q7" s="17"/>
      <c r="R7" s="17"/>
      <c r="S7" s="5"/>
    </row>
    <row r="8" customFormat="false" ht="20" hidden="false" customHeight="true" outlineLevel="0" collapsed="false">
      <c r="A8" s="11"/>
      <c r="B8" s="12"/>
      <c r="C8" s="5"/>
      <c r="D8" s="17"/>
      <c r="E8" s="17"/>
      <c r="F8" s="17"/>
      <c r="G8" s="5"/>
      <c r="H8" s="18"/>
      <c r="I8" s="18"/>
      <c r="J8" s="18"/>
      <c r="K8" s="5"/>
      <c r="L8" s="18"/>
      <c r="M8" s="18"/>
      <c r="N8" s="18"/>
      <c r="O8" s="5"/>
      <c r="P8" s="17"/>
      <c r="Q8" s="17"/>
      <c r="R8" s="17"/>
      <c r="S8" s="5"/>
    </row>
    <row r="9" customFormat="false" ht="20" hidden="false" customHeight="true" outlineLevel="0" collapsed="false">
      <c r="A9" s="11"/>
      <c r="B9" s="12"/>
      <c r="C9" s="5"/>
      <c r="D9" s="20"/>
      <c r="E9" s="21"/>
      <c r="F9" s="22"/>
      <c r="G9" s="5"/>
      <c r="H9" s="20"/>
      <c r="I9" s="21"/>
      <c r="J9" s="22"/>
      <c r="K9" s="5"/>
      <c r="L9" s="20"/>
      <c r="M9" s="21"/>
      <c r="N9" s="22"/>
      <c r="O9" s="5"/>
      <c r="P9" s="20"/>
      <c r="Q9" s="21"/>
      <c r="R9" s="22"/>
      <c r="S9" s="5"/>
    </row>
    <row r="10" customFormat="false" ht="30" hidden="false" customHeight="true" outlineLevel="0" collapsed="false">
      <c r="A10" s="9"/>
      <c r="B10" s="10"/>
      <c r="C10" s="23"/>
      <c r="D10" s="23"/>
      <c r="E10" s="23"/>
      <c r="F10" s="23"/>
      <c r="G10" s="23"/>
      <c r="H10" s="23"/>
      <c r="I10" s="23"/>
      <c r="J10" s="23"/>
      <c r="K10" s="23"/>
      <c r="L10" s="23"/>
      <c r="M10" s="23"/>
      <c r="N10" s="23"/>
      <c r="O10" s="23"/>
      <c r="P10" s="23"/>
      <c r="Q10" s="23"/>
      <c r="R10" s="23"/>
      <c r="S10" s="23"/>
    </row>
    <row r="11" customFormat="false" ht="30" hidden="false" customHeight="true" outlineLevel="0" collapsed="false">
      <c r="A11" s="9"/>
      <c r="B11" s="10"/>
      <c r="C11" s="23"/>
      <c r="D11" s="24"/>
      <c r="E11" s="25"/>
      <c r="F11" s="25"/>
      <c r="G11" s="25"/>
      <c r="H11" s="25"/>
      <c r="I11" s="25"/>
      <c r="J11" s="25"/>
      <c r="K11" s="25"/>
      <c r="L11" s="25"/>
      <c r="M11" s="25"/>
      <c r="N11" s="25"/>
      <c r="O11" s="25"/>
      <c r="P11" s="25"/>
      <c r="Q11" s="25"/>
      <c r="R11" s="26"/>
      <c r="S11" s="23"/>
    </row>
    <row r="12" customFormat="false" ht="30" hidden="false" customHeight="true" outlineLevel="0" collapsed="false">
      <c r="A12" s="9"/>
      <c r="B12" s="10"/>
      <c r="C12" s="23"/>
      <c r="D12" s="27"/>
      <c r="E12" s="23"/>
      <c r="F12" s="23"/>
      <c r="G12" s="23"/>
      <c r="H12" s="23"/>
      <c r="I12" s="23"/>
      <c r="J12" s="23"/>
      <c r="K12" s="23"/>
      <c r="L12" s="23"/>
      <c r="M12" s="23"/>
      <c r="N12" s="23"/>
      <c r="O12" s="23"/>
      <c r="P12" s="23"/>
      <c r="Q12" s="23"/>
      <c r="R12" s="28"/>
      <c r="S12" s="23"/>
    </row>
    <row r="13" customFormat="false" ht="30" hidden="false" customHeight="true" outlineLevel="0" collapsed="false">
      <c r="A13" s="9"/>
      <c r="B13" s="10"/>
      <c r="C13" s="23"/>
      <c r="D13" s="27"/>
      <c r="E13" s="23"/>
      <c r="F13" s="23"/>
      <c r="G13" s="23"/>
      <c r="H13" s="23"/>
      <c r="I13" s="23"/>
      <c r="J13" s="23"/>
      <c r="K13" s="23"/>
      <c r="L13" s="23"/>
      <c r="M13" s="23"/>
      <c r="N13" s="23"/>
      <c r="O13" s="23"/>
      <c r="P13" s="23"/>
      <c r="Q13" s="23"/>
      <c r="R13" s="28"/>
      <c r="S13" s="23"/>
    </row>
    <row r="14" customFormat="false" ht="30" hidden="false" customHeight="true" outlineLevel="0" collapsed="false">
      <c r="A14" s="9"/>
      <c r="B14" s="10"/>
      <c r="C14" s="23"/>
      <c r="D14" s="27"/>
      <c r="E14" s="23"/>
      <c r="F14" s="23"/>
      <c r="G14" s="23"/>
      <c r="H14" s="23"/>
      <c r="I14" s="23"/>
      <c r="J14" s="23"/>
      <c r="K14" s="23"/>
      <c r="L14" s="23"/>
      <c r="M14" s="23"/>
      <c r="N14" s="23"/>
      <c r="O14" s="23"/>
      <c r="P14" s="23"/>
      <c r="Q14" s="23"/>
      <c r="R14" s="28"/>
      <c r="S14" s="23"/>
    </row>
    <row r="15" customFormat="false" ht="30" hidden="false" customHeight="true" outlineLevel="0" collapsed="false">
      <c r="A15" s="9"/>
      <c r="B15" s="10"/>
      <c r="C15" s="23"/>
      <c r="D15" s="27"/>
      <c r="E15" s="23"/>
      <c r="F15" s="23"/>
      <c r="G15" s="23"/>
      <c r="H15" s="23"/>
      <c r="I15" s="23"/>
      <c r="J15" s="23"/>
      <c r="K15" s="23"/>
      <c r="L15" s="23"/>
      <c r="M15" s="23"/>
      <c r="N15" s="23"/>
      <c r="O15" s="23"/>
      <c r="P15" s="23"/>
      <c r="Q15" s="23"/>
      <c r="R15" s="28"/>
      <c r="S15" s="23"/>
    </row>
    <row r="16" customFormat="false" ht="30" hidden="false" customHeight="true" outlineLevel="0" collapsed="false">
      <c r="A16" s="9"/>
      <c r="B16" s="10"/>
      <c r="C16" s="23"/>
      <c r="D16" s="27"/>
      <c r="E16" s="23"/>
      <c r="F16" s="23"/>
      <c r="G16" s="23"/>
      <c r="H16" s="23"/>
      <c r="I16" s="23"/>
      <c r="J16" s="23"/>
      <c r="K16" s="23"/>
      <c r="L16" s="23"/>
      <c r="M16" s="23"/>
      <c r="N16" s="23"/>
      <c r="O16" s="23"/>
      <c r="P16" s="23"/>
      <c r="Q16" s="23"/>
      <c r="R16" s="28"/>
      <c r="S16" s="23"/>
    </row>
    <row r="17" customFormat="false" ht="30" hidden="false" customHeight="true" outlineLevel="0" collapsed="false">
      <c r="A17" s="9"/>
      <c r="B17" s="10"/>
      <c r="C17" s="23"/>
      <c r="D17" s="27"/>
      <c r="E17" s="23"/>
      <c r="F17" s="23"/>
      <c r="G17" s="23"/>
      <c r="H17" s="23"/>
      <c r="I17" s="23"/>
      <c r="J17" s="23"/>
      <c r="K17" s="23"/>
      <c r="L17" s="23"/>
      <c r="M17" s="23"/>
      <c r="N17" s="23"/>
      <c r="O17" s="23"/>
      <c r="P17" s="23"/>
      <c r="Q17" s="23"/>
      <c r="R17" s="28"/>
      <c r="S17" s="23"/>
    </row>
    <row r="18" customFormat="false" ht="30" hidden="false" customHeight="true" outlineLevel="0" collapsed="false">
      <c r="A18" s="9"/>
      <c r="B18" s="10"/>
      <c r="C18" s="23"/>
      <c r="D18" s="27"/>
      <c r="E18" s="23"/>
      <c r="F18" s="23"/>
      <c r="G18" s="23"/>
      <c r="H18" s="23"/>
      <c r="I18" s="23"/>
      <c r="J18" s="23"/>
      <c r="K18" s="23"/>
      <c r="L18" s="23"/>
      <c r="M18" s="23"/>
      <c r="N18" s="23"/>
      <c r="O18" s="23"/>
      <c r="P18" s="23"/>
      <c r="Q18" s="23"/>
      <c r="R18" s="28"/>
      <c r="S18" s="23"/>
    </row>
    <row r="19" customFormat="false" ht="30" hidden="false" customHeight="true" outlineLevel="0" collapsed="false">
      <c r="A19" s="9"/>
      <c r="B19" s="10"/>
      <c r="C19" s="23"/>
      <c r="D19" s="27"/>
      <c r="E19" s="23"/>
      <c r="F19" s="23"/>
      <c r="G19" s="23"/>
      <c r="H19" s="23"/>
      <c r="I19" s="23"/>
      <c r="J19" s="23"/>
      <c r="K19" s="23"/>
      <c r="L19" s="23"/>
      <c r="M19" s="23"/>
      <c r="N19" s="23"/>
      <c r="O19" s="23"/>
      <c r="P19" s="23"/>
      <c r="Q19" s="23"/>
      <c r="R19" s="28"/>
      <c r="S19" s="23"/>
    </row>
    <row r="20" customFormat="false" ht="30" hidden="false" customHeight="true" outlineLevel="0" collapsed="false">
      <c r="A20" s="9"/>
      <c r="B20" s="10"/>
      <c r="C20" s="23"/>
      <c r="D20" s="27"/>
      <c r="E20" s="23"/>
      <c r="F20" s="23"/>
      <c r="G20" s="23"/>
      <c r="H20" s="23"/>
      <c r="I20" s="23"/>
      <c r="J20" s="23"/>
      <c r="K20" s="23"/>
      <c r="L20" s="23"/>
      <c r="M20" s="23"/>
      <c r="N20" s="23"/>
      <c r="O20" s="23"/>
      <c r="P20" s="23"/>
      <c r="Q20" s="23"/>
      <c r="R20" s="28"/>
      <c r="S20" s="23"/>
    </row>
    <row r="21" customFormat="false" ht="30" hidden="false" customHeight="true" outlineLevel="0" collapsed="false">
      <c r="A21" s="9"/>
      <c r="B21" s="10"/>
      <c r="C21" s="23"/>
      <c r="D21" s="27"/>
      <c r="E21" s="23"/>
      <c r="F21" s="23"/>
      <c r="G21" s="23"/>
      <c r="H21" s="23"/>
      <c r="I21" s="23"/>
      <c r="J21" s="23"/>
      <c r="K21" s="23"/>
      <c r="L21" s="23"/>
      <c r="M21" s="23"/>
      <c r="N21" s="23"/>
      <c r="O21" s="23"/>
      <c r="P21" s="23"/>
      <c r="Q21" s="23"/>
      <c r="R21" s="28"/>
      <c r="S21" s="23"/>
    </row>
    <row r="22" customFormat="false" ht="30" hidden="false" customHeight="true" outlineLevel="0" collapsed="false">
      <c r="A22" s="9"/>
      <c r="B22" s="10"/>
      <c r="C22" s="23"/>
      <c r="D22" s="27"/>
      <c r="E22" s="29" t="s">
        <v>14</v>
      </c>
      <c r="F22" s="29"/>
      <c r="G22" s="29"/>
      <c r="H22" s="29"/>
      <c r="I22" s="30" t="s">
        <v>15</v>
      </c>
      <c r="J22" s="30"/>
      <c r="K22" s="30"/>
      <c r="L22" s="23"/>
      <c r="M22" s="23"/>
      <c r="N22" s="23"/>
      <c r="O22" s="23"/>
      <c r="P22" s="23"/>
      <c r="Q22" s="23"/>
      <c r="R22" s="28"/>
      <c r="S22" s="23"/>
    </row>
    <row r="23" customFormat="false" ht="30" hidden="false" customHeight="true" outlineLevel="0" collapsed="false">
      <c r="A23" s="9"/>
      <c r="B23" s="10"/>
      <c r="C23" s="23"/>
      <c r="D23" s="31"/>
      <c r="E23" s="32" t="s">
        <v>16</v>
      </c>
      <c r="F23" s="32" t="s">
        <v>17</v>
      </c>
      <c r="G23" s="32" t="s">
        <v>18</v>
      </c>
      <c r="H23" s="32" t="s">
        <v>19</v>
      </c>
      <c r="I23" s="32" t="s">
        <v>17</v>
      </c>
      <c r="J23" s="32" t="s">
        <v>18</v>
      </c>
      <c r="K23" s="33" t="s">
        <v>19</v>
      </c>
      <c r="M23" s="23"/>
      <c r="N23" s="23"/>
      <c r="O23" s="23"/>
      <c r="P23" s="23"/>
      <c r="Q23" s="23"/>
      <c r="R23" s="28"/>
      <c r="S23" s="23"/>
    </row>
    <row r="24" customFormat="false" ht="16" hidden="false" customHeight="true" outlineLevel="0" collapsed="false">
      <c r="A24" s="9"/>
      <c r="B24" s="10"/>
      <c r="C24" s="23"/>
      <c r="D24" s="34" t="s">
        <v>20</v>
      </c>
      <c r="E24" s="35" t="n">
        <f aca="false" t="array" ref="E24:E24">SUM(SUMIFS(Cascade!$H:$H,Cascade!$C:$C,{"=&lt;01","01-04","05-09","10-14"}))</f>
        <v>10315</v>
      </c>
      <c r="F24" s="35" t="n">
        <f aca="false" t="array" ref="F24:F24">SUM(SUMIFS(Cascade!$L:$L,Cascade!$C:$C,{"=&lt;01","01-04","05-09","10-14"}))</f>
        <v>6420</v>
      </c>
      <c r="G24" s="35" t="n">
        <f aca="false" t="array" ref="G24:G24">SUM(SUMIFS(Cascade!$P:$P,Cascade!$C:$C,{"=&lt;01","01-04","05-09","10-14"}))</f>
        <v>7077</v>
      </c>
      <c r="H24" s="35" t="n">
        <f aca="false" t="array" ref="H24:H24">SUM(SUMIFS(Cascade!$R:$R,Cascade!$C:$C,{"=&lt;01","01-04","05-09","10-14"}))</f>
        <v>0</v>
      </c>
      <c r="I24" s="35" t="n">
        <f aca="false" t="array" ref="I24:I24">SUM(SUMIFS(Cascade!$BT:$BT,Cascade!$C:$C,{"=&lt;01","01-04","05-09","10-14"}))</f>
        <v>229476</v>
      </c>
      <c r="J24" s="35" t="n">
        <f aca="false" t="array" ref="J24:J24">SUM(SUMIFS(Cascade!$AA:$AA,Cascade!$C:$C,{"=&lt;01","01-04","05-09","10-14"}))</f>
        <v>9627</v>
      </c>
      <c r="K24" s="36" t="n">
        <f aca="false" t="array" ref="K24:K24">SUM(SUMIFS(Cascade!$AU:$AU,Cascade!$C:$C,{"=&lt;01","01-04","05-09","10-14"}))</f>
        <v>9151</v>
      </c>
      <c r="M24" s="23"/>
      <c r="N24" s="23"/>
      <c r="O24" s="23"/>
      <c r="P24" s="23"/>
      <c r="Q24" s="23"/>
      <c r="R24" s="28"/>
      <c r="S24" s="23"/>
    </row>
    <row r="25" customFormat="false" ht="16" hidden="false" customHeight="true" outlineLevel="0" collapsed="false">
      <c r="A25" s="9"/>
      <c r="B25" s="10"/>
      <c r="C25" s="23"/>
      <c r="D25" s="37" t="s">
        <v>21</v>
      </c>
      <c r="E25" s="35" t="n">
        <f aca="false" t="array" ref="E25:E25">SUM(SUMIFS(Cascade!$H:$H,Cascade!$C:$C,{"15-19","20-24","25-29","30-34","35-39","40-44","45-49","50+"},Cascade!$D:$D,"Female"))</f>
        <v>193236</v>
      </c>
      <c r="F25" s="35" t="n">
        <f aca="false" t="array" ref="F25:F25">SUM(SUMIFS(Cascade!$L:$L,Cascade!$C:$C,{"15-19","20-24","25-29","30-34","35-39","40-44","45-49","50+"},Cascade!$D:$D,"Female"))</f>
        <v>158165</v>
      </c>
      <c r="G25" s="35" t="n">
        <f aca="false" t="array" ref="G25:G25">SUM(SUMIFS(Cascade!$P:$P,Cascade!$C:$C,{"15-19","20-24","25-29","30-34","35-39","40-44","45-49","50+"},Cascade!$D:$D,"Female"))</f>
        <v>145996</v>
      </c>
      <c r="H25" s="35" t="n">
        <f aca="false" t="array" ref="H25:H25">SUM(SUMIFS(Cascade!$R:$R,Cascade!$C:$C,{"15-19","20-24","25-29","30-34","35-39","40-44","45-49","50+"},Cascade!$D:$D,"Female"))</f>
        <v>0</v>
      </c>
      <c r="I25" s="35" t="n">
        <f aca="false" t="array" ref="I25:I25">SUM(SUMIFS(Cascade!$BT:$BT,Cascade!$C:$C,{"15-19","20-24","25-29","30-34","35-39","40-44","45-49","50+"},Cascade!$D:$D,"Female"))</f>
        <v>190539</v>
      </c>
      <c r="J25" s="35" t="n">
        <f aca="false" t="array" ref="J25:J25">SUM(SUMIFS(Cascade!$AA:$AA,Cascade!$C:$C,{"15-19","20-24","25-29","30-34","35-39","40-44","45-49","50+"},Cascade!$D:$D,"Female"))</f>
        <v>175959</v>
      </c>
      <c r="K25" s="36" t="n">
        <f aca="false" t="array" ref="K25:K25">SUM(SUMIFS(Cascade!$AU:$AU,Cascade!$C:$C,{"15-19","20-24","25-29","30-34","35-39","40-44","45-49","50+"},Cascade!$D:$D,"Female"))</f>
        <v>167161</v>
      </c>
      <c r="M25" s="23"/>
      <c r="N25" s="23"/>
      <c r="O25" s="23"/>
      <c r="P25" s="23"/>
      <c r="Q25" s="23"/>
      <c r="R25" s="28"/>
      <c r="S25" s="23"/>
    </row>
    <row r="26" customFormat="false" ht="16" hidden="false" customHeight="true" outlineLevel="0" collapsed="false">
      <c r="A26" s="9"/>
      <c r="B26" s="10"/>
      <c r="C26" s="23"/>
      <c r="D26" s="38" t="s">
        <v>22</v>
      </c>
      <c r="E26" s="39" t="n">
        <f aca="false" t="array" ref="E26:E26">SUM(SUMIFS(Cascade!$H:$H,Cascade!$C:$C,{"15-19","20-24","25-29","30-34","35-39","40-44","45-49","50+"},Cascade!$D:$D,"Male"))</f>
        <v>131889</v>
      </c>
      <c r="F26" s="39" t="n">
        <f aca="false" t="array" ref="F26:F26">SUM(SUMIFS(Cascade!$L:$L,Cascade!$C:$C,{"15-19","20-24","25-29","30-34","35-39","40-44","45-49","50+"},Cascade!$D:$D,"Male"))</f>
        <v>99134</v>
      </c>
      <c r="G26" s="39" t="n">
        <f aca="false" t="array" ref="G26:G26">SUM(SUMIFS(Cascade!$P:$P,Cascade!$C:$C,{"15-19","20-24","25-29","30-34","35-39","40-44","45-49","50+"},Cascade!$D:$D,"Male"))</f>
        <v>85154</v>
      </c>
      <c r="H26" s="39" t="n">
        <f aca="false" t="array" ref="H26:H26">SUM(SUMIFS(Cascade!$R:$R,Cascade!$C:$C,{"15-19","20-24","25-29","30-34","35-39","40-44","45-49","50+"},Cascade!$D:$D,"Male"))</f>
        <v>0</v>
      </c>
      <c r="I26" s="39" t="n">
        <f aca="false" t="array" ref="I26:I26">SUM(SUMIFS(Cascade!$BT:$BT,Cascade!$C:$C,{"15-19","20-24","25-29","30-34","35-39","40-44","45-49","50+"},Cascade!$D:$D,"Male"))</f>
        <v>133062</v>
      </c>
      <c r="J26" s="39" t="n">
        <f aca="false" t="array" ref="J26:J26">SUM(SUMIFS(Cascade!$AA:$AA,Cascade!$C:$C,{"15-19","20-24","25-29","30-34","35-39","40-44","45-49","50+"},Cascade!$D:$D,"Male"))</f>
        <v>118716</v>
      </c>
      <c r="K26" s="40" t="n">
        <f aca="false" t="array" ref="K26:K26">SUM(SUMIFS(Cascade!$AU:$AU,Cascade!$C:$C,{"15-19","20-24","25-29","30-34","35-39","40-44","45-49","50+"},Cascade!$D:$D,"Male"))</f>
        <v>112781</v>
      </c>
      <c r="M26" s="23"/>
      <c r="N26" s="23"/>
      <c r="O26" s="23"/>
      <c r="P26" s="23"/>
      <c r="Q26" s="23"/>
      <c r="R26" s="28"/>
      <c r="S26" s="23"/>
    </row>
    <row r="27" customFormat="false" ht="30" hidden="false" customHeight="true" outlineLevel="0" collapsed="false">
      <c r="A27" s="9"/>
      <c r="B27" s="10"/>
      <c r="C27" s="23"/>
      <c r="D27" s="41"/>
      <c r="E27" s="42"/>
      <c r="F27" s="42"/>
      <c r="G27" s="42"/>
      <c r="H27" s="42"/>
      <c r="I27" s="42"/>
      <c r="J27" s="42"/>
      <c r="K27" s="42"/>
      <c r="L27" s="42"/>
      <c r="M27" s="42"/>
      <c r="N27" s="42"/>
      <c r="O27" s="42"/>
      <c r="P27" s="42"/>
      <c r="Q27" s="42"/>
      <c r="R27" s="43"/>
      <c r="S27" s="23"/>
    </row>
    <row r="28" customFormat="false" ht="30" hidden="false" customHeight="true" outlineLevel="0" collapsed="false">
      <c r="A28" s="9"/>
      <c r="B28" s="10"/>
      <c r="C28" s="23"/>
      <c r="D28" s="23"/>
      <c r="E28" s="23"/>
      <c r="F28" s="23"/>
      <c r="G28" s="23"/>
      <c r="H28" s="23"/>
      <c r="I28" s="23"/>
      <c r="J28" s="23"/>
      <c r="K28" s="23"/>
      <c r="L28" s="23"/>
      <c r="M28" s="23"/>
      <c r="N28" s="23"/>
      <c r="O28" s="23"/>
      <c r="P28" s="23"/>
      <c r="Q28" s="23"/>
      <c r="R28" s="23"/>
      <c r="S28" s="23"/>
    </row>
    <row r="29" customFormat="false" ht="30" hidden="false" customHeight="true" outlineLevel="0" collapsed="false">
      <c r="A29" s="9"/>
      <c r="B29" s="10"/>
      <c r="C29" s="23"/>
      <c r="D29" s="24"/>
      <c r="E29" s="25"/>
      <c r="F29" s="25"/>
      <c r="G29" s="25"/>
      <c r="H29" s="25"/>
      <c r="I29" s="25"/>
      <c r="J29" s="25"/>
      <c r="K29" s="25"/>
      <c r="L29" s="25"/>
      <c r="M29" s="25"/>
      <c r="N29" s="25"/>
      <c r="O29" s="25"/>
      <c r="P29" s="25"/>
      <c r="Q29" s="25"/>
      <c r="R29" s="26"/>
      <c r="S29" s="23"/>
    </row>
    <row r="30" customFormat="false" ht="30" hidden="false" customHeight="true" outlineLevel="0" collapsed="false">
      <c r="A30" s="9"/>
      <c r="B30" s="10"/>
      <c r="C30" s="23"/>
      <c r="D30" s="27"/>
      <c r="E30" s="23"/>
      <c r="F30" s="23"/>
      <c r="G30" s="23"/>
      <c r="H30" s="23"/>
      <c r="I30" s="23"/>
      <c r="J30" s="23"/>
      <c r="K30" s="23"/>
      <c r="L30" s="23"/>
      <c r="M30" s="23"/>
      <c r="N30" s="23"/>
      <c r="O30" s="23"/>
      <c r="P30" s="23"/>
      <c r="Q30" s="23"/>
      <c r="R30" s="28"/>
      <c r="S30" s="23"/>
    </row>
    <row r="31" customFormat="false" ht="30" hidden="false" customHeight="true" outlineLevel="0" collapsed="false">
      <c r="A31" s="9"/>
      <c r="B31" s="10"/>
      <c r="C31" s="23"/>
      <c r="D31" s="27"/>
      <c r="E31" s="23"/>
      <c r="F31" s="23"/>
      <c r="G31" s="23"/>
      <c r="H31" s="23"/>
      <c r="I31" s="23"/>
      <c r="J31" s="23"/>
      <c r="K31" s="23"/>
      <c r="L31" s="23"/>
      <c r="M31" s="23"/>
      <c r="N31" s="23"/>
      <c r="O31" s="23"/>
      <c r="P31" s="23"/>
      <c r="Q31" s="23"/>
      <c r="R31" s="28"/>
      <c r="S31" s="23"/>
    </row>
    <row r="32" customFormat="false" ht="30" hidden="false" customHeight="true" outlineLevel="0" collapsed="false">
      <c r="A32" s="9"/>
      <c r="B32" s="10"/>
      <c r="C32" s="23"/>
      <c r="D32" s="27"/>
      <c r="E32" s="23"/>
      <c r="F32" s="23"/>
      <c r="G32" s="23"/>
      <c r="H32" s="23"/>
      <c r="I32" s="23"/>
      <c r="J32" s="23"/>
      <c r="K32" s="23"/>
      <c r="L32" s="23"/>
      <c r="M32" s="23"/>
      <c r="N32" s="23"/>
      <c r="O32" s="23"/>
      <c r="P32" s="23"/>
      <c r="Q32" s="23"/>
      <c r="R32" s="28"/>
      <c r="S32" s="23"/>
    </row>
    <row r="33" customFormat="false" ht="30" hidden="false" customHeight="true" outlineLevel="0" collapsed="false">
      <c r="A33" s="9"/>
      <c r="B33" s="10"/>
      <c r="C33" s="23"/>
      <c r="D33" s="27"/>
      <c r="E33" s="23"/>
      <c r="F33" s="23"/>
      <c r="G33" s="23"/>
      <c r="H33" s="23"/>
      <c r="I33" s="23"/>
      <c r="J33" s="23"/>
      <c r="K33" s="23"/>
      <c r="L33" s="23"/>
      <c r="M33" s="23"/>
      <c r="N33" s="23"/>
      <c r="O33" s="23"/>
      <c r="P33" s="23"/>
      <c r="Q33" s="23"/>
      <c r="R33" s="28"/>
      <c r="S33" s="23"/>
    </row>
    <row r="34" customFormat="false" ht="30" hidden="false" customHeight="true" outlineLevel="0" collapsed="false">
      <c r="A34" s="9"/>
      <c r="B34" s="10"/>
      <c r="C34" s="23"/>
      <c r="D34" s="27"/>
      <c r="E34" s="23"/>
      <c r="F34" s="23"/>
      <c r="G34" s="23"/>
      <c r="H34" s="23"/>
      <c r="I34" s="23"/>
      <c r="J34" s="23"/>
      <c r="K34" s="23"/>
      <c r="L34" s="23"/>
      <c r="M34" s="23"/>
      <c r="N34" s="23"/>
      <c r="O34" s="23"/>
      <c r="P34" s="23"/>
      <c r="Q34" s="23"/>
      <c r="R34" s="28"/>
      <c r="S34" s="23"/>
    </row>
    <row r="35" customFormat="false" ht="30" hidden="false" customHeight="true" outlineLevel="0" collapsed="false">
      <c r="A35" s="9"/>
      <c r="B35" s="10"/>
      <c r="C35" s="23"/>
      <c r="D35" s="27"/>
      <c r="E35" s="23"/>
      <c r="F35" s="23"/>
      <c r="G35" s="23"/>
      <c r="H35" s="23"/>
      <c r="I35" s="23"/>
      <c r="J35" s="23"/>
      <c r="K35" s="23"/>
      <c r="L35" s="23"/>
      <c r="M35" s="23"/>
      <c r="N35" s="23"/>
      <c r="O35" s="23"/>
      <c r="P35" s="23"/>
      <c r="Q35" s="23"/>
      <c r="R35" s="28"/>
      <c r="S35" s="23"/>
    </row>
    <row r="36" customFormat="false" ht="30" hidden="false" customHeight="true" outlineLevel="0" collapsed="false">
      <c r="A36" s="9"/>
      <c r="B36" s="10"/>
      <c r="C36" s="23"/>
      <c r="D36" s="27"/>
      <c r="E36" s="23"/>
      <c r="F36" s="23"/>
      <c r="G36" s="23"/>
      <c r="H36" s="23"/>
      <c r="I36" s="23"/>
      <c r="J36" s="23"/>
      <c r="K36" s="23"/>
      <c r="L36" s="23"/>
      <c r="M36" s="23"/>
      <c r="N36" s="23"/>
      <c r="O36" s="23"/>
      <c r="P36" s="23"/>
      <c r="Q36" s="23"/>
      <c r="R36" s="28"/>
      <c r="S36" s="23"/>
    </row>
    <row r="37" customFormat="false" ht="30" hidden="false" customHeight="true" outlineLevel="0" collapsed="false">
      <c r="A37" s="9"/>
      <c r="B37" s="10"/>
      <c r="C37" s="23"/>
      <c r="D37" s="27"/>
      <c r="E37" s="23"/>
      <c r="F37" s="23"/>
      <c r="G37" s="23"/>
      <c r="H37" s="23"/>
      <c r="I37" s="23"/>
      <c r="J37" s="23"/>
      <c r="K37" s="23"/>
      <c r="L37" s="23"/>
      <c r="M37" s="23"/>
      <c r="N37" s="23"/>
      <c r="O37" s="23"/>
      <c r="P37" s="23"/>
      <c r="Q37" s="23"/>
      <c r="R37" s="28"/>
      <c r="S37" s="23"/>
    </row>
    <row r="38" customFormat="false" ht="30" hidden="false" customHeight="true" outlineLevel="0" collapsed="false">
      <c r="A38" s="9"/>
      <c r="B38" s="10"/>
      <c r="C38" s="23"/>
      <c r="D38" s="27"/>
      <c r="E38" s="23"/>
      <c r="F38" s="23"/>
      <c r="G38" s="23"/>
      <c r="H38" s="23"/>
      <c r="I38" s="23"/>
      <c r="J38" s="23"/>
      <c r="K38" s="23"/>
      <c r="L38" s="23"/>
      <c r="M38" s="23"/>
      <c r="N38" s="23"/>
      <c r="O38" s="23"/>
      <c r="P38" s="23"/>
      <c r="Q38" s="23"/>
      <c r="R38" s="28"/>
      <c r="S38" s="23"/>
    </row>
    <row r="39" customFormat="false" ht="30" hidden="false" customHeight="true" outlineLevel="0" collapsed="false">
      <c r="A39" s="9"/>
      <c r="B39" s="10"/>
      <c r="C39" s="23"/>
      <c r="D39" s="27"/>
      <c r="E39" s="23"/>
      <c r="F39" s="23"/>
      <c r="G39" s="23"/>
      <c r="H39" s="23"/>
      <c r="I39" s="23"/>
      <c r="J39" s="23"/>
      <c r="K39" s="23"/>
      <c r="L39" s="23"/>
      <c r="M39" s="23"/>
      <c r="N39" s="23"/>
      <c r="O39" s="23"/>
      <c r="P39" s="23"/>
      <c r="Q39" s="23"/>
      <c r="R39" s="28"/>
      <c r="S39" s="23"/>
    </row>
    <row r="40" customFormat="false" ht="30" hidden="false" customHeight="true" outlineLevel="0" collapsed="false">
      <c r="A40" s="9"/>
      <c r="B40" s="10"/>
      <c r="C40" s="23"/>
      <c r="D40" s="27"/>
      <c r="E40" s="44" t="s">
        <v>15</v>
      </c>
      <c r="F40" s="44"/>
      <c r="G40" s="44"/>
      <c r="H40" s="44"/>
      <c r="I40" s="44"/>
      <c r="J40" s="44"/>
      <c r="Q40" s="23"/>
      <c r="R40" s="28"/>
      <c r="S40" s="23"/>
    </row>
    <row r="41" customFormat="false" ht="30" hidden="false" customHeight="true" outlineLevel="0" collapsed="false">
      <c r="A41" s="9"/>
      <c r="B41" s="10"/>
      <c r="C41" s="23"/>
      <c r="D41" s="31"/>
      <c r="E41" s="32" t="s">
        <v>23</v>
      </c>
      <c r="F41" s="32" t="s">
        <v>24</v>
      </c>
      <c r="G41" s="32" t="s">
        <v>25</v>
      </c>
      <c r="H41" s="32" t="s">
        <v>26</v>
      </c>
      <c r="I41" s="32" t="s">
        <v>27</v>
      </c>
      <c r="J41" s="33" t="s">
        <v>28</v>
      </c>
      <c r="Q41" s="23"/>
      <c r="R41" s="28"/>
      <c r="S41" s="23"/>
    </row>
    <row r="42" customFormat="false" ht="16" hidden="false" customHeight="true" outlineLevel="0" collapsed="false">
      <c r="A42" s="9"/>
      <c r="B42" s="10"/>
      <c r="C42" s="23"/>
      <c r="D42" s="34" t="s">
        <v>20</v>
      </c>
      <c r="E42" s="35" t="n">
        <f aca="false" t="array" ref="E42:E42">SUM(SUMIFS(HTS!$BU:$BU,HTS!$C:$C,{"=&lt;01","01-04","05-09","10-14"}))</f>
        <v>57651</v>
      </c>
      <c r="F42" s="35" t="n">
        <f aca="false" t="array" ref="F42:F42">SUM(SUMIFS(HTS!$BN:$BN,HTS!$C:$C,{"=&lt;01","01-04","05-09","10-14"}))</f>
        <v>-19265</v>
      </c>
      <c r="G42" s="35" t="n">
        <f aca="false" t="array" ref="G42:G42">SUM(SUMIFS(Cascade!$AM:$AM,Cascade!$C:$C,{"=&lt;01","01-04","05-09","10-14"}))</f>
        <v>205450</v>
      </c>
      <c r="H42" s="35" t="n">
        <f aca="false" t="array" ref="H42:H42">SUM(SUMIFS(Cascade!$AE:$AE,Cascade!$C:$C,{"=&lt;01","01-04","05-09","10-14"}))</f>
        <v>206728</v>
      </c>
      <c r="I42" s="35" t="n">
        <f aca="false" t="array" ref="I42:I42">SUM(SUMIFS(Cascade!$AP:$AP,Cascade!$C:$C,{"=&lt;01","01-04","05-09","10-14"}))</f>
        <v>145123</v>
      </c>
      <c r="J42" s="36" t="n">
        <f aca="false" t="array" ref="J42:J42">SUM(SUMIFS(Cascade!$AT:$AT,Cascade!$C:$C,{"=&lt;01","01-04","05-09","10-14"}))</f>
        <v>137874</v>
      </c>
      <c r="Q42" s="23"/>
      <c r="R42" s="28"/>
      <c r="S42" s="23"/>
    </row>
    <row r="43" customFormat="false" ht="16" hidden="false" customHeight="true" outlineLevel="0" collapsed="false">
      <c r="A43" s="9"/>
      <c r="B43" s="10"/>
      <c r="C43" s="23"/>
      <c r="D43" s="37" t="s">
        <v>21</v>
      </c>
      <c r="E43" s="35" t="n">
        <f aca="false" t="array" ref="E43:E43">SUM(SUMIFS(HTS!$BU:$BU,HTS!$C:$C,{"15-19","20-24","25-29","30-34","35-39","40-44","45-49","50+"},HTS!$D:$D,"Female"))</f>
        <v>5007</v>
      </c>
      <c r="F43" s="35" t="n">
        <f aca="false" t="array" ref="F43:F43">SUM(SUMIFS(HTS!$BN:$BN,HTS!$C:$C,{"15-19","20-24","25-29","30-34","35-39","40-44","45-49","50+"},HTS!$D:$D,"Female"))</f>
        <v>-1104066</v>
      </c>
      <c r="G43" s="35" t="n">
        <f aca="false" t="array" ref="G43:G43">SUM(SUMIFS(Cascade!$AM:$AM,Cascade!$C:$C,{"15-19","20-24","25-29","30-34","35-39","40-44","45-49","50+"},Cascade!$D:$D,"Female"))</f>
        <v>552</v>
      </c>
      <c r="H43" s="35" t="n">
        <f aca="false" t="array" ref="H43:H43">SUM(SUMIFS(Cascade!$AE:$AE,Cascade!$C:$C,{"15-19","20-24","25-29","30-34","35-39","40-44","45-49","50+"},Cascade!$D:$D,"Female"))</f>
        <v>2700</v>
      </c>
      <c r="I43" s="35" t="n">
        <f aca="false" t="array" ref="I43:I43">SUM(SUMIFS(Cascade!$AP:$AP,Cascade!$C:$C,{"15-19","20-24","25-29","30-34","35-39","40-44","45-49","50+"},Cascade!$D:$D,"Female"))</f>
        <v>2581</v>
      </c>
      <c r="J43" s="36" t="n">
        <f aca="false" t="array" ref="J43:J43">SUM(SUMIFS(Cascade!$AT:$AT,Cascade!$C:$C,{"15-19","20-24","25-29","30-34","35-39","40-44","45-49","50+"},Cascade!$D:$D,"Female"))</f>
        <v>2453</v>
      </c>
      <c r="Q43" s="23"/>
      <c r="R43" s="28"/>
      <c r="S43" s="23"/>
    </row>
    <row r="44" customFormat="false" ht="16" hidden="false" customHeight="true" outlineLevel="0" collapsed="false">
      <c r="A44" s="9"/>
      <c r="B44" s="10"/>
      <c r="C44" s="23"/>
      <c r="D44" s="38" t="s">
        <v>22</v>
      </c>
      <c r="E44" s="39" t="n">
        <f aca="false" t="array" ref="E44:E44">SUM(SUMIFS(HTS!$BU:$BU,HTS!$C:$C,{"15-19","20-24","25-29","30-34","35-39","40-44","45-49","50+"},HTS!$D:$D,"Male"))</f>
        <v>108176</v>
      </c>
      <c r="F44" s="39" t="n">
        <f aca="false" t="array" ref="F44:F44">SUM(SUMIFS(HTS!$BN:$BN,HTS!$C:$C,{"15-19","20-24","25-29","30-34","35-39","40-44","45-49","50+"},HTS!$D:$D,"Male"))</f>
        <v>-670266</v>
      </c>
      <c r="G44" s="39" t="n">
        <f aca="false" t="array" ref="G44:G44">SUM(SUMIFS(Cascade!$AM:$AM,Cascade!$C:$C,{"15-19","20-24","25-29","30-34","35-39","40-44","45-49","50+"},Cascade!$D:$D,"Male"))</f>
        <v>1087</v>
      </c>
      <c r="H44" s="39" t="n">
        <f aca="false" t="array" ref="H44:H44">SUM(SUMIFS(Cascade!$AE:$AE,Cascade!$C:$C,{"15-19","20-24","25-29","30-34","35-39","40-44","45-49","50+"},Cascade!$D:$D,"Male"))</f>
        <v>3189</v>
      </c>
      <c r="I44" s="39" t="n">
        <f aca="false" t="array" ref="I44:I44">SUM(SUMIFS(Cascade!$AP:$AP,Cascade!$C:$C,{"15-19","20-24","25-29","30-34","35-39","40-44","45-49","50+"},Cascade!$D:$D,"Male"))</f>
        <v>2929</v>
      </c>
      <c r="J44" s="40" t="n">
        <f aca="false" t="array" ref="J44:J44">SUM(SUMIFS(Cascade!$AT:$AT,Cascade!$C:$C,{"15-19","20-24","25-29","30-34","35-39","40-44","45-49","50+"},Cascade!$D:$D,"Male"))</f>
        <v>2788</v>
      </c>
      <c r="Q44" s="23"/>
      <c r="R44" s="28"/>
      <c r="S44" s="23"/>
    </row>
    <row r="45" customFormat="false" ht="30" hidden="false" customHeight="true" outlineLevel="0" collapsed="false">
      <c r="A45" s="9"/>
      <c r="B45" s="10"/>
      <c r="C45" s="23"/>
      <c r="D45" s="41"/>
      <c r="E45" s="42"/>
      <c r="F45" s="42"/>
      <c r="G45" s="42"/>
      <c r="H45" s="42"/>
      <c r="I45" s="42"/>
      <c r="J45" s="42"/>
      <c r="K45" s="42"/>
      <c r="L45" s="42"/>
      <c r="M45" s="42"/>
      <c r="N45" s="42"/>
      <c r="O45" s="42"/>
      <c r="P45" s="42"/>
      <c r="Q45" s="42"/>
      <c r="R45" s="43"/>
      <c r="S45" s="23"/>
    </row>
    <row r="46" customFormat="false" ht="30" hidden="false" customHeight="true" outlineLevel="0" collapsed="false">
      <c r="A46" s="9"/>
      <c r="B46" s="10"/>
      <c r="C46" s="5"/>
      <c r="D46" s="5"/>
      <c r="E46" s="5"/>
      <c r="F46" s="5"/>
      <c r="G46" s="5"/>
      <c r="H46" s="5"/>
      <c r="I46" s="5"/>
      <c r="J46" s="5"/>
      <c r="K46" s="5"/>
      <c r="L46" s="5"/>
      <c r="M46" s="5"/>
      <c r="N46" s="5"/>
      <c r="O46" s="5"/>
      <c r="P46" s="5"/>
      <c r="Q46" s="5"/>
      <c r="R46" s="5"/>
      <c r="S46" s="5"/>
    </row>
    <row r="47" customFormat="false" ht="30" hidden="false" customHeight="true" outlineLevel="0" collapsed="false">
      <c r="A47" s="9"/>
      <c r="B47" s="10"/>
      <c r="C47" s="5"/>
      <c r="D47" s="5"/>
      <c r="E47" s="5"/>
      <c r="F47" s="5"/>
      <c r="G47" s="5"/>
      <c r="H47" s="5"/>
      <c r="I47" s="5"/>
      <c r="J47" s="5"/>
      <c r="K47" s="5"/>
      <c r="L47" s="5"/>
      <c r="M47" s="5"/>
      <c r="N47" s="5"/>
      <c r="O47" s="5"/>
      <c r="P47" s="5"/>
      <c r="Q47" s="5"/>
      <c r="R47" s="5"/>
      <c r="S47" s="5"/>
    </row>
    <row r="48" customFormat="false" ht="16" hidden="false" customHeight="true" outlineLevel="0" collapsed="false"/>
    <row r="49" customFormat="false" ht="16" hidden="false" customHeight="true" outlineLevel="0" collapsed="false"/>
    <row r="50" customFormat="false" ht="16" hidden="false" customHeight="true" outlineLevel="0" collapsed="false"/>
    <row r="51" customFormat="false" ht="16" hidden="false" customHeight="true" outlineLevel="0" collapsed="false"/>
    <row r="52" customFormat="false" ht="16" hidden="false" customHeight="true" outlineLevel="0" collapsed="false"/>
    <row r="53" customFormat="false" ht="16" hidden="false" customHeight="true" outlineLevel="0" collapsed="false"/>
    <row r="54" customFormat="false" ht="16" hidden="false" customHeight="true" outlineLevel="0" collapsed="false"/>
    <row r="55" customFormat="false" ht="16" hidden="false" customHeight="true" outlineLevel="0" collapsed="false"/>
    <row r="56" customFormat="false" ht="16" hidden="false" customHeight="true" outlineLevel="0" collapsed="false"/>
    <row r="57" customFormat="false" ht="16" hidden="false" customHeight="true" outlineLevel="0" collapsed="false"/>
    <row r="58" customFormat="false" ht="16" hidden="false" customHeight="true" outlineLevel="0" collapsed="false"/>
  </sheetData>
  <mergeCells count="9">
    <mergeCell ref="A1:B1"/>
    <mergeCell ref="A2:B2"/>
    <mergeCell ref="D6:F8"/>
    <mergeCell ref="H6:J8"/>
    <mergeCell ref="L6:N8"/>
    <mergeCell ref="P6:R8"/>
    <mergeCell ref="E22:H22"/>
    <mergeCell ref="I22:K22"/>
    <mergeCell ref="E40:J40"/>
  </mergeCells>
  <hyperlinks>
    <hyperlink ref="A1" location="Summary!A4" display="Data Pack"/>
    <hyperlink ref="A2" location="Summary!A4" display="COP 21"/>
    <hyperlink ref="B5" location="Summary!D5" display="Host Country Overview"/>
    <hyperlink ref="B7" location="Summary!D29" display="PEPFAR FY22 Target Overview"/>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Q1432"/>
  <sheetViews>
    <sheetView showFormulas="false" showGridLines="true" showRowColHeaders="true" showZeros="true" rightToLeft="false" tabSelected="true" showOutlineSymbols="true" defaultGridColor="true" view="normal" topLeftCell="F1427" colorId="64" zoomScale="100" zoomScaleNormal="100" zoomScalePageLayoutView="100" workbookViewId="0">
      <selection pane="topLeft" activeCell="Q2" activeCellId="0" sqref="Q2:Q1432"/>
    </sheetView>
  </sheetViews>
  <sheetFormatPr defaultRowHeight="15" zeroHeight="false" outlineLevelRow="0" outlineLevelCol="0"/>
  <cols>
    <col collapsed="false" customWidth="true" hidden="false" outlineLevel="0" max="1" min="1" style="0" width="1.83"/>
    <col collapsed="false" customWidth="true" hidden="false" outlineLevel="0" max="2" min="2" style="0" width="49"/>
    <col collapsed="false" customWidth="true" hidden="false" outlineLevel="0" max="3" min="3" style="0" width="3.18"/>
    <col collapsed="false" customWidth="true" hidden="false" outlineLevel="0" max="4" min="4" style="0" width="32"/>
    <col collapsed="false" customWidth="true" hidden="false" outlineLevel="0" max="6" min="5" style="0" width="14.33"/>
    <col collapsed="false" customWidth="true" hidden="false" outlineLevel="0" max="8" min="7" style="0" width="35.33"/>
    <col collapsed="false" customWidth="true" hidden="false" outlineLevel="0" max="9" min="9" style="0" width="5.82"/>
    <col collapsed="false" customWidth="true" hidden="false" outlineLevel="0" max="10" min="10" style="0" width="13.82"/>
    <col collapsed="false" customWidth="true" hidden="false" outlineLevel="0" max="11" min="11" style="0" width="7.33"/>
    <col collapsed="false" customWidth="true" hidden="false" outlineLevel="0" max="12" min="12" style="0" width="12.83"/>
    <col collapsed="false" customWidth="true" hidden="false" outlineLevel="0" max="13" min="13" style="0" width="10.33"/>
    <col collapsed="false" customWidth="true" hidden="false" outlineLevel="0" max="14" min="14" style="0" width="10.16"/>
    <col collapsed="false" customWidth="true" hidden="false" outlineLevel="0" max="15" min="15" style="0" width="11.33"/>
    <col collapsed="false" customWidth="true" hidden="false" outlineLevel="0" max="16" min="16" style="0" width="10.33"/>
    <col collapsed="false" customWidth="true" hidden="false" outlineLevel="0" max="17" min="17" style="0" width="47.91"/>
    <col collapsed="false" customWidth="true" hidden="false" outlineLevel="0" max="1025" min="18" style="0" width="10.61"/>
  </cols>
  <sheetData>
    <row r="1" customFormat="false" ht="17" hidden="false" customHeight="true" outlineLevel="0" collapsed="false">
      <c r="A1" s="45"/>
      <c r="B1" s="45"/>
      <c r="C1" s="45"/>
      <c r="D1" s="46" t="s">
        <v>29</v>
      </c>
      <c r="E1" s="46" t="s">
        <v>30</v>
      </c>
      <c r="F1" s="46" t="s">
        <v>31</v>
      </c>
      <c r="G1" s="46" t="s">
        <v>32</v>
      </c>
      <c r="H1" s="46" t="s">
        <v>33</v>
      </c>
      <c r="I1" s="47" t="s">
        <v>34</v>
      </c>
      <c r="J1" s="46" t="s">
        <v>35</v>
      </c>
      <c r="K1" s="46" t="s">
        <v>36</v>
      </c>
      <c r="L1" s="46" t="s">
        <v>37</v>
      </c>
      <c r="M1" s="46" t="s">
        <v>38</v>
      </c>
      <c r="N1" s="46" t="s">
        <v>39</v>
      </c>
      <c r="O1" s="46" t="s">
        <v>40</v>
      </c>
      <c r="P1" s="46" t="s">
        <v>41</v>
      </c>
      <c r="Q1" s="46" t="s">
        <v>42</v>
      </c>
    </row>
    <row r="2" customFormat="false" ht="17" hidden="false" customHeight="true" outlineLevel="0" collapsed="false">
      <c r="A2" s="45"/>
      <c r="B2" s="48" t="s">
        <v>43</v>
      </c>
      <c r="C2" s="49" t="s">
        <v>44</v>
      </c>
      <c r="D2" s="0" t="s">
        <v>45</v>
      </c>
      <c r="E2" s="0" t="s">
        <v>46</v>
      </c>
      <c r="F2" s="0" t="s">
        <v>47</v>
      </c>
      <c r="G2" s="0" t="s">
        <v>48</v>
      </c>
      <c r="H2" s="0" t="s">
        <v>49</v>
      </c>
      <c r="I2" s="0" t="s">
        <v>47</v>
      </c>
      <c r="J2" s="0" t="s">
        <v>47</v>
      </c>
      <c r="K2" s="0" t="s">
        <v>47</v>
      </c>
      <c r="L2" s="0" t="s">
        <v>47</v>
      </c>
      <c r="M2" s="0" t="s">
        <v>50</v>
      </c>
      <c r="N2" s="0" t="n">
        <v>1942</v>
      </c>
      <c r="O2" s="0" t="n">
        <v>39</v>
      </c>
      <c r="P2" s="0" t="n">
        <v>16</v>
      </c>
      <c r="Q2" s="5" t="str">
        <f aca="false">IF($D2&lt;&gt;"","["&amp;$E2&amp;"]"&amp;"|"&amp;SUBSTITUTE(SUBSTITUTE($I2,CHAR(61),""),CHAR(34),"")&amp;"|"&amp;$K2&amp;"|"&amp;$G2&amp;"|"&amp;IF($G2="TX_CURR_SUBNAT.R","CY2020Q4",$M2),"")</f>
        <v>[tKOXiaNhAyJ]|NA|NA|KP_ESTIMATES.Total.T|CY2021Q3</v>
      </c>
    </row>
    <row r="3" customFormat="false" ht="15" hidden="false" customHeight="false" outlineLevel="0" collapsed="false">
      <c r="A3" s="45"/>
      <c r="B3" s="45"/>
      <c r="C3" s="45"/>
      <c r="D3" s="0" t="s">
        <v>45</v>
      </c>
      <c r="E3" s="0" t="s">
        <v>46</v>
      </c>
      <c r="F3" s="0" t="s">
        <v>47</v>
      </c>
      <c r="G3" s="0" t="s">
        <v>48</v>
      </c>
      <c r="H3" s="0" t="s">
        <v>49</v>
      </c>
      <c r="I3" s="0" t="s">
        <v>47</v>
      </c>
      <c r="J3" s="0" t="s">
        <v>47</v>
      </c>
      <c r="K3" s="0" t="s">
        <v>47</v>
      </c>
      <c r="L3" s="0" t="s">
        <v>47</v>
      </c>
      <c r="M3" s="0" t="s">
        <v>50</v>
      </c>
      <c r="N3" s="0" t="n">
        <v>3521</v>
      </c>
      <c r="O3" s="0" t="n">
        <v>47</v>
      </c>
      <c r="P3" s="0" t="n">
        <v>27</v>
      </c>
      <c r="Q3" s="5" t="str">
        <f aca="false">IF($D3&lt;&gt;"","["&amp;$E3&amp;"]"&amp;"|"&amp;SUBSTITUTE(SUBSTITUTE($I3,CHAR(61),""),CHAR(34),"")&amp;"|"&amp;$K3&amp;"|"&amp;$G3&amp;"|"&amp;IF($G3="TX_CURR_SUBNAT.R","CY2020Q4",$M3),"")</f>
        <v>[tKOXiaNhAyJ]|NA|NA|KP_ESTIMATES.Total.T|CY2021Q3</v>
      </c>
    </row>
    <row r="4" customFormat="false" ht="15" hidden="false" customHeight="false" outlineLevel="0" collapsed="false">
      <c r="A4" s="45"/>
      <c r="B4" s="50" t="s">
        <v>51</v>
      </c>
      <c r="C4" s="45"/>
      <c r="D4" s="0" t="s">
        <v>45</v>
      </c>
      <c r="E4" s="0" t="s">
        <v>46</v>
      </c>
      <c r="F4" s="0" t="s">
        <v>47</v>
      </c>
      <c r="G4" s="0" t="s">
        <v>52</v>
      </c>
      <c r="H4" s="0" t="s">
        <v>53</v>
      </c>
      <c r="I4" s="0" t="s">
        <v>54</v>
      </c>
      <c r="J4" s="0" t="s">
        <v>55</v>
      </c>
      <c r="K4" s="0" t="s">
        <v>56</v>
      </c>
      <c r="L4" s="0" t="s">
        <v>57</v>
      </c>
      <c r="M4" s="0" t="s">
        <v>50</v>
      </c>
      <c r="N4" s="0" t="n">
        <v>21514</v>
      </c>
      <c r="O4" s="0" t="n">
        <v>56</v>
      </c>
      <c r="P4" s="0" t="n">
        <v>26</v>
      </c>
      <c r="Q4" s="5" t="str">
        <f aca="false">IF($D4&lt;&gt;"","["&amp;$E4&amp;"]"&amp;"|"&amp;SUBSTITUTE(SUBSTITUTE($I4,CHAR(61),""),CHAR(34),"")&amp;"|"&amp;$K4&amp;"|"&amp;$G4&amp;"|"&amp;IF($G4="TX_CURR_SUBNAT.R","CY2020Q4",$M4),"")</f>
        <v>[tKOXiaNhAyJ]|01-04|Female|POP_EST.T_1|CY2021Q3</v>
      </c>
    </row>
    <row r="5" customFormat="false" ht="15" hidden="false" customHeight="false" outlineLevel="0" collapsed="false">
      <c r="A5" s="45"/>
      <c r="B5" s="45"/>
      <c r="C5" s="45"/>
      <c r="D5" s="0" t="s">
        <v>45</v>
      </c>
      <c r="E5" s="0" t="s">
        <v>46</v>
      </c>
      <c r="F5" s="0" t="s">
        <v>47</v>
      </c>
      <c r="G5" s="0" t="s">
        <v>52</v>
      </c>
      <c r="H5" s="0" t="s">
        <v>53</v>
      </c>
      <c r="I5" s="0" t="s">
        <v>54</v>
      </c>
      <c r="J5" s="0" t="s">
        <v>55</v>
      </c>
      <c r="K5" s="0" t="s">
        <v>58</v>
      </c>
      <c r="L5" s="0" t="s">
        <v>59</v>
      </c>
      <c r="M5" s="0" t="s">
        <v>50</v>
      </c>
      <c r="N5" s="0" t="n">
        <v>21862</v>
      </c>
      <c r="O5" s="0" t="n">
        <v>9</v>
      </c>
      <c r="P5" s="0" t="n">
        <v>2</v>
      </c>
      <c r="Q5" s="5" t="str">
        <f aca="false">IF($D5&lt;&gt;"","["&amp;$E5&amp;"]"&amp;"|"&amp;SUBSTITUTE(SUBSTITUTE($I5,CHAR(61),""),CHAR(34),"")&amp;"|"&amp;$K5&amp;"|"&amp;$G5&amp;"|"&amp;IF($G5="TX_CURR_SUBNAT.R","CY2020Q4",$M5),"")</f>
        <v>[tKOXiaNhAyJ]|01-04|Male|POP_EST.T_1|CY2021Q3</v>
      </c>
    </row>
    <row r="6" customFormat="false" ht="15" hidden="false" customHeight="true" outlineLevel="0" collapsed="false">
      <c r="A6" s="45"/>
      <c r="B6" s="51" t="s">
        <v>60</v>
      </c>
      <c r="C6" s="45"/>
      <c r="D6" s="0" t="s">
        <v>45</v>
      </c>
      <c r="E6" s="0" t="s">
        <v>46</v>
      </c>
      <c r="F6" s="0" t="s">
        <v>47</v>
      </c>
      <c r="G6" s="0" t="s">
        <v>52</v>
      </c>
      <c r="H6" s="0" t="s">
        <v>53</v>
      </c>
      <c r="I6" s="0" t="s">
        <v>61</v>
      </c>
      <c r="J6" s="0" t="s">
        <v>62</v>
      </c>
      <c r="K6" s="0" t="s">
        <v>56</v>
      </c>
      <c r="L6" s="0" t="s">
        <v>57</v>
      </c>
      <c r="M6" s="0" t="s">
        <v>50</v>
      </c>
      <c r="N6" s="0" t="n">
        <v>25419</v>
      </c>
      <c r="O6" s="0" t="n">
        <v>58</v>
      </c>
      <c r="P6" s="0" t="n">
        <v>41</v>
      </c>
      <c r="Q6" s="5" t="str">
        <f aca="false">IF($D6&lt;&gt;"","["&amp;$E6&amp;"]"&amp;"|"&amp;SUBSTITUTE(SUBSTITUTE($I6,CHAR(61),""),CHAR(34),"")&amp;"|"&amp;$K6&amp;"|"&amp;$G6&amp;"|"&amp;IF($G6="TX_CURR_SUBNAT.R","CY2020Q4",$M6),"")</f>
        <v>[tKOXiaNhAyJ]|10-14|Female|POP_EST.T_1|CY2021Q3</v>
      </c>
    </row>
    <row r="7" customFormat="false" ht="15" hidden="false" customHeight="false" outlineLevel="0" collapsed="false">
      <c r="A7" s="45"/>
      <c r="B7" s="51"/>
      <c r="C7" s="45"/>
      <c r="D7" s="0" t="s">
        <v>45</v>
      </c>
      <c r="E7" s="0" t="s">
        <v>46</v>
      </c>
      <c r="F7" s="0" t="s">
        <v>47</v>
      </c>
      <c r="G7" s="0" t="s">
        <v>52</v>
      </c>
      <c r="H7" s="0" t="s">
        <v>53</v>
      </c>
      <c r="I7" s="0" t="s">
        <v>61</v>
      </c>
      <c r="J7" s="0" t="s">
        <v>62</v>
      </c>
      <c r="K7" s="0" t="s">
        <v>58</v>
      </c>
      <c r="L7" s="0" t="s">
        <v>59</v>
      </c>
      <c r="M7" s="0" t="s">
        <v>50</v>
      </c>
      <c r="N7" s="0" t="n">
        <v>25425</v>
      </c>
      <c r="O7" s="0" t="n">
        <v>7</v>
      </c>
      <c r="P7" s="0" t="n">
        <v>26</v>
      </c>
      <c r="Q7" s="5" t="str">
        <f aca="false">IF($D7&lt;&gt;"","["&amp;$E7&amp;"]"&amp;"|"&amp;SUBSTITUTE(SUBSTITUTE($I7,CHAR(61),""),CHAR(34),"")&amp;"|"&amp;$K7&amp;"|"&amp;$G7&amp;"|"&amp;IF($G7="TX_CURR_SUBNAT.R","CY2020Q4",$M7),"")</f>
        <v>[tKOXiaNhAyJ]|10-14|Male|POP_EST.T_1|CY2021Q3</v>
      </c>
    </row>
    <row r="8" customFormat="false" ht="15" hidden="false" customHeight="false" outlineLevel="0" collapsed="false">
      <c r="A8" s="45"/>
      <c r="B8" s="52"/>
      <c r="C8" s="45"/>
      <c r="D8" s="0" t="s">
        <v>45</v>
      </c>
      <c r="E8" s="0" t="s">
        <v>46</v>
      </c>
      <c r="F8" s="0" t="s">
        <v>47</v>
      </c>
      <c r="G8" s="0" t="s">
        <v>52</v>
      </c>
      <c r="H8" s="0" t="s">
        <v>53</v>
      </c>
      <c r="I8" s="0" t="s">
        <v>63</v>
      </c>
      <c r="J8" s="0" t="s">
        <v>64</v>
      </c>
      <c r="K8" s="0" t="s">
        <v>56</v>
      </c>
      <c r="L8" s="0" t="s">
        <v>57</v>
      </c>
      <c r="M8" s="0" t="s">
        <v>50</v>
      </c>
      <c r="N8" s="0" t="n">
        <v>25532</v>
      </c>
      <c r="O8" s="0" t="n">
        <v>59</v>
      </c>
      <c r="P8" s="0" t="n">
        <v>3</v>
      </c>
      <c r="Q8" s="5" t="str">
        <f aca="false">IF($D8&lt;&gt;"","["&amp;$E8&amp;"]"&amp;"|"&amp;SUBSTITUTE(SUBSTITUTE($I8,CHAR(61),""),CHAR(34),"")&amp;"|"&amp;$K8&amp;"|"&amp;$G8&amp;"|"&amp;IF($G8="TX_CURR_SUBNAT.R","CY2020Q4",$M8),"")</f>
        <v>[tKOXiaNhAyJ]|15-19|Female|POP_EST.T_1|CY2021Q3</v>
      </c>
    </row>
    <row r="9" customFormat="false" ht="17" hidden="false" customHeight="true" outlineLevel="0" collapsed="false">
      <c r="A9" s="45"/>
      <c r="B9" s="52" t="s">
        <v>65</v>
      </c>
      <c r="C9" s="45"/>
      <c r="D9" s="0" t="s">
        <v>45</v>
      </c>
      <c r="E9" s="0" t="s">
        <v>46</v>
      </c>
      <c r="F9" s="0" t="s">
        <v>47</v>
      </c>
      <c r="G9" s="0" t="s">
        <v>52</v>
      </c>
      <c r="H9" s="0" t="s">
        <v>53</v>
      </c>
      <c r="I9" s="0" t="s">
        <v>63</v>
      </c>
      <c r="J9" s="0" t="s">
        <v>64</v>
      </c>
      <c r="K9" s="0" t="s">
        <v>58</v>
      </c>
      <c r="L9" s="0" t="s">
        <v>59</v>
      </c>
      <c r="M9" s="0" t="s">
        <v>50</v>
      </c>
      <c r="N9" s="0" t="n">
        <v>24822</v>
      </c>
      <c r="O9" s="0" t="n">
        <v>49</v>
      </c>
      <c r="P9" s="0" t="n">
        <v>44</v>
      </c>
      <c r="Q9" s="5" t="str">
        <f aca="false">IF($D9&lt;&gt;"","["&amp;$E9&amp;"]"&amp;"|"&amp;SUBSTITUTE(SUBSTITUTE($I9,CHAR(61),""),CHAR(34),"")&amp;"|"&amp;$K9&amp;"|"&amp;$G9&amp;"|"&amp;IF($G9="TX_CURR_SUBNAT.R","CY2020Q4",$M9),"")</f>
        <v>[tKOXiaNhAyJ]|15-19|Male|POP_EST.T_1|CY2021Q3</v>
      </c>
    </row>
    <row r="10" customFormat="false" ht="15" hidden="false" customHeight="false" outlineLevel="0" collapsed="false">
      <c r="A10" s="45"/>
      <c r="B10" s="52"/>
      <c r="C10" s="45"/>
      <c r="D10" s="0" t="s">
        <v>45</v>
      </c>
      <c r="E10" s="0" t="s">
        <v>46</v>
      </c>
      <c r="F10" s="0" t="s">
        <v>47</v>
      </c>
      <c r="G10" s="0" t="s">
        <v>52</v>
      </c>
      <c r="H10" s="0" t="s">
        <v>53</v>
      </c>
      <c r="I10" s="0" t="s">
        <v>66</v>
      </c>
      <c r="J10" s="0" t="s">
        <v>67</v>
      </c>
      <c r="K10" s="0" t="s">
        <v>56</v>
      </c>
      <c r="L10" s="0" t="s">
        <v>57</v>
      </c>
      <c r="M10" s="0" t="s">
        <v>50</v>
      </c>
      <c r="N10" s="0" t="n">
        <v>30327</v>
      </c>
      <c r="O10" s="0" t="n">
        <v>40</v>
      </c>
      <c r="P10" s="0" t="n">
        <v>43</v>
      </c>
      <c r="Q10" s="5" t="str">
        <f aca="false">IF($D10&lt;&gt;"","["&amp;$E10&amp;"]"&amp;"|"&amp;SUBSTITUTE(SUBSTITUTE($I10,CHAR(61),""),CHAR(34),"")&amp;"|"&amp;$K10&amp;"|"&amp;$G10&amp;"|"&amp;IF($G10="TX_CURR_SUBNAT.R","CY2020Q4",$M10),"")</f>
        <v>[tKOXiaNhAyJ]|20-24|Female|POP_EST.T_1|CY2021Q3</v>
      </c>
    </row>
    <row r="11" customFormat="false" ht="15" hidden="false" customHeight="true" outlineLevel="0" collapsed="false">
      <c r="A11" s="45"/>
      <c r="B11" s="51" t="s">
        <v>68</v>
      </c>
      <c r="C11" s="45"/>
      <c r="D11" s="0" t="s">
        <v>45</v>
      </c>
      <c r="E11" s="0" t="s">
        <v>46</v>
      </c>
      <c r="F11" s="0" t="s">
        <v>47</v>
      </c>
      <c r="G11" s="0" t="s">
        <v>52</v>
      </c>
      <c r="H11" s="0" t="s">
        <v>53</v>
      </c>
      <c r="I11" s="0" t="s">
        <v>66</v>
      </c>
      <c r="J11" s="0" t="s">
        <v>67</v>
      </c>
      <c r="K11" s="0" t="s">
        <v>58</v>
      </c>
      <c r="L11" s="0" t="s">
        <v>59</v>
      </c>
      <c r="M11" s="0" t="s">
        <v>50</v>
      </c>
      <c r="N11" s="0" t="n">
        <v>27285</v>
      </c>
      <c r="O11" s="0" t="n">
        <v>59</v>
      </c>
      <c r="P11" s="0" t="n">
        <v>32</v>
      </c>
      <c r="Q11" s="5" t="str">
        <f aca="false">IF($D11&lt;&gt;"","["&amp;$E11&amp;"]"&amp;"|"&amp;SUBSTITUTE(SUBSTITUTE($I11,CHAR(61),""),CHAR(34),"")&amp;"|"&amp;$K11&amp;"|"&amp;$G11&amp;"|"&amp;IF($G11="TX_CURR_SUBNAT.R","CY2020Q4",$M11),"")</f>
        <v>[tKOXiaNhAyJ]|20-24|Male|POP_EST.T_1|CY2021Q3</v>
      </c>
    </row>
    <row r="12" customFormat="false" ht="15" hidden="false" customHeight="false" outlineLevel="0" collapsed="false">
      <c r="A12" s="45"/>
      <c r="B12" s="51"/>
      <c r="C12" s="45"/>
      <c r="D12" s="0" t="s">
        <v>45</v>
      </c>
      <c r="E12" s="0" t="s">
        <v>46</v>
      </c>
      <c r="F12" s="0" t="s">
        <v>47</v>
      </c>
      <c r="G12" s="0" t="s">
        <v>52</v>
      </c>
      <c r="H12" s="0" t="s">
        <v>53</v>
      </c>
      <c r="I12" s="0" t="s">
        <v>69</v>
      </c>
      <c r="J12" s="0" t="s">
        <v>70</v>
      </c>
      <c r="K12" s="0" t="s">
        <v>56</v>
      </c>
      <c r="L12" s="0" t="s">
        <v>57</v>
      </c>
      <c r="M12" s="0" t="s">
        <v>50</v>
      </c>
      <c r="N12" s="0" t="n">
        <v>30088</v>
      </c>
      <c r="O12" s="0" t="n">
        <v>57</v>
      </c>
      <c r="P12" s="0" t="n">
        <v>4</v>
      </c>
      <c r="Q12" s="5" t="str">
        <f aca="false">IF($D12&lt;&gt;"","["&amp;$E12&amp;"]"&amp;"|"&amp;SUBSTITUTE(SUBSTITUTE($I12,CHAR(61),""),CHAR(34),"")&amp;"|"&amp;$K12&amp;"|"&amp;$G12&amp;"|"&amp;IF($G12="TX_CURR_SUBNAT.R","CY2020Q4",$M12),"")</f>
        <v>[tKOXiaNhAyJ]|25-29|Female|POP_EST.T_1|CY2021Q3</v>
      </c>
    </row>
    <row r="13" customFormat="false" ht="15" hidden="false" customHeight="false" outlineLevel="0" collapsed="false">
      <c r="A13" s="45"/>
      <c r="B13" s="52"/>
      <c r="C13" s="45"/>
      <c r="D13" s="0" t="s">
        <v>45</v>
      </c>
      <c r="E13" s="0" t="s">
        <v>46</v>
      </c>
      <c r="F13" s="0" t="s">
        <v>47</v>
      </c>
      <c r="G13" s="0" t="s">
        <v>52</v>
      </c>
      <c r="H13" s="0" t="s">
        <v>53</v>
      </c>
      <c r="I13" s="0" t="s">
        <v>69</v>
      </c>
      <c r="J13" s="0" t="s">
        <v>70</v>
      </c>
      <c r="K13" s="0" t="s">
        <v>58</v>
      </c>
      <c r="L13" s="0" t="s">
        <v>59</v>
      </c>
      <c r="M13" s="0" t="s">
        <v>50</v>
      </c>
      <c r="N13" s="0" t="n">
        <v>28346</v>
      </c>
      <c r="O13" s="0" t="n">
        <v>25</v>
      </c>
      <c r="P13" s="0" t="n">
        <v>28</v>
      </c>
      <c r="Q13" s="5" t="str">
        <f aca="false">IF($D13&lt;&gt;"","["&amp;$E13&amp;"]"&amp;"|"&amp;SUBSTITUTE(SUBSTITUTE($I13,CHAR(61),""),CHAR(34),"")&amp;"|"&amp;$K13&amp;"|"&amp;$G13&amp;"|"&amp;IF($G13="TX_CURR_SUBNAT.R","CY2020Q4",$M13),"")</f>
        <v>[tKOXiaNhAyJ]|25-29|Male|POP_EST.T_1|CY2021Q3</v>
      </c>
    </row>
    <row r="14" customFormat="false" ht="17" hidden="false" customHeight="true" outlineLevel="0" collapsed="false">
      <c r="A14" s="45"/>
      <c r="B14" s="52" t="s">
        <v>71</v>
      </c>
      <c r="C14" s="45"/>
      <c r="D14" s="0" t="s">
        <v>45</v>
      </c>
      <c r="E14" s="0" t="s">
        <v>46</v>
      </c>
      <c r="F14" s="0" t="s">
        <v>47</v>
      </c>
      <c r="G14" s="0" t="s">
        <v>52</v>
      </c>
      <c r="H14" s="0" t="s">
        <v>53</v>
      </c>
      <c r="I14" s="0" t="s">
        <v>72</v>
      </c>
      <c r="J14" s="0" t="s">
        <v>73</v>
      </c>
      <c r="K14" s="0" t="s">
        <v>56</v>
      </c>
      <c r="L14" s="0" t="s">
        <v>57</v>
      </c>
      <c r="M14" s="0" t="s">
        <v>50</v>
      </c>
      <c r="N14" s="0" t="n">
        <v>27821</v>
      </c>
      <c r="O14" s="0" t="n">
        <v>17</v>
      </c>
      <c r="P14" s="0" t="n">
        <v>49</v>
      </c>
      <c r="Q14" s="5" t="str">
        <f aca="false">IF($D14&lt;&gt;"","["&amp;$E14&amp;"]"&amp;"|"&amp;SUBSTITUTE(SUBSTITUTE($I14,CHAR(61),""),CHAR(34),"")&amp;"|"&amp;$K14&amp;"|"&amp;$G14&amp;"|"&amp;IF($G14="TX_CURR_SUBNAT.R","CY2020Q4",$M14),"")</f>
        <v>[tKOXiaNhAyJ]|30-34|Female|POP_EST.T_1|CY2021Q3</v>
      </c>
    </row>
    <row r="15" customFormat="false" ht="15" hidden="false" customHeight="false" outlineLevel="0" collapsed="false">
      <c r="A15" s="45"/>
      <c r="B15" s="52"/>
      <c r="C15" s="45"/>
      <c r="D15" s="0" t="s">
        <v>45</v>
      </c>
      <c r="E15" s="0" t="s">
        <v>46</v>
      </c>
      <c r="F15" s="0" t="s">
        <v>47</v>
      </c>
      <c r="G15" s="0" t="s">
        <v>52</v>
      </c>
      <c r="H15" s="0" t="s">
        <v>53</v>
      </c>
      <c r="I15" s="0" t="s">
        <v>72</v>
      </c>
      <c r="J15" s="0" t="s">
        <v>73</v>
      </c>
      <c r="K15" s="0" t="s">
        <v>58</v>
      </c>
      <c r="L15" s="0" t="s">
        <v>59</v>
      </c>
      <c r="M15" s="0" t="s">
        <v>50</v>
      </c>
      <c r="N15" s="0" t="n">
        <v>27810</v>
      </c>
      <c r="O15" s="0" t="n">
        <v>30</v>
      </c>
      <c r="P15" s="0" t="n">
        <v>35</v>
      </c>
      <c r="Q15" s="5" t="str">
        <f aca="false">IF($D15&lt;&gt;"","["&amp;$E15&amp;"]"&amp;"|"&amp;SUBSTITUTE(SUBSTITUTE($I15,CHAR(61),""),CHAR(34),"")&amp;"|"&amp;$K15&amp;"|"&amp;$G15&amp;"|"&amp;IF($G15="TX_CURR_SUBNAT.R","CY2020Q4",$M15),"")</f>
        <v>[tKOXiaNhAyJ]|30-34|Male|POP_EST.T_1|CY2021Q3</v>
      </c>
    </row>
    <row r="16" customFormat="false" ht="15" hidden="false" customHeight="true" outlineLevel="0" collapsed="false">
      <c r="A16" s="45"/>
      <c r="B16" s="51" t="s">
        <v>74</v>
      </c>
      <c r="C16" s="45"/>
      <c r="D16" s="0" t="s">
        <v>45</v>
      </c>
      <c r="E16" s="0" t="s">
        <v>46</v>
      </c>
      <c r="F16" s="0" t="s">
        <v>47</v>
      </c>
      <c r="G16" s="0" t="s">
        <v>52</v>
      </c>
      <c r="H16" s="0" t="s">
        <v>53</v>
      </c>
      <c r="I16" s="0" t="s">
        <v>75</v>
      </c>
      <c r="J16" s="0" t="s">
        <v>76</v>
      </c>
      <c r="K16" s="0" t="s">
        <v>56</v>
      </c>
      <c r="L16" s="0" t="s">
        <v>57</v>
      </c>
      <c r="M16" s="0" t="s">
        <v>50</v>
      </c>
      <c r="N16" s="0" t="n">
        <v>21708</v>
      </c>
      <c r="O16" s="0" t="n">
        <v>51</v>
      </c>
      <c r="P16" s="0" t="n">
        <v>38</v>
      </c>
      <c r="Q16" s="5" t="str">
        <f aca="false">IF($D16&lt;&gt;"","["&amp;$E16&amp;"]"&amp;"|"&amp;SUBSTITUTE(SUBSTITUTE($I16,CHAR(61),""),CHAR(34),"")&amp;"|"&amp;$K16&amp;"|"&amp;$G16&amp;"|"&amp;IF($G16="TX_CURR_SUBNAT.R","CY2020Q4",$M16),"")</f>
        <v>[tKOXiaNhAyJ]|35-39|Female|POP_EST.T_1|CY2021Q3</v>
      </c>
    </row>
    <row r="17" customFormat="false" ht="15" hidden="false" customHeight="false" outlineLevel="0" collapsed="false">
      <c r="A17" s="45"/>
      <c r="B17" s="51"/>
      <c r="C17" s="45"/>
      <c r="D17" s="0" t="s">
        <v>45</v>
      </c>
      <c r="E17" s="0" t="s">
        <v>46</v>
      </c>
      <c r="F17" s="0" t="s">
        <v>47</v>
      </c>
      <c r="G17" s="0" t="s">
        <v>52</v>
      </c>
      <c r="H17" s="0" t="s">
        <v>53</v>
      </c>
      <c r="I17" s="0" t="s">
        <v>75</v>
      </c>
      <c r="J17" s="0" t="s">
        <v>76</v>
      </c>
      <c r="K17" s="0" t="s">
        <v>58</v>
      </c>
      <c r="L17" s="0" t="s">
        <v>59</v>
      </c>
      <c r="M17" s="0" t="s">
        <v>50</v>
      </c>
      <c r="N17" s="0" t="n">
        <v>22896</v>
      </c>
      <c r="O17" s="0" t="n">
        <v>51</v>
      </c>
      <c r="P17" s="0" t="n">
        <v>38</v>
      </c>
      <c r="Q17" s="5" t="str">
        <f aca="false">IF($D17&lt;&gt;"","["&amp;$E17&amp;"]"&amp;"|"&amp;SUBSTITUTE(SUBSTITUTE($I17,CHAR(61),""),CHAR(34),"")&amp;"|"&amp;$K17&amp;"|"&amp;$G17&amp;"|"&amp;IF($G17="TX_CURR_SUBNAT.R","CY2020Q4",$M17),"")</f>
        <v>[tKOXiaNhAyJ]|35-39|Male|POP_EST.T_1|CY2021Q3</v>
      </c>
    </row>
    <row r="18" customFormat="false" ht="15" hidden="false" customHeight="false" outlineLevel="0" collapsed="false">
      <c r="A18" s="45"/>
      <c r="B18" s="52"/>
      <c r="C18" s="45"/>
      <c r="D18" s="0" t="s">
        <v>45</v>
      </c>
      <c r="E18" s="0" t="s">
        <v>46</v>
      </c>
      <c r="F18" s="0" t="s">
        <v>47</v>
      </c>
      <c r="G18" s="0" t="s">
        <v>52</v>
      </c>
      <c r="H18" s="0" t="s">
        <v>53</v>
      </c>
      <c r="I18" s="0" t="s">
        <v>77</v>
      </c>
      <c r="J18" s="0" t="s">
        <v>78</v>
      </c>
      <c r="K18" s="0" t="s">
        <v>56</v>
      </c>
      <c r="L18" s="0" t="s">
        <v>57</v>
      </c>
      <c r="M18" s="0" t="s">
        <v>50</v>
      </c>
      <c r="N18" s="0" t="n">
        <v>14856</v>
      </c>
      <c r="O18" s="0" t="n">
        <v>47</v>
      </c>
      <c r="P18" s="0" t="n">
        <v>29</v>
      </c>
      <c r="Q18" s="5" t="str">
        <f aca="false">IF($D18&lt;&gt;"","["&amp;$E18&amp;"]"&amp;"|"&amp;SUBSTITUTE(SUBSTITUTE($I18,CHAR(61),""),CHAR(34),"")&amp;"|"&amp;$K18&amp;"|"&amp;$G18&amp;"|"&amp;IF($G18="TX_CURR_SUBNAT.R","CY2020Q4",$M18),"")</f>
        <v>[tKOXiaNhAyJ]|40-44|Female|POP_EST.T_1|CY2021Q3</v>
      </c>
    </row>
    <row r="19" customFormat="false" ht="15" hidden="false" customHeight="true" outlineLevel="0" collapsed="false">
      <c r="A19" s="45"/>
      <c r="B19" s="51" t="s">
        <v>79</v>
      </c>
      <c r="C19" s="45"/>
      <c r="D19" s="0" t="s">
        <v>45</v>
      </c>
      <c r="E19" s="0" t="s">
        <v>46</v>
      </c>
      <c r="F19" s="0" t="s">
        <v>47</v>
      </c>
      <c r="G19" s="0" t="s">
        <v>52</v>
      </c>
      <c r="H19" s="0" t="s">
        <v>53</v>
      </c>
      <c r="I19" s="0" t="s">
        <v>77</v>
      </c>
      <c r="J19" s="0" t="s">
        <v>78</v>
      </c>
      <c r="K19" s="0" t="s">
        <v>58</v>
      </c>
      <c r="L19" s="0" t="s">
        <v>59</v>
      </c>
      <c r="M19" s="0" t="s">
        <v>50</v>
      </c>
      <c r="N19" s="0" t="n">
        <v>15484</v>
      </c>
      <c r="O19" s="0" t="n">
        <v>11</v>
      </c>
      <c r="P19" s="0" t="n">
        <v>32</v>
      </c>
      <c r="Q19" s="5" t="str">
        <f aca="false">IF($D19&lt;&gt;"","["&amp;$E19&amp;"]"&amp;"|"&amp;SUBSTITUTE(SUBSTITUTE($I19,CHAR(61),""),CHAR(34),"")&amp;"|"&amp;$K19&amp;"|"&amp;$G19&amp;"|"&amp;IF($G19="TX_CURR_SUBNAT.R","CY2020Q4",$M19),"")</f>
        <v>[tKOXiaNhAyJ]|40-44|Male|POP_EST.T_1|CY2021Q3</v>
      </c>
    </row>
    <row r="20" customFormat="false" ht="15" hidden="false" customHeight="false" outlineLevel="0" collapsed="false">
      <c r="A20" s="45"/>
      <c r="B20" s="51"/>
      <c r="C20" s="45"/>
      <c r="D20" s="0" t="s">
        <v>45</v>
      </c>
      <c r="E20" s="0" t="s">
        <v>46</v>
      </c>
      <c r="F20" s="0" t="s">
        <v>47</v>
      </c>
      <c r="G20" s="0" t="s">
        <v>52</v>
      </c>
      <c r="H20" s="0" t="s">
        <v>53</v>
      </c>
      <c r="I20" s="0" t="s">
        <v>80</v>
      </c>
      <c r="J20" s="0" t="s">
        <v>81</v>
      </c>
      <c r="K20" s="0" t="s">
        <v>56</v>
      </c>
      <c r="L20" s="0" t="s">
        <v>57</v>
      </c>
      <c r="M20" s="0" t="s">
        <v>50</v>
      </c>
      <c r="N20" s="0" t="n">
        <v>10843</v>
      </c>
      <c r="O20" s="0" t="n">
        <v>53</v>
      </c>
      <c r="P20" s="0" t="n">
        <v>24</v>
      </c>
      <c r="Q20" s="5" t="str">
        <f aca="false">IF($D20&lt;&gt;"","["&amp;$E20&amp;"]"&amp;"|"&amp;SUBSTITUTE(SUBSTITUTE($I20,CHAR(61),""),CHAR(34),"")&amp;"|"&amp;$K20&amp;"|"&amp;$G20&amp;"|"&amp;IF($G20="TX_CURR_SUBNAT.R","CY2020Q4",$M20),"")</f>
        <v>[tKOXiaNhAyJ]|45-49|Female|POP_EST.T_1|CY2021Q3</v>
      </c>
    </row>
    <row r="21" customFormat="false" ht="15" hidden="false" customHeight="false" outlineLevel="0" collapsed="false">
      <c r="A21" s="45"/>
      <c r="B21" s="45"/>
      <c r="C21" s="45"/>
      <c r="D21" s="0" t="s">
        <v>45</v>
      </c>
      <c r="E21" s="0" t="s">
        <v>46</v>
      </c>
      <c r="F21" s="0" t="s">
        <v>47</v>
      </c>
      <c r="G21" s="0" t="s">
        <v>52</v>
      </c>
      <c r="H21" s="0" t="s">
        <v>53</v>
      </c>
      <c r="I21" s="0" t="s">
        <v>80</v>
      </c>
      <c r="J21" s="0" t="s">
        <v>81</v>
      </c>
      <c r="K21" s="0" t="s">
        <v>58</v>
      </c>
      <c r="L21" s="0" t="s">
        <v>59</v>
      </c>
      <c r="M21" s="0" t="s">
        <v>50</v>
      </c>
      <c r="N21" s="0" t="n">
        <v>10828</v>
      </c>
      <c r="O21" s="0" t="n">
        <v>21</v>
      </c>
      <c r="P21" s="0" t="n">
        <v>7</v>
      </c>
      <c r="Q21" s="5" t="str">
        <f aca="false">IF($D21&lt;&gt;"","["&amp;$E21&amp;"]"&amp;"|"&amp;SUBSTITUTE(SUBSTITUTE($I21,CHAR(61),""),CHAR(34),"")&amp;"|"&amp;$K21&amp;"|"&amp;$G21&amp;"|"&amp;IF($G21="TX_CURR_SUBNAT.R","CY2020Q4",$M21),"")</f>
        <v>[tKOXiaNhAyJ]|45-49|Male|POP_EST.T_1|CY2021Q3</v>
      </c>
    </row>
    <row r="22" customFormat="false" ht="16" hidden="false" customHeight="true" outlineLevel="0" collapsed="false">
      <c r="A22" s="45"/>
      <c r="B22" s="52" t="s">
        <v>82</v>
      </c>
      <c r="C22" s="45"/>
      <c r="D22" s="0" t="s">
        <v>45</v>
      </c>
      <c r="E22" s="0" t="s">
        <v>46</v>
      </c>
      <c r="F22" s="0" t="s">
        <v>47</v>
      </c>
      <c r="G22" s="0" t="s">
        <v>52</v>
      </c>
      <c r="H22" s="0" t="s">
        <v>53</v>
      </c>
      <c r="I22" s="0" t="s">
        <v>83</v>
      </c>
      <c r="J22" s="0" t="s">
        <v>84</v>
      </c>
      <c r="K22" s="0" t="s">
        <v>56</v>
      </c>
      <c r="L22" s="0" t="s">
        <v>57</v>
      </c>
      <c r="M22" s="0" t="s">
        <v>50</v>
      </c>
      <c r="N22" s="0" t="n">
        <v>27770</v>
      </c>
      <c r="O22" s="0" t="n">
        <v>17</v>
      </c>
      <c r="P22" s="0" t="n">
        <v>15</v>
      </c>
      <c r="Q22" s="5" t="str">
        <f aca="false">IF($D22&lt;&gt;"","["&amp;$E22&amp;"]"&amp;"|"&amp;SUBSTITUTE(SUBSTITUTE($I22,CHAR(61),""),CHAR(34),"")&amp;"|"&amp;$K22&amp;"|"&amp;$G22&amp;"|"&amp;IF($G22="TX_CURR_SUBNAT.R","CY2020Q4",$M22),"")</f>
        <v>[tKOXiaNhAyJ]|05-09|Female|POP_EST.T_1|CY2021Q3</v>
      </c>
    </row>
    <row r="23" customFormat="false" ht="15" hidden="false" customHeight="false" outlineLevel="0" collapsed="false">
      <c r="A23" s="45"/>
      <c r="B23" s="52"/>
      <c r="C23" s="45"/>
      <c r="D23" s="0" t="s">
        <v>45</v>
      </c>
      <c r="E23" s="0" t="s">
        <v>46</v>
      </c>
      <c r="F23" s="0" t="s">
        <v>47</v>
      </c>
      <c r="G23" s="0" t="s">
        <v>52</v>
      </c>
      <c r="H23" s="0" t="s">
        <v>53</v>
      </c>
      <c r="I23" s="0" t="s">
        <v>83</v>
      </c>
      <c r="J23" s="0" t="s">
        <v>84</v>
      </c>
      <c r="K23" s="0" t="s">
        <v>58</v>
      </c>
      <c r="L23" s="0" t="s">
        <v>59</v>
      </c>
      <c r="M23" s="0" t="s">
        <v>50</v>
      </c>
      <c r="N23" s="0" t="n">
        <v>27112</v>
      </c>
      <c r="O23" s="0" t="n">
        <v>52</v>
      </c>
      <c r="P23" s="0" t="n">
        <v>10</v>
      </c>
      <c r="Q23" s="5" t="str">
        <f aca="false">IF($D23&lt;&gt;"","["&amp;$E23&amp;"]"&amp;"|"&amp;SUBSTITUTE(SUBSTITUTE($I23,CHAR(61),""),CHAR(34),"")&amp;"|"&amp;$K23&amp;"|"&amp;$G23&amp;"|"&amp;IF($G23="TX_CURR_SUBNAT.R","CY2020Q4",$M23),"")</f>
        <v>[tKOXiaNhAyJ]|05-09|Male|POP_EST.T_1|CY2021Q3</v>
      </c>
    </row>
    <row r="24" customFormat="false" ht="15" hidden="false" customHeight="false" outlineLevel="0" collapsed="false">
      <c r="A24" s="45"/>
      <c r="B24" s="45" t="s">
        <v>85</v>
      </c>
      <c r="C24" s="45"/>
      <c r="D24" s="0" t="s">
        <v>45</v>
      </c>
      <c r="E24" s="0" t="s">
        <v>46</v>
      </c>
      <c r="F24" s="0" t="s">
        <v>47</v>
      </c>
      <c r="G24" s="0" t="s">
        <v>52</v>
      </c>
      <c r="H24" s="0" t="s">
        <v>53</v>
      </c>
      <c r="I24" s="53" t="s">
        <v>86</v>
      </c>
      <c r="J24" s="0" t="s">
        <v>87</v>
      </c>
      <c r="K24" s="0" t="s">
        <v>56</v>
      </c>
      <c r="L24" s="0" t="s">
        <v>57</v>
      </c>
      <c r="M24" s="0" t="s">
        <v>50</v>
      </c>
      <c r="N24" s="0" t="n">
        <v>44656</v>
      </c>
      <c r="O24" s="0" t="n">
        <v>50</v>
      </c>
      <c r="P24" s="0" t="n">
        <v>42</v>
      </c>
      <c r="Q24" s="5" t="str">
        <f aca="false">IF($D24&lt;&gt;"","["&amp;$E24&amp;"]"&amp;"|"&amp;SUBSTITUTE(SUBSTITUTE($I24,CHAR(61),""),CHAR(34),"")&amp;"|"&amp;$K24&amp;"|"&amp;$G24&amp;"|"&amp;IF($G24="TX_CURR_SUBNAT.R","CY2020Q4",$M24),"")</f>
        <v>[tKOXiaNhAyJ]|50+|Female|POP_EST.T_1|CY2021Q3</v>
      </c>
    </row>
    <row r="25" customFormat="false" ht="15" hidden="false" customHeight="false" outlineLevel="0" collapsed="false">
      <c r="A25" s="45"/>
      <c r="B25" s="45"/>
      <c r="C25" s="45"/>
      <c r="D25" s="0" t="s">
        <v>45</v>
      </c>
      <c r="E25" s="0" t="s">
        <v>46</v>
      </c>
      <c r="F25" s="0" t="s">
        <v>47</v>
      </c>
      <c r="G25" s="0" t="s">
        <v>52</v>
      </c>
      <c r="H25" s="0" t="s">
        <v>53</v>
      </c>
      <c r="I25" s="53" t="s">
        <v>86</v>
      </c>
      <c r="J25" s="0" t="s">
        <v>87</v>
      </c>
      <c r="K25" s="0" t="s">
        <v>58</v>
      </c>
      <c r="L25" s="0" t="s">
        <v>59</v>
      </c>
      <c r="M25" s="0" t="s">
        <v>50</v>
      </c>
      <c r="N25" s="0" t="n">
        <v>29873</v>
      </c>
      <c r="O25" s="0" t="n">
        <v>29</v>
      </c>
      <c r="P25" s="0" t="n">
        <v>44</v>
      </c>
      <c r="Q25" s="5" t="str">
        <f aca="false">IF($D25&lt;&gt;"","["&amp;$E25&amp;"]"&amp;"|"&amp;SUBSTITUTE(SUBSTITUTE($I25,CHAR(61),""),CHAR(34),"")&amp;"|"&amp;$K25&amp;"|"&amp;$G25&amp;"|"&amp;IF($G25="TX_CURR_SUBNAT.R","CY2020Q4",$M25),"")</f>
        <v>[tKOXiaNhAyJ]|50+|Male|POP_EST.T_1|CY2021Q3</v>
      </c>
    </row>
    <row r="26" customFormat="false" ht="15" hidden="false" customHeight="true" outlineLevel="0" collapsed="false">
      <c r="A26" s="45"/>
      <c r="B26" s="51" t="s">
        <v>88</v>
      </c>
      <c r="C26" s="45"/>
      <c r="D26" s="0" t="s">
        <v>45</v>
      </c>
      <c r="E26" s="0" t="s">
        <v>46</v>
      </c>
      <c r="F26" s="0" t="s">
        <v>47</v>
      </c>
      <c r="G26" s="0" t="s">
        <v>52</v>
      </c>
      <c r="H26" s="0" t="s">
        <v>53</v>
      </c>
      <c r="I26" s="0" t="s">
        <v>89</v>
      </c>
      <c r="J26" s="0" t="s">
        <v>90</v>
      </c>
      <c r="K26" s="0" t="s">
        <v>56</v>
      </c>
      <c r="L26" s="0" t="s">
        <v>57</v>
      </c>
      <c r="M26" s="0" t="s">
        <v>50</v>
      </c>
      <c r="N26" s="0" t="n">
        <v>4631</v>
      </c>
      <c r="O26" s="0" t="n">
        <v>55</v>
      </c>
      <c r="P26" s="0" t="n">
        <v>9</v>
      </c>
      <c r="Q26" s="5" t="str">
        <f aca="false">IF($D26&lt;&gt;"","["&amp;$E26&amp;"]"&amp;"|"&amp;SUBSTITUTE(SUBSTITUTE($I26,CHAR(61),""),CHAR(34),"")&amp;"|"&amp;$K26&amp;"|"&amp;$G26&amp;"|"&amp;IF($G26="TX_CURR_SUBNAT.R","CY2020Q4",$M26),"")</f>
        <v>[tKOXiaNhAyJ]|&lt;01|Female|POP_EST.T_1|CY2021Q3</v>
      </c>
    </row>
    <row r="27" customFormat="false" ht="15" hidden="false" customHeight="false" outlineLevel="0" collapsed="false">
      <c r="A27" s="45"/>
      <c r="B27" s="51"/>
      <c r="C27" s="45"/>
      <c r="D27" s="0" t="s">
        <v>45</v>
      </c>
      <c r="E27" s="0" t="s">
        <v>46</v>
      </c>
      <c r="F27" s="0" t="s">
        <v>47</v>
      </c>
      <c r="G27" s="0" t="s">
        <v>52</v>
      </c>
      <c r="H27" s="0" t="s">
        <v>53</v>
      </c>
      <c r="I27" s="0" t="s">
        <v>89</v>
      </c>
      <c r="J27" s="0" t="s">
        <v>90</v>
      </c>
      <c r="K27" s="0" t="s">
        <v>58</v>
      </c>
      <c r="L27" s="0" t="s">
        <v>59</v>
      </c>
      <c r="M27" s="0" t="s">
        <v>50</v>
      </c>
      <c r="N27" s="0" t="n">
        <v>4706</v>
      </c>
      <c r="O27" s="0" t="n">
        <v>44</v>
      </c>
      <c r="P27" s="0" t="n">
        <v>17</v>
      </c>
      <c r="Q27" s="5" t="str">
        <f aca="false">IF($D27&lt;&gt;"","["&amp;$E27&amp;"]"&amp;"|"&amp;SUBSTITUTE(SUBSTITUTE($I27,CHAR(61),""),CHAR(34),"")&amp;"|"&amp;$K27&amp;"|"&amp;$G27&amp;"|"&amp;IF($G27="TX_CURR_SUBNAT.R","CY2020Q4",$M27),"")</f>
        <v>[tKOXiaNhAyJ]|&lt;01|Male|POP_EST.T_1|CY2021Q3</v>
      </c>
    </row>
    <row r="28" customFormat="false" ht="15" hidden="false" customHeight="false" outlineLevel="0" collapsed="false">
      <c r="A28" s="45"/>
      <c r="B28" s="45"/>
      <c r="C28" s="45"/>
      <c r="D28" s="0" t="s">
        <v>45</v>
      </c>
      <c r="E28" s="0" t="s">
        <v>46</v>
      </c>
      <c r="F28" s="0" t="s">
        <v>47</v>
      </c>
      <c r="G28" s="0" t="s">
        <v>91</v>
      </c>
      <c r="H28" s="0" t="s">
        <v>92</v>
      </c>
      <c r="I28" s="0" t="s">
        <v>54</v>
      </c>
      <c r="J28" s="0" t="s">
        <v>55</v>
      </c>
      <c r="K28" s="0" t="s">
        <v>56</v>
      </c>
      <c r="L28" s="0" t="s">
        <v>57</v>
      </c>
      <c r="M28" s="0" t="s">
        <v>50</v>
      </c>
      <c r="N28" s="0" t="n">
        <v>0.0090953</v>
      </c>
      <c r="O28" s="0" t="n">
        <v>60</v>
      </c>
      <c r="P28" s="0" t="n">
        <v>42</v>
      </c>
      <c r="Q28" s="5" t="str">
        <f aca="false">IF($D28&lt;&gt;"","["&amp;$E28&amp;"]"&amp;"|"&amp;SUBSTITUTE(SUBSTITUTE($I28,CHAR(61),""),CHAR(34),"")&amp;"|"&amp;$K28&amp;"|"&amp;$G28&amp;"|"&amp;IF($G28="TX_CURR_SUBNAT.R","CY2020Q4",$M28),"")</f>
        <v>[tKOXiaNhAyJ]|01-04|Female|HIV_PREV.T_1|CY2021Q3</v>
      </c>
    </row>
    <row r="29" customFormat="false" ht="15" hidden="false" customHeight="false" outlineLevel="0" collapsed="false">
      <c r="A29" s="45"/>
      <c r="B29" s="52"/>
      <c r="C29" s="45"/>
      <c r="D29" s="0" t="s">
        <v>45</v>
      </c>
      <c r="E29" s="0" t="s">
        <v>46</v>
      </c>
      <c r="F29" s="0" t="s">
        <v>47</v>
      </c>
      <c r="G29" s="0" t="s">
        <v>91</v>
      </c>
      <c r="H29" s="0" t="s">
        <v>92</v>
      </c>
      <c r="I29" s="0" t="s">
        <v>54</v>
      </c>
      <c r="J29" s="0" t="s">
        <v>55</v>
      </c>
      <c r="K29" s="0" t="s">
        <v>58</v>
      </c>
      <c r="L29" s="0" t="s">
        <v>59</v>
      </c>
      <c r="M29" s="0" t="s">
        <v>50</v>
      </c>
      <c r="N29" s="0" t="n">
        <v>0.0091069</v>
      </c>
      <c r="O29" s="0" t="n">
        <v>20</v>
      </c>
      <c r="P29" s="0" t="n">
        <v>47</v>
      </c>
      <c r="Q29" s="5" t="str">
        <f aca="false">IF($D29&lt;&gt;"","["&amp;$E29&amp;"]"&amp;"|"&amp;SUBSTITUTE(SUBSTITUTE($I29,CHAR(61),""),CHAR(34),"")&amp;"|"&amp;$K29&amp;"|"&amp;$G29&amp;"|"&amp;IF($G29="TX_CURR_SUBNAT.R","CY2020Q4",$M29),"")</f>
        <v>[tKOXiaNhAyJ]|01-04|Male|HIV_PREV.T_1|CY2021Q3</v>
      </c>
    </row>
    <row r="30" customFormat="false" ht="15" hidden="false" customHeight="false" outlineLevel="0" collapsed="false">
      <c r="A30" s="45"/>
      <c r="B30" s="52"/>
      <c r="C30" s="45"/>
      <c r="D30" s="0" t="s">
        <v>45</v>
      </c>
      <c r="E30" s="0" t="s">
        <v>46</v>
      </c>
      <c r="F30" s="0" t="s">
        <v>47</v>
      </c>
      <c r="G30" s="0" t="s">
        <v>91</v>
      </c>
      <c r="H30" s="0" t="s">
        <v>92</v>
      </c>
      <c r="I30" s="0" t="s">
        <v>61</v>
      </c>
      <c r="J30" s="0" t="s">
        <v>62</v>
      </c>
      <c r="K30" s="0" t="s">
        <v>56</v>
      </c>
      <c r="L30" s="0" t="s">
        <v>57</v>
      </c>
      <c r="M30" s="0" t="s">
        <v>50</v>
      </c>
      <c r="N30" s="0" t="n">
        <v>0.0278633</v>
      </c>
      <c r="O30" s="0" t="n">
        <v>39</v>
      </c>
      <c r="P30" s="0" t="n">
        <v>39</v>
      </c>
      <c r="Q30" s="5" t="str">
        <f aca="false">IF($D30&lt;&gt;"","["&amp;$E30&amp;"]"&amp;"|"&amp;SUBSTITUTE(SUBSTITUTE($I30,CHAR(61),""),CHAR(34),"")&amp;"|"&amp;$K30&amp;"|"&amp;$G30&amp;"|"&amp;IF($G30="TX_CURR_SUBNAT.R","CY2020Q4",$M30),"")</f>
        <v>[tKOXiaNhAyJ]|10-14|Female|HIV_PREV.T_1|CY2021Q3</v>
      </c>
    </row>
    <row r="31" customFormat="false" ht="15" hidden="false" customHeight="false" outlineLevel="0" collapsed="false">
      <c r="A31" s="45"/>
      <c r="B31" s="52"/>
      <c r="C31" s="45"/>
      <c r="D31" s="0" t="s">
        <v>45</v>
      </c>
      <c r="E31" s="0" t="s">
        <v>46</v>
      </c>
      <c r="F31" s="0" t="s">
        <v>47</v>
      </c>
      <c r="G31" s="0" t="s">
        <v>91</v>
      </c>
      <c r="H31" s="0" t="s">
        <v>92</v>
      </c>
      <c r="I31" s="0" t="s">
        <v>61</v>
      </c>
      <c r="J31" s="0" t="s">
        <v>62</v>
      </c>
      <c r="K31" s="0" t="s">
        <v>58</v>
      </c>
      <c r="L31" s="0" t="s">
        <v>59</v>
      </c>
      <c r="M31" s="0" t="s">
        <v>50</v>
      </c>
      <c r="N31" s="0" t="n">
        <v>0.0281587</v>
      </c>
      <c r="O31" s="0" t="n">
        <v>41</v>
      </c>
      <c r="P31" s="0" t="n">
        <v>30</v>
      </c>
      <c r="Q31" s="5" t="str">
        <f aca="false">IF($D31&lt;&gt;"","["&amp;$E31&amp;"]"&amp;"|"&amp;SUBSTITUTE(SUBSTITUTE($I31,CHAR(61),""),CHAR(34),"")&amp;"|"&amp;$K31&amp;"|"&amp;$G31&amp;"|"&amp;IF($G31="TX_CURR_SUBNAT.R","CY2020Q4",$M31),"")</f>
        <v>[tKOXiaNhAyJ]|10-14|Male|HIV_PREV.T_1|CY2021Q3</v>
      </c>
    </row>
    <row r="32" customFormat="false" ht="15" hidden="false" customHeight="false" outlineLevel="0" collapsed="false">
      <c r="A32" s="45"/>
      <c r="B32" s="45"/>
      <c r="C32" s="45"/>
      <c r="D32" s="0" t="s">
        <v>45</v>
      </c>
      <c r="E32" s="0" t="s">
        <v>46</v>
      </c>
      <c r="F32" s="0" t="s">
        <v>47</v>
      </c>
      <c r="G32" s="0" t="s">
        <v>91</v>
      </c>
      <c r="H32" s="0" t="s">
        <v>92</v>
      </c>
      <c r="I32" s="0" t="s">
        <v>63</v>
      </c>
      <c r="J32" s="0" t="s">
        <v>64</v>
      </c>
      <c r="K32" s="0" t="s">
        <v>56</v>
      </c>
      <c r="L32" s="0" t="s">
        <v>57</v>
      </c>
      <c r="M32" s="0" t="s">
        <v>50</v>
      </c>
      <c r="N32" s="0" t="n">
        <v>0.0479061</v>
      </c>
      <c r="O32" s="0" t="n">
        <v>32</v>
      </c>
      <c r="P32" s="0" t="n">
        <v>25</v>
      </c>
      <c r="Q32" s="5" t="str">
        <f aca="false">IF($D32&lt;&gt;"","["&amp;$E32&amp;"]"&amp;"|"&amp;SUBSTITUTE(SUBSTITUTE($I32,CHAR(61),""),CHAR(34),"")&amp;"|"&amp;$K32&amp;"|"&amp;$G32&amp;"|"&amp;IF($G32="TX_CURR_SUBNAT.R","CY2020Q4",$M32),"")</f>
        <v>[tKOXiaNhAyJ]|15-19|Female|HIV_PREV.T_1|CY2021Q3</v>
      </c>
    </row>
    <row r="33" customFormat="false" ht="15" hidden="false" customHeight="false" outlineLevel="0" collapsed="false">
      <c r="A33" s="45"/>
      <c r="B33" s="45"/>
      <c r="C33" s="45"/>
      <c r="D33" s="0" t="s">
        <v>45</v>
      </c>
      <c r="E33" s="0" t="s">
        <v>46</v>
      </c>
      <c r="F33" s="0" t="s">
        <v>47</v>
      </c>
      <c r="G33" s="0" t="s">
        <v>91</v>
      </c>
      <c r="H33" s="0" t="s">
        <v>92</v>
      </c>
      <c r="I33" s="0" t="s">
        <v>63</v>
      </c>
      <c r="J33" s="0" t="s">
        <v>64</v>
      </c>
      <c r="K33" s="0" t="s">
        <v>58</v>
      </c>
      <c r="L33" s="0" t="s">
        <v>59</v>
      </c>
      <c r="M33" s="0" t="s">
        <v>50</v>
      </c>
      <c r="N33" s="0" t="n">
        <v>0.0288686</v>
      </c>
      <c r="O33" s="0" t="n">
        <v>41</v>
      </c>
      <c r="P33" s="0" t="n">
        <v>46</v>
      </c>
      <c r="Q33" s="5" t="str">
        <f aca="false">IF($D33&lt;&gt;"","["&amp;$E33&amp;"]"&amp;"|"&amp;SUBSTITUTE(SUBSTITUTE($I33,CHAR(61),""),CHAR(34),"")&amp;"|"&amp;$K33&amp;"|"&amp;$G33&amp;"|"&amp;IF($G33="TX_CURR_SUBNAT.R","CY2020Q4",$M33),"")</f>
        <v>[tKOXiaNhAyJ]|15-19|Male|HIV_PREV.T_1|CY2021Q3</v>
      </c>
    </row>
    <row r="34" customFormat="false" ht="15" hidden="false" customHeight="false" outlineLevel="0" collapsed="false">
      <c r="A34" s="45"/>
      <c r="B34" s="45"/>
      <c r="C34" s="45"/>
      <c r="D34" s="0" t="s">
        <v>45</v>
      </c>
      <c r="E34" s="0" t="s">
        <v>46</v>
      </c>
      <c r="F34" s="0" t="s">
        <v>47</v>
      </c>
      <c r="G34" s="0" t="s">
        <v>91</v>
      </c>
      <c r="H34" s="0" t="s">
        <v>92</v>
      </c>
      <c r="I34" s="0" t="s">
        <v>66</v>
      </c>
      <c r="J34" s="0" t="s">
        <v>67</v>
      </c>
      <c r="K34" s="0" t="s">
        <v>56</v>
      </c>
      <c r="L34" s="0" t="s">
        <v>57</v>
      </c>
      <c r="M34" s="0" t="s">
        <v>50</v>
      </c>
      <c r="N34" s="0" t="n">
        <v>0.1226802</v>
      </c>
      <c r="O34" s="0" t="n">
        <v>26</v>
      </c>
      <c r="P34" s="0" t="n">
        <v>3</v>
      </c>
      <c r="Q34" s="5" t="str">
        <f aca="false">IF($D34&lt;&gt;"","["&amp;$E34&amp;"]"&amp;"|"&amp;SUBSTITUTE(SUBSTITUTE($I34,CHAR(61),""),CHAR(34),"")&amp;"|"&amp;$K34&amp;"|"&amp;$G34&amp;"|"&amp;IF($G34="TX_CURR_SUBNAT.R","CY2020Q4",$M34),"")</f>
        <v>[tKOXiaNhAyJ]|20-24|Female|HIV_PREV.T_1|CY2021Q3</v>
      </c>
    </row>
    <row r="35" customFormat="false" ht="15" hidden="false" customHeight="false" outlineLevel="0" collapsed="false">
      <c r="A35" s="45"/>
      <c r="B35" s="45"/>
      <c r="C35" s="45"/>
      <c r="D35" s="0" t="s">
        <v>45</v>
      </c>
      <c r="E35" s="0" t="s">
        <v>46</v>
      </c>
      <c r="F35" s="0" t="s">
        <v>47</v>
      </c>
      <c r="G35" s="0" t="s">
        <v>91</v>
      </c>
      <c r="H35" s="0" t="s">
        <v>92</v>
      </c>
      <c r="I35" s="0" t="s">
        <v>66</v>
      </c>
      <c r="J35" s="0" t="s">
        <v>67</v>
      </c>
      <c r="K35" s="0" t="s">
        <v>58</v>
      </c>
      <c r="L35" s="0" t="s">
        <v>59</v>
      </c>
      <c r="M35" s="0" t="s">
        <v>50</v>
      </c>
      <c r="N35" s="0" t="n">
        <v>0.0476836</v>
      </c>
      <c r="O35" s="0" t="n">
        <v>43</v>
      </c>
      <c r="P35" s="0" t="n">
        <v>45</v>
      </c>
      <c r="Q35" s="5" t="str">
        <f aca="false">IF($D35&lt;&gt;"","["&amp;$E35&amp;"]"&amp;"|"&amp;SUBSTITUTE(SUBSTITUTE($I35,CHAR(61),""),CHAR(34),"")&amp;"|"&amp;$K35&amp;"|"&amp;$G35&amp;"|"&amp;IF($G35="TX_CURR_SUBNAT.R","CY2020Q4",$M35),"")</f>
        <v>[tKOXiaNhAyJ]|20-24|Male|HIV_PREV.T_1|CY2021Q3</v>
      </c>
    </row>
    <row r="36" customFormat="false" ht="15" hidden="false" customHeight="false" outlineLevel="0" collapsed="false">
      <c r="A36" s="45"/>
      <c r="B36" s="45"/>
      <c r="C36" s="45"/>
      <c r="D36" s="0" t="s">
        <v>45</v>
      </c>
      <c r="E36" s="0" t="s">
        <v>46</v>
      </c>
      <c r="F36" s="0" t="s">
        <v>47</v>
      </c>
      <c r="G36" s="0" t="s">
        <v>91</v>
      </c>
      <c r="H36" s="0" t="s">
        <v>92</v>
      </c>
      <c r="I36" s="0" t="s">
        <v>69</v>
      </c>
      <c r="J36" s="0" t="s">
        <v>70</v>
      </c>
      <c r="K36" s="0" t="s">
        <v>56</v>
      </c>
      <c r="L36" s="0" t="s">
        <v>57</v>
      </c>
      <c r="M36" s="0" t="s">
        <v>50</v>
      </c>
      <c r="N36" s="0" t="n">
        <v>0.247224</v>
      </c>
      <c r="O36" s="0" t="n">
        <v>50</v>
      </c>
      <c r="P36" s="0" t="n">
        <v>33</v>
      </c>
      <c r="Q36" s="5" t="str">
        <f aca="false">IF($D36&lt;&gt;"","["&amp;$E36&amp;"]"&amp;"|"&amp;SUBSTITUTE(SUBSTITUTE($I36,CHAR(61),""),CHAR(34),"")&amp;"|"&amp;$K36&amp;"|"&amp;$G36&amp;"|"&amp;IF($G36="TX_CURR_SUBNAT.R","CY2020Q4",$M36),"")</f>
        <v>[tKOXiaNhAyJ]|25-29|Female|HIV_PREV.T_1|CY2021Q3</v>
      </c>
    </row>
    <row r="37" customFormat="false" ht="15" hidden="false" customHeight="false" outlineLevel="0" collapsed="false">
      <c r="A37" s="45"/>
      <c r="B37" s="45"/>
      <c r="C37" s="45"/>
      <c r="D37" s="0" t="s">
        <v>45</v>
      </c>
      <c r="E37" s="0" t="s">
        <v>46</v>
      </c>
      <c r="F37" s="0" t="s">
        <v>47</v>
      </c>
      <c r="G37" s="0" t="s">
        <v>91</v>
      </c>
      <c r="H37" s="0" t="s">
        <v>92</v>
      </c>
      <c r="I37" s="0" t="s">
        <v>69</v>
      </c>
      <c r="J37" s="0" t="s">
        <v>70</v>
      </c>
      <c r="K37" s="0" t="s">
        <v>58</v>
      </c>
      <c r="L37" s="0" t="s">
        <v>59</v>
      </c>
      <c r="M37" s="0" t="s">
        <v>50</v>
      </c>
      <c r="N37" s="0" t="n">
        <v>0.10868</v>
      </c>
      <c r="O37" s="0" t="n">
        <v>33</v>
      </c>
      <c r="P37" s="0" t="n">
        <v>14</v>
      </c>
      <c r="Q37" s="5" t="str">
        <f aca="false">IF($D37&lt;&gt;"","["&amp;$E37&amp;"]"&amp;"|"&amp;SUBSTITUTE(SUBSTITUTE($I37,CHAR(61),""),CHAR(34),"")&amp;"|"&amp;$K37&amp;"|"&amp;$G37&amp;"|"&amp;IF($G37="TX_CURR_SUBNAT.R","CY2020Q4",$M37),"")</f>
        <v>[tKOXiaNhAyJ]|25-29|Male|HIV_PREV.T_1|CY2021Q3</v>
      </c>
    </row>
    <row r="38" customFormat="false" ht="15" hidden="false" customHeight="false" outlineLevel="0" collapsed="false">
      <c r="A38" s="45"/>
      <c r="B38" s="45"/>
      <c r="C38" s="45"/>
      <c r="D38" s="0" t="s">
        <v>45</v>
      </c>
      <c r="E38" s="0" t="s">
        <v>46</v>
      </c>
      <c r="F38" s="0" t="s">
        <v>47</v>
      </c>
      <c r="G38" s="0" t="s">
        <v>91</v>
      </c>
      <c r="H38" s="0" t="s">
        <v>92</v>
      </c>
      <c r="I38" s="0" t="s">
        <v>72</v>
      </c>
      <c r="J38" s="0" t="s">
        <v>73</v>
      </c>
      <c r="K38" s="0" t="s">
        <v>56</v>
      </c>
      <c r="L38" s="0" t="s">
        <v>57</v>
      </c>
      <c r="M38" s="0" t="s">
        <v>50</v>
      </c>
      <c r="N38" s="0" t="n">
        <v>0.3670507</v>
      </c>
      <c r="O38" s="0" t="n">
        <v>30</v>
      </c>
      <c r="P38" s="0" t="n">
        <v>23</v>
      </c>
      <c r="Q38" s="5" t="str">
        <f aca="false">IF($D38&lt;&gt;"","["&amp;$E38&amp;"]"&amp;"|"&amp;SUBSTITUTE(SUBSTITUTE($I38,CHAR(61),""),CHAR(34),"")&amp;"|"&amp;$K38&amp;"|"&amp;$G38&amp;"|"&amp;IF($G38="TX_CURR_SUBNAT.R","CY2020Q4",$M38),"")</f>
        <v>[tKOXiaNhAyJ]|30-34|Female|HIV_PREV.T_1|CY2021Q3</v>
      </c>
    </row>
    <row r="39" customFormat="false" ht="15" hidden="false" customHeight="false" outlineLevel="0" collapsed="false">
      <c r="A39" s="45"/>
      <c r="B39" s="45"/>
      <c r="C39" s="45"/>
      <c r="D39" s="0" t="s">
        <v>45</v>
      </c>
      <c r="E39" s="0" t="s">
        <v>46</v>
      </c>
      <c r="F39" s="0" t="s">
        <v>47</v>
      </c>
      <c r="G39" s="0" t="s">
        <v>91</v>
      </c>
      <c r="H39" s="0" t="s">
        <v>92</v>
      </c>
      <c r="I39" s="0" t="s">
        <v>72</v>
      </c>
      <c r="J39" s="0" t="s">
        <v>73</v>
      </c>
      <c r="K39" s="0" t="s">
        <v>58</v>
      </c>
      <c r="L39" s="0" t="s">
        <v>59</v>
      </c>
      <c r="M39" s="0" t="s">
        <v>50</v>
      </c>
      <c r="N39" s="0" t="n">
        <v>0.2015939</v>
      </c>
      <c r="O39" s="0" t="n">
        <v>55</v>
      </c>
      <c r="P39" s="0" t="n">
        <v>42</v>
      </c>
      <c r="Q39" s="5" t="str">
        <f aca="false">IF($D39&lt;&gt;"","["&amp;$E39&amp;"]"&amp;"|"&amp;SUBSTITUTE(SUBSTITUTE($I39,CHAR(61),""),CHAR(34),"")&amp;"|"&amp;$K39&amp;"|"&amp;$G39&amp;"|"&amp;IF($G39="TX_CURR_SUBNAT.R","CY2020Q4",$M39),"")</f>
        <v>[tKOXiaNhAyJ]|30-34|Male|HIV_PREV.T_1|CY2021Q3</v>
      </c>
    </row>
    <row r="40" customFormat="false" ht="15" hidden="false" customHeight="false" outlineLevel="0" collapsed="false">
      <c r="A40" s="45"/>
      <c r="B40" s="45"/>
      <c r="C40" s="45"/>
      <c r="D40" s="0" t="s">
        <v>45</v>
      </c>
      <c r="E40" s="0" t="s">
        <v>46</v>
      </c>
      <c r="F40" s="0" t="s">
        <v>47</v>
      </c>
      <c r="G40" s="0" t="s">
        <v>91</v>
      </c>
      <c r="H40" s="0" t="s">
        <v>92</v>
      </c>
      <c r="I40" s="0" t="s">
        <v>75</v>
      </c>
      <c r="J40" s="0" t="s">
        <v>76</v>
      </c>
      <c r="K40" s="0" t="s">
        <v>56</v>
      </c>
      <c r="L40" s="0" t="s">
        <v>57</v>
      </c>
      <c r="M40" s="0" t="s">
        <v>50</v>
      </c>
      <c r="N40" s="0" t="n">
        <v>0.4443014</v>
      </c>
      <c r="O40" s="0" t="n">
        <v>12</v>
      </c>
      <c r="P40" s="0" t="n">
        <v>26</v>
      </c>
      <c r="Q40" s="5" t="str">
        <f aca="false">IF($D40&lt;&gt;"","["&amp;$E40&amp;"]"&amp;"|"&amp;SUBSTITUTE(SUBSTITUTE($I40,CHAR(61),""),CHAR(34),"")&amp;"|"&amp;$K40&amp;"|"&amp;$G40&amp;"|"&amp;IF($G40="TX_CURR_SUBNAT.R","CY2020Q4",$M40),"")</f>
        <v>[tKOXiaNhAyJ]|35-39|Female|HIV_PREV.T_1|CY2021Q3</v>
      </c>
    </row>
    <row r="41" customFormat="false" ht="15" hidden="false" customHeight="false" outlineLevel="0" collapsed="false">
      <c r="D41" s="0" t="s">
        <v>45</v>
      </c>
      <c r="E41" s="0" t="s">
        <v>46</v>
      </c>
      <c r="F41" s="0" t="s">
        <v>47</v>
      </c>
      <c r="G41" s="0" t="s">
        <v>91</v>
      </c>
      <c r="H41" s="0" t="s">
        <v>92</v>
      </c>
      <c r="I41" s="0" t="s">
        <v>75</v>
      </c>
      <c r="J41" s="0" t="s">
        <v>76</v>
      </c>
      <c r="K41" s="0" t="s">
        <v>58</v>
      </c>
      <c r="L41" s="0" t="s">
        <v>59</v>
      </c>
      <c r="M41" s="0" t="s">
        <v>50</v>
      </c>
      <c r="N41" s="0" t="n">
        <v>0.2983137</v>
      </c>
      <c r="O41" s="0" t="n">
        <v>2</v>
      </c>
      <c r="P41" s="0" t="n">
        <v>4</v>
      </c>
      <c r="Q41" s="5" t="str">
        <f aca="false">IF($D41&lt;&gt;"","["&amp;$E41&amp;"]"&amp;"|"&amp;SUBSTITUTE(SUBSTITUTE($I41,CHAR(61),""),CHAR(34),"")&amp;"|"&amp;$K41&amp;"|"&amp;$G41&amp;"|"&amp;IF($G41="TX_CURR_SUBNAT.R","CY2020Q4",$M41),"")</f>
        <v>[tKOXiaNhAyJ]|35-39|Male|HIV_PREV.T_1|CY2021Q3</v>
      </c>
    </row>
    <row r="42" customFormat="false" ht="15" hidden="false" customHeight="false" outlineLevel="0" collapsed="false">
      <c r="D42" s="0" t="s">
        <v>45</v>
      </c>
      <c r="E42" s="0" t="s">
        <v>46</v>
      </c>
      <c r="F42" s="0" t="s">
        <v>47</v>
      </c>
      <c r="G42" s="0" t="s">
        <v>91</v>
      </c>
      <c r="H42" s="0" t="s">
        <v>92</v>
      </c>
      <c r="I42" s="0" t="s">
        <v>77</v>
      </c>
      <c r="J42" s="0" t="s">
        <v>78</v>
      </c>
      <c r="K42" s="0" t="s">
        <v>56</v>
      </c>
      <c r="L42" s="0" t="s">
        <v>57</v>
      </c>
      <c r="M42" s="0" t="s">
        <v>50</v>
      </c>
      <c r="N42" s="0" t="n">
        <v>0.5126672</v>
      </c>
      <c r="O42" s="0" t="n">
        <v>23</v>
      </c>
      <c r="P42" s="0" t="n">
        <v>6</v>
      </c>
      <c r="Q42" s="5" t="str">
        <f aca="false">IF($D42&lt;&gt;"","["&amp;$E42&amp;"]"&amp;"|"&amp;SUBSTITUTE(SUBSTITUTE($I42,CHAR(61),""),CHAR(34),"")&amp;"|"&amp;$K42&amp;"|"&amp;$G42&amp;"|"&amp;IF($G42="TX_CURR_SUBNAT.R","CY2020Q4",$M42),"")</f>
        <v>[tKOXiaNhAyJ]|40-44|Female|HIV_PREV.T_1|CY2021Q3</v>
      </c>
    </row>
    <row r="43" customFormat="false" ht="15" hidden="false" customHeight="false" outlineLevel="0" collapsed="false">
      <c r="D43" s="0" t="s">
        <v>45</v>
      </c>
      <c r="E43" s="0" t="s">
        <v>46</v>
      </c>
      <c r="F43" s="0" t="s">
        <v>47</v>
      </c>
      <c r="G43" s="0" t="s">
        <v>91</v>
      </c>
      <c r="H43" s="0" t="s">
        <v>92</v>
      </c>
      <c r="I43" s="0" t="s">
        <v>77</v>
      </c>
      <c r="J43" s="0" t="s">
        <v>78</v>
      </c>
      <c r="K43" s="0" t="s">
        <v>58</v>
      </c>
      <c r="L43" s="0" t="s">
        <v>59</v>
      </c>
      <c r="M43" s="0" t="s">
        <v>50</v>
      </c>
      <c r="N43" s="0" t="n">
        <v>0.3926499</v>
      </c>
      <c r="O43" s="0" t="n">
        <v>50</v>
      </c>
      <c r="P43" s="0" t="n">
        <v>35</v>
      </c>
      <c r="Q43" s="5" t="str">
        <f aca="false">IF($D43&lt;&gt;"","["&amp;$E43&amp;"]"&amp;"|"&amp;SUBSTITUTE(SUBSTITUTE($I43,CHAR(61),""),CHAR(34),"")&amp;"|"&amp;$K43&amp;"|"&amp;$G43&amp;"|"&amp;IF($G43="TX_CURR_SUBNAT.R","CY2020Q4",$M43),"")</f>
        <v>[tKOXiaNhAyJ]|40-44|Male|HIV_PREV.T_1|CY2021Q3</v>
      </c>
    </row>
    <row r="44" customFormat="false" ht="15" hidden="false" customHeight="false" outlineLevel="0" collapsed="false">
      <c r="D44" s="0" t="s">
        <v>45</v>
      </c>
      <c r="E44" s="0" t="s">
        <v>46</v>
      </c>
      <c r="F44" s="0" t="s">
        <v>47</v>
      </c>
      <c r="G44" s="0" t="s">
        <v>91</v>
      </c>
      <c r="H44" s="0" t="s">
        <v>92</v>
      </c>
      <c r="I44" s="0" t="s">
        <v>80</v>
      </c>
      <c r="J44" s="0" t="s">
        <v>81</v>
      </c>
      <c r="K44" s="0" t="s">
        <v>56</v>
      </c>
      <c r="L44" s="0" t="s">
        <v>57</v>
      </c>
      <c r="M44" s="0" t="s">
        <v>50</v>
      </c>
      <c r="N44" s="0" t="n">
        <v>0.4965834</v>
      </c>
      <c r="O44" s="0" t="n">
        <v>3</v>
      </c>
      <c r="P44" s="0" t="n">
        <v>26</v>
      </c>
      <c r="Q44" s="5" t="str">
        <f aca="false">IF($D44&lt;&gt;"","["&amp;$E44&amp;"]"&amp;"|"&amp;SUBSTITUTE(SUBSTITUTE($I44,CHAR(61),""),CHAR(34),"")&amp;"|"&amp;$K44&amp;"|"&amp;$G44&amp;"|"&amp;IF($G44="TX_CURR_SUBNAT.R","CY2020Q4",$M44),"")</f>
        <v>[tKOXiaNhAyJ]|45-49|Female|HIV_PREV.T_1|CY2021Q3</v>
      </c>
    </row>
    <row r="45" customFormat="false" ht="15" hidden="false" customHeight="false" outlineLevel="0" collapsed="false">
      <c r="D45" s="0" t="s">
        <v>45</v>
      </c>
      <c r="E45" s="0" t="s">
        <v>46</v>
      </c>
      <c r="F45" s="0" t="s">
        <v>47</v>
      </c>
      <c r="G45" s="0" t="s">
        <v>91</v>
      </c>
      <c r="H45" s="0" t="s">
        <v>92</v>
      </c>
      <c r="I45" s="0" t="s">
        <v>80</v>
      </c>
      <c r="J45" s="0" t="s">
        <v>81</v>
      </c>
      <c r="K45" s="0" t="s">
        <v>58</v>
      </c>
      <c r="L45" s="0" t="s">
        <v>59</v>
      </c>
      <c r="M45" s="0" t="s">
        <v>50</v>
      </c>
      <c r="N45" s="0" t="n">
        <v>0.4535215</v>
      </c>
      <c r="O45" s="0" t="n">
        <v>6</v>
      </c>
      <c r="P45" s="0" t="n">
        <v>27</v>
      </c>
      <c r="Q45" s="5" t="str">
        <f aca="false">IF($D45&lt;&gt;"","["&amp;$E45&amp;"]"&amp;"|"&amp;SUBSTITUTE(SUBSTITUTE($I45,CHAR(61),""),CHAR(34),"")&amp;"|"&amp;$K45&amp;"|"&amp;$G45&amp;"|"&amp;IF($G45="TX_CURR_SUBNAT.R","CY2020Q4",$M45),"")</f>
        <v>[tKOXiaNhAyJ]|45-49|Male|HIV_PREV.T_1|CY2021Q3</v>
      </c>
    </row>
    <row r="46" customFormat="false" ht="15" hidden="false" customHeight="false" outlineLevel="0" collapsed="false">
      <c r="D46" s="0" t="s">
        <v>45</v>
      </c>
      <c r="E46" s="0" t="s">
        <v>46</v>
      </c>
      <c r="F46" s="0" t="s">
        <v>47</v>
      </c>
      <c r="G46" s="0" t="s">
        <v>91</v>
      </c>
      <c r="H46" s="0" t="s">
        <v>92</v>
      </c>
      <c r="I46" s="0" t="s">
        <v>83</v>
      </c>
      <c r="J46" s="0" t="s">
        <v>84</v>
      </c>
      <c r="K46" s="0" t="s">
        <v>56</v>
      </c>
      <c r="L46" s="0" t="s">
        <v>57</v>
      </c>
      <c r="M46" s="0" t="s">
        <v>50</v>
      </c>
      <c r="N46" s="0" t="n">
        <v>0.0172605</v>
      </c>
      <c r="O46" s="0" t="n">
        <v>24</v>
      </c>
      <c r="P46" s="0" t="n">
        <v>1</v>
      </c>
      <c r="Q46" s="5" t="str">
        <f aca="false">IF($D46&lt;&gt;"","["&amp;$E46&amp;"]"&amp;"|"&amp;SUBSTITUTE(SUBSTITUTE($I46,CHAR(61),""),CHAR(34),"")&amp;"|"&amp;$K46&amp;"|"&amp;$G46&amp;"|"&amp;IF($G46="TX_CURR_SUBNAT.R","CY2020Q4",$M46),"")</f>
        <v>[tKOXiaNhAyJ]|05-09|Female|HIV_PREV.T_1|CY2021Q3</v>
      </c>
    </row>
    <row r="47" customFormat="false" ht="15" hidden="false" customHeight="false" outlineLevel="0" collapsed="false">
      <c r="D47" s="0" t="s">
        <v>45</v>
      </c>
      <c r="E47" s="0" t="s">
        <v>46</v>
      </c>
      <c r="F47" s="0" t="s">
        <v>47</v>
      </c>
      <c r="G47" s="0" t="s">
        <v>91</v>
      </c>
      <c r="H47" s="0" t="s">
        <v>92</v>
      </c>
      <c r="I47" s="0" t="s">
        <v>83</v>
      </c>
      <c r="J47" s="0" t="s">
        <v>84</v>
      </c>
      <c r="K47" s="0" t="s">
        <v>58</v>
      </c>
      <c r="L47" s="0" t="s">
        <v>59</v>
      </c>
      <c r="M47" s="0" t="s">
        <v>50</v>
      </c>
      <c r="N47" s="0" t="n">
        <v>0.0171009</v>
      </c>
      <c r="O47" s="0" t="n">
        <v>23</v>
      </c>
      <c r="P47" s="0" t="n">
        <v>3</v>
      </c>
      <c r="Q47" s="5" t="str">
        <f aca="false">IF($D47&lt;&gt;"","["&amp;$E47&amp;"]"&amp;"|"&amp;SUBSTITUTE(SUBSTITUTE($I47,CHAR(61),""),CHAR(34),"")&amp;"|"&amp;$K47&amp;"|"&amp;$G47&amp;"|"&amp;IF($G47="TX_CURR_SUBNAT.R","CY2020Q4",$M47),"")</f>
        <v>[tKOXiaNhAyJ]|05-09|Male|HIV_PREV.T_1|CY2021Q3</v>
      </c>
    </row>
    <row r="48" customFormat="false" ht="15" hidden="false" customHeight="false" outlineLevel="0" collapsed="false">
      <c r="D48" s="0" t="s">
        <v>45</v>
      </c>
      <c r="E48" s="0" t="s">
        <v>46</v>
      </c>
      <c r="F48" s="0" t="s">
        <v>47</v>
      </c>
      <c r="G48" s="0" t="s">
        <v>91</v>
      </c>
      <c r="H48" s="0" t="s">
        <v>92</v>
      </c>
      <c r="I48" s="53" t="s">
        <v>86</v>
      </c>
      <c r="J48" s="0" t="s">
        <v>87</v>
      </c>
      <c r="K48" s="0" t="s">
        <v>56</v>
      </c>
      <c r="L48" s="0" t="s">
        <v>57</v>
      </c>
      <c r="M48" s="0" t="s">
        <v>50</v>
      </c>
      <c r="N48" s="0" t="n">
        <v>0.290296</v>
      </c>
      <c r="O48" s="0" t="n">
        <v>19</v>
      </c>
      <c r="P48" s="0" t="n">
        <v>14</v>
      </c>
      <c r="Q48" s="5" t="str">
        <f aca="false">IF($D48&lt;&gt;"","["&amp;$E48&amp;"]"&amp;"|"&amp;SUBSTITUTE(SUBSTITUTE($I48,CHAR(61),""),CHAR(34),"")&amp;"|"&amp;$K48&amp;"|"&amp;$G48&amp;"|"&amp;IF($G48="TX_CURR_SUBNAT.R","CY2020Q4",$M48),"")</f>
        <v>[tKOXiaNhAyJ]|50+|Female|HIV_PREV.T_1|CY2021Q3</v>
      </c>
    </row>
    <row r="49" customFormat="false" ht="15" hidden="false" customHeight="false" outlineLevel="0" collapsed="false">
      <c r="D49" s="0" t="s">
        <v>45</v>
      </c>
      <c r="E49" s="0" t="s">
        <v>46</v>
      </c>
      <c r="F49" s="0" t="s">
        <v>47</v>
      </c>
      <c r="G49" s="0" t="s">
        <v>91</v>
      </c>
      <c r="H49" s="0" t="s">
        <v>92</v>
      </c>
      <c r="I49" s="53" t="s">
        <v>86</v>
      </c>
      <c r="J49" s="0" t="s">
        <v>87</v>
      </c>
      <c r="K49" s="0" t="s">
        <v>58</v>
      </c>
      <c r="L49" s="0" t="s">
        <v>59</v>
      </c>
      <c r="M49" s="0" t="s">
        <v>50</v>
      </c>
      <c r="N49" s="0" t="n">
        <v>0.3352566</v>
      </c>
      <c r="O49" s="0" t="n">
        <v>44</v>
      </c>
      <c r="P49" s="0" t="n">
        <v>28</v>
      </c>
      <c r="Q49" s="5" t="str">
        <f aca="false">IF($D49&lt;&gt;"","["&amp;$E49&amp;"]"&amp;"|"&amp;SUBSTITUTE(SUBSTITUTE($I49,CHAR(61),""),CHAR(34),"")&amp;"|"&amp;$K49&amp;"|"&amp;$G49&amp;"|"&amp;IF($G49="TX_CURR_SUBNAT.R","CY2020Q4",$M49),"")</f>
        <v>[tKOXiaNhAyJ]|50+|Male|HIV_PREV.T_1|CY2021Q3</v>
      </c>
    </row>
    <row r="50" customFormat="false" ht="15" hidden="false" customHeight="false" outlineLevel="0" collapsed="false">
      <c r="D50" s="0" t="s">
        <v>45</v>
      </c>
      <c r="E50" s="0" t="s">
        <v>46</v>
      </c>
      <c r="F50" s="0" t="s">
        <v>47</v>
      </c>
      <c r="G50" s="0" t="s">
        <v>91</v>
      </c>
      <c r="H50" s="0" t="s">
        <v>92</v>
      </c>
      <c r="I50" s="0" t="s">
        <v>89</v>
      </c>
      <c r="J50" s="0" t="s">
        <v>90</v>
      </c>
      <c r="K50" s="0" t="s">
        <v>56</v>
      </c>
      <c r="L50" s="0" t="s">
        <v>57</v>
      </c>
      <c r="M50" s="0" t="s">
        <v>50</v>
      </c>
      <c r="N50" s="0" t="n">
        <v>0.0086006</v>
      </c>
      <c r="O50" s="0" t="n">
        <v>15</v>
      </c>
      <c r="P50" s="0" t="n">
        <v>14</v>
      </c>
      <c r="Q50" s="5" t="str">
        <f aca="false">IF($D50&lt;&gt;"","["&amp;$E50&amp;"]"&amp;"|"&amp;SUBSTITUTE(SUBSTITUTE($I50,CHAR(61),""),CHAR(34),"")&amp;"|"&amp;$K50&amp;"|"&amp;$G50&amp;"|"&amp;IF($G50="TX_CURR_SUBNAT.R","CY2020Q4",$M50),"")</f>
        <v>[tKOXiaNhAyJ]|&lt;01|Female|HIV_PREV.T_1|CY2021Q3</v>
      </c>
    </row>
    <row r="51" customFormat="false" ht="15" hidden="false" customHeight="false" outlineLevel="0" collapsed="false">
      <c r="D51" s="0" t="s">
        <v>45</v>
      </c>
      <c r="E51" s="0" t="s">
        <v>46</v>
      </c>
      <c r="F51" s="0" t="s">
        <v>47</v>
      </c>
      <c r="G51" s="0" t="s">
        <v>91</v>
      </c>
      <c r="H51" s="0" t="s">
        <v>92</v>
      </c>
      <c r="I51" s="0" t="s">
        <v>89</v>
      </c>
      <c r="J51" s="0" t="s">
        <v>90</v>
      </c>
      <c r="K51" s="0" t="s">
        <v>58</v>
      </c>
      <c r="L51" s="0" t="s">
        <v>59</v>
      </c>
      <c r="M51" s="0" t="s">
        <v>50</v>
      </c>
      <c r="N51" s="0" t="n">
        <v>0.0086115</v>
      </c>
      <c r="O51" s="0" t="n">
        <v>12</v>
      </c>
      <c r="P51" s="0" t="n">
        <v>37</v>
      </c>
      <c r="Q51" s="5" t="str">
        <f aca="false">IF($D51&lt;&gt;"","["&amp;$E51&amp;"]"&amp;"|"&amp;SUBSTITUTE(SUBSTITUTE($I51,CHAR(61),""),CHAR(34),"")&amp;"|"&amp;$K51&amp;"|"&amp;$G51&amp;"|"&amp;IF($G51="TX_CURR_SUBNAT.R","CY2020Q4",$M51),"")</f>
        <v>[tKOXiaNhAyJ]|&lt;01|Male|HIV_PREV.T_1|CY2021Q3</v>
      </c>
    </row>
    <row r="52" customFormat="false" ht="15" hidden="false" customHeight="false" outlineLevel="0" collapsed="false">
      <c r="D52" s="0" t="s">
        <v>45</v>
      </c>
      <c r="E52" s="0" t="s">
        <v>46</v>
      </c>
      <c r="F52" s="0" t="s">
        <v>47</v>
      </c>
      <c r="G52" s="0" t="s">
        <v>93</v>
      </c>
      <c r="H52" s="0" t="s">
        <v>94</v>
      </c>
      <c r="I52" s="0" t="s">
        <v>54</v>
      </c>
      <c r="J52" s="0" t="s">
        <v>55</v>
      </c>
      <c r="K52" s="0" t="s">
        <v>56</v>
      </c>
      <c r="L52" s="0" t="s">
        <v>57</v>
      </c>
      <c r="M52" s="0" t="s">
        <v>50</v>
      </c>
      <c r="N52" s="0" t="n">
        <v>86</v>
      </c>
      <c r="O52" s="0" t="n">
        <v>47</v>
      </c>
      <c r="P52" s="0" t="n">
        <v>22</v>
      </c>
      <c r="Q52" s="5" t="str">
        <f aca="false">IF($D52&lt;&gt;"","["&amp;$E52&amp;"]"&amp;"|"&amp;SUBSTITUTE(SUBSTITUTE($I52,CHAR(61),""),CHAR(34),"")&amp;"|"&amp;$K52&amp;"|"&amp;$G52&amp;"|"&amp;IF($G52="TX_CURR_SUBNAT.R","CY2020Q4",$M52),"")</f>
        <v>[tKOXiaNhAyJ]|01-04|Female|DIAGNOSED_SUBNAT.T_1|CY2021Q3</v>
      </c>
    </row>
    <row r="53" customFormat="false" ht="15" hidden="false" customHeight="false" outlineLevel="0" collapsed="false">
      <c r="D53" s="0" t="s">
        <v>45</v>
      </c>
      <c r="E53" s="0" t="s">
        <v>46</v>
      </c>
      <c r="F53" s="0" t="s">
        <v>47</v>
      </c>
      <c r="G53" s="0" t="s">
        <v>93</v>
      </c>
      <c r="H53" s="0" t="s">
        <v>94</v>
      </c>
      <c r="I53" s="0" t="s">
        <v>54</v>
      </c>
      <c r="J53" s="0" t="s">
        <v>55</v>
      </c>
      <c r="K53" s="0" t="s">
        <v>58</v>
      </c>
      <c r="L53" s="0" t="s">
        <v>59</v>
      </c>
      <c r="M53" s="0" t="s">
        <v>50</v>
      </c>
      <c r="N53" s="0" t="n">
        <v>88</v>
      </c>
      <c r="O53" s="0" t="n">
        <v>22</v>
      </c>
      <c r="P53" s="0" t="n">
        <v>2</v>
      </c>
      <c r="Q53" s="5" t="str">
        <f aca="false">IF($D53&lt;&gt;"","["&amp;$E53&amp;"]"&amp;"|"&amp;SUBSTITUTE(SUBSTITUTE($I53,CHAR(61),""),CHAR(34),"")&amp;"|"&amp;$K53&amp;"|"&amp;$G53&amp;"|"&amp;IF($G53="TX_CURR_SUBNAT.R","CY2020Q4",$M53),"")</f>
        <v>[tKOXiaNhAyJ]|01-04|Male|DIAGNOSED_SUBNAT.T_1|CY2021Q3</v>
      </c>
    </row>
    <row r="54" customFormat="false" ht="15" hidden="false" customHeight="false" outlineLevel="0" collapsed="false">
      <c r="D54" s="0" t="s">
        <v>45</v>
      </c>
      <c r="E54" s="0" t="s">
        <v>46</v>
      </c>
      <c r="F54" s="0" t="s">
        <v>47</v>
      </c>
      <c r="G54" s="0" t="s">
        <v>93</v>
      </c>
      <c r="H54" s="0" t="s">
        <v>94</v>
      </c>
      <c r="I54" s="0" t="s">
        <v>61</v>
      </c>
      <c r="J54" s="0" t="s">
        <v>62</v>
      </c>
      <c r="K54" s="0" t="s">
        <v>56</v>
      </c>
      <c r="L54" s="0" t="s">
        <v>57</v>
      </c>
      <c r="M54" s="0" t="s">
        <v>50</v>
      </c>
      <c r="N54" s="0" t="n">
        <v>472</v>
      </c>
      <c r="O54" s="0" t="n">
        <v>19</v>
      </c>
      <c r="P54" s="0" t="n">
        <v>41</v>
      </c>
      <c r="Q54" s="5" t="str">
        <f aca="false">IF($D54&lt;&gt;"","["&amp;$E54&amp;"]"&amp;"|"&amp;SUBSTITUTE(SUBSTITUTE($I54,CHAR(61),""),CHAR(34),"")&amp;"|"&amp;$K54&amp;"|"&amp;$G54&amp;"|"&amp;IF($G54="TX_CURR_SUBNAT.R","CY2020Q4",$M54),"")</f>
        <v>[tKOXiaNhAyJ]|10-14|Female|DIAGNOSED_SUBNAT.T_1|CY2021Q3</v>
      </c>
    </row>
    <row r="55" customFormat="false" ht="15" hidden="false" customHeight="false" outlineLevel="0" collapsed="false">
      <c r="D55" s="0" t="s">
        <v>45</v>
      </c>
      <c r="E55" s="0" t="s">
        <v>46</v>
      </c>
      <c r="F55" s="0" t="s">
        <v>47</v>
      </c>
      <c r="G55" s="0" t="s">
        <v>93</v>
      </c>
      <c r="H55" s="0" t="s">
        <v>94</v>
      </c>
      <c r="I55" s="0" t="s">
        <v>61</v>
      </c>
      <c r="J55" s="0" t="s">
        <v>62</v>
      </c>
      <c r="K55" s="0" t="s">
        <v>58</v>
      </c>
      <c r="L55" s="0" t="s">
        <v>59</v>
      </c>
      <c r="M55" s="0" t="s">
        <v>50</v>
      </c>
      <c r="N55" s="0" t="n">
        <v>479</v>
      </c>
      <c r="O55" s="0" t="n">
        <v>30</v>
      </c>
      <c r="P55" s="0" t="n">
        <v>47</v>
      </c>
      <c r="Q55" s="5" t="str">
        <f aca="false">IF($D55&lt;&gt;"","["&amp;$E55&amp;"]"&amp;"|"&amp;SUBSTITUTE(SUBSTITUTE($I55,CHAR(61),""),CHAR(34),"")&amp;"|"&amp;$K55&amp;"|"&amp;$G55&amp;"|"&amp;IF($G55="TX_CURR_SUBNAT.R","CY2020Q4",$M55),"")</f>
        <v>[tKOXiaNhAyJ]|10-14|Male|DIAGNOSED_SUBNAT.T_1|CY2021Q3</v>
      </c>
    </row>
    <row r="56" customFormat="false" ht="15" hidden="false" customHeight="false" outlineLevel="0" collapsed="false">
      <c r="D56" s="0" t="s">
        <v>45</v>
      </c>
      <c r="E56" s="0" t="s">
        <v>46</v>
      </c>
      <c r="F56" s="0" t="s">
        <v>47</v>
      </c>
      <c r="G56" s="0" t="s">
        <v>93</v>
      </c>
      <c r="H56" s="0" t="s">
        <v>94</v>
      </c>
      <c r="I56" s="0" t="s">
        <v>63</v>
      </c>
      <c r="J56" s="0" t="s">
        <v>64</v>
      </c>
      <c r="K56" s="0" t="s">
        <v>56</v>
      </c>
      <c r="L56" s="0" t="s">
        <v>57</v>
      </c>
      <c r="M56" s="0" t="s">
        <v>50</v>
      </c>
      <c r="N56" s="0" t="n">
        <v>951</v>
      </c>
      <c r="O56" s="0" t="n">
        <v>33</v>
      </c>
      <c r="P56" s="0" t="n">
        <v>2</v>
      </c>
      <c r="Q56" s="5" t="str">
        <f aca="false">IF($D56&lt;&gt;"","["&amp;$E56&amp;"]"&amp;"|"&amp;SUBSTITUTE(SUBSTITUTE($I56,CHAR(61),""),CHAR(34),"")&amp;"|"&amp;$K56&amp;"|"&amp;$G56&amp;"|"&amp;IF($G56="TX_CURR_SUBNAT.R","CY2020Q4",$M56),"")</f>
        <v>[tKOXiaNhAyJ]|15-19|Female|DIAGNOSED_SUBNAT.T_1|CY2021Q3</v>
      </c>
    </row>
    <row r="57" customFormat="false" ht="15" hidden="false" customHeight="false" outlineLevel="0" collapsed="false">
      <c r="D57" s="0" t="s">
        <v>45</v>
      </c>
      <c r="E57" s="0" t="s">
        <v>46</v>
      </c>
      <c r="F57" s="0" t="s">
        <v>47</v>
      </c>
      <c r="G57" s="0" t="s">
        <v>93</v>
      </c>
      <c r="H57" s="0" t="s">
        <v>94</v>
      </c>
      <c r="I57" s="0" t="s">
        <v>63</v>
      </c>
      <c r="J57" s="0" t="s">
        <v>64</v>
      </c>
      <c r="K57" s="0" t="s">
        <v>58</v>
      </c>
      <c r="L57" s="0" t="s">
        <v>59</v>
      </c>
      <c r="M57" s="0" t="s">
        <v>50</v>
      </c>
      <c r="N57" s="0" t="n">
        <v>670</v>
      </c>
      <c r="O57" s="0" t="n">
        <v>22</v>
      </c>
      <c r="P57" s="0" t="n">
        <v>45</v>
      </c>
      <c r="Q57" s="5" t="str">
        <f aca="false">IF($D57&lt;&gt;"","["&amp;$E57&amp;"]"&amp;"|"&amp;SUBSTITUTE(SUBSTITUTE($I57,CHAR(61),""),CHAR(34),"")&amp;"|"&amp;$K57&amp;"|"&amp;$G57&amp;"|"&amp;IF($G57="TX_CURR_SUBNAT.R","CY2020Q4",$M57),"")</f>
        <v>[tKOXiaNhAyJ]|15-19|Male|DIAGNOSED_SUBNAT.T_1|CY2021Q3</v>
      </c>
    </row>
    <row r="58" customFormat="false" ht="15" hidden="false" customHeight="false" outlineLevel="0" collapsed="false">
      <c r="D58" s="0" t="s">
        <v>45</v>
      </c>
      <c r="E58" s="0" t="s">
        <v>46</v>
      </c>
      <c r="F58" s="0" t="s">
        <v>47</v>
      </c>
      <c r="G58" s="0" t="s">
        <v>93</v>
      </c>
      <c r="H58" s="0" t="s">
        <v>94</v>
      </c>
      <c r="I58" s="0" t="s">
        <v>66</v>
      </c>
      <c r="J58" s="0" t="s">
        <v>67</v>
      </c>
      <c r="K58" s="0" t="s">
        <v>56</v>
      </c>
      <c r="L58" s="0" t="s">
        <v>57</v>
      </c>
      <c r="M58" s="0" t="s">
        <v>50</v>
      </c>
      <c r="N58" s="0" t="n">
        <v>2805</v>
      </c>
      <c r="O58" s="0" t="n">
        <v>2</v>
      </c>
      <c r="P58" s="0" t="n">
        <v>49</v>
      </c>
      <c r="Q58" s="5" t="str">
        <f aca="false">IF($D58&lt;&gt;"","["&amp;$E58&amp;"]"&amp;"|"&amp;SUBSTITUTE(SUBSTITUTE($I58,CHAR(61),""),CHAR(34),"")&amp;"|"&amp;$K58&amp;"|"&amp;$G58&amp;"|"&amp;IF($G58="TX_CURR_SUBNAT.R","CY2020Q4",$M58),"")</f>
        <v>[tKOXiaNhAyJ]|20-24|Female|DIAGNOSED_SUBNAT.T_1|CY2021Q3</v>
      </c>
    </row>
    <row r="59" customFormat="false" ht="15" hidden="false" customHeight="false" outlineLevel="0" collapsed="false">
      <c r="D59" s="0" t="s">
        <v>45</v>
      </c>
      <c r="E59" s="0" t="s">
        <v>46</v>
      </c>
      <c r="F59" s="0" t="s">
        <v>47</v>
      </c>
      <c r="G59" s="0" t="s">
        <v>93</v>
      </c>
      <c r="H59" s="0" t="s">
        <v>94</v>
      </c>
      <c r="I59" s="0" t="s">
        <v>66</v>
      </c>
      <c r="J59" s="0" t="s">
        <v>67</v>
      </c>
      <c r="K59" s="0" t="s">
        <v>58</v>
      </c>
      <c r="L59" s="0" t="s">
        <v>59</v>
      </c>
      <c r="M59" s="0" t="s">
        <v>50</v>
      </c>
      <c r="N59" s="0" t="n">
        <v>1023</v>
      </c>
      <c r="O59" s="0" t="n">
        <v>29</v>
      </c>
      <c r="P59" s="0" t="n">
        <v>10</v>
      </c>
      <c r="Q59" s="5" t="str">
        <f aca="false">IF($D59&lt;&gt;"","["&amp;$E59&amp;"]"&amp;"|"&amp;SUBSTITUTE(SUBSTITUTE($I59,CHAR(61),""),CHAR(34),"")&amp;"|"&amp;$K59&amp;"|"&amp;$G59&amp;"|"&amp;IF($G59="TX_CURR_SUBNAT.R","CY2020Q4",$M59),"")</f>
        <v>[tKOXiaNhAyJ]|20-24|Male|DIAGNOSED_SUBNAT.T_1|CY2021Q3</v>
      </c>
    </row>
    <row r="60" customFormat="false" ht="15" hidden="false" customHeight="false" outlineLevel="0" collapsed="false">
      <c r="D60" s="0" t="s">
        <v>45</v>
      </c>
      <c r="E60" s="0" t="s">
        <v>46</v>
      </c>
      <c r="F60" s="0" t="s">
        <v>47</v>
      </c>
      <c r="G60" s="0" t="s">
        <v>93</v>
      </c>
      <c r="H60" s="0" t="s">
        <v>94</v>
      </c>
      <c r="I60" s="0" t="s">
        <v>69</v>
      </c>
      <c r="J60" s="0" t="s">
        <v>70</v>
      </c>
      <c r="K60" s="0" t="s">
        <v>56</v>
      </c>
      <c r="L60" s="0" t="s">
        <v>57</v>
      </c>
      <c r="M60" s="0" t="s">
        <v>50</v>
      </c>
      <c r="N60" s="0" t="n">
        <v>5686</v>
      </c>
      <c r="O60" s="0" t="n">
        <v>5</v>
      </c>
      <c r="P60" s="0" t="n">
        <v>14</v>
      </c>
      <c r="Q60" s="5" t="str">
        <f aca="false">IF($D60&lt;&gt;"","["&amp;$E60&amp;"]"&amp;"|"&amp;SUBSTITUTE(SUBSTITUTE($I60,CHAR(61),""),CHAR(34),"")&amp;"|"&amp;$K60&amp;"|"&amp;$G60&amp;"|"&amp;IF($G60="TX_CURR_SUBNAT.R","CY2020Q4",$M60),"")</f>
        <v>[tKOXiaNhAyJ]|25-29|Female|DIAGNOSED_SUBNAT.T_1|CY2021Q3</v>
      </c>
    </row>
    <row r="61" customFormat="false" ht="15" hidden="false" customHeight="false" outlineLevel="0" collapsed="false">
      <c r="D61" s="0" t="s">
        <v>45</v>
      </c>
      <c r="E61" s="0" t="s">
        <v>46</v>
      </c>
      <c r="F61" s="0" t="s">
        <v>47</v>
      </c>
      <c r="G61" s="0" t="s">
        <v>93</v>
      </c>
      <c r="H61" s="0" t="s">
        <v>94</v>
      </c>
      <c r="I61" s="0" t="s">
        <v>69</v>
      </c>
      <c r="J61" s="0" t="s">
        <v>70</v>
      </c>
      <c r="K61" s="0" t="s">
        <v>58</v>
      </c>
      <c r="L61" s="0" t="s">
        <v>59</v>
      </c>
      <c r="M61" s="0" t="s">
        <v>50</v>
      </c>
      <c r="N61" s="0" t="n">
        <v>2239</v>
      </c>
      <c r="O61" s="0" t="n">
        <v>14</v>
      </c>
      <c r="P61" s="0" t="n">
        <v>29</v>
      </c>
      <c r="Q61" s="5" t="str">
        <f aca="false">IF($D61&lt;&gt;"","["&amp;$E61&amp;"]"&amp;"|"&amp;SUBSTITUTE(SUBSTITUTE($I61,CHAR(61),""),CHAR(34),"")&amp;"|"&amp;$K61&amp;"|"&amp;$G61&amp;"|"&amp;IF($G61="TX_CURR_SUBNAT.R","CY2020Q4",$M61),"")</f>
        <v>[tKOXiaNhAyJ]|25-29|Male|DIAGNOSED_SUBNAT.T_1|CY2021Q3</v>
      </c>
    </row>
    <row r="62" customFormat="false" ht="15" hidden="false" customHeight="false" outlineLevel="0" collapsed="false">
      <c r="D62" s="0" t="s">
        <v>45</v>
      </c>
      <c r="E62" s="0" t="s">
        <v>46</v>
      </c>
      <c r="F62" s="0" t="s">
        <v>47</v>
      </c>
      <c r="G62" s="0" t="s">
        <v>93</v>
      </c>
      <c r="H62" s="0" t="s">
        <v>94</v>
      </c>
      <c r="I62" s="0" t="s">
        <v>72</v>
      </c>
      <c r="J62" s="0" t="s">
        <v>73</v>
      </c>
      <c r="K62" s="0" t="s">
        <v>56</v>
      </c>
      <c r="L62" s="0" t="s">
        <v>57</v>
      </c>
      <c r="M62" s="0" t="s">
        <v>50</v>
      </c>
      <c r="N62" s="0" t="n">
        <v>7644</v>
      </c>
      <c r="O62" s="0" t="n">
        <v>39</v>
      </c>
      <c r="P62" s="0" t="n">
        <v>3</v>
      </c>
      <c r="Q62" s="5" t="str">
        <f aca="false">IF($D62&lt;&gt;"","["&amp;$E62&amp;"]"&amp;"|"&amp;SUBSTITUTE(SUBSTITUTE($I62,CHAR(61),""),CHAR(34),"")&amp;"|"&amp;$K62&amp;"|"&amp;$G62&amp;"|"&amp;IF($G62="TX_CURR_SUBNAT.R","CY2020Q4",$M62),"")</f>
        <v>[tKOXiaNhAyJ]|30-34|Female|DIAGNOSED_SUBNAT.T_1|CY2021Q3</v>
      </c>
    </row>
    <row r="63" customFormat="false" ht="15" hidden="false" customHeight="false" outlineLevel="0" collapsed="false">
      <c r="D63" s="0" t="s">
        <v>45</v>
      </c>
      <c r="E63" s="0" t="s">
        <v>46</v>
      </c>
      <c r="F63" s="0" t="s">
        <v>47</v>
      </c>
      <c r="G63" s="0" t="s">
        <v>93</v>
      </c>
      <c r="H63" s="0" t="s">
        <v>94</v>
      </c>
      <c r="I63" s="0" t="s">
        <v>72</v>
      </c>
      <c r="J63" s="0" t="s">
        <v>73</v>
      </c>
      <c r="K63" s="0" t="s">
        <v>58</v>
      </c>
      <c r="L63" s="0" t="s">
        <v>59</v>
      </c>
      <c r="M63" s="0" t="s">
        <v>50</v>
      </c>
      <c r="N63" s="0" t="n">
        <v>3959</v>
      </c>
      <c r="O63" s="0" t="n">
        <v>22</v>
      </c>
      <c r="P63" s="0" t="n">
        <v>14</v>
      </c>
      <c r="Q63" s="5" t="str">
        <f aca="false">IF($D63&lt;&gt;"","["&amp;$E63&amp;"]"&amp;"|"&amp;SUBSTITUTE(SUBSTITUTE($I63,CHAR(61),""),CHAR(34),"")&amp;"|"&amp;$K63&amp;"|"&amp;$G63&amp;"|"&amp;IF($G63="TX_CURR_SUBNAT.R","CY2020Q4",$M63),"")</f>
        <v>[tKOXiaNhAyJ]|30-34|Male|DIAGNOSED_SUBNAT.T_1|CY2021Q3</v>
      </c>
    </row>
    <row r="64" customFormat="false" ht="15" hidden="false" customHeight="false" outlineLevel="0" collapsed="false">
      <c r="D64" s="0" t="s">
        <v>45</v>
      </c>
      <c r="E64" s="0" t="s">
        <v>46</v>
      </c>
      <c r="F64" s="0" t="s">
        <v>47</v>
      </c>
      <c r="G64" s="0" t="s">
        <v>93</v>
      </c>
      <c r="H64" s="0" t="s">
        <v>94</v>
      </c>
      <c r="I64" s="0" t="s">
        <v>75</v>
      </c>
      <c r="J64" s="0" t="s">
        <v>76</v>
      </c>
      <c r="K64" s="0" t="s">
        <v>56</v>
      </c>
      <c r="L64" s="0" t="s">
        <v>57</v>
      </c>
      <c r="M64" s="0" t="s">
        <v>50</v>
      </c>
      <c r="N64" s="0" t="n">
        <v>8448</v>
      </c>
      <c r="O64" s="0" t="n">
        <v>29</v>
      </c>
      <c r="P64" s="0" t="n">
        <v>34</v>
      </c>
      <c r="Q64" s="5" t="str">
        <f aca="false">IF($D64&lt;&gt;"","["&amp;$E64&amp;"]"&amp;"|"&amp;SUBSTITUTE(SUBSTITUTE($I64,CHAR(61),""),CHAR(34),"")&amp;"|"&amp;$K64&amp;"|"&amp;$G64&amp;"|"&amp;IF($G64="TX_CURR_SUBNAT.R","CY2020Q4",$M64),"")</f>
        <v>[tKOXiaNhAyJ]|35-39|Female|DIAGNOSED_SUBNAT.T_1|CY2021Q3</v>
      </c>
    </row>
    <row r="65" customFormat="false" ht="15" hidden="false" customHeight="false" outlineLevel="0" collapsed="false">
      <c r="D65" s="0" t="s">
        <v>45</v>
      </c>
      <c r="E65" s="0" t="s">
        <v>46</v>
      </c>
      <c r="F65" s="0" t="s">
        <v>47</v>
      </c>
      <c r="G65" s="0" t="s">
        <v>93</v>
      </c>
      <c r="H65" s="0" t="s">
        <v>94</v>
      </c>
      <c r="I65" s="0" t="s">
        <v>75</v>
      </c>
      <c r="J65" s="0" t="s">
        <v>76</v>
      </c>
      <c r="K65" s="0" t="s">
        <v>58</v>
      </c>
      <c r="L65" s="0" t="s">
        <v>59</v>
      </c>
      <c r="M65" s="0" t="s">
        <v>50</v>
      </c>
      <c r="N65" s="0" t="n">
        <v>5536</v>
      </c>
      <c r="O65" s="0" t="n">
        <v>24</v>
      </c>
      <c r="P65" s="0" t="n">
        <v>19</v>
      </c>
      <c r="Q65" s="5" t="str">
        <f aca="false">IF($D65&lt;&gt;"","["&amp;$E65&amp;"]"&amp;"|"&amp;SUBSTITUTE(SUBSTITUTE($I65,CHAR(61),""),CHAR(34),"")&amp;"|"&amp;$K65&amp;"|"&amp;$G65&amp;"|"&amp;IF($G65="TX_CURR_SUBNAT.R","CY2020Q4",$M65),"")</f>
        <v>[tKOXiaNhAyJ]|35-39|Male|DIAGNOSED_SUBNAT.T_1|CY2021Q3</v>
      </c>
    </row>
    <row r="66" customFormat="false" ht="15" hidden="false" customHeight="false" outlineLevel="0" collapsed="false">
      <c r="D66" s="0" t="s">
        <v>45</v>
      </c>
      <c r="E66" s="0" t="s">
        <v>46</v>
      </c>
      <c r="F66" s="0" t="s">
        <v>47</v>
      </c>
      <c r="G66" s="0" t="s">
        <v>93</v>
      </c>
      <c r="H66" s="0" t="s">
        <v>94</v>
      </c>
      <c r="I66" s="0" t="s">
        <v>77</v>
      </c>
      <c r="J66" s="0" t="s">
        <v>78</v>
      </c>
      <c r="K66" s="0" t="s">
        <v>56</v>
      </c>
      <c r="L66" s="0" t="s">
        <v>57</v>
      </c>
      <c r="M66" s="0" t="s">
        <v>50</v>
      </c>
      <c r="N66" s="0" t="n">
        <v>8019</v>
      </c>
      <c r="O66" s="0" t="n">
        <v>35</v>
      </c>
      <c r="P66" s="0" t="n">
        <v>9</v>
      </c>
      <c r="Q66" s="5" t="str">
        <f aca="false">IF($D66&lt;&gt;"","["&amp;$E66&amp;"]"&amp;"|"&amp;SUBSTITUTE(SUBSTITUTE($I66,CHAR(61),""),CHAR(34),"")&amp;"|"&amp;$K66&amp;"|"&amp;$G66&amp;"|"&amp;IF($G66="TX_CURR_SUBNAT.R","CY2020Q4",$M66),"")</f>
        <v>[tKOXiaNhAyJ]|40-44|Female|DIAGNOSED_SUBNAT.T_1|CY2021Q3</v>
      </c>
    </row>
    <row r="67" customFormat="false" ht="15" hidden="false" customHeight="false" outlineLevel="0" collapsed="false">
      <c r="D67" s="0" t="s">
        <v>45</v>
      </c>
      <c r="E67" s="0" t="s">
        <v>46</v>
      </c>
      <c r="F67" s="0" t="s">
        <v>47</v>
      </c>
      <c r="G67" s="0" t="s">
        <v>93</v>
      </c>
      <c r="H67" s="0" t="s">
        <v>94</v>
      </c>
      <c r="I67" s="0" t="s">
        <v>77</v>
      </c>
      <c r="J67" s="0" t="s">
        <v>78</v>
      </c>
      <c r="K67" s="0" t="s">
        <v>58</v>
      </c>
      <c r="L67" s="0" t="s">
        <v>59</v>
      </c>
      <c r="M67" s="0" t="s">
        <v>50</v>
      </c>
      <c r="N67" s="0" t="n">
        <v>5748</v>
      </c>
      <c r="O67" s="0" t="n">
        <v>25</v>
      </c>
      <c r="P67" s="0" t="n">
        <v>37</v>
      </c>
      <c r="Q67" s="5" t="str">
        <f aca="false">IF($D67&lt;&gt;"","["&amp;$E67&amp;"]"&amp;"|"&amp;SUBSTITUTE(SUBSTITUTE($I67,CHAR(61),""),CHAR(34),"")&amp;"|"&amp;$K67&amp;"|"&amp;$G67&amp;"|"&amp;IF($G67="TX_CURR_SUBNAT.R","CY2020Q4",$M67),"")</f>
        <v>[tKOXiaNhAyJ]|40-44|Male|DIAGNOSED_SUBNAT.T_1|CY2021Q3</v>
      </c>
    </row>
    <row r="68" customFormat="false" ht="15" hidden="false" customHeight="false" outlineLevel="0" collapsed="false">
      <c r="D68" s="0" t="s">
        <v>45</v>
      </c>
      <c r="E68" s="0" t="s">
        <v>46</v>
      </c>
      <c r="F68" s="0" t="s">
        <v>47</v>
      </c>
      <c r="G68" s="0" t="s">
        <v>93</v>
      </c>
      <c r="H68" s="0" t="s">
        <v>94</v>
      </c>
      <c r="I68" s="0" t="s">
        <v>80</v>
      </c>
      <c r="J68" s="0" t="s">
        <v>81</v>
      </c>
      <c r="K68" s="0" t="s">
        <v>56</v>
      </c>
      <c r="L68" s="0" t="s">
        <v>57</v>
      </c>
      <c r="M68" s="0" t="s">
        <v>50</v>
      </c>
      <c r="N68" s="0" t="n">
        <v>5717</v>
      </c>
      <c r="O68" s="0" t="n">
        <v>5</v>
      </c>
      <c r="P68" s="0" t="n">
        <v>21</v>
      </c>
      <c r="Q68" s="5" t="str">
        <f aca="false">IF($D68&lt;&gt;"","["&amp;$E68&amp;"]"&amp;"|"&amp;SUBSTITUTE(SUBSTITUTE($I68,CHAR(61),""),CHAR(34),"")&amp;"|"&amp;$K68&amp;"|"&amp;$G68&amp;"|"&amp;IF($G68="TX_CURR_SUBNAT.R","CY2020Q4",$M68),"")</f>
        <v>[tKOXiaNhAyJ]|45-49|Female|DIAGNOSED_SUBNAT.T_1|CY2021Q3</v>
      </c>
    </row>
    <row r="69" customFormat="false" ht="15" hidden="false" customHeight="false" outlineLevel="0" collapsed="false">
      <c r="D69" s="0" t="s">
        <v>45</v>
      </c>
      <c r="E69" s="0" t="s">
        <v>46</v>
      </c>
      <c r="F69" s="0" t="s">
        <v>47</v>
      </c>
      <c r="G69" s="0" t="s">
        <v>93</v>
      </c>
      <c r="H69" s="0" t="s">
        <v>94</v>
      </c>
      <c r="I69" s="0" t="s">
        <v>80</v>
      </c>
      <c r="J69" s="0" t="s">
        <v>81</v>
      </c>
      <c r="K69" s="0" t="s">
        <v>58</v>
      </c>
      <c r="L69" s="0" t="s">
        <v>59</v>
      </c>
      <c r="M69" s="0" t="s">
        <v>50</v>
      </c>
      <c r="N69" s="0" t="n">
        <v>4478</v>
      </c>
      <c r="O69" s="0" t="n">
        <v>53</v>
      </c>
      <c r="P69" s="0" t="n">
        <v>36</v>
      </c>
      <c r="Q69" s="5" t="str">
        <f aca="false">IF($D69&lt;&gt;"","["&amp;$E69&amp;"]"&amp;"|"&amp;SUBSTITUTE(SUBSTITUTE($I69,CHAR(61),""),CHAR(34),"")&amp;"|"&amp;$K69&amp;"|"&amp;$G69&amp;"|"&amp;IF($G69="TX_CURR_SUBNAT.R","CY2020Q4",$M69),"")</f>
        <v>[tKOXiaNhAyJ]|45-49|Male|DIAGNOSED_SUBNAT.T_1|CY2021Q3</v>
      </c>
    </row>
    <row r="70" customFormat="false" ht="15" hidden="false" customHeight="false" outlineLevel="0" collapsed="false">
      <c r="D70" s="0" t="s">
        <v>45</v>
      </c>
      <c r="E70" s="0" t="s">
        <v>46</v>
      </c>
      <c r="F70" s="0" t="s">
        <v>47</v>
      </c>
      <c r="G70" s="0" t="s">
        <v>93</v>
      </c>
      <c r="H70" s="0" t="s">
        <v>94</v>
      </c>
      <c r="I70" s="0" t="s">
        <v>83</v>
      </c>
      <c r="J70" s="0" t="s">
        <v>84</v>
      </c>
      <c r="K70" s="0" t="s">
        <v>56</v>
      </c>
      <c r="L70" s="0" t="s">
        <v>57</v>
      </c>
      <c r="M70" s="0" t="s">
        <v>50</v>
      </c>
      <c r="N70" s="0" t="n">
        <v>267</v>
      </c>
      <c r="O70" s="0" t="n">
        <v>6</v>
      </c>
      <c r="P70" s="0" t="n">
        <v>19</v>
      </c>
      <c r="Q70" s="5" t="str">
        <f aca="false">IF($D70&lt;&gt;"","["&amp;$E70&amp;"]"&amp;"|"&amp;SUBSTITUTE(SUBSTITUTE($I70,CHAR(61),""),CHAR(34),"")&amp;"|"&amp;$K70&amp;"|"&amp;$G70&amp;"|"&amp;IF($G70="TX_CURR_SUBNAT.R","CY2020Q4",$M70),"")</f>
        <v>[tKOXiaNhAyJ]|05-09|Female|DIAGNOSED_SUBNAT.T_1|CY2021Q3</v>
      </c>
    </row>
    <row r="71" customFormat="false" ht="15" hidden="false" customHeight="false" outlineLevel="0" collapsed="false">
      <c r="D71" s="0" t="s">
        <v>45</v>
      </c>
      <c r="E71" s="0" t="s">
        <v>46</v>
      </c>
      <c r="F71" s="0" t="s">
        <v>47</v>
      </c>
      <c r="G71" s="0" t="s">
        <v>93</v>
      </c>
      <c r="H71" s="0" t="s">
        <v>94</v>
      </c>
      <c r="I71" s="0" t="s">
        <v>83</v>
      </c>
      <c r="J71" s="0" t="s">
        <v>84</v>
      </c>
      <c r="K71" s="0" t="s">
        <v>58</v>
      </c>
      <c r="L71" s="0" t="s">
        <v>59</v>
      </c>
      <c r="M71" s="0" t="s">
        <v>50</v>
      </c>
      <c r="N71" s="0" t="n">
        <v>272</v>
      </c>
      <c r="O71" s="0" t="n">
        <v>27</v>
      </c>
      <c r="P71" s="0" t="n">
        <v>31</v>
      </c>
      <c r="Q71" s="5" t="str">
        <f aca="false">IF($D71&lt;&gt;"","["&amp;$E71&amp;"]"&amp;"|"&amp;SUBSTITUTE(SUBSTITUTE($I71,CHAR(61),""),CHAR(34),"")&amp;"|"&amp;$K71&amp;"|"&amp;$G71&amp;"|"&amp;IF($G71="TX_CURR_SUBNAT.R","CY2020Q4",$M71),"")</f>
        <v>[tKOXiaNhAyJ]|05-09|Male|DIAGNOSED_SUBNAT.T_1|CY2021Q3</v>
      </c>
    </row>
    <row r="72" customFormat="false" ht="15" hidden="false" customHeight="false" outlineLevel="0" collapsed="false">
      <c r="D72" s="0" t="s">
        <v>45</v>
      </c>
      <c r="E72" s="0" t="s">
        <v>46</v>
      </c>
      <c r="F72" s="0" t="s">
        <v>47</v>
      </c>
      <c r="G72" s="0" t="s">
        <v>93</v>
      </c>
      <c r="H72" s="0" t="s">
        <v>94</v>
      </c>
      <c r="I72" s="53" t="s">
        <v>86</v>
      </c>
      <c r="J72" s="0" t="s">
        <v>87</v>
      </c>
      <c r="K72" s="0" t="s">
        <v>56</v>
      </c>
      <c r="L72" s="0" t="s">
        <v>57</v>
      </c>
      <c r="M72" s="0" t="s">
        <v>50</v>
      </c>
      <c r="N72" s="0" t="n">
        <v>10560</v>
      </c>
      <c r="O72" s="0" t="n">
        <v>43</v>
      </c>
      <c r="P72" s="0" t="n">
        <v>7</v>
      </c>
      <c r="Q72" s="5" t="str">
        <f aca="false">IF($D72&lt;&gt;"","["&amp;$E72&amp;"]"&amp;"|"&amp;SUBSTITUTE(SUBSTITUTE($I72,CHAR(61),""),CHAR(34),"")&amp;"|"&amp;$K72&amp;"|"&amp;$G72&amp;"|"&amp;IF($G72="TX_CURR_SUBNAT.R","CY2020Q4",$M72),"")</f>
        <v>[tKOXiaNhAyJ]|50+|Female|DIAGNOSED_SUBNAT.T_1|CY2021Q3</v>
      </c>
    </row>
    <row r="73" customFormat="false" ht="15" hidden="false" customHeight="false" outlineLevel="0" collapsed="false">
      <c r="D73" s="0" t="s">
        <v>45</v>
      </c>
      <c r="E73" s="0" t="s">
        <v>46</v>
      </c>
      <c r="F73" s="0" t="s">
        <v>47</v>
      </c>
      <c r="G73" s="0" t="s">
        <v>93</v>
      </c>
      <c r="H73" s="0" t="s">
        <v>94</v>
      </c>
      <c r="I73" s="53" t="s">
        <v>86</v>
      </c>
      <c r="J73" s="0" t="s">
        <v>87</v>
      </c>
      <c r="K73" s="0" t="s">
        <v>58</v>
      </c>
      <c r="L73" s="0" t="s">
        <v>59</v>
      </c>
      <c r="M73" s="0" t="s">
        <v>50</v>
      </c>
      <c r="N73" s="0" t="n">
        <v>7930</v>
      </c>
      <c r="O73" s="0" t="n">
        <v>14</v>
      </c>
      <c r="P73" s="0" t="n">
        <v>22</v>
      </c>
      <c r="Q73" s="5" t="str">
        <f aca="false">IF($D73&lt;&gt;"","["&amp;$E73&amp;"]"&amp;"|"&amp;SUBSTITUTE(SUBSTITUTE($I73,CHAR(61),""),CHAR(34),"")&amp;"|"&amp;$K73&amp;"|"&amp;$G73&amp;"|"&amp;IF($G73="TX_CURR_SUBNAT.R","CY2020Q4",$M73),"")</f>
        <v>[tKOXiaNhAyJ]|50+|Male|DIAGNOSED_SUBNAT.T_1|CY2021Q3</v>
      </c>
    </row>
    <row r="74" customFormat="false" ht="15" hidden="false" customHeight="false" outlineLevel="0" collapsed="false">
      <c r="D74" s="0" t="s">
        <v>45</v>
      </c>
      <c r="E74" s="0" t="s">
        <v>46</v>
      </c>
      <c r="F74" s="0" t="s">
        <v>47</v>
      </c>
      <c r="G74" s="0" t="s">
        <v>93</v>
      </c>
      <c r="H74" s="0" t="s">
        <v>94</v>
      </c>
      <c r="I74" s="0" t="s">
        <v>89</v>
      </c>
      <c r="J74" s="0" t="s">
        <v>90</v>
      </c>
      <c r="K74" s="0" t="s">
        <v>56</v>
      </c>
      <c r="L74" s="0" t="s">
        <v>57</v>
      </c>
      <c r="M74" s="0" t="s">
        <v>50</v>
      </c>
      <c r="N74" s="0" t="n">
        <v>18</v>
      </c>
      <c r="O74" s="0" t="n">
        <v>42</v>
      </c>
      <c r="P74" s="0" t="n">
        <v>26</v>
      </c>
      <c r="Q74" s="5" t="str">
        <f aca="false">IF($D74&lt;&gt;"","["&amp;$E74&amp;"]"&amp;"|"&amp;SUBSTITUTE(SUBSTITUTE($I74,CHAR(61),""),CHAR(34),"")&amp;"|"&amp;$K74&amp;"|"&amp;$G74&amp;"|"&amp;IF($G74="TX_CURR_SUBNAT.R","CY2020Q4",$M74),"")</f>
        <v>[tKOXiaNhAyJ]|&lt;01|Female|DIAGNOSED_SUBNAT.T_1|CY2021Q3</v>
      </c>
    </row>
    <row r="75" customFormat="false" ht="15" hidden="false" customHeight="false" outlineLevel="0" collapsed="false">
      <c r="D75" s="0" t="s">
        <v>45</v>
      </c>
      <c r="E75" s="0" t="s">
        <v>46</v>
      </c>
      <c r="F75" s="0" t="s">
        <v>47</v>
      </c>
      <c r="G75" s="0" t="s">
        <v>93</v>
      </c>
      <c r="H75" s="0" t="s">
        <v>94</v>
      </c>
      <c r="I75" s="0" t="s">
        <v>89</v>
      </c>
      <c r="J75" s="0" t="s">
        <v>90</v>
      </c>
      <c r="K75" s="0" t="s">
        <v>58</v>
      </c>
      <c r="L75" s="0" t="s">
        <v>59</v>
      </c>
      <c r="M75" s="0" t="s">
        <v>50</v>
      </c>
      <c r="N75" s="0" t="n">
        <v>18</v>
      </c>
      <c r="O75" s="0" t="n">
        <v>38</v>
      </c>
      <c r="P75" s="0" t="n">
        <v>9</v>
      </c>
      <c r="Q75" s="5" t="str">
        <f aca="false">IF($D75&lt;&gt;"","["&amp;$E75&amp;"]"&amp;"|"&amp;SUBSTITUTE(SUBSTITUTE($I75,CHAR(61),""),CHAR(34),"")&amp;"|"&amp;$K75&amp;"|"&amp;$G75&amp;"|"&amp;IF($G75="TX_CURR_SUBNAT.R","CY2020Q4",$M75),"")</f>
        <v>[tKOXiaNhAyJ]|&lt;01|Male|DIAGNOSED_SUBNAT.T_1|CY2021Q3</v>
      </c>
    </row>
    <row r="76" customFormat="false" ht="15" hidden="false" customHeight="false" outlineLevel="0" collapsed="false">
      <c r="D76" s="0" t="s">
        <v>45</v>
      </c>
      <c r="E76" s="0" t="s">
        <v>46</v>
      </c>
      <c r="F76" s="0" t="s">
        <v>47</v>
      </c>
      <c r="G76" s="0" t="s">
        <v>95</v>
      </c>
      <c r="H76" s="0" t="s">
        <v>96</v>
      </c>
      <c r="I76" s="0" t="s">
        <v>54</v>
      </c>
      <c r="J76" s="0" t="s">
        <v>55</v>
      </c>
      <c r="K76" s="0" t="s">
        <v>56</v>
      </c>
      <c r="L76" s="0" t="s">
        <v>57</v>
      </c>
      <c r="M76" s="0" t="s">
        <v>50</v>
      </c>
      <c r="N76" s="0" t="n">
        <v>57</v>
      </c>
      <c r="O76" s="0" t="n">
        <v>44</v>
      </c>
      <c r="P76" s="0" t="n">
        <v>50</v>
      </c>
      <c r="Q76" s="5" t="str">
        <f aca="false">IF($D76&lt;&gt;"","["&amp;$E76&amp;"]"&amp;"|"&amp;SUBSTITUTE(SUBSTITUTE($I76,CHAR(61),""),CHAR(34),"")&amp;"|"&amp;$K76&amp;"|"&amp;$G76&amp;"|"&amp;IF($G76="TX_CURR_SUBNAT.R","CY2020Q4",$M76),"")</f>
        <v>[tKOXiaNhAyJ]|01-04|Female|VL_SUPPRESSED.T_1|CY2021Q3</v>
      </c>
    </row>
    <row r="77" customFormat="false" ht="15" hidden="false" customHeight="false" outlineLevel="0" collapsed="false">
      <c r="D77" s="0" t="s">
        <v>45</v>
      </c>
      <c r="E77" s="0" t="s">
        <v>46</v>
      </c>
      <c r="F77" s="0" t="s">
        <v>47</v>
      </c>
      <c r="G77" s="0" t="s">
        <v>95</v>
      </c>
      <c r="H77" s="0" t="s">
        <v>96</v>
      </c>
      <c r="I77" s="0" t="s">
        <v>54</v>
      </c>
      <c r="J77" s="0" t="s">
        <v>55</v>
      </c>
      <c r="K77" s="0" t="s">
        <v>58</v>
      </c>
      <c r="L77" s="0" t="s">
        <v>59</v>
      </c>
      <c r="M77" s="0" t="s">
        <v>50</v>
      </c>
      <c r="N77" s="0" t="n">
        <v>66</v>
      </c>
      <c r="O77" s="0" t="n">
        <v>36</v>
      </c>
      <c r="P77" s="0" t="n">
        <v>31</v>
      </c>
      <c r="Q77" s="5" t="str">
        <f aca="false">IF($D77&lt;&gt;"","["&amp;$E77&amp;"]"&amp;"|"&amp;SUBSTITUTE(SUBSTITUTE($I77,CHAR(61),""),CHAR(34),"")&amp;"|"&amp;$K77&amp;"|"&amp;$G77&amp;"|"&amp;IF($G77="TX_CURR_SUBNAT.R","CY2020Q4",$M77),"")</f>
        <v>[tKOXiaNhAyJ]|01-04|Male|VL_SUPPRESSED.T_1|CY2021Q3</v>
      </c>
    </row>
    <row r="78" customFormat="false" ht="15" hidden="false" customHeight="false" outlineLevel="0" collapsed="false">
      <c r="D78" s="0" t="s">
        <v>45</v>
      </c>
      <c r="E78" s="0" t="s">
        <v>46</v>
      </c>
      <c r="F78" s="0" t="s">
        <v>47</v>
      </c>
      <c r="G78" s="0" t="s">
        <v>95</v>
      </c>
      <c r="H78" s="0" t="s">
        <v>96</v>
      </c>
      <c r="I78" s="0" t="s">
        <v>61</v>
      </c>
      <c r="J78" s="0" t="s">
        <v>62</v>
      </c>
      <c r="K78" s="0" t="s">
        <v>56</v>
      </c>
      <c r="L78" s="0" t="s">
        <v>57</v>
      </c>
      <c r="M78" s="0" t="s">
        <v>50</v>
      </c>
      <c r="N78" s="0" t="n">
        <v>525</v>
      </c>
      <c r="O78" s="0" t="n">
        <v>20</v>
      </c>
      <c r="P78" s="0" t="n">
        <v>1</v>
      </c>
      <c r="Q78" s="5" t="str">
        <f aca="false">IF($D78&lt;&gt;"","["&amp;$E78&amp;"]"&amp;"|"&amp;SUBSTITUTE(SUBSTITUTE($I78,CHAR(61),""),CHAR(34),"")&amp;"|"&amp;$K78&amp;"|"&amp;$G78&amp;"|"&amp;IF($G78="TX_CURR_SUBNAT.R","CY2020Q4",$M78),"")</f>
        <v>[tKOXiaNhAyJ]|10-14|Female|VL_SUPPRESSED.T_1|CY2021Q3</v>
      </c>
    </row>
    <row r="79" customFormat="false" ht="15" hidden="false" customHeight="false" outlineLevel="0" collapsed="false">
      <c r="D79" s="0" t="s">
        <v>45</v>
      </c>
      <c r="E79" s="0" t="s">
        <v>46</v>
      </c>
      <c r="F79" s="0" t="s">
        <v>47</v>
      </c>
      <c r="G79" s="0" t="s">
        <v>95</v>
      </c>
      <c r="H79" s="0" t="s">
        <v>96</v>
      </c>
      <c r="I79" s="0" t="s">
        <v>61</v>
      </c>
      <c r="J79" s="0" t="s">
        <v>62</v>
      </c>
      <c r="K79" s="0" t="s">
        <v>58</v>
      </c>
      <c r="L79" s="0" t="s">
        <v>59</v>
      </c>
      <c r="M79" s="0" t="s">
        <v>50</v>
      </c>
      <c r="N79" s="0" t="n">
        <v>467</v>
      </c>
      <c r="O79" s="0" t="n">
        <v>9</v>
      </c>
      <c r="P79" s="0" t="n">
        <v>35</v>
      </c>
      <c r="Q79" s="5" t="str">
        <f aca="false">IF($D79&lt;&gt;"","["&amp;$E79&amp;"]"&amp;"|"&amp;SUBSTITUTE(SUBSTITUTE($I79,CHAR(61),""),CHAR(34),"")&amp;"|"&amp;$K79&amp;"|"&amp;$G79&amp;"|"&amp;IF($G79="TX_CURR_SUBNAT.R","CY2020Q4",$M79),"")</f>
        <v>[tKOXiaNhAyJ]|10-14|Male|VL_SUPPRESSED.T_1|CY2021Q3</v>
      </c>
    </row>
    <row r="80" customFormat="false" ht="15" hidden="false" customHeight="false" outlineLevel="0" collapsed="false">
      <c r="D80" s="0" t="s">
        <v>45</v>
      </c>
      <c r="E80" s="0" t="s">
        <v>46</v>
      </c>
      <c r="F80" s="0" t="s">
        <v>47</v>
      </c>
      <c r="G80" s="0" t="s">
        <v>95</v>
      </c>
      <c r="H80" s="0" t="s">
        <v>96</v>
      </c>
      <c r="I80" s="0" t="s">
        <v>63</v>
      </c>
      <c r="J80" s="0" t="s">
        <v>64</v>
      </c>
      <c r="K80" s="0" t="s">
        <v>56</v>
      </c>
      <c r="L80" s="0" t="s">
        <v>57</v>
      </c>
      <c r="M80" s="0" t="s">
        <v>50</v>
      </c>
      <c r="N80" s="0" t="n">
        <v>862</v>
      </c>
      <c r="O80" s="0" t="n">
        <v>24</v>
      </c>
      <c r="P80" s="0" t="n">
        <v>24</v>
      </c>
      <c r="Q80" s="5" t="str">
        <f aca="false">IF($D80&lt;&gt;"","["&amp;$E80&amp;"]"&amp;"|"&amp;SUBSTITUTE(SUBSTITUTE($I80,CHAR(61),""),CHAR(34),"")&amp;"|"&amp;$K80&amp;"|"&amp;$G80&amp;"|"&amp;IF($G80="TX_CURR_SUBNAT.R","CY2020Q4",$M80),"")</f>
        <v>[tKOXiaNhAyJ]|15-19|Female|VL_SUPPRESSED.T_1|CY2021Q3</v>
      </c>
    </row>
    <row r="81" customFormat="false" ht="15" hidden="false" customHeight="false" outlineLevel="0" collapsed="false">
      <c r="D81" s="0" t="s">
        <v>45</v>
      </c>
      <c r="E81" s="0" t="s">
        <v>46</v>
      </c>
      <c r="F81" s="0" t="s">
        <v>47</v>
      </c>
      <c r="G81" s="0" t="s">
        <v>95</v>
      </c>
      <c r="H81" s="0" t="s">
        <v>96</v>
      </c>
      <c r="I81" s="0" t="s">
        <v>63</v>
      </c>
      <c r="J81" s="0" t="s">
        <v>64</v>
      </c>
      <c r="K81" s="0" t="s">
        <v>58</v>
      </c>
      <c r="L81" s="0" t="s">
        <v>59</v>
      </c>
      <c r="M81" s="0" t="s">
        <v>50</v>
      </c>
      <c r="N81" s="0" t="n">
        <v>562</v>
      </c>
      <c r="O81" s="0" t="n">
        <v>5</v>
      </c>
      <c r="P81" s="0" t="n">
        <v>45</v>
      </c>
      <c r="Q81" s="5" t="str">
        <f aca="false">IF($D81&lt;&gt;"","["&amp;$E81&amp;"]"&amp;"|"&amp;SUBSTITUTE(SUBSTITUTE($I81,CHAR(61),""),CHAR(34),"")&amp;"|"&amp;$K81&amp;"|"&amp;$G81&amp;"|"&amp;IF($G81="TX_CURR_SUBNAT.R","CY2020Q4",$M81),"")</f>
        <v>[tKOXiaNhAyJ]|15-19|Male|VL_SUPPRESSED.T_1|CY2021Q3</v>
      </c>
    </row>
    <row r="82" customFormat="false" ht="15" hidden="false" customHeight="false" outlineLevel="0" collapsed="false">
      <c r="D82" s="0" t="s">
        <v>45</v>
      </c>
      <c r="E82" s="0" t="s">
        <v>46</v>
      </c>
      <c r="F82" s="0" t="s">
        <v>47</v>
      </c>
      <c r="G82" s="0" t="s">
        <v>95</v>
      </c>
      <c r="H82" s="0" t="s">
        <v>96</v>
      </c>
      <c r="I82" s="0" t="s">
        <v>66</v>
      </c>
      <c r="J82" s="0" t="s">
        <v>67</v>
      </c>
      <c r="K82" s="0" t="s">
        <v>56</v>
      </c>
      <c r="L82" s="0" t="s">
        <v>57</v>
      </c>
      <c r="M82" s="0" t="s">
        <v>50</v>
      </c>
      <c r="N82" s="0" t="n">
        <v>2614</v>
      </c>
      <c r="O82" s="0" t="n">
        <v>47</v>
      </c>
      <c r="P82" s="0" t="n">
        <v>25</v>
      </c>
      <c r="Q82" s="5" t="str">
        <f aca="false">IF($D82&lt;&gt;"","["&amp;$E82&amp;"]"&amp;"|"&amp;SUBSTITUTE(SUBSTITUTE($I82,CHAR(61),""),CHAR(34),"")&amp;"|"&amp;$K82&amp;"|"&amp;$G82&amp;"|"&amp;IF($G82="TX_CURR_SUBNAT.R","CY2020Q4",$M82),"")</f>
        <v>[tKOXiaNhAyJ]|20-24|Female|VL_SUPPRESSED.T_1|CY2021Q3</v>
      </c>
    </row>
    <row r="83" customFormat="false" ht="15" hidden="false" customHeight="false" outlineLevel="0" collapsed="false">
      <c r="D83" s="0" t="s">
        <v>45</v>
      </c>
      <c r="E83" s="0" t="s">
        <v>46</v>
      </c>
      <c r="F83" s="0" t="s">
        <v>47</v>
      </c>
      <c r="G83" s="0" t="s">
        <v>95</v>
      </c>
      <c r="H83" s="0" t="s">
        <v>96</v>
      </c>
      <c r="I83" s="0" t="s">
        <v>66</v>
      </c>
      <c r="J83" s="0" t="s">
        <v>67</v>
      </c>
      <c r="K83" s="0" t="s">
        <v>58</v>
      </c>
      <c r="L83" s="0" t="s">
        <v>59</v>
      </c>
      <c r="M83" s="0" t="s">
        <v>50</v>
      </c>
      <c r="N83" s="0" t="n">
        <v>556</v>
      </c>
      <c r="O83" s="0" t="n">
        <v>21</v>
      </c>
      <c r="P83" s="0" t="n">
        <v>18</v>
      </c>
      <c r="Q83" s="5" t="str">
        <f aca="false">IF($D83&lt;&gt;"","["&amp;$E83&amp;"]"&amp;"|"&amp;SUBSTITUTE(SUBSTITUTE($I83,CHAR(61),""),CHAR(34),"")&amp;"|"&amp;$K83&amp;"|"&amp;$G83&amp;"|"&amp;IF($G83="TX_CURR_SUBNAT.R","CY2020Q4",$M83),"")</f>
        <v>[tKOXiaNhAyJ]|20-24|Male|VL_SUPPRESSED.T_1|CY2021Q3</v>
      </c>
    </row>
    <row r="84" customFormat="false" ht="15" hidden="false" customHeight="false" outlineLevel="0" collapsed="false">
      <c r="D84" s="0" t="s">
        <v>45</v>
      </c>
      <c r="E84" s="0" t="s">
        <v>46</v>
      </c>
      <c r="F84" s="0" t="s">
        <v>47</v>
      </c>
      <c r="G84" s="0" t="s">
        <v>95</v>
      </c>
      <c r="H84" s="0" t="s">
        <v>96</v>
      </c>
      <c r="I84" s="0" t="s">
        <v>69</v>
      </c>
      <c r="J84" s="0" t="s">
        <v>70</v>
      </c>
      <c r="K84" s="0" t="s">
        <v>56</v>
      </c>
      <c r="L84" s="0" t="s">
        <v>57</v>
      </c>
      <c r="M84" s="0" t="s">
        <v>50</v>
      </c>
      <c r="N84" s="0" t="n">
        <v>4912</v>
      </c>
      <c r="O84" s="0" t="n">
        <v>25</v>
      </c>
      <c r="P84" s="0" t="n">
        <v>12</v>
      </c>
      <c r="Q84" s="5" t="str">
        <f aca="false">IF($D84&lt;&gt;"","["&amp;$E84&amp;"]"&amp;"|"&amp;SUBSTITUTE(SUBSTITUTE($I84,CHAR(61),""),CHAR(34),"")&amp;"|"&amp;$K84&amp;"|"&amp;$G84&amp;"|"&amp;IF($G84="TX_CURR_SUBNAT.R","CY2020Q4",$M84),"")</f>
        <v>[tKOXiaNhAyJ]|25-29|Female|VL_SUPPRESSED.T_1|CY2021Q3</v>
      </c>
    </row>
    <row r="85" customFormat="false" ht="15" hidden="false" customHeight="false" outlineLevel="0" collapsed="false">
      <c r="D85" s="0" t="s">
        <v>45</v>
      </c>
      <c r="E85" s="0" t="s">
        <v>46</v>
      </c>
      <c r="F85" s="0" t="s">
        <v>47</v>
      </c>
      <c r="G85" s="0" t="s">
        <v>95</v>
      </c>
      <c r="H85" s="0" t="s">
        <v>96</v>
      </c>
      <c r="I85" s="0" t="s">
        <v>69</v>
      </c>
      <c r="J85" s="0" t="s">
        <v>70</v>
      </c>
      <c r="K85" s="0" t="s">
        <v>58</v>
      </c>
      <c r="L85" s="0" t="s">
        <v>59</v>
      </c>
      <c r="M85" s="0" t="s">
        <v>50</v>
      </c>
      <c r="N85" s="0" t="n">
        <v>1151</v>
      </c>
      <c r="O85" s="0" t="n">
        <v>51</v>
      </c>
      <c r="P85" s="0" t="n">
        <v>46</v>
      </c>
      <c r="Q85" s="5" t="str">
        <f aca="false">IF($D85&lt;&gt;"","["&amp;$E85&amp;"]"&amp;"|"&amp;SUBSTITUTE(SUBSTITUTE($I85,CHAR(61),""),CHAR(34),"")&amp;"|"&amp;$K85&amp;"|"&amp;$G85&amp;"|"&amp;IF($G85="TX_CURR_SUBNAT.R","CY2020Q4",$M85),"")</f>
        <v>[tKOXiaNhAyJ]|25-29|Male|VL_SUPPRESSED.T_1|CY2021Q3</v>
      </c>
    </row>
    <row r="86" customFormat="false" ht="15" hidden="false" customHeight="false" outlineLevel="0" collapsed="false">
      <c r="D86" s="0" t="s">
        <v>45</v>
      </c>
      <c r="E86" s="0" t="s">
        <v>46</v>
      </c>
      <c r="F86" s="0" t="s">
        <v>47</v>
      </c>
      <c r="G86" s="0" t="s">
        <v>95</v>
      </c>
      <c r="H86" s="0" t="s">
        <v>96</v>
      </c>
      <c r="I86" s="0" t="s">
        <v>72</v>
      </c>
      <c r="J86" s="0" t="s">
        <v>73</v>
      </c>
      <c r="K86" s="0" t="s">
        <v>56</v>
      </c>
      <c r="L86" s="0" t="s">
        <v>57</v>
      </c>
      <c r="M86" s="0" t="s">
        <v>50</v>
      </c>
      <c r="N86" s="0" t="n">
        <v>6518</v>
      </c>
      <c r="O86" s="0" t="n">
        <v>41</v>
      </c>
      <c r="P86" s="0" t="n">
        <v>43</v>
      </c>
      <c r="Q86" s="5" t="str">
        <f aca="false">IF($D86&lt;&gt;"","["&amp;$E86&amp;"]"&amp;"|"&amp;SUBSTITUTE(SUBSTITUTE($I86,CHAR(61),""),CHAR(34),"")&amp;"|"&amp;$K86&amp;"|"&amp;$G86&amp;"|"&amp;IF($G86="TX_CURR_SUBNAT.R","CY2020Q4",$M86),"")</f>
        <v>[tKOXiaNhAyJ]|30-34|Female|VL_SUPPRESSED.T_1|CY2021Q3</v>
      </c>
    </row>
    <row r="87" customFormat="false" ht="15" hidden="false" customHeight="false" outlineLevel="0" collapsed="false">
      <c r="D87" s="0" t="s">
        <v>45</v>
      </c>
      <c r="E87" s="0" t="s">
        <v>46</v>
      </c>
      <c r="F87" s="0" t="s">
        <v>47</v>
      </c>
      <c r="G87" s="0" t="s">
        <v>95</v>
      </c>
      <c r="H87" s="0" t="s">
        <v>96</v>
      </c>
      <c r="I87" s="0" t="s">
        <v>72</v>
      </c>
      <c r="J87" s="0" t="s">
        <v>73</v>
      </c>
      <c r="K87" s="0" t="s">
        <v>58</v>
      </c>
      <c r="L87" s="0" t="s">
        <v>59</v>
      </c>
      <c r="M87" s="0" t="s">
        <v>50</v>
      </c>
      <c r="N87" s="0" t="n">
        <v>2554</v>
      </c>
      <c r="O87" s="0" t="n">
        <v>4</v>
      </c>
      <c r="P87" s="0" t="n">
        <v>31</v>
      </c>
      <c r="Q87" s="5" t="str">
        <f aca="false">IF($D87&lt;&gt;"","["&amp;$E87&amp;"]"&amp;"|"&amp;SUBSTITUTE(SUBSTITUTE($I87,CHAR(61),""),CHAR(34),"")&amp;"|"&amp;$K87&amp;"|"&amp;$G87&amp;"|"&amp;IF($G87="TX_CURR_SUBNAT.R","CY2020Q4",$M87),"")</f>
        <v>[tKOXiaNhAyJ]|30-34|Male|VL_SUPPRESSED.T_1|CY2021Q3</v>
      </c>
    </row>
    <row r="88" customFormat="false" ht="15" hidden="false" customHeight="false" outlineLevel="0" collapsed="false">
      <c r="D88" s="0" t="s">
        <v>45</v>
      </c>
      <c r="E88" s="0" t="s">
        <v>46</v>
      </c>
      <c r="F88" s="0" t="s">
        <v>47</v>
      </c>
      <c r="G88" s="0" t="s">
        <v>95</v>
      </c>
      <c r="H88" s="0" t="s">
        <v>96</v>
      </c>
      <c r="I88" s="0" t="s">
        <v>75</v>
      </c>
      <c r="J88" s="0" t="s">
        <v>76</v>
      </c>
      <c r="K88" s="0" t="s">
        <v>56</v>
      </c>
      <c r="L88" s="0" t="s">
        <v>57</v>
      </c>
      <c r="M88" s="0" t="s">
        <v>50</v>
      </c>
      <c r="N88" s="0" t="n">
        <v>6713</v>
      </c>
      <c r="O88" s="0" t="n">
        <v>39</v>
      </c>
      <c r="P88" s="0" t="n">
        <v>1</v>
      </c>
      <c r="Q88" s="5" t="str">
        <f aca="false">IF($D88&lt;&gt;"","["&amp;$E88&amp;"]"&amp;"|"&amp;SUBSTITUTE(SUBSTITUTE($I88,CHAR(61),""),CHAR(34),"")&amp;"|"&amp;$K88&amp;"|"&amp;$G88&amp;"|"&amp;IF($G88="TX_CURR_SUBNAT.R","CY2020Q4",$M88),"")</f>
        <v>[tKOXiaNhAyJ]|35-39|Female|VL_SUPPRESSED.T_1|CY2021Q3</v>
      </c>
    </row>
    <row r="89" customFormat="false" ht="15" hidden="false" customHeight="false" outlineLevel="0" collapsed="false">
      <c r="D89" s="0" t="s">
        <v>45</v>
      </c>
      <c r="E89" s="0" t="s">
        <v>46</v>
      </c>
      <c r="F89" s="0" t="s">
        <v>47</v>
      </c>
      <c r="G89" s="0" t="s">
        <v>95</v>
      </c>
      <c r="H89" s="0" t="s">
        <v>96</v>
      </c>
      <c r="I89" s="0" t="s">
        <v>75</v>
      </c>
      <c r="J89" s="0" t="s">
        <v>76</v>
      </c>
      <c r="K89" s="0" t="s">
        <v>58</v>
      </c>
      <c r="L89" s="0" t="s">
        <v>59</v>
      </c>
      <c r="M89" s="0" t="s">
        <v>50</v>
      </c>
      <c r="N89" s="0" t="n">
        <v>3824</v>
      </c>
      <c r="O89" s="0" t="n">
        <v>60</v>
      </c>
      <c r="P89" s="0" t="n">
        <v>16</v>
      </c>
      <c r="Q89" s="5" t="str">
        <f aca="false">IF($D89&lt;&gt;"","["&amp;$E89&amp;"]"&amp;"|"&amp;SUBSTITUTE(SUBSTITUTE($I89,CHAR(61),""),CHAR(34),"")&amp;"|"&amp;$K89&amp;"|"&amp;$G89&amp;"|"&amp;IF($G89="TX_CURR_SUBNAT.R","CY2020Q4",$M89),"")</f>
        <v>[tKOXiaNhAyJ]|35-39|Male|VL_SUPPRESSED.T_1|CY2021Q3</v>
      </c>
    </row>
    <row r="90" customFormat="false" ht="15" hidden="false" customHeight="false" outlineLevel="0" collapsed="false">
      <c r="D90" s="0" t="s">
        <v>45</v>
      </c>
      <c r="E90" s="0" t="s">
        <v>46</v>
      </c>
      <c r="F90" s="0" t="s">
        <v>47</v>
      </c>
      <c r="G90" s="0" t="s">
        <v>95</v>
      </c>
      <c r="H90" s="0" t="s">
        <v>96</v>
      </c>
      <c r="I90" s="0" t="s">
        <v>77</v>
      </c>
      <c r="J90" s="0" t="s">
        <v>78</v>
      </c>
      <c r="K90" s="0" t="s">
        <v>56</v>
      </c>
      <c r="L90" s="0" t="s">
        <v>57</v>
      </c>
      <c r="M90" s="0" t="s">
        <v>50</v>
      </c>
      <c r="N90" s="0" t="n">
        <v>5628</v>
      </c>
      <c r="O90" s="0" t="n">
        <v>48</v>
      </c>
      <c r="P90" s="0" t="n">
        <v>31</v>
      </c>
      <c r="Q90" s="5" t="str">
        <f aca="false">IF($D90&lt;&gt;"","["&amp;$E90&amp;"]"&amp;"|"&amp;SUBSTITUTE(SUBSTITUTE($I90,CHAR(61),""),CHAR(34),"")&amp;"|"&amp;$K90&amp;"|"&amp;$G90&amp;"|"&amp;IF($G90="TX_CURR_SUBNAT.R","CY2020Q4",$M90),"")</f>
        <v>[tKOXiaNhAyJ]|40-44|Female|VL_SUPPRESSED.T_1|CY2021Q3</v>
      </c>
    </row>
    <row r="91" customFormat="false" ht="15" hidden="false" customHeight="false" outlineLevel="0" collapsed="false">
      <c r="D91" s="0" t="s">
        <v>45</v>
      </c>
      <c r="E91" s="0" t="s">
        <v>46</v>
      </c>
      <c r="F91" s="0" t="s">
        <v>47</v>
      </c>
      <c r="G91" s="0" t="s">
        <v>95</v>
      </c>
      <c r="H91" s="0" t="s">
        <v>96</v>
      </c>
      <c r="I91" s="0" t="s">
        <v>77</v>
      </c>
      <c r="J91" s="0" t="s">
        <v>78</v>
      </c>
      <c r="K91" s="0" t="s">
        <v>58</v>
      </c>
      <c r="L91" s="0" t="s">
        <v>59</v>
      </c>
      <c r="M91" s="0" t="s">
        <v>50</v>
      </c>
      <c r="N91" s="0" t="n">
        <v>4015</v>
      </c>
      <c r="O91" s="0" t="n">
        <v>53</v>
      </c>
      <c r="P91" s="0" t="n">
        <v>37</v>
      </c>
      <c r="Q91" s="5" t="str">
        <f aca="false">IF($D91&lt;&gt;"","["&amp;$E91&amp;"]"&amp;"|"&amp;SUBSTITUTE(SUBSTITUTE($I91,CHAR(61),""),CHAR(34),"")&amp;"|"&amp;$K91&amp;"|"&amp;$G91&amp;"|"&amp;IF($G91="TX_CURR_SUBNAT.R","CY2020Q4",$M91),"")</f>
        <v>[tKOXiaNhAyJ]|40-44|Male|VL_SUPPRESSED.T_1|CY2021Q3</v>
      </c>
    </row>
    <row r="92" customFormat="false" ht="15" hidden="false" customHeight="false" outlineLevel="0" collapsed="false">
      <c r="D92" s="0" t="s">
        <v>45</v>
      </c>
      <c r="E92" s="0" t="s">
        <v>46</v>
      </c>
      <c r="F92" s="0" t="s">
        <v>47</v>
      </c>
      <c r="G92" s="0" t="s">
        <v>95</v>
      </c>
      <c r="H92" s="0" t="s">
        <v>96</v>
      </c>
      <c r="I92" s="0" t="s">
        <v>80</v>
      </c>
      <c r="J92" s="0" t="s">
        <v>81</v>
      </c>
      <c r="K92" s="0" t="s">
        <v>56</v>
      </c>
      <c r="L92" s="0" t="s">
        <v>57</v>
      </c>
      <c r="M92" s="0" t="s">
        <v>50</v>
      </c>
      <c r="N92" s="0" t="n">
        <v>3786</v>
      </c>
      <c r="O92" s="0" t="n">
        <v>46</v>
      </c>
      <c r="P92" s="0" t="n">
        <v>42</v>
      </c>
      <c r="Q92" s="5" t="str">
        <f aca="false">IF($D92&lt;&gt;"","["&amp;$E92&amp;"]"&amp;"|"&amp;SUBSTITUTE(SUBSTITUTE($I92,CHAR(61),""),CHAR(34),"")&amp;"|"&amp;$K92&amp;"|"&amp;$G92&amp;"|"&amp;IF($G92="TX_CURR_SUBNAT.R","CY2020Q4",$M92),"")</f>
        <v>[tKOXiaNhAyJ]|45-49|Female|VL_SUPPRESSED.T_1|CY2021Q3</v>
      </c>
    </row>
    <row r="93" customFormat="false" ht="15" hidden="false" customHeight="false" outlineLevel="0" collapsed="false">
      <c r="D93" s="0" t="s">
        <v>45</v>
      </c>
      <c r="E93" s="0" t="s">
        <v>46</v>
      </c>
      <c r="F93" s="0" t="s">
        <v>47</v>
      </c>
      <c r="G93" s="0" t="s">
        <v>95</v>
      </c>
      <c r="H93" s="0" t="s">
        <v>96</v>
      </c>
      <c r="I93" s="0" t="s">
        <v>80</v>
      </c>
      <c r="J93" s="0" t="s">
        <v>81</v>
      </c>
      <c r="K93" s="0" t="s">
        <v>58</v>
      </c>
      <c r="L93" s="0" t="s">
        <v>59</v>
      </c>
      <c r="M93" s="0" t="s">
        <v>50</v>
      </c>
      <c r="N93" s="0" t="n">
        <v>2754</v>
      </c>
      <c r="O93" s="0" t="n">
        <v>45</v>
      </c>
      <c r="P93" s="0" t="n">
        <v>10</v>
      </c>
      <c r="Q93" s="5" t="str">
        <f aca="false">IF($D93&lt;&gt;"","["&amp;$E93&amp;"]"&amp;"|"&amp;SUBSTITUTE(SUBSTITUTE($I93,CHAR(61),""),CHAR(34),"")&amp;"|"&amp;$K93&amp;"|"&amp;$G93&amp;"|"&amp;IF($G93="TX_CURR_SUBNAT.R","CY2020Q4",$M93),"")</f>
        <v>[tKOXiaNhAyJ]|45-49|Male|VL_SUPPRESSED.T_1|CY2021Q3</v>
      </c>
    </row>
    <row r="94" customFormat="false" ht="15" hidden="false" customHeight="false" outlineLevel="0" collapsed="false">
      <c r="D94" s="0" t="s">
        <v>45</v>
      </c>
      <c r="E94" s="0" t="s">
        <v>46</v>
      </c>
      <c r="F94" s="0" t="s">
        <v>47</v>
      </c>
      <c r="G94" s="0" t="s">
        <v>95</v>
      </c>
      <c r="H94" s="0" t="s">
        <v>96</v>
      </c>
      <c r="I94" s="0" t="s">
        <v>83</v>
      </c>
      <c r="J94" s="0" t="s">
        <v>84</v>
      </c>
      <c r="K94" s="0" t="s">
        <v>56</v>
      </c>
      <c r="L94" s="0" t="s">
        <v>57</v>
      </c>
      <c r="M94" s="0" t="s">
        <v>50</v>
      </c>
      <c r="N94" s="0" t="n">
        <v>278</v>
      </c>
      <c r="O94" s="0" t="n">
        <v>22</v>
      </c>
      <c r="P94" s="0" t="n">
        <v>6</v>
      </c>
      <c r="Q94" s="5" t="str">
        <f aca="false">IF($D94&lt;&gt;"","["&amp;$E94&amp;"]"&amp;"|"&amp;SUBSTITUTE(SUBSTITUTE($I94,CHAR(61),""),CHAR(34),"")&amp;"|"&amp;$K94&amp;"|"&amp;$G94&amp;"|"&amp;IF($G94="TX_CURR_SUBNAT.R","CY2020Q4",$M94),"")</f>
        <v>[tKOXiaNhAyJ]|05-09|Female|VL_SUPPRESSED.T_1|CY2021Q3</v>
      </c>
    </row>
    <row r="95" customFormat="false" ht="15" hidden="false" customHeight="false" outlineLevel="0" collapsed="false">
      <c r="D95" s="0" t="s">
        <v>45</v>
      </c>
      <c r="E95" s="0" t="s">
        <v>46</v>
      </c>
      <c r="F95" s="0" t="s">
        <v>47</v>
      </c>
      <c r="G95" s="0" t="s">
        <v>95</v>
      </c>
      <c r="H95" s="0" t="s">
        <v>96</v>
      </c>
      <c r="I95" s="0" t="s">
        <v>83</v>
      </c>
      <c r="J95" s="0" t="s">
        <v>84</v>
      </c>
      <c r="K95" s="0" t="s">
        <v>58</v>
      </c>
      <c r="L95" s="0" t="s">
        <v>59</v>
      </c>
      <c r="M95" s="0" t="s">
        <v>50</v>
      </c>
      <c r="N95" s="0" t="n">
        <v>276</v>
      </c>
      <c r="O95" s="0" t="n">
        <v>48</v>
      </c>
      <c r="P95" s="0" t="n">
        <v>40</v>
      </c>
      <c r="Q95" s="5" t="str">
        <f aca="false">IF($D95&lt;&gt;"","["&amp;$E95&amp;"]"&amp;"|"&amp;SUBSTITUTE(SUBSTITUTE($I95,CHAR(61),""),CHAR(34),"")&amp;"|"&amp;$K95&amp;"|"&amp;$G95&amp;"|"&amp;IF($G95="TX_CURR_SUBNAT.R","CY2020Q4",$M95),"")</f>
        <v>[tKOXiaNhAyJ]|05-09|Male|VL_SUPPRESSED.T_1|CY2021Q3</v>
      </c>
    </row>
    <row r="96" customFormat="false" ht="15" hidden="false" customHeight="false" outlineLevel="0" collapsed="false">
      <c r="D96" s="0" t="s">
        <v>45</v>
      </c>
      <c r="E96" s="0" t="s">
        <v>46</v>
      </c>
      <c r="F96" s="0" t="s">
        <v>47</v>
      </c>
      <c r="G96" s="0" t="s">
        <v>95</v>
      </c>
      <c r="H96" s="0" t="s">
        <v>96</v>
      </c>
      <c r="I96" s="53" t="s">
        <v>86</v>
      </c>
      <c r="J96" s="0" t="s">
        <v>87</v>
      </c>
      <c r="K96" s="0" t="s">
        <v>56</v>
      </c>
      <c r="L96" s="0" t="s">
        <v>57</v>
      </c>
      <c r="M96" s="0" t="s">
        <v>50</v>
      </c>
      <c r="N96" s="0" t="n">
        <v>8303</v>
      </c>
      <c r="O96" s="0" t="n">
        <v>26</v>
      </c>
      <c r="P96" s="0" t="n">
        <v>9</v>
      </c>
      <c r="Q96" s="5" t="str">
        <f aca="false">IF($D96&lt;&gt;"","["&amp;$E96&amp;"]"&amp;"|"&amp;SUBSTITUTE(SUBSTITUTE($I96,CHAR(61),""),CHAR(34),"")&amp;"|"&amp;$K96&amp;"|"&amp;$G96&amp;"|"&amp;IF($G96="TX_CURR_SUBNAT.R","CY2020Q4",$M96),"")</f>
        <v>[tKOXiaNhAyJ]|50+|Female|VL_SUPPRESSED.T_1|CY2021Q3</v>
      </c>
    </row>
    <row r="97" customFormat="false" ht="15" hidden="false" customHeight="false" outlineLevel="0" collapsed="false">
      <c r="D97" s="0" t="s">
        <v>45</v>
      </c>
      <c r="E97" s="0" t="s">
        <v>46</v>
      </c>
      <c r="F97" s="0" t="s">
        <v>47</v>
      </c>
      <c r="G97" s="0" t="s">
        <v>95</v>
      </c>
      <c r="H97" s="0" t="s">
        <v>96</v>
      </c>
      <c r="I97" s="53" t="s">
        <v>86</v>
      </c>
      <c r="J97" s="0" t="s">
        <v>87</v>
      </c>
      <c r="K97" s="0" t="s">
        <v>58</v>
      </c>
      <c r="L97" s="0" t="s">
        <v>59</v>
      </c>
      <c r="M97" s="0" t="s">
        <v>50</v>
      </c>
      <c r="N97" s="0" t="n">
        <v>6010</v>
      </c>
      <c r="O97" s="0" t="n">
        <v>20</v>
      </c>
      <c r="P97" s="0" t="n">
        <v>28</v>
      </c>
      <c r="Q97" s="5" t="str">
        <f aca="false">IF($D97&lt;&gt;"","["&amp;$E97&amp;"]"&amp;"|"&amp;SUBSTITUTE(SUBSTITUTE($I97,CHAR(61),""),CHAR(34),"")&amp;"|"&amp;$K97&amp;"|"&amp;$G97&amp;"|"&amp;IF($G97="TX_CURR_SUBNAT.R","CY2020Q4",$M97),"")</f>
        <v>[tKOXiaNhAyJ]|50+|Male|VL_SUPPRESSED.T_1|CY2021Q3</v>
      </c>
    </row>
    <row r="98" customFormat="false" ht="15" hidden="false" customHeight="false" outlineLevel="0" collapsed="false">
      <c r="D98" s="0" t="s">
        <v>45</v>
      </c>
      <c r="E98" s="0" t="s">
        <v>46</v>
      </c>
      <c r="F98" s="0" t="s">
        <v>47</v>
      </c>
      <c r="G98" s="0" t="s">
        <v>95</v>
      </c>
      <c r="H98" s="0" t="s">
        <v>96</v>
      </c>
      <c r="I98" s="0" t="s">
        <v>89</v>
      </c>
      <c r="J98" s="0" t="s">
        <v>90</v>
      </c>
      <c r="K98" s="0" t="s">
        <v>56</v>
      </c>
      <c r="L98" s="0" t="s">
        <v>57</v>
      </c>
      <c r="M98" s="0" t="s">
        <v>50</v>
      </c>
      <c r="N98" s="0" t="n">
        <v>5</v>
      </c>
      <c r="O98" s="0" t="n">
        <v>13</v>
      </c>
      <c r="P98" s="0" t="n">
        <v>39</v>
      </c>
      <c r="Q98" s="5" t="str">
        <f aca="false">IF($D98&lt;&gt;"","["&amp;$E98&amp;"]"&amp;"|"&amp;SUBSTITUTE(SUBSTITUTE($I98,CHAR(61),""),CHAR(34),"")&amp;"|"&amp;$K98&amp;"|"&amp;$G98&amp;"|"&amp;IF($G98="TX_CURR_SUBNAT.R","CY2020Q4",$M98),"")</f>
        <v>[tKOXiaNhAyJ]|&lt;01|Female|VL_SUPPRESSED.T_1|CY2021Q3</v>
      </c>
    </row>
    <row r="99" customFormat="false" ht="15" hidden="false" customHeight="false" outlineLevel="0" collapsed="false">
      <c r="D99" s="0" t="s">
        <v>45</v>
      </c>
      <c r="E99" s="0" t="s">
        <v>46</v>
      </c>
      <c r="F99" s="0" t="s">
        <v>47</v>
      </c>
      <c r="G99" s="0" t="s">
        <v>95</v>
      </c>
      <c r="H99" s="0" t="s">
        <v>96</v>
      </c>
      <c r="I99" s="0" t="s">
        <v>89</v>
      </c>
      <c r="J99" s="0" t="s">
        <v>90</v>
      </c>
      <c r="K99" s="0" t="s">
        <v>58</v>
      </c>
      <c r="L99" s="0" t="s">
        <v>59</v>
      </c>
      <c r="M99" s="0" t="s">
        <v>50</v>
      </c>
      <c r="N99" s="0" t="n">
        <v>2</v>
      </c>
      <c r="O99" s="0" t="n">
        <v>34</v>
      </c>
      <c r="P99" s="0" t="n">
        <v>36</v>
      </c>
      <c r="Q99" s="5" t="str">
        <f aca="false">IF($D99&lt;&gt;"","["&amp;$E99&amp;"]"&amp;"|"&amp;SUBSTITUTE(SUBSTITUTE($I99,CHAR(61),""),CHAR(34),"")&amp;"|"&amp;$K99&amp;"|"&amp;$G99&amp;"|"&amp;IF($G99="TX_CURR_SUBNAT.R","CY2020Q4",$M99),"")</f>
        <v>[tKOXiaNhAyJ]|&lt;01|Male|VL_SUPPRESSED.T_1|CY2021Q3</v>
      </c>
    </row>
    <row r="100" customFormat="false" ht="15" hidden="false" customHeight="false" outlineLevel="0" collapsed="false">
      <c r="D100" s="0" t="s">
        <v>45</v>
      </c>
      <c r="E100" s="0" t="s">
        <v>46</v>
      </c>
      <c r="F100" s="0" t="s">
        <v>47</v>
      </c>
      <c r="G100" s="0" t="s">
        <v>97</v>
      </c>
      <c r="H100" s="0" t="s">
        <v>98</v>
      </c>
      <c r="I100" s="0" t="s">
        <v>54</v>
      </c>
      <c r="J100" s="0" t="s">
        <v>55</v>
      </c>
      <c r="K100" s="0" t="s">
        <v>56</v>
      </c>
      <c r="L100" s="0" t="s">
        <v>57</v>
      </c>
      <c r="M100" s="0" t="s">
        <v>50</v>
      </c>
      <c r="N100" s="0" t="n">
        <v>196</v>
      </c>
      <c r="O100" s="0" t="n">
        <v>19</v>
      </c>
      <c r="P100" s="0" t="n">
        <v>19</v>
      </c>
      <c r="Q100" s="5" t="str">
        <f aca="false">IF($D100&lt;&gt;"","["&amp;$E100&amp;"]"&amp;"|"&amp;SUBSTITUTE(SUBSTITUTE($I100,CHAR(61),""),CHAR(34),"")&amp;"|"&amp;$K100&amp;"|"&amp;$G100&amp;"|"&amp;IF($G100="TX_CURR_SUBNAT.R","CY2020Q4",$M100),"")</f>
        <v>[tKOXiaNhAyJ]|01-04|Female|PLHIV.T_1|CY2021Q3</v>
      </c>
    </row>
    <row r="101" customFormat="false" ht="15" hidden="false" customHeight="false" outlineLevel="0" collapsed="false">
      <c r="D101" s="0" t="s">
        <v>45</v>
      </c>
      <c r="E101" s="0" t="s">
        <v>46</v>
      </c>
      <c r="F101" s="0" t="s">
        <v>47</v>
      </c>
      <c r="G101" s="0" t="s">
        <v>97</v>
      </c>
      <c r="H101" s="0" t="s">
        <v>98</v>
      </c>
      <c r="I101" s="0" t="s">
        <v>54</v>
      </c>
      <c r="J101" s="0" t="s">
        <v>55</v>
      </c>
      <c r="K101" s="0" t="s">
        <v>58</v>
      </c>
      <c r="L101" s="0" t="s">
        <v>59</v>
      </c>
      <c r="M101" s="0" t="s">
        <v>50</v>
      </c>
      <c r="N101" s="0" t="n">
        <v>199</v>
      </c>
      <c r="O101" s="0" t="n">
        <v>42</v>
      </c>
      <c r="P101" s="0" t="n">
        <v>5</v>
      </c>
      <c r="Q101" s="5" t="str">
        <f aca="false">IF($D101&lt;&gt;"","["&amp;$E101&amp;"]"&amp;"|"&amp;SUBSTITUTE(SUBSTITUTE($I101,CHAR(61),""),CHAR(34),"")&amp;"|"&amp;$K101&amp;"|"&amp;$G101&amp;"|"&amp;IF($G101="TX_CURR_SUBNAT.R","CY2020Q4",$M101),"")</f>
        <v>[tKOXiaNhAyJ]|01-04|Male|PLHIV.T_1|CY2021Q3</v>
      </c>
    </row>
    <row r="102" customFormat="false" ht="15" hidden="false" customHeight="false" outlineLevel="0" collapsed="false">
      <c r="D102" s="0" t="s">
        <v>45</v>
      </c>
      <c r="E102" s="0" t="s">
        <v>46</v>
      </c>
      <c r="F102" s="0" t="s">
        <v>47</v>
      </c>
      <c r="G102" s="0" t="s">
        <v>97</v>
      </c>
      <c r="H102" s="0" t="s">
        <v>98</v>
      </c>
      <c r="I102" s="0" t="s">
        <v>61</v>
      </c>
      <c r="J102" s="0" t="s">
        <v>62</v>
      </c>
      <c r="K102" s="0" t="s">
        <v>56</v>
      </c>
      <c r="L102" s="0" t="s">
        <v>57</v>
      </c>
      <c r="M102" s="0" t="s">
        <v>50</v>
      </c>
      <c r="N102" s="0" t="n">
        <v>708</v>
      </c>
      <c r="O102" s="0" t="n">
        <v>21</v>
      </c>
      <c r="P102" s="0" t="n">
        <v>23</v>
      </c>
      <c r="Q102" s="5" t="str">
        <f aca="false">IF($D102&lt;&gt;"","["&amp;$E102&amp;"]"&amp;"|"&amp;SUBSTITUTE(SUBSTITUTE($I102,CHAR(61),""),CHAR(34),"")&amp;"|"&amp;$K102&amp;"|"&amp;$G102&amp;"|"&amp;IF($G102="TX_CURR_SUBNAT.R","CY2020Q4",$M102),"")</f>
        <v>[tKOXiaNhAyJ]|10-14|Female|PLHIV.T_1|CY2021Q3</v>
      </c>
    </row>
    <row r="103" customFormat="false" ht="15" hidden="false" customHeight="false" outlineLevel="0" collapsed="false">
      <c r="D103" s="0" t="s">
        <v>45</v>
      </c>
      <c r="E103" s="0" t="s">
        <v>46</v>
      </c>
      <c r="F103" s="0" t="s">
        <v>47</v>
      </c>
      <c r="G103" s="0" t="s">
        <v>97</v>
      </c>
      <c r="H103" s="0" t="s">
        <v>98</v>
      </c>
      <c r="I103" s="0" t="s">
        <v>61</v>
      </c>
      <c r="J103" s="0" t="s">
        <v>62</v>
      </c>
      <c r="K103" s="0" t="s">
        <v>58</v>
      </c>
      <c r="L103" s="0" t="s">
        <v>59</v>
      </c>
      <c r="M103" s="0" t="s">
        <v>50</v>
      </c>
      <c r="N103" s="0" t="n">
        <v>716</v>
      </c>
      <c r="O103" s="0" t="n">
        <v>16</v>
      </c>
      <c r="P103" s="0" t="n">
        <v>20</v>
      </c>
      <c r="Q103" s="5" t="str">
        <f aca="false">IF($D103&lt;&gt;"","["&amp;$E103&amp;"]"&amp;"|"&amp;SUBSTITUTE(SUBSTITUTE($I103,CHAR(61),""),CHAR(34),"")&amp;"|"&amp;$K103&amp;"|"&amp;$G103&amp;"|"&amp;IF($G103="TX_CURR_SUBNAT.R","CY2020Q4",$M103),"")</f>
        <v>[tKOXiaNhAyJ]|10-14|Male|PLHIV.T_1|CY2021Q3</v>
      </c>
    </row>
    <row r="104" customFormat="false" ht="15" hidden="false" customHeight="false" outlineLevel="0" collapsed="false">
      <c r="D104" s="0" t="s">
        <v>45</v>
      </c>
      <c r="E104" s="0" t="s">
        <v>46</v>
      </c>
      <c r="F104" s="0" t="s">
        <v>47</v>
      </c>
      <c r="G104" s="0" t="s">
        <v>97</v>
      </c>
      <c r="H104" s="0" t="s">
        <v>98</v>
      </c>
      <c r="I104" s="0" t="s">
        <v>63</v>
      </c>
      <c r="J104" s="0" t="s">
        <v>64</v>
      </c>
      <c r="K104" s="0" t="s">
        <v>56</v>
      </c>
      <c r="L104" s="0" t="s">
        <v>57</v>
      </c>
      <c r="M104" s="0" t="s">
        <v>50</v>
      </c>
      <c r="N104" s="0" t="n">
        <v>1223</v>
      </c>
      <c r="O104" s="0" t="n">
        <v>59</v>
      </c>
      <c r="P104" s="0" t="n">
        <v>25</v>
      </c>
      <c r="Q104" s="5" t="str">
        <f aca="false">IF($D104&lt;&gt;"","["&amp;$E104&amp;"]"&amp;"|"&amp;SUBSTITUTE(SUBSTITUTE($I104,CHAR(61),""),CHAR(34),"")&amp;"|"&amp;$K104&amp;"|"&amp;$G104&amp;"|"&amp;IF($G104="TX_CURR_SUBNAT.R","CY2020Q4",$M104),"")</f>
        <v>[tKOXiaNhAyJ]|15-19|Female|PLHIV.T_1|CY2021Q3</v>
      </c>
    </row>
    <row r="105" customFormat="false" ht="15" hidden="false" customHeight="false" outlineLevel="0" collapsed="false">
      <c r="D105" s="0" t="s">
        <v>45</v>
      </c>
      <c r="E105" s="0" t="s">
        <v>46</v>
      </c>
      <c r="F105" s="0" t="s">
        <v>47</v>
      </c>
      <c r="G105" s="0" t="s">
        <v>97</v>
      </c>
      <c r="H105" s="0" t="s">
        <v>98</v>
      </c>
      <c r="I105" s="0" t="s">
        <v>63</v>
      </c>
      <c r="J105" s="0" t="s">
        <v>64</v>
      </c>
      <c r="K105" s="0" t="s">
        <v>58</v>
      </c>
      <c r="L105" s="0" t="s">
        <v>59</v>
      </c>
      <c r="M105" s="0" t="s">
        <v>50</v>
      </c>
      <c r="N105" s="0" t="n">
        <v>717</v>
      </c>
      <c r="O105" s="0" t="n">
        <v>1</v>
      </c>
      <c r="P105" s="0" t="n">
        <v>36</v>
      </c>
      <c r="Q105" s="5" t="str">
        <f aca="false">IF($D105&lt;&gt;"","["&amp;$E105&amp;"]"&amp;"|"&amp;SUBSTITUTE(SUBSTITUTE($I105,CHAR(61),""),CHAR(34),"")&amp;"|"&amp;$K105&amp;"|"&amp;$G105&amp;"|"&amp;IF($G105="TX_CURR_SUBNAT.R","CY2020Q4",$M105),"")</f>
        <v>[tKOXiaNhAyJ]|15-19|Male|PLHIV.T_1|CY2021Q3</v>
      </c>
    </row>
    <row r="106" customFormat="false" ht="15" hidden="false" customHeight="false" outlineLevel="0" collapsed="false">
      <c r="D106" s="0" t="s">
        <v>45</v>
      </c>
      <c r="E106" s="0" t="s">
        <v>46</v>
      </c>
      <c r="F106" s="0" t="s">
        <v>47</v>
      </c>
      <c r="G106" s="0" t="s">
        <v>97</v>
      </c>
      <c r="H106" s="0" t="s">
        <v>98</v>
      </c>
      <c r="I106" s="0" t="s">
        <v>66</v>
      </c>
      <c r="J106" s="0" t="s">
        <v>67</v>
      </c>
      <c r="K106" s="0" t="s">
        <v>56</v>
      </c>
      <c r="L106" s="0" t="s">
        <v>57</v>
      </c>
      <c r="M106" s="0" t="s">
        <v>50</v>
      </c>
      <c r="N106" s="0" t="n">
        <v>3721</v>
      </c>
      <c r="O106" s="0" t="n">
        <v>60</v>
      </c>
      <c r="P106" s="0" t="n">
        <v>30</v>
      </c>
      <c r="Q106" s="5" t="str">
        <f aca="false">IF($D106&lt;&gt;"","["&amp;$E106&amp;"]"&amp;"|"&amp;SUBSTITUTE(SUBSTITUTE($I106,CHAR(61),""),CHAR(34),"")&amp;"|"&amp;$K106&amp;"|"&amp;$G106&amp;"|"&amp;IF($G106="TX_CURR_SUBNAT.R","CY2020Q4",$M106),"")</f>
        <v>[tKOXiaNhAyJ]|20-24|Female|PLHIV.T_1|CY2021Q3</v>
      </c>
    </row>
    <row r="107" customFormat="false" ht="15" hidden="false" customHeight="false" outlineLevel="0" collapsed="false">
      <c r="D107" s="0" t="s">
        <v>45</v>
      </c>
      <c r="E107" s="0" t="s">
        <v>46</v>
      </c>
      <c r="F107" s="0" t="s">
        <v>47</v>
      </c>
      <c r="G107" s="0" t="s">
        <v>97</v>
      </c>
      <c r="H107" s="0" t="s">
        <v>98</v>
      </c>
      <c r="I107" s="0" t="s">
        <v>66</v>
      </c>
      <c r="J107" s="0" t="s">
        <v>67</v>
      </c>
      <c r="K107" s="0" t="s">
        <v>58</v>
      </c>
      <c r="L107" s="0" t="s">
        <v>59</v>
      </c>
      <c r="M107" s="0" t="s">
        <v>50</v>
      </c>
      <c r="N107" s="0" t="n">
        <v>1301</v>
      </c>
      <c r="O107" s="0" t="n">
        <v>49</v>
      </c>
      <c r="P107" s="0" t="n">
        <v>33</v>
      </c>
      <c r="Q107" s="5" t="str">
        <f aca="false">IF($D107&lt;&gt;"","["&amp;$E107&amp;"]"&amp;"|"&amp;SUBSTITUTE(SUBSTITUTE($I107,CHAR(61),""),CHAR(34),"")&amp;"|"&amp;$K107&amp;"|"&amp;$G107&amp;"|"&amp;IF($G107="TX_CURR_SUBNAT.R","CY2020Q4",$M107),"")</f>
        <v>[tKOXiaNhAyJ]|20-24|Male|PLHIV.T_1|CY2021Q3</v>
      </c>
    </row>
    <row r="108" customFormat="false" ht="15" hidden="false" customHeight="false" outlineLevel="0" collapsed="false">
      <c r="D108" s="0" t="s">
        <v>45</v>
      </c>
      <c r="E108" s="0" t="s">
        <v>46</v>
      </c>
      <c r="F108" s="0" t="s">
        <v>47</v>
      </c>
      <c r="G108" s="0" t="s">
        <v>97</v>
      </c>
      <c r="H108" s="0" t="s">
        <v>98</v>
      </c>
      <c r="I108" s="0" t="s">
        <v>69</v>
      </c>
      <c r="J108" s="0" t="s">
        <v>70</v>
      </c>
      <c r="K108" s="0" t="s">
        <v>56</v>
      </c>
      <c r="L108" s="0" t="s">
        <v>57</v>
      </c>
      <c r="M108" s="0" t="s">
        <v>50</v>
      </c>
      <c r="N108" s="0" t="n">
        <v>7438</v>
      </c>
      <c r="O108" s="0" t="n">
        <v>39</v>
      </c>
      <c r="P108" s="0" t="n">
        <v>36</v>
      </c>
      <c r="Q108" s="5" t="str">
        <f aca="false">IF($D108&lt;&gt;"","["&amp;$E108&amp;"]"&amp;"|"&amp;SUBSTITUTE(SUBSTITUTE($I108,CHAR(61),""),CHAR(34),"")&amp;"|"&amp;$K108&amp;"|"&amp;$G108&amp;"|"&amp;IF($G108="TX_CURR_SUBNAT.R","CY2020Q4",$M108),"")</f>
        <v>[tKOXiaNhAyJ]|25-29|Female|PLHIV.T_1|CY2021Q3</v>
      </c>
    </row>
    <row r="109" customFormat="false" ht="15" hidden="false" customHeight="false" outlineLevel="0" collapsed="false">
      <c r="D109" s="0" t="s">
        <v>45</v>
      </c>
      <c r="E109" s="0" t="s">
        <v>46</v>
      </c>
      <c r="F109" s="0" t="s">
        <v>47</v>
      </c>
      <c r="G109" s="0" t="s">
        <v>97</v>
      </c>
      <c r="H109" s="0" t="s">
        <v>98</v>
      </c>
      <c r="I109" s="0" t="s">
        <v>69</v>
      </c>
      <c r="J109" s="0" t="s">
        <v>70</v>
      </c>
      <c r="K109" s="0" t="s">
        <v>58</v>
      </c>
      <c r="L109" s="0" t="s">
        <v>59</v>
      </c>
      <c r="M109" s="0" t="s">
        <v>50</v>
      </c>
      <c r="N109" s="0" t="n">
        <v>3081</v>
      </c>
      <c r="O109" s="0" t="n">
        <v>37</v>
      </c>
      <c r="P109" s="0" t="n">
        <v>44</v>
      </c>
      <c r="Q109" s="5" t="str">
        <f aca="false">IF($D109&lt;&gt;"","["&amp;$E109&amp;"]"&amp;"|"&amp;SUBSTITUTE(SUBSTITUTE($I109,CHAR(61),""),CHAR(34),"")&amp;"|"&amp;$K109&amp;"|"&amp;$G109&amp;"|"&amp;IF($G109="TX_CURR_SUBNAT.R","CY2020Q4",$M109),"")</f>
        <v>[tKOXiaNhAyJ]|25-29|Male|PLHIV.T_1|CY2021Q3</v>
      </c>
    </row>
    <row r="110" customFormat="false" ht="15" hidden="false" customHeight="false" outlineLevel="0" collapsed="false">
      <c r="D110" s="0" t="s">
        <v>45</v>
      </c>
      <c r="E110" s="0" t="s">
        <v>46</v>
      </c>
      <c r="F110" s="0" t="s">
        <v>47</v>
      </c>
      <c r="G110" s="0" t="s">
        <v>97</v>
      </c>
      <c r="H110" s="0" t="s">
        <v>98</v>
      </c>
      <c r="I110" s="0" t="s">
        <v>72</v>
      </c>
      <c r="J110" s="0" t="s">
        <v>73</v>
      </c>
      <c r="K110" s="0" t="s">
        <v>56</v>
      </c>
      <c r="L110" s="0" t="s">
        <v>57</v>
      </c>
      <c r="M110" s="0" t="s">
        <v>50</v>
      </c>
      <c r="N110" s="0" t="n">
        <v>10212</v>
      </c>
      <c r="O110" s="0" t="n">
        <v>25</v>
      </c>
      <c r="P110" s="0" t="n">
        <v>21</v>
      </c>
      <c r="Q110" s="5" t="str">
        <f aca="false">IF($D110&lt;&gt;"","["&amp;$E110&amp;"]"&amp;"|"&amp;SUBSTITUTE(SUBSTITUTE($I110,CHAR(61),""),CHAR(34),"")&amp;"|"&amp;$K110&amp;"|"&amp;$G110&amp;"|"&amp;IF($G110="TX_CURR_SUBNAT.R","CY2020Q4",$M110),"")</f>
        <v>[tKOXiaNhAyJ]|30-34|Female|PLHIV.T_1|CY2021Q3</v>
      </c>
    </row>
    <row r="111" customFormat="false" ht="15" hidden="false" customHeight="false" outlineLevel="0" collapsed="false">
      <c r="D111" s="0" t="s">
        <v>45</v>
      </c>
      <c r="E111" s="0" t="s">
        <v>46</v>
      </c>
      <c r="F111" s="0" t="s">
        <v>47</v>
      </c>
      <c r="G111" s="0" t="s">
        <v>97</v>
      </c>
      <c r="H111" s="0" t="s">
        <v>98</v>
      </c>
      <c r="I111" s="0" t="s">
        <v>72</v>
      </c>
      <c r="J111" s="0" t="s">
        <v>73</v>
      </c>
      <c r="K111" s="0" t="s">
        <v>58</v>
      </c>
      <c r="L111" s="0" t="s">
        <v>59</v>
      </c>
      <c r="M111" s="0" t="s">
        <v>50</v>
      </c>
      <c r="N111" s="0" t="n">
        <v>5606</v>
      </c>
      <c r="O111" s="0" t="n">
        <v>48</v>
      </c>
      <c r="P111" s="0" t="n">
        <v>30</v>
      </c>
      <c r="Q111" s="5" t="str">
        <f aca="false">IF($D111&lt;&gt;"","["&amp;$E111&amp;"]"&amp;"|"&amp;SUBSTITUTE(SUBSTITUTE($I111,CHAR(61),""),CHAR(34),"")&amp;"|"&amp;$K111&amp;"|"&amp;$G111&amp;"|"&amp;IF($G111="TX_CURR_SUBNAT.R","CY2020Q4",$M111),"")</f>
        <v>[tKOXiaNhAyJ]|30-34|Male|PLHIV.T_1|CY2021Q3</v>
      </c>
    </row>
    <row r="112" customFormat="false" ht="15" hidden="false" customHeight="false" outlineLevel="0" collapsed="false">
      <c r="D112" s="0" t="s">
        <v>45</v>
      </c>
      <c r="E112" s="0" t="s">
        <v>46</v>
      </c>
      <c r="F112" s="0" t="s">
        <v>47</v>
      </c>
      <c r="G112" s="0" t="s">
        <v>97</v>
      </c>
      <c r="H112" s="0" t="s">
        <v>98</v>
      </c>
      <c r="I112" s="0" t="s">
        <v>75</v>
      </c>
      <c r="J112" s="0" t="s">
        <v>76</v>
      </c>
      <c r="K112" s="0" t="s">
        <v>56</v>
      </c>
      <c r="L112" s="0" t="s">
        <v>57</v>
      </c>
      <c r="M112" s="0" t="s">
        <v>50</v>
      </c>
      <c r="N112" s="0" t="n">
        <v>9645</v>
      </c>
      <c r="O112" s="0" t="n">
        <v>17</v>
      </c>
      <c r="P112" s="0" t="n">
        <v>42</v>
      </c>
      <c r="Q112" s="5" t="str">
        <f aca="false">IF($D112&lt;&gt;"","["&amp;$E112&amp;"]"&amp;"|"&amp;SUBSTITUTE(SUBSTITUTE($I112,CHAR(61),""),CHAR(34),"")&amp;"|"&amp;$K112&amp;"|"&amp;$G112&amp;"|"&amp;IF($G112="TX_CURR_SUBNAT.R","CY2020Q4",$M112),"")</f>
        <v>[tKOXiaNhAyJ]|35-39|Female|PLHIV.T_1|CY2021Q3</v>
      </c>
    </row>
    <row r="113" customFormat="false" ht="15" hidden="false" customHeight="false" outlineLevel="0" collapsed="false">
      <c r="D113" s="0" t="s">
        <v>45</v>
      </c>
      <c r="E113" s="0" t="s">
        <v>46</v>
      </c>
      <c r="F113" s="0" t="s">
        <v>47</v>
      </c>
      <c r="G113" s="0" t="s">
        <v>97</v>
      </c>
      <c r="H113" s="0" t="s">
        <v>98</v>
      </c>
      <c r="I113" s="0" t="s">
        <v>75</v>
      </c>
      <c r="J113" s="0" t="s">
        <v>76</v>
      </c>
      <c r="K113" s="0" t="s">
        <v>58</v>
      </c>
      <c r="L113" s="0" t="s">
        <v>59</v>
      </c>
      <c r="M113" s="0" t="s">
        <v>50</v>
      </c>
      <c r="N113" s="0" t="n">
        <v>6830</v>
      </c>
      <c r="O113" s="0" t="n">
        <v>53</v>
      </c>
      <c r="P113" s="0" t="n">
        <v>7</v>
      </c>
      <c r="Q113" s="5" t="str">
        <f aca="false">IF($D113&lt;&gt;"","["&amp;$E113&amp;"]"&amp;"|"&amp;SUBSTITUTE(SUBSTITUTE($I113,CHAR(61),""),CHAR(34),"")&amp;"|"&amp;$K113&amp;"|"&amp;$G113&amp;"|"&amp;IF($G113="TX_CURR_SUBNAT.R","CY2020Q4",$M113),"")</f>
        <v>[tKOXiaNhAyJ]|35-39|Male|PLHIV.T_1|CY2021Q3</v>
      </c>
    </row>
    <row r="114" customFormat="false" ht="15" hidden="false" customHeight="false" outlineLevel="0" collapsed="false">
      <c r="D114" s="0" t="s">
        <v>45</v>
      </c>
      <c r="E114" s="0" t="s">
        <v>46</v>
      </c>
      <c r="F114" s="0" t="s">
        <v>47</v>
      </c>
      <c r="G114" s="0" t="s">
        <v>97</v>
      </c>
      <c r="H114" s="0" t="s">
        <v>98</v>
      </c>
      <c r="I114" s="0" t="s">
        <v>77</v>
      </c>
      <c r="J114" s="0" t="s">
        <v>78</v>
      </c>
      <c r="K114" s="0" t="s">
        <v>56</v>
      </c>
      <c r="L114" s="0" t="s">
        <v>57</v>
      </c>
      <c r="M114" s="0" t="s">
        <v>50</v>
      </c>
      <c r="N114" s="0" t="n">
        <v>7616</v>
      </c>
      <c r="O114" s="0" t="n">
        <v>30</v>
      </c>
      <c r="P114" s="0" t="n">
        <v>24</v>
      </c>
      <c r="Q114" s="5" t="str">
        <f aca="false">IF($D114&lt;&gt;"","["&amp;$E114&amp;"]"&amp;"|"&amp;SUBSTITUTE(SUBSTITUTE($I114,CHAR(61),""),CHAR(34),"")&amp;"|"&amp;$K114&amp;"|"&amp;$G114&amp;"|"&amp;IF($G114="TX_CURR_SUBNAT.R","CY2020Q4",$M114),"")</f>
        <v>[tKOXiaNhAyJ]|40-44|Female|PLHIV.T_1|CY2021Q3</v>
      </c>
    </row>
    <row r="115" customFormat="false" ht="15" hidden="false" customHeight="false" outlineLevel="0" collapsed="false">
      <c r="D115" s="0" t="s">
        <v>45</v>
      </c>
      <c r="E115" s="0" t="s">
        <v>46</v>
      </c>
      <c r="F115" s="0" t="s">
        <v>47</v>
      </c>
      <c r="G115" s="0" t="s">
        <v>97</v>
      </c>
      <c r="H115" s="0" t="s">
        <v>98</v>
      </c>
      <c r="I115" s="0" t="s">
        <v>77</v>
      </c>
      <c r="J115" s="0" t="s">
        <v>78</v>
      </c>
      <c r="K115" s="0" t="s">
        <v>58</v>
      </c>
      <c r="L115" s="0" t="s">
        <v>59</v>
      </c>
      <c r="M115" s="0" t="s">
        <v>50</v>
      </c>
      <c r="N115" s="0" t="n">
        <v>6080</v>
      </c>
      <c r="O115" s="0" t="n">
        <v>60</v>
      </c>
      <c r="P115" s="0" t="n">
        <v>46</v>
      </c>
      <c r="Q115" s="5" t="str">
        <f aca="false">IF($D115&lt;&gt;"","["&amp;$E115&amp;"]"&amp;"|"&amp;SUBSTITUTE(SUBSTITUTE($I115,CHAR(61),""),CHAR(34),"")&amp;"|"&amp;$K115&amp;"|"&amp;$G115&amp;"|"&amp;IF($G115="TX_CURR_SUBNAT.R","CY2020Q4",$M115),"")</f>
        <v>[tKOXiaNhAyJ]|40-44|Male|PLHIV.T_1|CY2021Q3</v>
      </c>
    </row>
    <row r="116" customFormat="false" ht="15" hidden="false" customHeight="false" outlineLevel="0" collapsed="false">
      <c r="D116" s="0" t="s">
        <v>45</v>
      </c>
      <c r="E116" s="0" t="s">
        <v>46</v>
      </c>
      <c r="F116" s="0" t="s">
        <v>47</v>
      </c>
      <c r="G116" s="0" t="s">
        <v>97</v>
      </c>
      <c r="H116" s="0" t="s">
        <v>98</v>
      </c>
      <c r="I116" s="0" t="s">
        <v>80</v>
      </c>
      <c r="J116" s="0" t="s">
        <v>81</v>
      </c>
      <c r="K116" s="0" t="s">
        <v>56</v>
      </c>
      <c r="L116" s="0" t="s">
        <v>57</v>
      </c>
      <c r="M116" s="0" t="s">
        <v>50</v>
      </c>
      <c r="N116" s="0" t="n">
        <v>5384</v>
      </c>
      <c r="O116" s="0" t="n">
        <v>46</v>
      </c>
      <c r="P116" s="0" t="n">
        <v>44</v>
      </c>
      <c r="Q116" s="5" t="str">
        <f aca="false">IF($D116&lt;&gt;"","["&amp;$E116&amp;"]"&amp;"|"&amp;SUBSTITUTE(SUBSTITUTE($I116,CHAR(61),""),CHAR(34),"")&amp;"|"&amp;$K116&amp;"|"&amp;$G116&amp;"|"&amp;IF($G116="TX_CURR_SUBNAT.R","CY2020Q4",$M116),"")</f>
        <v>[tKOXiaNhAyJ]|45-49|Female|PLHIV.T_1|CY2021Q3</v>
      </c>
    </row>
    <row r="117" customFormat="false" ht="15" hidden="false" customHeight="false" outlineLevel="0" collapsed="false">
      <c r="D117" s="0" t="s">
        <v>45</v>
      </c>
      <c r="E117" s="0" t="s">
        <v>46</v>
      </c>
      <c r="F117" s="0" t="s">
        <v>47</v>
      </c>
      <c r="G117" s="0" t="s">
        <v>97</v>
      </c>
      <c r="H117" s="0" t="s">
        <v>98</v>
      </c>
      <c r="I117" s="0" t="s">
        <v>80</v>
      </c>
      <c r="J117" s="0" t="s">
        <v>81</v>
      </c>
      <c r="K117" s="0" t="s">
        <v>58</v>
      </c>
      <c r="L117" s="0" t="s">
        <v>59</v>
      </c>
      <c r="M117" s="0" t="s">
        <v>50</v>
      </c>
      <c r="N117" s="0" t="n">
        <v>4911</v>
      </c>
      <c r="O117" s="0" t="n">
        <v>5</v>
      </c>
      <c r="P117" s="0" t="n">
        <v>7</v>
      </c>
      <c r="Q117" s="5" t="str">
        <f aca="false">IF($D117&lt;&gt;"","["&amp;$E117&amp;"]"&amp;"|"&amp;SUBSTITUTE(SUBSTITUTE($I117,CHAR(61),""),CHAR(34),"")&amp;"|"&amp;$K117&amp;"|"&amp;$G117&amp;"|"&amp;IF($G117="TX_CURR_SUBNAT.R","CY2020Q4",$M117),"")</f>
        <v>[tKOXiaNhAyJ]|45-49|Male|PLHIV.T_1|CY2021Q3</v>
      </c>
    </row>
    <row r="118" customFormat="false" ht="15" hidden="false" customHeight="false" outlineLevel="0" collapsed="false">
      <c r="D118" s="0" t="s">
        <v>45</v>
      </c>
      <c r="E118" s="0" t="s">
        <v>46</v>
      </c>
      <c r="F118" s="0" t="s">
        <v>47</v>
      </c>
      <c r="G118" s="0" t="s">
        <v>97</v>
      </c>
      <c r="H118" s="0" t="s">
        <v>98</v>
      </c>
      <c r="I118" s="0" t="s">
        <v>83</v>
      </c>
      <c r="J118" s="0" t="s">
        <v>84</v>
      </c>
      <c r="K118" s="0" t="s">
        <v>56</v>
      </c>
      <c r="L118" s="0" t="s">
        <v>57</v>
      </c>
      <c r="M118" s="0" t="s">
        <v>50</v>
      </c>
      <c r="N118" s="0" t="n">
        <v>479</v>
      </c>
      <c r="O118" s="0" t="n">
        <v>28</v>
      </c>
      <c r="P118" s="0" t="n">
        <v>23</v>
      </c>
      <c r="Q118" s="5" t="str">
        <f aca="false">IF($D118&lt;&gt;"","["&amp;$E118&amp;"]"&amp;"|"&amp;SUBSTITUTE(SUBSTITUTE($I118,CHAR(61),""),CHAR(34),"")&amp;"|"&amp;$K118&amp;"|"&amp;$G118&amp;"|"&amp;IF($G118="TX_CURR_SUBNAT.R","CY2020Q4",$M118),"")</f>
        <v>[tKOXiaNhAyJ]|05-09|Female|PLHIV.T_1|CY2021Q3</v>
      </c>
    </row>
    <row r="119" customFormat="false" ht="15" hidden="false" customHeight="false" outlineLevel="0" collapsed="false">
      <c r="D119" s="0" t="s">
        <v>45</v>
      </c>
      <c r="E119" s="0" t="s">
        <v>46</v>
      </c>
      <c r="F119" s="0" t="s">
        <v>47</v>
      </c>
      <c r="G119" s="0" t="s">
        <v>97</v>
      </c>
      <c r="H119" s="0" t="s">
        <v>98</v>
      </c>
      <c r="I119" s="0" t="s">
        <v>83</v>
      </c>
      <c r="J119" s="0" t="s">
        <v>84</v>
      </c>
      <c r="K119" s="0" t="s">
        <v>58</v>
      </c>
      <c r="L119" s="0" t="s">
        <v>59</v>
      </c>
      <c r="M119" s="0" t="s">
        <v>50</v>
      </c>
      <c r="N119" s="0" t="n">
        <v>464</v>
      </c>
      <c r="O119" s="0" t="n">
        <v>4</v>
      </c>
      <c r="P119" s="0" t="n">
        <v>25</v>
      </c>
      <c r="Q119" s="5" t="str">
        <f aca="false">IF($D119&lt;&gt;"","["&amp;$E119&amp;"]"&amp;"|"&amp;SUBSTITUTE(SUBSTITUTE($I119,CHAR(61),""),CHAR(34),"")&amp;"|"&amp;$K119&amp;"|"&amp;$G119&amp;"|"&amp;IF($G119="TX_CURR_SUBNAT.R","CY2020Q4",$M119),"")</f>
        <v>[tKOXiaNhAyJ]|05-09|Male|PLHIV.T_1|CY2021Q3</v>
      </c>
    </row>
    <row r="120" customFormat="false" ht="15" hidden="false" customHeight="false" outlineLevel="0" collapsed="false">
      <c r="D120" s="0" t="s">
        <v>45</v>
      </c>
      <c r="E120" s="0" t="s">
        <v>46</v>
      </c>
      <c r="F120" s="0" t="s">
        <v>47</v>
      </c>
      <c r="G120" s="0" t="s">
        <v>97</v>
      </c>
      <c r="H120" s="0" t="s">
        <v>98</v>
      </c>
      <c r="I120" s="53" t="s">
        <v>86</v>
      </c>
      <c r="J120" s="0" t="s">
        <v>87</v>
      </c>
      <c r="K120" s="0" t="s">
        <v>56</v>
      </c>
      <c r="L120" s="0" t="s">
        <v>57</v>
      </c>
      <c r="M120" s="0" t="s">
        <v>50</v>
      </c>
      <c r="N120" s="0" t="n">
        <v>12963</v>
      </c>
      <c r="O120" s="0" t="n">
        <v>30</v>
      </c>
      <c r="P120" s="0" t="n">
        <v>5</v>
      </c>
      <c r="Q120" s="5" t="str">
        <f aca="false">IF($D120&lt;&gt;"","["&amp;$E120&amp;"]"&amp;"|"&amp;SUBSTITUTE(SUBSTITUTE($I120,CHAR(61),""),CHAR(34),"")&amp;"|"&amp;$K120&amp;"|"&amp;$G120&amp;"|"&amp;IF($G120="TX_CURR_SUBNAT.R","CY2020Q4",$M120),"")</f>
        <v>[tKOXiaNhAyJ]|50+|Female|PLHIV.T_1|CY2021Q3</v>
      </c>
    </row>
    <row r="121" customFormat="false" ht="15" hidden="false" customHeight="false" outlineLevel="0" collapsed="false">
      <c r="D121" s="0" t="s">
        <v>45</v>
      </c>
      <c r="E121" s="0" t="s">
        <v>46</v>
      </c>
      <c r="F121" s="0" t="s">
        <v>47</v>
      </c>
      <c r="G121" s="0" t="s">
        <v>97</v>
      </c>
      <c r="H121" s="0" t="s">
        <v>98</v>
      </c>
      <c r="I121" s="53" t="s">
        <v>86</v>
      </c>
      <c r="J121" s="0" t="s">
        <v>87</v>
      </c>
      <c r="K121" s="0" t="s">
        <v>58</v>
      </c>
      <c r="L121" s="0" t="s">
        <v>59</v>
      </c>
      <c r="M121" s="0" t="s">
        <v>50</v>
      </c>
      <c r="N121" s="0" t="n">
        <v>10015</v>
      </c>
      <c r="O121" s="0" t="n">
        <v>14</v>
      </c>
      <c r="P121" s="0" t="n">
        <v>10</v>
      </c>
      <c r="Q121" s="5" t="str">
        <f aca="false">IF($D121&lt;&gt;"","["&amp;$E121&amp;"]"&amp;"|"&amp;SUBSTITUTE(SUBSTITUTE($I121,CHAR(61),""),CHAR(34),"")&amp;"|"&amp;$K121&amp;"|"&amp;$G121&amp;"|"&amp;IF($G121="TX_CURR_SUBNAT.R","CY2020Q4",$M121),"")</f>
        <v>[tKOXiaNhAyJ]|50+|Male|PLHIV.T_1|CY2021Q3</v>
      </c>
    </row>
    <row r="122" customFormat="false" ht="15" hidden="false" customHeight="false" outlineLevel="0" collapsed="false">
      <c r="D122" s="0" t="s">
        <v>45</v>
      </c>
      <c r="E122" s="0" t="s">
        <v>46</v>
      </c>
      <c r="F122" s="0" t="s">
        <v>47</v>
      </c>
      <c r="G122" s="0" t="s">
        <v>97</v>
      </c>
      <c r="H122" s="0" t="s">
        <v>98</v>
      </c>
      <c r="I122" s="0" t="s">
        <v>89</v>
      </c>
      <c r="J122" s="0" t="s">
        <v>90</v>
      </c>
      <c r="K122" s="0" t="s">
        <v>56</v>
      </c>
      <c r="L122" s="0" t="s">
        <v>57</v>
      </c>
      <c r="M122" s="0" t="s">
        <v>50</v>
      </c>
      <c r="N122" s="0" t="n">
        <v>40</v>
      </c>
      <c r="O122" s="0" t="n">
        <v>37</v>
      </c>
      <c r="P122" s="0" t="n">
        <v>1</v>
      </c>
      <c r="Q122" s="5" t="str">
        <f aca="false">IF($D122&lt;&gt;"","["&amp;$E122&amp;"]"&amp;"|"&amp;SUBSTITUTE(SUBSTITUTE($I122,CHAR(61),""),CHAR(34),"")&amp;"|"&amp;$K122&amp;"|"&amp;$G122&amp;"|"&amp;IF($G122="TX_CURR_SUBNAT.R","CY2020Q4",$M122),"")</f>
        <v>[tKOXiaNhAyJ]|&lt;01|Female|PLHIV.T_1|CY2021Q3</v>
      </c>
    </row>
    <row r="123" customFormat="false" ht="15" hidden="false" customHeight="false" outlineLevel="0" collapsed="false">
      <c r="D123" s="0" t="s">
        <v>45</v>
      </c>
      <c r="E123" s="0" t="s">
        <v>46</v>
      </c>
      <c r="F123" s="0" t="s">
        <v>47</v>
      </c>
      <c r="G123" s="0" t="s">
        <v>97</v>
      </c>
      <c r="H123" s="0" t="s">
        <v>98</v>
      </c>
      <c r="I123" s="0" t="s">
        <v>89</v>
      </c>
      <c r="J123" s="0" t="s">
        <v>90</v>
      </c>
      <c r="K123" s="0" t="s">
        <v>58</v>
      </c>
      <c r="L123" s="0" t="s">
        <v>59</v>
      </c>
      <c r="M123" s="0" t="s">
        <v>50</v>
      </c>
      <c r="N123" s="0" t="n">
        <v>41</v>
      </c>
      <c r="O123" s="0" t="n">
        <v>46</v>
      </c>
      <c r="P123" s="0" t="n">
        <v>44</v>
      </c>
      <c r="Q123" s="5" t="str">
        <f aca="false">IF($D123&lt;&gt;"","["&amp;$E123&amp;"]"&amp;"|"&amp;SUBSTITUTE(SUBSTITUTE($I123,CHAR(61),""),CHAR(34),"")&amp;"|"&amp;$K123&amp;"|"&amp;$G123&amp;"|"&amp;IF($G123="TX_CURR_SUBNAT.R","CY2020Q4",$M123),"")</f>
        <v>[tKOXiaNhAyJ]|&lt;01|Male|PLHIV.T_1|CY2021Q3</v>
      </c>
    </row>
    <row r="124" customFormat="false" ht="15" hidden="false" customHeight="false" outlineLevel="0" collapsed="false">
      <c r="D124" s="0" t="s">
        <v>45</v>
      </c>
      <c r="E124" s="0" t="s">
        <v>46</v>
      </c>
      <c r="F124" s="0" t="s">
        <v>47</v>
      </c>
      <c r="G124" s="0" t="s">
        <v>99</v>
      </c>
      <c r="H124" s="0" t="s">
        <v>100</v>
      </c>
      <c r="I124" s="0" t="s">
        <v>54</v>
      </c>
      <c r="J124" s="0" t="s">
        <v>55</v>
      </c>
      <c r="K124" s="0" t="s">
        <v>56</v>
      </c>
      <c r="L124" s="0" t="s">
        <v>57</v>
      </c>
      <c r="M124" s="0" t="s">
        <v>50</v>
      </c>
      <c r="N124" s="0" t="n">
        <v>102</v>
      </c>
      <c r="O124" s="0" t="n">
        <v>39</v>
      </c>
      <c r="P124" s="0" t="n">
        <v>37</v>
      </c>
      <c r="Q124" s="5" t="str">
        <f aca="false">IF($D124&lt;&gt;"","["&amp;$E124&amp;"]"&amp;"|"&amp;SUBSTITUTE(SUBSTITUTE($I124,CHAR(61),""),CHAR(34),"")&amp;"|"&amp;$K124&amp;"|"&amp;$G124&amp;"|"&amp;IF($G124="TX_CURR_SUBNAT.R","CY2020Q4",$M124),"")</f>
        <v>[tKOXiaNhAyJ]|01-04|Female|TX_CURR_SUBNAT.T_1|CY2021Q3</v>
      </c>
    </row>
    <row r="125" customFormat="false" ht="15" hidden="false" customHeight="false" outlineLevel="0" collapsed="false">
      <c r="D125" s="0" t="s">
        <v>45</v>
      </c>
      <c r="E125" s="0" t="s">
        <v>46</v>
      </c>
      <c r="F125" s="0" t="s">
        <v>47</v>
      </c>
      <c r="G125" s="0" t="s">
        <v>99</v>
      </c>
      <c r="H125" s="0" t="s">
        <v>100</v>
      </c>
      <c r="I125" s="0" t="s">
        <v>54</v>
      </c>
      <c r="J125" s="0" t="s">
        <v>55</v>
      </c>
      <c r="K125" s="0" t="s">
        <v>58</v>
      </c>
      <c r="L125" s="0" t="s">
        <v>59</v>
      </c>
      <c r="M125" s="0" t="s">
        <v>50</v>
      </c>
      <c r="N125" s="0" t="n">
        <v>104</v>
      </c>
      <c r="O125" s="0" t="n">
        <v>59</v>
      </c>
      <c r="P125" s="0" t="n">
        <v>30</v>
      </c>
      <c r="Q125" s="5" t="str">
        <f aca="false">IF($D125&lt;&gt;"","["&amp;$E125&amp;"]"&amp;"|"&amp;SUBSTITUTE(SUBSTITUTE($I125,CHAR(61),""),CHAR(34),"")&amp;"|"&amp;$K125&amp;"|"&amp;$G125&amp;"|"&amp;IF($G125="TX_CURR_SUBNAT.R","CY2020Q4",$M125),"")</f>
        <v>[tKOXiaNhAyJ]|01-04|Male|TX_CURR_SUBNAT.T_1|CY2021Q3</v>
      </c>
    </row>
    <row r="126" customFormat="false" ht="15" hidden="false" customHeight="false" outlineLevel="0" collapsed="false">
      <c r="D126" s="0" t="s">
        <v>45</v>
      </c>
      <c r="E126" s="0" t="s">
        <v>46</v>
      </c>
      <c r="F126" s="0" t="s">
        <v>47</v>
      </c>
      <c r="G126" s="0" t="s">
        <v>99</v>
      </c>
      <c r="H126" s="0" t="s">
        <v>100</v>
      </c>
      <c r="I126" s="0" t="s">
        <v>61</v>
      </c>
      <c r="J126" s="0" t="s">
        <v>62</v>
      </c>
      <c r="K126" s="0" t="s">
        <v>56</v>
      </c>
      <c r="L126" s="0" t="s">
        <v>57</v>
      </c>
      <c r="M126" s="0" t="s">
        <v>50</v>
      </c>
      <c r="N126" s="0" t="n">
        <v>527</v>
      </c>
      <c r="O126" s="0" t="n">
        <v>27</v>
      </c>
      <c r="P126" s="0" t="n">
        <v>46</v>
      </c>
      <c r="Q126" s="5" t="str">
        <f aca="false">IF($D126&lt;&gt;"","["&amp;$E126&amp;"]"&amp;"|"&amp;SUBSTITUTE(SUBSTITUTE($I126,CHAR(61),""),CHAR(34),"")&amp;"|"&amp;$K126&amp;"|"&amp;$G126&amp;"|"&amp;IF($G126="TX_CURR_SUBNAT.R","CY2020Q4",$M126),"")</f>
        <v>[tKOXiaNhAyJ]|10-14|Female|TX_CURR_SUBNAT.T_1|CY2021Q3</v>
      </c>
    </row>
    <row r="127" customFormat="false" ht="15" hidden="false" customHeight="false" outlineLevel="0" collapsed="false">
      <c r="D127" s="0" t="s">
        <v>45</v>
      </c>
      <c r="E127" s="0" t="s">
        <v>46</v>
      </c>
      <c r="F127" s="0" t="s">
        <v>47</v>
      </c>
      <c r="G127" s="0" t="s">
        <v>99</v>
      </c>
      <c r="H127" s="0" t="s">
        <v>100</v>
      </c>
      <c r="I127" s="0" t="s">
        <v>61</v>
      </c>
      <c r="J127" s="0" t="s">
        <v>62</v>
      </c>
      <c r="K127" s="0" t="s">
        <v>58</v>
      </c>
      <c r="L127" s="0" t="s">
        <v>59</v>
      </c>
      <c r="M127" s="0" t="s">
        <v>50</v>
      </c>
      <c r="N127" s="0" t="n">
        <v>534</v>
      </c>
      <c r="O127" s="0" t="n">
        <v>40</v>
      </c>
      <c r="P127" s="0" t="n">
        <v>26</v>
      </c>
      <c r="Q127" s="5" t="str">
        <f aca="false">IF($D127&lt;&gt;"","["&amp;$E127&amp;"]"&amp;"|"&amp;SUBSTITUTE(SUBSTITUTE($I127,CHAR(61),""),CHAR(34),"")&amp;"|"&amp;$K127&amp;"|"&amp;$G127&amp;"|"&amp;IF($G127="TX_CURR_SUBNAT.R","CY2020Q4",$M127),"")</f>
        <v>[tKOXiaNhAyJ]|10-14|Male|TX_CURR_SUBNAT.T_1|CY2021Q3</v>
      </c>
    </row>
    <row r="128" customFormat="false" ht="15" hidden="false" customHeight="false" outlineLevel="0" collapsed="false">
      <c r="D128" s="0" t="s">
        <v>45</v>
      </c>
      <c r="E128" s="0" t="s">
        <v>46</v>
      </c>
      <c r="F128" s="0" t="s">
        <v>47</v>
      </c>
      <c r="G128" s="0" t="s">
        <v>99</v>
      </c>
      <c r="H128" s="0" t="s">
        <v>100</v>
      </c>
      <c r="I128" s="0" t="s">
        <v>63</v>
      </c>
      <c r="J128" s="0" t="s">
        <v>64</v>
      </c>
      <c r="K128" s="0" t="s">
        <v>56</v>
      </c>
      <c r="L128" s="0" t="s">
        <v>57</v>
      </c>
      <c r="M128" s="0" t="s">
        <v>50</v>
      </c>
      <c r="N128" s="0" t="n">
        <v>829</v>
      </c>
      <c r="O128" s="0" t="n">
        <v>47</v>
      </c>
      <c r="P128" s="0" t="n">
        <v>46</v>
      </c>
      <c r="Q128" s="5" t="str">
        <f aca="false">IF($D128&lt;&gt;"","["&amp;$E128&amp;"]"&amp;"|"&amp;SUBSTITUTE(SUBSTITUTE($I128,CHAR(61),""),CHAR(34),"")&amp;"|"&amp;$K128&amp;"|"&amp;$G128&amp;"|"&amp;IF($G128="TX_CURR_SUBNAT.R","CY2020Q4",$M128),"")</f>
        <v>[tKOXiaNhAyJ]|15-19|Female|TX_CURR_SUBNAT.T_1|CY2021Q3</v>
      </c>
    </row>
    <row r="129" customFormat="false" ht="15" hidden="false" customHeight="false" outlineLevel="0" collapsed="false">
      <c r="D129" s="0" t="s">
        <v>45</v>
      </c>
      <c r="E129" s="0" t="s">
        <v>46</v>
      </c>
      <c r="F129" s="0" t="s">
        <v>47</v>
      </c>
      <c r="G129" s="0" t="s">
        <v>99</v>
      </c>
      <c r="H129" s="0" t="s">
        <v>100</v>
      </c>
      <c r="I129" s="0" t="s">
        <v>63</v>
      </c>
      <c r="J129" s="0" t="s">
        <v>64</v>
      </c>
      <c r="K129" s="0" t="s">
        <v>58</v>
      </c>
      <c r="L129" s="0" t="s">
        <v>59</v>
      </c>
      <c r="M129" s="0" t="s">
        <v>50</v>
      </c>
      <c r="N129" s="0" t="n">
        <v>594</v>
      </c>
      <c r="O129" s="0" t="n">
        <v>1</v>
      </c>
      <c r="P129" s="0" t="n">
        <v>48</v>
      </c>
      <c r="Q129" s="5" t="str">
        <f aca="false">IF($D129&lt;&gt;"","["&amp;$E129&amp;"]"&amp;"|"&amp;SUBSTITUTE(SUBSTITUTE($I129,CHAR(61),""),CHAR(34),"")&amp;"|"&amp;$K129&amp;"|"&amp;$G129&amp;"|"&amp;IF($G129="TX_CURR_SUBNAT.R","CY2020Q4",$M129),"")</f>
        <v>[tKOXiaNhAyJ]|15-19|Male|TX_CURR_SUBNAT.T_1|CY2021Q3</v>
      </c>
    </row>
    <row r="130" customFormat="false" ht="15" hidden="false" customHeight="false" outlineLevel="0" collapsed="false">
      <c r="D130" s="0" t="s">
        <v>45</v>
      </c>
      <c r="E130" s="0" t="s">
        <v>46</v>
      </c>
      <c r="F130" s="0" t="s">
        <v>47</v>
      </c>
      <c r="G130" s="0" t="s">
        <v>99</v>
      </c>
      <c r="H130" s="0" t="s">
        <v>100</v>
      </c>
      <c r="I130" s="0" t="s">
        <v>66</v>
      </c>
      <c r="J130" s="0" t="s">
        <v>67</v>
      </c>
      <c r="K130" s="0" t="s">
        <v>56</v>
      </c>
      <c r="L130" s="0" t="s">
        <v>57</v>
      </c>
      <c r="M130" s="0" t="s">
        <v>50</v>
      </c>
      <c r="N130" s="0" t="n">
        <v>2330</v>
      </c>
      <c r="O130" s="0" t="n">
        <v>37</v>
      </c>
      <c r="P130" s="0" t="n">
        <v>30</v>
      </c>
      <c r="Q130" s="5" t="str">
        <f aca="false">IF($D130&lt;&gt;"","["&amp;$E130&amp;"]"&amp;"|"&amp;SUBSTITUTE(SUBSTITUTE($I130,CHAR(61),""),CHAR(34),"")&amp;"|"&amp;$K130&amp;"|"&amp;$G130&amp;"|"&amp;IF($G130="TX_CURR_SUBNAT.R","CY2020Q4",$M130),"")</f>
        <v>[tKOXiaNhAyJ]|20-24|Female|TX_CURR_SUBNAT.T_1|CY2021Q3</v>
      </c>
    </row>
    <row r="131" customFormat="false" ht="15" hidden="false" customHeight="false" outlineLevel="0" collapsed="false">
      <c r="D131" s="0" t="s">
        <v>45</v>
      </c>
      <c r="E131" s="0" t="s">
        <v>46</v>
      </c>
      <c r="F131" s="0" t="s">
        <v>47</v>
      </c>
      <c r="G131" s="0" t="s">
        <v>99</v>
      </c>
      <c r="H131" s="0" t="s">
        <v>100</v>
      </c>
      <c r="I131" s="0" t="s">
        <v>66</v>
      </c>
      <c r="J131" s="0" t="s">
        <v>67</v>
      </c>
      <c r="K131" s="0" t="s">
        <v>58</v>
      </c>
      <c r="L131" s="0" t="s">
        <v>59</v>
      </c>
      <c r="M131" s="0" t="s">
        <v>50</v>
      </c>
      <c r="N131" s="0" t="n">
        <v>765</v>
      </c>
      <c r="O131" s="0" t="n">
        <v>37</v>
      </c>
      <c r="P131" s="0" t="n">
        <v>46</v>
      </c>
      <c r="Q131" s="5" t="str">
        <f aca="false">IF($D131&lt;&gt;"","["&amp;$E131&amp;"]"&amp;"|"&amp;SUBSTITUTE(SUBSTITUTE($I131,CHAR(61),""),CHAR(34),"")&amp;"|"&amp;$K131&amp;"|"&amp;$G131&amp;"|"&amp;IF($G131="TX_CURR_SUBNAT.R","CY2020Q4",$M131),"")</f>
        <v>[tKOXiaNhAyJ]|20-24|Male|TX_CURR_SUBNAT.T_1|CY2021Q3</v>
      </c>
    </row>
    <row r="132" customFormat="false" ht="15" hidden="false" customHeight="false" outlineLevel="0" collapsed="false">
      <c r="D132" s="0" t="s">
        <v>45</v>
      </c>
      <c r="E132" s="0" t="s">
        <v>46</v>
      </c>
      <c r="F132" s="0" t="s">
        <v>47</v>
      </c>
      <c r="G132" s="0" t="s">
        <v>99</v>
      </c>
      <c r="H132" s="0" t="s">
        <v>100</v>
      </c>
      <c r="I132" s="0" t="s">
        <v>69</v>
      </c>
      <c r="J132" s="0" t="s">
        <v>70</v>
      </c>
      <c r="K132" s="0" t="s">
        <v>56</v>
      </c>
      <c r="L132" s="0" t="s">
        <v>57</v>
      </c>
      <c r="M132" s="0" t="s">
        <v>50</v>
      </c>
      <c r="N132" s="0" t="n">
        <v>4964</v>
      </c>
      <c r="O132" s="0" t="n">
        <v>40</v>
      </c>
      <c r="P132" s="0" t="n">
        <v>41</v>
      </c>
      <c r="Q132" s="5" t="str">
        <f aca="false">IF($D132&lt;&gt;"","["&amp;$E132&amp;"]"&amp;"|"&amp;SUBSTITUTE(SUBSTITUTE($I132,CHAR(61),""),CHAR(34),"")&amp;"|"&amp;$K132&amp;"|"&amp;$G132&amp;"|"&amp;IF($G132="TX_CURR_SUBNAT.R","CY2020Q4",$M132),"")</f>
        <v>[tKOXiaNhAyJ]|25-29|Female|TX_CURR_SUBNAT.T_1|CY2021Q3</v>
      </c>
    </row>
    <row r="133" customFormat="false" ht="15" hidden="false" customHeight="false" outlineLevel="0" collapsed="false">
      <c r="D133" s="0" t="s">
        <v>45</v>
      </c>
      <c r="E133" s="0" t="s">
        <v>46</v>
      </c>
      <c r="F133" s="0" t="s">
        <v>47</v>
      </c>
      <c r="G133" s="0" t="s">
        <v>99</v>
      </c>
      <c r="H133" s="0" t="s">
        <v>100</v>
      </c>
      <c r="I133" s="0" t="s">
        <v>69</v>
      </c>
      <c r="J133" s="0" t="s">
        <v>70</v>
      </c>
      <c r="K133" s="0" t="s">
        <v>58</v>
      </c>
      <c r="L133" s="0" t="s">
        <v>59</v>
      </c>
      <c r="M133" s="0" t="s">
        <v>50</v>
      </c>
      <c r="N133" s="0" t="n">
        <v>1690</v>
      </c>
      <c r="O133" s="0" t="n">
        <v>46</v>
      </c>
      <c r="P133" s="0" t="n">
        <v>32</v>
      </c>
      <c r="Q133" s="5" t="str">
        <f aca="false">IF($D133&lt;&gt;"","["&amp;$E133&amp;"]"&amp;"|"&amp;SUBSTITUTE(SUBSTITUTE($I133,CHAR(61),""),CHAR(34),"")&amp;"|"&amp;$K133&amp;"|"&amp;$G133&amp;"|"&amp;IF($G133="TX_CURR_SUBNAT.R","CY2020Q4",$M133),"")</f>
        <v>[tKOXiaNhAyJ]|25-29|Male|TX_CURR_SUBNAT.T_1|CY2021Q3</v>
      </c>
    </row>
    <row r="134" customFormat="false" ht="15" hidden="false" customHeight="false" outlineLevel="0" collapsed="false">
      <c r="D134" s="0" t="s">
        <v>45</v>
      </c>
      <c r="E134" s="0" t="s">
        <v>46</v>
      </c>
      <c r="F134" s="0" t="s">
        <v>47</v>
      </c>
      <c r="G134" s="0" t="s">
        <v>99</v>
      </c>
      <c r="H134" s="0" t="s">
        <v>100</v>
      </c>
      <c r="I134" s="0" t="s">
        <v>72</v>
      </c>
      <c r="J134" s="0" t="s">
        <v>73</v>
      </c>
      <c r="K134" s="0" t="s">
        <v>56</v>
      </c>
      <c r="L134" s="0" t="s">
        <v>57</v>
      </c>
      <c r="M134" s="0" t="s">
        <v>50</v>
      </c>
      <c r="N134" s="0" t="n">
        <v>6856</v>
      </c>
      <c r="O134" s="0" t="n">
        <v>4</v>
      </c>
      <c r="P134" s="0" t="n">
        <v>39</v>
      </c>
      <c r="Q134" s="5" t="str">
        <f aca="false">IF($D134&lt;&gt;"","["&amp;$E134&amp;"]"&amp;"|"&amp;SUBSTITUTE(SUBSTITUTE($I134,CHAR(61),""),CHAR(34),"")&amp;"|"&amp;$K134&amp;"|"&amp;$G134&amp;"|"&amp;IF($G134="TX_CURR_SUBNAT.R","CY2020Q4",$M134),"")</f>
        <v>[tKOXiaNhAyJ]|30-34|Female|TX_CURR_SUBNAT.T_1|CY2021Q3</v>
      </c>
    </row>
    <row r="135" customFormat="false" ht="15" hidden="false" customHeight="false" outlineLevel="0" collapsed="false">
      <c r="D135" s="0" t="s">
        <v>45</v>
      </c>
      <c r="E135" s="0" t="s">
        <v>46</v>
      </c>
      <c r="F135" s="0" t="s">
        <v>47</v>
      </c>
      <c r="G135" s="0" t="s">
        <v>99</v>
      </c>
      <c r="H135" s="0" t="s">
        <v>100</v>
      </c>
      <c r="I135" s="0" t="s">
        <v>72</v>
      </c>
      <c r="J135" s="0" t="s">
        <v>73</v>
      </c>
      <c r="K135" s="0" t="s">
        <v>58</v>
      </c>
      <c r="L135" s="0" t="s">
        <v>59</v>
      </c>
      <c r="M135" s="0" t="s">
        <v>50</v>
      </c>
      <c r="N135" s="0" t="n">
        <v>3149</v>
      </c>
      <c r="O135" s="0" t="n">
        <v>1</v>
      </c>
      <c r="P135" s="0" t="n">
        <v>37</v>
      </c>
      <c r="Q135" s="5" t="str">
        <f aca="false">IF($D135&lt;&gt;"","["&amp;$E135&amp;"]"&amp;"|"&amp;SUBSTITUTE(SUBSTITUTE($I135,CHAR(61),""),CHAR(34),"")&amp;"|"&amp;$K135&amp;"|"&amp;$G135&amp;"|"&amp;IF($G135="TX_CURR_SUBNAT.R","CY2020Q4",$M135),"")</f>
        <v>[tKOXiaNhAyJ]|30-34|Male|TX_CURR_SUBNAT.T_1|CY2021Q3</v>
      </c>
    </row>
    <row r="136" customFormat="false" ht="15" hidden="false" customHeight="false" outlineLevel="0" collapsed="false">
      <c r="D136" s="0" t="s">
        <v>45</v>
      </c>
      <c r="E136" s="0" t="s">
        <v>46</v>
      </c>
      <c r="F136" s="0" t="s">
        <v>47</v>
      </c>
      <c r="G136" s="0" t="s">
        <v>99</v>
      </c>
      <c r="H136" s="0" t="s">
        <v>100</v>
      </c>
      <c r="I136" s="0" t="s">
        <v>75</v>
      </c>
      <c r="J136" s="0" t="s">
        <v>76</v>
      </c>
      <c r="K136" s="0" t="s">
        <v>56</v>
      </c>
      <c r="L136" s="0" t="s">
        <v>57</v>
      </c>
      <c r="M136" s="0" t="s">
        <v>50</v>
      </c>
      <c r="N136" s="0" t="n">
        <v>7850</v>
      </c>
      <c r="O136" s="0" t="n">
        <v>59</v>
      </c>
      <c r="P136" s="0" t="n">
        <v>48</v>
      </c>
      <c r="Q136" s="5" t="str">
        <f aca="false">IF($D136&lt;&gt;"","["&amp;$E136&amp;"]"&amp;"|"&amp;SUBSTITUTE(SUBSTITUTE($I136,CHAR(61),""),CHAR(34),"")&amp;"|"&amp;$K136&amp;"|"&amp;$G136&amp;"|"&amp;IF($G136="TX_CURR_SUBNAT.R","CY2020Q4",$M136),"")</f>
        <v>[tKOXiaNhAyJ]|35-39|Female|TX_CURR_SUBNAT.T_1|CY2021Q3</v>
      </c>
    </row>
    <row r="137" customFormat="false" ht="15" hidden="false" customHeight="false" outlineLevel="0" collapsed="false">
      <c r="D137" s="0" t="s">
        <v>45</v>
      </c>
      <c r="E137" s="0" t="s">
        <v>46</v>
      </c>
      <c r="F137" s="0" t="s">
        <v>47</v>
      </c>
      <c r="G137" s="0" t="s">
        <v>99</v>
      </c>
      <c r="H137" s="0" t="s">
        <v>100</v>
      </c>
      <c r="I137" s="0" t="s">
        <v>75</v>
      </c>
      <c r="J137" s="0" t="s">
        <v>76</v>
      </c>
      <c r="K137" s="0" t="s">
        <v>58</v>
      </c>
      <c r="L137" s="0" t="s">
        <v>59</v>
      </c>
      <c r="M137" s="0" t="s">
        <v>50</v>
      </c>
      <c r="N137" s="0" t="n">
        <v>4634</v>
      </c>
      <c r="O137" s="0" t="n">
        <v>50</v>
      </c>
      <c r="P137" s="0" t="n">
        <v>1</v>
      </c>
      <c r="Q137" s="5" t="str">
        <f aca="false">IF($D137&lt;&gt;"","["&amp;$E137&amp;"]"&amp;"|"&amp;SUBSTITUTE(SUBSTITUTE($I137,CHAR(61),""),CHAR(34),"")&amp;"|"&amp;$K137&amp;"|"&amp;$G137&amp;"|"&amp;IF($G137="TX_CURR_SUBNAT.R","CY2020Q4",$M137),"")</f>
        <v>[tKOXiaNhAyJ]|35-39|Male|TX_CURR_SUBNAT.T_1|CY2021Q3</v>
      </c>
    </row>
    <row r="138" customFormat="false" ht="15" hidden="false" customHeight="false" outlineLevel="0" collapsed="false">
      <c r="D138" s="0" t="s">
        <v>45</v>
      </c>
      <c r="E138" s="0" t="s">
        <v>46</v>
      </c>
      <c r="F138" s="0" t="s">
        <v>47</v>
      </c>
      <c r="G138" s="0" t="s">
        <v>99</v>
      </c>
      <c r="H138" s="0" t="s">
        <v>100</v>
      </c>
      <c r="I138" s="0" t="s">
        <v>77</v>
      </c>
      <c r="J138" s="0" t="s">
        <v>78</v>
      </c>
      <c r="K138" s="0" t="s">
        <v>56</v>
      </c>
      <c r="L138" s="0" t="s">
        <v>57</v>
      </c>
      <c r="M138" s="0" t="s">
        <v>50</v>
      </c>
      <c r="N138" s="0" t="n">
        <v>7397</v>
      </c>
      <c r="O138" s="0" t="n">
        <v>11</v>
      </c>
      <c r="P138" s="0" t="n">
        <v>1</v>
      </c>
      <c r="Q138" s="5" t="str">
        <f aca="false">IF($D138&lt;&gt;"","["&amp;$E138&amp;"]"&amp;"|"&amp;SUBSTITUTE(SUBSTITUTE($I138,CHAR(61),""),CHAR(34),"")&amp;"|"&amp;$K138&amp;"|"&amp;$G138&amp;"|"&amp;IF($G138="TX_CURR_SUBNAT.R","CY2020Q4",$M138),"")</f>
        <v>[tKOXiaNhAyJ]|40-44|Female|TX_CURR_SUBNAT.T_1|CY2021Q3</v>
      </c>
    </row>
    <row r="139" customFormat="false" ht="15" hidden="false" customHeight="false" outlineLevel="0" collapsed="false">
      <c r="D139" s="0" t="s">
        <v>45</v>
      </c>
      <c r="E139" s="0" t="s">
        <v>46</v>
      </c>
      <c r="F139" s="0" t="s">
        <v>47</v>
      </c>
      <c r="G139" s="0" t="s">
        <v>99</v>
      </c>
      <c r="H139" s="0" t="s">
        <v>100</v>
      </c>
      <c r="I139" s="0" t="s">
        <v>77</v>
      </c>
      <c r="J139" s="0" t="s">
        <v>78</v>
      </c>
      <c r="K139" s="0" t="s">
        <v>58</v>
      </c>
      <c r="L139" s="0" t="s">
        <v>59</v>
      </c>
      <c r="M139" s="0" t="s">
        <v>50</v>
      </c>
      <c r="N139" s="0" t="n">
        <v>4903</v>
      </c>
      <c r="O139" s="0" t="n">
        <v>38</v>
      </c>
      <c r="P139" s="0" t="n">
        <v>9</v>
      </c>
      <c r="Q139" s="5" t="str">
        <f aca="false">IF($D139&lt;&gt;"","["&amp;$E139&amp;"]"&amp;"|"&amp;SUBSTITUTE(SUBSTITUTE($I139,CHAR(61),""),CHAR(34),"")&amp;"|"&amp;$K139&amp;"|"&amp;$G139&amp;"|"&amp;IF($G139="TX_CURR_SUBNAT.R","CY2020Q4",$M139),"")</f>
        <v>[tKOXiaNhAyJ]|40-44|Male|TX_CURR_SUBNAT.T_1|CY2021Q3</v>
      </c>
    </row>
    <row r="140" customFormat="false" ht="15" hidden="false" customHeight="false" outlineLevel="0" collapsed="false">
      <c r="D140" s="0" t="s">
        <v>45</v>
      </c>
      <c r="E140" s="0" t="s">
        <v>46</v>
      </c>
      <c r="F140" s="0" t="s">
        <v>47</v>
      </c>
      <c r="G140" s="0" t="s">
        <v>99</v>
      </c>
      <c r="H140" s="0" t="s">
        <v>100</v>
      </c>
      <c r="I140" s="0" t="s">
        <v>80</v>
      </c>
      <c r="J140" s="0" t="s">
        <v>81</v>
      </c>
      <c r="K140" s="0" t="s">
        <v>56</v>
      </c>
      <c r="L140" s="0" t="s">
        <v>57</v>
      </c>
      <c r="M140" s="0" t="s">
        <v>50</v>
      </c>
      <c r="N140" s="0" t="n">
        <v>5215</v>
      </c>
      <c r="O140" s="0" t="n">
        <v>33</v>
      </c>
      <c r="P140" s="0" t="n">
        <v>31</v>
      </c>
      <c r="Q140" s="5" t="str">
        <f aca="false">IF($D140&lt;&gt;"","["&amp;$E140&amp;"]"&amp;"|"&amp;SUBSTITUTE(SUBSTITUTE($I140,CHAR(61),""),CHAR(34),"")&amp;"|"&amp;$K140&amp;"|"&amp;$G140&amp;"|"&amp;IF($G140="TX_CURR_SUBNAT.R","CY2020Q4",$M140),"")</f>
        <v>[tKOXiaNhAyJ]|45-49|Female|TX_CURR_SUBNAT.T_1|CY2021Q3</v>
      </c>
    </row>
    <row r="141" customFormat="false" ht="15" hidden="false" customHeight="false" outlineLevel="0" collapsed="false">
      <c r="D141" s="0" t="s">
        <v>45</v>
      </c>
      <c r="E141" s="0" t="s">
        <v>46</v>
      </c>
      <c r="F141" s="0" t="s">
        <v>47</v>
      </c>
      <c r="G141" s="0" t="s">
        <v>99</v>
      </c>
      <c r="H141" s="0" t="s">
        <v>100</v>
      </c>
      <c r="I141" s="0" t="s">
        <v>80</v>
      </c>
      <c r="J141" s="0" t="s">
        <v>81</v>
      </c>
      <c r="K141" s="0" t="s">
        <v>58</v>
      </c>
      <c r="L141" s="0" t="s">
        <v>59</v>
      </c>
      <c r="M141" s="0" t="s">
        <v>50</v>
      </c>
      <c r="N141" s="0" t="n">
        <v>3914</v>
      </c>
      <c r="O141" s="0" t="n">
        <v>20</v>
      </c>
      <c r="P141" s="0" t="n">
        <v>12</v>
      </c>
      <c r="Q141" s="5" t="str">
        <f aca="false">IF($D141&lt;&gt;"","["&amp;$E141&amp;"]"&amp;"|"&amp;SUBSTITUTE(SUBSTITUTE($I141,CHAR(61),""),CHAR(34),"")&amp;"|"&amp;$K141&amp;"|"&amp;$G141&amp;"|"&amp;IF($G141="TX_CURR_SUBNAT.R","CY2020Q4",$M141),"")</f>
        <v>[tKOXiaNhAyJ]|45-49|Male|TX_CURR_SUBNAT.T_1|CY2021Q3</v>
      </c>
    </row>
    <row r="142" customFormat="false" ht="15" hidden="false" customHeight="false" outlineLevel="0" collapsed="false">
      <c r="D142" s="0" t="s">
        <v>45</v>
      </c>
      <c r="E142" s="0" t="s">
        <v>46</v>
      </c>
      <c r="F142" s="0" t="s">
        <v>47</v>
      </c>
      <c r="G142" s="0" t="s">
        <v>99</v>
      </c>
      <c r="H142" s="0" t="s">
        <v>100</v>
      </c>
      <c r="I142" s="0" t="s">
        <v>83</v>
      </c>
      <c r="J142" s="0" t="s">
        <v>84</v>
      </c>
      <c r="K142" s="0" t="s">
        <v>56</v>
      </c>
      <c r="L142" s="0" t="s">
        <v>57</v>
      </c>
      <c r="M142" s="0" t="s">
        <v>50</v>
      </c>
      <c r="N142" s="0" t="n">
        <v>274</v>
      </c>
      <c r="O142" s="0" t="n">
        <v>57</v>
      </c>
      <c r="P142" s="0" t="n">
        <v>7</v>
      </c>
      <c r="Q142" s="5" t="str">
        <f aca="false">IF($D142&lt;&gt;"","["&amp;$E142&amp;"]"&amp;"|"&amp;SUBSTITUTE(SUBSTITUTE($I142,CHAR(61),""),CHAR(34),"")&amp;"|"&amp;$K142&amp;"|"&amp;$G142&amp;"|"&amp;IF($G142="TX_CURR_SUBNAT.R","CY2020Q4",$M142),"")</f>
        <v>[tKOXiaNhAyJ]|05-09|Female|TX_CURR_SUBNAT.T_1|CY2021Q3</v>
      </c>
    </row>
    <row r="143" customFormat="false" ht="15" hidden="false" customHeight="false" outlineLevel="0" collapsed="false">
      <c r="D143" s="0" t="s">
        <v>45</v>
      </c>
      <c r="E143" s="0" t="s">
        <v>46</v>
      </c>
      <c r="F143" s="0" t="s">
        <v>47</v>
      </c>
      <c r="G143" s="0" t="s">
        <v>99</v>
      </c>
      <c r="H143" s="0" t="s">
        <v>100</v>
      </c>
      <c r="I143" s="0" t="s">
        <v>83</v>
      </c>
      <c r="J143" s="0" t="s">
        <v>84</v>
      </c>
      <c r="K143" s="0" t="s">
        <v>58</v>
      </c>
      <c r="L143" s="0" t="s">
        <v>59</v>
      </c>
      <c r="M143" s="0" t="s">
        <v>50</v>
      </c>
      <c r="N143" s="0" t="n">
        <v>279</v>
      </c>
      <c r="O143" s="0" t="n">
        <v>60</v>
      </c>
      <c r="P143" s="0" t="n">
        <v>17</v>
      </c>
      <c r="Q143" s="5" t="str">
        <f aca="false">IF($D143&lt;&gt;"","["&amp;$E143&amp;"]"&amp;"|"&amp;SUBSTITUTE(SUBSTITUTE($I143,CHAR(61),""),CHAR(34),"")&amp;"|"&amp;$K143&amp;"|"&amp;$G143&amp;"|"&amp;IF($G143="TX_CURR_SUBNAT.R","CY2020Q4",$M143),"")</f>
        <v>[tKOXiaNhAyJ]|05-09|Male|TX_CURR_SUBNAT.T_1|CY2021Q3</v>
      </c>
    </row>
    <row r="144" customFormat="false" ht="15" hidden="false" customHeight="false" outlineLevel="0" collapsed="false">
      <c r="D144" s="0" t="s">
        <v>45</v>
      </c>
      <c r="E144" s="0" t="s">
        <v>46</v>
      </c>
      <c r="F144" s="0" t="s">
        <v>47</v>
      </c>
      <c r="G144" s="0" t="s">
        <v>99</v>
      </c>
      <c r="H144" s="0" t="s">
        <v>100</v>
      </c>
      <c r="I144" s="53" t="s">
        <v>86</v>
      </c>
      <c r="J144" s="0" t="s">
        <v>87</v>
      </c>
      <c r="K144" s="0" t="s">
        <v>56</v>
      </c>
      <c r="L144" s="0" t="s">
        <v>57</v>
      </c>
      <c r="M144" s="0" t="s">
        <v>50</v>
      </c>
      <c r="N144" s="0" t="n">
        <v>9750</v>
      </c>
      <c r="O144" s="0" t="n">
        <v>14</v>
      </c>
      <c r="P144" s="0" t="n">
        <v>27</v>
      </c>
      <c r="Q144" s="5" t="str">
        <f aca="false">IF($D144&lt;&gt;"","["&amp;$E144&amp;"]"&amp;"|"&amp;SUBSTITUTE(SUBSTITUTE($I144,CHAR(61),""),CHAR(34),"")&amp;"|"&amp;$K144&amp;"|"&amp;$G144&amp;"|"&amp;IF($G144="TX_CURR_SUBNAT.R","CY2020Q4",$M144),"")</f>
        <v>[tKOXiaNhAyJ]|50+|Female|TX_CURR_SUBNAT.T_1|CY2021Q3</v>
      </c>
    </row>
    <row r="145" customFormat="false" ht="15" hidden="false" customHeight="false" outlineLevel="0" collapsed="false">
      <c r="D145" s="0" t="s">
        <v>45</v>
      </c>
      <c r="E145" s="0" t="s">
        <v>46</v>
      </c>
      <c r="F145" s="0" t="s">
        <v>47</v>
      </c>
      <c r="G145" s="0" t="s">
        <v>99</v>
      </c>
      <c r="H145" s="0" t="s">
        <v>100</v>
      </c>
      <c r="I145" s="53" t="s">
        <v>86</v>
      </c>
      <c r="J145" s="0" t="s">
        <v>87</v>
      </c>
      <c r="K145" s="0" t="s">
        <v>58</v>
      </c>
      <c r="L145" s="0" t="s">
        <v>59</v>
      </c>
      <c r="M145" s="0" t="s">
        <v>50</v>
      </c>
      <c r="N145" s="0" t="n">
        <v>7118</v>
      </c>
      <c r="O145" s="0" t="n">
        <v>11</v>
      </c>
      <c r="P145" s="0" t="n">
        <v>8</v>
      </c>
      <c r="Q145" s="5" t="str">
        <f aca="false">IF($D145&lt;&gt;"","["&amp;$E145&amp;"]"&amp;"|"&amp;SUBSTITUTE(SUBSTITUTE($I145,CHAR(61),""),CHAR(34),"")&amp;"|"&amp;$K145&amp;"|"&amp;$G145&amp;"|"&amp;IF($G145="TX_CURR_SUBNAT.R","CY2020Q4",$M145),"")</f>
        <v>[tKOXiaNhAyJ]|50+|Male|TX_CURR_SUBNAT.T_1|CY2021Q3</v>
      </c>
    </row>
    <row r="146" customFormat="false" ht="15" hidden="false" customHeight="false" outlineLevel="0" collapsed="false">
      <c r="D146" s="0" t="s">
        <v>45</v>
      </c>
      <c r="E146" s="0" t="s">
        <v>46</v>
      </c>
      <c r="F146" s="0" t="s">
        <v>47</v>
      </c>
      <c r="G146" s="0" t="s">
        <v>99</v>
      </c>
      <c r="H146" s="0" t="s">
        <v>100</v>
      </c>
      <c r="I146" s="0" t="s">
        <v>89</v>
      </c>
      <c r="J146" s="0" t="s">
        <v>90</v>
      </c>
      <c r="K146" s="0" t="s">
        <v>56</v>
      </c>
      <c r="L146" s="0" t="s">
        <v>57</v>
      </c>
      <c r="M146" s="0" t="s">
        <v>50</v>
      </c>
      <c r="N146" s="0" t="n">
        <v>19</v>
      </c>
      <c r="O146" s="0" t="n">
        <v>38</v>
      </c>
      <c r="P146" s="0" t="n">
        <v>22</v>
      </c>
      <c r="Q146" s="5" t="str">
        <f aca="false">IF($D146&lt;&gt;"","["&amp;$E146&amp;"]"&amp;"|"&amp;SUBSTITUTE(SUBSTITUTE($I146,CHAR(61),""),CHAR(34),"")&amp;"|"&amp;$K146&amp;"|"&amp;$G146&amp;"|"&amp;IF($G146="TX_CURR_SUBNAT.R","CY2020Q4",$M146),"")</f>
        <v>[tKOXiaNhAyJ]|&lt;01|Female|TX_CURR_SUBNAT.T_1|CY2021Q3</v>
      </c>
    </row>
    <row r="147" customFormat="false" ht="15" hidden="false" customHeight="false" outlineLevel="0" collapsed="false">
      <c r="D147" s="0" t="s">
        <v>45</v>
      </c>
      <c r="E147" s="0" t="s">
        <v>46</v>
      </c>
      <c r="F147" s="0" t="s">
        <v>47</v>
      </c>
      <c r="G147" s="0" t="s">
        <v>99</v>
      </c>
      <c r="H147" s="0" t="s">
        <v>100</v>
      </c>
      <c r="I147" s="0" t="s">
        <v>89</v>
      </c>
      <c r="J147" s="0" t="s">
        <v>90</v>
      </c>
      <c r="K147" s="0" t="s">
        <v>58</v>
      </c>
      <c r="L147" s="0" t="s">
        <v>59</v>
      </c>
      <c r="M147" s="0" t="s">
        <v>50</v>
      </c>
      <c r="N147" s="0" t="n">
        <v>19</v>
      </c>
      <c r="O147" s="0" t="n">
        <v>29</v>
      </c>
      <c r="P147" s="0" t="n">
        <v>25</v>
      </c>
      <c r="Q147" s="5" t="str">
        <f aca="false">IF($D147&lt;&gt;"","["&amp;$E147&amp;"]"&amp;"|"&amp;SUBSTITUTE(SUBSTITUTE($I147,CHAR(61),""),CHAR(34),"")&amp;"|"&amp;$K147&amp;"|"&amp;$G147&amp;"|"&amp;IF($G147="TX_CURR_SUBNAT.R","CY2020Q4",$M147),"")</f>
        <v>[tKOXiaNhAyJ]|&lt;01|Male|TX_CURR_SUBNAT.T_1|CY2021Q3</v>
      </c>
    </row>
    <row r="148" customFormat="false" ht="15" hidden="false" customHeight="false" outlineLevel="0" collapsed="false">
      <c r="D148" s="0" t="s">
        <v>101</v>
      </c>
      <c r="E148" s="0" t="s">
        <v>102</v>
      </c>
      <c r="F148" s="0" t="s">
        <v>47</v>
      </c>
      <c r="G148" s="0" t="s">
        <v>52</v>
      </c>
      <c r="H148" s="0" t="s">
        <v>53</v>
      </c>
      <c r="I148" s="0" t="s">
        <v>54</v>
      </c>
      <c r="J148" s="0" t="s">
        <v>55</v>
      </c>
      <c r="K148" s="0" t="s">
        <v>56</v>
      </c>
      <c r="L148" s="0" t="s">
        <v>57</v>
      </c>
      <c r="M148" s="0" t="s">
        <v>50</v>
      </c>
      <c r="N148" s="0" t="n">
        <v>6015</v>
      </c>
      <c r="O148" s="0" t="n">
        <v>56</v>
      </c>
      <c r="P148" s="0" t="n">
        <v>25</v>
      </c>
      <c r="Q148" s="5" t="str">
        <f aca="false">IF($D148&lt;&gt;"","["&amp;$E148&amp;"]"&amp;"|"&amp;SUBSTITUTE(SUBSTITUTE($I148,CHAR(61),""),CHAR(34),"")&amp;"|"&amp;$K148&amp;"|"&amp;$G148&amp;"|"&amp;IF($G148="TX_CURR_SUBNAT.R","CY2020Q4",$M148),"")</f>
        <v>[jyhIrCoB31x]|01-04|Female|POP_EST.T_1|CY2021Q3</v>
      </c>
    </row>
    <row r="149" customFormat="false" ht="15" hidden="false" customHeight="false" outlineLevel="0" collapsed="false">
      <c r="D149" s="0" t="s">
        <v>101</v>
      </c>
      <c r="E149" s="0" t="s">
        <v>102</v>
      </c>
      <c r="F149" s="0" t="s">
        <v>47</v>
      </c>
      <c r="G149" s="0" t="s">
        <v>52</v>
      </c>
      <c r="H149" s="0" t="s">
        <v>53</v>
      </c>
      <c r="I149" s="0" t="s">
        <v>54</v>
      </c>
      <c r="J149" s="0" t="s">
        <v>55</v>
      </c>
      <c r="K149" s="0" t="s">
        <v>58</v>
      </c>
      <c r="L149" s="0" t="s">
        <v>59</v>
      </c>
      <c r="M149" s="0" t="s">
        <v>50</v>
      </c>
      <c r="N149" s="0" t="n">
        <v>5918</v>
      </c>
      <c r="O149" s="0" t="n">
        <v>44</v>
      </c>
      <c r="P149" s="0" t="n">
        <v>19</v>
      </c>
      <c r="Q149" s="5" t="str">
        <f aca="false">IF($D149&lt;&gt;"","["&amp;$E149&amp;"]"&amp;"|"&amp;SUBSTITUTE(SUBSTITUTE($I149,CHAR(61),""),CHAR(34),"")&amp;"|"&amp;$K149&amp;"|"&amp;$G149&amp;"|"&amp;IF($G149="TX_CURR_SUBNAT.R","CY2020Q4",$M149),"")</f>
        <v>[jyhIrCoB31x]|01-04|Male|POP_EST.T_1|CY2021Q3</v>
      </c>
    </row>
    <row r="150" customFormat="false" ht="15" hidden="false" customHeight="false" outlineLevel="0" collapsed="false">
      <c r="D150" s="0" t="s">
        <v>101</v>
      </c>
      <c r="E150" s="0" t="s">
        <v>102</v>
      </c>
      <c r="F150" s="0" t="s">
        <v>47</v>
      </c>
      <c r="G150" s="0" t="s">
        <v>52</v>
      </c>
      <c r="H150" s="0" t="s">
        <v>53</v>
      </c>
      <c r="I150" s="0" t="s">
        <v>61</v>
      </c>
      <c r="J150" s="0" t="s">
        <v>62</v>
      </c>
      <c r="K150" s="0" t="s">
        <v>56</v>
      </c>
      <c r="L150" s="0" t="s">
        <v>57</v>
      </c>
      <c r="M150" s="0" t="s">
        <v>50</v>
      </c>
      <c r="N150" s="0" t="n">
        <v>8337</v>
      </c>
      <c r="O150" s="0" t="n">
        <v>46</v>
      </c>
      <c r="P150" s="0" t="n">
        <v>19</v>
      </c>
      <c r="Q150" s="5" t="str">
        <f aca="false">IF($D150&lt;&gt;"","["&amp;$E150&amp;"]"&amp;"|"&amp;SUBSTITUTE(SUBSTITUTE($I150,CHAR(61),""),CHAR(34),"")&amp;"|"&amp;$K150&amp;"|"&amp;$G150&amp;"|"&amp;IF($G150="TX_CURR_SUBNAT.R","CY2020Q4",$M150),"")</f>
        <v>[jyhIrCoB31x]|10-14|Female|POP_EST.T_1|CY2021Q3</v>
      </c>
    </row>
    <row r="151" customFormat="false" ht="15" hidden="false" customHeight="false" outlineLevel="0" collapsed="false">
      <c r="D151" s="0" t="s">
        <v>101</v>
      </c>
      <c r="E151" s="0" t="s">
        <v>102</v>
      </c>
      <c r="F151" s="0" t="s">
        <v>47</v>
      </c>
      <c r="G151" s="0" t="s">
        <v>52</v>
      </c>
      <c r="H151" s="0" t="s">
        <v>53</v>
      </c>
      <c r="I151" s="0" t="s">
        <v>61</v>
      </c>
      <c r="J151" s="0" t="s">
        <v>62</v>
      </c>
      <c r="K151" s="0" t="s">
        <v>58</v>
      </c>
      <c r="L151" s="0" t="s">
        <v>59</v>
      </c>
      <c r="M151" s="0" t="s">
        <v>50</v>
      </c>
      <c r="N151" s="0" t="n">
        <v>8505</v>
      </c>
      <c r="O151" s="0" t="n">
        <v>36</v>
      </c>
      <c r="P151" s="0" t="n">
        <v>12</v>
      </c>
      <c r="Q151" s="5" t="str">
        <f aca="false">IF($D151&lt;&gt;"","["&amp;$E151&amp;"]"&amp;"|"&amp;SUBSTITUTE(SUBSTITUTE($I151,CHAR(61),""),CHAR(34),"")&amp;"|"&amp;$K151&amp;"|"&amp;$G151&amp;"|"&amp;IF($G151="TX_CURR_SUBNAT.R","CY2020Q4",$M151),"")</f>
        <v>[jyhIrCoB31x]|10-14|Male|POP_EST.T_1|CY2021Q3</v>
      </c>
    </row>
    <row r="152" customFormat="false" ht="15" hidden="false" customHeight="false" outlineLevel="0" collapsed="false">
      <c r="D152" s="0" t="s">
        <v>101</v>
      </c>
      <c r="E152" s="0" t="s">
        <v>102</v>
      </c>
      <c r="F152" s="0" t="s">
        <v>47</v>
      </c>
      <c r="G152" s="0" t="s">
        <v>52</v>
      </c>
      <c r="H152" s="0" t="s">
        <v>53</v>
      </c>
      <c r="I152" s="0" t="s">
        <v>63</v>
      </c>
      <c r="J152" s="0" t="s">
        <v>64</v>
      </c>
      <c r="K152" s="0" t="s">
        <v>56</v>
      </c>
      <c r="L152" s="0" t="s">
        <v>57</v>
      </c>
      <c r="M152" s="0" t="s">
        <v>50</v>
      </c>
      <c r="N152" s="0" t="n">
        <v>6910</v>
      </c>
      <c r="O152" s="0" t="n">
        <v>3</v>
      </c>
      <c r="P152" s="0" t="n">
        <v>40</v>
      </c>
      <c r="Q152" s="5" t="str">
        <f aca="false">IF($D152&lt;&gt;"","["&amp;$E152&amp;"]"&amp;"|"&amp;SUBSTITUTE(SUBSTITUTE($I152,CHAR(61),""),CHAR(34),"")&amp;"|"&amp;$K152&amp;"|"&amp;$G152&amp;"|"&amp;IF($G152="TX_CURR_SUBNAT.R","CY2020Q4",$M152),"")</f>
        <v>[jyhIrCoB31x]|15-19|Female|POP_EST.T_1|CY2021Q3</v>
      </c>
    </row>
    <row r="153" customFormat="false" ht="15" hidden="false" customHeight="false" outlineLevel="0" collapsed="false">
      <c r="D153" s="0" t="s">
        <v>101</v>
      </c>
      <c r="E153" s="0" t="s">
        <v>102</v>
      </c>
      <c r="F153" s="0" t="s">
        <v>47</v>
      </c>
      <c r="G153" s="0" t="s">
        <v>52</v>
      </c>
      <c r="H153" s="0" t="s">
        <v>53</v>
      </c>
      <c r="I153" s="0" t="s">
        <v>63</v>
      </c>
      <c r="J153" s="0" t="s">
        <v>64</v>
      </c>
      <c r="K153" s="0" t="s">
        <v>58</v>
      </c>
      <c r="L153" s="0" t="s">
        <v>59</v>
      </c>
      <c r="M153" s="0" t="s">
        <v>50</v>
      </c>
      <c r="N153" s="0" t="n">
        <v>7851</v>
      </c>
      <c r="O153" s="0" t="n">
        <v>18</v>
      </c>
      <c r="P153" s="0" t="n">
        <v>14</v>
      </c>
      <c r="Q153" s="5" t="str">
        <f aca="false">IF($D153&lt;&gt;"","["&amp;$E153&amp;"]"&amp;"|"&amp;SUBSTITUTE(SUBSTITUTE($I153,CHAR(61),""),CHAR(34),"")&amp;"|"&amp;$K153&amp;"|"&amp;$G153&amp;"|"&amp;IF($G153="TX_CURR_SUBNAT.R","CY2020Q4",$M153),"")</f>
        <v>[jyhIrCoB31x]|15-19|Male|POP_EST.T_1|CY2021Q3</v>
      </c>
    </row>
    <row r="154" customFormat="false" ht="15" hidden="false" customHeight="false" outlineLevel="0" collapsed="false">
      <c r="D154" s="0" t="s">
        <v>101</v>
      </c>
      <c r="E154" s="0" t="s">
        <v>102</v>
      </c>
      <c r="F154" s="0" t="s">
        <v>47</v>
      </c>
      <c r="G154" s="0" t="s">
        <v>52</v>
      </c>
      <c r="H154" s="0" t="s">
        <v>53</v>
      </c>
      <c r="I154" s="0" t="s">
        <v>66</v>
      </c>
      <c r="J154" s="0" t="s">
        <v>67</v>
      </c>
      <c r="K154" s="0" t="s">
        <v>56</v>
      </c>
      <c r="L154" s="0" t="s">
        <v>57</v>
      </c>
      <c r="M154" s="0" t="s">
        <v>50</v>
      </c>
      <c r="N154" s="0" t="n">
        <v>5495</v>
      </c>
      <c r="O154" s="0" t="n">
        <v>10</v>
      </c>
      <c r="P154" s="0" t="n">
        <v>45</v>
      </c>
      <c r="Q154" s="5" t="str">
        <f aca="false">IF($D154&lt;&gt;"","["&amp;$E154&amp;"]"&amp;"|"&amp;SUBSTITUTE(SUBSTITUTE($I154,CHAR(61),""),CHAR(34),"")&amp;"|"&amp;$K154&amp;"|"&amp;$G154&amp;"|"&amp;IF($G154="TX_CURR_SUBNAT.R","CY2020Q4",$M154),"")</f>
        <v>[jyhIrCoB31x]|20-24|Female|POP_EST.T_1|CY2021Q3</v>
      </c>
    </row>
    <row r="155" customFormat="false" ht="15" hidden="false" customHeight="false" outlineLevel="0" collapsed="false">
      <c r="D155" s="0" t="s">
        <v>101</v>
      </c>
      <c r="E155" s="0" t="s">
        <v>102</v>
      </c>
      <c r="F155" s="0" t="s">
        <v>47</v>
      </c>
      <c r="G155" s="0" t="s">
        <v>52</v>
      </c>
      <c r="H155" s="0" t="s">
        <v>53</v>
      </c>
      <c r="I155" s="0" t="s">
        <v>66</v>
      </c>
      <c r="J155" s="0" t="s">
        <v>67</v>
      </c>
      <c r="K155" s="0" t="s">
        <v>58</v>
      </c>
      <c r="L155" s="0" t="s">
        <v>59</v>
      </c>
      <c r="M155" s="0" t="s">
        <v>50</v>
      </c>
      <c r="N155" s="0" t="n">
        <v>6182</v>
      </c>
      <c r="O155" s="0" t="n">
        <v>59</v>
      </c>
      <c r="P155" s="0" t="n">
        <v>41</v>
      </c>
      <c r="Q155" s="5" t="str">
        <f aca="false">IF($D155&lt;&gt;"","["&amp;$E155&amp;"]"&amp;"|"&amp;SUBSTITUTE(SUBSTITUTE($I155,CHAR(61),""),CHAR(34),"")&amp;"|"&amp;$K155&amp;"|"&amp;$G155&amp;"|"&amp;IF($G155="TX_CURR_SUBNAT.R","CY2020Q4",$M155),"")</f>
        <v>[jyhIrCoB31x]|20-24|Male|POP_EST.T_1|CY2021Q3</v>
      </c>
    </row>
    <row r="156" customFormat="false" ht="15" hidden="false" customHeight="false" outlineLevel="0" collapsed="false">
      <c r="D156" s="0" t="s">
        <v>101</v>
      </c>
      <c r="E156" s="0" t="s">
        <v>102</v>
      </c>
      <c r="F156" s="0" t="s">
        <v>47</v>
      </c>
      <c r="G156" s="0" t="s">
        <v>52</v>
      </c>
      <c r="H156" s="0" t="s">
        <v>53</v>
      </c>
      <c r="I156" s="0" t="s">
        <v>69</v>
      </c>
      <c r="J156" s="0" t="s">
        <v>70</v>
      </c>
      <c r="K156" s="0" t="s">
        <v>56</v>
      </c>
      <c r="L156" s="0" t="s">
        <v>57</v>
      </c>
      <c r="M156" s="0" t="s">
        <v>50</v>
      </c>
      <c r="N156" s="0" t="n">
        <v>5307</v>
      </c>
      <c r="O156" s="0" t="n">
        <v>45</v>
      </c>
      <c r="P156" s="0" t="n">
        <v>25</v>
      </c>
      <c r="Q156" s="5" t="str">
        <f aca="false">IF($D156&lt;&gt;"","["&amp;$E156&amp;"]"&amp;"|"&amp;SUBSTITUTE(SUBSTITUTE($I156,CHAR(61),""),CHAR(34),"")&amp;"|"&amp;$K156&amp;"|"&amp;$G156&amp;"|"&amp;IF($G156="TX_CURR_SUBNAT.R","CY2020Q4",$M156),"")</f>
        <v>[jyhIrCoB31x]|25-29|Female|POP_EST.T_1|CY2021Q3</v>
      </c>
    </row>
    <row r="157" customFormat="false" ht="15" hidden="false" customHeight="false" outlineLevel="0" collapsed="false">
      <c r="D157" s="0" t="s">
        <v>101</v>
      </c>
      <c r="E157" s="0" t="s">
        <v>102</v>
      </c>
      <c r="F157" s="0" t="s">
        <v>47</v>
      </c>
      <c r="G157" s="0" t="s">
        <v>52</v>
      </c>
      <c r="H157" s="0" t="s">
        <v>53</v>
      </c>
      <c r="I157" s="0" t="s">
        <v>69</v>
      </c>
      <c r="J157" s="0" t="s">
        <v>70</v>
      </c>
      <c r="K157" s="0" t="s">
        <v>58</v>
      </c>
      <c r="L157" s="0" t="s">
        <v>59</v>
      </c>
      <c r="M157" s="0" t="s">
        <v>50</v>
      </c>
      <c r="N157" s="0" t="n">
        <v>5944</v>
      </c>
      <c r="O157" s="0" t="n">
        <v>43</v>
      </c>
      <c r="P157" s="0" t="n">
        <v>34</v>
      </c>
      <c r="Q157" s="5" t="str">
        <f aca="false">IF($D157&lt;&gt;"","["&amp;$E157&amp;"]"&amp;"|"&amp;SUBSTITUTE(SUBSTITUTE($I157,CHAR(61),""),CHAR(34),"")&amp;"|"&amp;$K157&amp;"|"&amp;$G157&amp;"|"&amp;IF($G157="TX_CURR_SUBNAT.R","CY2020Q4",$M157),"")</f>
        <v>[jyhIrCoB31x]|25-29|Male|POP_EST.T_1|CY2021Q3</v>
      </c>
    </row>
    <row r="158" customFormat="false" ht="15" hidden="false" customHeight="false" outlineLevel="0" collapsed="false">
      <c r="D158" s="0" t="s">
        <v>101</v>
      </c>
      <c r="E158" s="0" t="s">
        <v>102</v>
      </c>
      <c r="F158" s="0" t="s">
        <v>47</v>
      </c>
      <c r="G158" s="0" t="s">
        <v>52</v>
      </c>
      <c r="H158" s="0" t="s">
        <v>53</v>
      </c>
      <c r="I158" s="0" t="s">
        <v>72</v>
      </c>
      <c r="J158" s="0" t="s">
        <v>73</v>
      </c>
      <c r="K158" s="0" t="s">
        <v>56</v>
      </c>
      <c r="L158" s="0" t="s">
        <v>57</v>
      </c>
      <c r="M158" s="0" t="s">
        <v>50</v>
      </c>
      <c r="N158" s="0" t="n">
        <v>4772</v>
      </c>
      <c r="O158" s="0" t="n">
        <v>51</v>
      </c>
      <c r="P158" s="0" t="n">
        <v>21</v>
      </c>
      <c r="Q158" s="5" t="str">
        <f aca="false">IF($D158&lt;&gt;"","["&amp;$E158&amp;"]"&amp;"|"&amp;SUBSTITUTE(SUBSTITUTE($I158,CHAR(61),""),CHAR(34),"")&amp;"|"&amp;$K158&amp;"|"&amp;$G158&amp;"|"&amp;IF($G158="TX_CURR_SUBNAT.R","CY2020Q4",$M158),"")</f>
        <v>[jyhIrCoB31x]|30-34|Female|POP_EST.T_1|CY2021Q3</v>
      </c>
    </row>
    <row r="159" customFormat="false" ht="15" hidden="false" customHeight="false" outlineLevel="0" collapsed="false">
      <c r="D159" s="0" t="s">
        <v>101</v>
      </c>
      <c r="E159" s="0" t="s">
        <v>102</v>
      </c>
      <c r="F159" s="0" t="s">
        <v>47</v>
      </c>
      <c r="G159" s="0" t="s">
        <v>52</v>
      </c>
      <c r="H159" s="0" t="s">
        <v>53</v>
      </c>
      <c r="I159" s="0" t="s">
        <v>72</v>
      </c>
      <c r="J159" s="0" t="s">
        <v>73</v>
      </c>
      <c r="K159" s="0" t="s">
        <v>58</v>
      </c>
      <c r="L159" s="0" t="s">
        <v>59</v>
      </c>
      <c r="M159" s="0" t="s">
        <v>50</v>
      </c>
      <c r="N159" s="0" t="n">
        <v>5655</v>
      </c>
      <c r="O159" s="0" t="n">
        <v>21</v>
      </c>
      <c r="P159" s="0" t="n">
        <v>37</v>
      </c>
      <c r="Q159" s="5" t="str">
        <f aca="false">IF($D159&lt;&gt;"","["&amp;$E159&amp;"]"&amp;"|"&amp;SUBSTITUTE(SUBSTITUTE($I159,CHAR(61),""),CHAR(34),"")&amp;"|"&amp;$K159&amp;"|"&amp;$G159&amp;"|"&amp;IF($G159="TX_CURR_SUBNAT.R","CY2020Q4",$M159),"")</f>
        <v>[jyhIrCoB31x]|30-34|Male|POP_EST.T_1|CY2021Q3</v>
      </c>
    </row>
    <row r="160" customFormat="false" ht="15" hidden="false" customHeight="false" outlineLevel="0" collapsed="false">
      <c r="D160" s="0" t="s">
        <v>101</v>
      </c>
      <c r="E160" s="0" t="s">
        <v>102</v>
      </c>
      <c r="F160" s="0" t="s">
        <v>47</v>
      </c>
      <c r="G160" s="0" t="s">
        <v>52</v>
      </c>
      <c r="H160" s="0" t="s">
        <v>53</v>
      </c>
      <c r="I160" s="0" t="s">
        <v>75</v>
      </c>
      <c r="J160" s="0" t="s">
        <v>76</v>
      </c>
      <c r="K160" s="0" t="s">
        <v>56</v>
      </c>
      <c r="L160" s="0" t="s">
        <v>57</v>
      </c>
      <c r="M160" s="0" t="s">
        <v>50</v>
      </c>
      <c r="N160" s="0" t="n">
        <v>3784</v>
      </c>
      <c r="O160" s="0" t="n">
        <v>51</v>
      </c>
      <c r="P160" s="0" t="n">
        <v>2</v>
      </c>
      <c r="Q160" s="5" t="str">
        <f aca="false">IF($D160&lt;&gt;"","["&amp;$E160&amp;"]"&amp;"|"&amp;SUBSTITUTE(SUBSTITUTE($I160,CHAR(61),""),CHAR(34),"")&amp;"|"&amp;$K160&amp;"|"&amp;$G160&amp;"|"&amp;IF($G160="TX_CURR_SUBNAT.R","CY2020Q4",$M160),"")</f>
        <v>[jyhIrCoB31x]|35-39|Female|POP_EST.T_1|CY2021Q3</v>
      </c>
    </row>
    <row r="161" customFormat="false" ht="15" hidden="false" customHeight="false" outlineLevel="0" collapsed="false">
      <c r="D161" s="0" t="s">
        <v>101</v>
      </c>
      <c r="E161" s="0" t="s">
        <v>102</v>
      </c>
      <c r="F161" s="0" t="s">
        <v>47</v>
      </c>
      <c r="G161" s="0" t="s">
        <v>52</v>
      </c>
      <c r="H161" s="0" t="s">
        <v>53</v>
      </c>
      <c r="I161" s="0" t="s">
        <v>75</v>
      </c>
      <c r="J161" s="0" t="s">
        <v>76</v>
      </c>
      <c r="K161" s="0" t="s">
        <v>58</v>
      </c>
      <c r="L161" s="0" t="s">
        <v>59</v>
      </c>
      <c r="M161" s="0" t="s">
        <v>50</v>
      </c>
      <c r="N161" s="0" t="n">
        <v>4692</v>
      </c>
      <c r="O161" s="0" t="n">
        <v>32</v>
      </c>
      <c r="P161" s="0" t="n">
        <v>39</v>
      </c>
      <c r="Q161" s="5" t="str">
        <f aca="false">IF($D161&lt;&gt;"","["&amp;$E161&amp;"]"&amp;"|"&amp;SUBSTITUTE(SUBSTITUTE($I161,CHAR(61),""),CHAR(34),"")&amp;"|"&amp;$K161&amp;"|"&amp;$G161&amp;"|"&amp;IF($G161="TX_CURR_SUBNAT.R","CY2020Q4",$M161),"")</f>
        <v>[jyhIrCoB31x]|35-39|Male|POP_EST.T_1|CY2021Q3</v>
      </c>
    </row>
    <row r="162" customFormat="false" ht="15" hidden="false" customHeight="false" outlineLevel="0" collapsed="false">
      <c r="D162" s="0" t="s">
        <v>101</v>
      </c>
      <c r="E162" s="0" t="s">
        <v>102</v>
      </c>
      <c r="F162" s="0" t="s">
        <v>47</v>
      </c>
      <c r="G162" s="0" t="s">
        <v>52</v>
      </c>
      <c r="H162" s="0" t="s">
        <v>53</v>
      </c>
      <c r="I162" s="0" t="s">
        <v>77</v>
      </c>
      <c r="J162" s="0" t="s">
        <v>78</v>
      </c>
      <c r="K162" s="0" t="s">
        <v>56</v>
      </c>
      <c r="L162" s="0" t="s">
        <v>57</v>
      </c>
      <c r="M162" s="0" t="s">
        <v>50</v>
      </c>
      <c r="N162" s="0" t="n">
        <v>2934</v>
      </c>
      <c r="O162" s="0" t="n">
        <v>13</v>
      </c>
      <c r="P162" s="0" t="n">
        <v>38</v>
      </c>
      <c r="Q162" s="5" t="str">
        <f aca="false">IF($D162&lt;&gt;"","["&amp;$E162&amp;"]"&amp;"|"&amp;SUBSTITUTE(SUBSTITUTE($I162,CHAR(61),""),CHAR(34),"")&amp;"|"&amp;$K162&amp;"|"&amp;$G162&amp;"|"&amp;IF($G162="TX_CURR_SUBNAT.R","CY2020Q4",$M162),"")</f>
        <v>[jyhIrCoB31x]|40-44|Female|POP_EST.T_1|CY2021Q3</v>
      </c>
    </row>
    <row r="163" customFormat="false" ht="15" hidden="false" customHeight="false" outlineLevel="0" collapsed="false">
      <c r="D163" s="0" t="s">
        <v>101</v>
      </c>
      <c r="E163" s="0" t="s">
        <v>102</v>
      </c>
      <c r="F163" s="0" t="s">
        <v>47</v>
      </c>
      <c r="G163" s="0" t="s">
        <v>52</v>
      </c>
      <c r="H163" s="0" t="s">
        <v>53</v>
      </c>
      <c r="I163" s="0" t="s">
        <v>77</v>
      </c>
      <c r="J163" s="0" t="s">
        <v>78</v>
      </c>
      <c r="K163" s="0" t="s">
        <v>58</v>
      </c>
      <c r="L163" s="0" t="s">
        <v>59</v>
      </c>
      <c r="M163" s="0" t="s">
        <v>50</v>
      </c>
      <c r="N163" s="0" t="n">
        <v>3343</v>
      </c>
      <c r="O163" s="0" t="n">
        <v>46</v>
      </c>
      <c r="P163" s="0" t="n">
        <v>7</v>
      </c>
      <c r="Q163" s="5" t="str">
        <f aca="false">IF($D163&lt;&gt;"","["&amp;$E163&amp;"]"&amp;"|"&amp;SUBSTITUTE(SUBSTITUTE($I163,CHAR(61),""),CHAR(34),"")&amp;"|"&amp;$K163&amp;"|"&amp;$G163&amp;"|"&amp;IF($G163="TX_CURR_SUBNAT.R","CY2020Q4",$M163),"")</f>
        <v>[jyhIrCoB31x]|40-44|Male|POP_EST.T_1|CY2021Q3</v>
      </c>
    </row>
    <row r="164" customFormat="false" ht="15" hidden="false" customHeight="false" outlineLevel="0" collapsed="false">
      <c r="D164" s="0" t="s">
        <v>101</v>
      </c>
      <c r="E164" s="0" t="s">
        <v>102</v>
      </c>
      <c r="F164" s="0" t="s">
        <v>47</v>
      </c>
      <c r="G164" s="0" t="s">
        <v>52</v>
      </c>
      <c r="H164" s="0" t="s">
        <v>53</v>
      </c>
      <c r="I164" s="0" t="s">
        <v>80</v>
      </c>
      <c r="J164" s="0" t="s">
        <v>81</v>
      </c>
      <c r="K164" s="0" t="s">
        <v>56</v>
      </c>
      <c r="L164" s="0" t="s">
        <v>57</v>
      </c>
      <c r="M164" s="0" t="s">
        <v>50</v>
      </c>
      <c r="N164" s="0" t="n">
        <v>2137</v>
      </c>
      <c r="O164" s="0" t="n">
        <v>58</v>
      </c>
      <c r="P164" s="0" t="n">
        <v>22</v>
      </c>
      <c r="Q164" s="5" t="str">
        <f aca="false">IF($D164&lt;&gt;"","["&amp;$E164&amp;"]"&amp;"|"&amp;SUBSTITUTE(SUBSTITUTE($I164,CHAR(61),""),CHAR(34),"")&amp;"|"&amp;$K164&amp;"|"&amp;$G164&amp;"|"&amp;IF($G164="TX_CURR_SUBNAT.R","CY2020Q4",$M164),"")</f>
        <v>[jyhIrCoB31x]|45-49|Female|POP_EST.T_1|CY2021Q3</v>
      </c>
    </row>
    <row r="165" customFormat="false" ht="15" hidden="false" customHeight="false" outlineLevel="0" collapsed="false">
      <c r="D165" s="0" t="s">
        <v>101</v>
      </c>
      <c r="E165" s="0" t="s">
        <v>102</v>
      </c>
      <c r="F165" s="0" t="s">
        <v>47</v>
      </c>
      <c r="G165" s="0" t="s">
        <v>52</v>
      </c>
      <c r="H165" s="0" t="s">
        <v>53</v>
      </c>
      <c r="I165" s="0" t="s">
        <v>80</v>
      </c>
      <c r="J165" s="0" t="s">
        <v>81</v>
      </c>
      <c r="K165" s="0" t="s">
        <v>58</v>
      </c>
      <c r="L165" s="0" t="s">
        <v>59</v>
      </c>
      <c r="M165" s="0" t="s">
        <v>50</v>
      </c>
      <c r="N165" s="0" t="n">
        <v>2384</v>
      </c>
      <c r="O165" s="0" t="n">
        <v>24</v>
      </c>
      <c r="P165" s="0" t="n">
        <v>11</v>
      </c>
      <c r="Q165" s="5" t="str">
        <f aca="false">IF($D165&lt;&gt;"","["&amp;$E165&amp;"]"&amp;"|"&amp;SUBSTITUTE(SUBSTITUTE($I165,CHAR(61),""),CHAR(34),"")&amp;"|"&amp;$K165&amp;"|"&amp;$G165&amp;"|"&amp;IF($G165="TX_CURR_SUBNAT.R","CY2020Q4",$M165),"")</f>
        <v>[jyhIrCoB31x]|45-49|Male|POP_EST.T_1|CY2021Q3</v>
      </c>
    </row>
    <row r="166" customFormat="false" ht="15" hidden="false" customHeight="false" outlineLevel="0" collapsed="false">
      <c r="D166" s="0" t="s">
        <v>101</v>
      </c>
      <c r="E166" s="0" t="s">
        <v>102</v>
      </c>
      <c r="F166" s="0" t="s">
        <v>47</v>
      </c>
      <c r="G166" s="0" t="s">
        <v>52</v>
      </c>
      <c r="H166" s="0" t="s">
        <v>53</v>
      </c>
      <c r="I166" s="0" t="s">
        <v>83</v>
      </c>
      <c r="J166" s="0" t="s">
        <v>84</v>
      </c>
      <c r="K166" s="0" t="s">
        <v>56</v>
      </c>
      <c r="L166" s="0" t="s">
        <v>57</v>
      </c>
      <c r="M166" s="0" t="s">
        <v>50</v>
      </c>
      <c r="N166" s="0" t="n">
        <v>9085</v>
      </c>
      <c r="O166" s="0" t="n">
        <v>19</v>
      </c>
      <c r="P166" s="0" t="n">
        <v>13</v>
      </c>
      <c r="Q166" s="5" t="str">
        <f aca="false">IF($D166&lt;&gt;"","["&amp;$E166&amp;"]"&amp;"|"&amp;SUBSTITUTE(SUBSTITUTE($I166,CHAR(61),""),CHAR(34),"")&amp;"|"&amp;$K166&amp;"|"&amp;$G166&amp;"|"&amp;IF($G166="TX_CURR_SUBNAT.R","CY2020Q4",$M166),"")</f>
        <v>[jyhIrCoB31x]|05-09|Female|POP_EST.T_1|CY2021Q3</v>
      </c>
    </row>
    <row r="167" customFormat="false" ht="15" hidden="false" customHeight="false" outlineLevel="0" collapsed="false">
      <c r="D167" s="0" t="s">
        <v>101</v>
      </c>
      <c r="E167" s="0" t="s">
        <v>102</v>
      </c>
      <c r="F167" s="0" t="s">
        <v>47</v>
      </c>
      <c r="G167" s="0" t="s">
        <v>52</v>
      </c>
      <c r="H167" s="0" t="s">
        <v>53</v>
      </c>
      <c r="I167" s="0" t="s">
        <v>83</v>
      </c>
      <c r="J167" s="0" t="s">
        <v>84</v>
      </c>
      <c r="K167" s="0" t="s">
        <v>58</v>
      </c>
      <c r="L167" s="0" t="s">
        <v>59</v>
      </c>
      <c r="M167" s="0" t="s">
        <v>50</v>
      </c>
      <c r="N167" s="0" t="n">
        <v>8759</v>
      </c>
      <c r="O167" s="0" t="n">
        <v>54</v>
      </c>
      <c r="P167" s="0" t="n">
        <v>5</v>
      </c>
      <c r="Q167" s="5" t="str">
        <f aca="false">IF($D167&lt;&gt;"","["&amp;$E167&amp;"]"&amp;"|"&amp;SUBSTITUTE(SUBSTITUTE($I167,CHAR(61),""),CHAR(34),"")&amp;"|"&amp;$K167&amp;"|"&amp;$G167&amp;"|"&amp;IF($G167="TX_CURR_SUBNAT.R","CY2020Q4",$M167),"")</f>
        <v>[jyhIrCoB31x]|05-09|Male|POP_EST.T_1|CY2021Q3</v>
      </c>
    </row>
    <row r="168" customFormat="false" ht="15" hidden="false" customHeight="false" outlineLevel="0" collapsed="false">
      <c r="D168" s="0" t="s">
        <v>101</v>
      </c>
      <c r="E168" s="0" t="s">
        <v>102</v>
      </c>
      <c r="F168" s="0" t="s">
        <v>47</v>
      </c>
      <c r="G168" s="0" t="s">
        <v>52</v>
      </c>
      <c r="H168" s="0" t="s">
        <v>53</v>
      </c>
      <c r="I168" s="53" t="s">
        <v>86</v>
      </c>
      <c r="J168" s="0" t="s">
        <v>87</v>
      </c>
      <c r="K168" s="0" t="s">
        <v>56</v>
      </c>
      <c r="L168" s="0" t="s">
        <v>57</v>
      </c>
      <c r="M168" s="0" t="s">
        <v>50</v>
      </c>
      <c r="N168" s="0" t="n">
        <v>12744</v>
      </c>
      <c r="O168" s="0" t="n">
        <v>46</v>
      </c>
      <c r="P168" s="0" t="n">
        <v>22</v>
      </c>
      <c r="Q168" s="5" t="str">
        <f aca="false">IF($D168&lt;&gt;"","["&amp;$E168&amp;"]"&amp;"|"&amp;SUBSTITUTE(SUBSTITUTE($I168,CHAR(61),""),CHAR(34),"")&amp;"|"&amp;$K168&amp;"|"&amp;$G168&amp;"|"&amp;IF($G168="TX_CURR_SUBNAT.R","CY2020Q4",$M168),"")</f>
        <v>[jyhIrCoB31x]|50+|Female|POP_EST.T_1|CY2021Q3</v>
      </c>
    </row>
    <row r="169" customFormat="false" ht="15" hidden="false" customHeight="false" outlineLevel="0" collapsed="false">
      <c r="D169" s="0" t="s">
        <v>101</v>
      </c>
      <c r="E169" s="0" t="s">
        <v>102</v>
      </c>
      <c r="F169" s="0" t="s">
        <v>47</v>
      </c>
      <c r="G169" s="0" t="s">
        <v>52</v>
      </c>
      <c r="H169" s="0" t="s">
        <v>53</v>
      </c>
      <c r="I169" s="53" t="s">
        <v>86</v>
      </c>
      <c r="J169" s="0" t="s">
        <v>87</v>
      </c>
      <c r="K169" s="0" t="s">
        <v>58</v>
      </c>
      <c r="L169" s="0" t="s">
        <v>59</v>
      </c>
      <c r="M169" s="0" t="s">
        <v>50</v>
      </c>
      <c r="N169" s="0" t="n">
        <v>8523</v>
      </c>
      <c r="O169" s="0" t="n">
        <v>19</v>
      </c>
      <c r="P169" s="0" t="n">
        <v>37</v>
      </c>
      <c r="Q169" s="5" t="str">
        <f aca="false">IF($D169&lt;&gt;"","["&amp;$E169&amp;"]"&amp;"|"&amp;SUBSTITUTE(SUBSTITUTE($I169,CHAR(61),""),CHAR(34),"")&amp;"|"&amp;$K169&amp;"|"&amp;$G169&amp;"|"&amp;IF($G169="TX_CURR_SUBNAT.R","CY2020Q4",$M169),"")</f>
        <v>[jyhIrCoB31x]|50+|Male|POP_EST.T_1|CY2021Q3</v>
      </c>
    </row>
    <row r="170" customFormat="false" ht="15" hidden="false" customHeight="false" outlineLevel="0" collapsed="false">
      <c r="D170" s="0" t="s">
        <v>101</v>
      </c>
      <c r="E170" s="0" t="s">
        <v>102</v>
      </c>
      <c r="F170" s="0" t="s">
        <v>47</v>
      </c>
      <c r="G170" s="0" t="s">
        <v>52</v>
      </c>
      <c r="H170" s="0" t="s">
        <v>53</v>
      </c>
      <c r="I170" s="0" t="s">
        <v>89</v>
      </c>
      <c r="J170" s="0" t="s">
        <v>90</v>
      </c>
      <c r="K170" s="0" t="s">
        <v>56</v>
      </c>
      <c r="L170" s="0" t="s">
        <v>57</v>
      </c>
      <c r="M170" s="0" t="s">
        <v>50</v>
      </c>
      <c r="N170" s="0" t="n">
        <v>1295</v>
      </c>
      <c r="O170" s="0" t="n">
        <v>14</v>
      </c>
      <c r="P170" s="0" t="n">
        <v>28</v>
      </c>
      <c r="Q170" s="5" t="str">
        <f aca="false">IF($D170&lt;&gt;"","["&amp;$E170&amp;"]"&amp;"|"&amp;SUBSTITUTE(SUBSTITUTE($I170,CHAR(61),""),CHAR(34),"")&amp;"|"&amp;$K170&amp;"|"&amp;$G170&amp;"|"&amp;IF($G170="TX_CURR_SUBNAT.R","CY2020Q4",$M170),"")</f>
        <v>[jyhIrCoB31x]|&lt;01|Female|POP_EST.T_1|CY2021Q3</v>
      </c>
    </row>
    <row r="171" customFormat="false" ht="15" hidden="false" customHeight="false" outlineLevel="0" collapsed="false">
      <c r="D171" s="0" t="s">
        <v>101</v>
      </c>
      <c r="E171" s="0" t="s">
        <v>102</v>
      </c>
      <c r="F171" s="0" t="s">
        <v>47</v>
      </c>
      <c r="G171" s="0" t="s">
        <v>52</v>
      </c>
      <c r="H171" s="0" t="s">
        <v>53</v>
      </c>
      <c r="I171" s="0" t="s">
        <v>89</v>
      </c>
      <c r="J171" s="0" t="s">
        <v>90</v>
      </c>
      <c r="K171" s="0" t="s">
        <v>58</v>
      </c>
      <c r="L171" s="0" t="s">
        <v>59</v>
      </c>
      <c r="M171" s="0" t="s">
        <v>50</v>
      </c>
      <c r="N171" s="0" t="n">
        <v>1274</v>
      </c>
      <c r="O171" s="0" t="n">
        <v>53</v>
      </c>
      <c r="P171" s="0" t="n">
        <v>33</v>
      </c>
      <c r="Q171" s="5" t="str">
        <f aca="false">IF($D171&lt;&gt;"","["&amp;$E171&amp;"]"&amp;"|"&amp;SUBSTITUTE(SUBSTITUTE($I171,CHAR(61),""),CHAR(34),"")&amp;"|"&amp;$K171&amp;"|"&amp;$G171&amp;"|"&amp;IF($G171="TX_CURR_SUBNAT.R","CY2020Q4",$M171),"")</f>
        <v>[jyhIrCoB31x]|&lt;01|Male|POP_EST.T_1|CY2021Q3</v>
      </c>
    </row>
    <row r="172" customFormat="false" ht="15" hidden="false" customHeight="false" outlineLevel="0" collapsed="false">
      <c r="D172" s="0" t="s">
        <v>101</v>
      </c>
      <c r="E172" s="0" t="s">
        <v>102</v>
      </c>
      <c r="F172" s="0" t="s">
        <v>47</v>
      </c>
      <c r="G172" s="0" t="s">
        <v>91</v>
      </c>
      <c r="H172" s="0" t="s">
        <v>92</v>
      </c>
      <c r="I172" s="0" t="s">
        <v>54</v>
      </c>
      <c r="J172" s="0" t="s">
        <v>55</v>
      </c>
      <c r="K172" s="0" t="s">
        <v>56</v>
      </c>
      <c r="L172" s="0" t="s">
        <v>57</v>
      </c>
      <c r="M172" s="0" t="s">
        <v>50</v>
      </c>
      <c r="N172" s="0" t="n">
        <v>0.0064674</v>
      </c>
      <c r="O172" s="0" t="n">
        <v>14</v>
      </c>
      <c r="P172" s="0" t="n">
        <v>25</v>
      </c>
      <c r="Q172" s="5" t="str">
        <f aca="false">IF($D172&lt;&gt;"","["&amp;$E172&amp;"]"&amp;"|"&amp;SUBSTITUTE(SUBSTITUTE($I172,CHAR(61),""),CHAR(34),"")&amp;"|"&amp;$K172&amp;"|"&amp;$G172&amp;"|"&amp;IF($G172="TX_CURR_SUBNAT.R","CY2020Q4",$M172),"")</f>
        <v>[jyhIrCoB31x]|01-04|Female|HIV_PREV.T_1|CY2021Q3</v>
      </c>
    </row>
    <row r="173" customFormat="false" ht="15" hidden="false" customHeight="false" outlineLevel="0" collapsed="false">
      <c r="D173" s="0" t="s">
        <v>101</v>
      </c>
      <c r="E173" s="0" t="s">
        <v>102</v>
      </c>
      <c r="F173" s="0" t="s">
        <v>47</v>
      </c>
      <c r="G173" s="0" t="s">
        <v>91</v>
      </c>
      <c r="H173" s="0" t="s">
        <v>92</v>
      </c>
      <c r="I173" s="0" t="s">
        <v>54</v>
      </c>
      <c r="J173" s="0" t="s">
        <v>55</v>
      </c>
      <c r="K173" s="0" t="s">
        <v>58</v>
      </c>
      <c r="L173" s="0" t="s">
        <v>59</v>
      </c>
      <c r="M173" s="0" t="s">
        <v>50</v>
      </c>
      <c r="N173" s="0" t="n">
        <v>0.0065668</v>
      </c>
      <c r="O173" s="0" t="n">
        <v>9</v>
      </c>
      <c r="P173" s="0" t="n">
        <v>44</v>
      </c>
      <c r="Q173" s="5" t="str">
        <f aca="false">IF($D173&lt;&gt;"","["&amp;$E173&amp;"]"&amp;"|"&amp;SUBSTITUTE(SUBSTITUTE($I173,CHAR(61),""),CHAR(34),"")&amp;"|"&amp;$K173&amp;"|"&amp;$G173&amp;"|"&amp;IF($G173="TX_CURR_SUBNAT.R","CY2020Q4",$M173),"")</f>
        <v>[jyhIrCoB31x]|01-04|Male|HIV_PREV.T_1|CY2021Q3</v>
      </c>
    </row>
    <row r="174" customFormat="false" ht="15" hidden="false" customHeight="false" outlineLevel="0" collapsed="false">
      <c r="D174" s="0" t="s">
        <v>101</v>
      </c>
      <c r="E174" s="0" t="s">
        <v>102</v>
      </c>
      <c r="F174" s="0" t="s">
        <v>47</v>
      </c>
      <c r="G174" s="0" t="s">
        <v>91</v>
      </c>
      <c r="H174" s="0" t="s">
        <v>92</v>
      </c>
      <c r="I174" s="0" t="s">
        <v>61</v>
      </c>
      <c r="J174" s="0" t="s">
        <v>62</v>
      </c>
      <c r="K174" s="0" t="s">
        <v>56</v>
      </c>
      <c r="L174" s="0" t="s">
        <v>57</v>
      </c>
      <c r="M174" s="0" t="s">
        <v>50</v>
      </c>
      <c r="N174" s="0" t="n">
        <v>0.0235236</v>
      </c>
      <c r="O174" s="0" t="n">
        <v>15</v>
      </c>
      <c r="P174" s="0" t="n">
        <v>8</v>
      </c>
      <c r="Q174" s="5" t="str">
        <f aca="false">IF($D174&lt;&gt;"","["&amp;$E174&amp;"]"&amp;"|"&amp;SUBSTITUTE(SUBSTITUTE($I174,CHAR(61),""),CHAR(34),"")&amp;"|"&amp;$K174&amp;"|"&amp;$G174&amp;"|"&amp;IF($G174="TX_CURR_SUBNAT.R","CY2020Q4",$M174),"")</f>
        <v>[jyhIrCoB31x]|10-14|Female|HIV_PREV.T_1|CY2021Q3</v>
      </c>
    </row>
    <row r="175" customFormat="false" ht="15" hidden="false" customHeight="false" outlineLevel="0" collapsed="false">
      <c r="D175" s="0" t="s">
        <v>101</v>
      </c>
      <c r="E175" s="0" t="s">
        <v>102</v>
      </c>
      <c r="F175" s="0" t="s">
        <v>47</v>
      </c>
      <c r="G175" s="0" t="s">
        <v>91</v>
      </c>
      <c r="H175" s="0" t="s">
        <v>92</v>
      </c>
      <c r="I175" s="0" t="s">
        <v>61</v>
      </c>
      <c r="J175" s="0" t="s">
        <v>62</v>
      </c>
      <c r="K175" s="0" t="s">
        <v>58</v>
      </c>
      <c r="L175" s="0" t="s">
        <v>59</v>
      </c>
      <c r="M175" s="0" t="s">
        <v>50</v>
      </c>
      <c r="N175" s="0" t="n">
        <v>0.0233775</v>
      </c>
      <c r="O175" s="0" t="n">
        <v>54</v>
      </c>
      <c r="P175" s="0" t="n">
        <v>45</v>
      </c>
      <c r="Q175" s="5" t="str">
        <f aca="false">IF($D175&lt;&gt;"","["&amp;$E175&amp;"]"&amp;"|"&amp;SUBSTITUTE(SUBSTITUTE($I175,CHAR(61),""),CHAR(34),"")&amp;"|"&amp;$K175&amp;"|"&amp;$G175&amp;"|"&amp;IF($G175="TX_CURR_SUBNAT.R","CY2020Q4",$M175),"")</f>
        <v>[jyhIrCoB31x]|10-14|Male|HIV_PREV.T_1|CY2021Q3</v>
      </c>
    </row>
    <row r="176" customFormat="false" ht="15" hidden="false" customHeight="false" outlineLevel="0" collapsed="false">
      <c r="D176" s="0" t="s">
        <v>101</v>
      </c>
      <c r="E176" s="0" t="s">
        <v>102</v>
      </c>
      <c r="F176" s="0" t="s">
        <v>47</v>
      </c>
      <c r="G176" s="0" t="s">
        <v>91</v>
      </c>
      <c r="H176" s="0" t="s">
        <v>92</v>
      </c>
      <c r="I176" s="0" t="s">
        <v>63</v>
      </c>
      <c r="J176" s="0" t="s">
        <v>64</v>
      </c>
      <c r="K176" s="0" t="s">
        <v>56</v>
      </c>
      <c r="L176" s="0" t="s">
        <v>57</v>
      </c>
      <c r="M176" s="0" t="s">
        <v>50</v>
      </c>
      <c r="N176" s="0" t="n">
        <v>0.0439496</v>
      </c>
      <c r="O176" s="0" t="n">
        <v>51</v>
      </c>
      <c r="P176" s="0" t="n">
        <v>3</v>
      </c>
      <c r="Q176" s="5" t="str">
        <f aca="false">IF($D176&lt;&gt;"","["&amp;$E176&amp;"]"&amp;"|"&amp;SUBSTITUTE(SUBSTITUTE($I176,CHAR(61),""),CHAR(34),"")&amp;"|"&amp;$K176&amp;"|"&amp;$G176&amp;"|"&amp;IF($G176="TX_CURR_SUBNAT.R","CY2020Q4",$M176),"")</f>
        <v>[jyhIrCoB31x]|15-19|Female|HIV_PREV.T_1|CY2021Q3</v>
      </c>
    </row>
    <row r="177" customFormat="false" ht="15" hidden="false" customHeight="false" outlineLevel="0" collapsed="false">
      <c r="D177" s="0" t="s">
        <v>101</v>
      </c>
      <c r="E177" s="0" t="s">
        <v>102</v>
      </c>
      <c r="F177" s="0" t="s">
        <v>47</v>
      </c>
      <c r="G177" s="0" t="s">
        <v>91</v>
      </c>
      <c r="H177" s="0" t="s">
        <v>92</v>
      </c>
      <c r="I177" s="0" t="s">
        <v>63</v>
      </c>
      <c r="J177" s="0" t="s">
        <v>64</v>
      </c>
      <c r="K177" s="0" t="s">
        <v>58</v>
      </c>
      <c r="L177" s="0" t="s">
        <v>59</v>
      </c>
      <c r="M177" s="0" t="s">
        <v>50</v>
      </c>
      <c r="N177" s="0" t="n">
        <v>0.0250636</v>
      </c>
      <c r="O177" s="0" t="n">
        <v>32</v>
      </c>
      <c r="P177" s="0" t="n">
        <v>47</v>
      </c>
      <c r="Q177" s="5" t="str">
        <f aca="false">IF($D177&lt;&gt;"","["&amp;$E177&amp;"]"&amp;"|"&amp;SUBSTITUTE(SUBSTITUTE($I177,CHAR(61),""),CHAR(34),"")&amp;"|"&amp;$K177&amp;"|"&amp;$G177&amp;"|"&amp;IF($G177="TX_CURR_SUBNAT.R","CY2020Q4",$M177),"")</f>
        <v>[jyhIrCoB31x]|15-19|Male|HIV_PREV.T_1|CY2021Q3</v>
      </c>
    </row>
    <row r="178" customFormat="false" ht="15" hidden="false" customHeight="false" outlineLevel="0" collapsed="false">
      <c r="D178" s="0" t="s">
        <v>101</v>
      </c>
      <c r="E178" s="0" t="s">
        <v>102</v>
      </c>
      <c r="F178" s="0" t="s">
        <v>47</v>
      </c>
      <c r="G178" s="0" t="s">
        <v>91</v>
      </c>
      <c r="H178" s="0" t="s">
        <v>92</v>
      </c>
      <c r="I178" s="0" t="s">
        <v>66</v>
      </c>
      <c r="J178" s="0" t="s">
        <v>67</v>
      </c>
      <c r="K178" s="0" t="s">
        <v>56</v>
      </c>
      <c r="L178" s="0" t="s">
        <v>57</v>
      </c>
      <c r="M178" s="0" t="s">
        <v>50</v>
      </c>
      <c r="N178" s="0" t="n">
        <v>0.1293446</v>
      </c>
      <c r="O178" s="0" t="n">
        <v>20</v>
      </c>
      <c r="P178" s="0" t="n">
        <v>29</v>
      </c>
      <c r="Q178" s="5" t="str">
        <f aca="false">IF($D178&lt;&gt;"","["&amp;$E178&amp;"]"&amp;"|"&amp;SUBSTITUTE(SUBSTITUTE($I178,CHAR(61),""),CHAR(34),"")&amp;"|"&amp;$K178&amp;"|"&amp;$G178&amp;"|"&amp;IF($G178="TX_CURR_SUBNAT.R","CY2020Q4",$M178),"")</f>
        <v>[jyhIrCoB31x]|20-24|Female|HIV_PREV.T_1|CY2021Q3</v>
      </c>
    </row>
    <row r="179" customFormat="false" ht="15" hidden="false" customHeight="false" outlineLevel="0" collapsed="false">
      <c r="D179" s="0" t="s">
        <v>101</v>
      </c>
      <c r="E179" s="0" t="s">
        <v>102</v>
      </c>
      <c r="F179" s="0" t="s">
        <v>47</v>
      </c>
      <c r="G179" s="0" t="s">
        <v>91</v>
      </c>
      <c r="H179" s="0" t="s">
        <v>92</v>
      </c>
      <c r="I179" s="0" t="s">
        <v>66</v>
      </c>
      <c r="J179" s="0" t="s">
        <v>67</v>
      </c>
      <c r="K179" s="0" t="s">
        <v>58</v>
      </c>
      <c r="L179" s="0" t="s">
        <v>59</v>
      </c>
      <c r="M179" s="0" t="s">
        <v>50</v>
      </c>
      <c r="N179" s="0" t="n">
        <v>0.0467494</v>
      </c>
      <c r="O179" s="0" t="n">
        <v>46</v>
      </c>
      <c r="P179" s="0" t="n">
        <v>6</v>
      </c>
      <c r="Q179" s="5" t="str">
        <f aca="false">IF($D179&lt;&gt;"","["&amp;$E179&amp;"]"&amp;"|"&amp;SUBSTITUTE(SUBSTITUTE($I179,CHAR(61),""),CHAR(34),"")&amp;"|"&amp;$K179&amp;"|"&amp;$G179&amp;"|"&amp;IF($G179="TX_CURR_SUBNAT.R","CY2020Q4",$M179),"")</f>
        <v>[jyhIrCoB31x]|20-24|Male|HIV_PREV.T_1|CY2021Q3</v>
      </c>
    </row>
    <row r="180" customFormat="false" ht="15" hidden="false" customHeight="false" outlineLevel="0" collapsed="false">
      <c r="D180" s="0" t="s">
        <v>101</v>
      </c>
      <c r="E180" s="0" t="s">
        <v>102</v>
      </c>
      <c r="F180" s="0" t="s">
        <v>47</v>
      </c>
      <c r="G180" s="0" t="s">
        <v>91</v>
      </c>
      <c r="H180" s="0" t="s">
        <v>92</v>
      </c>
      <c r="I180" s="0" t="s">
        <v>69</v>
      </c>
      <c r="J180" s="0" t="s">
        <v>70</v>
      </c>
      <c r="K180" s="0" t="s">
        <v>56</v>
      </c>
      <c r="L180" s="0" t="s">
        <v>57</v>
      </c>
      <c r="M180" s="0" t="s">
        <v>50</v>
      </c>
      <c r="N180" s="0" t="n">
        <v>0.2308018</v>
      </c>
      <c r="O180" s="0" t="n">
        <v>23</v>
      </c>
      <c r="P180" s="0" t="n">
        <v>32</v>
      </c>
      <c r="Q180" s="5" t="str">
        <f aca="false">IF($D180&lt;&gt;"","["&amp;$E180&amp;"]"&amp;"|"&amp;SUBSTITUTE(SUBSTITUTE($I180,CHAR(61),""),CHAR(34),"")&amp;"|"&amp;$K180&amp;"|"&amp;$G180&amp;"|"&amp;IF($G180="TX_CURR_SUBNAT.R","CY2020Q4",$M180),"")</f>
        <v>[jyhIrCoB31x]|25-29|Female|HIV_PREV.T_1|CY2021Q3</v>
      </c>
    </row>
    <row r="181" customFormat="false" ht="15" hidden="false" customHeight="false" outlineLevel="0" collapsed="false">
      <c r="D181" s="0" t="s">
        <v>101</v>
      </c>
      <c r="E181" s="0" t="s">
        <v>102</v>
      </c>
      <c r="F181" s="0" t="s">
        <v>47</v>
      </c>
      <c r="G181" s="0" t="s">
        <v>91</v>
      </c>
      <c r="H181" s="0" t="s">
        <v>92</v>
      </c>
      <c r="I181" s="0" t="s">
        <v>69</v>
      </c>
      <c r="J181" s="0" t="s">
        <v>70</v>
      </c>
      <c r="K181" s="0" t="s">
        <v>58</v>
      </c>
      <c r="L181" s="0" t="s">
        <v>59</v>
      </c>
      <c r="M181" s="0" t="s">
        <v>50</v>
      </c>
      <c r="N181" s="0" t="n">
        <v>0.0985727</v>
      </c>
      <c r="O181" s="0" t="n">
        <v>9</v>
      </c>
      <c r="P181" s="0" t="n">
        <v>24</v>
      </c>
      <c r="Q181" s="5" t="str">
        <f aca="false">IF($D181&lt;&gt;"","["&amp;$E181&amp;"]"&amp;"|"&amp;SUBSTITUTE(SUBSTITUTE($I181,CHAR(61),""),CHAR(34),"")&amp;"|"&amp;$K181&amp;"|"&amp;$G181&amp;"|"&amp;IF($G181="TX_CURR_SUBNAT.R","CY2020Q4",$M181),"")</f>
        <v>[jyhIrCoB31x]|25-29|Male|HIV_PREV.T_1|CY2021Q3</v>
      </c>
    </row>
    <row r="182" customFormat="false" ht="15" hidden="false" customHeight="false" outlineLevel="0" collapsed="false">
      <c r="D182" s="0" t="s">
        <v>101</v>
      </c>
      <c r="E182" s="0" t="s">
        <v>102</v>
      </c>
      <c r="F182" s="0" t="s">
        <v>47</v>
      </c>
      <c r="G182" s="0" t="s">
        <v>91</v>
      </c>
      <c r="H182" s="0" t="s">
        <v>92</v>
      </c>
      <c r="I182" s="0" t="s">
        <v>72</v>
      </c>
      <c r="J182" s="0" t="s">
        <v>73</v>
      </c>
      <c r="K182" s="0" t="s">
        <v>56</v>
      </c>
      <c r="L182" s="0" t="s">
        <v>57</v>
      </c>
      <c r="M182" s="0" t="s">
        <v>50</v>
      </c>
      <c r="N182" s="0" t="n">
        <v>0.3463225</v>
      </c>
      <c r="O182" s="0" t="n">
        <v>19</v>
      </c>
      <c r="P182" s="0" t="n">
        <v>24</v>
      </c>
      <c r="Q182" s="5" t="str">
        <f aca="false">IF($D182&lt;&gt;"","["&amp;$E182&amp;"]"&amp;"|"&amp;SUBSTITUTE(SUBSTITUTE($I182,CHAR(61),""),CHAR(34),"")&amp;"|"&amp;$K182&amp;"|"&amp;$G182&amp;"|"&amp;IF($G182="TX_CURR_SUBNAT.R","CY2020Q4",$M182),"")</f>
        <v>[jyhIrCoB31x]|30-34|Female|HIV_PREV.T_1|CY2021Q3</v>
      </c>
    </row>
    <row r="183" customFormat="false" ht="15" hidden="false" customHeight="false" outlineLevel="0" collapsed="false">
      <c r="D183" s="0" t="s">
        <v>101</v>
      </c>
      <c r="E183" s="0" t="s">
        <v>102</v>
      </c>
      <c r="F183" s="0" t="s">
        <v>47</v>
      </c>
      <c r="G183" s="0" t="s">
        <v>91</v>
      </c>
      <c r="H183" s="0" t="s">
        <v>92</v>
      </c>
      <c r="I183" s="0" t="s">
        <v>72</v>
      </c>
      <c r="J183" s="0" t="s">
        <v>73</v>
      </c>
      <c r="K183" s="0" t="s">
        <v>58</v>
      </c>
      <c r="L183" s="0" t="s">
        <v>59</v>
      </c>
      <c r="M183" s="0" t="s">
        <v>50</v>
      </c>
      <c r="N183" s="0" t="n">
        <v>0.1815696</v>
      </c>
      <c r="O183" s="0" t="n">
        <v>26</v>
      </c>
      <c r="P183" s="0" t="n">
        <v>34</v>
      </c>
      <c r="Q183" s="5" t="str">
        <f aca="false">IF($D183&lt;&gt;"","["&amp;$E183&amp;"]"&amp;"|"&amp;SUBSTITUTE(SUBSTITUTE($I183,CHAR(61),""),CHAR(34),"")&amp;"|"&amp;$K183&amp;"|"&amp;$G183&amp;"|"&amp;IF($G183="TX_CURR_SUBNAT.R","CY2020Q4",$M183),"")</f>
        <v>[jyhIrCoB31x]|30-34|Male|HIV_PREV.T_1|CY2021Q3</v>
      </c>
    </row>
    <row r="184" customFormat="false" ht="15" hidden="false" customHeight="false" outlineLevel="0" collapsed="false">
      <c r="D184" s="0" t="s">
        <v>101</v>
      </c>
      <c r="E184" s="0" t="s">
        <v>102</v>
      </c>
      <c r="F184" s="0" t="s">
        <v>47</v>
      </c>
      <c r="G184" s="0" t="s">
        <v>91</v>
      </c>
      <c r="H184" s="0" t="s">
        <v>92</v>
      </c>
      <c r="I184" s="0" t="s">
        <v>75</v>
      </c>
      <c r="J184" s="0" t="s">
        <v>76</v>
      </c>
      <c r="K184" s="0" t="s">
        <v>56</v>
      </c>
      <c r="L184" s="0" t="s">
        <v>57</v>
      </c>
      <c r="M184" s="0" t="s">
        <v>50</v>
      </c>
      <c r="N184" s="0" t="n">
        <v>0.4156875</v>
      </c>
      <c r="O184" s="0" t="n">
        <v>44</v>
      </c>
      <c r="P184" s="0" t="n">
        <v>34</v>
      </c>
      <c r="Q184" s="5" t="str">
        <f aca="false">IF($D184&lt;&gt;"","["&amp;$E184&amp;"]"&amp;"|"&amp;SUBSTITUTE(SUBSTITUTE($I184,CHAR(61),""),CHAR(34),"")&amp;"|"&amp;$K184&amp;"|"&amp;$G184&amp;"|"&amp;IF($G184="TX_CURR_SUBNAT.R","CY2020Q4",$M184),"")</f>
        <v>[jyhIrCoB31x]|35-39|Female|HIV_PREV.T_1|CY2021Q3</v>
      </c>
    </row>
    <row r="185" customFormat="false" ht="15" hidden="false" customHeight="false" outlineLevel="0" collapsed="false">
      <c r="D185" s="0" t="s">
        <v>101</v>
      </c>
      <c r="E185" s="0" t="s">
        <v>102</v>
      </c>
      <c r="F185" s="0" t="s">
        <v>47</v>
      </c>
      <c r="G185" s="0" t="s">
        <v>91</v>
      </c>
      <c r="H185" s="0" t="s">
        <v>92</v>
      </c>
      <c r="I185" s="0" t="s">
        <v>75</v>
      </c>
      <c r="J185" s="0" t="s">
        <v>76</v>
      </c>
      <c r="K185" s="0" t="s">
        <v>58</v>
      </c>
      <c r="L185" s="0" t="s">
        <v>59</v>
      </c>
      <c r="M185" s="0" t="s">
        <v>50</v>
      </c>
      <c r="N185" s="0" t="n">
        <v>0.2661159</v>
      </c>
      <c r="O185" s="0" t="n">
        <v>12</v>
      </c>
      <c r="P185" s="0" t="n">
        <v>15</v>
      </c>
      <c r="Q185" s="5" t="str">
        <f aca="false">IF($D185&lt;&gt;"","["&amp;$E185&amp;"]"&amp;"|"&amp;SUBSTITUTE(SUBSTITUTE($I185,CHAR(61),""),CHAR(34),"")&amp;"|"&amp;$K185&amp;"|"&amp;$G185&amp;"|"&amp;IF($G185="TX_CURR_SUBNAT.R","CY2020Q4",$M185),"")</f>
        <v>[jyhIrCoB31x]|35-39|Male|HIV_PREV.T_1|CY2021Q3</v>
      </c>
    </row>
    <row r="186" customFormat="false" ht="15" hidden="false" customHeight="false" outlineLevel="0" collapsed="false">
      <c r="D186" s="0" t="s">
        <v>101</v>
      </c>
      <c r="E186" s="0" t="s">
        <v>102</v>
      </c>
      <c r="F186" s="0" t="s">
        <v>47</v>
      </c>
      <c r="G186" s="0" t="s">
        <v>91</v>
      </c>
      <c r="H186" s="0" t="s">
        <v>92</v>
      </c>
      <c r="I186" s="0" t="s">
        <v>77</v>
      </c>
      <c r="J186" s="0" t="s">
        <v>78</v>
      </c>
      <c r="K186" s="0" t="s">
        <v>56</v>
      </c>
      <c r="L186" s="0" t="s">
        <v>57</v>
      </c>
      <c r="M186" s="0" t="s">
        <v>50</v>
      </c>
      <c r="N186" s="0" t="n">
        <v>0.4482321</v>
      </c>
      <c r="O186" s="0" t="n">
        <v>33</v>
      </c>
      <c r="P186" s="0" t="n">
        <v>48</v>
      </c>
      <c r="Q186" s="5" t="str">
        <f aca="false">IF($D186&lt;&gt;"","["&amp;$E186&amp;"]"&amp;"|"&amp;SUBSTITUTE(SUBSTITUTE($I186,CHAR(61),""),CHAR(34),"")&amp;"|"&amp;$K186&amp;"|"&amp;$G186&amp;"|"&amp;IF($G186="TX_CURR_SUBNAT.R","CY2020Q4",$M186),"")</f>
        <v>[jyhIrCoB31x]|40-44|Female|HIV_PREV.T_1|CY2021Q3</v>
      </c>
    </row>
    <row r="187" customFormat="false" ht="15" hidden="false" customHeight="false" outlineLevel="0" collapsed="false">
      <c r="D187" s="0" t="s">
        <v>101</v>
      </c>
      <c r="E187" s="0" t="s">
        <v>102</v>
      </c>
      <c r="F187" s="0" t="s">
        <v>47</v>
      </c>
      <c r="G187" s="0" t="s">
        <v>91</v>
      </c>
      <c r="H187" s="0" t="s">
        <v>92</v>
      </c>
      <c r="I187" s="0" t="s">
        <v>77</v>
      </c>
      <c r="J187" s="0" t="s">
        <v>78</v>
      </c>
      <c r="K187" s="0" t="s">
        <v>58</v>
      </c>
      <c r="L187" s="0" t="s">
        <v>59</v>
      </c>
      <c r="M187" s="0" t="s">
        <v>50</v>
      </c>
      <c r="N187" s="0" t="n">
        <v>0.3440514</v>
      </c>
      <c r="O187" s="0" t="n">
        <v>39</v>
      </c>
      <c r="P187" s="0" t="n">
        <v>38</v>
      </c>
      <c r="Q187" s="5" t="str">
        <f aca="false">IF($D187&lt;&gt;"","["&amp;$E187&amp;"]"&amp;"|"&amp;SUBSTITUTE(SUBSTITUTE($I187,CHAR(61),""),CHAR(34),"")&amp;"|"&amp;$K187&amp;"|"&amp;$G187&amp;"|"&amp;IF($G187="TX_CURR_SUBNAT.R","CY2020Q4",$M187),"")</f>
        <v>[jyhIrCoB31x]|40-44|Male|HIV_PREV.T_1|CY2021Q3</v>
      </c>
    </row>
    <row r="188" customFormat="false" ht="15" hidden="false" customHeight="false" outlineLevel="0" collapsed="false">
      <c r="D188" s="0" t="s">
        <v>101</v>
      </c>
      <c r="E188" s="0" t="s">
        <v>102</v>
      </c>
      <c r="F188" s="0" t="s">
        <v>47</v>
      </c>
      <c r="G188" s="0" t="s">
        <v>91</v>
      </c>
      <c r="H188" s="0" t="s">
        <v>92</v>
      </c>
      <c r="I188" s="0" t="s">
        <v>80</v>
      </c>
      <c r="J188" s="0" t="s">
        <v>81</v>
      </c>
      <c r="K188" s="0" t="s">
        <v>56</v>
      </c>
      <c r="L188" s="0" t="s">
        <v>57</v>
      </c>
      <c r="M188" s="0" t="s">
        <v>50</v>
      </c>
      <c r="N188" s="0" t="n">
        <v>0.4676123</v>
      </c>
      <c r="O188" s="0" t="n">
        <v>41</v>
      </c>
      <c r="P188" s="0" t="n">
        <v>21</v>
      </c>
      <c r="Q188" s="5" t="str">
        <f aca="false">IF($D188&lt;&gt;"","["&amp;$E188&amp;"]"&amp;"|"&amp;SUBSTITUTE(SUBSTITUTE($I188,CHAR(61),""),CHAR(34),"")&amp;"|"&amp;$K188&amp;"|"&amp;$G188&amp;"|"&amp;IF($G188="TX_CURR_SUBNAT.R","CY2020Q4",$M188),"")</f>
        <v>[jyhIrCoB31x]|45-49|Female|HIV_PREV.T_1|CY2021Q3</v>
      </c>
    </row>
    <row r="189" customFormat="false" ht="15" hidden="false" customHeight="false" outlineLevel="0" collapsed="false">
      <c r="D189" s="0" t="s">
        <v>101</v>
      </c>
      <c r="E189" s="0" t="s">
        <v>102</v>
      </c>
      <c r="F189" s="0" t="s">
        <v>47</v>
      </c>
      <c r="G189" s="0" t="s">
        <v>91</v>
      </c>
      <c r="H189" s="0" t="s">
        <v>92</v>
      </c>
      <c r="I189" s="0" t="s">
        <v>80</v>
      </c>
      <c r="J189" s="0" t="s">
        <v>81</v>
      </c>
      <c r="K189" s="0" t="s">
        <v>58</v>
      </c>
      <c r="L189" s="0" t="s">
        <v>59</v>
      </c>
      <c r="M189" s="0" t="s">
        <v>50</v>
      </c>
      <c r="N189" s="0" t="n">
        <v>0.4093487</v>
      </c>
      <c r="O189" s="0" t="n">
        <v>15</v>
      </c>
      <c r="P189" s="0" t="n">
        <v>29</v>
      </c>
      <c r="Q189" s="5" t="str">
        <f aca="false">IF($D189&lt;&gt;"","["&amp;$E189&amp;"]"&amp;"|"&amp;SUBSTITUTE(SUBSTITUTE($I189,CHAR(61),""),CHAR(34),"")&amp;"|"&amp;$K189&amp;"|"&amp;$G189&amp;"|"&amp;IF($G189="TX_CURR_SUBNAT.R","CY2020Q4",$M189),"")</f>
        <v>[jyhIrCoB31x]|45-49|Male|HIV_PREV.T_1|CY2021Q3</v>
      </c>
    </row>
    <row r="190" customFormat="false" ht="15" hidden="false" customHeight="false" outlineLevel="0" collapsed="false">
      <c r="D190" s="0" t="s">
        <v>101</v>
      </c>
      <c r="E190" s="0" t="s">
        <v>102</v>
      </c>
      <c r="F190" s="0" t="s">
        <v>47</v>
      </c>
      <c r="G190" s="0" t="s">
        <v>91</v>
      </c>
      <c r="H190" s="0" t="s">
        <v>92</v>
      </c>
      <c r="I190" s="0" t="s">
        <v>83</v>
      </c>
      <c r="J190" s="0" t="s">
        <v>84</v>
      </c>
      <c r="K190" s="0" t="s">
        <v>56</v>
      </c>
      <c r="L190" s="0" t="s">
        <v>57</v>
      </c>
      <c r="M190" s="0" t="s">
        <v>50</v>
      </c>
      <c r="N190" s="0" t="n">
        <v>0.013411</v>
      </c>
      <c r="O190" s="0" t="n">
        <v>17</v>
      </c>
      <c r="P190" s="0" t="n">
        <v>8</v>
      </c>
      <c r="Q190" s="5" t="str">
        <f aca="false">IF($D190&lt;&gt;"","["&amp;$E190&amp;"]"&amp;"|"&amp;SUBSTITUTE(SUBSTITUTE($I190,CHAR(61),""),CHAR(34),"")&amp;"|"&amp;$K190&amp;"|"&amp;$G190&amp;"|"&amp;IF($G190="TX_CURR_SUBNAT.R","CY2020Q4",$M190),"")</f>
        <v>[jyhIrCoB31x]|05-09|Female|HIV_PREV.T_1|CY2021Q3</v>
      </c>
    </row>
    <row r="191" customFormat="false" ht="15" hidden="false" customHeight="false" outlineLevel="0" collapsed="false">
      <c r="D191" s="0" t="s">
        <v>101</v>
      </c>
      <c r="E191" s="0" t="s">
        <v>102</v>
      </c>
      <c r="F191" s="0" t="s">
        <v>47</v>
      </c>
      <c r="G191" s="0" t="s">
        <v>91</v>
      </c>
      <c r="H191" s="0" t="s">
        <v>92</v>
      </c>
      <c r="I191" s="0" t="s">
        <v>83</v>
      </c>
      <c r="J191" s="0" t="s">
        <v>84</v>
      </c>
      <c r="K191" s="0" t="s">
        <v>58</v>
      </c>
      <c r="L191" s="0" t="s">
        <v>59</v>
      </c>
      <c r="M191" s="0" t="s">
        <v>50</v>
      </c>
      <c r="N191" s="0" t="n">
        <v>0.0132263</v>
      </c>
      <c r="O191" s="0" t="n">
        <v>27</v>
      </c>
      <c r="P191" s="0" t="n">
        <v>49</v>
      </c>
      <c r="Q191" s="5" t="str">
        <f aca="false">IF($D191&lt;&gt;"","["&amp;$E191&amp;"]"&amp;"|"&amp;SUBSTITUTE(SUBSTITUTE($I191,CHAR(61),""),CHAR(34),"")&amp;"|"&amp;$K191&amp;"|"&amp;$G191&amp;"|"&amp;IF($G191="TX_CURR_SUBNAT.R","CY2020Q4",$M191),"")</f>
        <v>[jyhIrCoB31x]|05-09|Male|HIV_PREV.T_1|CY2021Q3</v>
      </c>
    </row>
    <row r="192" customFormat="false" ht="15" hidden="false" customHeight="false" outlineLevel="0" collapsed="false">
      <c r="D192" s="0" t="s">
        <v>101</v>
      </c>
      <c r="E192" s="0" t="s">
        <v>102</v>
      </c>
      <c r="F192" s="0" t="s">
        <v>47</v>
      </c>
      <c r="G192" s="0" t="s">
        <v>91</v>
      </c>
      <c r="H192" s="0" t="s">
        <v>92</v>
      </c>
      <c r="I192" s="53" t="s">
        <v>86</v>
      </c>
      <c r="J192" s="0" t="s">
        <v>87</v>
      </c>
      <c r="K192" s="0" t="s">
        <v>56</v>
      </c>
      <c r="L192" s="0" t="s">
        <v>57</v>
      </c>
      <c r="M192" s="0" t="s">
        <v>50</v>
      </c>
      <c r="N192" s="0" t="n">
        <v>0.2273606</v>
      </c>
      <c r="O192" s="0" t="n">
        <v>27</v>
      </c>
      <c r="P192" s="0" t="n">
        <v>44</v>
      </c>
      <c r="Q192" s="5" t="str">
        <f aca="false">IF($D192&lt;&gt;"","["&amp;$E192&amp;"]"&amp;"|"&amp;SUBSTITUTE(SUBSTITUTE($I192,CHAR(61),""),CHAR(34),"")&amp;"|"&amp;$K192&amp;"|"&amp;$G192&amp;"|"&amp;IF($G192="TX_CURR_SUBNAT.R","CY2020Q4",$M192),"")</f>
        <v>[jyhIrCoB31x]|50+|Female|HIV_PREV.T_1|CY2021Q3</v>
      </c>
    </row>
    <row r="193" customFormat="false" ht="15" hidden="false" customHeight="false" outlineLevel="0" collapsed="false">
      <c r="D193" s="0" t="s">
        <v>101</v>
      </c>
      <c r="E193" s="0" t="s">
        <v>102</v>
      </c>
      <c r="F193" s="0" t="s">
        <v>47</v>
      </c>
      <c r="G193" s="0" t="s">
        <v>91</v>
      </c>
      <c r="H193" s="0" t="s">
        <v>92</v>
      </c>
      <c r="I193" s="53" t="s">
        <v>86</v>
      </c>
      <c r="J193" s="0" t="s">
        <v>87</v>
      </c>
      <c r="K193" s="0" t="s">
        <v>58</v>
      </c>
      <c r="L193" s="0" t="s">
        <v>59</v>
      </c>
      <c r="M193" s="0" t="s">
        <v>50</v>
      </c>
      <c r="N193" s="0" t="n">
        <v>0.2629713</v>
      </c>
      <c r="O193" s="0" t="n">
        <v>12</v>
      </c>
      <c r="P193" s="0" t="n">
        <v>8</v>
      </c>
      <c r="Q193" s="5" t="str">
        <f aca="false">IF($D193&lt;&gt;"","["&amp;$E193&amp;"]"&amp;"|"&amp;SUBSTITUTE(SUBSTITUTE($I193,CHAR(61),""),CHAR(34),"")&amp;"|"&amp;$K193&amp;"|"&amp;$G193&amp;"|"&amp;IF($G193="TX_CURR_SUBNAT.R","CY2020Q4",$M193),"")</f>
        <v>[jyhIrCoB31x]|50+|Male|HIV_PREV.T_1|CY2021Q3</v>
      </c>
    </row>
    <row r="194" customFormat="false" ht="15" hidden="false" customHeight="false" outlineLevel="0" collapsed="false">
      <c r="D194" s="0" t="s">
        <v>101</v>
      </c>
      <c r="E194" s="0" t="s">
        <v>102</v>
      </c>
      <c r="F194" s="0" t="s">
        <v>47</v>
      </c>
      <c r="G194" s="0" t="s">
        <v>91</v>
      </c>
      <c r="H194" s="0" t="s">
        <v>92</v>
      </c>
      <c r="I194" s="0" t="s">
        <v>89</v>
      </c>
      <c r="J194" s="0" t="s">
        <v>90</v>
      </c>
      <c r="K194" s="0" t="s">
        <v>56</v>
      </c>
      <c r="L194" s="0" t="s">
        <v>57</v>
      </c>
      <c r="M194" s="0" t="s">
        <v>50</v>
      </c>
      <c r="N194" s="0" t="n">
        <v>0.0061156</v>
      </c>
      <c r="O194" s="0" t="n">
        <v>20</v>
      </c>
      <c r="P194" s="0" t="n">
        <v>42</v>
      </c>
      <c r="Q194" s="5" t="str">
        <f aca="false">IF($D194&lt;&gt;"","["&amp;$E194&amp;"]"&amp;"|"&amp;SUBSTITUTE(SUBSTITUTE($I194,CHAR(61),""),CHAR(34),"")&amp;"|"&amp;$K194&amp;"|"&amp;$G194&amp;"|"&amp;IF($G194="TX_CURR_SUBNAT.R","CY2020Q4",$M194),"")</f>
        <v>[jyhIrCoB31x]|&lt;01|Female|HIV_PREV.T_1|CY2021Q3</v>
      </c>
    </row>
    <row r="195" customFormat="false" ht="15" hidden="false" customHeight="false" outlineLevel="0" collapsed="false">
      <c r="D195" s="0" t="s">
        <v>101</v>
      </c>
      <c r="E195" s="0" t="s">
        <v>102</v>
      </c>
      <c r="F195" s="0" t="s">
        <v>47</v>
      </c>
      <c r="G195" s="0" t="s">
        <v>91</v>
      </c>
      <c r="H195" s="0" t="s">
        <v>92</v>
      </c>
      <c r="I195" s="0" t="s">
        <v>89</v>
      </c>
      <c r="J195" s="0" t="s">
        <v>90</v>
      </c>
      <c r="K195" s="0" t="s">
        <v>58</v>
      </c>
      <c r="L195" s="0" t="s">
        <v>59</v>
      </c>
      <c r="M195" s="0" t="s">
        <v>50</v>
      </c>
      <c r="N195" s="0" t="n">
        <v>0.0062096</v>
      </c>
      <c r="O195" s="0" t="n">
        <v>4</v>
      </c>
      <c r="P195" s="0" t="n">
        <v>41</v>
      </c>
      <c r="Q195" s="5" t="str">
        <f aca="false">IF($D195&lt;&gt;"","["&amp;$E195&amp;"]"&amp;"|"&amp;SUBSTITUTE(SUBSTITUTE($I195,CHAR(61),""),CHAR(34),"")&amp;"|"&amp;$K195&amp;"|"&amp;$G195&amp;"|"&amp;IF($G195="TX_CURR_SUBNAT.R","CY2020Q4",$M195),"")</f>
        <v>[jyhIrCoB31x]|&lt;01|Male|HIV_PREV.T_1|CY2021Q3</v>
      </c>
    </row>
    <row r="196" customFormat="false" ht="15" hidden="false" customHeight="false" outlineLevel="0" collapsed="false">
      <c r="D196" s="0" t="s">
        <v>101</v>
      </c>
      <c r="E196" s="0" t="s">
        <v>102</v>
      </c>
      <c r="F196" s="0" t="s">
        <v>47</v>
      </c>
      <c r="G196" s="0" t="s">
        <v>93</v>
      </c>
      <c r="H196" s="0" t="s">
        <v>94</v>
      </c>
      <c r="I196" s="0" t="s">
        <v>54</v>
      </c>
      <c r="J196" s="0" t="s">
        <v>55</v>
      </c>
      <c r="K196" s="0" t="s">
        <v>56</v>
      </c>
      <c r="L196" s="0" t="s">
        <v>57</v>
      </c>
      <c r="M196" s="0" t="s">
        <v>50</v>
      </c>
      <c r="N196" s="0" t="n">
        <v>17</v>
      </c>
      <c r="O196" s="0" t="n">
        <v>5</v>
      </c>
      <c r="P196" s="0" t="n">
        <v>44</v>
      </c>
      <c r="Q196" s="5" t="str">
        <f aca="false">IF($D196&lt;&gt;"","["&amp;$E196&amp;"]"&amp;"|"&amp;SUBSTITUTE(SUBSTITUTE($I196,CHAR(61),""),CHAR(34),"")&amp;"|"&amp;$K196&amp;"|"&amp;$G196&amp;"|"&amp;IF($G196="TX_CURR_SUBNAT.R","CY2020Q4",$M196),"")</f>
        <v>[jyhIrCoB31x]|01-04|Female|DIAGNOSED_SUBNAT.T_1|CY2021Q3</v>
      </c>
    </row>
    <row r="197" customFormat="false" ht="15" hidden="false" customHeight="false" outlineLevel="0" collapsed="false">
      <c r="D197" s="0" t="s">
        <v>101</v>
      </c>
      <c r="E197" s="0" t="s">
        <v>102</v>
      </c>
      <c r="F197" s="0" t="s">
        <v>47</v>
      </c>
      <c r="G197" s="0" t="s">
        <v>93</v>
      </c>
      <c r="H197" s="0" t="s">
        <v>94</v>
      </c>
      <c r="I197" s="0" t="s">
        <v>54</v>
      </c>
      <c r="J197" s="0" t="s">
        <v>55</v>
      </c>
      <c r="K197" s="0" t="s">
        <v>58</v>
      </c>
      <c r="L197" s="0" t="s">
        <v>59</v>
      </c>
      <c r="M197" s="0" t="s">
        <v>50</v>
      </c>
      <c r="N197" s="0" t="n">
        <v>17</v>
      </c>
      <c r="O197" s="0" t="n">
        <v>19</v>
      </c>
      <c r="P197" s="0" t="n">
        <v>42</v>
      </c>
      <c r="Q197" s="5" t="str">
        <f aca="false">IF($D197&lt;&gt;"","["&amp;$E197&amp;"]"&amp;"|"&amp;SUBSTITUTE(SUBSTITUTE($I197,CHAR(61),""),CHAR(34),"")&amp;"|"&amp;$K197&amp;"|"&amp;$G197&amp;"|"&amp;IF($G197="TX_CURR_SUBNAT.R","CY2020Q4",$M197),"")</f>
        <v>[jyhIrCoB31x]|01-04|Male|DIAGNOSED_SUBNAT.T_1|CY2021Q3</v>
      </c>
    </row>
    <row r="198" customFormat="false" ht="15" hidden="false" customHeight="false" outlineLevel="0" collapsed="false">
      <c r="D198" s="0" t="s">
        <v>101</v>
      </c>
      <c r="E198" s="0" t="s">
        <v>102</v>
      </c>
      <c r="F198" s="0" t="s">
        <v>47</v>
      </c>
      <c r="G198" s="0" t="s">
        <v>93</v>
      </c>
      <c r="H198" s="0" t="s">
        <v>94</v>
      </c>
      <c r="I198" s="0" t="s">
        <v>61</v>
      </c>
      <c r="J198" s="0" t="s">
        <v>62</v>
      </c>
      <c r="K198" s="0" t="s">
        <v>56</v>
      </c>
      <c r="L198" s="0" t="s">
        <v>57</v>
      </c>
      <c r="M198" s="0" t="s">
        <v>50</v>
      </c>
      <c r="N198" s="0" t="n">
        <v>140</v>
      </c>
      <c r="O198" s="0" t="n">
        <v>4</v>
      </c>
      <c r="P198" s="0" t="n">
        <v>17</v>
      </c>
      <c r="Q198" s="5" t="str">
        <f aca="false">IF($D198&lt;&gt;"","["&amp;$E198&amp;"]"&amp;"|"&amp;SUBSTITUTE(SUBSTITUTE($I198,CHAR(61),""),CHAR(34),"")&amp;"|"&amp;$K198&amp;"|"&amp;$G198&amp;"|"&amp;IF($G198="TX_CURR_SUBNAT.R","CY2020Q4",$M198),"")</f>
        <v>[jyhIrCoB31x]|10-14|Female|DIAGNOSED_SUBNAT.T_1|CY2021Q3</v>
      </c>
    </row>
    <row r="199" customFormat="false" ht="15" hidden="false" customHeight="false" outlineLevel="0" collapsed="false">
      <c r="D199" s="0" t="s">
        <v>101</v>
      </c>
      <c r="E199" s="0" t="s">
        <v>102</v>
      </c>
      <c r="F199" s="0" t="s">
        <v>47</v>
      </c>
      <c r="G199" s="0" t="s">
        <v>93</v>
      </c>
      <c r="H199" s="0" t="s">
        <v>94</v>
      </c>
      <c r="I199" s="0" t="s">
        <v>61</v>
      </c>
      <c r="J199" s="0" t="s">
        <v>62</v>
      </c>
      <c r="K199" s="0" t="s">
        <v>58</v>
      </c>
      <c r="L199" s="0" t="s">
        <v>59</v>
      </c>
      <c r="M199" s="0" t="s">
        <v>50</v>
      </c>
      <c r="N199" s="0" t="n">
        <v>144</v>
      </c>
      <c r="O199" s="0" t="n">
        <v>41</v>
      </c>
      <c r="P199" s="0" t="n">
        <v>41</v>
      </c>
      <c r="Q199" s="5" t="str">
        <f aca="false">IF($D199&lt;&gt;"","["&amp;$E199&amp;"]"&amp;"|"&amp;SUBSTITUTE(SUBSTITUTE($I199,CHAR(61),""),CHAR(34),"")&amp;"|"&amp;$K199&amp;"|"&amp;$G199&amp;"|"&amp;IF($G199="TX_CURR_SUBNAT.R","CY2020Q4",$M199),"")</f>
        <v>[jyhIrCoB31x]|10-14|Male|DIAGNOSED_SUBNAT.T_1|CY2021Q3</v>
      </c>
    </row>
    <row r="200" customFormat="false" ht="15" hidden="false" customHeight="false" outlineLevel="0" collapsed="false">
      <c r="D200" s="0" t="s">
        <v>101</v>
      </c>
      <c r="E200" s="0" t="s">
        <v>102</v>
      </c>
      <c r="F200" s="0" t="s">
        <v>47</v>
      </c>
      <c r="G200" s="0" t="s">
        <v>93</v>
      </c>
      <c r="H200" s="0" t="s">
        <v>94</v>
      </c>
      <c r="I200" s="0" t="s">
        <v>63</v>
      </c>
      <c r="J200" s="0" t="s">
        <v>64</v>
      </c>
      <c r="K200" s="0" t="s">
        <v>56</v>
      </c>
      <c r="L200" s="0" t="s">
        <v>57</v>
      </c>
      <c r="M200" s="0" t="s">
        <v>50</v>
      </c>
      <c r="N200" s="0" t="n">
        <v>257</v>
      </c>
      <c r="O200" s="0" t="n">
        <v>56</v>
      </c>
      <c r="P200" s="0" t="n">
        <v>12</v>
      </c>
      <c r="Q200" s="5" t="str">
        <f aca="false">IF($D200&lt;&gt;"","["&amp;$E200&amp;"]"&amp;"|"&amp;SUBSTITUTE(SUBSTITUTE($I200,CHAR(61),""),CHAR(34),"")&amp;"|"&amp;$K200&amp;"|"&amp;$G200&amp;"|"&amp;IF($G200="TX_CURR_SUBNAT.R","CY2020Q4",$M200),"")</f>
        <v>[jyhIrCoB31x]|15-19|Female|DIAGNOSED_SUBNAT.T_1|CY2021Q3</v>
      </c>
    </row>
    <row r="201" customFormat="false" ht="15" hidden="false" customHeight="false" outlineLevel="0" collapsed="false">
      <c r="D201" s="0" t="s">
        <v>101</v>
      </c>
      <c r="E201" s="0" t="s">
        <v>102</v>
      </c>
      <c r="F201" s="0" t="s">
        <v>47</v>
      </c>
      <c r="G201" s="0" t="s">
        <v>93</v>
      </c>
      <c r="H201" s="0" t="s">
        <v>94</v>
      </c>
      <c r="I201" s="0" t="s">
        <v>63</v>
      </c>
      <c r="J201" s="0" t="s">
        <v>64</v>
      </c>
      <c r="K201" s="0" t="s">
        <v>58</v>
      </c>
      <c r="L201" s="0" t="s">
        <v>59</v>
      </c>
      <c r="M201" s="0" t="s">
        <v>50</v>
      </c>
      <c r="N201" s="0" t="n">
        <v>198</v>
      </c>
      <c r="O201" s="0" t="n">
        <v>42</v>
      </c>
      <c r="P201" s="0" t="n">
        <v>18</v>
      </c>
      <c r="Q201" s="5" t="str">
        <f aca="false">IF($D201&lt;&gt;"","["&amp;$E201&amp;"]"&amp;"|"&amp;SUBSTITUTE(SUBSTITUTE($I201,CHAR(61),""),CHAR(34),"")&amp;"|"&amp;$K201&amp;"|"&amp;$G201&amp;"|"&amp;IF($G201="TX_CURR_SUBNAT.R","CY2020Q4",$M201),"")</f>
        <v>[jyhIrCoB31x]|15-19|Male|DIAGNOSED_SUBNAT.T_1|CY2021Q3</v>
      </c>
    </row>
    <row r="202" customFormat="false" ht="15" hidden="false" customHeight="false" outlineLevel="0" collapsed="false">
      <c r="D202" s="0" t="s">
        <v>101</v>
      </c>
      <c r="E202" s="0" t="s">
        <v>102</v>
      </c>
      <c r="F202" s="0" t="s">
        <v>47</v>
      </c>
      <c r="G202" s="0" t="s">
        <v>93</v>
      </c>
      <c r="H202" s="0" t="s">
        <v>94</v>
      </c>
      <c r="I202" s="0" t="s">
        <v>66</v>
      </c>
      <c r="J202" s="0" t="s">
        <v>67</v>
      </c>
      <c r="K202" s="0" t="s">
        <v>56</v>
      </c>
      <c r="L202" s="0" t="s">
        <v>57</v>
      </c>
      <c r="M202" s="0" t="s">
        <v>50</v>
      </c>
      <c r="N202" s="0" t="n">
        <v>572</v>
      </c>
      <c r="O202" s="0" t="n">
        <v>38</v>
      </c>
      <c r="P202" s="0" t="n">
        <v>45</v>
      </c>
      <c r="Q202" s="5" t="str">
        <f aca="false">IF($D202&lt;&gt;"","["&amp;$E202&amp;"]"&amp;"|"&amp;SUBSTITUTE(SUBSTITUTE($I202,CHAR(61),""),CHAR(34),"")&amp;"|"&amp;$K202&amp;"|"&amp;$G202&amp;"|"&amp;IF($G202="TX_CURR_SUBNAT.R","CY2020Q4",$M202),"")</f>
        <v>[jyhIrCoB31x]|20-24|Female|DIAGNOSED_SUBNAT.T_1|CY2021Q3</v>
      </c>
    </row>
    <row r="203" customFormat="false" ht="15" hidden="false" customHeight="false" outlineLevel="0" collapsed="false">
      <c r="D203" s="0" t="s">
        <v>101</v>
      </c>
      <c r="E203" s="0" t="s">
        <v>102</v>
      </c>
      <c r="F203" s="0" t="s">
        <v>47</v>
      </c>
      <c r="G203" s="0" t="s">
        <v>93</v>
      </c>
      <c r="H203" s="0" t="s">
        <v>94</v>
      </c>
      <c r="I203" s="0" t="s">
        <v>66</v>
      </c>
      <c r="J203" s="0" t="s">
        <v>67</v>
      </c>
      <c r="K203" s="0" t="s">
        <v>58</v>
      </c>
      <c r="L203" s="0" t="s">
        <v>59</v>
      </c>
      <c r="M203" s="0" t="s">
        <v>50</v>
      </c>
      <c r="N203" s="0" t="n">
        <v>237</v>
      </c>
      <c r="O203" s="0" t="n">
        <v>20</v>
      </c>
      <c r="P203" s="0" t="n">
        <v>20</v>
      </c>
      <c r="Q203" s="5" t="str">
        <f aca="false">IF($D203&lt;&gt;"","["&amp;$E203&amp;"]"&amp;"|"&amp;SUBSTITUTE(SUBSTITUTE($I203,CHAR(61),""),CHAR(34),"")&amp;"|"&amp;$K203&amp;"|"&amp;$G203&amp;"|"&amp;IF($G203="TX_CURR_SUBNAT.R","CY2020Q4",$M203),"")</f>
        <v>[jyhIrCoB31x]|20-24|Male|DIAGNOSED_SUBNAT.T_1|CY2021Q3</v>
      </c>
    </row>
    <row r="204" customFormat="false" ht="15" hidden="false" customHeight="false" outlineLevel="0" collapsed="false">
      <c r="D204" s="0" t="s">
        <v>101</v>
      </c>
      <c r="E204" s="0" t="s">
        <v>102</v>
      </c>
      <c r="F204" s="0" t="s">
        <v>47</v>
      </c>
      <c r="G204" s="0" t="s">
        <v>93</v>
      </c>
      <c r="H204" s="0" t="s">
        <v>94</v>
      </c>
      <c r="I204" s="0" t="s">
        <v>69</v>
      </c>
      <c r="J204" s="0" t="s">
        <v>70</v>
      </c>
      <c r="K204" s="0" t="s">
        <v>56</v>
      </c>
      <c r="L204" s="0" t="s">
        <v>57</v>
      </c>
      <c r="M204" s="0" t="s">
        <v>50</v>
      </c>
      <c r="N204" s="0" t="n">
        <v>958</v>
      </c>
      <c r="O204" s="0" t="n">
        <v>16</v>
      </c>
      <c r="P204" s="0" t="n">
        <v>44</v>
      </c>
      <c r="Q204" s="5" t="str">
        <f aca="false">IF($D204&lt;&gt;"","["&amp;$E204&amp;"]"&amp;"|"&amp;SUBSTITUTE(SUBSTITUTE($I204,CHAR(61),""),CHAR(34),"")&amp;"|"&amp;$K204&amp;"|"&amp;$G204&amp;"|"&amp;IF($G204="TX_CURR_SUBNAT.R","CY2020Q4",$M204),"")</f>
        <v>[jyhIrCoB31x]|25-29|Female|DIAGNOSED_SUBNAT.T_1|CY2021Q3</v>
      </c>
    </row>
    <row r="205" customFormat="false" ht="15" hidden="false" customHeight="false" outlineLevel="0" collapsed="false">
      <c r="D205" s="0" t="s">
        <v>101</v>
      </c>
      <c r="E205" s="0" t="s">
        <v>102</v>
      </c>
      <c r="F205" s="0" t="s">
        <v>47</v>
      </c>
      <c r="G205" s="0" t="s">
        <v>93</v>
      </c>
      <c r="H205" s="0" t="s">
        <v>94</v>
      </c>
      <c r="I205" s="0" t="s">
        <v>69</v>
      </c>
      <c r="J205" s="0" t="s">
        <v>70</v>
      </c>
      <c r="K205" s="0" t="s">
        <v>58</v>
      </c>
      <c r="L205" s="0" t="s">
        <v>59</v>
      </c>
      <c r="M205" s="0" t="s">
        <v>50</v>
      </c>
      <c r="N205" s="0" t="n">
        <v>418</v>
      </c>
      <c r="O205" s="0" t="n">
        <v>24</v>
      </c>
      <c r="P205" s="0" t="n">
        <v>31</v>
      </c>
      <c r="Q205" s="5" t="str">
        <f aca="false">IF($D205&lt;&gt;"","["&amp;$E205&amp;"]"&amp;"|"&amp;SUBSTITUTE(SUBSTITUTE($I205,CHAR(61),""),CHAR(34),"")&amp;"|"&amp;$K205&amp;"|"&amp;$G205&amp;"|"&amp;IF($G205="TX_CURR_SUBNAT.R","CY2020Q4",$M205),"")</f>
        <v>[jyhIrCoB31x]|25-29|Male|DIAGNOSED_SUBNAT.T_1|CY2021Q3</v>
      </c>
    </row>
    <row r="206" customFormat="false" ht="15" hidden="false" customHeight="false" outlineLevel="0" collapsed="false">
      <c r="D206" s="0" t="s">
        <v>101</v>
      </c>
      <c r="E206" s="0" t="s">
        <v>102</v>
      </c>
      <c r="F206" s="0" t="s">
        <v>47</v>
      </c>
      <c r="G206" s="0" t="s">
        <v>93</v>
      </c>
      <c r="H206" s="0" t="s">
        <v>94</v>
      </c>
      <c r="I206" s="0" t="s">
        <v>72</v>
      </c>
      <c r="J206" s="0" t="s">
        <v>73</v>
      </c>
      <c r="K206" s="0" t="s">
        <v>56</v>
      </c>
      <c r="L206" s="0" t="s">
        <v>57</v>
      </c>
      <c r="M206" s="0" t="s">
        <v>50</v>
      </c>
      <c r="N206" s="0" t="n">
        <v>1227</v>
      </c>
      <c r="O206" s="0" t="n">
        <v>38</v>
      </c>
      <c r="P206" s="0" t="n">
        <v>33</v>
      </c>
      <c r="Q206" s="5" t="str">
        <f aca="false">IF($D206&lt;&gt;"","["&amp;$E206&amp;"]"&amp;"|"&amp;SUBSTITUTE(SUBSTITUTE($I206,CHAR(61),""),CHAR(34),"")&amp;"|"&amp;$K206&amp;"|"&amp;$G206&amp;"|"&amp;IF($G206="TX_CURR_SUBNAT.R","CY2020Q4",$M206),"")</f>
        <v>[jyhIrCoB31x]|30-34|Female|DIAGNOSED_SUBNAT.T_1|CY2021Q3</v>
      </c>
    </row>
    <row r="207" customFormat="false" ht="15" hidden="false" customHeight="false" outlineLevel="0" collapsed="false">
      <c r="D207" s="0" t="s">
        <v>101</v>
      </c>
      <c r="E207" s="0" t="s">
        <v>102</v>
      </c>
      <c r="F207" s="0" t="s">
        <v>47</v>
      </c>
      <c r="G207" s="0" t="s">
        <v>93</v>
      </c>
      <c r="H207" s="0" t="s">
        <v>94</v>
      </c>
      <c r="I207" s="0" t="s">
        <v>72</v>
      </c>
      <c r="J207" s="0" t="s">
        <v>73</v>
      </c>
      <c r="K207" s="0" t="s">
        <v>58</v>
      </c>
      <c r="L207" s="0" t="s">
        <v>59</v>
      </c>
      <c r="M207" s="0" t="s">
        <v>50</v>
      </c>
      <c r="N207" s="0" t="n">
        <v>688</v>
      </c>
      <c r="O207" s="0" t="n">
        <v>13</v>
      </c>
      <c r="P207" s="0" t="n">
        <v>15</v>
      </c>
      <c r="Q207" s="5" t="str">
        <f aca="false">IF($D207&lt;&gt;"","["&amp;$E207&amp;"]"&amp;"|"&amp;SUBSTITUTE(SUBSTITUTE($I207,CHAR(61),""),CHAR(34),"")&amp;"|"&amp;$K207&amp;"|"&amp;$G207&amp;"|"&amp;IF($G207="TX_CURR_SUBNAT.R","CY2020Q4",$M207),"")</f>
        <v>[jyhIrCoB31x]|30-34|Male|DIAGNOSED_SUBNAT.T_1|CY2021Q3</v>
      </c>
    </row>
    <row r="208" customFormat="false" ht="15" hidden="false" customHeight="false" outlineLevel="0" collapsed="false">
      <c r="D208" s="0" t="s">
        <v>101</v>
      </c>
      <c r="E208" s="0" t="s">
        <v>102</v>
      </c>
      <c r="F208" s="0" t="s">
        <v>47</v>
      </c>
      <c r="G208" s="0" t="s">
        <v>93</v>
      </c>
      <c r="H208" s="0" t="s">
        <v>94</v>
      </c>
      <c r="I208" s="0" t="s">
        <v>75</v>
      </c>
      <c r="J208" s="0" t="s">
        <v>76</v>
      </c>
      <c r="K208" s="0" t="s">
        <v>56</v>
      </c>
      <c r="L208" s="0" t="s">
        <v>57</v>
      </c>
      <c r="M208" s="0" t="s">
        <v>50</v>
      </c>
      <c r="N208" s="0" t="n">
        <v>1353</v>
      </c>
      <c r="O208" s="0" t="n">
        <v>50</v>
      </c>
      <c r="P208" s="0" t="n">
        <v>15</v>
      </c>
      <c r="Q208" s="5" t="str">
        <f aca="false">IF($D208&lt;&gt;"","["&amp;$E208&amp;"]"&amp;"|"&amp;SUBSTITUTE(SUBSTITUTE($I208,CHAR(61),""),CHAR(34),"")&amp;"|"&amp;$K208&amp;"|"&amp;$G208&amp;"|"&amp;IF($G208="TX_CURR_SUBNAT.R","CY2020Q4",$M208),"")</f>
        <v>[jyhIrCoB31x]|35-39|Female|DIAGNOSED_SUBNAT.T_1|CY2021Q3</v>
      </c>
    </row>
    <row r="209" customFormat="false" ht="15" hidden="false" customHeight="false" outlineLevel="0" collapsed="false">
      <c r="D209" s="0" t="s">
        <v>101</v>
      </c>
      <c r="E209" s="0" t="s">
        <v>102</v>
      </c>
      <c r="F209" s="0" t="s">
        <v>47</v>
      </c>
      <c r="G209" s="0" t="s">
        <v>93</v>
      </c>
      <c r="H209" s="0" t="s">
        <v>94</v>
      </c>
      <c r="I209" s="0" t="s">
        <v>75</v>
      </c>
      <c r="J209" s="0" t="s">
        <v>76</v>
      </c>
      <c r="K209" s="0" t="s">
        <v>58</v>
      </c>
      <c r="L209" s="0" t="s">
        <v>59</v>
      </c>
      <c r="M209" s="0" t="s">
        <v>50</v>
      </c>
      <c r="N209" s="0" t="n">
        <v>953</v>
      </c>
      <c r="O209" s="0" t="n">
        <v>34</v>
      </c>
      <c r="P209" s="0" t="n">
        <v>22</v>
      </c>
      <c r="Q209" s="5" t="str">
        <f aca="false">IF($D209&lt;&gt;"","["&amp;$E209&amp;"]"&amp;"|"&amp;SUBSTITUTE(SUBSTITUTE($I209,CHAR(61),""),CHAR(34),"")&amp;"|"&amp;$K209&amp;"|"&amp;$G209&amp;"|"&amp;IF($G209="TX_CURR_SUBNAT.R","CY2020Q4",$M209),"")</f>
        <v>[jyhIrCoB31x]|35-39|Male|DIAGNOSED_SUBNAT.T_1|CY2021Q3</v>
      </c>
    </row>
    <row r="210" customFormat="false" ht="15" hidden="false" customHeight="false" outlineLevel="0" collapsed="false">
      <c r="D210" s="0" t="s">
        <v>101</v>
      </c>
      <c r="E210" s="0" t="s">
        <v>102</v>
      </c>
      <c r="F210" s="0" t="s">
        <v>47</v>
      </c>
      <c r="G210" s="0" t="s">
        <v>93</v>
      </c>
      <c r="H210" s="0" t="s">
        <v>94</v>
      </c>
      <c r="I210" s="0" t="s">
        <v>77</v>
      </c>
      <c r="J210" s="0" t="s">
        <v>78</v>
      </c>
      <c r="K210" s="0" t="s">
        <v>56</v>
      </c>
      <c r="L210" s="0" t="s">
        <v>57</v>
      </c>
      <c r="M210" s="0" t="s">
        <v>50</v>
      </c>
      <c r="N210" s="0" t="n">
        <v>1356</v>
      </c>
      <c r="O210" s="0" t="n">
        <v>4</v>
      </c>
      <c r="P210" s="0" t="n">
        <v>39</v>
      </c>
      <c r="Q210" s="5" t="str">
        <f aca="false">IF($D210&lt;&gt;"","["&amp;$E210&amp;"]"&amp;"|"&amp;SUBSTITUTE(SUBSTITUTE($I210,CHAR(61),""),CHAR(34),"")&amp;"|"&amp;$K210&amp;"|"&amp;$G210&amp;"|"&amp;IF($G210="TX_CURR_SUBNAT.R","CY2020Q4",$M210),"")</f>
        <v>[jyhIrCoB31x]|40-44|Female|DIAGNOSED_SUBNAT.T_1|CY2021Q3</v>
      </c>
    </row>
    <row r="211" customFormat="false" ht="15" hidden="false" customHeight="false" outlineLevel="0" collapsed="false">
      <c r="D211" s="0" t="s">
        <v>101</v>
      </c>
      <c r="E211" s="0" t="s">
        <v>102</v>
      </c>
      <c r="F211" s="0" t="s">
        <v>47</v>
      </c>
      <c r="G211" s="0" t="s">
        <v>93</v>
      </c>
      <c r="H211" s="0" t="s">
        <v>94</v>
      </c>
      <c r="I211" s="0" t="s">
        <v>77</v>
      </c>
      <c r="J211" s="0" t="s">
        <v>78</v>
      </c>
      <c r="K211" s="0" t="s">
        <v>58</v>
      </c>
      <c r="L211" s="0" t="s">
        <v>59</v>
      </c>
      <c r="M211" s="0" t="s">
        <v>50</v>
      </c>
      <c r="N211" s="0" t="n">
        <v>1031</v>
      </c>
      <c r="O211" s="0" t="n">
        <v>50</v>
      </c>
      <c r="P211" s="0" t="n">
        <v>23</v>
      </c>
      <c r="Q211" s="5" t="str">
        <f aca="false">IF($D211&lt;&gt;"","["&amp;$E211&amp;"]"&amp;"|"&amp;SUBSTITUTE(SUBSTITUTE($I211,CHAR(61),""),CHAR(34),"")&amp;"|"&amp;$K211&amp;"|"&amp;$G211&amp;"|"&amp;IF($G211="TX_CURR_SUBNAT.R","CY2020Q4",$M211),"")</f>
        <v>[jyhIrCoB31x]|40-44|Male|DIAGNOSED_SUBNAT.T_1|CY2021Q3</v>
      </c>
    </row>
    <row r="212" customFormat="false" ht="15" hidden="false" customHeight="false" outlineLevel="0" collapsed="false">
      <c r="D212" s="0" t="s">
        <v>101</v>
      </c>
      <c r="E212" s="0" t="s">
        <v>102</v>
      </c>
      <c r="F212" s="0" t="s">
        <v>47</v>
      </c>
      <c r="G212" s="0" t="s">
        <v>93</v>
      </c>
      <c r="H212" s="0" t="s">
        <v>94</v>
      </c>
      <c r="I212" s="0" t="s">
        <v>80</v>
      </c>
      <c r="J212" s="0" t="s">
        <v>81</v>
      </c>
      <c r="K212" s="0" t="s">
        <v>56</v>
      </c>
      <c r="L212" s="0" t="s">
        <v>57</v>
      </c>
      <c r="M212" s="0" t="s">
        <v>50</v>
      </c>
      <c r="N212" s="0" t="n">
        <v>1065</v>
      </c>
      <c r="O212" s="0" t="n">
        <v>17</v>
      </c>
      <c r="P212" s="0" t="n">
        <v>16</v>
      </c>
      <c r="Q212" s="5" t="str">
        <f aca="false">IF($D212&lt;&gt;"","["&amp;$E212&amp;"]"&amp;"|"&amp;SUBSTITUTE(SUBSTITUTE($I212,CHAR(61),""),CHAR(34),"")&amp;"|"&amp;$K212&amp;"|"&amp;$G212&amp;"|"&amp;IF($G212="TX_CURR_SUBNAT.R","CY2020Q4",$M212),"")</f>
        <v>[jyhIrCoB31x]|45-49|Female|DIAGNOSED_SUBNAT.T_1|CY2021Q3</v>
      </c>
    </row>
    <row r="213" customFormat="false" ht="15" hidden="false" customHeight="false" outlineLevel="0" collapsed="false">
      <c r="D213" s="0" t="s">
        <v>101</v>
      </c>
      <c r="E213" s="0" t="s">
        <v>102</v>
      </c>
      <c r="F213" s="0" t="s">
        <v>47</v>
      </c>
      <c r="G213" s="0" t="s">
        <v>93</v>
      </c>
      <c r="H213" s="0" t="s">
        <v>94</v>
      </c>
      <c r="I213" s="0" t="s">
        <v>80</v>
      </c>
      <c r="J213" s="0" t="s">
        <v>81</v>
      </c>
      <c r="K213" s="0" t="s">
        <v>58</v>
      </c>
      <c r="L213" s="0" t="s">
        <v>59</v>
      </c>
      <c r="M213" s="0" t="s">
        <v>50</v>
      </c>
      <c r="N213" s="0" t="n">
        <v>870</v>
      </c>
      <c r="O213" s="0" t="n">
        <v>59</v>
      </c>
      <c r="P213" s="0" t="n">
        <v>1</v>
      </c>
      <c r="Q213" s="5" t="str">
        <f aca="false">IF($D213&lt;&gt;"","["&amp;$E213&amp;"]"&amp;"|"&amp;SUBSTITUTE(SUBSTITUTE($I213,CHAR(61),""),CHAR(34),"")&amp;"|"&amp;$K213&amp;"|"&amp;$G213&amp;"|"&amp;IF($G213="TX_CURR_SUBNAT.R","CY2020Q4",$M213),"")</f>
        <v>[jyhIrCoB31x]|45-49|Male|DIAGNOSED_SUBNAT.T_1|CY2021Q3</v>
      </c>
    </row>
    <row r="214" customFormat="false" ht="15" hidden="false" customHeight="false" outlineLevel="0" collapsed="false">
      <c r="D214" s="0" t="s">
        <v>101</v>
      </c>
      <c r="E214" s="0" t="s">
        <v>102</v>
      </c>
      <c r="F214" s="0" t="s">
        <v>47</v>
      </c>
      <c r="G214" s="0" t="s">
        <v>93</v>
      </c>
      <c r="H214" s="0" t="s">
        <v>94</v>
      </c>
      <c r="I214" s="0" t="s">
        <v>83</v>
      </c>
      <c r="J214" s="0" t="s">
        <v>84</v>
      </c>
      <c r="K214" s="0" t="s">
        <v>56</v>
      </c>
      <c r="L214" s="0" t="s">
        <v>57</v>
      </c>
      <c r="M214" s="0" t="s">
        <v>50</v>
      </c>
      <c r="N214" s="0" t="n">
        <v>72</v>
      </c>
      <c r="O214" s="0" t="n">
        <v>20</v>
      </c>
      <c r="P214" s="0" t="n">
        <v>33</v>
      </c>
      <c r="Q214" s="5" t="str">
        <f aca="false">IF($D214&lt;&gt;"","["&amp;$E214&amp;"]"&amp;"|"&amp;SUBSTITUTE(SUBSTITUTE($I214,CHAR(61),""),CHAR(34),"")&amp;"|"&amp;$K214&amp;"|"&amp;$G214&amp;"|"&amp;IF($G214="TX_CURR_SUBNAT.R","CY2020Q4",$M214),"")</f>
        <v>[jyhIrCoB31x]|05-09|Female|DIAGNOSED_SUBNAT.T_1|CY2021Q3</v>
      </c>
    </row>
    <row r="215" customFormat="false" ht="15" hidden="false" customHeight="false" outlineLevel="0" collapsed="false">
      <c r="D215" s="0" t="s">
        <v>101</v>
      </c>
      <c r="E215" s="0" t="s">
        <v>102</v>
      </c>
      <c r="F215" s="0" t="s">
        <v>47</v>
      </c>
      <c r="G215" s="0" t="s">
        <v>93</v>
      </c>
      <c r="H215" s="0" t="s">
        <v>94</v>
      </c>
      <c r="I215" s="0" t="s">
        <v>83</v>
      </c>
      <c r="J215" s="0" t="s">
        <v>84</v>
      </c>
      <c r="K215" s="0" t="s">
        <v>58</v>
      </c>
      <c r="L215" s="0" t="s">
        <v>59</v>
      </c>
      <c r="M215" s="0" t="s">
        <v>50</v>
      </c>
      <c r="N215" s="0" t="n">
        <v>72</v>
      </c>
      <c r="O215" s="0" t="n">
        <v>8</v>
      </c>
      <c r="P215" s="0" t="n">
        <v>2</v>
      </c>
      <c r="Q215" s="5" t="str">
        <f aca="false">IF($D215&lt;&gt;"","["&amp;$E215&amp;"]"&amp;"|"&amp;SUBSTITUTE(SUBSTITUTE($I215,CHAR(61),""),CHAR(34),"")&amp;"|"&amp;$K215&amp;"|"&amp;$G215&amp;"|"&amp;IF($G215="TX_CURR_SUBNAT.R","CY2020Q4",$M215),"")</f>
        <v>[jyhIrCoB31x]|05-09|Male|DIAGNOSED_SUBNAT.T_1|CY2021Q3</v>
      </c>
    </row>
    <row r="216" customFormat="false" ht="15" hidden="false" customHeight="false" outlineLevel="0" collapsed="false">
      <c r="D216" s="0" t="s">
        <v>101</v>
      </c>
      <c r="E216" s="0" t="s">
        <v>102</v>
      </c>
      <c r="F216" s="0" t="s">
        <v>47</v>
      </c>
      <c r="G216" s="0" t="s">
        <v>93</v>
      </c>
      <c r="H216" s="0" t="s">
        <v>94</v>
      </c>
      <c r="I216" s="53" t="s">
        <v>86</v>
      </c>
      <c r="J216" s="0" t="s">
        <v>87</v>
      </c>
      <c r="K216" s="0" t="s">
        <v>56</v>
      </c>
      <c r="L216" s="0" t="s">
        <v>57</v>
      </c>
      <c r="M216" s="0" t="s">
        <v>50</v>
      </c>
      <c r="N216" s="0" t="n">
        <v>2329</v>
      </c>
      <c r="O216" s="0" t="n">
        <v>22</v>
      </c>
      <c r="P216" s="0" t="n">
        <v>13</v>
      </c>
      <c r="Q216" s="5" t="str">
        <f aca="false">IF($D216&lt;&gt;"","["&amp;$E216&amp;"]"&amp;"|"&amp;SUBSTITUTE(SUBSTITUTE($I216,CHAR(61),""),CHAR(34),"")&amp;"|"&amp;$K216&amp;"|"&amp;$G216&amp;"|"&amp;IF($G216="TX_CURR_SUBNAT.R","CY2020Q4",$M216),"")</f>
        <v>[jyhIrCoB31x]|50+|Female|DIAGNOSED_SUBNAT.T_1|CY2021Q3</v>
      </c>
    </row>
    <row r="217" customFormat="false" ht="15" hidden="false" customHeight="false" outlineLevel="0" collapsed="false">
      <c r="D217" s="0" t="s">
        <v>101</v>
      </c>
      <c r="E217" s="0" t="s">
        <v>102</v>
      </c>
      <c r="F217" s="0" t="s">
        <v>47</v>
      </c>
      <c r="G217" s="0" t="s">
        <v>93</v>
      </c>
      <c r="H217" s="0" t="s">
        <v>94</v>
      </c>
      <c r="I217" s="53" t="s">
        <v>86</v>
      </c>
      <c r="J217" s="0" t="s">
        <v>87</v>
      </c>
      <c r="K217" s="0" t="s">
        <v>58</v>
      </c>
      <c r="L217" s="0" t="s">
        <v>59</v>
      </c>
      <c r="M217" s="0" t="s">
        <v>50</v>
      </c>
      <c r="N217" s="0" t="n">
        <v>1764</v>
      </c>
      <c r="O217" s="0" t="n">
        <v>57</v>
      </c>
      <c r="P217" s="0" t="n">
        <v>27</v>
      </c>
      <c r="Q217" s="5" t="str">
        <f aca="false">IF($D217&lt;&gt;"","["&amp;$E217&amp;"]"&amp;"|"&amp;SUBSTITUTE(SUBSTITUTE($I217,CHAR(61),""),CHAR(34),"")&amp;"|"&amp;$K217&amp;"|"&amp;$G217&amp;"|"&amp;IF($G217="TX_CURR_SUBNAT.R","CY2020Q4",$M217),"")</f>
        <v>[jyhIrCoB31x]|50+|Male|DIAGNOSED_SUBNAT.T_1|CY2021Q3</v>
      </c>
    </row>
    <row r="218" customFormat="false" ht="15" hidden="false" customHeight="false" outlineLevel="0" collapsed="false">
      <c r="D218" s="0" t="s">
        <v>101</v>
      </c>
      <c r="E218" s="0" t="s">
        <v>102</v>
      </c>
      <c r="F218" s="0" t="s">
        <v>47</v>
      </c>
      <c r="G218" s="0" t="s">
        <v>93</v>
      </c>
      <c r="H218" s="0" t="s">
        <v>94</v>
      </c>
      <c r="I218" s="0" t="s">
        <v>89</v>
      </c>
      <c r="J218" s="0" t="s">
        <v>90</v>
      </c>
      <c r="K218" s="0" t="s">
        <v>56</v>
      </c>
      <c r="L218" s="0" t="s">
        <v>57</v>
      </c>
      <c r="M218" s="0" t="s">
        <v>50</v>
      </c>
      <c r="N218" s="0" t="n">
        <v>4</v>
      </c>
      <c r="O218" s="0" t="n">
        <v>5</v>
      </c>
      <c r="P218" s="0" t="n">
        <v>31</v>
      </c>
      <c r="Q218" s="5" t="str">
        <f aca="false">IF($D218&lt;&gt;"","["&amp;$E218&amp;"]"&amp;"|"&amp;SUBSTITUTE(SUBSTITUTE($I218,CHAR(61),""),CHAR(34),"")&amp;"|"&amp;$K218&amp;"|"&amp;$G218&amp;"|"&amp;IF($G218="TX_CURR_SUBNAT.R","CY2020Q4",$M218),"")</f>
        <v>[jyhIrCoB31x]|&lt;01|Female|DIAGNOSED_SUBNAT.T_1|CY2021Q3</v>
      </c>
    </row>
    <row r="219" customFormat="false" ht="15" hidden="false" customHeight="false" outlineLevel="0" collapsed="false">
      <c r="D219" s="0" t="s">
        <v>101</v>
      </c>
      <c r="E219" s="0" t="s">
        <v>102</v>
      </c>
      <c r="F219" s="0" t="s">
        <v>47</v>
      </c>
      <c r="G219" s="0" t="s">
        <v>93</v>
      </c>
      <c r="H219" s="0" t="s">
        <v>94</v>
      </c>
      <c r="I219" s="0" t="s">
        <v>89</v>
      </c>
      <c r="J219" s="0" t="s">
        <v>90</v>
      </c>
      <c r="K219" s="0" t="s">
        <v>58</v>
      </c>
      <c r="L219" s="0" t="s">
        <v>59</v>
      </c>
      <c r="M219" s="0" t="s">
        <v>50</v>
      </c>
      <c r="N219" s="0" t="n">
        <v>4</v>
      </c>
      <c r="O219" s="0" t="n">
        <v>20</v>
      </c>
      <c r="P219" s="0" t="n">
        <v>28</v>
      </c>
      <c r="Q219" s="5" t="str">
        <f aca="false">IF($D219&lt;&gt;"","["&amp;$E219&amp;"]"&amp;"|"&amp;SUBSTITUTE(SUBSTITUTE($I219,CHAR(61),""),CHAR(34),"")&amp;"|"&amp;$K219&amp;"|"&amp;$G219&amp;"|"&amp;IF($G219="TX_CURR_SUBNAT.R","CY2020Q4",$M219),"")</f>
        <v>[jyhIrCoB31x]|&lt;01|Male|DIAGNOSED_SUBNAT.T_1|CY2021Q3</v>
      </c>
    </row>
    <row r="220" customFormat="false" ht="15" hidden="false" customHeight="false" outlineLevel="0" collapsed="false">
      <c r="D220" s="0" t="s">
        <v>101</v>
      </c>
      <c r="E220" s="0" t="s">
        <v>102</v>
      </c>
      <c r="F220" s="0" t="s">
        <v>47</v>
      </c>
      <c r="G220" s="0" t="s">
        <v>95</v>
      </c>
      <c r="H220" s="0" t="s">
        <v>96</v>
      </c>
      <c r="I220" s="0" t="s">
        <v>54</v>
      </c>
      <c r="J220" s="0" t="s">
        <v>55</v>
      </c>
      <c r="K220" s="0" t="s">
        <v>56</v>
      </c>
      <c r="L220" s="0" t="s">
        <v>57</v>
      </c>
      <c r="M220" s="0" t="s">
        <v>50</v>
      </c>
      <c r="N220" s="0" t="n">
        <v>12</v>
      </c>
      <c r="O220" s="0" t="n">
        <v>27</v>
      </c>
      <c r="P220" s="0" t="n">
        <v>19</v>
      </c>
      <c r="Q220" s="5" t="str">
        <f aca="false">IF($D220&lt;&gt;"","["&amp;$E220&amp;"]"&amp;"|"&amp;SUBSTITUTE(SUBSTITUTE($I220,CHAR(61),""),CHAR(34),"")&amp;"|"&amp;$K220&amp;"|"&amp;$G220&amp;"|"&amp;IF($G220="TX_CURR_SUBNAT.R","CY2020Q4",$M220),"")</f>
        <v>[jyhIrCoB31x]|01-04|Female|VL_SUPPRESSED.T_1|CY2021Q3</v>
      </c>
    </row>
    <row r="221" customFormat="false" ht="15" hidden="false" customHeight="false" outlineLevel="0" collapsed="false">
      <c r="D221" s="0" t="s">
        <v>101</v>
      </c>
      <c r="E221" s="0" t="s">
        <v>102</v>
      </c>
      <c r="F221" s="0" t="s">
        <v>47</v>
      </c>
      <c r="G221" s="0" t="s">
        <v>95</v>
      </c>
      <c r="H221" s="0" t="s">
        <v>96</v>
      </c>
      <c r="I221" s="0" t="s">
        <v>54</v>
      </c>
      <c r="J221" s="0" t="s">
        <v>55</v>
      </c>
      <c r="K221" s="0" t="s">
        <v>58</v>
      </c>
      <c r="L221" s="0" t="s">
        <v>59</v>
      </c>
      <c r="M221" s="0" t="s">
        <v>50</v>
      </c>
      <c r="N221" s="0" t="n">
        <v>15</v>
      </c>
      <c r="O221" s="0" t="n">
        <v>10</v>
      </c>
      <c r="P221" s="0" t="n">
        <v>44</v>
      </c>
      <c r="Q221" s="5" t="str">
        <f aca="false">IF($D221&lt;&gt;"","["&amp;$E221&amp;"]"&amp;"|"&amp;SUBSTITUTE(SUBSTITUTE($I221,CHAR(61),""),CHAR(34),"")&amp;"|"&amp;$K221&amp;"|"&amp;$G221&amp;"|"&amp;IF($G221="TX_CURR_SUBNAT.R","CY2020Q4",$M221),"")</f>
        <v>[jyhIrCoB31x]|01-04|Male|VL_SUPPRESSED.T_1|CY2021Q3</v>
      </c>
    </row>
    <row r="222" customFormat="false" ht="15" hidden="false" customHeight="false" outlineLevel="0" collapsed="false">
      <c r="D222" s="0" t="s">
        <v>101</v>
      </c>
      <c r="E222" s="0" t="s">
        <v>102</v>
      </c>
      <c r="F222" s="0" t="s">
        <v>47</v>
      </c>
      <c r="G222" s="0" t="s">
        <v>95</v>
      </c>
      <c r="H222" s="0" t="s">
        <v>96</v>
      </c>
      <c r="I222" s="0" t="s">
        <v>61</v>
      </c>
      <c r="J222" s="0" t="s">
        <v>62</v>
      </c>
      <c r="K222" s="0" t="s">
        <v>56</v>
      </c>
      <c r="L222" s="0" t="s">
        <v>57</v>
      </c>
      <c r="M222" s="0" t="s">
        <v>50</v>
      </c>
      <c r="N222" s="0" t="n">
        <v>84</v>
      </c>
      <c r="O222" s="0" t="n">
        <v>1</v>
      </c>
      <c r="P222" s="0" t="n">
        <v>39</v>
      </c>
      <c r="Q222" s="5" t="str">
        <f aca="false">IF($D222&lt;&gt;"","["&amp;$E222&amp;"]"&amp;"|"&amp;SUBSTITUTE(SUBSTITUTE($I222,CHAR(61),""),CHAR(34),"")&amp;"|"&amp;$K222&amp;"|"&amp;$G222&amp;"|"&amp;IF($G222="TX_CURR_SUBNAT.R","CY2020Q4",$M222),"")</f>
        <v>[jyhIrCoB31x]|10-14|Female|VL_SUPPRESSED.T_1|CY2021Q3</v>
      </c>
    </row>
    <row r="223" customFormat="false" ht="15" hidden="false" customHeight="false" outlineLevel="0" collapsed="false">
      <c r="D223" s="0" t="s">
        <v>101</v>
      </c>
      <c r="E223" s="0" t="s">
        <v>102</v>
      </c>
      <c r="F223" s="0" t="s">
        <v>47</v>
      </c>
      <c r="G223" s="0" t="s">
        <v>95</v>
      </c>
      <c r="H223" s="0" t="s">
        <v>96</v>
      </c>
      <c r="I223" s="0" t="s">
        <v>61</v>
      </c>
      <c r="J223" s="0" t="s">
        <v>62</v>
      </c>
      <c r="K223" s="0" t="s">
        <v>58</v>
      </c>
      <c r="L223" s="0" t="s">
        <v>59</v>
      </c>
      <c r="M223" s="0" t="s">
        <v>50</v>
      </c>
      <c r="N223" s="0" t="n">
        <v>64</v>
      </c>
      <c r="O223" s="0" t="n">
        <v>38</v>
      </c>
      <c r="P223" s="0" t="n">
        <v>26</v>
      </c>
      <c r="Q223" s="5" t="str">
        <f aca="false">IF($D223&lt;&gt;"","["&amp;$E223&amp;"]"&amp;"|"&amp;SUBSTITUTE(SUBSTITUTE($I223,CHAR(61),""),CHAR(34),"")&amp;"|"&amp;$K223&amp;"|"&amp;$G223&amp;"|"&amp;IF($G223="TX_CURR_SUBNAT.R","CY2020Q4",$M223),"")</f>
        <v>[jyhIrCoB31x]|10-14|Male|VL_SUPPRESSED.T_1|CY2021Q3</v>
      </c>
    </row>
    <row r="224" customFormat="false" ht="15" hidden="false" customHeight="false" outlineLevel="0" collapsed="false">
      <c r="D224" s="0" t="s">
        <v>101</v>
      </c>
      <c r="E224" s="0" t="s">
        <v>102</v>
      </c>
      <c r="F224" s="0" t="s">
        <v>47</v>
      </c>
      <c r="G224" s="0" t="s">
        <v>95</v>
      </c>
      <c r="H224" s="0" t="s">
        <v>96</v>
      </c>
      <c r="I224" s="0" t="s">
        <v>63</v>
      </c>
      <c r="J224" s="0" t="s">
        <v>64</v>
      </c>
      <c r="K224" s="0" t="s">
        <v>56</v>
      </c>
      <c r="L224" s="0" t="s">
        <v>57</v>
      </c>
      <c r="M224" s="0" t="s">
        <v>50</v>
      </c>
      <c r="N224" s="0" t="n">
        <v>81</v>
      </c>
      <c r="O224" s="0" t="n">
        <v>34</v>
      </c>
      <c r="P224" s="0" t="n">
        <v>18</v>
      </c>
      <c r="Q224" s="5" t="str">
        <f aca="false">IF($D224&lt;&gt;"","["&amp;$E224&amp;"]"&amp;"|"&amp;SUBSTITUTE(SUBSTITUTE($I224,CHAR(61),""),CHAR(34),"")&amp;"|"&amp;$K224&amp;"|"&amp;$G224&amp;"|"&amp;IF($G224="TX_CURR_SUBNAT.R","CY2020Q4",$M224),"")</f>
        <v>[jyhIrCoB31x]|15-19|Female|VL_SUPPRESSED.T_1|CY2021Q3</v>
      </c>
    </row>
    <row r="225" customFormat="false" ht="15" hidden="false" customHeight="false" outlineLevel="0" collapsed="false">
      <c r="D225" s="0" t="s">
        <v>101</v>
      </c>
      <c r="E225" s="0" t="s">
        <v>102</v>
      </c>
      <c r="F225" s="0" t="s">
        <v>47</v>
      </c>
      <c r="G225" s="0" t="s">
        <v>95</v>
      </c>
      <c r="H225" s="0" t="s">
        <v>96</v>
      </c>
      <c r="I225" s="0" t="s">
        <v>63</v>
      </c>
      <c r="J225" s="0" t="s">
        <v>64</v>
      </c>
      <c r="K225" s="0" t="s">
        <v>58</v>
      </c>
      <c r="L225" s="0" t="s">
        <v>59</v>
      </c>
      <c r="M225" s="0" t="s">
        <v>50</v>
      </c>
      <c r="N225" s="0" t="n">
        <v>69</v>
      </c>
      <c r="O225" s="0" t="n">
        <v>56</v>
      </c>
      <c r="P225" s="0" t="n">
        <v>23</v>
      </c>
      <c r="Q225" s="5" t="str">
        <f aca="false">IF($D225&lt;&gt;"","["&amp;$E225&amp;"]"&amp;"|"&amp;SUBSTITUTE(SUBSTITUTE($I225,CHAR(61),""),CHAR(34),"")&amp;"|"&amp;$K225&amp;"|"&amp;$G225&amp;"|"&amp;IF($G225="TX_CURR_SUBNAT.R","CY2020Q4",$M225),"")</f>
        <v>[jyhIrCoB31x]|15-19|Male|VL_SUPPRESSED.T_1|CY2021Q3</v>
      </c>
    </row>
    <row r="226" customFormat="false" ht="15" hidden="false" customHeight="false" outlineLevel="0" collapsed="false">
      <c r="D226" s="0" t="s">
        <v>101</v>
      </c>
      <c r="E226" s="0" t="s">
        <v>102</v>
      </c>
      <c r="F226" s="0" t="s">
        <v>47</v>
      </c>
      <c r="G226" s="0" t="s">
        <v>95</v>
      </c>
      <c r="H226" s="0" t="s">
        <v>96</v>
      </c>
      <c r="I226" s="0" t="s">
        <v>66</v>
      </c>
      <c r="J226" s="0" t="s">
        <v>67</v>
      </c>
      <c r="K226" s="0" t="s">
        <v>56</v>
      </c>
      <c r="L226" s="0" t="s">
        <v>57</v>
      </c>
      <c r="M226" s="0" t="s">
        <v>50</v>
      </c>
      <c r="N226" s="0" t="n">
        <v>209</v>
      </c>
      <c r="O226" s="0" t="n">
        <v>24</v>
      </c>
      <c r="P226" s="0" t="n">
        <v>11</v>
      </c>
      <c r="Q226" s="5" t="str">
        <f aca="false">IF($D226&lt;&gt;"","["&amp;$E226&amp;"]"&amp;"|"&amp;SUBSTITUTE(SUBSTITUTE($I226,CHAR(61),""),CHAR(34),"")&amp;"|"&amp;$K226&amp;"|"&amp;$G226&amp;"|"&amp;IF($G226="TX_CURR_SUBNAT.R","CY2020Q4",$M226),"")</f>
        <v>[jyhIrCoB31x]|20-24|Female|VL_SUPPRESSED.T_1|CY2021Q3</v>
      </c>
    </row>
    <row r="227" customFormat="false" ht="15" hidden="false" customHeight="false" outlineLevel="0" collapsed="false">
      <c r="D227" s="0" t="s">
        <v>101</v>
      </c>
      <c r="E227" s="0" t="s">
        <v>102</v>
      </c>
      <c r="F227" s="0" t="s">
        <v>47</v>
      </c>
      <c r="G227" s="0" t="s">
        <v>95</v>
      </c>
      <c r="H227" s="0" t="s">
        <v>96</v>
      </c>
      <c r="I227" s="0" t="s">
        <v>66</v>
      </c>
      <c r="J227" s="0" t="s">
        <v>67</v>
      </c>
      <c r="K227" s="0" t="s">
        <v>58</v>
      </c>
      <c r="L227" s="0" t="s">
        <v>59</v>
      </c>
      <c r="M227" s="0" t="s">
        <v>50</v>
      </c>
      <c r="N227" s="0" t="n">
        <v>46</v>
      </c>
      <c r="O227" s="0" t="n">
        <v>6</v>
      </c>
      <c r="P227" s="0" t="n">
        <v>16</v>
      </c>
      <c r="Q227" s="5" t="str">
        <f aca="false">IF($D227&lt;&gt;"","["&amp;$E227&amp;"]"&amp;"|"&amp;SUBSTITUTE(SUBSTITUTE($I227,CHAR(61),""),CHAR(34),"")&amp;"|"&amp;$K227&amp;"|"&amp;$G227&amp;"|"&amp;IF($G227="TX_CURR_SUBNAT.R","CY2020Q4",$M227),"")</f>
        <v>[jyhIrCoB31x]|20-24|Male|VL_SUPPRESSED.T_1|CY2021Q3</v>
      </c>
    </row>
    <row r="228" customFormat="false" ht="15" hidden="false" customHeight="false" outlineLevel="0" collapsed="false">
      <c r="D228" s="0" t="s">
        <v>101</v>
      </c>
      <c r="E228" s="0" t="s">
        <v>102</v>
      </c>
      <c r="F228" s="0" t="s">
        <v>47</v>
      </c>
      <c r="G228" s="0" t="s">
        <v>95</v>
      </c>
      <c r="H228" s="0" t="s">
        <v>96</v>
      </c>
      <c r="I228" s="0" t="s">
        <v>69</v>
      </c>
      <c r="J228" s="0" t="s">
        <v>70</v>
      </c>
      <c r="K228" s="0" t="s">
        <v>56</v>
      </c>
      <c r="L228" s="0" t="s">
        <v>57</v>
      </c>
      <c r="M228" s="0" t="s">
        <v>50</v>
      </c>
      <c r="N228" s="0" t="n">
        <v>476</v>
      </c>
      <c r="O228" s="0" t="n">
        <v>32</v>
      </c>
      <c r="P228" s="0" t="n">
        <v>21</v>
      </c>
      <c r="Q228" s="5" t="str">
        <f aca="false">IF($D228&lt;&gt;"","["&amp;$E228&amp;"]"&amp;"|"&amp;SUBSTITUTE(SUBSTITUTE($I228,CHAR(61),""),CHAR(34),"")&amp;"|"&amp;$K228&amp;"|"&amp;$G228&amp;"|"&amp;IF($G228="TX_CURR_SUBNAT.R","CY2020Q4",$M228),"")</f>
        <v>[jyhIrCoB31x]|25-29|Female|VL_SUPPRESSED.T_1|CY2021Q3</v>
      </c>
    </row>
    <row r="229" customFormat="false" ht="15" hidden="false" customHeight="false" outlineLevel="0" collapsed="false">
      <c r="D229" s="0" t="s">
        <v>101</v>
      </c>
      <c r="E229" s="0" t="s">
        <v>102</v>
      </c>
      <c r="F229" s="0" t="s">
        <v>47</v>
      </c>
      <c r="G229" s="0" t="s">
        <v>95</v>
      </c>
      <c r="H229" s="0" t="s">
        <v>96</v>
      </c>
      <c r="I229" s="0" t="s">
        <v>69</v>
      </c>
      <c r="J229" s="0" t="s">
        <v>70</v>
      </c>
      <c r="K229" s="0" t="s">
        <v>58</v>
      </c>
      <c r="L229" s="0" t="s">
        <v>59</v>
      </c>
      <c r="M229" s="0" t="s">
        <v>50</v>
      </c>
      <c r="N229" s="0" t="n">
        <v>80</v>
      </c>
      <c r="O229" s="0" t="n">
        <v>28</v>
      </c>
      <c r="P229" s="0" t="n">
        <v>41</v>
      </c>
      <c r="Q229" s="5" t="str">
        <f aca="false">IF($D229&lt;&gt;"","["&amp;$E229&amp;"]"&amp;"|"&amp;SUBSTITUTE(SUBSTITUTE($I229,CHAR(61),""),CHAR(34),"")&amp;"|"&amp;$K229&amp;"|"&amp;$G229&amp;"|"&amp;IF($G229="TX_CURR_SUBNAT.R","CY2020Q4",$M229),"")</f>
        <v>[jyhIrCoB31x]|25-29|Male|VL_SUPPRESSED.T_1|CY2021Q3</v>
      </c>
    </row>
    <row r="230" customFormat="false" ht="15" hidden="false" customHeight="false" outlineLevel="0" collapsed="false">
      <c r="D230" s="0" t="s">
        <v>101</v>
      </c>
      <c r="E230" s="0" t="s">
        <v>102</v>
      </c>
      <c r="F230" s="0" t="s">
        <v>47</v>
      </c>
      <c r="G230" s="0" t="s">
        <v>95</v>
      </c>
      <c r="H230" s="0" t="s">
        <v>96</v>
      </c>
      <c r="I230" s="0" t="s">
        <v>72</v>
      </c>
      <c r="J230" s="0" t="s">
        <v>73</v>
      </c>
      <c r="K230" s="0" t="s">
        <v>56</v>
      </c>
      <c r="L230" s="0" t="s">
        <v>57</v>
      </c>
      <c r="M230" s="0" t="s">
        <v>50</v>
      </c>
      <c r="N230" s="0" t="n">
        <v>729</v>
      </c>
      <c r="O230" s="0" t="n">
        <v>35</v>
      </c>
      <c r="P230" s="0" t="n">
        <v>45</v>
      </c>
      <c r="Q230" s="5" t="str">
        <f aca="false">IF($D230&lt;&gt;"","["&amp;$E230&amp;"]"&amp;"|"&amp;SUBSTITUTE(SUBSTITUTE($I230,CHAR(61),""),CHAR(34),"")&amp;"|"&amp;$K230&amp;"|"&amp;$G230&amp;"|"&amp;IF($G230="TX_CURR_SUBNAT.R","CY2020Q4",$M230),"")</f>
        <v>[jyhIrCoB31x]|30-34|Female|VL_SUPPRESSED.T_1|CY2021Q3</v>
      </c>
    </row>
    <row r="231" customFormat="false" ht="15" hidden="false" customHeight="false" outlineLevel="0" collapsed="false">
      <c r="D231" s="0" t="s">
        <v>101</v>
      </c>
      <c r="E231" s="0" t="s">
        <v>102</v>
      </c>
      <c r="F231" s="0" t="s">
        <v>47</v>
      </c>
      <c r="G231" s="0" t="s">
        <v>95</v>
      </c>
      <c r="H231" s="0" t="s">
        <v>96</v>
      </c>
      <c r="I231" s="0" t="s">
        <v>72</v>
      </c>
      <c r="J231" s="0" t="s">
        <v>73</v>
      </c>
      <c r="K231" s="0" t="s">
        <v>58</v>
      </c>
      <c r="L231" s="0" t="s">
        <v>59</v>
      </c>
      <c r="M231" s="0" t="s">
        <v>50</v>
      </c>
      <c r="N231" s="0" t="n">
        <v>233</v>
      </c>
      <c r="O231" s="0" t="n">
        <v>9</v>
      </c>
      <c r="P231" s="0" t="n">
        <v>21</v>
      </c>
      <c r="Q231" s="5" t="str">
        <f aca="false">IF($D231&lt;&gt;"","["&amp;$E231&amp;"]"&amp;"|"&amp;SUBSTITUTE(SUBSTITUTE($I231,CHAR(61),""),CHAR(34),"")&amp;"|"&amp;$K231&amp;"|"&amp;$G231&amp;"|"&amp;IF($G231="TX_CURR_SUBNAT.R","CY2020Q4",$M231),"")</f>
        <v>[jyhIrCoB31x]|30-34|Male|VL_SUPPRESSED.T_1|CY2021Q3</v>
      </c>
    </row>
    <row r="232" customFormat="false" ht="15" hidden="false" customHeight="false" outlineLevel="0" collapsed="false">
      <c r="D232" s="0" t="s">
        <v>101</v>
      </c>
      <c r="E232" s="0" t="s">
        <v>102</v>
      </c>
      <c r="F232" s="0" t="s">
        <v>47</v>
      </c>
      <c r="G232" s="0" t="s">
        <v>95</v>
      </c>
      <c r="H232" s="0" t="s">
        <v>96</v>
      </c>
      <c r="I232" s="0" t="s">
        <v>75</v>
      </c>
      <c r="J232" s="0" t="s">
        <v>76</v>
      </c>
      <c r="K232" s="0" t="s">
        <v>56</v>
      </c>
      <c r="L232" s="0" t="s">
        <v>57</v>
      </c>
      <c r="M232" s="0" t="s">
        <v>50</v>
      </c>
      <c r="N232" s="0" t="n">
        <v>766</v>
      </c>
      <c r="O232" s="0" t="n">
        <v>6</v>
      </c>
      <c r="P232" s="0" t="n">
        <v>49</v>
      </c>
      <c r="Q232" s="5" t="str">
        <f aca="false">IF($D232&lt;&gt;"","["&amp;$E232&amp;"]"&amp;"|"&amp;SUBSTITUTE(SUBSTITUTE($I232,CHAR(61),""),CHAR(34),"")&amp;"|"&amp;$K232&amp;"|"&amp;$G232&amp;"|"&amp;IF($G232="TX_CURR_SUBNAT.R","CY2020Q4",$M232),"")</f>
        <v>[jyhIrCoB31x]|35-39|Female|VL_SUPPRESSED.T_1|CY2021Q3</v>
      </c>
    </row>
    <row r="233" customFormat="false" ht="15" hidden="false" customHeight="false" outlineLevel="0" collapsed="false">
      <c r="D233" s="0" t="s">
        <v>101</v>
      </c>
      <c r="E233" s="0" t="s">
        <v>102</v>
      </c>
      <c r="F233" s="0" t="s">
        <v>47</v>
      </c>
      <c r="G233" s="0" t="s">
        <v>95</v>
      </c>
      <c r="H233" s="0" t="s">
        <v>96</v>
      </c>
      <c r="I233" s="0" t="s">
        <v>75</v>
      </c>
      <c r="J233" s="0" t="s">
        <v>76</v>
      </c>
      <c r="K233" s="0" t="s">
        <v>58</v>
      </c>
      <c r="L233" s="0" t="s">
        <v>59</v>
      </c>
      <c r="M233" s="0" t="s">
        <v>50</v>
      </c>
      <c r="N233" s="0" t="n">
        <v>443</v>
      </c>
      <c r="O233" s="0" t="n">
        <v>26</v>
      </c>
      <c r="P233" s="0" t="n">
        <v>34</v>
      </c>
      <c r="Q233" s="5" t="str">
        <f aca="false">IF($D233&lt;&gt;"","["&amp;$E233&amp;"]"&amp;"|"&amp;SUBSTITUTE(SUBSTITUTE($I233,CHAR(61),""),CHAR(34),"")&amp;"|"&amp;$K233&amp;"|"&amp;$G233&amp;"|"&amp;IF($G233="TX_CURR_SUBNAT.R","CY2020Q4",$M233),"")</f>
        <v>[jyhIrCoB31x]|35-39|Male|VL_SUPPRESSED.T_1|CY2021Q3</v>
      </c>
    </row>
    <row r="234" customFormat="false" ht="15" hidden="false" customHeight="false" outlineLevel="0" collapsed="false">
      <c r="D234" s="0" t="s">
        <v>101</v>
      </c>
      <c r="E234" s="0" t="s">
        <v>102</v>
      </c>
      <c r="F234" s="0" t="s">
        <v>47</v>
      </c>
      <c r="G234" s="0" t="s">
        <v>95</v>
      </c>
      <c r="H234" s="0" t="s">
        <v>96</v>
      </c>
      <c r="I234" s="0" t="s">
        <v>77</v>
      </c>
      <c r="J234" s="0" t="s">
        <v>78</v>
      </c>
      <c r="K234" s="0" t="s">
        <v>56</v>
      </c>
      <c r="L234" s="0" t="s">
        <v>57</v>
      </c>
      <c r="M234" s="0" t="s">
        <v>50</v>
      </c>
      <c r="N234" s="0" t="n">
        <v>752</v>
      </c>
      <c r="O234" s="0" t="n">
        <v>45</v>
      </c>
      <c r="P234" s="0" t="n">
        <v>28</v>
      </c>
      <c r="Q234" s="5" t="str">
        <f aca="false">IF($D234&lt;&gt;"","["&amp;$E234&amp;"]"&amp;"|"&amp;SUBSTITUTE(SUBSTITUTE($I234,CHAR(61),""),CHAR(34),"")&amp;"|"&amp;$K234&amp;"|"&amp;$G234&amp;"|"&amp;IF($G234="TX_CURR_SUBNAT.R","CY2020Q4",$M234),"")</f>
        <v>[jyhIrCoB31x]|40-44|Female|VL_SUPPRESSED.T_1|CY2021Q3</v>
      </c>
    </row>
    <row r="235" customFormat="false" ht="15" hidden="false" customHeight="false" outlineLevel="0" collapsed="false">
      <c r="D235" s="0" t="s">
        <v>101</v>
      </c>
      <c r="E235" s="0" t="s">
        <v>102</v>
      </c>
      <c r="F235" s="0" t="s">
        <v>47</v>
      </c>
      <c r="G235" s="0" t="s">
        <v>95</v>
      </c>
      <c r="H235" s="0" t="s">
        <v>96</v>
      </c>
      <c r="I235" s="0" t="s">
        <v>77</v>
      </c>
      <c r="J235" s="0" t="s">
        <v>78</v>
      </c>
      <c r="K235" s="0" t="s">
        <v>58</v>
      </c>
      <c r="L235" s="0" t="s">
        <v>59</v>
      </c>
      <c r="M235" s="0" t="s">
        <v>50</v>
      </c>
      <c r="N235" s="0" t="n">
        <v>523</v>
      </c>
      <c r="O235" s="0" t="n">
        <v>4</v>
      </c>
      <c r="P235" s="0" t="n">
        <v>48</v>
      </c>
      <c r="Q235" s="5" t="str">
        <f aca="false">IF($D235&lt;&gt;"","["&amp;$E235&amp;"]"&amp;"|"&amp;SUBSTITUTE(SUBSTITUTE($I235,CHAR(61),""),CHAR(34),"")&amp;"|"&amp;$K235&amp;"|"&amp;$G235&amp;"|"&amp;IF($G235="TX_CURR_SUBNAT.R","CY2020Q4",$M235),"")</f>
        <v>[jyhIrCoB31x]|40-44|Male|VL_SUPPRESSED.T_1|CY2021Q3</v>
      </c>
    </row>
    <row r="236" customFormat="false" ht="15" hidden="false" customHeight="false" outlineLevel="0" collapsed="false">
      <c r="D236" s="0" t="s">
        <v>101</v>
      </c>
      <c r="E236" s="0" t="s">
        <v>102</v>
      </c>
      <c r="F236" s="0" t="s">
        <v>47</v>
      </c>
      <c r="G236" s="0" t="s">
        <v>95</v>
      </c>
      <c r="H236" s="0" t="s">
        <v>96</v>
      </c>
      <c r="I236" s="0" t="s">
        <v>80</v>
      </c>
      <c r="J236" s="0" t="s">
        <v>81</v>
      </c>
      <c r="K236" s="0" t="s">
        <v>56</v>
      </c>
      <c r="L236" s="0" t="s">
        <v>57</v>
      </c>
      <c r="M236" s="0" t="s">
        <v>50</v>
      </c>
      <c r="N236" s="0" t="n">
        <v>561</v>
      </c>
      <c r="O236" s="0" t="n">
        <v>38</v>
      </c>
      <c r="P236" s="0" t="n">
        <v>9</v>
      </c>
      <c r="Q236" s="5" t="str">
        <f aca="false">IF($D236&lt;&gt;"","["&amp;$E236&amp;"]"&amp;"|"&amp;SUBSTITUTE(SUBSTITUTE($I236,CHAR(61),""),CHAR(34),"")&amp;"|"&amp;$K236&amp;"|"&amp;$G236&amp;"|"&amp;IF($G236="TX_CURR_SUBNAT.R","CY2020Q4",$M236),"")</f>
        <v>[jyhIrCoB31x]|45-49|Female|VL_SUPPRESSED.T_1|CY2021Q3</v>
      </c>
    </row>
    <row r="237" customFormat="false" ht="15" hidden="false" customHeight="false" outlineLevel="0" collapsed="false">
      <c r="D237" s="0" t="s">
        <v>101</v>
      </c>
      <c r="E237" s="0" t="s">
        <v>102</v>
      </c>
      <c r="F237" s="0" t="s">
        <v>47</v>
      </c>
      <c r="G237" s="0" t="s">
        <v>95</v>
      </c>
      <c r="H237" s="0" t="s">
        <v>96</v>
      </c>
      <c r="I237" s="0" t="s">
        <v>80</v>
      </c>
      <c r="J237" s="0" t="s">
        <v>81</v>
      </c>
      <c r="K237" s="0" t="s">
        <v>58</v>
      </c>
      <c r="L237" s="0" t="s">
        <v>59</v>
      </c>
      <c r="M237" s="0" t="s">
        <v>50</v>
      </c>
      <c r="N237" s="0" t="n">
        <v>485</v>
      </c>
      <c r="O237" s="0" t="n">
        <v>22</v>
      </c>
      <c r="P237" s="0" t="n">
        <v>32</v>
      </c>
      <c r="Q237" s="5" t="str">
        <f aca="false">IF($D237&lt;&gt;"","["&amp;$E237&amp;"]"&amp;"|"&amp;SUBSTITUTE(SUBSTITUTE($I237,CHAR(61),""),CHAR(34),"")&amp;"|"&amp;$K237&amp;"|"&amp;$G237&amp;"|"&amp;IF($G237="TX_CURR_SUBNAT.R","CY2020Q4",$M237),"")</f>
        <v>[jyhIrCoB31x]|45-49|Male|VL_SUPPRESSED.T_1|CY2021Q3</v>
      </c>
    </row>
    <row r="238" customFormat="false" ht="15" hidden="false" customHeight="false" outlineLevel="0" collapsed="false">
      <c r="D238" s="0" t="s">
        <v>101</v>
      </c>
      <c r="E238" s="0" t="s">
        <v>102</v>
      </c>
      <c r="F238" s="0" t="s">
        <v>47</v>
      </c>
      <c r="G238" s="0" t="s">
        <v>95</v>
      </c>
      <c r="H238" s="0" t="s">
        <v>96</v>
      </c>
      <c r="I238" s="0" t="s">
        <v>83</v>
      </c>
      <c r="J238" s="0" t="s">
        <v>84</v>
      </c>
      <c r="K238" s="0" t="s">
        <v>56</v>
      </c>
      <c r="L238" s="0" t="s">
        <v>57</v>
      </c>
      <c r="M238" s="0" t="s">
        <v>50</v>
      </c>
      <c r="N238" s="0" t="n">
        <v>35</v>
      </c>
      <c r="O238" s="0" t="n">
        <v>15</v>
      </c>
      <c r="P238" s="0" t="n">
        <v>36</v>
      </c>
      <c r="Q238" s="5" t="str">
        <f aca="false">IF($D238&lt;&gt;"","["&amp;$E238&amp;"]"&amp;"|"&amp;SUBSTITUTE(SUBSTITUTE($I238,CHAR(61),""),CHAR(34),"")&amp;"|"&amp;$K238&amp;"|"&amp;$G238&amp;"|"&amp;IF($G238="TX_CURR_SUBNAT.R","CY2020Q4",$M238),"")</f>
        <v>[jyhIrCoB31x]|05-09|Female|VL_SUPPRESSED.T_1|CY2021Q3</v>
      </c>
    </row>
    <row r="239" customFormat="false" ht="15" hidden="false" customHeight="false" outlineLevel="0" collapsed="false">
      <c r="D239" s="0" t="s">
        <v>101</v>
      </c>
      <c r="E239" s="0" t="s">
        <v>102</v>
      </c>
      <c r="F239" s="0" t="s">
        <v>47</v>
      </c>
      <c r="G239" s="0" t="s">
        <v>95</v>
      </c>
      <c r="H239" s="0" t="s">
        <v>96</v>
      </c>
      <c r="I239" s="0" t="s">
        <v>83</v>
      </c>
      <c r="J239" s="0" t="s">
        <v>84</v>
      </c>
      <c r="K239" s="0" t="s">
        <v>58</v>
      </c>
      <c r="L239" s="0" t="s">
        <v>59</v>
      </c>
      <c r="M239" s="0" t="s">
        <v>50</v>
      </c>
      <c r="N239" s="0" t="n">
        <v>42</v>
      </c>
      <c r="O239" s="0" t="n">
        <v>35</v>
      </c>
      <c r="P239" s="0" t="n">
        <v>33</v>
      </c>
      <c r="Q239" s="5" t="str">
        <f aca="false">IF($D239&lt;&gt;"","["&amp;$E239&amp;"]"&amp;"|"&amp;SUBSTITUTE(SUBSTITUTE($I239,CHAR(61),""),CHAR(34),"")&amp;"|"&amp;$K239&amp;"|"&amp;$G239&amp;"|"&amp;IF($G239="TX_CURR_SUBNAT.R","CY2020Q4",$M239),"")</f>
        <v>[jyhIrCoB31x]|05-09|Male|VL_SUPPRESSED.T_1|CY2021Q3</v>
      </c>
    </row>
    <row r="240" customFormat="false" ht="15" hidden="false" customHeight="false" outlineLevel="0" collapsed="false">
      <c r="D240" s="0" t="s">
        <v>101</v>
      </c>
      <c r="E240" s="0" t="s">
        <v>102</v>
      </c>
      <c r="F240" s="0" t="s">
        <v>47</v>
      </c>
      <c r="G240" s="0" t="s">
        <v>95</v>
      </c>
      <c r="H240" s="0" t="s">
        <v>96</v>
      </c>
      <c r="I240" s="53" t="s">
        <v>86</v>
      </c>
      <c r="J240" s="0" t="s">
        <v>87</v>
      </c>
      <c r="K240" s="0" t="s">
        <v>56</v>
      </c>
      <c r="L240" s="0" t="s">
        <v>57</v>
      </c>
      <c r="M240" s="0" t="s">
        <v>50</v>
      </c>
      <c r="N240" s="0" t="n">
        <v>1774</v>
      </c>
      <c r="O240" s="0" t="n">
        <v>21</v>
      </c>
      <c r="P240" s="0" t="n">
        <v>32</v>
      </c>
      <c r="Q240" s="5" t="str">
        <f aca="false">IF($D240&lt;&gt;"","["&amp;$E240&amp;"]"&amp;"|"&amp;SUBSTITUTE(SUBSTITUTE($I240,CHAR(61),""),CHAR(34),"")&amp;"|"&amp;$K240&amp;"|"&amp;$G240&amp;"|"&amp;IF($G240="TX_CURR_SUBNAT.R","CY2020Q4",$M240),"")</f>
        <v>[jyhIrCoB31x]|50+|Female|VL_SUPPRESSED.T_1|CY2021Q3</v>
      </c>
    </row>
    <row r="241" customFormat="false" ht="15" hidden="false" customHeight="false" outlineLevel="0" collapsed="false">
      <c r="D241" s="0" t="s">
        <v>101</v>
      </c>
      <c r="E241" s="0" t="s">
        <v>102</v>
      </c>
      <c r="F241" s="0" t="s">
        <v>47</v>
      </c>
      <c r="G241" s="0" t="s">
        <v>95</v>
      </c>
      <c r="H241" s="0" t="s">
        <v>96</v>
      </c>
      <c r="I241" s="53" t="s">
        <v>86</v>
      </c>
      <c r="J241" s="0" t="s">
        <v>87</v>
      </c>
      <c r="K241" s="0" t="s">
        <v>58</v>
      </c>
      <c r="L241" s="0" t="s">
        <v>59</v>
      </c>
      <c r="M241" s="0" t="s">
        <v>50</v>
      </c>
      <c r="N241" s="0" t="n">
        <v>1081</v>
      </c>
      <c r="O241" s="0" t="n">
        <v>40</v>
      </c>
      <c r="P241" s="0" t="n">
        <v>46</v>
      </c>
      <c r="Q241" s="5" t="str">
        <f aca="false">IF($D241&lt;&gt;"","["&amp;$E241&amp;"]"&amp;"|"&amp;SUBSTITUTE(SUBSTITUTE($I241,CHAR(61),""),CHAR(34),"")&amp;"|"&amp;$K241&amp;"|"&amp;$G241&amp;"|"&amp;IF($G241="TX_CURR_SUBNAT.R","CY2020Q4",$M241),"")</f>
        <v>[jyhIrCoB31x]|50+|Male|VL_SUPPRESSED.T_1|CY2021Q3</v>
      </c>
    </row>
    <row r="242" customFormat="false" ht="15" hidden="false" customHeight="false" outlineLevel="0" collapsed="false">
      <c r="D242" s="0" t="s">
        <v>101</v>
      </c>
      <c r="E242" s="0" t="s">
        <v>102</v>
      </c>
      <c r="F242" s="0" t="s">
        <v>47</v>
      </c>
      <c r="G242" s="0" t="s">
        <v>97</v>
      </c>
      <c r="H242" s="0" t="s">
        <v>98</v>
      </c>
      <c r="I242" s="0" t="s">
        <v>54</v>
      </c>
      <c r="J242" s="0" t="s">
        <v>55</v>
      </c>
      <c r="K242" s="0" t="s">
        <v>56</v>
      </c>
      <c r="L242" s="0" t="s">
        <v>57</v>
      </c>
      <c r="M242" s="0" t="s">
        <v>50</v>
      </c>
      <c r="N242" s="0" t="n">
        <v>39</v>
      </c>
      <c r="O242" s="0" t="n">
        <v>38</v>
      </c>
      <c r="P242" s="0" t="n">
        <v>17</v>
      </c>
      <c r="Q242" s="5" t="str">
        <f aca="false">IF($D242&lt;&gt;"","["&amp;$E242&amp;"]"&amp;"|"&amp;SUBSTITUTE(SUBSTITUTE($I242,CHAR(61),""),CHAR(34),"")&amp;"|"&amp;$K242&amp;"|"&amp;$G242&amp;"|"&amp;IF($G242="TX_CURR_SUBNAT.R","CY2020Q4",$M242),"")</f>
        <v>[jyhIrCoB31x]|01-04|Female|PLHIV.T_1|CY2021Q3</v>
      </c>
    </row>
    <row r="243" customFormat="false" ht="15" hidden="false" customHeight="false" outlineLevel="0" collapsed="false">
      <c r="D243" s="0" t="s">
        <v>101</v>
      </c>
      <c r="E243" s="0" t="s">
        <v>102</v>
      </c>
      <c r="F243" s="0" t="s">
        <v>47</v>
      </c>
      <c r="G243" s="0" t="s">
        <v>97</v>
      </c>
      <c r="H243" s="0" t="s">
        <v>98</v>
      </c>
      <c r="I243" s="0" t="s">
        <v>54</v>
      </c>
      <c r="J243" s="0" t="s">
        <v>55</v>
      </c>
      <c r="K243" s="0" t="s">
        <v>58</v>
      </c>
      <c r="L243" s="0" t="s">
        <v>59</v>
      </c>
      <c r="M243" s="0" t="s">
        <v>50</v>
      </c>
      <c r="N243" s="0" t="n">
        <v>39</v>
      </c>
      <c r="O243" s="0" t="n">
        <v>33</v>
      </c>
      <c r="P243" s="0" t="n">
        <v>12</v>
      </c>
      <c r="Q243" s="5" t="str">
        <f aca="false">IF($D243&lt;&gt;"","["&amp;$E243&amp;"]"&amp;"|"&amp;SUBSTITUTE(SUBSTITUTE($I243,CHAR(61),""),CHAR(34),"")&amp;"|"&amp;$K243&amp;"|"&amp;$G243&amp;"|"&amp;IF($G243="TX_CURR_SUBNAT.R","CY2020Q4",$M243),"")</f>
        <v>[jyhIrCoB31x]|01-04|Male|PLHIV.T_1|CY2021Q3</v>
      </c>
    </row>
    <row r="244" customFormat="false" ht="15" hidden="false" customHeight="false" outlineLevel="0" collapsed="false">
      <c r="D244" s="0" t="s">
        <v>101</v>
      </c>
      <c r="E244" s="0" t="s">
        <v>102</v>
      </c>
      <c r="F244" s="0" t="s">
        <v>47</v>
      </c>
      <c r="G244" s="0" t="s">
        <v>97</v>
      </c>
      <c r="H244" s="0" t="s">
        <v>98</v>
      </c>
      <c r="I244" s="0" t="s">
        <v>61</v>
      </c>
      <c r="J244" s="0" t="s">
        <v>62</v>
      </c>
      <c r="K244" s="0" t="s">
        <v>56</v>
      </c>
      <c r="L244" s="0" t="s">
        <v>57</v>
      </c>
      <c r="M244" s="0" t="s">
        <v>50</v>
      </c>
      <c r="N244" s="0" t="n">
        <v>196</v>
      </c>
      <c r="O244" s="0" t="n">
        <v>46</v>
      </c>
      <c r="P244" s="0" t="n">
        <v>24</v>
      </c>
      <c r="Q244" s="5" t="str">
        <f aca="false">IF($D244&lt;&gt;"","["&amp;$E244&amp;"]"&amp;"|"&amp;SUBSTITUTE(SUBSTITUTE($I244,CHAR(61),""),CHAR(34),"")&amp;"|"&amp;$K244&amp;"|"&amp;$G244&amp;"|"&amp;IF($G244="TX_CURR_SUBNAT.R","CY2020Q4",$M244),"")</f>
        <v>[jyhIrCoB31x]|10-14|Female|PLHIV.T_1|CY2021Q3</v>
      </c>
    </row>
    <row r="245" customFormat="false" ht="15" hidden="false" customHeight="false" outlineLevel="0" collapsed="false">
      <c r="D245" s="0" t="s">
        <v>101</v>
      </c>
      <c r="E245" s="0" t="s">
        <v>102</v>
      </c>
      <c r="F245" s="0" t="s">
        <v>47</v>
      </c>
      <c r="G245" s="0" t="s">
        <v>97</v>
      </c>
      <c r="H245" s="0" t="s">
        <v>98</v>
      </c>
      <c r="I245" s="0" t="s">
        <v>61</v>
      </c>
      <c r="J245" s="0" t="s">
        <v>62</v>
      </c>
      <c r="K245" s="0" t="s">
        <v>58</v>
      </c>
      <c r="L245" s="0" t="s">
        <v>59</v>
      </c>
      <c r="M245" s="0" t="s">
        <v>50</v>
      </c>
      <c r="N245" s="0" t="n">
        <v>199</v>
      </c>
      <c r="O245" s="0" t="n">
        <v>6</v>
      </c>
      <c r="P245" s="0" t="n">
        <v>43</v>
      </c>
      <c r="Q245" s="5" t="str">
        <f aca="false">IF($D245&lt;&gt;"","["&amp;$E245&amp;"]"&amp;"|"&amp;SUBSTITUTE(SUBSTITUTE($I245,CHAR(61),""),CHAR(34),"")&amp;"|"&amp;$K245&amp;"|"&amp;$G245&amp;"|"&amp;IF($G245="TX_CURR_SUBNAT.R","CY2020Q4",$M245),"")</f>
        <v>[jyhIrCoB31x]|10-14|Male|PLHIV.T_1|CY2021Q3</v>
      </c>
    </row>
    <row r="246" customFormat="false" ht="15" hidden="false" customHeight="false" outlineLevel="0" collapsed="false">
      <c r="D246" s="0" t="s">
        <v>101</v>
      </c>
      <c r="E246" s="0" t="s">
        <v>102</v>
      </c>
      <c r="F246" s="0" t="s">
        <v>47</v>
      </c>
      <c r="G246" s="0" t="s">
        <v>97</v>
      </c>
      <c r="H246" s="0" t="s">
        <v>98</v>
      </c>
      <c r="I246" s="0" t="s">
        <v>63</v>
      </c>
      <c r="J246" s="0" t="s">
        <v>64</v>
      </c>
      <c r="K246" s="0" t="s">
        <v>56</v>
      </c>
      <c r="L246" s="0" t="s">
        <v>57</v>
      </c>
      <c r="M246" s="0" t="s">
        <v>50</v>
      </c>
      <c r="N246" s="0" t="n">
        <v>304</v>
      </c>
      <c r="O246" s="0" t="n">
        <v>36</v>
      </c>
      <c r="P246" s="0" t="n">
        <v>42</v>
      </c>
      <c r="Q246" s="5" t="str">
        <f aca="false">IF($D246&lt;&gt;"","["&amp;$E246&amp;"]"&amp;"|"&amp;SUBSTITUTE(SUBSTITUTE($I246,CHAR(61),""),CHAR(34),"")&amp;"|"&amp;$K246&amp;"|"&amp;$G246&amp;"|"&amp;IF($G246="TX_CURR_SUBNAT.R","CY2020Q4",$M246),"")</f>
        <v>[jyhIrCoB31x]|15-19|Female|PLHIV.T_1|CY2021Q3</v>
      </c>
    </row>
    <row r="247" customFormat="false" ht="15" hidden="false" customHeight="false" outlineLevel="0" collapsed="false">
      <c r="D247" s="0" t="s">
        <v>101</v>
      </c>
      <c r="E247" s="0" t="s">
        <v>102</v>
      </c>
      <c r="F247" s="0" t="s">
        <v>47</v>
      </c>
      <c r="G247" s="0" t="s">
        <v>97</v>
      </c>
      <c r="H247" s="0" t="s">
        <v>98</v>
      </c>
      <c r="I247" s="0" t="s">
        <v>63</v>
      </c>
      <c r="J247" s="0" t="s">
        <v>64</v>
      </c>
      <c r="K247" s="0" t="s">
        <v>58</v>
      </c>
      <c r="L247" s="0" t="s">
        <v>59</v>
      </c>
      <c r="M247" s="0" t="s">
        <v>50</v>
      </c>
      <c r="N247" s="0" t="n">
        <v>197</v>
      </c>
      <c r="O247" s="0" t="n">
        <v>25</v>
      </c>
      <c r="P247" s="0" t="n">
        <v>46</v>
      </c>
      <c r="Q247" s="5" t="str">
        <f aca="false">IF($D247&lt;&gt;"","["&amp;$E247&amp;"]"&amp;"|"&amp;SUBSTITUTE(SUBSTITUTE($I247,CHAR(61),""),CHAR(34),"")&amp;"|"&amp;$K247&amp;"|"&amp;$G247&amp;"|"&amp;IF($G247="TX_CURR_SUBNAT.R","CY2020Q4",$M247),"")</f>
        <v>[jyhIrCoB31x]|15-19|Male|PLHIV.T_1|CY2021Q3</v>
      </c>
    </row>
    <row r="248" customFormat="false" ht="15" hidden="false" customHeight="false" outlineLevel="0" collapsed="false">
      <c r="D248" s="0" t="s">
        <v>101</v>
      </c>
      <c r="E248" s="0" t="s">
        <v>102</v>
      </c>
      <c r="F248" s="0" t="s">
        <v>47</v>
      </c>
      <c r="G248" s="0" t="s">
        <v>97</v>
      </c>
      <c r="H248" s="0" t="s">
        <v>98</v>
      </c>
      <c r="I248" s="0" t="s">
        <v>66</v>
      </c>
      <c r="J248" s="0" t="s">
        <v>67</v>
      </c>
      <c r="K248" s="0" t="s">
        <v>56</v>
      </c>
      <c r="L248" s="0" t="s">
        <v>57</v>
      </c>
      <c r="M248" s="0" t="s">
        <v>50</v>
      </c>
      <c r="N248" s="0" t="n">
        <v>711</v>
      </c>
      <c r="O248" s="0" t="n">
        <v>12</v>
      </c>
      <c r="P248" s="0" t="n">
        <v>11</v>
      </c>
      <c r="Q248" s="5" t="str">
        <f aca="false">IF($D248&lt;&gt;"","["&amp;$E248&amp;"]"&amp;"|"&amp;SUBSTITUTE(SUBSTITUTE($I248,CHAR(61),""),CHAR(34),"")&amp;"|"&amp;$K248&amp;"|"&amp;$G248&amp;"|"&amp;IF($G248="TX_CURR_SUBNAT.R","CY2020Q4",$M248),"")</f>
        <v>[jyhIrCoB31x]|20-24|Female|PLHIV.T_1|CY2021Q3</v>
      </c>
    </row>
    <row r="249" customFormat="false" ht="15" hidden="false" customHeight="false" outlineLevel="0" collapsed="false">
      <c r="D249" s="0" t="s">
        <v>101</v>
      </c>
      <c r="E249" s="0" t="s">
        <v>102</v>
      </c>
      <c r="F249" s="0" t="s">
        <v>47</v>
      </c>
      <c r="G249" s="0" t="s">
        <v>97</v>
      </c>
      <c r="H249" s="0" t="s">
        <v>98</v>
      </c>
      <c r="I249" s="0" t="s">
        <v>66</v>
      </c>
      <c r="J249" s="0" t="s">
        <v>67</v>
      </c>
      <c r="K249" s="0" t="s">
        <v>58</v>
      </c>
      <c r="L249" s="0" t="s">
        <v>59</v>
      </c>
      <c r="M249" s="0" t="s">
        <v>50</v>
      </c>
      <c r="N249" s="0" t="n">
        <v>289</v>
      </c>
      <c r="O249" s="0" t="n">
        <v>13</v>
      </c>
      <c r="P249" s="0" t="n">
        <v>31</v>
      </c>
      <c r="Q249" s="5" t="str">
        <f aca="false">IF($D249&lt;&gt;"","["&amp;$E249&amp;"]"&amp;"|"&amp;SUBSTITUTE(SUBSTITUTE($I249,CHAR(61),""),CHAR(34),"")&amp;"|"&amp;$K249&amp;"|"&amp;$G249&amp;"|"&amp;IF($G249="TX_CURR_SUBNAT.R","CY2020Q4",$M249),"")</f>
        <v>[jyhIrCoB31x]|20-24|Male|PLHIV.T_1|CY2021Q3</v>
      </c>
    </row>
    <row r="250" customFormat="false" ht="15" hidden="false" customHeight="false" outlineLevel="0" collapsed="false">
      <c r="D250" s="0" t="s">
        <v>101</v>
      </c>
      <c r="E250" s="0" t="s">
        <v>102</v>
      </c>
      <c r="F250" s="0" t="s">
        <v>47</v>
      </c>
      <c r="G250" s="0" t="s">
        <v>97</v>
      </c>
      <c r="H250" s="0" t="s">
        <v>98</v>
      </c>
      <c r="I250" s="0" t="s">
        <v>69</v>
      </c>
      <c r="J250" s="0" t="s">
        <v>70</v>
      </c>
      <c r="K250" s="0" t="s">
        <v>56</v>
      </c>
      <c r="L250" s="0" t="s">
        <v>57</v>
      </c>
      <c r="M250" s="0" t="s">
        <v>50</v>
      </c>
      <c r="N250" s="0" t="n">
        <v>1225</v>
      </c>
      <c r="O250" s="0" t="n">
        <v>13</v>
      </c>
      <c r="P250" s="0" t="n">
        <v>1</v>
      </c>
      <c r="Q250" s="5" t="str">
        <f aca="false">IF($D250&lt;&gt;"","["&amp;$E250&amp;"]"&amp;"|"&amp;SUBSTITUTE(SUBSTITUTE($I250,CHAR(61),""),CHAR(34),"")&amp;"|"&amp;$K250&amp;"|"&amp;$G250&amp;"|"&amp;IF($G250="TX_CURR_SUBNAT.R","CY2020Q4",$M250),"")</f>
        <v>[jyhIrCoB31x]|25-29|Female|PLHIV.T_1|CY2021Q3</v>
      </c>
    </row>
    <row r="251" customFormat="false" ht="15" hidden="false" customHeight="false" outlineLevel="0" collapsed="false">
      <c r="D251" s="0" t="s">
        <v>101</v>
      </c>
      <c r="E251" s="0" t="s">
        <v>102</v>
      </c>
      <c r="F251" s="0" t="s">
        <v>47</v>
      </c>
      <c r="G251" s="0" t="s">
        <v>97</v>
      </c>
      <c r="H251" s="0" t="s">
        <v>98</v>
      </c>
      <c r="I251" s="0" t="s">
        <v>69</v>
      </c>
      <c r="J251" s="0" t="s">
        <v>70</v>
      </c>
      <c r="K251" s="0" t="s">
        <v>58</v>
      </c>
      <c r="L251" s="0" t="s">
        <v>59</v>
      </c>
      <c r="M251" s="0" t="s">
        <v>50</v>
      </c>
      <c r="N251" s="0" t="n">
        <v>586</v>
      </c>
      <c r="O251" s="0" t="n">
        <v>7</v>
      </c>
      <c r="P251" s="0" t="n">
        <v>21</v>
      </c>
      <c r="Q251" s="5" t="str">
        <f aca="false">IF($D251&lt;&gt;"","["&amp;$E251&amp;"]"&amp;"|"&amp;SUBSTITUTE(SUBSTITUTE($I251,CHAR(61),""),CHAR(34),"")&amp;"|"&amp;$K251&amp;"|"&amp;$G251&amp;"|"&amp;IF($G251="TX_CURR_SUBNAT.R","CY2020Q4",$M251),"")</f>
        <v>[jyhIrCoB31x]|25-29|Male|PLHIV.T_1|CY2021Q3</v>
      </c>
    </row>
    <row r="252" customFormat="false" ht="15" hidden="false" customHeight="false" outlineLevel="0" collapsed="false">
      <c r="D252" s="0" t="s">
        <v>101</v>
      </c>
      <c r="E252" s="0" t="s">
        <v>102</v>
      </c>
      <c r="F252" s="0" t="s">
        <v>47</v>
      </c>
      <c r="G252" s="0" t="s">
        <v>97</v>
      </c>
      <c r="H252" s="0" t="s">
        <v>98</v>
      </c>
      <c r="I252" s="0" t="s">
        <v>72</v>
      </c>
      <c r="J252" s="0" t="s">
        <v>73</v>
      </c>
      <c r="K252" s="0" t="s">
        <v>56</v>
      </c>
      <c r="L252" s="0" t="s">
        <v>57</v>
      </c>
      <c r="M252" s="0" t="s">
        <v>50</v>
      </c>
      <c r="N252" s="0" t="n">
        <v>1653</v>
      </c>
      <c r="O252" s="0" t="n">
        <v>52</v>
      </c>
      <c r="P252" s="0" t="n">
        <v>23</v>
      </c>
      <c r="Q252" s="5" t="str">
        <f aca="false">IF($D252&lt;&gt;"","["&amp;$E252&amp;"]"&amp;"|"&amp;SUBSTITUTE(SUBSTITUTE($I252,CHAR(61),""),CHAR(34),"")&amp;"|"&amp;$K252&amp;"|"&amp;$G252&amp;"|"&amp;IF($G252="TX_CURR_SUBNAT.R","CY2020Q4",$M252),"")</f>
        <v>[jyhIrCoB31x]|30-34|Female|PLHIV.T_1|CY2021Q3</v>
      </c>
    </row>
    <row r="253" customFormat="false" ht="15" hidden="false" customHeight="false" outlineLevel="0" collapsed="false">
      <c r="D253" s="0" t="s">
        <v>101</v>
      </c>
      <c r="E253" s="0" t="s">
        <v>102</v>
      </c>
      <c r="F253" s="0" t="s">
        <v>47</v>
      </c>
      <c r="G253" s="0" t="s">
        <v>97</v>
      </c>
      <c r="H253" s="0" t="s">
        <v>98</v>
      </c>
      <c r="I253" s="0" t="s">
        <v>72</v>
      </c>
      <c r="J253" s="0" t="s">
        <v>73</v>
      </c>
      <c r="K253" s="0" t="s">
        <v>58</v>
      </c>
      <c r="L253" s="0" t="s">
        <v>59</v>
      </c>
      <c r="M253" s="0" t="s">
        <v>50</v>
      </c>
      <c r="N253" s="0" t="n">
        <v>1027</v>
      </c>
      <c r="O253" s="0" t="n">
        <v>31</v>
      </c>
      <c r="P253" s="0" t="n">
        <v>6</v>
      </c>
      <c r="Q253" s="5" t="str">
        <f aca="false">IF($D253&lt;&gt;"","["&amp;$E253&amp;"]"&amp;"|"&amp;SUBSTITUTE(SUBSTITUTE($I253,CHAR(61),""),CHAR(34),"")&amp;"|"&amp;$K253&amp;"|"&amp;$G253&amp;"|"&amp;IF($G253="TX_CURR_SUBNAT.R","CY2020Q4",$M253),"")</f>
        <v>[jyhIrCoB31x]|30-34|Male|PLHIV.T_1|CY2021Q3</v>
      </c>
    </row>
    <row r="254" customFormat="false" ht="15" hidden="false" customHeight="false" outlineLevel="0" collapsed="false">
      <c r="D254" s="0" t="s">
        <v>101</v>
      </c>
      <c r="E254" s="0" t="s">
        <v>102</v>
      </c>
      <c r="F254" s="0" t="s">
        <v>47</v>
      </c>
      <c r="G254" s="0" t="s">
        <v>97</v>
      </c>
      <c r="H254" s="0" t="s">
        <v>98</v>
      </c>
      <c r="I254" s="0" t="s">
        <v>75</v>
      </c>
      <c r="J254" s="0" t="s">
        <v>76</v>
      </c>
      <c r="K254" s="0" t="s">
        <v>56</v>
      </c>
      <c r="L254" s="0" t="s">
        <v>57</v>
      </c>
      <c r="M254" s="0" t="s">
        <v>50</v>
      </c>
      <c r="N254" s="0" t="n">
        <v>1573</v>
      </c>
      <c r="O254" s="0" t="n">
        <v>18</v>
      </c>
      <c r="P254" s="0" t="n">
        <v>35</v>
      </c>
      <c r="Q254" s="5" t="str">
        <f aca="false">IF($D254&lt;&gt;"","["&amp;$E254&amp;"]"&amp;"|"&amp;SUBSTITUTE(SUBSTITUTE($I254,CHAR(61),""),CHAR(34),"")&amp;"|"&amp;$K254&amp;"|"&amp;$G254&amp;"|"&amp;IF($G254="TX_CURR_SUBNAT.R","CY2020Q4",$M254),"")</f>
        <v>[jyhIrCoB31x]|35-39|Female|PLHIV.T_1|CY2021Q3</v>
      </c>
    </row>
    <row r="255" customFormat="false" ht="15" hidden="false" customHeight="false" outlineLevel="0" collapsed="false">
      <c r="D255" s="0" t="s">
        <v>101</v>
      </c>
      <c r="E255" s="0" t="s">
        <v>102</v>
      </c>
      <c r="F255" s="0" t="s">
        <v>47</v>
      </c>
      <c r="G255" s="0" t="s">
        <v>97</v>
      </c>
      <c r="H255" s="0" t="s">
        <v>98</v>
      </c>
      <c r="I255" s="0" t="s">
        <v>75</v>
      </c>
      <c r="J255" s="0" t="s">
        <v>76</v>
      </c>
      <c r="K255" s="0" t="s">
        <v>58</v>
      </c>
      <c r="L255" s="0" t="s">
        <v>59</v>
      </c>
      <c r="M255" s="0" t="s">
        <v>50</v>
      </c>
      <c r="N255" s="0" t="n">
        <v>1248</v>
      </c>
      <c r="O255" s="0" t="n">
        <v>50</v>
      </c>
      <c r="P255" s="0" t="n">
        <v>38</v>
      </c>
      <c r="Q255" s="5" t="str">
        <f aca="false">IF($D255&lt;&gt;"","["&amp;$E255&amp;"]"&amp;"|"&amp;SUBSTITUTE(SUBSTITUTE($I255,CHAR(61),""),CHAR(34),"")&amp;"|"&amp;$K255&amp;"|"&amp;$G255&amp;"|"&amp;IF($G255="TX_CURR_SUBNAT.R","CY2020Q4",$M255),"")</f>
        <v>[jyhIrCoB31x]|35-39|Male|PLHIV.T_1|CY2021Q3</v>
      </c>
    </row>
    <row r="256" customFormat="false" ht="15" hidden="false" customHeight="false" outlineLevel="0" collapsed="false">
      <c r="D256" s="0" t="s">
        <v>101</v>
      </c>
      <c r="E256" s="0" t="s">
        <v>102</v>
      </c>
      <c r="F256" s="0" t="s">
        <v>47</v>
      </c>
      <c r="G256" s="0" t="s">
        <v>97</v>
      </c>
      <c r="H256" s="0" t="s">
        <v>98</v>
      </c>
      <c r="I256" s="0" t="s">
        <v>77</v>
      </c>
      <c r="J256" s="0" t="s">
        <v>78</v>
      </c>
      <c r="K256" s="0" t="s">
        <v>56</v>
      </c>
      <c r="L256" s="0" t="s">
        <v>57</v>
      </c>
      <c r="M256" s="0" t="s">
        <v>50</v>
      </c>
      <c r="N256" s="0" t="n">
        <v>1315</v>
      </c>
      <c r="O256" s="0" t="n">
        <v>2</v>
      </c>
      <c r="P256" s="0" t="n">
        <v>18</v>
      </c>
      <c r="Q256" s="5" t="str">
        <f aca="false">IF($D256&lt;&gt;"","["&amp;$E256&amp;"]"&amp;"|"&amp;SUBSTITUTE(SUBSTITUTE($I256,CHAR(61),""),CHAR(34),"")&amp;"|"&amp;$K256&amp;"|"&amp;$G256&amp;"|"&amp;IF($G256="TX_CURR_SUBNAT.R","CY2020Q4",$M256),"")</f>
        <v>[jyhIrCoB31x]|40-44|Female|PLHIV.T_1|CY2021Q3</v>
      </c>
    </row>
    <row r="257" customFormat="false" ht="15" hidden="false" customHeight="false" outlineLevel="0" collapsed="false">
      <c r="D257" s="0" t="s">
        <v>101</v>
      </c>
      <c r="E257" s="0" t="s">
        <v>102</v>
      </c>
      <c r="F257" s="0" t="s">
        <v>47</v>
      </c>
      <c r="G257" s="0" t="s">
        <v>97</v>
      </c>
      <c r="H257" s="0" t="s">
        <v>98</v>
      </c>
      <c r="I257" s="0" t="s">
        <v>77</v>
      </c>
      <c r="J257" s="0" t="s">
        <v>78</v>
      </c>
      <c r="K257" s="0" t="s">
        <v>58</v>
      </c>
      <c r="L257" s="0" t="s">
        <v>59</v>
      </c>
      <c r="M257" s="0" t="s">
        <v>50</v>
      </c>
      <c r="N257" s="0" t="n">
        <v>1150</v>
      </c>
      <c r="O257" s="0" t="n">
        <v>51</v>
      </c>
      <c r="P257" s="0" t="n">
        <v>23</v>
      </c>
      <c r="Q257" s="5" t="str">
        <f aca="false">IF($D257&lt;&gt;"","["&amp;$E257&amp;"]"&amp;"|"&amp;SUBSTITUTE(SUBSTITUTE($I257,CHAR(61),""),CHAR(34),"")&amp;"|"&amp;$K257&amp;"|"&amp;$G257&amp;"|"&amp;IF($G257="TX_CURR_SUBNAT.R","CY2020Q4",$M257),"")</f>
        <v>[jyhIrCoB31x]|40-44|Male|PLHIV.T_1|CY2021Q3</v>
      </c>
    </row>
    <row r="258" customFormat="false" ht="15" hidden="false" customHeight="false" outlineLevel="0" collapsed="false">
      <c r="D258" s="0" t="s">
        <v>101</v>
      </c>
      <c r="E258" s="0" t="s">
        <v>102</v>
      </c>
      <c r="F258" s="0" t="s">
        <v>47</v>
      </c>
      <c r="G258" s="0" t="s">
        <v>97</v>
      </c>
      <c r="H258" s="0" t="s">
        <v>98</v>
      </c>
      <c r="I258" s="0" t="s">
        <v>80</v>
      </c>
      <c r="J258" s="0" t="s">
        <v>81</v>
      </c>
      <c r="K258" s="0" t="s">
        <v>56</v>
      </c>
      <c r="L258" s="0" t="s">
        <v>57</v>
      </c>
      <c r="M258" s="0" t="s">
        <v>50</v>
      </c>
      <c r="N258" s="0" t="n">
        <v>999</v>
      </c>
      <c r="O258" s="0" t="n">
        <v>17</v>
      </c>
      <c r="P258" s="0" t="n">
        <v>12</v>
      </c>
      <c r="Q258" s="5" t="str">
        <f aca="false">IF($D258&lt;&gt;"","["&amp;$E258&amp;"]"&amp;"|"&amp;SUBSTITUTE(SUBSTITUTE($I258,CHAR(61),""),CHAR(34),"")&amp;"|"&amp;$K258&amp;"|"&amp;$G258&amp;"|"&amp;IF($G258="TX_CURR_SUBNAT.R","CY2020Q4",$M258),"")</f>
        <v>[jyhIrCoB31x]|45-49|Female|PLHIV.T_1|CY2021Q3</v>
      </c>
    </row>
    <row r="259" customFormat="false" ht="15" hidden="false" customHeight="false" outlineLevel="0" collapsed="false">
      <c r="D259" s="0" t="s">
        <v>101</v>
      </c>
      <c r="E259" s="0" t="s">
        <v>102</v>
      </c>
      <c r="F259" s="0" t="s">
        <v>47</v>
      </c>
      <c r="G259" s="0" t="s">
        <v>97</v>
      </c>
      <c r="H259" s="0" t="s">
        <v>98</v>
      </c>
      <c r="I259" s="0" t="s">
        <v>80</v>
      </c>
      <c r="J259" s="0" t="s">
        <v>81</v>
      </c>
      <c r="K259" s="0" t="s">
        <v>58</v>
      </c>
      <c r="L259" s="0" t="s">
        <v>59</v>
      </c>
      <c r="M259" s="0" t="s">
        <v>50</v>
      </c>
      <c r="N259" s="0" t="n">
        <v>976</v>
      </c>
      <c r="O259" s="0" t="n">
        <v>13</v>
      </c>
      <c r="P259" s="0" t="n">
        <v>2</v>
      </c>
      <c r="Q259" s="5" t="str">
        <f aca="false">IF($D259&lt;&gt;"","["&amp;$E259&amp;"]"&amp;"|"&amp;SUBSTITUTE(SUBSTITUTE($I259,CHAR(61),""),CHAR(34),"")&amp;"|"&amp;$K259&amp;"|"&amp;$G259&amp;"|"&amp;IF($G259="TX_CURR_SUBNAT.R","CY2020Q4",$M259),"")</f>
        <v>[jyhIrCoB31x]|45-49|Male|PLHIV.T_1|CY2021Q3</v>
      </c>
    </row>
    <row r="260" customFormat="false" ht="15" hidden="false" customHeight="false" outlineLevel="0" collapsed="false">
      <c r="D260" s="0" t="s">
        <v>101</v>
      </c>
      <c r="E260" s="0" t="s">
        <v>102</v>
      </c>
      <c r="F260" s="0" t="s">
        <v>47</v>
      </c>
      <c r="G260" s="0" t="s">
        <v>97</v>
      </c>
      <c r="H260" s="0" t="s">
        <v>98</v>
      </c>
      <c r="I260" s="0" t="s">
        <v>83</v>
      </c>
      <c r="J260" s="0" t="s">
        <v>84</v>
      </c>
      <c r="K260" s="0" t="s">
        <v>56</v>
      </c>
      <c r="L260" s="0" t="s">
        <v>57</v>
      </c>
      <c r="M260" s="0" t="s">
        <v>50</v>
      </c>
      <c r="N260" s="0" t="n">
        <v>122</v>
      </c>
      <c r="O260" s="0" t="n">
        <v>11</v>
      </c>
      <c r="P260" s="0" t="n">
        <v>15</v>
      </c>
      <c r="Q260" s="5" t="str">
        <f aca="false">IF($D260&lt;&gt;"","["&amp;$E260&amp;"]"&amp;"|"&amp;SUBSTITUTE(SUBSTITUTE($I260,CHAR(61),""),CHAR(34),"")&amp;"|"&amp;$K260&amp;"|"&amp;$G260&amp;"|"&amp;IF($G260="TX_CURR_SUBNAT.R","CY2020Q4",$M260),"")</f>
        <v>[jyhIrCoB31x]|05-09|Female|PLHIV.T_1|CY2021Q3</v>
      </c>
    </row>
    <row r="261" customFormat="false" ht="15" hidden="false" customHeight="false" outlineLevel="0" collapsed="false">
      <c r="D261" s="0" t="s">
        <v>101</v>
      </c>
      <c r="E261" s="0" t="s">
        <v>102</v>
      </c>
      <c r="F261" s="0" t="s">
        <v>47</v>
      </c>
      <c r="G261" s="0" t="s">
        <v>97</v>
      </c>
      <c r="H261" s="0" t="s">
        <v>98</v>
      </c>
      <c r="I261" s="0" t="s">
        <v>83</v>
      </c>
      <c r="J261" s="0" t="s">
        <v>84</v>
      </c>
      <c r="K261" s="0" t="s">
        <v>58</v>
      </c>
      <c r="L261" s="0" t="s">
        <v>59</v>
      </c>
      <c r="M261" s="0" t="s">
        <v>50</v>
      </c>
      <c r="N261" s="0" t="n">
        <v>116</v>
      </c>
      <c r="O261" s="0" t="n">
        <v>10</v>
      </c>
      <c r="P261" s="0" t="n">
        <v>47</v>
      </c>
      <c r="Q261" s="5" t="str">
        <f aca="false">IF($D261&lt;&gt;"","["&amp;$E261&amp;"]"&amp;"|"&amp;SUBSTITUTE(SUBSTITUTE($I261,CHAR(61),""),CHAR(34),"")&amp;"|"&amp;$K261&amp;"|"&amp;$G261&amp;"|"&amp;IF($G261="TX_CURR_SUBNAT.R","CY2020Q4",$M261),"")</f>
        <v>[jyhIrCoB31x]|05-09|Male|PLHIV.T_1|CY2021Q3</v>
      </c>
    </row>
    <row r="262" customFormat="false" ht="15" hidden="false" customHeight="false" outlineLevel="0" collapsed="false">
      <c r="D262" s="0" t="s">
        <v>101</v>
      </c>
      <c r="E262" s="0" t="s">
        <v>102</v>
      </c>
      <c r="F262" s="0" t="s">
        <v>47</v>
      </c>
      <c r="G262" s="0" t="s">
        <v>97</v>
      </c>
      <c r="H262" s="0" t="s">
        <v>98</v>
      </c>
      <c r="I262" s="53" t="s">
        <v>86</v>
      </c>
      <c r="J262" s="0" t="s">
        <v>87</v>
      </c>
      <c r="K262" s="0" t="s">
        <v>56</v>
      </c>
      <c r="L262" s="0" t="s">
        <v>57</v>
      </c>
      <c r="M262" s="0" t="s">
        <v>50</v>
      </c>
      <c r="N262" s="0" t="n">
        <v>2898</v>
      </c>
      <c r="O262" s="0" t="n">
        <v>5</v>
      </c>
      <c r="P262" s="0" t="n">
        <v>37</v>
      </c>
      <c r="Q262" s="5" t="str">
        <f aca="false">IF($D262&lt;&gt;"","["&amp;$E262&amp;"]"&amp;"|"&amp;SUBSTITUTE(SUBSTITUTE($I262,CHAR(61),""),CHAR(34),"")&amp;"|"&amp;$K262&amp;"|"&amp;$G262&amp;"|"&amp;IF($G262="TX_CURR_SUBNAT.R","CY2020Q4",$M262),"")</f>
        <v>[jyhIrCoB31x]|50+|Female|PLHIV.T_1|CY2021Q3</v>
      </c>
    </row>
    <row r="263" customFormat="false" ht="15" hidden="false" customHeight="false" outlineLevel="0" collapsed="false">
      <c r="D263" s="0" t="s">
        <v>101</v>
      </c>
      <c r="E263" s="0" t="s">
        <v>102</v>
      </c>
      <c r="F263" s="0" t="s">
        <v>47</v>
      </c>
      <c r="G263" s="0" t="s">
        <v>97</v>
      </c>
      <c r="H263" s="0" t="s">
        <v>98</v>
      </c>
      <c r="I263" s="53" t="s">
        <v>86</v>
      </c>
      <c r="J263" s="0" t="s">
        <v>87</v>
      </c>
      <c r="K263" s="0" t="s">
        <v>58</v>
      </c>
      <c r="L263" s="0" t="s">
        <v>59</v>
      </c>
      <c r="M263" s="0" t="s">
        <v>50</v>
      </c>
      <c r="N263" s="0" t="n">
        <v>2241</v>
      </c>
      <c r="O263" s="0" t="n">
        <v>44</v>
      </c>
      <c r="P263" s="0" t="n">
        <v>28</v>
      </c>
      <c r="Q263" s="5" t="str">
        <f aca="false">IF($D263&lt;&gt;"","["&amp;$E263&amp;"]"&amp;"|"&amp;SUBSTITUTE(SUBSTITUTE($I263,CHAR(61),""),CHAR(34),"")&amp;"|"&amp;$K263&amp;"|"&amp;$G263&amp;"|"&amp;IF($G263="TX_CURR_SUBNAT.R","CY2020Q4",$M263),"")</f>
        <v>[jyhIrCoB31x]|50+|Male|PLHIV.T_1|CY2021Q3</v>
      </c>
    </row>
    <row r="264" customFormat="false" ht="15" hidden="false" customHeight="false" outlineLevel="0" collapsed="false">
      <c r="D264" s="0" t="s">
        <v>101</v>
      </c>
      <c r="E264" s="0" t="s">
        <v>102</v>
      </c>
      <c r="F264" s="0" t="s">
        <v>47</v>
      </c>
      <c r="G264" s="0" t="s">
        <v>97</v>
      </c>
      <c r="H264" s="0" t="s">
        <v>98</v>
      </c>
      <c r="I264" s="0" t="s">
        <v>89</v>
      </c>
      <c r="J264" s="0" t="s">
        <v>90</v>
      </c>
      <c r="K264" s="0" t="s">
        <v>56</v>
      </c>
      <c r="L264" s="0" t="s">
        <v>57</v>
      </c>
      <c r="M264" s="0" t="s">
        <v>50</v>
      </c>
      <c r="N264" s="0" t="n">
        <v>8</v>
      </c>
      <c r="O264" s="0" t="n">
        <v>16</v>
      </c>
      <c r="P264" s="0" t="n">
        <v>18</v>
      </c>
      <c r="Q264" s="5" t="str">
        <f aca="false">IF($D264&lt;&gt;"","["&amp;$E264&amp;"]"&amp;"|"&amp;SUBSTITUTE(SUBSTITUTE($I264,CHAR(61),""),CHAR(34),"")&amp;"|"&amp;$K264&amp;"|"&amp;$G264&amp;"|"&amp;IF($G264="TX_CURR_SUBNAT.R","CY2020Q4",$M264),"")</f>
        <v>[jyhIrCoB31x]|&lt;01|Female|PLHIV.T_1|CY2021Q3</v>
      </c>
    </row>
    <row r="265" customFormat="false" ht="15" hidden="false" customHeight="false" outlineLevel="0" collapsed="false">
      <c r="D265" s="0" t="s">
        <v>101</v>
      </c>
      <c r="E265" s="0" t="s">
        <v>102</v>
      </c>
      <c r="F265" s="0" t="s">
        <v>47</v>
      </c>
      <c r="G265" s="0" t="s">
        <v>97</v>
      </c>
      <c r="H265" s="0" t="s">
        <v>98</v>
      </c>
      <c r="I265" s="0" t="s">
        <v>89</v>
      </c>
      <c r="J265" s="0" t="s">
        <v>90</v>
      </c>
      <c r="K265" s="0" t="s">
        <v>58</v>
      </c>
      <c r="L265" s="0" t="s">
        <v>59</v>
      </c>
      <c r="M265" s="0" t="s">
        <v>50</v>
      </c>
      <c r="N265" s="0" t="n">
        <v>8</v>
      </c>
      <c r="O265" s="0" t="n">
        <v>43</v>
      </c>
      <c r="P265" s="0" t="n">
        <v>14</v>
      </c>
      <c r="Q265" s="5" t="str">
        <f aca="false">IF($D265&lt;&gt;"","["&amp;$E265&amp;"]"&amp;"|"&amp;SUBSTITUTE(SUBSTITUTE($I265,CHAR(61),""),CHAR(34),"")&amp;"|"&amp;$K265&amp;"|"&amp;$G265&amp;"|"&amp;IF($G265="TX_CURR_SUBNAT.R","CY2020Q4",$M265),"")</f>
        <v>[jyhIrCoB31x]|&lt;01|Male|PLHIV.T_1|CY2021Q3</v>
      </c>
    </row>
    <row r="266" customFormat="false" ht="15" hidden="false" customHeight="false" outlineLevel="0" collapsed="false">
      <c r="D266" s="0" t="s">
        <v>101</v>
      </c>
      <c r="E266" s="0" t="s">
        <v>102</v>
      </c>
      <c r="F266" s="0" t="s">
        <v>47</v>
      </c>
      <c r="G266" s="0" t="s">
        <v>99</v>
      </c>
      <c r="H266" s="0" t="s">
        <v>100</v>
      </c>
      <c r="I266" s="0" t="s">
        <v>54</v>
      </c>
      <c r="J266" s="0" t="s">
        <v>55</v>
      </c>
      <c r="K266" s="0" t="s">
        <v>56</v>
      </c>
      <c r="L266" s="0" t="s">
        <v>57</v>
      </c>
      <c r="M266" s="0" t="s">
        <v>50</v>
      </c>
      <c r="N266" s="0" t="n">
        <v>20</v>
      </c>
      <c r="O266" s="0" t="n">
        <v>11</v>
      </c>
      <c r="P266" s="0" t="n">
        <v>38</v>
      </c>
      <c r="Q266" s="5" t="str">
        <f aca="false">IF($D266&lt;&gt;"","["&amp;$E266&amp;"]"&amp;"|"&amp;SUBSTITUTE(SUBSTITUTE($I266,CHAR(61),""),CHAR(34),"")&amp;"|"&amp;$K266&amp;"|"&amp;$G266&amp;"|"&amp;IF($G266="TX_CURR_SUBNAT.R","CY2020Q4",$M266),"")</f>
        <v>[jyhIrCoB31x]|01-04|Female|TX_CURR_SUBNAT.T_1|CY2021Q3</v>
      </c>
    </row>
    <row r="267" customFormat="false" ht="15" hidden="false" customHeight="false" outlineLevel="0" collapsed="false">
      <c r="D267" s="0" t="s">
        <v>101</v>
      </c>
      <c r="E267" s="0" t="s">
        <v>102</v>
      </c>
      <c r="F267" s="0" t="s">
        <v>47</v>
      </c>
      <c r="G267" s="0" t="s">
        <v>99</v>
      </c>
      <c r="H267" s="0" t="s">
        <v>100</v>
      </c>
      <c r="I267" s="0" t="s">
        <v>54</v>
      </c>
      <c r="J267" s="0" t="s">
        <v>55</v>
      </c>
      <c r="K267" s="0" t="s">
        <v>58</v>
      </c>
      <c r="L267" s="0" t="s">
        <v>59</v>
      </c>
      <c r="M267" s="0" t="s">
        <v>50</v>
      </c>
      <c r="N267" s="0" t="n">
        <v>20</v>
      </c>
      <c r="O267" s="0" t="n">
        <v>38</v>
      </c>
      <c r="P267" s="0" t="n">
        <v>24</v>
      </c>
      <c r="Q267" s="5" t="str">
        <f aca="false">IF($D267&lt;&gt;"","["&amp;$E267&amp;"]"&amp;"|"&amp;SUBSTITUTE(SUBSTITUTE($I267,CHAR(61),""),CHAR(34),"")&amp;"|"&amp;$K267&amp;"|"&amp;$G267&amp;"|"&amp;IF($G267="TX_CURR_SUBNAT.R","CY2020Q4",$M267),"")</f>
        <v>[jyhIrCoB31x]|01-04|Male|TX_CURR_SUBNAT.T_1|CY2021Q3</v>
      </c>
    </row>
    <row r="268" customFormat="false" ht="15" hidden="false" customHeight="false" outlineLevel="0" collapsed="false">
      <c r="D268" s="0" t="s">
        <v>101</v>
      </c>
      <c r="E268" s="0" t="s">
        <v>102</v>
      </c>
      <c r="F268" s="0" t="s">
        <v>47</v>
      </c>
      <c r="G268" s="0" t="s">
        <v>99</v>
      </c>
      <c r="H268" s="0" t="s">
        <v>100</v>
      </c>
      <c r="I268" s="0" t="s">
        <v>61</v>
      </c>
      <c r="J268" s="0" t="s">
        <v>62</v>
      </c>
      <c r="K268" s="0" t="s">
        <v>56</v>
      </c>
      <c r="L268" s="0" t="s">
        <v>57</v>
      </c>
      <c r="M268" s="0" t="s">
        <v>50</v>
      </c>
      <c r="N268" s="0" t="n">
        <v>157</v>
      </c>
      <c r="O268" s="0" t="n">
        <v>1</v>
      </c>
      <c r="P268" s="0" t="n">
        <v>2</v>
      </c>
      <c r="Q268" s="5" t="str">
        <f aca="false">IF($D268&lt;&gt;"","["&amp;$E268&amp;"]"&amp;"|"&amp;SUBSTITUTE(SUBSTITUTE($I268,CHAR(61),""),CHAR(34),"")&amp;"|"&amp;$K268&amp;"|"&amp;$G268&amp;"|"&amp;IF($G268="TX_CURR_SUBNAT.R","CY2020Q4",$M268),"")</f>
        <v>[jyhIrCoB31x]|10-14|Female|TX_CURR_SUBNAT.T_1|CY2021Q3</v>
      </c>
    </row>
    <row r="269" customFormat="false" ht="15" hidden="false" customHeight="false" outlineLevel="0" collapsed="false">
      <c r="D269" s="0" t="s">
        <v>101</v>
      </c>
      <c r="E269" s="0" t="s">
        <v>102</v>
      </c>
      <c r="F269" s="0" t="s">
        <v>47</v>
      </c>
      <c r="G269" s="0" t="s">
        <v>99</v>
      </c>
      <c r="H269" s="0" t="s">
        <v>100</v>
      </c>
      <c r="I269" s="0" t="s">
        <v>61</v>
      </c>
      <c r="J269" s="0" t="s">
        <v>62</v>
      </c>
      <c r="K269" s="0" t="s">
        <v>58</v>
      </c>
      <c r="L269" s="0" t="s">
        <v>59</v>
      </c>
      <c r="M269" s="0" t="s">
        <v>50</v>
      </c>
      <c r="N269" s="0" t="n">
        <v>162</v>
      </c>
      <c r="O269" s="0" t="n">
        <v>54</v>
      </c>
      <c r="P269" s="0" t="n">
        <v>14</v>
      </c>
      <c r="Q269" s="5" t="str">
        <f aca="false">IF($D269&lt;&gt;"","["&amp;$E269&amp;"]"&amp;"|"&amp;SUBSTITUTE(SUBSTITUTE($I269,CHAR(61),""),CHAR(34),"")&amp;"|"&amp;$K269&amp;"|"&amp;$G269&amp;"|"&amp;IF($G269="TX_CURR_SUBNAT.R","CY2020Q4",$M269),"")</f>
        <v>[jyhIrCoB31x]|10-14|Male|TX_CURR_SUBNAT.T_1|CY2021Q3</v>
      </c>
    </row>
    <row r="270" customFormat="false" ht="15" hidden="false" customHeight="false" outlineLevel="0" collapsed="false">
      <c r="D270" s="0" t="s">
        <v>101</v>
      </c>
      <c r="E270" s="0" t="s">
        <v>102</v>
      </c>
      <c r="F270" s="0" t="s">
        <v>47</v>
      </c>
      <c r="G270" s="0" t="s">
        <v>99</v>
      </c>
      <c r="H270" s="0" t="s">
        <v>100</v>
      </c>
      <c r="I270" s="0" t="s">
        <v>63</v>
      </c>
      <c r="J270" s="0" t="s">
        <v>64</v>
      </c>
      <c r="K270" s="0" t="s">
        <v>56</v>
      </c>
      <c r="L270" s="0" t="s">
        <v>57</v>
      </c>
      <c r="M270" s="0" t="s">
        <v>50</v>
      </c>
      <c r="N270" s="0" t="n">
        <v>221</v>
      </c>
      <c r="O270" s="0" t="n">
        <v>33</v>
      </c>
      <c r="P270" s="0" t="n">
        <v>32</v>
      </c>
      <c r="Q270" s="5" t="str">
        <f aca="false">IF($D270&lt;&gt;"","["&amp;$E270&amp;"]"&amp;"|"&amp;SUBSTITUTE(SUBSTITUTE($I270,CHAR(61),""),CHAR(34),"")&amp;"|"&amp;$K270&amp;"|"&amp;$G270&amp;"|"&amp;IF($G270="TX_CURR_SUBNAT.R","CY2020Q4",$M270),"")</f>
        <v>[jyhIrCoB31x]|15-19|Female|TX_CURR_SUBNAT.T_1|CY2021Q3</v>
      </c>
    </row>
    <row r="271" customFormat="false" ht="15" hidden="false" customHeight="false" outlineLevel="0" collapsed="false">
      <c r="D271" s="0" t="s">
        <v>101</v>
      </c>
      <c r="E271" s="0" t="s">
        <v>102</v>
      </c>
      <c r="F271" s="0" t="s">
        <v>47</v>
      </c>
      <c r="G271" s="0" t="s">
        <v>99</v>
      </c>
      <c r="H271" s="0" t="s">
        <v>100</v>
      </c>
      <c r="I271" s="0" t="s">
        <v>63</v>
      </c>
      <c r="J271" s="0" t="s">
        <v>64</v>
      </c>
      <c r="K271" s="0" t="s">
        <v>58</v>
      </c>
      <c r="L271" s="0" t="s">
        <v>59</v>
      </c>
      <c r="M271" s="0" t="s">
        <v>50</v>
      </c>
      <c r="N271" s="0" t="n">
        <v>176</v>
      </c>
      <c r="O271" s="0" t="n">
        <v>55</v>
      </c>
      <c r="P271" s="0" t="n">
        <v>47</v>
      </c>
      <c r="Q271" s="5" t="str">
        <f aca="false">IF($D271&lt;&gt;"","["&amp;$E271&amp;"]"&amp;"|"&amp;SUBSTITUTE(SUBSTITUTE($I271,CHAR(61),""),CHAR(34),"")&amp;"|"&amp;$K271&amp;"|"&amp;$G271&amp;"|"&amp;IF($G271="TX_CURR_SUBNAT.R","CY2020Q4",$M271),"")</f>
        <v>[jyhIrCoB31x]|15-19|Male|TX_CURR_SUBNAT.T_1|CY2021Q3</v>
      </c>
    </row>
    <row r="272" customFormat="false" ht="15" hidden="false" customHeight="false" outlineLevel="0" collapsed="false">
      <c r="D272" s="0" t="s">
        <v>101</v>
      </c>
      <c r="E272" s="0" t="s">
        <v>102</v>
      </c>
      <c r="F272" s="0" t="s">
        <v>47</v>
      </c>
      <c r="G272" s="0" t="s">
        <v>99</v>
      </c>
      <c r="H272" s="0" t="s">
        <v>100</v>
      </c>
      <c r="I272" s="0" t="s">
        <v>66</v>
      </c>
      <c r="J272" s="0" t="s">
        <v>67</v>
      </c>
      <c r="K272" s="0" t="s">
        <v>56</v>
      </c>
      <c r="L272" s="0" t="s">
        <v>57</v>
      </c>
      <c r="M272" s="0" t="s">
        <v>50</v>
      </c>
      <c r="N272" s="0" t="n">
        <v>474</v>
      </c>
      <c r="O272" s="0" t="n">
        <v>11</v>
      </c>
      <c r="P272" s="0" t="n">
        <v>13</v>
      </c>
      <c r="Q272" s="5" t="str">
        <f aca="false">IF($D272&lt;&gt;"","["&amp;$E272&amp;"]"&amp;"|"&amp;SUBSTITUTE(SUBSTITUTE($I272,CHAR(61),""),CHAR(34),"")&amp;"|"&amp;$K272&amp;"|"&amp;$G272&amp;"|"&amp;IF($G272="TX_CURR_SUBNAT.R","CY2020Q4",$M272),"")</f>
        <v>[jyhIrCoB31x]|20-24|Female|TX_CURR_SUBNAT.T_1|CY2021Q3</v>
      </c>
    </row>
    <row r="273" customFormat="false" ht="15" hidden="false" customHeight="false" outlineLevel="0" collapsed="false">
      <c r="D273" s="0" t="s">
        <v>101</v>
      </c>
      <c r="E273" s="0" t="s">
        <v>102</v>
      </c>
      <c r="F273" s="0" t="s">
        <v>47</v>
      </c>
      <c r="G273" s="0" t="s">
        <v>99</v>
      </c>
      <c r="H273" s="0" t="s">
        <v>100</v>
      </c>
      <c r="I273" s="0" t="s">
        <v>66</v>
      </c>
      <c r="J273" s="0" t="s">
        <v>67</v>
      </c>
      <c r="K273" s="0" t="s">
        <v>58</v>
      </c>
      <c r="L273" s="0" t="s">
        <v>59</v>
      </c>
      <c r="M273" s="0" t="s">
        <v>50</v>
      </c>
      <c r="N273" s="0" t="n">
        <v>174</v>
      </c>
      <c r="O273" s="0" t="n">
        <v>4</v>
      </c>
      <c r="P273" s="0" t="n">
        <v>48</v>
      </c>
      <c r="Q273" s="5" t="str">
        <f aca="false">IF($D273&lt;&gt;"","["&amp;$E273&amp;"]"&amp;"|"&amp;SUBSTITUTE(SUBSTITUTE($I273,CHAR(61),""),CHAR(34),"")&amp;"|"&amp;$K273&amp;"|"&amp;$G273&amp;"|"&amp;IF($G273="TX_CURR_SUBNAT.R","CY2020Q4",$M273),"")</f>
        <v>[jyhIrCoB31x]|20-24|Male|TX_CURR_SUBNAT.T_1|CY2021Q3</v>
      </c>
    </row>
    <row r="274" customFormat="false" ht="15" hidden="false" customHeight="false" outlineLevel="0" collapsed="false">
      <c r="D274" s="0" t="s">
        <v>101</v>
      </c>
      <c r="E274" s="0" t="s">
        <v>102</v>
      </c>
      <c r="F274" s="0" t="s">
        <v>47</v>
      </c>
      <c r="G274" s="0" t="s">
        <v>99</v>
      </c>
      <c r="H274" s="0" t="s">
        <v>100</v>
      </c>
      <c r="I274" s="0" t="s">
        <v>69</v>
      </c>
      <c r="J274" s="0" t="s">
        <v>70</v>
      </c>
      <c r="K274" s="0" t="s">
        <v>56</v>
      </c>
      <c r="L274" s="0" t="s">
        <v>57</v>
      </c>
      <c r="M274" s="0" t="s">
        <v>50</v>
      </c>
      <c r="N274" s="0" t="n">
        <v>834</v>
      </c>
      <c r="O274" s="0" t="n">
        <v>17</v>
      </c>
      <c r="P274" s="0" t="n">
        <v>44</v>
      </c>
      <c r="Q274" s="5" t="str">
        <f aca="false">IF($D274&lt;&gt;"","["&amp;$E274&amp;"]"&amp;"|"&amp;SUBSTITUTE(SUBSTITUTE($I274,CHAR(61),""),CHAR(34),"")&amp;"|"&amp;$K274&amp;"|"&amp;$G274&amp;"|"&amp;IF($G274="TX_CURR_SUBNAT.R","CY2020Q4",$M274),"")</f>
        <v>[jyhIrCoB31x]|25-29|Female|TX_CURR_SUBNAT.T_1|CY2021Q3</v>
      </c>
    </row>
    <row r="275" customFormat="false" ht="15" hidden="false" customHeight="false" outlineLevel="0" collapsed="false">
      <c r="D275" s="0" t="s">
        <v>101</v>
      </c>
      <c r="E275" s="0" t="s">
        <v>102</v>
      </c>
      <c r="F275" s="0" t="s">
        <v>47</v>
      </c>
      <c r="G275" s="0" t="s">
        <v>99</v>
      </c>
      <c r="H275" s="0" t="s">
        <v>100</v>
      </c>
      <c r="I275" s="0" t="s">
        <v>69</v>
      </c>
      <c r="J275" s="0" t="s">
        <v>70</v>
      </c>
      <c r="K275" s="0" t="s">
        <v>58</v>
      </c>
      <c r="L275" s="0" t="s">
        <v>59</v>
      </c>
      <c r="M275" s="0" t="s">
        <v>50</v>
      </c>
      <c r="N275" s="0" t="n">
        <v>309</v>
      </c>
      <c r="O275" s="0" t="n">
        <v>25</v>
      </c>
      <c r="P275" s="0" t="n">
        <v>14</v>
      </c>
      <c r="Q275" s="5" t="str">
        <f aca="false">IF($D275&lt;&gt;"","["&amp;$E275&amp;"]"&amp;"|"&amp;SUBSTITUTE(SUBSTITUTE($I275,CHAR(61),""),CHAR(34),"")&amp;"|"&amp;$K275&amp;"|"&amp;$G275&amp;"|"&amp;IF($G275="TX_CURR_SUBNAT.R","CY2020Q4",$M275),"")</f>
        <v>[jyhIrCoB31x]|25-29|Male|TX_CURR_SUBNAT.T_1|CY2021Q3</v>
      </c>
    </row>
    <row r="276" customFormat="false" ht="15" hidden="false" customHeight="false" outlineLevel="0" collapsed="false">
      <c r="D276" s="0" t="s">
        <v>101</v>
      </c>
      <c r="E276" s="0" t="s">
        <v>102</v>
      </c>
      <c r="F276" s="0" t="s">
        <v>47</v>
      </c>
      <c r="G276" s="0" t="s">
        <v>99</v>
      </c>
      <c r="H276" s="0" t="s">
        <v>100</v>
      </c>
      <c r="I276" s="0" t="s">
        <v>72</v>
      </c>
      <c r="J276" s="0" t="s">
        <v>73</v>
      </c>
      <c r="K276" s="0" t="s">
        <v>56</v>
      </c>
      <c r="L276" s="0" t="s">
        <v>57</v>
      </c>
      <c r="M276" s="0" t="s">
        <v>50</v>
      </c>
      <c r="N276" s="0" t="n">
        <v>1121</v>
      </c>
      <c r="O276" s="0" t="n">
        <v>52</v>
      </c>
      <c r="P276" s="0" t="n">
        <v>31</v>
      </c>
      <c r="Q276" s="5" t="str">
        <f aca="false">IF($D276&lt;&gt;"","["&amp;$E276&amp;"]"&amp;"|"&amp;SUBSTITUTE(SUBSTITUTE($I276,CHAR(61),""),CHAR(34),"")&amp;"|"&amp;$K276&amp;"|"&amp;$G276&amp;"|"&amp;IF($G276="TX_CURR_SUBNAT.R","CY2020Q4",$M276),"")</f>
        <v>[jyhIrCoB31x]|30-34|Female|TX_CURR_SUBNAT.T_1|CY2021Q3</v>
      </c>
    </row>
    <row r="277" customFormat="false" ht="15" hidden="false" customHeight="false" outlineLevel="0" collapsed="false">
      <c r="D277" s="0" t="s">
        <v>101</v>
      </c>
      <c r="E277" s="0" t="s">
        <v>102</v>
      </c>
      <c r="F277" s="0" t="s">
        <v>47</v>
      </c>
      <c r="G277" s="0" t="s">
        <v>99</v>
      </c>
      <c r="H277" s="0" t="s">
        <v>100</v>
      </c>
      <c r="I277" s="0" t="s">
        <v>72</v>
      </c>
      <c r="J277" s="0" t="s">
        <v>73</v>
      </c>
      <c r="K277" s="0" t="s">
        <v>58</v>
      </c>
      <c r="L277" s="0" t="s">
        <v>59</v>
      </c>
      <c r="M277" s="0" t="s">
        <v>50</v>
      </c>
      <c r="N277" s="0" t="n">
        <v>546</v>
      </c>
      <c r="O277" s="0" t="n">
        <v>46</v>
      </c>
      <c r="P277" s="0" t="n">
        <v>49</v>
      </c>
      <c r="Q277" s="5" t="str">
        <f aca="false">IF($D277&lt;&gt;"","["&amp;$E277&amp;"]"&amp;"|"&amp;SUBSTITUTE(SUBSTITUTE($I277,CHAR(61),""),CHAR(34),"")&amp;"|"&amp;$K277&amp;"|"&amp;$G277&amp;"|"&amp;IF($G277="TX_CURR_SUBNAT.R","CY2020Q4",$M277),"")</f>
        <v>[jyhIrCoB31x]|30-34|Male|TX_CURR_SUBNAT.T_1|CY2021Q3</v>
      </c>
    </row>
    <row r="278" customFormat="false" ht="15" hidden="false" customHeight="false" outlineLevel="0" collapsed="false">
      <c r="D278" s="0" t="s">
        <v>101</v>
      </c>
      <c r="E278" s="0" t="s">
        <v>102</v>
      </c>
      <c r="F278" s="0" t="s">
        <v>47</v>
      </c>
      <c r="G278" s="0" t="s">
        <v>99</v>
      </c>
      <c r="H278" s="0" t="s">
        <v>100</v>
      </c>
      <c r="I278" s="0" t="s">
        <v>75</v>
      </c>
      <c r="J278" s="0" t="s">
        <v>76</v>
      </c>
      <c r="K278" s="0" t="s">
        <v>56</v>
      </c>
      <c r="L278" s="0" t="s">
        <v>57</v>
      </c>
      <c r="M278" s="0" t="s">
        <v>50</v>
      </c>
      <c r="N278" s="0" t="n">
        <v>1280</v>
      </c>
      <c r="O278" s="0" t="n">
        <v>40</v>
      </c>
      <c r="P278" s="0" t="n">
        <v>22</v>
      </c>
      <c r="Q278" s="5" t="str">
        <f aca="false">IF($D278&lt;&gt;"","["&amp;$E278&amp;"]"&amp;"|"&amp;SUBSTITUTE(SUBSTITUTE($I278,CHAR(61),""),CHAR(34),"")&amp;"|"&amp;$K278&amp;"|"&amp;$G278&amp;"|"&amp;IF($G278="TX_CURR_SUBNAT.R","CY2020Q4",$M278),"")</f>
        <v>[jyhIrCoB31x]|35-39|Female|TX_CURR_SUBNAT.T_1|CY2021Q3</v>
      </c>
    </row>
    <row r="279" customFormat="false" ht="15" hidden="false" customHeight="false" outlineLevel="0" collapsed="false">
      <c r="D279" s="0" t="s">
        <v>101</v>
      </c>
      <c r="E279" s="0" t="s">
        <v>102</v>
      </c>
      <c r="F279" s="0" t="s">
        <v>47</v>
      </c>
      <c r="G279" s="0" t="s">
        <v>99</v>
      </c>
      <c r="H279" s="0" t="s">
        <v>100</v>
      </c>
      <c r="I279" s="0" t="s">
        <v>75</v>
      </c>
      <c r="J279" s="0" t="s">
        <v>76</v>
      </c>
      <c r="K279" s="0" t="s">
        <v>58</v>
      </c>
      <c r="L279" s="0" t="s">
        <v>59</v>
      </c>
      <c r="M279" s="0" t="s">
        <v>50</v>
      </c>
      <c r="N279" s="0" t="n">
        <v>801</v>
      </c>
      <c r="O279" s="0" t="n">
        <v>13</v>
      </c>
      <c r="P279" s="0" t="n">
        <v>5</v>
      </c>
      <c r="Q279" s="5" t="str">
        <f aca="false">IF($D279&lt;&gt;"","["&amp;$E279&amp;"]"&amp;"|"&amp;SUBSTITUTE(SUBSTITUTE($I279,CHAR(61),""),CHAR(34),"")&amp;"|"&amp;$K279&amp;"|"&amp;$G279&amp;"|"&amp;IF($G279="TX_CURR_SUBNAT.R","CY2020Q4",$M279),"")</f>
        <v>[jyhIrCoB31x]|35-39|Male|TX_CURR_SUBNAT.T_1|CY2021Q3</v>
      </c>
    </row>
    <row r="280" customFormat="false" ht="15" hidden="false" customHeight="false" outlineLevel="0" collapsed="false">
      <c r="D280" s="0" t="s">
        <v>101</v>
      </c>
      <c r="E280" s="0" t="s">
        <v>102</v>
      </c>
      <c r="F280" s="0" t="s">
        <v>47</v>
      </c>
      <c r="G280" s="0" t="s">
        <v>99</v>
      </c>
      <c r="H280" s="0" t="s">
        <v>100</v>
      </c>
      <c r="I280" s="0" t="s">
        <v>77</v>
      </c>
      <c r="J280" s="0" t="s">
        <v>78</v>
      </c>
      <c r="K280" s="0" t="s">
        <v>56</v>
      </c>
      <c r="L280" s="0" t="s">
        <v>57</v>
      </c>
      <c r="M280" s="0" t="s">
        <v>50</v>
      </c>
      <c r="N280" s="0" t="n">
        <v>1292</v>
      </c>
      <c r="O280" s="0" t="n">
        <v>44</v>
      </c>
      <c r="P280" s="0" t="n">
        <v>13</v>
      </c>
      <c r="Q280" s="5" t="str">
        <f aca="false">IF($D280&lt;&gt;"","["&amp;$E280&amp;"]"&amp;"|"&amp;SUBSTITUTE(SUBSTITUTE($I280,CHAR(61),""),CHAR(34),"")&amp;"|"&amp;$K280&amp;"|"&amp;$G280&amp;"|"&amp;IF($G280="TX_CURR_SUBNAT.R","CY2020Q4",$M280),"")</f>
        <v>[jyhIrCoB31x]|40-44|Female|TX_CURR_SUBNAT.T_1|CY2021Q3</v>
      </c>
    </row>
    <row r="281" customFormat="false" ht="15" hidden="false" customHeight="false" outlineLevel="0" collapsed="false">
      <c r="D281" s="0" t="s">
        <v>101</v>
      </c>
      <c r="E281" s="0" t="s">
        <v>102</v>
      </c>
      <c r="F281" s="0" t="s">
        <v>47</v>
      </c>
      <c r="G281" s="0" t="s">
        <v>99</v>
      </c>
      <c r="H281" s="0" t="s">
        <v>100</v>
      </c>
      <c r="I281" s="0" t="s">
        <v>77</v>
      </c>
      <c r="J281" s="0" t="s">
        <v>78</v>
      </c>
      <c r="K281" s="0" t="s">
        <v>58</v>
      </c>
      <c r="L281" s="0" t="s">
        <v>59</v>
      </c>
      <c r="M281" s="0" t="s">
        <v>50</v>
      </c>
      <c r="N281" s="0" t="n">
        <v>895</v>
      </c>
      <c r="O281" s="0" t="n">
        <v>18</v>
      </c>
      <c r="P281" s="0" t="n">
        <v>32</v>
      </c>
      <c r="Q281" s="5" t="str">
        <f aca="false">IF($D281&lt;&gt;"","["&amp;$E281&amp;"]"&amp;"|"&amp;SUBSTITUTE(SUBSTITUTE($I281,CHAR(61),""),CHAR(34),"")&amp;"|"&amp;$K281&amp;"|"&amp;$G281&amp;"|"&amp;IF($G281="TX_CURR_SUBNAT.R","CY2020Q4",$M281),"")</f>
        <v>[jyhIrCoB31x]|40-44|Male|TX_CURR_SUBNAT.T_1|CY2021Q3</v>
      </c>
    </row>
    <row r="282" customFormat="false" ht="15" hidden="false" customHeight="false" outlineLevel="0" collapsed="false">
      <c r="D282" s="0" t="s">
        <v>101</v>
      </c>
      <c r="E282" s="0" t="s">
        <v>102</v>
      </c>
      <c r="F282" s="0" t="s">
        <v>47</v>
      </c>
      <c r="G282" s="0" t="s">
        <v>99</v>
      </c>
      <c r="H282" s="0" t="s">
        <v>100</v>
      </c>
      <c r="I282" s="0" t="s">
        <v>80</v>
      </c>
      <c r="J282" s="0" t="s">
        <v>81</v>
      </c>
      <c r="K282" s="0" t="s">
        <v>56</v>
      </c>
      <c r="L282" s="0" t="s">
        <v>57</v>
      </c>
      <c r="M282" s="0" t="s">
        <v>50</v>
      </c>
      <c r="N282" s="0" t="n">
        <v>1026</v>
      </c>
      <c r="O282" s="0" t="n">
        <v>27</v>
      </c>
      <c r="P282" s="0" t="n">
        <v>6</v>
      </c>
      <c r="Q282" s="5" t="str">
        <f aca="false">IF($D282&lt;&gt;"","["&amp;$E282&amp;"]"&amp;"|"&amp;SUBSTITUTE(SUBSTITUTE($I282,CHAR(61),""),CHAR(34),"")&amp;"|"&amp;$K282&amp;"|"&amp;$G282&amp;"|"&amp;IF($G282="TX_CURR_SUBNAT.R","CY2020Q4",$M282),"")</f>
        <v>[jyhIrCoB31x]|45-49|Female|TX_CURR_SUBNAT.T_1|CY2021Q3</v>
      </c>
    </row>
    <row r="283" customFormat="false" ht="15" hidden="false" customHeight="false" outlineLevel="0" collapsed="false">
      <c r="D283" s="0" t="s">
        <v>101</v>
      </c>
      <c r="E283" s="0" t="s">
        <v>102</v>
      </c>
      <c r="F283" s="0" t="s">
        <v>47</v>
      </c>
      <c r="G283" s="0" t="s">
        <v>99</v>
      </c>
      <c r="H283" s="0" t="s">
        <v>100</v>
      </c>
      <c r="I283" s="0" t="s">
        <v>80</v>
      </c>
      <c r="J283" s="0" t="s">
        <v>81</v>
      </c>
      <c r="K283" s="0" t="s">
        <v>58</v>
      </c>
      <c r="L283" s="0" t="s">
        <v>59</v>
      </c>
      <c r="M283" s="0" t="s">
        <v>50</v>
      </c>
      <c r="N283" s="0" t="n">
        <v>785</v>
      </c>
      <c r="O283" s="0" t="n">
        <v>4</v>
      </c>
      <c r="P283" s="0" t="n">
        <v>21</v>
      </c>
      <c r="Q283" s="5" t="str">
        <f aca="false">IF($D283&lt;&gt;"","["&amp;$E283&amp;"]"&amp;"|"&amp;SUBSTITUTE(SUBSTITUTE($I283,CHAR(61),""),CHAR(34),"")&amp;"|"&amp;$K283&amp;"|"&amp;$G283&amp;"|"&amp;IF($G283="TX_CURR_SUBNAT.R","CY2020Q4",$M283),"")</f>
        <v>[jyhIrCoB31x]|45-49|Male|TX_CURR_SUBNAT.T_1|CY2021Q3</v>
      </c>
    </row>
    <row r="284" customFormat="false" ht="15" hidden="false" customHeight="false" outlineLevel="0" collapsed="false">
      <c r="D284" s="0" t="s">
        <v>101</v>
      </c>
      <c r="E284" s="0" t="s">
        <v>102</v>
      </c>
      <c r="F284" s="0" t="s">
        <v>47</v>
      </c>
      <c r="G284" s="0" t="s">
        <v>99</v>
      </c>
      <c r="H284" s="0" t="s">
        <v>100</v>
      </c>
      <c r="I284" s="0" t="s">
        <v>83</v>
      </c>
      <c r="J284" s="0" t="s">
        <v>84</v>
      </c>
      <c r="K284" s="0" t="s">
        <v>56</v>
      </c>
      <c r="L284" s="0" t="s">
        <v>57</v>
      </c>
      <c r="M284" s="0" t="s">
        <v>50</v>
      </c>
      <c r="N284" s="0" t="n">
        <v>77</v>
      </c>
      <c r="O284" s="0" t="n">
        <v>14</v>
      </c>
      <c r="P284" s="0" t="n">
        <v>15</v>
      </c>
      <c r="Q284" s="5" t="str">
        <f aca="false">IF($D284&lt;&gt;"","["&amp;$E284&amp;"]"&amp;"|"&amp;SUBSTITUTE(SUBSTITUTE($I284,CHAR(61),""),CHAR(34),"")&amp;"|"&amp;$K284&amp;"|"&amp;$G284&amp;"|"&amp;IF($G284="TX_CURR_SUBNAT.R","CY2020Q4",$M284),"")</f>
        <v>[jyhIrCoB31x]|05-09|Female|TX_CURR_SUBNAT.T_1|CY2021Q3</v>
      </c>
    </row>
    <row r="285" customFormat="false" ht="15" hidden="false" customHeight="false" outlineLevel="0" collapsed="false">
      <c r="D285" s="0" t="s">
        <v>101</v>
      </c>
      <c r="E285" s="0" t="s">
        <v>102</v>
      </c>
      <c r="F285" s="0" t="s">
        <v>47</v>
      </c>
      <c r="G285" s="0" t="s">
        <v>99</v>
      </c>
      <c r="H285" s="0" t="s">
        <v>100</v>
      </c>
      <c r="I285" s="0" t="s">
        <v>83</v>
      </c>
      <c r="J285" s="0" t="s">
        <v>84</v>
      </c>
      <c r="K285" s="0" t="s">
        <v>58</v>
      </c>
      <c r="L285" s="0" t="s">
        <v>59</v>
      </c>
      <c r="M285" s="0" t="s">
        <v>50</v>
      </c>
      <c r="N285" s="0" t="n">
        <v>77</v>
      </c>
      <c r="O285" s="0" t="n">
        <v>40</v>
      </c>
      <c r="P285" s="0" t="n">
        <v>18</v>
      </c>
      <c r="Q285" s="5" t="str">
        <f aca="false">IF($D285&lt;&gt;"","["&amp;$E285&amp;"]"&amp;"|"&amp;SUBSTITUTE(SUBSTITUTE($I285,CHAR(61),""),CHAR(34),"")&amp;"|"&amp;$K285&amp;"|"&amp;$G285&amp;"|"&amp;IF($G285="TX_CURR_SUBNAT.R","CY2020Q4",$M285),"")</f>
        <v>[jyhIrCoB31x]|05-09|Male|TX_CURR_SUBNAT.T_1|CY2021Q3</v>
      </c>
    </row>
    <row r="286" customFormat="false" ht="15" hidden="false" customHeight="false" outlineLevel="0" collapsed="false">
      <c r="D286" s="0" t="s">
        <v>101</v>
      </c>
      <c r="E286" s="0" t="s">
        <v>102</v>
      </c>
      <c r="F286" s="0" t="s">
        <v>47</v>
      </c>
      <c r="G286" s="0" t="s">
        <v>99</v>
      </c>
      <c r="H286" s="0" t="s">
        <v>100</v>
      </c>
      <c r="I286" s="53" t="s">
        <v>86</v>
      </c>
      <c r="J286" s="0" t="s">
        <v>87</v>
      </c>
      <c r="K286" s="0" t="s">
        <v>56</v>
      </c>
      <c r="L286" s="0" t="s">
        <v>57</v>
      </c>
      <c r="M286" s="0" t="s">
        <v>50</v>
      </c>
      <c r="N286" s="0" t="n">
        <v>2262</v>
      </c>
      <c r="O286" s="0" t="n">
        <v>17</v>
      </c>
      <c r="P286" s="0" t="n">
        <v>33</v>
      </c>
      <c r="Q286" s="5" t="str">
        <f aca="false">IF($D286&lt;&gt;"","["&amp;$E286&amp;"]"&amp;"|"&amp;SUBSTITUTE(SUBSTITUTE($I286,CHAR(61),""),CHAR(34),"")&amp;"|"&amp;$K286&amp;"|"&amp;$G286&amp;"|"&amp;IF($G286="TX_CURR_SUBNAT.R","CY2020Q4",$M286),"")</f>
        <v>[jyhIrCoB31x]|50+|Female|TX_CURR_SUBNAT.T_1|CY2021Q3</v>
      </c>
    </row>
    <row r="287" customFormat="false" ht="15" hidden="false" customHeight="false" outlineLevel="0" collapsed="false">
      <c r="D287" s="0" t="s">
        <v>101</v>
      </c>
      <c r="E287" s="0" t="s">
        <v>102</v>
      </c>
      <c r="F287" s="0" t="s">
        <v>47</v>
      </c>
      <c r="G287" s="0" t="s">
        <v>99</v>
      </c>
      <c r="H287" s="0" t="s">
        <v>100</v>
      </c>
      <c r="I287" s="53" t="s">
        <v>86</v>
      </c>
      <c r="J287" s="0" t="s">
        <v>87</v>
      </c>
      <c r="K287" s="0" t="s">
        <v>58</v>
      </c>
      <c r="L287" s="0" t="s">
        <v>59</v>
      </c>
      <c r="M287" s="0" t="s">
        <v>50</v>
      </c>
      <c r="N287" s="0" t="n">
        <v>1647</v>
      </c>
      <c r="O287" s="0" t="n">
        <v>41</v>
      </c>
      <c r="P287" s="0" t="n">
        <v>8</v>
      </c>
      <c r="Q287" s="5" t="str">
        <f aca="false">IF($D287&lt;&gt;"","["&amp;$E287&amp;"]"&amp;"|"&amp;SUBSTITUTE(SUBSTITUTE($I287,CHAR(61),""),CHAR(34),"")&amp;"|"&amp;$K287&amp;"|"&amp;$G287&amp;"|"&amp;IF($G287="TX_CURR_SUBNAT.R","CY2020Q4",$M287),"")</f>
        <v>[jyhIrCoB31x]|50+|Male|TX_CURR_SUBNAT.T_1|CY2021Q3</v>
      </c>
    </row>
    <row r="288" customFormat="false" ht="15" hidden="false" customHeight="false" outlineLevel="0" collapsed="false">
      <c r="D288" s="0" t="s">
        <v>101</v>
      </c>
      <c r="E288" s="0" t="s">
        <v>102</v>
      </c>
      <c r="F288" s="0" t="s">
        <v>47</v>
      </c>
      <c r="G288" s="0" t="s">
        <v>99</v>
      </c>
      <c r="H288" s="0" t="s">
        <v>100</v>
      </c>
      <c r="I288" s="0" t="s">
        <v>89</v>
      </c>
      <c r="J288" s="0" t="s">
        <v>90</v>
      </c>
      <c r="K288" s="0" t="s">
        <v>56</v>
      </c>
      <c r="L288" s="0" t="s">
        <v>57</v>
      </c>
      <c r="M288" s="0" t="s">
        <v>50</v>
      </c>
      <c r="N288" s="0" t="n">
        <v>4</v>
      </c>
      <c r="O288" s="0" t="n">
        <v>19</v>
      </c>
      <c r="P288" s="0" t="n">
        <v>39</v>
      </c>
      <c r="Q288" s="5" t="str">
        <f aca="false">IF($D288&lt;&gt;"","["&amp;$E288&amp;"]"&amp;"|"&amp;SUBSTITUTE(SUBSTITUTE($I288,CHAR(61),""),CHAR(34),"")&amp;"|"&amp;$K288&amp;"|"&amp;$G288&amp;"|"&amp;IF($G288="TX_CURR_SUBNAT.R","CY2020Q4",$M288),"")</f>
        <v>[jyhIrCoB31x]|&lt;01|Female|TX_CURR_SUBNAT.T_1|CY2021Q3</v>
      </c>
    </row>
    <row r="289" customFormat="false" ht="15" hidden="false" customHeight="false" outlineLevel="0" collapsed="false">
      <c r="D289" s="0" t="s">
        <v>101</v>
      </c>
      <c r="E289" s="0" t="s">
        <v>102</v>
      </c>
      <c r="F289" s="0" t="s">
        <v>47</v>
      </c>
      <c r="G289" s="0" t="s">
        <v>99</v>
      </c>
      <c r="H289" s="0" t="s">
        <v>100</v>
      </c>
      <c r="I289" s="0" t="s">
        <v>89</v>
      </c>
      <c r="J289" s="0" t="s">
        <v>90</v>
      </c>
      <c r="K289" s="0" t="s">
        <v>58</v>
      </c>
      <c r="L289" s="0" t="s">
        <v>59</v>
      </c>
      <c r="M289" s="0" t="s">
        <v>50</v>
      </c>
      <c r="N289" s="0" t="n">
        <v>4</v>
      </c>
      <c r="O289" s="0" t="n">
        <v>23</v>
      </c>
      <c r="P289" s="0" t="n">
        <v>31</v>
      </c>
      <c r="Q289" s="5" t="str">
        <f aca="false">IF($D289&lt;&gt;"","["&amp;$E289&amp;"]"&amp;"|"&amp;SUBSTITUTE(SUBSTITUTE($I289,CHAR(61),""),CHAR(34),"")&amp;"|"&amp;$K289&amp;"|"&amp;$G289&amp;"|"&amp;IF($G289="TX_CURR_SUBNAT.R","CY2020Q4",$M289),"")</f>
        <v>[jyhIrCoB31x]|&lt;01|Male|TX_CURR_SUBNAT.T_1|CY2021Q3</v>
      </c>
    </row>
    <row r="290" customFormat="false" ht="15" hidden="false" customHeight="false" outlineLevel="0" collapsed="false">
      <c r="D290" s="0" t="s">
        <v>103</v>
      </c>
      <c r="E290" s="0" t="s">
        <v>104</v>
      </c>
      <c r="F290" s="0" t="s">
        <v>47</v>
      </c>
      <c r="G290" s="0" t="s">
        <v>48</v>
      </c>
      <c r="H290" s="0" t="s">
        <v>49</v>
      </c>
      <c r="I290" s="0" t="s">
        <v>47</v>
      </c>
      <c r="J290" s="0" t="s">
        <v>47</v>
      </c>
      <c r="K290" s="0" t="s">
        <v>47</v>
      </c>
      <c r="L290" s="0" t="s">
        <v>47</v>
      </c>
      <c r="M290" s="0" t="s">
        <v>50</v>
      </c>
      <c r="N290" s="0" t="n">
        <v>1142</v>
      </c>
      <c r="O290" s="0" t="n">
        <v>20</v>
      </c>
      <c r="P290" s="0" t="n">
        <v>37</v>
      </c>
      <c r="Q290" s="5" t="str">
        <f aca="false">IF($D290&lt;&gt;"","["&amp;$E290&amp;"]"&amp;"|"&amp;SUBSTITUTE(SUBSTITUTE($I290,CHAR(61),""),CHAR(34),"")&amp;"|"&amp;$K290&amp;"|"&amp;$G290&amp;"|"&amp;IF($G290="TX_CURR_SUBNAT.R","CY2020Q4",$M290),"")</f>
        <v>[FjSmRywOWUp]|NA|NA|KP_ESTIMATES.Total.T|CY2021Q3</v>
      </c>
    </row>
    <row r="291" customFormat="false" ht="15" hidden="false" customHeight="false" outlineLevel="0" collapsed="false">
      <c r="D291" s="0" t="s">
        <v>103</v>
      </c>
      <c r="E291" s="0" t="s">
        <v>104</v>
      </c>
      <c r="F291" s="0" t="s">
        <v>47</v>
      </c>
      <c r="G291" s="0" t="s">
        <v>48</v>
      </c>
      <c r="H291" s="0" t="s">
        <v>49</v>
      </c>
      <c r="I291" s="0" t="s">
        <v>47</v>
      </c>
      <c r="J291" s="0" t="s">
        <v>47</v>
      </c>
      <c r="K291" s="0" t="s">
        <v>47</v>
      </c>
      <c r="L291" s="0" t="s">
        <v>47</v>
      </c>
      <c r="M291" s="0" t="s">
        <v>50</v>
      </c>
      <c r="N291" s="0" t="n">
        <v>1912</v>
      </c>
      <c r="O291" s="0" t="n">
        <v>42</v>
      </c>
      <c r="P291" s="0" t="n">
        <v>23</v>
      </c>
      <c r="Q291" s="5" t="str">
        <f aca="false">IF($D291&lt;&gt;"","["&amp;$E291&amp;"]"&amp;"|"&amp;SUBSTITUTE(SUBSTITUTE($I291,CHAR(61),""),CHAR(34),"")&amp;"|"&amp;$K291&amp;"|"&amp;$G291&amp;"|"&amp;IF($G291="TX_CURR_SUBNAT.R","CY2020Q4",$M291),"")</f>
        <v>[FjSmRywOWUp]|NA|NA|KP_ESTIMATES.Total.T|CY2021Q3</v>
      </c>
    </row>
    <row r="292" customFormat="false" ht="15" hidden="false" customHeight="false" outlineLevel="0" collapsed="false">
      <c r="D292" s="0" t="s">
        <v>103</v>
      </c>
      <c r="E292" s="0" t="s">
        <v>104</v>
      </c>
      <c r="F292" s="0" t="s">
        <v>47</v>
      </c>
      <c r="G292" s="0" t="s">
        <v>52</v>
      </c>
      <c r="H292" s="0" t="s">
        <v>53</v>
      </c>
      <c r="I292" s="0" t="s">
        <v>54</v>
      </c>
      <c r="J292" s="0" t="s">
        <v>55</v>
      </c>
      <c r="K292" s="0" t="s">
        <v>56</v>
      </c>
      <c r="L292" s="0" t="s">
        <v>57</v>
      </c>
      <c r="M292" s="0" t="s">
        <v>50</v>
      </c>
      <c r="N292" s="0" t="n">
        <v>13760</v>
      </c>
      <c r="O292" s="0" t="n">
        <v>38</v>
      </c>
      <c r="P292" s="0" t="n">
        <v>19</v>
      </c>
      <c r="Q292" s="5" t="str">
        <f aca="false">IF($D292&lt;&gt;"","["&amp;$E292&amp;"]"&amp;"|"&amp;SUBSTITUTE(SUBSTITUTE($I292,CHAR(61),""),CHAR(34),"")&amp;"|"&amp;$K292&amp;"|"&amp;$G292&amp;"|"&amp;IF($G292="TX_CURR_SUBNAT.R","CY2020Q4",$M292),"")</f>
        <v>[FjSmRywOWUp]|01-04|Female|POP_EST.T_1|CY2021Q3</v>
      </c>
    </row>
    <row r="293" customFormat="false" ht="15" hidden="false" customHeight="false" outlineLevel="0" collapsed="false">
      <c r="D293" s="0" t="s">
        <v>103</v>
      </c>
      <c r="E293" s="0" t="s">
        <v>104</v>
      </c>
      <c r="F293" s="0" t="s">
        <v>47</v>
      </c>
      <c r="G293" s="0" t="s">
        <v>52</v>
      </c>
      <c r="H293" s="0" t="s">
        <v>53</v>
      </c>
      <c r="I293" s="0" t="s">
        <v>54</v>
      </c>
      <c r="J293" s="0" t="s">
        <v>55</v>
      </c>
      <c r="K293" s="0" t="s">
        <v>58</v>
      </c>
      <c r="L293" s="0" t="s">
        <v>59</v>
      </c>
      <c r="M293" s="0" t="s">
        <v>50</v>
      </c>
      <c r="N293" s="0" t="n">
        <v>13971</v>
      </c>
      <c r="O293" s="0" t="n">
        <v>34</v>
      </c>
      <c r="P293" s="0" t="n">
        <v>5</v>
      </c>
      <c r="Q293" s="5" t="str">
        <f aca="false">IF($D293&lt;&gt;"","["&amp;$E293&amp;"]"&amp;"|"&amp;SUBSTITUTE(SUBSTITUTE($I293,CHAR(61),""),CHAR(34),"")&amp;"|"&amp;$K293&amp;"|"&amp;$G293&amp;"|"&amp;IF($G293="TX_CURR_SUBNAT.R","CY2020Q4",$M293),"")</f>
        <v>[FjSmRywOWUp]|01-04|Male|POP_EST.T_1|CY2021Q3</v>
      </c>
    </row>
    <row r="294" customFormat="false" ht="15" hidden="false" customHeight="false" outlineLevel="0" collapsed="false">
      <c r="D294" s="0" t="s">
        <v>103</v>
      </c>
      <c r="E294" s="0" t="s">
        <v>104</v>
      </c>
      <c r="F294" s="0" t="s">
        <v>47</v>
      </c>
      <c r="G294" s="0" t="s">
        <v>52</v>
      </c>
      <c r="H294" s="0" t="s">
        <v>53</v>
      </c>
      <c r="I294" s="0" t="s">
        <v>61</v>
      </c>
      <c r="J294" s="0" t="s">
        <v>62</v>
      </c>
      <c r="K294" s="0" t="s">
        <v>56</v>
      </c>
      <c r="L294" s="0" t="s">
        <v>57</v>
      </c>
      <c r="M294" s="0" t="s">
        <v>50</v>
      </c>
      <c r="N294" s="0" t="n">
        <v>17911</v>
      </c>
      <c r="O294" s="0" t="n">
        <v>37</v>
      </c>
      <c r="P294" s="0" t="n">
        <v>15</v>
      </c>
      <c r="Q294" s="5" t="str">
        <f aca="false">IF($D294&lt;&gt;"","["&amp;$E294&amp;"]"&amp;"|"&amp;SUBSTITUTE(SUBSTITUTE($I294,CHAR(61),""),CHAR(34),"")&amp;"|"&amp;$K294&amp;"|"&amp;$G294&amp;"|"&amp;IF($G294="TX_CURR_SUBNAT.R","CY2020Q4",$M294),"")</f>
        <v>[FjSmRywOWUp]|10-14|Female|POP_EST.T_1|CY2021Q3</v>
      </c>
    </row>
    <row r="295" customFormat="false" ht="15" hidden="false" customHeight="false" outlineLevel="0" collapsed="false">
      <c r="D295" s="0" t="s">
        <v>103</v>
      </c>
      <c r="E295" s="0" t="s">
        <v>104</v>
      </c>
      <c r="F295" s="0" t="s">
        <v>47</v>
      </c>
      <c r="G295" s="0" t="s">
        <v>52</v>
      </c>
      <c r="H295" s="0" t="s">
        <v>53</v>
      </c>
      <c r="I295" s="0" t="s">
        <v>61</v>
      </c>
      <c r="J295" s="0" t="s">
        <v>62</v>
      </c>
      <c r="K295" s="0" t="s">
        <v>58</v>
      </c>
      <c r="L295" s="0" t="s">
        <v>59</v>
      </c>
      <c r="M295" s="0" t="s">
        <v>50</v>
      </c>
      <c r="N295" s="0" t="n">
        <v>17398</v>
      </c>
      <c r="O295" s="0" t="n">
        <v>27</v>
      </c>
      <c r="P295" s="0" t="n">
        <v>44</v>
      </c>
      <c r="Q295" s="5" t="str">
        <f aca="false">IF($D295&lt;&gt;"","["&amp;$E295&amp;"]"&amp;"|"&amp;SUBSTITUTE(SUBSTITUTE($I295,CHAR(61),""),CHAR(34),"")&amp;"|"&amp;$K295&amp;"|"&amp;$G295&amp;"|"&amp;IF($G295="TX_CURR_SUBNAT.R","CY2020Q4",$M295),"")</f>
        <v>[FjSmRywOWUp]|10-14|Male|POP_EST.T_1|CY2021Q3</v>
      </c>
    </row>
    <row r="296" customFormat="false" ht="15" hidden="false" customHeight="false" outlineLevel="0" collapsed="false">
      <c r="D296" s="0" t="s">
        <v>103</v>
      </c>
      <c r="E296" s="0" t="s">
        <v>104</v>
      </c>
      <c r="F296" s="0" t="s">
        <v>47</v>
      </c>
      <c r="G296" s="0" t="s">
        <v>52</v>
      </c>
      <c r="H296" s="0" t="s">
        <v>53</v>
      </c>
      <c r="I296" s="0" t="s">
        <v>63</v>
      </c>
      <c r="J296" s="0" t="s">
        <v>64</v>
      </c>
      <c r="K296" s="0" t="s">
        <v>56</v>
      </c>
      <c r="L296" s="0" t="s">
        <v>57</v>
      </c>
      <c r="M296" s="0" t="s">
        <v>50</v>
      </c>
      <c r="N296" s="0" t="n">
        <v>16611</v>
      </c>
      <c r="O296" s="0" t="n">
        <v>30</v>
      </c>
      <c r="P296" s="0" t="n">
        <v>45</v>
      </c>
      <c r="Q296" s="5" t="str">
        <f aca="false">IF($D296&lt;&gt;"","["&amp;$E296&amp;"]"&amp;"|"&amp;SUBSTITUTE(SUBSTITUTE($I296,CHAR(61),""),CHAR(34),"")&amp;"|"&amp;$K296&amp;"|"&amp;$G296&amp;"|"&amp;IF($G296="TX_CURR_SUBNAT.R","CY2020Q4",$M296),"")</f>
        <v>[FjSmRywOWUp]|15-19|Female|POP_EST.T_1|CY2021Q3</v>
      </c>
    </row>
    <row r="297" customFormat="false" ht="15" hidden="false" customHeight="false" outlineLevel="0" collapsed="false">
      <c r="D297" s="0" t="s">
        <v>103</v>
      </c>
      <c r="E297" s="0" t="s">
        <v>104</v>
      </c>
      <c r="F297" s="0" t="s">
        <v>47</v>
      </c>
      <c r="G297" s="0" t="s">
        <v>52</v>
      </c>
      <c r="H297" s="0" t="s">
        <v>53</v>
      </c>
      <c r="I297" s="0" t="s">
        <v>63</v>
      </c>
      <c r="J297" s="0" t="s">
        <v>64</v>
      </c>
      <c r="K297" s="0" t="s">
        <v>58</v>
      </c>
      <c r="L297" s="0" t="s">
        <v>59</v>
      </c>
      <c r="M297" s="0" t="s">
        <v>50</v>
      </c>
      <c r="N297" s="0" t="n">
        <v>17285</v>
      </c>
      <c r="O297" s="0" t="n">
        <v>6</v>
      </c>
      <c r="P297" s="0" t="n">
        <v>37</v>
      </c>
      <c r="Q297" s="5" t="str">
        <f aca="false">IF($D297&lt;&gt;"","["&amp;$E297&amp;"]"&amp;"|"&amp;SUBSTITUTE(SUBSTITUTE($I297,CHAR(61),""),CHAR(34),"")&amp;"|"&amp;$K297&amp;"|"&amp;$G297&amp;"|"&amp;IF($G297="TX_CURR_SUBNAT.R","CY2020Q4",$M297),"")</f>
        <v>[FjSmRywOWUp]|15-19|Male|POP_EST.T_1|CY2021Q3</v>
      </c>
    </row>
    <row r="298" customFormat="false" ht="15" hidden="false" customHeight="false" outlineLevel="0" collapsed="false">
      <c r="D298" s="0" t="s">
        <v>103</v>
      </c>
      <c r="E298" s="0" t="s">
        <v>104</v>
      </c>
      <c r="F298" s="0" t="s">
        <v>47</v>
      </c>
      <c r="G298" s="0" t="s">
        <v>52</v>
      </c>
      <c r="H298" s="0" t="s">
        <v>53</v>
      </c>
      <c r="I298" s="0" t="s">
        <v>66</v>
      </c>
      <c r="J298" s="0" t="s">
        <v>67</v>
      </c>
      <c r="K298" s="0" t="s">
        <v>56</v>
      </c>
      <c r="L298" s="0" t="s">
        <v>57</v>
      </c>
      <c r="M298" s="0" t="s">
        <v>50</v>
      </c>
      <c r="N298" s="0" t="n">
        <v>16902</v>
      </c>
      <c r="O298" s="0" t="n">
        <v>60</v>
      </c>
      <c r="P298" s="0" t="n">
        <v>35</v>
      </c>
      <c r="Q298" s="5" t="str">
        <f aca="false">IF($D298&lt;&gt;"","["&amp;$E298&amp;"]"&amp;"|"&amp;SUBSTITUTE(SUBSTITUTE($I298,CHAR(61),""),CHAR(34),"")&amp;"|"&amp;$K298&amp;"|"&amp;$G298&amp;"|"&amp;IF($G298="TX_CURR_SUBNAT.R","CY2020Q4",$M298),"")</f>
        <v>[FjSmRywOWUp]|20-24|Female|POP_EST.T_1|CY2021Q3</v>
      </c>
    </row>
    <row r="299" customFormat="false" ht="15" hidden="false" customHeight="false" outlineLevel="0" collapsed="false">
      <c r="D299" s="0" t="s">
        <v>103</v>
      </c>
      <c r="E299" s="0" t="s">
        <v>104</v>
      </c>
      <c r="F299" s="0" t="s">
        <v>47</v>
      </c>
      <c r="G299" s="0" t="s">
        <v>52</v>
      </c>
      <c r="H299" s="0" t="s">
        <v>53</v>
      </c>
      <c r="I299" s="0" t="s">
        <v>66</v>
      </c>
      <c r="J299" s="0" t="s">
        <v>67</v>
      </c>
      <c r="K299" s="0" t="s">
        <v>58</v>
      </c>
      <c r="L299" s="0" t="s">
        <v>59</v>
      </c>
      <c r="M299" s="0" t="s">
        <v>50</v>
      </c>
      <c r="N299" s="0" t="n">
        <v>16334</v>
      </c>
      <c r="O299" s="0" t="n">
        <v>32</v>
      </c>
      <c r="P299" s="0" t="n">
        <v>28</v>
      </c>
      <c r="Q299" s="5" t="str">
        <f aca="false">IF($D299&lt;&gt;"","["&amp;$E299&amp;"]"&amp;"|"&amp;SUBSTITUTE(SUBSTITUTE($I299,CHAR(61),""),CHAR(34),"")&amp;"|"&amp;$K299&amp;"|"&amp;$G299&amp;"|"&amp;IF($G299="TX_CURR_SUBNAT.R","CY2020Q4",$M299),"")</f>
        <v>[FjSmRywOWUp]|20-24|Male|POP_EST.T_1|CY2021Q3</v>
      </c>
    </row>
    <row r="300" customFormat="false" ht="15" hidden="false" customHeight="false" outlineLevel="0" collapsed="false">
      <c r="D300" s="0" t="s">
        <v>103</v>
      </c>
      <c r="E300" s="0" t="s">
        <v>104</v>
      </c>
      <c r="F300" s="0" t="s">
        <v>47</v>
      </c>
      <c r="G300" s="0" t="s">
        <v>52</v>
      </c>
      <c r="H300" s="0" t="s">
        <v>53</v>
      </c>
      <c r="I300" s="0" t="s">
        <v>69</v>
      </c>
      <c r="J300" s="0" t="s">
        <v>70</v>
      </c>
      <c r="K300" s="0" t="s">
        <v>56</v>
      </c>
      <c r="L300" s="0" t="s">
        <v>57</v>
      </c>
      <c r="M300" s="0" t="s">
        <v>50</v>
      </c>
      <c r="N300" s="0" t="n">
        <v>17366</v>
      </c>
      <c r="O300" s="0" t="n">
        <v>12</v>
      </c>
      <c r="P300" s="0" t="n">
        <v>40</v>
      </c>
      <c r="Q300" s="5" t="str">
        <f aca="false">IF($D300&lt;&gt;"","["&amp;$E300&amp;"]"&amp;"|"&amp;SUBSTITUTE(SUBSTITUTE($I300,CHAR(61),""),CHAR(34),"")&amp;"|"&amp;$K300&amp;"|"&amp;$G300&amp;"|"&amp;IF($G300="TX_CURR_SUBNAT.R","CY2020Q4",$M300),"")</f>
        <v>[FjSmRywOWUp]|25-29|Female|POP_EST.T_1|CY2021Q3</v>
      </c>
    </row>
    <row r="301" customFormat="false" ht="15" hidden="false" customHeight="false" outlineLevel="0" collapsed="false">
      <c r="D301" s="0" t="s">
        <v>103</v>
      </c>
      <c r="E301" s="0" t="s">
        <v>104</v>
      </c>
      <c r="F301" s="0" t="s">
        <v>47</v>
      </c>
      <c r="G301" s="0" t="s">
        <v>52</v>
      </c>
      <c r="H301" s="0" t="s">
        <v>53</v>
      </c>
      <c r="I301" s="0" t="s">
        <v>69</v>
      </c>
      <c r="J301" s="0" t="s">
        <v>70</v>
      </c>
      <c r="K301" s="0" t="s">
        <v>58</v>
      </c>
      <c r="L301" s="0" t="s">
        <v>59</v>
      </c>
      <c r="M301" s="0" t="s">
        <v>50</v>
      </c>
      <c r="N301" s="0" t="n">
        <v>17577</v>
      </c>
      <c r="O301" s="0" t="n">
        <v>51</v>
      </c>
      <c r="P301" s="0" t="n">
        <v>32</v>
      </c>
      <c r="Q301" s="5" t="str">
        <f aca="false">IF($D301&lt;&gt;"","["&amp;$E301&amp;"]"&amp;"|"&amp;SUBSTITUTE(SUBSTITUTE($I301,CHAR(61),""),CHAR(34),"")&amp;"|"&amp;$K301&amp;"|"&amp;$G301&amp;"|"&amp;IF($G301="TX_CURR_SUBNAT.R","CY2020Q4",$M301),"")</f>
        <v>[FjSmRywOWUp]|25-29|Male|POP_EST.T_1|CY2021Q3</v>
      </c>
    </row>
    <row r="302" customFormat="false" ht="15" hidden="false" customHeight="false" outlineLevel="0" collapsed="false">
      <c r="D302" s="0" t="s">
        <v>103</v>
      </c>
      <c r="E302" s="0" t="s">
        <v>104</v>
      </c>
      <c r="F302" s="0" t="s">
        <v>47</v>
      </c>
      <c r="G302" s="0" t="s">
        <v>52</v>
      </c>
      <c r="H302" s="0" t="s">
        <v>53</v>
      </c>
      <c r="I302" s="0" t="s">
        <v>72</v>
      </c>
      <c r="J302" s="0" t="s">
        <v>73</v>
      </c>
      <c r="K302" s="0" t="s">
        <v>56</v>
      </c>
      <c r="L302" s="0" t="s">
        <v>57</v>
      </c>
      <c r="M302" s="0" t="s">
        <v>50</v>
      </c>
      <c r="N302" s="0" t="n">
        <v>16090</v>
      </c>
      <c r="O302" s="0" t="n">
        <v>4</v>
      </c>
      <c r="P302" s="0" t="n">
        <v>36</v>
      </c>
      <c r="Q302" s="5" t="str">
        <f aca="false">IF($D302&lt;&gt;"","["&amp;$E302&amp;"]"&amp;"|"&amp;SUBSTITUTE(SUBSTITUTE($I302,CHAR(61),""),CHAR(34),"")&amp;"|"&amp;$K302&amp;"|"&amp;$G302&amp;"|"&amp;IF($G302="TX_CURR_SUBNAT.R","CY2020Q4",$M302),"")</f>
        <v>[FjSmRywOWUp]|30-34|Female|POP_EST.T_1|CY2021Q3</v>
      </c>
    </row>
    <row r="303" customFormat="false" ht="15" hidden="false" customHeight="false" outlineLevel="0" collapsed="false">
      <c r="D303" s="0" t="s">
        <v>103</v>
      </c>
      <c r="E303" s="0" t="s">
        <v>104</v>
      </c>
      <c r="F303" s="0" t="s">
        <v>47</v>
      </c>
      <c r="G303" s="0" t="s">
        <v>52</v>
      </c>
      <c r="H303" s="0" t="s">
        <v>53</v>
      </c>
      <c r="I303" s="0" t="s">
        <v>72</v>
      </c>
      <c r="J303" s="0" t="s">
        <v>73</v>
      </c>
      <c r="K303" s="0" t="s">
        <v>58</v>
      </c>
      <c r="L303" s="0" t="s">
        <v>59</v>
      </c>
      <c r="M303" s="0" t="s">
        <v>50</v>
      </c>
      <c r="N303" s="0" t="n">
        <v>17354</v>
      </c>
      <c r="O303" s="0" t="n">
        <v>17</v>
      </c>
      <c r="P303" s="0" t="n">
        <v>5</v>
      </c>
      <c r="Q303" s="5" t="str">
        <f aca="false">IF($D303&lt;&gt;"","["&amp;$E303&amp;"]"&amp;"|"&amp;SUBSTITUTE(SUBSTITUTE($I303,CHAR(61),""),CHAR(34),"")&amp;"|"&amp;$K303&amp;"|"&amp;$G303&amp;"|"&amp;IF($G303="TX_CURR_SUBNAT.R","CY2020Q4",$M303),"")</f>
        <v>[FjSmRywOWUp]|30-34|Male|POP_EST.T_1|CY2021Q3</v>
      </c>
    </row>
    <row r="304" customFormat="false" ht="15" hidden="false" customHeight="false" outlineLevel="0" collapsed="false">
      <c r="D304" s="0" t="s">
        <v>103</v>
      </c>
      <c r="E304" s="0" t="s">
        <v>104</v>
      </c>
      <c r="F304" s="0" t="s">
        <v>47</v>
      </c>
      <c r="G304" s="0" t="s">
        <v>52</v>
      </c>
      <c r="H304" s="0" t="s">
        <v>53</v>
      </c>
      <c r="I304" s="0" t="s">
        <v>75</v>
      </c>
      <c r="J304" s="0" t="s">
        <v>76</v>
      </c>
      <c r="K304" s="0" t="s">
        <v>56</v>
      </c>
      <c r="L304" s="0" t="s">
        <v>57</v>
      </c>
      <c r="M304" s="0" t="s">
        <v>50</v>
      </c>
      <c r="N304" s="0" t="n">
        <v>12025</v>
      </c>
      <c r="O304" s="0" t="n">
        <v>15</v>
      </c>
      <c r="P304" s="0" t="n">
        <v>28</v>
      </c>
      <c r="Q304" s="5" t="str">
        <f aca="false">IF($D304&lt;&gt;"","["&amp;$E304&amp;"]"&amp;"|"&amp;SUBSTITUTE(SUBSTITUTE($I304,CHAR(61),""),CHAR(34),"")&amp;"|"&amp;$K304&amp;"|"&amp;$G304&amp;"|"&amp;IF($G304="TX_CURR_SUBNAT.R","CY2020Q4",$M304),"")</f>
        <v>[FjSmRywOWUp]|35-39|Female|POP_EST.T_1|CY2021Q3</v>
      </c>
    </row>
    <row r="305" customFormat="false" ht="15" hidden="false" customHeight="false" outlineLevel="0" collapsed="false">
      <c r="D305" s="0" t="s">
        <v>103</v>
      </c>
      <c r="E305" s="0" t="s">
        <v>104</v>
      </c>
      <c r="F305" s="0" t="s">
        <v>47</v>
      </c>
      <c r="G305" s="0" t="s">
        <v>52</v>
      </c>
      <c r="H305" s="0" t="s">
        <v>53</v>
      </c>
      <c r="I305" s="0" t="s">
        <v>75</v>
      </c>
      <c r="J305" s="0" t="s">
        <v>76</v>
      </c>
      <c r="K305" s="0" t="s">
        <v>58</v>
      </c>
      <c r="L305" s="0" t="s">
        <v>59</v>
      </c>
      <c r="M305" s="0" t="s">
        <v>50</v>
      </c>
      <c r="N305" s="0" t="n">
        <v>13426</v>
      </c>
      <c r="O305" s="0" t="n">
        <v>7</v>
      </c>
      <c r="P305" s="0" t="n">
        <v>7</v>
      </c>
      <c r="Q305" s="5" t="str">
        <f aca="false">IF($D305&lt;&gt;"","["&amp;$E305&amp;"]"&amp;"|"&amp;SUBSTITUTE(SUBSTITUTE($I305,CHAR(61),""),CHAR(34),"")&amp;"|"&amp;$K305&amp;"|"&amp;$G305&amp;"|"&amp;IF($G305="TX_CURR_SUBNAT.R","CY2020Q4",$M305),"")</f>
        <v>[FjSmRywOWUp]|35-39|Male|POP_EST.T_1|CY2021Q3</v>
      </c>
    </row>
    <row r="306" customFormat="false" ht="15" hidden="false" customHeight="false" outlineLevel="0" collapsed="false">
      <c r="D306" s="0" t="s">
        <v>103</v>
      </c>
      <c r="E306" s="0" t="s">
        <v>104</v>
      </c>
      <c r="F306" s="0" t="s">
        <v>47</v>
      </c>
      <c r="G306" s="0" t="s">
        <v>52</v>
      </c>
      <c r="H306" s="0" t="s">
        <v>53</v>
      </c>
      <c r="I306" s="0" t="s">
        <v>77</v>
      </c>
      <c r="J306" s="0" t="s">
        <v>78</v>
      </c>
      <c r="K306" s="0" t="s">
        <v>56</v>
      </c>
      <c r="L306" s="0" t="s">
        <v>57</v>
      </c>
      <c r="M306" s="0" t="s">
        <v>50</v>
      </c>
      <c r="N306" s="0" t="n">
        <v>8664</v>
      </c>
      <c r="O306" s="0" t="n">
        <v>47</v>
      </c>
      <c r="P306" s="0" t="n">
        <v>24</v>
      </c>
      <c r="Q306" s="5" t="str">
        <f aca="false">IF($D306&lt;&gt;"","["&amp;$E306&amp;"]"&amp;"|"&amp;SUBSTITUTE(SUBSTITUTE($I306,CHAR(61),""),CHAR(34),"")&amp;"|"&amp;$K306&amp;"|"&amp;$G306&amp;"|"&amp;IF($G306="TX_CURR_SUBNAT.R","CY2020Q4",$M306),"")</f>
        <v>[FjSmRywOWUp]|40-44|Female|POP_EST.T_1|CY2021Q3</v>
      </c>
    </row>
    <row r="307" customFormat="false" ht="15" hidden="false" customHeight="false" outlineLevel="0" collapsed="false">
      <c r="D307" s="0" t="s">
        <v>103</v>
      </c>
      <c r="E307" s="0" t="s">
        <v>104</v>
      </c>
      <c r="F307" s="0" t="s">
        <v>47</v>
      </c>
      <c r="G307" s="0" t="s">
        <v>52</v>
      </c>
      <c r="H307" s="0" t="s">
        <v>53</v>
      </c>
      <c r="I307" s="0" t="s">
        <v>77</v>
      </c>
      <c r="J307" s="0" t="s">
        <v>78</v>
      </c>
      <c r="K307" s="0" t="s">
        <v>58</v>
      </c>
      <c r="L307" s="0" t="s">
        <v>59</v>
      </c>
      <c r="M307" s="0" t="s">
        <v>50</v>
      </c>
      <c r="N307" s="0" t="n">
        <v>8954</v>
      </c>
      <c r="O307" s="0" t="n">
        <v>30</v>
      </c>
      <c r="P307" s="0" t="n">
        <v>27</v>
      </c>
      <c r="Q307" s="5" t="str">
        <f aca="false">IF($D307&lt;&gt;"","["&amp;$E307&amp;"]"&amp;"|"&amp;SUBSTITUTE(SUBSTITUTE($I307,CHAR(61),""),CHAR(34),"")&amp;"|"&amp;$K307&amp;"|"&amp;$G307&amp;"|"&amp;IF($G307="TX_CURR_SUBNAT.R","CY2020Q4",$M307),"")</f>
        <v>[FjSmRywOWUp]|40-44|Male|POP_EST.T_1|CY2021Q3</v>
      </c>
    </row>
    <row r="308" customFormat="false" ht="15" hidden="false" customHeight="false" outlineLevel="0" collapsed="false">
      <c r="D308" s="0" t="s">
        <v>103</v>
      </c>
      <c r="E308" s="0" t="s">
        <v>104</v>
      </c>
      <c r="F308" s="0" t="s">
        <v>47</v>
      </c>
      <c r="G308" s="0" t="s">
        <v>52</v>
      </c>
      <c r="H308" s="0" t="s">
        <v>53</v>
      </c>
      <c r="I308" s="0" t="s">
        <v>80</v>
      </c>
      <c r="J308" s="0" t="s">
        <v>81</v>
      </c>
      <c r="K308" s="0" t="s">
        <v>56</v>
      </c>
      <c r="L308" s="0" t="s">
        <v>57</v>
      </c>
      <c r="M308" s="0" t="s">
        <v>50</v>
      </c>
      <c r="N308" s="0" t="n">
        <v>6819</v>
      </c>
      <c r="O308" s="0" t="n">
        <v>56</v>
      </c>
      <c r="P308" s="0" t="n">
        <v>38</v>
      </c>
      <c r="Q308" s="5" t="str">
        <f aca="false">IF($D308&lt;&gt;"","["&amp;$E308&amp;"]"&amp;"|"&amp;SUBSTITUTE(SUBSTITUTE($I308,CHAR(61),""),CHAR(34),"")&amp;"|"&amp;$K308&amp;"|"&amp;$G308&amp;"|"&amp;IF($G308="TX_CURR_SUBNAT.R","CY2020Q4",$M308),"")</f>
        <v>[FjSmRywOWUp]|45-49|Female|POP_EST.T_1|CY2021Q3</v>
      </c>
    </row>
    <row r="309" customFormat="false" ht="15" hidden="false" customHeight="false" outlineLevel="0" collapsed="false">
      <c r="D309" s="0" t="s">
        <v>103</v>
      </c>
      <c r="E309" s="0" t="s">
        <v>104</v>
      </c>
      <c r="F309" s="0" t="s">
        <v>47</v>
      </c>
      <c r="G309" s="0" t="s">
        <v>52</v>
      </c>
      <c r="H309" s="0" t="s">
        <v>53</v>
      </c>
      <c r="I309" s="0" t="s">
        <v>80</v>
      </c>
      <c r="J309" s="0" t="s">
        <v>81</v>
      </c>
      <c r="K309" s="0" t="s">
        <v>58</v>
      </c>
      <c r="L309" s="0" t="s">
        <v>59</v>
      </c>
      <c r="M309" s="0" t="s">
        <v>50</v>
      </c>
      <c r="N309" s="0" t="n">
        <v>6587</v>
      </c>
      <c r="O309" s="0" t="n">
        <v>17</v>
      </c>
      <c r="P309" s="0" t="n">
        <v>33</v>
      </c>
      <c r="Q309" s="5" t="str">
        <f aca="false">IF($D309&lt;&gt;"","["&amp;$E309&amp;"]"&amp;"|"&amp;SUBSTITUTE(SUBSTITUTE($I309,CHAR(61),""),CHAR(34),"")&amp;"|"&amp;$K309&amp;"|"&amp;$G309&amp;"|"&amp;IF($G309="TX_CURR_SUBNAT.R","CY2020Q4",$M309),"")</f>
        <v>[FjSmRywOWUp]|45-49|Male|POP_EST.T_1|CY2021Q3</v>
      </c>
    </row>
    <row r="310" customFormat="false" ht="15" hidden="false" customHeight="false" outlineLevel="0" collapsed="false">
      <c r="D310" s="0" t="s">
        <v>103</v>
      </c>
      <c r="E310" s="0" t="s">
        <v>104</v>
      </c>
      <c r="F310" s="0" t="s">
        <v>47</v>
      </c>
      <c r="G310" s="0" t="s">
        <v>52</v>
      </c>
      <c r="H310" s="0" t="s">
        <v>53</v>
      </c>
      <c r="I310" s="0" t="s">
        <v>83</v>
      </c>
      <c r="J310" s="0" t="s">
        <v>84</v>
      </c>
      <c r="K310" s="0" t="s">
        <v>56</v>
      </c>
      <c r="L310" s="0" t="s">
        <v>57</v>
      </c>
      <c r="M310" s="0" t="s">
        <v>50</v>
      </c>
      <c r="N310" s="0" t="n">
        <v>19479</v>
      </c>
      <c r="O310" s="0" t="n">
        <v>37</v>
      </c>
      <c r="P310" s="0" t="n">
        <v>46</v>
      </c>
      <c r="Q310" s="5" t="str">
        <f aca="false">IF($D310&lt;&gt;"","["&amp;$E310&amp;"]"&amp;"|"&amp;SUBSTITUTE(SUBSTITUTE($I310,CHAR(61),""),CHAR(34),"")&amp;"|"&amp;$K310&amp;"|"&amp;$G310&amp;"|"&amp;IF($G310="TX_CURR_SUBNAT.R","CY2020Q4",$M310),"")</f>
        <v>[FjSmRywOWUp]|05-09|Female|POP_EST.T_1|CY2021Q3</v>
      </c>
    </row>
    <row r="311" customFormat="false" ht="15" hidden="false" customHeight="false" outlineLevel="0" collapsed="false">
      <c r="D311" s="0" t="s">
        <v>103</v>
      </c>
      <c r="E311" s="0" t="s">
        <v>104</v>
      </c>
      <c r="F311" s="0" t="s">
        <v>47</v>
      </c>
      <c r="G311" s="0" t="s">
        <v>52</v>
      </c>
      <c r="H311" s="0" t="s">
        <v>53</v>
      </c>
      <c r="I311" s="0" t="s">
        <v>83</v>
      </c>
      <c r="J311" s="0" t="s">
        <v>84</v>
      </c>
      <c r="K311" s="0" t="s">
        <v>58</v>
      </c>
      <c r="L311" s="0" t="s">
        <v>59</v>
      </c>
      <c r="M311" s="0" t="s">
        <v>50</v>
      </c>
      <c r="N311" s="0" t="n">
        <v>19148</v>
      </c>
      <c r="O311" s="0" t="n">
        <v>55</v>
      </c>
      <c r="P311" s="0" t="n">
        <v>32</v>
      </c>
      <c r="Q311" s="5" t="str">
        <f aca="false">IF($D311&lt;&gt;"","["&amp;$E311&amp;"]"&amp;"|"&amp;SUBSTITUTE(SUBSTITUTE($I311,CHAR(61),""),CHAR(34),"")&amp;"|"&amp;$K311&amp;"|"&amp;$G311&amp;"|"&amp;IF($G311="TX_CURR_SUBNAT.R","CY2020Q4",$M311),"")</f>
        <v>[FjSmRywOWUp]|05-09|Male|POP_EST.T_1|CY2021Q3</v>
      </c>
    </row>
    <row r="312" customFormat="false" ht="15" hidden="false" customHeight="false" outlineLevel="0" collapsed="false">
      <c r="D312" s="0" t="s">
        <v>103</v>
      </c>
      <c r="E312" s="0" t="s">
        <v>104</v>
      </c>
      <c r="F312" s="0" t="s">
        <v>47</v>
      </c>
      <c r="G312" s="0" t="s">
        <v>52</v>
      </c>
      <c r="H312" s="0" t="s">
        <v>53</v>
      </c>
      <c r="I312" s="53" t="s">
        <v>86</v>
      </c>
      <c r="J312" s="0" t="s">
        <v>87</v>
      </c>
      <c r="K312" s="0" t="s">
        <v>56</v>
      </c>
      <c r="L312" s="0" t="s">
        <v>57</v>
      </c>
      <c r="M312" s="0" t="s">
        <v>50</v>
      </c>
      <c r="N312" s="0" t="n">
        <v>32480</v>
      </c>
      <c r="O312" s="0" t="n">
        <v>45</v>
      </c>
      <c r="P312" s="0" t="n">
        <v>31</v>
      </c>
      <c r="Q312" s="5" t="str">
        <f aca="false">IF($D312&lt;&gt;"","["&amp;$E312&amp;"]"&amp;"|"&amp;SUBSTITUTE(SUBSTITUTE($I312,CHAR(61),""),CHAR(34),"")&amp;"|"&amp;$K312&amp;"|"&amp;$G312&amp;"|"&amp;IF($G312="TX_CURR_SUBNAT.R","CY2020Q4",$M312),"")</f>
        <v>[FjSmRywOWUp]|50+|Female|POP_EST.T_1|CY2021Q3</v>
      </c>
    </row>
    <row r="313" customFormat="false" ht="15" hidden="false" customHeight="false" outlineLevel="0" collapsed="false">
      <c r="D313" s="0" t="s">
        <v>103</v>
      </c>
      <c r="E313" s="0" t="s">
        <v>104</v>
      </c>
      <c r="F313" s="0" t="s">
        <v>47</v>
      </c>
      <c r="G313" s="0" t="s">
        <v>52</v>
      </c>
      <c r="H313" s="0" t="s">
        <v>53</v>
      </c>
      <c r="I313" s="53" t="s">
        <v>86</v>
      </c>
      <c r="J313" s="0" t="s">
        <v>87</v>
      </c>
      <c r="K313" s="0" t="s">
        <v>58</v>
      </c>
      <c r="L313" s="0" t="s">
        <v>59</v>
      </c>
      <c r="M313" s="0" t="s">
        <v>50</v>
      </c>
      <c r="N313" s="0" t="n">
        <v>22233</v>
      </c>
      <c r="O313" s="0" t="n">
        <v>42</v>
      </c>
      <c r="P313" s="0" t="n">
        <v>48</v>
      </c>
      <c r="Q313" s="5" t="str">
        <f aca="false">IF($D313&lt;&gt;"","["&amp;$E313&amp;"]"&amp;"|"&amp;SUBSTITUTE(SUBSTITUTE($I313,CHAR(61),""),CHAR(34),"")&amp;"|"&amp;$K313&amp;"|"&amp;$G313&amp;"|"&amp;IF($G313="TX_CURR_SUBNAT.R","CY2020Q4",$M313),"")</f>
        <v>[FjSmRywOWUp]|50+|Male|POP_EST.T_1|CY2021Q3</v>
      </c>
    </row>
    <row r="314" customFormat="false" ht="15" hidden="false" customHeight="false" outlineLevel="0" collapsed="false">
      <c r="D314" s="0" t="s">
        <v>103</v>
      </c>
      <c r="E314" s="0" t="s">
        <v>104</v>
      </c>
      <c r="F314" s="0" t="s">
        <v>47</v>
      </c>
      <c r="G314" s="0" t="s">
        <v>52</v>
      </c>
      <c r="H314" s="0" t="s">
        <v>53</v>
      </c>
      <c r="I314" s="0" t="s">
        <v>89</v>
      </c>
      <c r="J314" s="0" t="s">
        <v>90</v>
      </c>
      <c r="K314" s="0" t="s">
        <v>56</v>
      </c>
      <c r="L314" s="0" t="s">
        <v>57</v>
      </c>
      <c r="M314" s="0" t="s">
        <v>50</v>
      </c>
      <c r="N314" s="0" t="n">
        <v>2962</v>
      </c>
      <c r="O314" s="0" t="n">
        <v>3</v>
      </c>
      <c r="P314" s="0" t="n">
        <v>48</v>
      </c>
      <c r="Q314" s="5" t="str">
        <f aca="false">IF($D314&lt;&gt;"","["&amp;$E314&amp;"]"&amp;"|"&amp;SUBSTITUTE(SUBSTITUTE($I314,CHAR(61),""),CHAR(34),"")&amp;"|"&amp;$K314&amp;"|"&amp;$G314&amp;"|"&amp;IF($G314="TX_CURR_SUBNAT.R","CY2020Q4",$M314),"")</f>
        <v>[FjSmRywOWUp]|&lt;01|Female|POP_EST.T_1|CY2021Q3</v>
      </c>
    </row>
    <row r="315" customFormat="false" ht="15" hidden="false" customHeight="false" outlineLevel="0" collapsed="false">
      <c r="D315" s="0" t="s">
        <v>103</v>
      </c>
      <c r="E315" s="0" t="s">
        <v>104</v>
      </c>
      <c r="F315" s="0" t="s">
        <v>47</v>
      </c>
      <c r="G315" s="0" t="s">
        <v>52</v>
      </c>
      <c r="H315" s="0" t="s">
        <v>53</v>
      </c>
      <c r="I315" s="0" t="s">
        <v>89</v>
      </c>
      <c r="J315" s="0" t="s">
        <v>90</v>
      </c>
      <c r="K315" s="0" t="s">
        <v>58</v>
      </c>
      <c r="L315" s="0" t="s">
        <v>59</v>
      </c>
      <c r="M315" s="0" t="s">
        <v>50</v>
      </c>
      <c r="N315" s="0" t="n">
        <v>3007</v>
      </c>
      <c r="O315" s="0" t="n">
        <v>58</v>
      </c>
      <c r="P315" s="0" t="n">
        <v>15</v>
      </c>
      <c r="Q315" s="5" t="str">
        <f aca="false">IF($D315&lt;&gt;"","["&amp;$E315&amp;"]"&amp;"|"&amp;SUBSTITUTE(SUBSTITUTE($I315,CHAR(61),""),CHAR(34),"")&amp;"|"&amp;$K315&amp;"|"&amp;$G315&amp;"|"&amp;IF($G315="TX_CURR_SUBNAT.R","CY2020Q4",$M315),"")</f>
        <v>[FjSmRywOWUp]|&lt;01|Male|POP_EST.T_1|CY2021Q3</v>
      </c>
    </row>
    <row r="316" customFormat="false" ht="15" hidden="false" customHeight="false" outlineLevel="0" collapsed="false">
      <c r="D316" s="0" t="s">
        <v>103</v>
      </c>
      <c r="E316" s="0" t="s">
        <v>104</v>
      </c>
      <c r="F316" s="0" t="s">
        <v>47</v>
      </c>
      <c r="G316" s="0" t="s">
        <v>91</v>
      </c>
      <c r="H316" s="0" t="s">
        <v>92</v>
      </c>
      <c r="I316" s="0" t="s">
        <v>54</v>
      </c>
      <c r="J316" s="0" t="s">
        <v>55</v>
      </c>
      <c r="K316" s="0" t="s">
        <v>56</v>
      </c>
      <c r="L316" s="0" t="s">
        <v>57</v>
      </c>
      <c r="M316" s="0" t="s">
        <v>50</v>
      </c>
      <c r="N316" s="0" t="n">
        <v>0.0073778</v>
      </c>
      <c r="O316" s="0" t="n">
        <v>17</v>
      </c>
      <c r="P316" s="0" t="n">
        <v>23</v>
      </c>
      <c r="Q316" s="5" t="str">
        <f aca="false">IF($D316&lt;&gt;"","["&amp;$E316&amp;"]"&amp;"|"&amp;SUBSTITUTE(SUBSTITUTE($I316,CHAR(61),""),CHAR(34),"")&amp;"|"&amp;$K316&amp;"|"&amp;$G316&amp;"|"&amp;IF($G316="TX_CURR_SUBNAT.R","CY2020Q4",$M316),"")</f>
        <v>[FjSmRywOWUp]|01-04|Female|HIV_PREV.T_1|CY2021Q3</v>
      </c>
    </row>
    <row r="317" customFormat="false" ht="15" hidden="false" customHeight="false" outlineLevel="0" collapsed="false">
      <c r="D317" s="0" t="s">
        <v>103</v>
      </c>
      <c r="E317" s="0" t="s">
        <v>104</v>
      </c>
      <c r="F317" s="0" t="s">
        <v>47</v>
      </c>
      <c r="G317" s="0" t="s">
        <v>91</v>
      </c>
      <c r="H317" s="0" t="s">
        <v>92</v>
      </c>
      <c r="I317" s="0" t="s">
        <v>54</v>
      </c>
      <c r="J317" s="0" t="s">
        <v>55</v>
      </c>
      <c r="K317" s="0" t="s">
        <v>58</v>
      </c>
      <c r="L317" s="0" t="s">
        <v>59</v>
      </c>
      <c r="M317" s="0" t="s">
        <v>50</v>
      </c>
      <c r="N317" s="0" t="n">
        <v>0.0073823</v>
      </c>
      <c r="O317" s="0" t="n">
        <v>55</v>
      </c>
      <c r="P317" s="0" t="n">
        <v>27</v>
      </c>
      <c r="Q317" s="5" t="str">
        <f aca="false">IF($D317&lt;&gt;"","["&amp;$E317&amp;"]"&amp;"|"&amp;SUBSTITUTE(SUBSTITUTE($I317,CHAR(61),""),CHAR(34),"")&amp;"|"&amp;$K317&amp;"|"&amp;$G317&amp;"|"&amp;IF($G317="TX_CURR_SUBNAT.R","CY2020Q4",$M317),"")</f>
        <v>[FjSmRywOWUp]|01-04|Male|HIV_PREV.T_1|CY2021Q3</v>
      </c>
    </row>
    <row r="318" customFormat="false" ht="15" hidden="false" customHeight="false" outlineLevel="0" collapsed="false">
      <c r="D318" s="0" t="s">
        <v>103</v>
      </c>
      <c r="E318" s="0" t="s">
        <v>104</v>
      </c>
      <c r="F318" s="0" t="s">
        <v>47</v>
      </c>
      <c r="G318" s="0" t="s">
        <v>91</v>
      </c>
      <c r="H318" s="0" t="s">
        <v>92</v>
      </c>
      <c r="I318" s="0" t="s">
        <v>61</v>
      </c>
      <c r="J318" s="0" t="s">
        <v>62</v>
      </c>
      <c r="K318" s="0" t="s">
        <v>56</v>
      </c>
      <c r="L318" s="0" t="s">
        <v>57</v>
      </c>
      <c r="M318" s="0" t="s">
        <v>50</v>
      </c>
      <c r="N318" s="0" t="n">
        <v>0.0225337</v>
      </c>
      <c r="O318" s="0" t="n">
        <v>11</v>
      </c>
      <c r="P318" s="0" t="n">
        <v>25</v>
      </c>
      <c r="Q318" s="5" t="str">
        <f aca="false">IF($D318&lt;&gt;"","["&amp;$E318&amp;"]"&amp;"|"&amp;SUBSTITUTE(SUBSTITUTE($I318,CHAR(61),""),CHAR(34),"")&amp;"|"&amp;$K318&amp;"|"&amp;$G318&amp;"|"&amp;IF($G318="TX_CURR_SUBNAT.R","CY2020Q4",$M318),"")</f>
        <v>[FjSmRywOWUp]|10-14|Female|HIV_PREV.T_1|CY2021Q3</v>
      </c>
    </row>
    <row r="319" customFormat="false" ht="15" hidden="false" customHeight="false" outlineLevel="0" collapsed="false">
      <c r="D319" s="0" t="s">
        <v>103</v>
      </c>
      <c r="E319" s="0" t="s">
        <v>104</v>
      </c>
      <c r="F319" s="0" t="s">
        <v>47</v>
      </c>
      <c r="G319" s="0" t="s">
        <v>91</v>
      </c>
      <c r="H319" s="0" t="s">
        <v>92</v>
      </c>
      <c r="I319" s="0" t="s">
        <v>61</v>
      </c>
      <c r="J319" s="0" t="s">
        <v>62</v>
      </c>
      <c r="K319" s="0" t="s">
        <v>58</v>
      </c>
      <c r="L319" s="0" t="s">
        <v>59</v>
      </c>
      <c r="M319" s="0" t="s">
        <v>50</v>
      </c>
      <c r="N319" s="0" t="n">
        <v>0.0233603</v>
      </c>
      <c r="O319" s="0" t="n">
        <v>60</v>
      </c>
      <c r="P319" s="0" t="n">
        <v>40</v>
      </c>
      <c r="Q319" s="5" t="str">
        <f aca="false">IF($D319&lt;&gt;"","["&amp;$E319&amp;"]"&amp;"|"&amp;SUBSTITUTE(SUBSTITUTE($I319,CHAR(61),""),CHAR(34),"")&amp;"|"&amp;$K319&amp;"|"&amp;$G319&amp;"|"&amp;IF($G319="TX_CURR_SUBNAT.R","CY2020Q4",$M319),"")</f>
        <v>[FjSmRywOWUp]|10-14|Male|HIV_PREV.T_1|CY2021Q3</v>
      </c>
    </row>
    <row r="320" customFormat="false" ht="15" hidden="false" customHeight="false" outlineLevel="0" collapsed="false">
      <c r="D320" s="0" t="s">
        <v>103</v>
      </c>
      <c r="E320" s="0" t="s">
        <v>104</v>
      </c>
      <c r="F320" s="0" t="s">
        <v>47</v>
      </c>
      <c r="G320" s="0" t="s">
        <v>91</v>
      </c>
      <c r="H320" s="0" t="s">
        <v>92</v>
      </c>
      <c r="I320" s="0" t="s">
        <v>63</v>
      </c>
      <c r="J320" s="0" t="s">
        <v>64</v>
      </c>
      <c r="K320" s="0" t="s">
        <v>56</v>
      </c>
      <c r="L320" s="0" t="s">
        <v>57</v>
      </c>
      <c r="M320" s="0" t="s">
        <v>50</v>
      </c>
      <c r="N320" s="0" t="n">
        <v>0.0414761</v>
      </c>
      <c r="O320" s="0" t="n">
        <v>30</v>
      </c>
      <c r="P320" s="0" t="n">
        <v>12</v>
      </c>
      <c r="Q320" s="5" t="str">
        <f aca="false">IF($D320&lt;&gt;"","["&amp;$E320&amp;"]"&amp;"|"&amp;SUBSTITUTE(SUBSTITUTE($I320,CHAR(61),""),CHAR(34),"")&amp;"|"&amp;$K320&amp;"|"&amp;$G320&amp;"|"&amp;IF($G320="TX_CURR_SUBNAT.R","CY2020Q4",$M320),"")</f>
        <v>[FjSmRywOWUp]|15-19|Female|HIV_PREV.T_1|CY2021Q3</v>
      </c>
    </row>
    <row r="321" customFormat="false" ht="15" hidden="false" customHeight="false" outlineLevel="0" collapsed="false">
      <c r="D321" s="0" t="s">
        <v>103</v>
      </c>
      <c r="E321" s="0" t="s">
        <v>104</v>
      </c>
      <c r="F321" s="0" t="s">
        <v>47</v>
      </c>
      <c r="G321" s="0" t="s">
        <v>91</v>
      </c>
      <c r="H321" s="0" t="s">
        <v>92</v>
      </c>
      <c r="I321" s="0" t="s">
        <v>63</v>
      </c>
      <c r="J321" s="0" t="s">
        <v>64</v>
      </c>
      <c r="K321" s="0" t="s">
        <v>58</v>
      </c>
      <c r="L321" s="0" t="s">
        <v>59</v>
      </c>
      <c r="M321" s="0" t="s">
        <v>50</v>
      </c>
      <c r="N321" s="0" t="n">
        <v>0.0236021</v>
      </c>
      <c r="O321" s="0" t="n">
        <v>50</v>
      </c>
      <c r="P321" s="0" t="n">
        <v>49</v>
      </c>
      <c r="Q321" s="5" t="str">
        <f aca="false">IF($D321&lt;&gt;"","["&amp;$E321&amp;"]"&amp;"|"&amp;SUBSTITUTE(SUBSTITUTE($I321,CHAR(61),""),CHAR(34),"")&amp;"|"&amp;$K321&amp;"|"&amp;$G321&amp;"|"&amp;IF($G321="TX_CURR_SUBNAT.R","CY2020Q4",$M321),"")</f>
        <v>[FjSmRywOWUp]|15-19|Male|HIV_PREV.T_1|CY2021Q3</v>
      </c>
    </row>
    <row r="322" customFormat="false" ht="15" hidden="false" customHeight="false" outlineLevel="0" collapsed="false">
      <c r="D322" s="0" t="s">
        <v>103</v>
      </c>
      <c r="E322" s="0" t="s">
        <v>104</v>
      </c>
      <c r="F322" s="0" t="s">
        <v>47</v>
      </c>
      <c r="G322" s="0" t="s">
        <v>91</v>
      </c>
      <c r="H322" s="0" t="s">
        <v>92</v>
      </c>
      <c r="I322" s="0" t="s">
        <v>66</v>
      </c>
      <c r="J322" s="0" t="s">
        <v>67</v>
      </c>
      <c r="K322" s="0" t="s">
        <v>56</v>
      </c>
      <c r="L322" s="0" t="s">
        <v>57</v>
      </c>
      <c r="M322" s="0" t="s">
        <v>50</v>
      </c>
      <c r="N322" s="0" t="n">
        <v>0.1126852</v>
      </c>
      <c r="O322" s="0" t="n">
        <v>25</v>
      </c>
      <c r="P322" s="0" t="n">
        <v>2</v>
      </c>
      <c r="Q322" s="5" t="str">
        <f aca="false">IF($D322&lt;&gt;"","["&amp;$E322&amp;"]"&amp;"|"&amp;SUBSTITUTE(SUBSTITUTE($I322,CHAR(61),""),CHAR(34),"")&amp;"|"&amp;$K322&amp;"|"&amp;$G322&amp;"|"&amp;IF($G322="TX_CURR_SUBNAT.R","CY2020Q4",$M322),"")</f>
        <v>[FjSmRywOWUp]|20-24|Female|HIV_PREV.T_1|CY2021Q3</v>
      </c>
    </row>
    <row r="323" customFormat="false" ht="15" hidden="false" customHeight="false" outlineLevel="0" collapsed="false">
      <c r="D323" s="0" t="s">
        <v>103</v>
      </c>
      <c r="E323" s="0" t="s">
        <v>104</v>
      </c>
      <c r="F323" s="0" t="s">
        <v>47</v>
      </c>
      <c r="G323" s="0" t="s">
        <v>91</v>
      </c>
      <c r="H323" s="0" t="s">
        <v>92</v>
      </c>
      <c r="I323" s="0" t="s">
        <v>66</v>
      </c>
      <c r="J323" s="0" t="s">
        <v>67</v>
      </c>
      <c r="K323" s="0" t="s">
        <v>58</v>
      </c>
      <c r="L323" s="0" t="s">
        <v>59</v>
      </c>
      <c r="M323" s="0" t="s">
        <v>50</v>
      </c>
      <c r="N323" s="0" t="n">
        <v>0.0422183</v>
      </c>
      <c r="O323" s="0" t="n">
        <v>59</v>
      </c>
      <c r="P323" s="0" t="n">
        <v>45</v>
      </c>
      <c r="Q323" s="5" t="str">
        <f aca="false">IF($D323&lt;&gt;"","["&amp;$E323&amp;"]"&amp;"|"&amp;SUBSTITUTE(SUBSTITUTE($I323,CHAR(61),""),CHAR(34),"")&amp;"|"&amp;$K323&amp;"|"&amp;$G323&amp;"|"&amp;IF($G323="TX_CURR_SUBNAT.R","CY2020Q4",$M323),"")</f>
        <v>[FjSmRywOWUp]|20-24|Male|HIV_PREV.T_1|CY2021Q3</v>
      </c>
    </row>
    <row r="324" customFormat="false" ht="15" hidden="false" customHeight="false" outlineLevel="0" collapsed="false">
      <c r="D324" s="0" t="s">
        <v>103</v>
      </c>
      <c r="E324" s="0" t="s">
        <v>104</v>
      </c>
      <c r="F324" s="0" t="s">
        <v>47</v>
      </c>
      <c r="G324" s="0" t="s">
        <v>91</v>
      </c>
      <c r="H324" s="0" t="s">
        <v>92</v>
      </c>
      <c r="I324" s="0" t="s">
        <v>69</v>
      </c>
      <c r="J324" s="0" t="s">
        <v>70</v>
      </c>
      <c r="K324" s="0" t="s">
        <v>56</v>
      </c>
      <c r="L324" s="0" t="s">
        <v>57</v>
      </c>
      <c r="M324" s="0" t="s">
        <v>50</v>
      </c>
      <c r="N324" s="0" t="n">
        <v>0.2124353</v>
      </c>
      <c r="O324" s="0" t="n">
        <v>13</v>
      </c>
      <c r="P324" s="0" t="n">
        <v>46</v>
      </c>
      <c r="Q324" s="5" t="str">
        <f aca="false">IF($D324&lt;&gt;"","["&amp;$E324&amp;"]"&amp;"|"&amp;SUBSTITUTE(SUBSTITUTE($I324,CHAR(61),""),CHAR(34),"")&amp;"|"&amp;$K324&amp;"|"&amp;$G324&amp;"|"&amp;IF($G324="TX_CURR_SUBNAT.R","CY2020Q4",$M324),"")</f>
        <v>[FjSmRywOWUp]|25-29|Female|HIV_PREV.T_1|CY2021Q3</v>
      </c>
    </row>
    <row r="325" customFormat="false" ht="15" hidden="false" customHeight="false" outlineLevel="0" collapsed="false">
      <c r="D325" s="0" t="s">
        <v>103</v>
      </c>
      <c r="E325" s="0" t="s">
        <v>104</v>
      </c>
      <c r="F325" s="0" t="s">
        <v>47</v>
      </c>
      <c r="G325" s="0" t="s">
        <v>91</v>
      </c>
      <c r="H325" s="0" t="s">
        <v>92</v>
      </c>
      <c r="I325" s="0" t="s">
        <v>69</v>
      </c>
      <c r="J325" s="0" t="s">
        <v>70</v>
      </c>
      <c r="K325" s="0" t="s">
        <v>58</v>
      </c>
      <c r="L325" s="0" t="s">
        <v>59</v>
      </c>
      <c r="M325" s="0" t="s">
        <v>50</v>
      </c>
      <c r="N325" s="0" t="n">
        <v>0.0895399</v>
      </c>
      <c r="O325" s="0" t="n">
        <v>8</v>
      </c>
      <c r="P325" s="0" t="n">
        <v>28</v>
      </c>
      <c r="Q325" s="5" t="str">
        <f aca="false">IF($D325&lt;&gt;"","["&amp;$E325&amp;"]"&amp;"|"&amp;SUBSTITUTE(SUBSTITUTE($I325,CHAR(61),""),CHAR(34),"")&amp;"|"&amp;$K325&amp;"|"&amp;$G325&amp;"|"&amp;IF($G325="TX_CURR_SUBNAT.R","CY2020Q4",$M325),"")</f>
        <v>[FjSmRywOWUp]|25-29|Male|HIV_PREV.T_1|CY2021Q3</v>
      </c>
    </row>
    <row r="326" customFormat="false" ht="15" hidden="false" customHeight="false" outlineLevel="0" collapsed="false">
      <c r="D326" s="0" t="s">
        <v>103</v>
      </c>
      <c r="E326" s="0" t="s">
        <v>104</v>
      </c>
      <c r="F326" s="0" t="s">
        <v>47</v>
      </c>
      <c r="G326" s="0" t="s">
        <v>91</v>
      </c>
      <c r="H326" s="0" t="s">
        <v>92</v>
      </c>
      <c r="I326" s="0" t="s">
        <v>72</v>
      </c>
      <c r="J326" s="0" t="s">
        <v>73</v>
      </c>
      <c r="K326" s="0" t="s">
        <v>56</v>
      </c>
      <c r="L326" s="0" t="s">
        <v>57</v>
      </c>
      <c r="M326" s="0" t="s">
        <v>50</v>
      </c>
      <c r="N326" s="0" t="n">
        <v>0.3230409</v>
      </c>
      <c r="O326" s="0" t="n">
        <v>45</v>
      </c>
      <c r="P326" s="0" t="n">
        <v>28</v>
      </c>
      <c r="Q326" s="5" t="str">
        <f aca="false">IF($D326&lt;&gt;"","["&amp;$E326&amp;"]"&amp;"|"&amp;SUBSTITUTE(SUBSTITUTE($I326,CHAR(61),""),CHAR(34),"")&amp;"|"&amp;$K326&amp;"|"&amp;$G326&amp;"|"&amp;IF($G326="TX_CURR_SUBNAT.R","CY2020Q4",$M326),"")</f>
        <v>[FjSmRywOWUp]|30-34|Female|HIV_PREV.T_1|CY2021Q3</v>
      </c>
    </row>
    <row r="327" customFormat="false" ht="15" hidden="false" customHeight="false" outlineLevel="0" collapsed="false">
      <c r="D327" s="0" t="s">
        <v>103</v>
      </c>
      <c r="E327" s="0" t="s">
        <v>104</v>
      </c>
      <c r="F327" s="0" t="s">
        <v>47</v>
      </c>
      <c r="G327" s="0" t="s">
        <v>91</v>
      </c>
      <c r="H327" s="0" t="s">
        <v>92</v>
      </c>
      <c r="I327" s="0" t="s">
        <v>72</v>
      </c>
      <c r="J327" s="0" t="s">
        <v>73</v>
      </c>
      <c r="K327" s="0" t="s">
        <v>58</v>
      </c>
      <c r="L327" s="0" t="s">
        <v>59</v>
      </c>
      <c r="M327" s="0" t="s">
        <v>50</v>
      </c>
      <c r="N327" s="0" t="n">
        <v>0.167709</v>
      </c>
      <c r="O327" s="0" t="n">
        <v>18</v>
      </c>
      <c r="P327" s="0" t="n">
        <v>3</v>
      </c>
      <c r="Q327" s="5" t="str">
        <f aca="false">IF($D327&lt;&gt;"","["&amp;$E327&amp;"]"&amp;"|"&amp;SUBSTITUTE(SUBSTITUTE($I327,CHAR(61),""),CHAR(34),"")&amp;"|"&amp;$K327&amp;"|"&amp;$G327&amp;"|"&amp;IF($G327="TX_CURR_SUBNAT.R","CY2020Q4",$M327),"")</f>
        <v>[FjSmRywOWUp]|30-34|Male|HIV_PREV.T_1|CY2021Q3</v>
      </c>
    </row>
    <row r="328" customFormat="false" ht="15" hidden="false" customHeight="false" outlineLevel="0" collapsed="false">
      <c r="D328" s="0" t="s">
        <v>103</v>
      </c>
      <c r="E328" s="0" t="s">
        <v>104</v>
      </c>
      <c r="F328" s="0" t="s">
        <v>47</v>
      </c>
      <c r="G328" s="0" t="s">
        <v>91</v>
      </c>
      <c r="H328" s="0" t="s">
        <v>92</v>
      </c>
      <c r="I328" s="0" t="s">
        <v>75</v>
      </c>
      <c r="J328" s="0" t="s">
        <v>76</v>
      </c>
      <c r="K328" s="0" t="s">
        <v>56</v>
      </c>
      <c r="L328" s="0" t="s">
        <v>57</v>
      </c>
      <c r="M328" s="0" t="s">
        <v>50</v>
      </c>
      <c r="N328" s="0" t="n">
        <v>0.4133909</v>
      </c>
      <c r="O328" s="0" t="n">
        <v>35</v>
      </c>
      <c r="P328" s="0" t="n">
        <v>28</v>
      </c>
      <c r="Q328" s="5" t="str">
        <f aca="false">IF($D328&lt;&gt;"","["&amp;$E328&amp;"]"&amp;"|"&amp;SUBSTITUTE(SUBSTITUTE($I328,CHAR(61),""),CHAR(34),"")&amp;"|"&amp;$K328&amp;"|"&amp;$G328&amp;"|"&amp;IF($G328="TX_CURR_SUBNAT.R","CY2020Q4",$M328),"")</f>
        <v>[FjSmRywOWUp]|35-39|Female|HIV_PREV.T_1|CY2021Q3</v>
      </c>
    </row>
    <row r="329" customFormat="false" ht="15" hidden="false" customHeight="false" outlineLevel="0" collapsed="false">
      <c r="D329" s="0" t="s">
        <v>103</v>
      </c>
      <c r="E329" s="0" t="s">
        <v>104</v>
      </c>
      <c r="F329" s="0" t="s">
        <v>47</v>
      </c>
      <c r="G329" s="0" t="s">
        <v>91</v>
      </c>
      <c r="H329" s="0" t="s">
        <v>92</v>
      </c>
      <c r="I329" s="0" t="s">
        <v>75</v>
      </c>
      <c r="J329" s="0" t="s">
        <v>76</v>
      </c>
      <c r="K329" s="0" t="s">
        <v>58</v>
      </c>
      <c r="L329" s="0" t="s">
        <v>59</v>
      </c>
      <c r="M329" s="0" t="s">
        <v>50</v>
      </c>
      <c r="N329" s="0" t="n">
        <v>0.2643267</v>
      </c>
      <c r="O329" s="0" t="n">
        <v>55</v>
      </c>
      <c r="P329" s="0" t="n">
        <v>37</v>
      </c>
      <c r="Q329" s="5" t="str">
        <f aca="false">IF($D329&lt;&gt;"","["&amp;$E329&amp;"]"&amp;"|"&amp;SUBSTITUTE(SUBSTITUTE($I329,CHAR(61),""),CHAR(34),"")&amp;"|"&amp;$K329&amp;"|"&amp;$G329&amp;"|"&amp;IF($G329="TX_CURR_SUBNAT.R","CY2020Q4",$M329),"")</f>
        <v>[FjSmRywOWUp]|35-39|Male|HIV_PREV.T_1|CY2021Q3</v>
      </c>
    </row>
    <row r="330" customFormat="false" ht="15" hidden="false" customHeight="false" outlineLevel="0" collapsed="false">
      <c r="D330" s="0" t="s">
        <v>103</v>
      </c>
      <c r="E330" s="0" t="s">
        <v>104</v>
      </c>
      <c r="F330" s="0" t="s">
        <v>47</v>
      </c>
      <c r="G330" s="0" t="s">
        <v>91</v>
      </c>
      <c r="H330" s="0" t="s">
        <v>92</v>
      </c>
      <c r="I330" s="0" t="s">
        <v>77</v>
      </c>
      <c r="J330" s="0" t="s">
        <v>78</v>
      </c>
      <c r="K330" s="0" t="s">
        <v>56</v>
      </c>
      <c r="L330" s="0" t="s">
        <v>57</v>
      </c>
      <c r="M330" s="0" t="s">
        <v>50</v>
      </c>
      <c r="N330" s="0" t="n">
        <v>0.4597975</v>
      </c>
      <c r="O330" s="0" t="n">
        <v>23</v>
      </c>
      <c r="P330" s="0" t="n">
        <v>4</v>
      </c>
      <c r="Q330" s="5" t="str">
        <f aca="false">IF($D330&lt;&gt;"","["&amp;$E330&amp;"]"&amp;"|"&amp;SUBSTITUTE(SUBSTITUTE($I330,CHAR(61),""),CHAR(34),"")&amp;"|"&amp;$K330&amp;"|"&amp;$G330&amp;"|"&amp;IF($G330="TX_CURR_SUBNAT.R","CY2020Q4",$M330),"")</f>
        <v>[FjSmRywOWUp]|40-44|Female|HIV_PREV.T_1|CY2021Q3</v>
      </c>
    </row>
    <row r="331" customFormat="false" ht="15" hidden="false" customHeight="false" outlineLevel="0" collapsed="false">
      <c r="D331" s="0" t="s">
        <v>103</v>
      </c>
      <c r="E331" s="0" t="s">
        <v>104</v>
      </c>
      <c r="F331" s="0" t="s">
        <v>47</v>
      </c>
      <c r="G331" s="0" t="s">
        <v>91</v>
      </c>
      <c r="H331" s="0" t="s">
        <v>92</v>
      </c>
      <c r="I331" s="0" t="s">
        <v>77</v>
      </c>
      <c r="J331" s="0" t="s">
        <v>78</v>
      </c>
      <c r="K331" s="0" t="s">
        <v>58</v>
      </c>
      <c r="L331" s="0" t="s">
        <v>59</v>
      </c>
      <c r="M331" s="0" t="s">
        <v>50</v>
      </c>
      <c r="N331" s="0" t="n">
        <v>0.3507236</v>
      </c>
      <c r="O331" s="0" t="n">
        <v>16</v>
      </c>
      <c r="P331" s="0" t="n">
        <v>27</v>
      </c>
      <c r="Q331" s="5" t="str">
        <f aca="false">IF($D331&lt;&gt;"","["&amp;$E331&amp;"]"&amp;"|"&amp;SUBSTITUTE(SUBSTITUTE($I331,CHAR(61),""),CHAR(34),"")&amp;"|"&amp;$K331&amp;"|"&amp;$G331&amp;"|"&amp;IF($G331="TX_CURR_SUBNAT.R","CY2020Q4",$M331),"")</f>
        <v>[FjSmRywOWUp]|40-44|Male|HIV_PREV.T_1|CY2021Q3</v>
      </c>
    </row>
    <row r="332" customFormat="false" ht="15" hidden="false" customHeight="false" outlineLevel="0" collapsed="false">
      <c r="D332" s="0" t="s">
        <v>103</v>
      </c>
      <c r="E332" s="0" t="s">
        <v>104</v>
      </c>
      <c r="F332" s="0" t="s">
        <v>47</v>
      </c>
      <c r="G332" s="0" t="s">
        <v>91</v>
      </c>
      <c r="H332" s="0" t="s">
        <v>92</v>
      </c>
      <c r="I332" s="0" t="s">
        <v>80</v>
      </c>
      <c r="J332" s="0" t="s">
        <v>81</v>
      </c>
      <c r="K332" s="0" t="s">
        <v>56</v>
      </c>
      <c r="L332" s="0" t="s">
        <v>57</v>
      </c>
      <c r="M332" s="0" t="s">
        <v>50</v>
      </c>
      <c r="N332" s="0" t="n">
        <v>0.4371742</v>
      </c>
      <c r="O332" s="0" t="n">
        <v>48</v>
      </c>
      <c r="P332" s="0" t="n">
        <v>15</v>
      </c>
      <c r="Q332" s="5" t="str">
        <f aca="false">IF($D332&lt;&gt;"","["&amp;$E332&amp;"]"&amp;"|"&amp;SUBSTITUTE(SUBSTITUTE($I332,CHAR(61),""),CHAR(34),"")&amp;"|"&amp;$K332&amp;"|"&amp;$G332&amp;"|"&amp;IF($G332="TX_CURR_SUBNAT.R","CY2020Q4",$M332),"")</f>
        <v>[FjSmRywOWUp]|45-49|Female|HIV_PREV.T_1|CY2021Q3</v>
      </c>
    </row>
    <row r="333" customFormat="false" ht="15" hidden="false" customHeight="false" outlineLevel="0" collapsed="false">
      <c r="D333" s="0" t="s">
        <v>103</v>
      </c>
      <c r="E333" s="0" t="s">
        <v>104</v>
      </c>
      <c r="F333" s="0" t="s">
        <v>47</v>
      </c>
      <c r="G333" s="0" t="s">
        <v>91</v>
      </c>
      <c r="H333" s="0" t="s">
        <v>92</v>
      </c>
      <c r="I333" s="0" t="s">
        <v>80</v>
      </c>
      <c r="J333" s="0" t="s">
        <v>81</v>
      </c>
      <c r="K333" s="0" t="s">
        <v>58</v>
      </c>
      <c r="L333" s="0" t="s">
        <v>59</v>
      </c>
      <c r="M333" s="0" t="s">
        <v>50</v>
      </c>
      <c r="N333" s="0" t="n">
        <v>0.3966871</v>
      </c>
      <c r="O333" s="0" t="n">
        <v>33</v>
      </c>
      <c r="P333" s="0" t="n">
        <v>48</v>
      </c>
      <c r="Q333" s="5" t="str">
        <f aca="false">IF($D333&lt;&gt;"","["&amp;$E333&amp;"]"&amp;"|"&amp;SUBSTITUTE(SUBSTITUTE($I333,CHAR(61),""),CHAR(34),"")&amp;"|"&amp;$K333&amp;"|"&amp;$G333&amp;"|"&amp;IF($G333="TX_CURR_SUBNAT.R","CY2020Q4",$M333),"")</f>
        <v>[FjSmRywOWUp]|45-49|Male|HIV_PREV.T_1|CY2021Q3</v>
      </c>
    </row>
    <row r="334" customFormat="false" ht="15" hidden="false" customHeight="false" outlineLevel="0" collapsed="false">
      <c r="D334" s="0" t="s">
        <v>103</v>
      </c>
      <c r="E334" s="0" t="s">
        <v>104</v>
      </c>
      <c r="F334" s="0" t="s">
        <v>47</v>
      </c>
      <c r="G334" s="0" t="s">
        <v>91</v>
      </c>
      <c r="H334" s="0" t="s">
        <v>92</v>
      </c>
      <c r="I334" s="0" t="s">
        <v>83</v>
      </c>
      <c r="J334" s="0" t="s">
        <v>84</v>
      </c>
      <c r="K334" s="0" t="s">
        <v>56</v>
      </c>
      <c r="L334" s="0" t="s">
        <v>57</v>
      </c>
      <c r="M334" s="0" t="s">
        <v>50</v>
      </c>
      <c r="N334" s="0" t="n">
        <v>0.0133563</v>
      </c>
      <c r="O334" s="0" t="n">
        <v>26</v>
      </c>
      <c r="P334" s="0" t="n">
        <v>38</v>
      </c>
      <c r="Q334" s="5" t="str">
        <f aca="false">IF($D334&lt;&gt;"","["&amp;$E334&amp;"]"&amp;"|"&amp;SUBSTITUTE(SUBSTITUTE($I334,CHAR(61),""),CHAR(34),"")&amp;"|"&amp;$K334&amp;"|"&amp;$G334&amp;"|"&amp;IF($G334="TX_CURR_SUBNAT.R","CY2020Q4",$M334),"")</f>
        <v>[FjSmRywOWUp]|05-09|Female|HIV_PREV.T_1|CY2021Q3</v>
      </c>
    </row>
    <row r="335" customFormat="false" ht="15" hidden="false" customHeight="false" outlineLevel="0" collapsed="false">
      <c r="D335" s="0" t="s">
        <v>103</v>
      </c>
      <c r="E335" s="0" t="s">
        <v>104</v>
      </c>
      <c r="F335" s="0" t="s">
        <v>47</v>
      </c>
      <c r="G335" s="0" t="s">
        <v>91</v>
      </c>
      <c r="H335" s="0" t="s">
        <v>92</v>
      </c>
      <c r="I335" s="0" t="s">
        <v>83</v>
      </c>
      <c r="J335" s="0" t="s">
        <v>84</v>
      </c>
      <c r="K335" s="0" t="s">
        <v>58</v>
      </c>
      <c r="L335" s="0" t="s">
        <v>59</v>
      </c>
      <c r="M335" s="0" t="s">
        <v>50</v>
      </c>
      <c r="N335" s="0" t="n">
        <v>0.0131854</v>
      </c>
      <c r="O335" s="0" t="n">
        <v>41</v>
      </c>
      <c r="P335" s="0" t="n">
        <v>49</v>
      </c>
      <c r="Q335" s="5" t="str">
        <f aca="false">IF($D335&lt;&gt;"","["&amp;$E335&amp;"]"&amp;"|"&amp;SUBSTITUTE(SUBSTITUTE($I335,CHAR(61),""),CHAR(34),"")&amp;"|"&amp;$K335&amp;"|"&amp;$G335&amp;"|"&amp;IF($G335="TX_CURR_SUBNAT.R","CY2020Q4",$M335),"")</f>
        <v>[FjSmRywOWUp]|05-09|Male|HIV_PREV.T_1|CY2021Q3</v>
      </c>
    </row>
    <row r="336" customFormat="false" ht="15" hidden="false" customHeight="false" outlineLevel="0" collapsed="false">
      <c r="D336" s="0" t="s">
        <v>103</v>
      </c>
      <c r="E336" s="0" t="s">
        <v>104</v>
      </c>
      <c r="F336" s="0" t="s">
        <v>47</v>
      </c>
      <c r="G336" s="0" t="s">
        <v>91</v>
      </c>
      <c r="H336" s="0" t="s">
        <v>92</v>
      </c>
      <c r="I336" s="53" t="s">
        <v>86</v>
      </c>
      <c r="J336" s="0" t="s">
        <v>87</v>
      </c>
      <c r="K336" s="0" t="s">
        <v>56</v>
      </c>
      <c r="L336" s="0" t="s">
        <v>57</v>
      </c>
      <c r="M336" s="0" t="s">
        <v>50</v>
      </c>
      <c r="N336" s="0" t="n">
        <v>0.2466007</v>
      </c>
      <c r="O336" s="0" t="n">
        <v>28</v>
      </c>
      <c r="P336" s="0" t="n">
        <v>6</v>
      </c>
      <c r="Q336" s="5" t="str">
        <f aca="false">IF($D336&lt;&gt;"","["&amp;$E336&amp;"]"&amp;"|"&amp;SUBSTITUTE(SUBSTITUTE($I336,CHAR(61),""),CHAR(34),"")&amp;"|"&amp;$K336&amp;"|"&amp;$G336&amp;"|"&amp;IF($G336="TX_CURR_SUBNAT.R","CY2020Q4",$M336),"")</f>
        <v>[FjSmRywOWUp]|50+|Female|HIV_PREV.T_1|CY2021Q3</v>
      </c>
    </row>
    <row r="337" customFormat="false" ht="15" hidden="false" customHeight="false" outlineLevel="0" collapsed="false">
      <c r="D337" s="0" t="s">
        <v>103</v>
      </c>
      <c r="E337" s="0" t="s">
        <v>104</v>
      </c>
      <c r="F337" s="0" t="s">
        <v>47</v>
      </c>
      <c r="G337" s="0" t="s">
        <v>91</v>
      </c>
      <c r="H337" s="0" t="s">
        <v>92</v>
      </c>
      <c r="I337" s="53" t="s">
        <v>86</v>
      </c>
      <c r="J337" s="0" t="s">
        <v>87</v>
      </c>
      <c r="K337" s="0" t="s">
        <v>58</v>
      </c>
      <c r="L337" s="0" t="s">
        <v>59</v>
      </c>
      <c r="M337" s="0" t="s">
        <v>50</v>
      </c>
      <c r="N337" s="0" t="n">
        <v>0.2727708</v>
      </c>
      <c r="O337" s="0" t="n">
        <v>4</v>
      </c>
      <c r="P337" s="0" t="n">
        <v>20</v>
      </c>
      <c r="Q337" s="5" t="str">
        <f aca="false">IF($D337&lt;&gt;"","["&amp;$E337&amp;"]"&amp;"|"&amp;SUBSTITUTE(SUBSTITUTE($I337,CHAR(61),""),CHAR(34),"")&amp;"|"&amp;$K337&amp;"|"&amp;$G337&amp;"|"&amp;IF($G337="TX_CURR_SUBNAT.R","CY2020Q4",$M337),"")</f>
        <v>[FjSmRywOWUp]|50+|Male|HIV_PREV.T_1|CY2021Q3</v>
      </c>
    </row>
    <row r="338" customFormat="false" ht="15" hidden="false" customHeight="false" outlineLevel="0" collapsed="false">
      <c r="D338" s="0" t="s">
        <v>103</v>
      </c>
      <c r="E338" s="0" t="s">
        <v>104</v>
      </c>
      <c r="F338" s="0" t="s">
        <v>47</v>
      </c>
      <c r="G338" s="0" t="s">
        <v>91</v>
      </c>
      <c r="H338" s="0" t="s">
        <v>92</v>
      </c>
      <c r="I338" s="0" t="s">
        <v>89</v>
      </c>
      <c r="J338" s="0" t="s">
        <v>90</v>
      </c>
      <c r="K338" s="0" t="s">
        <v>56</v>
      </c>
      <c r="L338" s="0" t="s">
        <v>57</v>
      </c>
      <c r="M338" s="0" t="s">
        <v>50</v>
      </c>
      <c r="N338" s="0" t="n">
        <v>0.0069765</v>
      </c>
      <c r="O338" s="0" t="n">
        <v>10</v>
      </c>
      <c r="P338" s="0" t="n">
        <v>12</v>
      </c>
      <c r="Q338" s="5" t="str">
        <f aca="false">IF($D338&lt;&gt;"","["&amp;$E338&amp;"]"&amp;"|"&amp;SUBSTITUTE(SUBSTITUTE($I338,CHAR(61),""),CHAR(34),"")&amp;"|"&amp;$K338&amp;"|"&amp;$G338&amp;"|"&amp;IF($G338="TX_CURR_SUBNAT.R","CY2020Q4",$M338),"")</f>
        <v>[FjSmRywOWUp]|&lt;01|Female|HIV_PREV.T_1|CY2021Q3</v>
      </c>
    </row>
    <row r="339" customFormat="false" ht="15" hidden="false" customHeight="false" outlineLevel="0" collapsed="false">
      <c r="D339" s="0" t="s">
        <v>103</v>
      </c>
      <c r="E339" s="0" t="s">
        <v>104</v>
      </c>
      <c r="F339" s="0" t="s">
        <v>47</v>
      </c>
      <c r="G339" s="0" t="s">
        <v>91</v>
      </c>
      <c r="H339" s="0" t="s">
        <v>92</v>
      </c>
      <c r="I339" s="0" t="s">
        <v>89</v>
      </c>
      <c r="J339" s="0" t="s">
        <v>90</v>
      </c>
      <c r="K339" s="0" t="s">
        <v>58</v>
      </c>
      <c r="L339" s="0" t="s">
        <v>59</v>
      </c>
      <c r="M339" s="0" t="s">
        <v>50</v>
      </c>
      <c r="N339" s="0" t="n">
        <v>0.0069808</v>
      </c>
      <c r="O339" s="0" t="n">
        <v>38</v>
      </c>
      <c r="P339" s="0" t="n">
        <v>50</v>
      </c>
      <c r="Q339" s="5" t="str">
        <f aca="false">IF($D339&lt;&gt;"","["&amp;$E339&amp;"]"&amp;"|"&amp;SUBSTITUTE(SUBSTITUTE($I339,CHAR(61),""),CHAR(34),"")&amp;"|"&amp;$K339&amp;"|"&amp;$G339&amp;"|"&amp;IF($G339="TX_CURR_SUBNAT.R","CY2020Q4",$M339),"")</f>
        <v>[FjSmRywOWUp]|&lt;01|Male|HIV_PREV.T_1|CY2021Q3</v>
      </c>
    </row>
    <row r="340" customFormat="false" ht="15" hidden="false" customHeight="false" outlineLevel="0" collapsed="false">
      <c r="D340" s="0" t="s">
        <v>103</v>
      </c>
      <c r="E340" s="0" t="s">
        <v>104</v>
      </c>
      <c r="F340" s="0" t="s">
        <v>47</v>
      </c>
      <c r="G340" s="0" t="s">
        <v>93</v>
      </c>
      <c r="H340" s="0" t="s">
        <v>94</v>
      </c>
      <c r="I340" s="0" t="s">
        <v>54</v>
      </c>
      <c r="J340" s="0" t="s">
        <v>55</v>
      </c>
      <c r="K340" s="0" t="s">
        <v>56</v>
      </c>
      <c r="L340" s="0" t="s">
        <v>57</v>
      </c>
      <c r="M340" s="0" t="s">
        <v>50</v>
      </c>
      <c r="N340" s="0" t="n">
        <v>46</v>
      </c>
      <c r="O340" s="0" t="n">
        <v>48</v>
      </c>
      <c r="P340" s="0" t="n">
        <v>10</v>
      </c>
      <c r="Q340" s="5" t="str">
        <f aca="false">IF($D340&lt;&gt;"","["&amp;$E340&amp;"]"&amp;"|"&amp;SUBSTITUTE(SUBSTITUTE($I340,CHAR(61),""),CHAR(34),"")&amp;"|"&amp;$K340&amp;"|"&amp;$G340&amp;"|"&amp;IF($G340="TX_CURR_SUBNAT.R","CY2020Q4",$M340),"")</f>
        <v>[FjSmRywOWUp]|01-04|Female|DIAGNOSED_SUBNAT.T_1|CY2021Q3</v>
      </c>
    </row>
    <row r="341" customFormat="false" ht="15" hidden="false" customHeight="false" outlineLevel="0" collapsed="false">
      <c r="D341" s="0" t="s">
        <v>103</v>
      </c>
      <c r="E341" s="0" t="s">
        <v>104</v>
      </c>
      <c r="F341" s="0" t="s">
        <v>47</v>
      </c>
      <c r="G341" s="0" t="s">
        <v>93</v>
      </c>
      <c r="H341" s="0" t="s">
        <v>94</v>
      </c>
      <c r="I341" s="0" t="s">
        <v>54</v>
      </c>
      <c r="J341" s="0" t="s">
        <v>55</v>
      </c>
      <c r="K341" s="0" t="s">
        <v>58</v>
      </c>
      <c r="L341" s="0" t="s">
        <v>59</v>
      </c>
      <c r="M341" s="0" t="s">
        <v>50</v>
      </c>
      <c r="N341" s="0" t="n">
        <v>46</v>
      </c>
      <c r="O341" s="0" t="n">
        <v>6</v>
      </c>
      <c r="P341" s="0" t="n">
        <v>50</v>
      </c>
      <c r="Q341" s="5" t="str">
        <f aca="false">IF($D341&lt;&gt;"","["&amp;$E341&amp;"]"&amp;"|"&amp;SUBSTITUTE(SUBSTITUTE($I341,CHAR(61),""),CHAR(34),"")&amp;"|"&amp;$K341&amp;"|"&amp;$G341&amp;"|"&amp;IF($G341="TX_CURR_SUBNAT.R","CY2020Q4",$M341),"")</f>
        <v>[FjSmRywOWUp]|01-04|Male|DIAGNOSED_SUBNAT.T_1|CY2021Q3</v>
      </c>
    </row>
    <row r="342" customFormat="false" ht="15" hidden="false" customHeight="false" outlineLevel="0" collapsed="false">
      <c r="D342" s="0" t="s">
        <v>103</v>
      </c>
      <c r="E342" s="0" t="s">
        <v>104</v>
      </c>
      <c r="F342" s="0" t="s">
        <v>47</v>
      </c>
      <c r="G342" s="0" t="s">
        <v>93</v>
      </c>
      <c r="H342" s="0" t="s">
        <v>94</v>
      </c>
      <c r="I342" s="0" t="s">
        <v>61</v>
      </c>
      <c r="J342" s="0" t="s">
        <v>62</v>
      </c>
      <c r="K342" s="0" t="s">
        <v>56</v>
      </c>
      <c r="L342" s="0" t="s">
        <v>57</v>
      </c>
      <c r="M342" s="0" t="s">
        <v>50</v>
      </c>
      <c r="N342" s="0" t="n">
        <v>293</v>
      </c>
      <c r="O342" s="0" t="n">
        <v>35</v>
      </c>
      <c r="P342" s="0" t="n">
        <v>20</v>
      </c>
      <c r="Q342" s="5" t="str">
        <f aca="false">IF($D342&lt;&gt;"","["&amp;$E342&amp;"]"&amp;"|"&amp;SUBSTITUTE(SUBSTITUTE($I342,CHAR(61),""),CHAR(34),"")&amp;"|"&amp;$K342&amp;"|"&amp;$G342&amp;"|"&amp;IF($G342="TX_CURR_SUBNAT.R","CY2020Q4",$M342),"")</f>
        <v>[FjSmRywOWUp]|10-14|Female|DIAGNOSED_SUBNAT.T_1|CY2021Q3</v>
      </c>
    </row>
    <row r="343" customFormat="false" ht="15" hidden="false" customHeight="false" outlineLevel="0" collapsed="false">
      <c r="D343" s="0" t="s">
        <v>103</v>
      </c>
      <c r="E343" s="0" t="s">
        <v>104</v>
      </c>
      <c r="F343" s="0" t="s">
        <v>47</v>
      </c>
      <c r="G343" s="0" t="s">
        <v>93</v>
      </c>
      <c r="H343" s="0" t="s">
        <v>94</v>
      </c>
      <c r="I343" s="0" t="s">
        <v>61</v>
      </c>
      <c r="J343" s="0" t="s">
        <v>62</v>
      </c>
      <c r="K343" s="0" t="s">
        <v>58</v>
      </c>
      <c r="L343" s="0" t="s">
        <v>59</v>
      </c>
      <c r="M343" s="0" t="s">
        <v>50</v>
      </c>
      <c r="N343" s="0" t="n">
        <v>298</v>
      </c>
      <c r="O343" s="0" t="n">
        <v>23</v>
      </c>
      <c r="P343" s="0" t="n">
        <v>17</v>
      </c>
      <c r="Q343" s="5" t="str">
        <f aca="false">IF($D343&lt;&gt;"","["&amp;$E343&amp;"]"&amp;"|"&amp;SUBSTITUTE(SUBSTITUTE($I343,CHAR(61),""),CHAR(34),"")&amp;"|"&amp;$K343&amp;"|"&amp;$G343&amp;"|"&amp;IF($G343="TX_CURR_SUBNAT.R","CY2020Q4",$M343),"")</f>
        <v>[FjSmRywOWUp]|10-14|Male|DIAGNOSED_SUBNAT.T_1|CY2021Q3</v>
      </c>
    </row>
    <row r="344" customFormat="false" ht="15" hidden="false" customHeight="false" outlineLevel="0" collapsed="false">
      <c r="D344" s="0" t="s">
        <v>103</v>
      </c>
      <c r="E344" s="0" t="s">
        <v>104</v>
      </c>
      <c r="F344" s="0" t="s">
        <v>47</v>
      </c>
      <c r="G344" s="0" t="s">
        <v>93</v>
      </c>
      <c r="H344" s="0" t="s">
        <v>94</v>
      </c>
      <c r="I344" s="0" t="s">
        <v>63</v>
      </c>
      <c r="J344" s="0" t="s">
        <v>64</v>
      </c>
      <c r="K344" s="0" t="s">
        <v>56</v>
      </c>
      <c r="L344" s="0" t="s">
        <v>57</v>
      </c>
      <c r="M344" s="0" t="s">
        <v>50</v>
      </c>
      <c r="N344" s="0" t="n">
        <v>596</v>
      </c>
      <c r="O344" s="0" t="n">
        <v>57</v>
      </c>
      <c r="P344" s="0" t="n">
        <v>10</v>
      </c>
      <c r="Q344" s="5" t="str">
        <f aca="false">IF($D344&lt;&gt;"","["&amp;$E344&amp;"]"&amp;"|"&amp;SUBSTITUTE(SUBSTITUTE($I344,CHAR(61),""),CHAR(34),"")&amp;"|"&amp;$K344&amp;"|"&amp;$G344&amp;"|"&amp;IF($G344="TX_CURR_SUBNAT.R","CY2020Q4",$M344),"")</f>
        <v>[FjSmRywOWUp]|15-19|Female|DIAGNOSED_SUBNAT.T_1|CY2021Q3</v>
      </c>
    </row>
    <row r="345" customFormat="false" ht="15" hidden="false" customHeight="false" outlineLevel="0" collapsed="false">
      <c r="D345" s="0" t="s">
        <v>103</v>
      </c>
      <c r="E345" s="0" t="s">
        <v>104</v>
      </c>
      <c r="F345" s="0" t="s">
        <v>47</v>
      </c>
      <c r="G345" s="0" t="s">
        <v>93</v>
      </c>
      <c r="H345" s="0" t="s">
        <v>94</v>
      </c>
      <c r="I345" s="0" t="s">
        <v>63</v>
      </c>
      <c r="J345" s="0" t="s">
        <v>64</v>
      </c>
      <c r="K345" s="0" t="s">
        <v>58</v>
      </c>
      <c r="L345" s="0" t="s">
        <v>59</v>
      </c>
      <c r="M345" s="0" t="s">
        <v>50</v>
      </c>
      <c r="N345" s="0" t="n">
        <v>416</v>
      </c>
      <c r="O345" s="0" t="n">
        <v>49</v>
      </c>
      <c r="P345" s="0" t="n">
        <v>35</v>
      </c>
      <c r="Q345" s="5" t="str">
        <f aca="false">IF($D345&lt;&gt;"","["&amp;$E345&amp;"]"&amp;"|"&amp;SUBSTITUTE(SUBSTITUTE($I345,CHAR(61),""),CHAR(34),"")&amp;"|"&amp;$K345&amp;"|"&amp;$G345&amp;"|"&amp;IF($G345="TX_CURR_SUBNAT.R","CY2020Q4",$M345),"")</f>
        <v>[FjSmRywOWUp]|15-19|Male|DIAGNOSED_SUBNAT.T_1|CY2021Q3</v>
      </c>
    </row>
    <row r="346" customFormat="false" ht="15" hidden="false" customHeight="false" outlineLevel="0" collapsed="false">
      <c r="D346" s="0" t="s">
        <v>103</v>
      </c>
      <c r="E346" s="0" t="s">
        <v>104</v>
      </c>
      <c r="F346" s="0" t="s">
        <v>47</v>
      </c>
      <c r="G346" s="0" t="s">
        <v>93</v>
      </c>
      <c r="H346" s="0" t="s">
        <v>94</v>
      </c>
      <c r="I346" s="0" t="s">
        <v>66</v>
      </c>
      <c r="J346" s="0" t="s">
        <v>67</v>
      </c>
      <c r="K346" s="0" t="s">
        <v>56</v>
      </c>
      <c r="L346" s="0" t="s">
        <v>57</v>
      </c>
      <c r="M346" s="0" t="s">
        <v>50</v>
      </c>
      <c r="N346" s="0" t="n">
        <v>1545</v>
      </c>
      <c r="O346" s="0" t="n">
        <v>50</v>
      </c>
      <c r="P346" s="0" t="n">
        <v>1</v>
      </c>
      <c r="Q346" s="5" t="str">
        <f aca="false">IF($D346&lt;&gt;"","["&amp;$E346&amp;"]"&amp;"|"&amp;SUBSTITUTE(SUBSTITUTE($I346,CHAR(61),""),CHAR(34),"")&amp;"|"&amp;$K346&amp;"|"&amp;$G346&amp;"|"&amp;IF($G346="TX_CURR_SUBNAT.R","CY2020Q4",$M346),"")</f>
        <v>[FjSmRywOWUp]|20-24|Female|DIAGNOSED_SUBNAT.T_1|CY2021Q3</v>
      </c>
    </row>
    <row r="347" customFormat="false" ht="15" hidden="false" customHeight="false" outlineLevel="0" collapsed="false">
      <c r="D347" s="0" t="s">
        <v>103</v>
      </c>
      <c r="E347" s="0" t="s">
        <v>104</v>
      </c>
      <c r="F347" s="0" t="s">
        <v>47</v>
      </c>
      <c r="G347" s="0" t="s">
        <v>93</v>
      </c>
      <c r="H347" s="0" t="s">
        <v>94</v>
      </c>
      <c r="I347" s="0" t="s">
        <v>66</v>
      </c>
      <c r="J347" s="0" t="s">
        <v>67</v>
      </c>
      <c r="K347" s="0" t="s">
        <v>58</v>
      </c>
      <c r="L347" s="0" t="s">
        <v>59</v>
      </c>
      <c r="M347" s="0" t="s">
        <v>50</v>
      </c>
      <c r="N347" s="0" t="n">
        <v>551</v>
      </c>
      <c r="O347" s="0" t="n">
        <v>18</v>
      </c>
      <c r="P347" s="0" t="n">
        <v>30</v>
      </c>
      <c r="Q347" s="5" t="str">
        <f aca="false">IF($D347&lt;&gt;"","["&amp;$E347&amp;"]"&amp;"|"&amp;SUBSTITUTE(SUBSTITUTE($I347,CHAR(61),""),CHAR(34),"")&amp;"|"&amp;$K347&amp;"|"&amp;$G347&amp;"|"&amp;IF($G347="TX_CURR_SUBNAT.R","CY2020Q4",$M347),"")</f>
        <v>[FjSmRywOWUp]|20-24|Male|DIAGNOSED_SUBNAT.T_1|CY2021Q3</v>
      </c>
    </row>
    <row r="348" customFormat="false" ht="15" hidden="false" customHeight="false" outlineLevel="0" collapsed="false">
      <c r="D348" s="0" t="s">
        <v>103</v>
      </c>
      <c r="E348" s="0" t="s">
        <v>104</v>
      </c>
      <c r="F348" s="0" t="s">
        <v>47</v>
      </c>
      <c r="G348" s="0" t="s">
        <v>93</v>
      </c>
      <c r="H348" s="0" t="s">
        <v>94</v>
      </c>
      <c r="I348" s="0" t="s">
        <v>69</v>
      </c>
      <c r="J348" s="0" t="s">
        <v>70</v>
      </c>
      <c r="K348" s="0" t="s">
        <v>56</v>
      </c>
      <c r="L348" s="0" t="s">
        <v>57</v>
      </c>
      <c r="M348" s="0" t="s">
        <v>50</v>
      </c>
      <c r="N348" s="0" t="n">
        <v>2894</v>
      </c>
      <c r="O348" s="0" t="n">
        <v>54</v>
      </c>
      <c r="P348" s="0" t="n">
        <v>3</v>
      </c>
      <c r="Q348" s="5" t="str">
        <f aca="false">IF($D348&lt;&gt;"","["&amp;$E348&amp;"]"&amp;"|"&amp;SUBSTITUTE(SUBSTITUTE($I348,CHAR(61),""),CHAR(34),"")&amp;"|"&amp;$K348&amp;"|"&amp;$G348&amp;"|"&amp;IF($G348="TX_CURR_SUBNAT.R","CY2020Q4",$M348),"")</f>
        <v>[FjSmRywOWUp]|25-29|Female|DIAGNOSED_SUBNAT.T_1|CY2021Q3</v>
      </c>
    </row>
    <row r="349" customFormat="false" ht="15" hidden="false" customHeight="false" outlineLevel="0" collapsed="false">
      <c r="D349" s="0" t="s">
        <v>103</v>
      </c>
      <c r="E349" s="0" t="s">
        <v>104</v>
      </c>
      <c r="F349" s="0" t="s">
        <v>47</v>
      </c>
      <c r="G349" s="0" t="s">
        <v>93</v>
      </c>
      <c r="H349" s="0" t="s">
        <v>94</v>
      </c>
      <c r="I349" s="0" t="s">
        <v>69</v>
      </c>
      <c r="J349" s="0" t="s">
        <v>70</v>
      </c>
      <c r="K349" s="0" t="s">
        <v>58</v>
      </c>
      <c r="L349" s="0" t="s">
        <v>59</v>
      </c>
      <c r="M349" s="0" t="s">
        <v>50</v>
      </c>
      <c r="N349" s="0" t="n">
        <v>1064</v>
      </c>
      <c r="O349" s="0" t="n">
        <v>60</v>
      </c>
      <c r="P349" s="0" t="n">
        <v>8</v>
      </c>
      <c r="Q349" s="5" t="str">
        <f aca="false">IF($D349&lt;&gt;"","["&amp;$E349&amp;"]"&amp;"|"&amp;SUBSTITUTE(SUBSTITUTE($I349,CHAR(61),""),CHAR(34),"")&amp;"|"&amp;$K349&amp;"|"&amp;$G349&amp;"|"&amp;IF($G349="TX_CURR_SUBNAT.R","CY2020Q4",$M349),"")</f>
        <v>[FjSmRywOWUp]|25-29|Male|DIAGNOSED_SUBNAT.T_1|CY2021Q3</v>
      </c>
    </row>
    <row r="350" customFormat="false" ht="15" hidden="false" customHeight="false" outlineLevel="0" collapsed="false">
      <c r="D350" s="0" t="s">
        <v>103</v>
      </c>
      <c r="E350" s="0" t="s">
        <v>104</v>
      </c>
      <c r="F350" s="0" t="s">
        <v>47</v>
      </c>
      <c r="G350" s="0" t="s">
        <v>93</v>
      </c>
      <c r="H350" s="0" t="s">
        <v>94</v>
      </c>
      <c r="I350" s="0" t="s">
        <v>72</v>
      </c>
      <c r="J350" s="0" t="s">
        <v>73</v>
      </c>
      <c r="K350" s="0" t="s">
        <v>56</v>
      </c>
      <c r="L350" s="0" t="s">
        <v>57</v>
      </c>
      <c r="M350" s="0" t="s">
        <v>50</v>
      </c>
      <c r="N350" s="0" t="n">
        <v>3834</v>
      </c>
      <c r="O350" s="0" t="n">
        <v>7</v>
      </c>
      <c r="P350" s="0" t="n">
        <v>18</v>
      </c>
      <c r="Q350" s="5" t="str">
        <f aca="false">IF($D350&lt;&gt;"","["&amp;$E350&amp;"]"&amp;"|"&amp;SUBSTITUTE(SUBSTITUTE($I350,CHAR(61),""),CHAR(34),"")&amp;"|"&amp;$K350&amp;"|"&amp;$G350&amp;"|"&amp;IF($G350="TX_CURR_SUBNAT.R","CY2020Q4",$M350),"")</f>
        <v>[FjSmRywOWUp]|30-34|Female|DIAGNOSED_SUBNAT.T_1|CY2021Q3</v>
      </c>
    </row>
    <row r="351" customFormat="false" ht="15" hidden="false" customHeight="false" outlineLevel="0" collapsed="false">
      <c r="D351" s="0" t="s">
        <v>103</v>
      </c>
      <c r="E351" s="0" t="s">
        <v>104</v>
      </c>
      <c r="F351" s="0" t="s">
        <v>47</v>
      </c>
      <c r="G351" s="0" t="s">
        <v>93</v>
      </c>
      <c r="H351" s="0" t="s">
        <v>94</v>
      </c>
      <c r="I351" s="0" t="s">
        <v>72</v>
      </c>
      <c r="J351" s="0" t="s">
        <v>73</v>
      </c>
      <c r="K351" s="0" t="s">
        <v>58</v>
      </c>
      <c r="L351" s="0" t="s">
        <v>59</v>
      </c>
      <c r="M351" s="0" t="s">
        <v>50</v>
      </c>
      <c r="N351" s="0" t="n">
        <v>1824</v>
      </c>
      <c r="O351" s="0" t="n">
        <v>43</v>
      </c>
      <c r="P351" s="0" t="n">
        <v>18</v>
      </c>
      <c r="Q351" s="5" t="str">
        <f aca="false">IF($D351&lt;&gt;"","["&amp;$E351&amp;"]"&amp;"|"&amp;SUBSTITUTE(SUBSTITUTE($I351,CHAR(61),""),CHAR(34),"")&amp;"|"&amp;$K351&amp;"|"&amp;$G351&amp;"|"&amp;IF($G351="TX_CURR_SUBNAT.R","CY2020Q4",$M351),"")</f>
        <v>[FjSmRywOWUp]|30-34|Male|DIAGNOSED_SUBNAT.T_1|CY2021Q3</v>
      </c>
    </row>
    <row r="352" customFormat="false" ht="15" hidden="false" customHeight="false" outlineLevel="0" collapsed="false">
      <c r="D352" s="0" t="s">
        <v>103</v>
      </c>
      <c r="E352" s="0" t="s">
        <v>104</v>
      </c>
      <c r="F352" s="0" t="s">
        <v>47</v>
      </c>
      <c r="G352" s="0" t="s">
        <v>93</v>
      </c>
      <c r="H352" s="0" t="s">
        <v>94</v>
      </c>
      <c r="I352" s="0" t="s">
        <v>75</v>
      </c>
      <c r="J352" s="0" t="s">
        <v>76</v>
      </c>
      <c r="K352" s="0" t="s">
        <v>56</v>
      </c>
      <c r="L352" s="0" t="s">
        <v>57</v>
      </c>
      <c r="M352" s="0" t="s">
        <v>50</v>
      </c>
      <c r="N352" s="0" t="n">
        <v>4192</v>
      </c>
      <c r="O352" s="0" t="n">
        <v>37</v>
      </c>
      <c r="P352" s="0" t="n">
        <v>26</v>
      </c>
      <c r="Q352" s="5" t="str">
        <f aca="false">IF($D352&lt;&gt;"","["&amp;$E352&amp;"]"&amp;"|"&amp;SUBSTITUTE(SUBSTITUTE($I352,CHAR(61),""),CHAR(34),"")&amp;"|"&amp;$K352&amp;"|"&amp;$G352&amp;"|"&amp;IF($G352="TX_CURR_SUBNAT.R","CY2020Q4",$M352),"")</f>
        <v>[FjSmRywOWUp]|35-39|Female|DIAGNOSED_SUBNAT.T_1|CY2021Q3</v>
      </c>
    </row>
    <row r="353" customFormat="false" ht="15" hidden="false" customHeight="false" outlineLevel="0" collapsed="false">
      <c r="D353" s="0" t="s">
        <v>103</v>
      </c>
      <c r="E353" s="0" t="s">
        <v>104</v>
      </c>
      <c r="F353" s="0" t="s">
        <v>47</v>
      </c>
      <c r="G353" s="0" t="s">
        <v>93</v>
      </c>
      <c r="H353" s="0" t="s">
        <v>94</v>
      </c>
      <c r="I353" s="0" t="s">
        <v>75</v>
      </c>
      <c r="J353" s="0" t="s">
        <v>76</v>
      </c>
      <c r="K353" s="0" t="s">
        <v>58</v>
      </c>
      <c r="L353" s="0" t="s">
        <v>59</v>
      </c>
      <c r="M353" s="0" t="s">
        <v>50</v>
      </c>
      <c r="N353" s="0" t="n">
        <v>2519</v>
      </c>
      <c r="O353" s="0" t="n">
        <v>18</v>
      </c>
      <c r="P353" s="0" t="n">
        <v>46</v>
      </c>
      <c r="Q353" s="5" t="str">
        <f aca="false">IF($D353&lt;&gt;"","["&amp;$E353&amp;"]"&amp;"|"&amp;SUBSTITUTE(SUBSTITUTE($I353,CHAR(61),""),CHAR(34),"")&amp;"|"&amp;$K353&amp;"|"&amp;$G353&amp;"|"&amp;IF($G353="TX_CURR_SUBNAT.R","CY2020Q4",$M353),"")</f>
        <v>[FjSmRywOWUp]|35-39|Male|DIAGNOSED_SUBNAT.T_1|CY2021Q3</v>
      </c>
    </row>
    <row r="354" customFormat="false" ht="15" hidden="false" customHeight="false" outlineLevel="0" collapsed="false">
      <c r="D354" s="0" t="s">
        <v>103</v>
      </c>
      <c r="E354" s="0" t="s">
        <v>104</v>
      </c>
      <c r="F354" s="0" t="s">
        <v>47</v>
      </c>
      <c r="G354" s="0" t="s">
        <v>93</v>
      </c>
      <c r="H354" s="0" t="s">
        <v>94</v>
      </c>
      <c r="I354" s="0" t="s">
        <v>77</v>
      </c>
      <c r="J354" s="0" t="s">
        <v>78</v>
      </c>
      <c r="K354" s="0" t="s">
        <v>56</v>
      </c>
      <c r="L354" s="0" t="s">
        <v>57</v>
      </c>
      <c r="M354" s="0" t="s">
        <v>50</v>
      </c>
      <c r="N354" s="0" t="n">
        <v>3973</v>
      </c>
      <c r="O354" s="0" t="n">
        <v>36</v>
      </c>
      <c r="P354" s="0" t="n">
        <v>46</v>
      </c>
      <c r="Q354" s="5" t="str">
        <f aca="false">IF($D354&lt;&gt;"","["&amp;$E354&amp;"]"&amp;"|"&amp;SUBSTITUTE(SUBSTITUTE($I354,CHAR(61),""),CHAR(34),"")&amp;"|"&amp;$K354&amp;"|"&amp;$G354&amp;"|"&amp;IF($G354="TX_CURR_SUBNAT.R","CY2020Q4",$M354),"")</f>
        <v>[FjSmRywOWUp]|40-44|Female|DIAGNOSED_SUBNAT.T_1|CY2021Q3</v>
      </c>
    </row>
    <row r="355" customFormat="false" ht="15" hidden="false" customHeight="false" outlineLevel="0" collapsed="false">
      <c r="D355" s="0" t="s">
        <v>103</v>
      </c>
      <c r="E355" s="0" t="s">
        <v>104</v>
      </c>
      <c r="F355" s="0" t="s">
        <v>47</v>
      </c>
      <c r="G355" s="0" t="s">
        <v>93</v>
      </c>
      <c r="H355" s="0" t="s">
        <v>94</v>
      </c>
      <c r="I355" s="0" t="s">
        <v>77</v>
      </c>
      <c r="J355" s="0" t="s">
        <v>78</v>
      </c>
      <c r="K355" s="0" t="s">
        <v>58</v>
      </c>
      <c r="L355" s="0" t="s">
        <v>59</v>
      </c>
      <c r="M355" s="0" t="s">
        <v>50</v>
      </c>
      <c r="N355" s="0" t="n">
        <v>2587</v>
      </c>
      <c r="O355" s="0" t="n">
        <v>31</v>
      </c>
      <c r="P355" s="0" t="n">
        <v>36</v>
      </c>
      <c r="Q355" s="5" t="str">
        <f aca="false">IF($D355&lt;&gt;"","["&amp;$E355&amp;"]"&amp;"|"&amp;SUBSTITUTE(SUBSTITUTE($I355,CHAR(61),""),CHAR(34),"")&amp;"|"&amp;$K355&amp;"|"&amp;$G355&amp;"|"&amp;IF($G355="TX_CURR_SUBNAT.R","CY2020Q4",$M355),"")</f>
        <v>[FjSmRywOWUp]|40-44|Male|DIAGNOSED_SUBNAT.T_1|CY2021Q3</v>
      </c>
    </row>
    <row r="356" customFormat="false" ht="15" hidden="false" customHeight="false" outlineLevel="0" collapsed="false">
      <c r="D356" s="0" t="s">
        <v>103</v>
      </c>
      <c r="E356" s="0" t="s">
        <v>104</v>
      </c>
      <c r="F356" s="0" t="s">
        <v>47</v>
      </c>
      <c r="G356" s="0" t="s">
        <v>93</v>
      </c>
      <c r="H356" s="0" t="s">
        <v>94</v>
      </c>
      <c r="I356" s="0" t="s">
        <v>80</v>
      </c>
      <c r="J356" s="0" t="s">
        <v>81</v>
      </c>
      <c r="K356" s="0" t="s">
        <v>56</v>
      </c>
      <c r="L356" s="0" t="s">
        <v>57</v>
      </c>
      <c r="M356" s="0" t="s">
        <v>50</v>
      </c>
      <c r="N356" s="0" t="n">
        <v>2986</v>
      </c>
      <c r="O356" s="0" t="n">
        <v>7</v>
      </c>
      <c r="P356" s="0" t="n">
        <v>34</v>
      </c>
      <c r="Q356" s="5" t="str">
        <f aca="false">IF($D356&lt;&gt;"","["&amp;$E356&amp;"]"&amp;"|"&amp;SUBSTITUTE(SUBSTITUTE($I356,CHAR(61),""),CHAR(34),"")&amp;"|"&amp;$K356&amp;"|"&amp;$G356&amp;"|"&amp;IF($G356="TX_CURR_SUBNAT.R","CY2020Q4",$M356),"")</f>
        <v>[FjSmRywOWUp]|45-49|Female|DIAGNOSED_SUBNAT.T_1|CY2021Q3</v>
      </c>
    </row>
    <row r="357" customFormat="false" ht="15" hidden="false" customHeight="false" outlineLevel="0" collapsed="false">
      <c r="D357" s="0" t="s">
        <v>103</v>
      </c>
      <c r="E357" s="0" t="s">
        <v>104</v>
      </c>
      <c r="F357" s="0" t="s">
        <v>47</v>
      </c>
      <c r="G357" s="0" t="s">
        <v>93</v>
      </c>
      <c r="H357" s="0" t="s">
        <v>94</v>
      </c>
      <c r="I357" s="0" t="s">
        <v>80</v>
      </c>
      <c r="J357" s="0" t="s">
        <v>81</v>
      </c>
      <c r="K357" s="0" t="s">
        <v>58</v>
      </c>
      <c r="L357" s="0" t="s">
        <v>59</v>
      </c>
      <c r="M357" s="0" t="s">
        <v>50</v>
      </c>
      <c r="N357" s="0" t="n">
        <v>2053</v>
      </c>
      <c r="O357" s="0" t="n">
        <v>10</v>
      </c>
      <c r="P357" s="0" t="n">
        <v>7</v>
      </c>
      <c r="Q357" s="5" t="str">
        <f aca="false">IF($D357&lt;&gt;"","["&amp;$E357&amp;"]"&amp;"|"&amp;SUBSTITUTE(SUBSTITUTE($I357,CHAR(61),""),CHAR(34),"")&amp;"|"&amp;$K357&amp;"|"&amp;$G357&amp;"|"&amp;IF($G357="TX_CURR_SUBNAT.R","CY2020Q4",$M357),"")</f>
        <v>[FjSmRywOWUp]|45-49|Male|DIAGNOSED_SUBNAT.T_1|CY2021Q3</v>
      </c>
    </row>
    <row r="358" customFormat="false" ht="15" hidden="false" customHeight="false" outlineLevel="0" collapsed="false">
      <c r="D358" s="0" t="s">
        <v>103</v>
      </c>
      <c r="E358" s="0" t="s">
        <v>104</v>
      </c>
      <c r="F358" s="0" t="s">
        <v>47</v>
      </c>
      <c r="G358" s="0" t="s">
        <v>93</v>
      </c>
      <c r="H358" s="0" t="s">
        <v>94</v>
      </c>
      <c r="I358" s="0" t="s">
        <v>83</v>
      </c>
      <c r="J358" s="0" t="s">
        <v>84</v>
      </c>
      <c r="K358" s="0" t="s">
        <v>56</v>
      </c>
      <c r="L358" s="0" t="s">
        <v>57</v>
      </c>
      <c r="M358" s="0" t="s">
        <v>50</v>
      </c>
      <c r="N358" s="0" t="n">
        <v>156</v>
      </c>
      <c r="O358" s="0" t="n">
        <v>45</v>
      </c>
      <c r="P358" s="0" t="n">
        <v>24</v>
      </c>
      <c r="Q358" s="5" t="str">
        <f aca="false">IF($D358&lt;&gt;"","["&amp;$E358&amp;"]"&amp;"|"&amp;SUBSTITUTE(SUBSTITUTE($I358,CHAR(61),""),CHAR(34),"")&amp;"|"&amp;$K358&amp;"|"&amp;$G358&amp;"|"&amp;IF($G358="TX_CURR_SUBNAT.R","CY2020Q4",$M358),"")</f>
        <v>[FjSmRywOWUp]|05-09|Female|DIAGNOSED_SUBNAT.T_1|CY2021Q3</v>
      </c>
    </row>
    <row r="359" customFormat="false" ht="15" hidden="false" customHeight="false" outlineLevel="0" collapsed="false">
      <c r="D359" s="0" t="s">
        <v>103</v>
      </c>
      <c r="E359" s="0" t="s">
        <v>104</v>
      </c>
      <c r="F359" s="0" t="s">
        <v>47</v>
      </c>
      <c r="G359" s="0" t="s">
        <v>93</v>
      </c>
      <c r="H359" s="0" t="s">
        <v>94</v>
      </c>
      <c r="I359" s="0" t="s">
        <v>83</v>
      </c>
      <c r="J359" s="0" t="s">
        <v>84</v>
      </c>
      <c r="K359" s="0" t="s">
        <v>58</v>
      </c>
      <c r="L359" s="0" t="s">
        <v>59</v>
      </c>
      <c r="M359" s="0" t="s">
        <v>50</v>
      </c>
      <c r="N359" s="0" t="n">
        <v>158</v>
      </c>
      <c r="O359" s="0" t="n">
        <v>40</v>
      </c>
      <c r="P359" s="0" t="n">
        <v>32</v>
      </c>
      <c r="Q359" s="5" t="str">
        <f aca="false">IF($D359&lt;&gt;"","["&amp;$E359&amp;"]"&amp;"|"&amp;SUBSTITUTE(SUBSTITUTE($I359,CHAR(61),""),CHAR(34),"")&amp;"|"&amp;$K359&amp;"|"&amp;$G359&amp;"|"&amp;IF($G359="TX_CURR_SUBNAT.R","CY2020Q4",$M359),"")</f>
        <v>[FjSmRywOWUp]|05-09|Male|DIAGNOSED_SUBNAT.T_1|CY2021Q3</v>
      </c>
    </row>
    <row r="360" customFormat="false" ht="15" hidden="false" customHeight="false" outlineLevel="0" collapsed="false">
      <c r="D360" s="0" t="s">
        <v>103</v>
      </c>
      <c r="E360" s="0" t="s">
        <v>104</v>
      </c>
      <c r="F360" s="0" t="s">
        <v>47</v>
      </c>
      <c r="G360" s="0" t="s">
        <v>93</v>
      </c>
      <c r="H360" s="0" t="s">
        <v>94</v>
      </c>
      <c r="I360" s="53" t="s">
        <v>86</v>
      </c>
      <c r="J360" s="0" t="s">
        <v>87</v>
      </c>
      <c r="K360" s="0" t="s">
        <v>56</v>
      </c>
      <c r="L360" s="0" t="s">
        <v>57</v>
      </c>
      <c r="M360" s="0" t="s">
        <v>50</v>
      </c>
      <c r="N360" s="0" t="n">
        <v>6255</v>
      </c>
      <c r="O360" s="0" t="n">
        <v>8</v>
      </c>
      <c r="P360" s="0" t="n">
        <v>35</v>
      </c>
      <c r="Q360" s="5" t="str">
        <f aca="false">IF($D360&lt;&gt;"","["&amp;$E360&amp;"]"&amp;"|"&amp;SUBSTITUTE(SUBSTITUTE($I360,CHAR(61),""),CHAR(34),"")&amp;"|"&amp;$K360&amp;"|"&amp;$G360&amp;"|"&amp;IF($G360="TX_CURR_SUBNAT.R","CY2020Q4",$M360),"")</f>
        <v>[FjSmRywOWUp]|50+|Female|DIAGNOSED_SUBNAT.T_1|CY2021Q3</v>
      </c>
    </row>
    <row r="361" customFormat="false" ht="15" hidden="false" customHeight="false" outlineLevel="0" collapsed="false">
      <c r="D361" s="0" t="s">
        <v>103</v>
      </c>
      <c r="E361" s="0" t="s">
        <v>104</v>
      </c>
      <c r="F361" s="0" t="s">
        <v>47</v>
      </c>
      <c r="G361" s="0" t="s">
        <v>93</v>
      </c>
      <c r="H361" s="0" t="s">
        <v>94</v>
      </c>
      <c r="I361" s="53" t="s">
        <v>86</v>
      </c>
      <c r="J361" s="0" t="s">
        <v>87</v>
      </c>
      <c r="K361" s="0" t="s">
        <v>58</v>
      </c>
      <c r="L361" s="0" t="s">
        <v>59</v>
      </c>
      <c r="M361" s="0" t="s">
        <v>50</v>
      </c>
      <c r="N361" s="0" t="n">
        <v>4293</v>
      </c>
      <c r="O361" s="0" t="n">
        <v>58</v>
      </c>
      <c r="P361" s="0" t="n">
        <v>41</v>
      </c>
      <c r="Q361" s="5" t="str">
        <f aca="false">IF($D361&lt;&gt;"","["&amp;$E361&amp;"]"&amp;"|"&amp;SUBSTITUTE(SUBSTITUTE($I361,CHAR(61),""),CHAR(34),"")&amp;"|"&amp;$K361&amp;"|"&amp;$G361&amp;"|"&amp;IF($G361="TX_CURR_SUBNAT.R","CY2020Q4",$M361),"")</f>
        <v>[FjSmRywOWUp]|50+|Male|DIAGNOSED_SUBNAT.T_1|CY2021Q3</v>
      </c>
    </row>
    <row r="362" customFormat="false" ht="15" hidden="false" customHeight="false" outlineLevel="0" collapsed="false">
      <c r="D362" s="0" t="s">
        <v>103</v>
      </c>
      <c r="E362" s="0" t="s">
        <v>104</v>
      </c>
      <c r="F362" s="0" t="s">
        <v>47</v>
      </c>
      <c r="G362" s="0" t="s">
        <v>93</v>
      </c>
      <c r="H362" s="0" t="s">
        <v>94</v>
      </c>
      <c r="I362" s="0" t="s">
        <v>89</v>
      </c>
      <c r="J362" s="0" t="s">
        <v>90</v>
      </c>
      <c r="K362" s="0" t="s">
        <v>56</v>
      </c>
      <c r="L362" s="0" t="s">
        <v>57</v>
      </c>
      <c r="M362" s="0" t="s">
        <v>50</v>
      </c>
      <c r="N362" s="0" t="n">
        <v>9</v>
      </c>
      <c r="O362" s="0" t="n">
        <v>11</v>
      </c>
      <c r="P362" s="0" t="n">
        <v>16</v>
      </c>
      <c r="Q362" s="5" t="str">
        <f aca="false">IF($D362&lt;&gt;"","["&amp;$E362&amp;"]"&amp;"|"&amp;SUBSTITUTE(SUBSTITUTE($I362,CHAR(61),""),CHAR(34),"")&amp;"|"&amp;$K362&amp;"|"&amp;$G362&amp;"|"&amp;IF($G362="TX_CURR_SUBNAT.R","CY2020Q4",$M362),"")</f>
        <v>[FjSmRywOWUp]|&lt;01|Female|DIAGNOSED_SUBNAT.T_1|CY2021Q3</v>
      </c>
    </row>
    <row r="363" customFormat="false" ht="15" hidden="false" customHeight="false" outlineLevel="0" collapsed="false">
      <c r="D363" s="0" t="s">
        <v>103</v>
      </c>
      <c r="E363" s="0" t="s">
        <v>104</v>
      </c>
      <c r="F363" s="0" t="s">
        <v>47</v>
      </c>
      <c r="G363" s="0" t="s">
        <v>93</v>
      </c>
      <c r="H363" s="0" t="s">
        <v>94</v>
      </c>
      <c r="I363" s="0" t="s">
        <v>89</v>
      </c>
      <c r="J363" s="0" t="s">
        <v>90</v>
      </c>
      <c r="K363" s="0" t="s">
        <v>58</v>
      </c>
      <c r="L363" s="0" t="s">
        <v>59</v>
      </c>
      <c r="M363" s="0" t="s">
        <v>50</v>
      </c>
      <c r="N363" s="0" t="n">
        <v>10</v>
      </c>
      <c r="O363" s="0" t="n">
        <v>43</v>
      </c>
      <c r="P363" s="0" t="n">
        <v>1</v>
      </c>
      <c r="Q363" s="5" t="str">
        <f aca="false">IF($D363&lt;&gt;"","["&amp;$E363&amp;"]"&amp;"|"&amp;SUBSTITUTE(SUBSTITUTE($I363,CHAR(61),""),CHAR(34),"")&amp;"|"&amp;$K363&amp;"|"&amp;$G363&amp;"|"&amp;IF($G363="TX_CURR_SUBNAT.R","CY2020Q4",$M363),"")</f>
        <v>[FjSmRywOWUp]|&lt;01|Male|DIAGNOSED_SUBNAT.T_1|CY2021Q3</v>
      </c>
    </row>
    <row r="364" customFormat="false" ht="15" hidden="false" customHeight="false" outlineLevel="0" collapsed="false">
      <c r="D364" s="0" t="s">
        <v>103</v>
      </c>
      <c r="E364" s="0" t="s">
        <v>104</v>
      </c>
      <c r="F364" s="0" t="s">
        <v>47</v>
      </c>
      <c r="G364" s="0" t="s">
        <v>95</v>
      </c>
      <c r="H364" s="0" t="s">
        <v>96</v>
      </c>
      <c r="I364" s="0" t="s">
        <v>54</v>
      </c>
      <c r="J364" s="0" t="s">
        <v>55</v>
      </c>
      <c r="K364" s="0" t="s">
        <v>56</v>
      </c>
      <c r="L364" s="0" t="s">
        <v>57</v>
      </c>
      <c r="M364" s="0" t="s">
        <v>50</v>
      </c>
      <c r="N364" s="0" t="n">
        <v>33</v>
      </c>
      <c r="O364" s="0" t="n">
        <v>53</v>
      </c>
      <c r="P364" s="0" t="n">
        <v>38</v>
      </c>
      <c r="Q364" s="5" t="str">
        <f aca="false">IF($D364&lt;&gt;"","["&amp;$E364&amp;"]"&amp;"|"&amp;SUBSTITUTE(SUBSTITUTE($I364,CHAR(61),""),CHAR(34),"")&amp;"|"&amp;$K364&amp;"|"&amp;$G364&amp;"|"&amp;IF($G364="TX_CURR_SUBNAT.R","CY2020Q4",$M364),"")</f>
        <v>[FjSmRywOWUp]|01-04|Female|VL_SUPPRESSED.T_1|CY2021Q3</v>
      </c>
    </row>
    <row r="365" customFormat="false" ht="15" hidden="false" customHeight="false" outlineLevel="0" collapsed="false">
      <c r="D365" s="0" t="s">
        <v>103</v>
      </c>
      <c r="E365" s="0" t="s">
        <v>104</v>
      </c>
      <c r="F365" s="0" t="s">
        <v>47</v>
      </c>
      <c r="G365" s="0" t="s">
        <v>95</v>
      </c>
      <c r="H365" s="0" t="s">
        <v>96</v>
      </c>
      <c r="I365" s="0" t="s">
        <v>54</v>
      </c>
      <c r="J365" s="0" t="s">
        <v>55</v>
      </c>
      <c r="K365" s="0" t="s">
        <v>58</v>
      </c>
      <c r="L365" s="0" t="s">
        <v>59</v>
      </c>
      <c r="M365" s="0" t="s">
        <v>50</v>
      </c>
      <c r="N365" s="0" t="n">
        <v>37</v>
      </c>
      <c r="O365" s="0" t="n">
        <v>2</v>
      </c>
      <c r="P365" s="0" t="n">
        <v>20</v>
      </c>
      <c r="Q365" s="5" t="str">
        <f aca="false">IF($D365&lt;&gt;"","["&amp;$E365&amp;"]"&amp;"|"&amp;SUBSTITUTE(SUBSTITUTE($I365,CHAR(61),""),CHAR(34),"")&amp;"|"&amp;$K365&amp;"|"&amp;$G365&amp;"|"&amp;IF($G365="TX_CURR_SUBNAT.R","CY2020Q4",$M365),"")</f>
        <v>[FjSmRywOWUp]|01-04|Male|VL_SUPPRESSED.T_1|CY2021Q3</v>
      </c>
    </row>
    <row r="366" customFormat="false" ht="15" hidden="false" customHeight="false" outlineLevel="0" collapsed="false">
      <c r="D366" s="0" t="s">
        <v>103</v>
      </c>
      <c r="E366" s="0" t="s">
        <v>104</v>
      </c>
      <c r="F366" s="0" t="s">
        <v>47</v>
      </c>
      <c r="G366" s="0" t="s">
        <v>95</v>
      </c>
      <c r="H366" s="0" t="s">
        <v>96</v>
      </c>
      <c r="I366" s="0" t="s">
        <v>61</v>
      </c>
      <c r="J366" s="0" t="s">
        <v>62</v>
      </c>
      <c r="K366" s="0" t="s">
        <v>56</v>
      </c>
      <c r="L366" s="0" t="s">
        <v>57</v>
      </c>
      <c r="M366" s="0" t="s">
        <v>50</v>
      </c>
      <c r="N366" s="0" t="n">
        <v>366</v>
      </c>
      <c r="O366" s="0" t="n">
        <v>20</v>
      </c>
      <c r="P366" s="0" t="n">
        <v>49</v>
      </c>
      <c r="Q366" s="5" t="str">
        <f aca="false">IF($D366&lt;&gt;"","["&amp;$E366&amp;"]"&amp;"|"&amp;SUBSTITUTE(SUBSTITUTE($I366,CHAR(61),""),CHAR(34),"")&amp;"|"&amp;$K366&amp;"|"&amp;$G366&amp;"|"&amp;IF($G366="TX_CURR_SUBNAT.R","CY2020Q4",$M366),"")</f>
        <v>[FjSmRywOWUp]|10-14|Female|VL_SUPPRESSED.T_1|CY2021Q3</v>
      </c>
    </row>
    <row r="367" customFormat="false" ht="15" hidden="false" customHeight="false" outlineLevel="0" collapsed="false">
      <c r="D367" s="0" t="s">
        <v>103</v>
      </c>
      <c r="E367" s="0" t="s">
        <v>104</v>
      </c>
      <c r="F367" s="0" t="s">
        <v>47</v>
      </c>
      <c r="G367" s="0" t="s">
        <v>95</v>
      </c>
      <c r="H367" s="0" t="s">
        <v>96</v>
      </c>
      <c r="I367" s="0" t="s">
        <v>61</v>
      </c>
      <c r="J367" s="0" t="s">
        <v>62</v>
      </c>
      <c r="K367" s="0" t="s">
        <v>58</v>
      </c>
      <c r="L367" s="0" t="s">
        <v>59</v>
      </c>
      <c r="M367" s="0" t="s">
        <v>50</v>
      </c>
      <c r="N367" s="0" t="n">
        <v>359</v>
      </c>
      <c r="O367" s="0" t="n">
        <v>12</v>
      </c>
      <c r="P367" s="0" t="n">
        <v>45</v>
      </c>
      <c r="Q367" s="5" t="str">
        <f aca="false">IF($D367&lt;&gt;"","["&amp;$E367&amp;"]"&amp;"|"&amp;SUBSTITUTE(SUBSTITUTE($I367,CHAR(61),""),CHAR(34),"")&amp;"|"&amp;$K367&amp;"|"&amp;$G367&amp;"|"&amp;IF($G367="TX_CURR_SUBNAT.R","CY2020Q4",$M367),"")</f>
        <v>[FjSmRywOWUp]|10-14|Male|VL_SUPPRESSED.T_1|CY2021Q3</v>
      </c>
    </row>
    <row r="368" customFormat="false" ht="15" hidden="false" customHeight="false" outlineLevel="0" collapsed="false">
      <c r="D368" s="0" t="s">
        <v>103</v>
      </c>
      <c r="E368" s="0" t="s">
        <v>104</v>
      </c>
      <c r="F368" s="0" t="s">
        <v>47</v>
      </c>
      <c r="G368" s="0" t="s">
        <v>95</v>
      </c>
      <c r="H368" s="0" t="s">
        <v>96</v>
      </c>
      <c r="I368" s="0" t="s">
        <v>63</v>
      </c>
      <c r="J368" s="0" t="s">
        <v>64</v>
      </c>
      <c r="K368" s="0" t="s">
        <v>56</v>
      </c>
      <c r="L368" s="0" t="s">
        <v>57</v>
      </c>
      <c r="M368" s="0" t="s">
        <v>50</v>
      </c>
      <c r="N368" s="0" t="n">
        <v>478</v>
      </c>
      <c r="O368" s="0" t="n">
        <v>48</v>
      </c>
      <c r="P368" s="0" t="n">
        <v>4</v>
      </c>
      <c r="Q368" s="5" t="str">
        <f aca="false">IF($D368&lt;&gt;"","["&amp;$E368&amp;"]"&amp;"|"&amp;SUBSTITUTE(SUBSTITUTE($I368,CHAR(61),""),CHAR(34),"")&amp;"|"&amp;$K368&amp;"|"&amp;$G368&amp;"|"&amp;IF($G368="TX_CURR_SUBNAT.R","CY2020Q4",$M368),"")</f>
        <v>[FjSmRywOWUp]|15-19|Female|VL_SUPPRESSED.T_1|CY2021Q3</v>
      </c>
    </row>
    <row r="369" customFormat="false" ht="15" hidden="false" customHeight="false" outlineLevel="0" collapsed="false">
      <c r="D369" s="0" t="s">
        <v>103</v>
      </c>
      <c r="E369" s="0" t="s">
        <v>104</v>
      </c>
      <c r="F369" s="0" t="s">
        <v>47</v>
      </c>
      <c r="G369" s="0" t="s">
        <v>95</v>
      </c>
      <c r="H369" s="0" t="s">
        <v>96</v>
      </c>
      <c r="I369" s="0" t="s">
        <v>63</v>
      </c>
      <c r="J369" s="0" t="s">
        <v>64</v>
      </c>
      <c r="K369" s="0" t="s">
        <v>58</v>
      </c>
      <c r="L369" s="0" t="s">
        <v>59</v>
      </c>
      <c r="M369" s="0" t="s">
        <v>50</v>
      </c>
      <c r="N369" s="0" t="n">
        <v>354</v>
      </c>
      <c r="O369" s="0" t="n">
        <v>48</v>
      </c>
      <c r="P369" s="0" t="n">
        <v>28</v>
      </c>
      <c r="Q369" s="5" t="str">
        <f aca="false">IF($D369&lt;&gt;"","["&amp;$E369&amp;"]"&amp;"|"&amp;SUBSTITUTE(SUBSTITUTE($I369,CHAR(61),""),CHAR(34),"")&amp;"|"&amp;$K369&amp;"|"&amp;$G369&amp;"|"&amp;IF($G369="TX_CURR_SUBNAT.R","CY2020Q4",$M369),"")</f>
        <v>[FjSmRywOWUp]|15-19|Male|VL_SUPPRESSED.T_1|CY2021Q3</v>
      </c>
    </row>
    <row r="370" customFormat="false" ht="15" hidden="false" customHeight="false" outlineLevel="0" collapsed="false">
      <c r="D370" s="0" t="s">
        <v>103</v>
      </c>
      <c r="E370" s="0" t="s">
        <v>104</v>
      </c>
      <c r="F370" s="0" t="s">
        <v>47</v>
      </c>
      <c r="G370" s="0" t="s">
        <v>95</v>
      </c>
      <c r="H370" s="0" t="s">
        <v>96</v>
      </c>
      <c r="I370" s="0" t="s">
        <v>66</v>
      </c>
      <c r="J370" s="0" t="s">
        <v>67</v>
      </c>
      <c r="K370" s="0" t="s">
        <v>56</v>
      </c>
      <c r="L370" s="0" t="s">
        <v>57</v>
      </c>
      <c r="M370" s="0" t="s">
        <v>50</v>
      </c>
      <c r="N370" s="0" t="n">
        <v>1067</v>
      </c>
      <c r="O370" s="0" t="n">
        <v>19</v>
      </c>
      <c r="P370" s="0" t="n">
        <v>42</v>
      </c>
      <c r="Q370" s="5" t="str">
        <f aca="false">IF($D370&lt;&gt;"","["&amp;$E370&amp;"]"&amp;"|"&amp;SUBSTITUTE(SUBSTITUTE($I370,CHAR(61),""),CHAR(34),"")&amp;"|"&amp;$K370&amp;"|"&amp;$G370&amp;"|"&amp;IF($G370="TX_CURR_SUBNAT.R","CY2020Q4",$M370),"")</f>
        <v>[FjSmRywOWUp]|20-24|Female|VL_SUPPRESSED.T_1|CY2021Q3</v>
      </c>
    </row>
    <row r="371" customFormat="false" ht="15" hidden="false" customHeight="false" outlineLevel="0" collapsed="false">
      <c r="D371" s="0" t="s">
        <v>103</v>
      </c>
      <c r="E371" s="0" t="s">
        <v>104</v>
      </c>
      <c r="F371" s="0" t="s">
        <v>47</v>
      </c>
      <c r="G371" s="0" t="s">
        <v>95</v>
      </c>
      <c r="H371" s="0" t="s">
        <v>96</v>
      </c>
      <c r="I371" s="0" t="s">
        <v>66</v>
      </c>
      <c r="J371" s="0" t="s">
        <v>67</v>
      </c>
      <c r="K371" s="0" t="s">
        <v>58</v>
      </c>
      <c r="L371" s="0" t="s">
        <v>59</v>
      </c>
      <c r="M371" s="0" t="s">
        <v>50</v>
      </c>
      <c r="N371" s="0" t="n">
        <v>261</v>
      </c>
      <c r="O371" s="0" t="n">
        <v>36</v>
      </c>
      <c r="P371" s="0" t="n">
        <v>17</v>
      </c>
      <c r="Q371" s="5" t="str">
        <f aca="false">IF($D371&lt;&gt;"","["&amp;$E371&amp;"]"&amp;"|"&amp;SUBSTITUTE(SUBSTITUTE($I371,CHAR(61),""),CHAR(34),"")&amp;"|"&amp;$K371&amp;"|"&amp;$G371&amp;"|"&amp;IF($G371="TX_CURR_SUBNAT.R","CY2020Q4",$M371),"")</f>
        <v>[FjSmRywOWUp]|20-24|Male|VL_SUPPRESSED.T_1|CY2021Q3</v>
      </c>
    </row>
    <row r="372" customFormat="false" ht="15" hidden="false" customHeight="false" outlineLevel="0" collapsed="false">
      <c r="D372" s="0" t="s">
        <v>103</v>
      </c>
      <c r="E372" s="0" t="s">
        <v>104</v>
      </c>
      <c r="F372" s="0" t="s">
        <v>47</v>
      </c>
      <c r="G372" s="0" t="s">
        <v>95</v>
      </c>
      <c r="H372" s="0" t="s">
        <v>96</v>
      </c>
      <c r="I372" s="0" t="s">
        <v>69</v>
      </c>
      <c r="J372" s="0" t="s">
        <v>70</v>
      </c>
      <c r="K372" s="0" t="s">
        <v>56</v>
      </c>
      <c r="L372" s="0" t="s">
        <v>57</v>
      </c>
      <c r="M372" s="0" t="s">
        <v>50</v>
      </c>
      <c r="N372" s="0" t="n">
        <v>2578</v>
      </c>
      <c r="O372" s="0" t="n">
        <v>55</v>
      </c>
      <c r="P372" s="0" t="n">
        <v>26</v>
      </c>
      <c r="Q372" s="5" t="str">
        <f aca="false">IF($D372&lt;&gt;"","["&amp;$E372&amp;"]"&amp;"|"&amp;SUBSTITUTE(SUBSTITUTE($I372,CHAR(61),""),CHAR(34),"")&amp;"|"&amp;$K372&amp;"|"&amp;$G372&amp;"|"&amp;IF($G372="TX_CURR_SUBNAT.R","CY2020Q4",$M372),"")</f>
        <v>[FjSmRywOWUp]|25-29|Female|VL_SUPPRESSED.T_1|CY2021Q3</v>
      </c>
    </row>
    <row r="373" customFormat="false" ht="15" hidden="false" customHeight="false" outlineLevel="0" collapsed="false">
      <c r="D373" s="0" t="s">
        <v>103</v>
      </c>
      <c r="E373" s="0" t="s">
        <v>104</v>
      </c>
      <c r="F373" s="0" t="s">
        <v>47</v>
      </c>
      <c r="G373" s="0" t="s">
        <v>95</v>
      </c>
      <c r="H373" s="0" t="s">
        <v>96</v>
      </c>
      <c r="I373" s="0" t="s">
        <v>69</v>
      </c>
      <c r="J373" s="0" t="s">
        <v>70</v>
      </c>
      <c r="K373" s="0" t="s">
        <v>58</v>
      </c>
      <c r="L373" s="0" t="s">
        <v>59</v>
      </c>
      <c r="M373" s="0" t="s">
        <v>50</v>
      </c>
      <c r="N373" s="0" t="n">
        <v>528</v>
      </c>
      <c r="O373" s="0" t="n">
        <v>45</v>
      </c>
      <c r="P373" s="0" t="n">
        <v>2</v>
      </c>
      <c r="Q373" s="5" t="str">
        <f aca="false">IF($D373&lt;&gt;"","["&amp;$E373&amp;"]"&amp;"|"&amp;SUBSTITUTE(SUBSTITUTE($I373,CHAR(61),""),CHAR(34),"")&amp;"|"&amp;$K373&amp;"|"&amp;$G373&amp;"|"&amp;IF($G373="TX_CURR_SUBNAT.R","CY2020Q4",$M373),"")</f>
        <v>[FjSmRywOWUp]|25-29|Male|VL_SUPPRESSED.T_1|CY2021Q3</v>
      </c>
    </row>
    <row r="374" customFormat="false" ht="15" hidden="false" customHeight="false" outlineLevel="0" collapsed="false">
      <c r="D374" s="0" t="s">
        <v>103</v>
      </c>
      <c r="E374" s="0" t="s">
        <v>104</v>
      </c>
      <c r="F374" s="0" t="s">
        <v>47</v>
      </c>
      <c r="G374" s="0" t="s">
        <v>95</v>
      </c>
      <c r="H374" s="0" t="s">
        <v>96</v>
      </c>
      <c r="I374" s="0" t="s">
        <v>72</v>
      </c>
      <c r="J374" s="0" t="s">
        <v>73</v>
      </c>
      <c r="K374" s="0" t="s">
        <v>56</v>
      </c>
      <c r="L374" s="0" t="s">
        <v>57</v>
      </c>
      <c r="M374" s="0" t="s">
        <v>50</v>
      </c>
      <c r="N374" s="0" t="n">
        <v>3349</v>
      </c>
      <c r="O374" s="0" t="n">
        <v>41</v>
      </c>
      <c r="P374" s="0" t="n">
        <v>15</v>
      </c>
      <c r="Q374" s="5" t="str">
        <f aca="false">IF($D374&lt;&gt;"","["&amp;$E374&amp;"]"&amp;"|"&amp;SUBSTITUTE(SUBSTITUTE($I374,CHAR(61),""),CHAR(34),"")&amp;"|"&amp;$K374&amp;"|"&amp;$G374&amp;"|"&amp;IF($G374="TX_CURR_SUBNAT.R","CY2020Q4",$M374),"")</f>
        <v>[FjSmRywOWUp]|30-34|Female|VL_SUPPRESSED.T_1|CY2021Q3</v>
      </c>
    </row>
    <row r="375" customFormat="false" ht="15" hidden="false" customHeight="false" outlineLevel="0" collapsed="false">
      <c r="D375" s="0" t="s">
        <v>103</v>
      </c>
      <c r="E375" s="0" t="s">
        <v>104</v>
      </c>
      <c r="F375" s="0" t="s">
        <v>47</v>
      </c>
      <c r="G375" s="0" t="s">
        <v>95</v>
      </c>
      <c r="H375" s="0" t="s">
        <v>96</v>
      </c>
      <c r="I375" s="0" t="s">
        <v>72</v>
      </c>
      <c r="J375" s="0" t="s">
        <v>73</v>
      </c>
      <c r="K375" s="0" t="s">
        <v>58</v>
      </c>
      <c r="L375" s="0" t="s">
        <v>59</v>
      </c>
      <c r="M375" s="0" t="s">
        <v>50</v>
      </c>
      <c r="N375" s="0" t="n">
        <v>1246</v>
      </c>
      <c r="O375" s="0" t="n">
        <v>28</v>
      </c>
      <c r="P375" s="0" t="n">
        <v>21</v>
      </c>
      <c r="Q375" s="5" t="str">
        <f aca="false">IF($D375&lt;&gt;"","["&amp;$E375&amp;"]"&amp;"|"&amp;SUBSTITUTE(SUBSTITUTE($I375,CHAR(61),""),CHAR(34),"")&amp;"|"&amp;$K375&amp;"|"&amp;$G375&amp;"|"&amp;IF($G375="TX_CURR_SUBNAT.R","CY2020Q4",$M375),"")</f>
        <v>[FjSmRywOWUp]|30-34|Male|VL_SUPPRESSED.T_1|CY2021Q3</v>
      </c>
    </row>
    <row r="376" customFormat="false" ht="15" hidden="false" customHeight="false" outlineLevel="0" collapsed="false">
      <c r="D376" s="0" t="s">
        <v>103</v>
      </c>
      <c r="E376" s="0" t="s">
        <v>104</v>
      </c>
      <c r="F376" s="0" t="s">
        <v>47</v>
      </c>
      <c r="G376" s="0" t="s">
        <v>95</v>
      </c>
      <c r="H376" s="0" t="s">
        <v>96</v>
      </c>
      <c r="I376" s="0" t="s">
        <v>75</v>
      </c>
      <c r="J376" s="0" t="s">
        <v>76</v>
      </c>
      <c r="K376" s="0" t="s">
        <v>56</v>
      </c>
      <c r="L376" s="0" t="s">
        <v>57</v>
      </c>
      <c r="M376" s="0" t="s">
        <v>50</v>
      </c>
      <c r="N376" s="0" t="n">
        <v>3483</v>
      </c>
      <c r="O376" s="0" t="n">
        <v>46</v>
      </c>
      <c r="P376" s="0" t="n">
        <v>43</v>
      </c>
      <c r="Q376" s="5" t="str">
        <f aca="false">IF($D376&lt;&gt;"","["&amp;$E376&amp;"]"&amp;"|"&amp;SUBSTITUTE(SUBSTITUTE($I376,CHAR(61),""),CHAR(34),"")&amp;"|"&amp;$K376&amp;"|"&amp;$G376&amp;"|"&amp;IF($G376="TX_CURR_SUBNAT.R","CY2020Q4",$M376),"")</f>
        <v>[FjSmRywOWUp]|35-39|Female|VL_SUPPRESSED.T_1|CY2021Q3</v>
      </c>
    </row>
    <row r="377" customFormat="false" ht="15" hidden="false" customHeight="false" outlineLevel="0" collapsed="false">
      <c r="D377" s="0" t="s">
        <v>103</v>
      </c>
      <c r="E377" s="0" t="s">
        <v>104</v>
      </c>
      <c r="F377" s="0" t="s">
        <v>47</v>
      </c>
      <c r="G377" s="0" t="s">
        <v>95</v>
      </c>
      <c r="H377" s="0" t="s">
        <v>96</v>
      </c>
      <c r="I377" s="0" t="s">
        <v>75</v>
      </c>
      <c r="J377" s="0" t="s">
        <v>76</v>
      </c>
      <c r="K377" s="0" t="s">
        <v>58</v>
      </c>
      <c r="L377" s="0" t="s">
        <v>59</v>
      </c>
      <c r="M377" s="0" t="s">
        <v>50</v>
      </c>
      <c r="N377" s="0" t="n">
        <v>1885</v>
      </c>
      <c r="O377" s="0" t="n">
        <v>19</v>
      </c>
      <c r="P377" s="0" t="n">
        <v>50</v>
      </c>
      <c r="Q377" s="5" t="str">
        <f aca="false">IF($D377&lt;&gt;"","["&amp;$E377&amp;"]"&amp;"|"&amp;SUBSTITUTE(SUBSTITUTE($I377,CHAR(61),""),CHAR(34),"")&amp;"|"&amp;$K377&amp;"|"&amp;$G377&amp;"|"&amp;IF($G377="TX_CURR_SUBNAT.R","CY2020Q4",$M377),"")</f>
        <v>[FjSmRywOWUp]|35-39|Male|VL_SUPPRESSED.T_1|CY2021Q3</v>
      </c>
    </row>
    <row r="378" customFormat="false" ht="15" hidden="false" customHeight="false" outlineLevel="0" collapsed="false">
      <c r="D378" s="0" t="s">
        <v>103</v>
      </c>
      <c r="E378" s="0" t="s">
        <v>104</v>
      </c>
      <c r="F378" s="0" t="s">
        <v>47</v>
      </c>
      <c r="G378" s="0" t="s">
        <v>95</v>
      </c>
      <c r="H378" s="0" t="s">
        <v>96</v>
      </c>
      <c r="I378" s="0" t="s">
        <v>77</v>
      </c>
      <c r="J378" s="0" t="s">
        <v>78</v>
      </c>
      <c r="K378" s="0" t="s">
        <v>56</v>
      </c>
      <c r="L378" s="0" t="s">
        <v>57</v>
      </c>
      <c r="M378" s="0" t="s">
        <v>50</v>
      </c>
      <c r="N378" s="0" t="n">
        <v>2961</v>
      </c>
      <c r="O378" s="0" t="n">
        <v>44</v>
      </c>
      <c r="P378" s="0" t="n">
        <v>19</v>
      </c>
      <c r="Q378" s="5" t="str">
        <f aca="false">IF($D378&lt;&gt;"","["&amp;$E378&amp;"]"&amp;"|"&amp;SUBSTITUTE(SUBSTITUTE($I378,CHAR(61),""),CHAR(34),"")&amp;"|"&amp;$K378&amp;"|"&amp;$G378&amp;"|"&amp;IF($G378="TX_CURR_SUBNAT.R","CY2020Q4",$M378),"")</f>
        <v>[FjSmRywOWUp]|40-44|Female|VL_SUPPRESSED.T_1|CY2021Q3</v>
      </c>
    </row>
    <row r="379" customFormat="false" ht="15" hidden="false" customHeight="false" outlineLevel="0" collapsed="false">
      <c r="D379" s="0" t="s">
        <v>103</v>
      </c>
      <c r="E379" s="0" t="s">
        <v>104</v>
      </c>
      <c r="F379" s="0" t="s">
        <v>47</v>
      </c>
      <c r="G379" s="0" t="s">
        <v>95</v>
      </c>
      <c r="H379" s="0" t="s">
        <v>96</v>
      </c>
      <c r="I379" s="0" t="s">
        <v>77</v>
      </c>
      <c r="J379" s="0" t="s">
        <v>78</v>
      </c>
      <c r="K379" s="0" t="s">
        <v>58</v>
      </c>
      <c r="L379" s="0" t="s">
        <v>59</v>
      </c>
      <c r="M379" s="0" t="s">
        <v>50</v>
      </c>
      <c r="N379" s="0" t="n">
        <v>1841</v>
      </c>
      <c r="O379" s="0" t="n">
        <v>53</v>
      </c>
      <c r="P379" s="0" t="n">
        <v>12</v>
      </c>
      <c r="Q379" s="5" t="str">
        <f aca="false">IF($D379&lt;&gt;"","["&amp;$E379&amp;"]"&amp;"|"&amp;SUBSTITUTE(SUBSTITUTE($I379,CHAR(61),""),CHAR(34),"")&amp;"|"&amp;$K379&amp;"|"&amp;$G379&amp;"|"&amp;IF($G379="TX_CURR_SUBNAT.R","CY2020Q4",$M379),"")</f>
        <v>[FjSmRywOWUp]|40-44|Male|VL_SUPPRESSED.T_1|CY2021Q3</v>
      </c>
    </row>
    <row r="380" customFormat="false" ht="15" hidden="false" customHeight="false" outlineLevel="0" collapsed="false">
      <c r="D380" s="0" t="s">
        <v>103</v>
      </c>
      <c r="E380" s="0" t="s">
        <v>104</v>
      </c>
      <c r="F380" s="0" t="s">
        <v>47</v>
      </c>
      <c r="G380" s="0" t="s">
        <v>95</v>
      </c>
      <c r="H380" s="0" t="s">
        <v>96</v>
      </c>
      <c r="I380" s="0" t="s">
        <v>80</v>
      </c>
      <c r="J380" s="0" t="s">
        <v>81</v>
      </c>
      <c r="K380" s="0" t="s">
        <v>56</v>
      </c>
      <c r="L380" s="0" t="s">
        <v>57</v>
      </c>
      <c r="M380" s="0" t="s">
        <v>50</v>
      </c>
      <c r="N380" s="0" t="n">
        <v>2237</v>
      </c>
      <c r="O380" s="0" t="n">
        <v>35</v>
      </c>
      <c r="P380" s="0" t="n">
        <v>42</v>
      </c>
      <c r="Q380" s="5" t="str">
        <f aca="false">IF($D380&lt;&gt;"","["&amp;$E380&amp;"]"&amp;"|"&amp;SUBSTITUTE(SUBSTITUTE($I380,CHAR(61),""),CHAR(34),"")&amp;"|"&amp;$K380&amp;"|"&amp;$G380&amp;"|"&amp;IF($G380="TX_CURR_SUBNAT.R","CY2020Q4",$M380),"")</f>
        <v>[FjSmRywOWUp]|45-49|Female|VL_SUPPRESSED.T_1|CY2021Q3</v>
      </c>
    </row>
    <row r="381" customFormat="false" ht="15" hidden="false" customHeight="false" outlineLevel="0" collapsed="false">
      <c r="D381" s="0" t="s">
        <v>103</v>
      </c>
      <c r="E381" s="0" t="s">
        <v>104</v>
      </c>
      <c r="F381" s="0" t="s">
        <v>47</v>
      </c>
      <c r="G381" s="0" t="s">
        <v>95</v>
      </c>
      <c r="H381" s="0" t="s">
        <v>96</v>
      </c>
      <c r="I381" s="0" t="s">
        <v>80</v>
      </c>
      <c r="J381" s="0" t="s">
        <v>81</v>
      </c>
      <c r="K381" s="0" t="s">
        <v>58</v>
      </c>
      <c r="L381" s="0" t="s">
        <v>59</v>
      </c>
      <c r="M381" s="0" t="s">
        <v>50</v>
      </c>
      <c r="N381" s="0" t="n">
        <v>1489</v>
      </c>
      <c r="O381" s="0" t="n">
        <v>10</v>
      </c>
      <c r="P381" s="0" t="n">
        <v>38</v>
      </c>
      <c r="Q381" s="5" t="str">
        <f aca="false">IF($D381&lt;&gt;"","["&amp;$E381&amp;"]"&amp;"|"&amp;SUBSTITUTE(SUBSTITUTE($I381,CHAR(61),""),CHAR(34),"")&amp;"|"&amp;$K381&amp;"|"&amp;$G381&amp;"|"&amp;IF($G381="TX_CURR_SUBNAT.R","CY2020Q4",$M381),"")</f>
        <v>[FjSmRywOWUp]|45-49|Male|VL_SUPPRESSED.T_1|CY2021Q3</v>
      </c>
    </row>
    <row r="382" customFormat="false" ht="15" hidden="false" customHeight="false" outlineLevel="0" collapsed="false">
      <c r="D382" s="0" t="s">
        <v>103</v>
      </c>
      <c r="E382" s="0" t="s">
        <v>104</v>
      </c>
      <c r="F382" s="0" t="s">
        <v>47</v>
      </c>
      <c r="G382" s="0" t="s">
        <v>95</v>
      </c>
      <c r="H382" s="0" t="s">
        <v>96</v>
      </c>
      <c r="I382" s="0" t="s">
        <v>83</v>
      </c>
      <c r="J382" s="0" t="s">
        <v>84</v>
      </c>
      <c r="K382" s="0" t="s">
        <v>56</v>
      </c>
      <c r="L382" s="0" t="s">
        <v>57</v>
      </c>
      <c r="M382" s="0" t="s">
        <v>50</v>
      </c>
      <c r="N382" s="0" t="n">
        <v>170</v>
      </c>
      <c r="O382" s="0" t="n">
        <v>41</v>
      </c>
      <c r="P382" s="0" t="n">
        <v>36</v>
      </c>
      <c r="Q382" s="5" t="str">
        <f aca="false">IF($D382&lt;&gt;"","["&amp;$E382&amp;"]"&amp;"|"&amp;SUBSTITUTE(SUBSTITUTE($I382,CHAR(61),""),CHAR(34),"")&amp;"|"&amp;$K382&amp;"|"&amp;$G382&amp;"|"&amp;IF($G382="TX_CURR_SUBNAT.R","CY2020Q4",$M382),"")</f>
        <v>[FjSmRywOWUp]|05-09|Female|VL_SUPPRESSED.T_1|CY2021Q3</v>
      </c>
    </row>
    <row r="383" customFormat="false" ht="15" hidden="false" customHeight="false" outlineLevel="0" collapsed="false">
      <c r="D383" s="0" t="s">
        <v>103</v>
      </c>
      <c r="E383" s="0" t="s">
        <v>104</v>
      </c>
      <c r="F383" s="0" t="s">
        <v>47</v>
      </c>
      <c r="G383" s="0" t="s">
        <v>95</v>
      </c>
      <c r="H383" s="0" t="s">
        <v>96</v>
      </c>
      <c r="I383" s="0" t="s">
        <v>83</v>
      </c>
      <c r="J383" s="0" t="s">
        <v>84</v>
      </c>
      <c r="K383" s="0" t="s">
        <v>58</v>
      </c>
      <c r="L383" s="0" t="s">
        <v>59</v>
      </c>
      <c r="M383" s="0" t="s">
        <v>50</v>
      </c>
      <c r="N383" s="0" t="n">
        <v>175</v>
      </c>
      <c r="O383" s="0" t="n">
        <v>11</v>
      </c>
      <c r="P383" s="0" t="n">
        <v>46</v>
      </c>
      <c r="Q383" s="5" t="str">
        <f aca="false">IF($D383&lt;&gt;"","["&amp;$E383&amp;"]"&amp;"|"&amp;SUBSTITUTE(SUBSTITUTE($I383,CHAR(61),""),CHAR(34),"")&amp;"|"&amp;$K383&amp;"|"&amp;$G383&amp;"|"&amp;IF($G383="TX_CURR_SUBNAT.R","CY2020Q4",$M383),"")</f>
        <v>[FjSmRywOWUp]|05-09|Male|VL_SUPPRESSED.T_1|CY2021Q3</v>
      </c>
    </row>
    <row r="384" customFormat="false" ht="15" hidden="false" customHeight="false" outlineLevel="0" collapsed="false">
      <c r="D384" s="0" t="s">
        <v>103</v>
      </c>
      <c r="E384" s="0" t="s">
        <v>104</v>
      </c>
      <c r="F384" s="0" t="s">
        <v>47</v>
      </c>
      <c r="G384" s="0" t="s">
        <v>95</v>
      </c>
      <c r="H384" s="0" t="s">
        <v>96</v>
      </c>
      <c r="I384" s="53" t="s">
        <v>86</v>
      </c>
      <c r="J384" s="0" t="s">
        <v>87</v>
      </c>
      <c r="K384" s="0" t="s">
        <v>56</v>
      </c>
      <c r="L384" s="0" t="s">
        <v>57</v>
      </c>
      <c r="M384" s="0" t="s">
        <v>50</v>
      </c>
      <c r="N384" s="0" t="n">
        <v>4979</v>
      </c>
      <c r="O384" s="0" t="n">
        <v>33</v>
      </c>
      <c r="P384" s="0" t="n">
        <v>38</v>
      </c>
      <c r="Q384" s="5" t="str">
        <f aca="false">IF($D384&lt;&gt;"","["&amp;$E384&amp;"]"&amp;"|"&amp;SUBSTITUTE(SUBSTITUTE($I384,CHAR(61),""),CHAR(34),"")&amp;"|"&amp;$K384&amp;"|"&amp;$G384&amp;"|"&amp;IF($G384="TX_CURR_SUBNAT.R","CY2020Q4",$M384),"")</f>
        <v>[FjSmRywOWUp]|50+|Female|VL_SUPPRESSED.T_1|CY2021Q3</v>
      </c>
    </row>
    <row r="385" customFormat="false" ht="15" hidden="false" customHeight="false" outlineLevel="0" collapsed="false">
      <c r="D385" s="0" t="s">
        <v>103</v>
      </c>
      <c r="E385" s="0" t="s">
        <v>104</v>
      </c>
      <c r="F385" s="0" t="s">
        <v>47</v>
      </c>
      <c r="G385" s="0" t="s">
        <v>95</v>
      </c>
      <c r="H385" s="0" t="s">
        <v>96</v>
      </c>
      <c r="I385" s="53" t="s">
        <v>86</v>
      </c>
      <c r="J385" s="0" t="s">
        <v>87</v>
      </c>
      <c r="K385" s="0" t="s">
        <v>58</v>
      </c>
      <c r="L385" s="0" t="s">
        <v>59</v>
      </c>
      <c r="M385" s="0" t="s">
        <v>50</v>
      </c>
      <c r="N385" s="0" t="n">
        <v>3363</v>
      </c>
      <c r="O385" s="0" t="n">
        <v>26</v>
      </c>
      <c r="P385" s="0" t="n">
        <v>2</v>
      </c>
      <c r="Q385" s="5" t="str">
        <f aca="false">IF($D385&lt;&gt;"","["&amp;$E385&amp;"]"&amp;"|"&amp;SUBSTITUTE(SUBSTITUTE($I385,CHAR(61),""),CHAR(34),"")&amp;"|"&amp;$K385&amp;"|"&amp;$G385&amp;"|"&amp;IF($G385="TX_CURR_SUBNAT.R","CY2020Q4",$M385),"")</f>
        <v>[FjSmRywOWUp]|50+|Male|VL_SUPPRESSED.T_1|CY2021Q3</v>
      </c>
    </row>
    <row r="386" customFormat="false" ht="15" hidden="false" customHeight="false" outlineLevel="0" collapsed="false">
      <c r="D386" s="0" t="s">
        <v>103</v>
      </c>
      <c r="E386" s="0" t="s">
        <v>104</v>
      </c>
      <c r="F386" s="0" t="s">
        <v>47</v>
      </c>
      <c r="G386" s="0" t="s">
        <v>95</v>
      </c>
      <c r="H386" s="0" t="s">
        <v>96</v>
      </c>
      <c r="I386" s="0" t="s">
        <v>89</v>
      </c>
      <c r="J386" s="0" t="s">
        <v>90</v>
      </c>
      <c r="K386" s="0" t="s">
        <v>56</v>
      </c>
      <c r="L386" s="0" t="s">
        <v>57</v>
      </c>
      <c r="M386" s="0" t="s">
        <v>50</v>
      </c>
      <c r="N386" s="0" t="n">
        <v>4</v>
      </c>
      <c r="O386" s="0" t="n">
        <v>50</v>
      </c>
      <c r="P386" s="0" t="n">
        <v>32</v>
      </c>
      <c r="Q386" s="5" t="str">
        <f aca="false">IF($D386&lt;&gt;"","["&amp;$E386&amp;"]"&amp;"|"&amp;SUBSTITUTE(SUBSTITUTE($I386,CHAR(61),""),CHAR(34),"")&amp;"|"&amp;$K386&amp;"|"&amp;$G386&amp;"|"&amp;IF($G386="TX_CURR_SUBNAT.R","CY2020Q4",$M386),"")</f>
        <v>[FjSmRywOWUp]|&lt;01|Female|VL_SUPPRESSED.T_1|CY2021Q3</v>
      </c>
    </row>
    <row r="387" customFormat="false" ht="15" hidden="false" customHeight="false" outlineLevel="0" collapsed="false">
      <c r="D387" s="0" t="s">
        <v>103</v>
      </c>
      <c r="E387" s="0" t="s">
        <v>104</v>
      </c>
      <c r="F387" s="0" t="s">
        <v>47</v>
      </c>
      <c r="G387" s="0" t="s">
        <v>95</v>
      </c>
      <c r="H387" s="0" t="s">
        <v>96</v>
      </c>
      <c r="I387" s="0" t="s">
        <v>89</v>
      </c>
      <c r="J387" s="0" t="s">
        <v>90</v>
      </c>
      <c r="K387" s="0" t="s">
        <v>58</v>
      </c>
      <c r="L387" s="0" t="s">
        <v>59</v>
      </c>
      <c r="M387" s="0" t="s">
        <v>50</v>
      </c>
      <c r="N387" s="0" t="n">
        <v>2</v>
      </c>
      <c r="O387" s="0" t="n">
        <v>14</v>
      </c>
      <c r="P387" s="0" t="n">
        <v>18</v>
      </c>
      <c r="Q387" s="5" t="str">
        <f aca="false">IF($D387&lt;&gt;"","["&amp;$E387&amp;"]"&amp;"|"&amp;SUBSTITUTE(SUBSTITUTE($I387,CHAR(61),""),CHAR(34),"")&amp;"|"&amp;$K387&amp;"|"&amp;$G387&amp;"|"&amp;IF($G387="TX_CURR_SUBNAT.R","CY2020Q4",$M387),"")</f>
        <v>[FjSmRywOWUp]|&lt;01|Male|VL_SUPPRESSED.T_1|CY2021Q3</v>
      </c>
    </row>
    <row r="388" customFormat="false" ht="15" hidden="false" customHeight="false" outlineLevel="0" collapsed="false">
      <c r="D388" s="0" t="s">
        <v>103</v>
      </c>
      <c r="E388" s="0" t="s">
        <v>104</v>
      </c>
      <c r="F388" s="0" t="s">
        <v>47</v>
      </c>
      <c r="G388" s="0" t="s">
        <v>97</v>
      </c>
      <c r="H388" s="0" t="s">
        <v>98</v>
      </c>
      <c r="I388" s="0" t="s">
        <v>54</v>
      </c>
      <c r="J388" s="0" t="s">
        <v>55</v>
      </c>
      <c r="K388" s="0" t="s">
        <v>56</v>
      </c>
      <c r="L388" s="0" t="s">
        <v>57</v>
      </c>
      <c r="M388" s="0" t="s">
        <v>50</v>
      </c>
      <c r="N388" s="0" t="n">
        <v>102</v>
      </c>
      <c r="O388" s="0" t="n">
        <v>31</v>
      </c>
      <c r="P388" s="0" t="n">
        <v>35</v>
      </c>
      <c r="Q388" s="5" t="str">
        <f aca="false">IF($D388&lt;&gt;"","["&amp;$E388&amp;"]"&amp;"|"&amp;SUBSTITUTE(SUBSTITUTE($I388,CHAR(61),""),CHAR(34),"")&amp;"|"&amp;$K388&amp;"|"&amp;$G388&amp;"|"&amp;IF($G388="TX_CURR_SUBNAT.R","CY2020Q4",$M388),"")</f>
        <v>[FjSmRywOWUp]|01-04|Female|PLHIV.T_1|CY2021Q3</v>
      </c>
    </row>
    <row r="389" customFormat="false" ht="15" hidden="false" customHeight="false" outlineLevel="0" collapsed="false">
      <c r="D389" s="0" t="s">
        <v>103</v>
      </c>
      <c r="E389" s="0" t="s">
        <v>104</v>
      </c>
      <c r="F389" s="0" t="s">
        <v>47</v>
      </c>
      <c r="G389" s="0" t="s">
        <v>97</v>
      </c>
      <c r="H389" s="0" t="s">
        <v>98</v>
      </c>
      <c r="I389" s="0" t="s">
        <v>54</v>
      </c>
      <c r="J389" s="0" t="s">
        <v>55</v>
      </c>
      <c r="K389" s="0" t="s">
        <v>58</v>
      </c>
      <c r="L389" s="0" t="s">
        <v>59</v>
      </c>
      <c r="M389" s="0" t="s">
        <v>50</v>
      </c>
      <c r="N389" s="0" t="n">
        <v>103</v>
      </c>
      <c r="O389" s="0" t="n">
        <v>23</v>
      </c>
      <c r="P389" s="0" t="n">
        <v>35</v>
      </c>
      <c r="Q389" s="5" t="str">
        <f aca="false">IF($D389&lt;&gt;"","["&amp;$E389&amp;"]"&amp;"|"&amp;SUBSTITUTE(SUBSTITUTE($I389,CHAR(61),""),CHAR(34),"")&amp;"|"&amp;$K389&amp;"|"&amp;$G389&amp;"|"&amp;IF($G389="TX_CURR_SUBNAT.R","CY2020Q4",$M389),"")</f>
        <v>[FjSmRywOWUp]|01-04|Male|PLHIV.T_1|CY2021Q3</v>
      </c>
    </row>
    <row r="390" customFormat="false" ht="15" hidden="false" customHeight="false" outlineLevel="0" collapsed="false">
      <c r="D390" s="0" t="s">
        <v>103</v>
      </c>
      <c r="E390" s="0" t="s">
        <v>104</v>
      </c>
      <c r="F390" s="0" t="s">
        <v>47</v>
      </c>
      <c r="G390" s="0" t="s">
        <v>97</v>
      </c>
      <c r="H390" s="0" t="s">
        <v>98</v>
      </c>
      <c r="I390" s="0" t="s">
        <v>61</v>
      </c>
      <c r="J390" s="0" t="s">
        <v>62</v>
      </c>
      <c r="K390" s="0" t="s">
        <v>56</v>
      </c>
      <c r="L390" s="0" t="s">
        <v>57</v>
      </c>
      <c r="M390" s="0" t="s">
        <v>50</v>
      </c>
      <c r="N390" s="0" t="n">
        <v>404</v>
      </c>
      <c r="O390" s="0" t="n">
        <v>16</v>
      </c>
      <c r="P390" s="0" t="n">
        <v>38</v>
      </c>
      <c r="Q390" s="5" t="str">
        <f aca="false">IF($D390&lt;&gt;"","["&amp;$E390&amp;"]"&amp;"|"&amp;SUBSTITUTE(SUBSTITUTE($I390,CHAR(61),""),CHAR(34),"")&amp;"|"&amp;$K390&amp;"|"&amp;$G390&amp;"|"&amp;IF($G390="TX_CURR_SUBNAT.R","CY2020Q4",$M390),"")</f>
        <v>[FjSmRywOWUp]|10-14|Female|PLHIV.T_1|CY2021Q3</v>
      </c>
    </row>
    <row r="391" customFormat="false" ht="15" hidden="false" customHeight="false" outlineLevel="0" collapsed="false">
      <c r="D391" s="0" t="s">
        <v>103</v>
      </c>
      <c r="E391" s="0" t="s">
        <v>104</v>
      </c>
      <c r="F391" s="0" t="s">
        <v>47</v>
      </c>
      <c r="G391" s="0" t="s">
        <v>97</v>
      </c>
      <c r="H391" s="0" t="s">
        <v>98</v>
      </c>
      <c r="I391" s="0" t="s">
        <v>61</v>
      </c>
      <c r="J391" s="0" t="s">
        <v>62</v>
      </c>
      <c r="K391" s="0" t="s">
        <v>58</v>
      </c>
      <c r="L391" s="0" t="s">
        <v>59</v>
      </c>
      <c r="M391" s="0" t="s">
        <v>50</v>
      </c>
      <c r="N391" s="0" t="n">
        <v>406</v>
      </c>
      <c r="O391" s="0" t="n">
        <v>49</v>
      </c>
      <c r="P391" s="0" t="n">
        <v>34</v>
      </c>
      <c r="Q391" s="5" t="str">
        <f aca="false">IF($D391&lt;&gt;"","["&amp;$E391&amp;"]"&amp;"|"&amp;SUBSTITUTE(SUBSTITUTE($I391,CHAR(61),""),CHAR(34),"")&amp;"|"&amp;$K391&amp;"|"&amp;$G391&amp;"|"&amp;IF($G391="TX_CURR_SUBNAT.R","CY2020Q4",$M391),"")</f>
        <v>[FjSmRywOWUp]|10-14|Male|PLHIV.T_1|CY2021Q3</v>
      </c>
    </row>
    <row r="392" customFormat="false" ht="15" hidden="false" customHeight="false" outlineLevel="0" collapsed="false">
      <c r="D392" s="0" t="s">
        <v>103</v>
      </c>
      <c r="E392" s="0" t="s">
        <v>104</v>
      </c>
      <c r="F392" s="0" t="s">
        <v>47</v>
      </c>
      <c r="G392" s="0" t="s">
        <v>97</v>
      </c>
      <c r="H392" s="0" t="s">
        <v>98</v>
      </c>
      <c r="I392" s="0" t="s">
        <v>63</v>
      </c>
      <c r="J392" s="0" t="s">
        <v>64</v>
      </c>
      <c r="K392" s="0" t="s">
        <v>56</v>
      </c>
      <c r="L392" s="0" t="s">
        <v>57</v>
      </c>
      <c r="M392" s="0" t="s">
        <v>50</v>
      </c>
      <c r="N392" s="0" t="n">
        <v>689</v>
      </c>
      <c r="O392" s="0" t="n">
        <v>26</v>
      </c>
      <c r="P392" s="0" t="n">
        <v>44</v>
      </c>
      <c r="Q392" s="5" t="str">
        <f aca="false">IF($D392&lt;&gt;"","["&amp;$E392&amp;"]"&amp;"|"&amp;SUBSTITUTE(SUBSTITUTE($I392,CHAR(61),""),CHAR(34),"")&amp;"|"&amp;$K392&amp;"|"&amp;$G392&amp;"|"&amp;IF($G392="TX_CURR_SUBNAT.R","CY2020Q4",$M392),"")</f>
        <v>[FjSmRywOWUp]|15-19|Female|PLHIV.T_1|CY2021Q3</v>
      </c>
    </row>
    <row r="393" customFormat="false" ht="15" hidden="false" customHeight="false" outlineLevel="0" collapsed="false">
      <c r="D393" s="0" t="s">
        <v>103</v>
      </c>
      <c r="E393" s="0" t="s">
        <v>104</v>
      </c>
      <c r="F393" s="0" t="s">
        <v>47</v>
      </c>
      <c r="G393" s="0" t="s">
        <v>97</v>
      </c>
      <c r="H393" s="0" t="s">
        <v>98</v>
      </c>
      <c r="I393" s="0" t="s">
        <v>63</v>
      </c>
      <c r="J393" s="0" t="s">
        <v>64</v>
      </c>
      <c r="K393" s="0" t="s">
        <v>58</v>
      </c>
      <c r="L393" s="0" t="s">
        <v>59</v>
      </c>
      <c r="M393" s="0" t="s">
        <v>50</v>
      </c>
      <c r="N393" s="0" t="n">
        <v>408</v>
      </c>
      <c r="O393" s="0" t="n">
        <v>37</v>
      </c>
      <c r="P393" s="0" t="n">
        <v>3</v>
      </c>
      <c r="Q393" s="5" t="str">
        <f aca="false">IF($D393&lt;&gt;"","["&amp;$E393&amp;"]"&amp;"|"&amp;SUBSTITUTE(SUBSTITUTE($I393,CHAR(61),""),CHAR(34),"")&amp;"|"&amp;$K393&amp;"|"&amp;$G393&amp;"|"&amp;IF($G393="TX_CURR_SUBNAT.R","CY2020Q4",$M393),"")</f>
        <v>[FjSmRywOWUp]|15-19|Male|PLHIV.T_1|CY2021Q3</v>
      </c>
    </row>
    <row r="394" customFormat="false" ht="15" hidden="false" customHeight="false" outlineLevel="0" collapsed="false">
      <c r="D394" s="0" t="s">
        <v>103</v>
      </c>
      <c r="E394" s="0" t="s">
        <v>104</v>
      </c>
      <c r="F394" s="0" t="s">
        <v>47</v>
      </c>
      <c r="G394" s="0" t="s">
        <v>97</v>
      </c>
      <c r="H394" s="0" t="s">
        <v>98</v>
      </c>
      <c r="I394" s="0" t="s">
        <v>66</v>
      </c>
      <c r="J394" s="0" t="s">
        <v>67</v>
      </c>
      <c r="K394" s="0" t="s">
        <v>56</v>
      </c>
      <c r="L394" s="0" t="s">
        <v>57</v>
      </c>
      <c r="M394" s="0" t="s">
        <v>50</v>
      </c>
      <c r="N394" s="0" t="n">
        <v>1905</v>
      </c>
      <c r="O394" s="0" t="n">
        <v>29</v>
      </c>
      <c r="P394" s="0" t="n">
        <v>1</v>
      </c>
      <c r="Q394" s="5" t="str">
        <f aca="false">IF($D394&lt;&gt;"","["&amp;$E394&amp;"]"&amp;"|"&amp;SUBSTITUTE(SUBSTITUTE($I394,CHAR(61),""),CHAR(34),"")&amp;"|"&amp;$K394&amp;"|"&amp;$G394&amp;"|"&amp;IF($G394="TX_CURR_SUBNAT.R","CY2020Q4",$M394),"")</f>
        <v>[FjSmRywOWUp]|20-24|Female|PLHIV.T_1|CY2021Q3</v>
      </c>
    </row>
    <row r="395" customFormat="false" ht="15" hidden="false" customHeight="false" outlineLevel="0" collapsed="false">
      <c r="D395" s="0" t="s">
        <v>103</v>
      </c>
      <c r="E395" s="0" t="s">
        <v>104</v>
      </c>
      <c r="F395" s="0" t="s">
        <v>47</v>
      </c>
      <c r="G395" s="0" t="s">
        <v>97</v>
      </c>
      <c r="H395" s="0" t="s">
        <v>98</v>
      </c>
      <c r="I395" s="0" t="s">
        <v>66</v>
      </c>
      <c r="J395" s="0" t="s">
        <v>67</v>
      </c>
      <c r="K395" s="0" t="s">
        <v>58</v>
      </c>
      <c r="L395" s="0" t="s">
        <v>59</v>
      </c>
      <c r="M395" s="0" t="s">
        <v>50</v>
      </c>
      <c r="N395" s="0" t="n">
        <v>690</v>
      </c>
      <c r="O395" s="0" t="n">
        <v>27</v>
      </c>
      <c r="P395" s="0" t="n">
        <v>25</v>
      </c>
      <c r="Q395" s="5" t="str">
        <f aca="false">IF($D395&lt;&gt;"","["&amp;$E395&amp;"]"&amp;"|"&amp;SUBSTITUTE(SUBSTITUTE($I395,CHAR(61),""),CHAR(34),"")&amp;"|"&amp;$K395&amp;"|"&amp;$G395&amp;"|"&amp;IF($G395="TX_CURR_SUBNAT.R","CY2020Q4",$M395),"")</f>
        <v>[FjSmRywOWUp]|20-24|Male|PLHIV.T_1|CY2021Q3</v>
      </c>
    </row>
    <row r="396" customFormat="false" ht="15" hidden="false" customHeight="false" outlineLevel="0" collapsed="false">
      <c r="D396" s="0" t="s">
        <v>103</v>
      </c>
      <c r="E396" s="0" t="s">
        <v>104</v>
      </c>
      <c r="F396" s="0" t="s">
        <v>47</v>
      </c>
      <c r="G396" s="0" t="s">
        <v>97</v>
      </c>
      <c r="H396" s="0" t="s">
        <v>98</v>
      </c>
      <c r="I396" s="0" t="s">
        <v>69</v>
      </c>
      <c r="J396" s="0" t="s">
        <v>70</v>
      </c>
      <c r="K396" s="0" t="s">
        <v>56</v>
      </c>
      <c r="L396" s="0" t="s">
        <v>57</v>
      </c>
      <c r="M396" s="0" t="s">
        <v>50</v>
      </c>
      <c r="N396" s="0" t="n">
        <v>3689</v>
      </c>
      <c r="O396" s="0" t="n">
        <v>22</v>
      </c>
      <c r="P396" s="0" t="n">
        <v>10</v>
      </c>
      <c r="Q396" s="5" t="str">
        <f aca="false">IF($D396&lt;&gt;"","["&amp;$E396&amp;"]"&amp;"|"&amp;SUBSTITUTE(SUBSTITUTE($I396,CHAR(61),""),CHAR(34),"")&amp;"|"&amp;$K396&amp;"|"&amp;$G396&amp;"|"&amp;IF($G396="TX_CURR_SUBNAT.R","CY2020Q4",$M396),"")</f>
        <v>[FjSmRywOWUp]|25-29|Female|PLHIV.T_1|CY2021Q3</v>
      </c>
    </row>
    <row r="397" customFormat="false" ht="15" hidden="false" customHeight="false" outlineLevel="0" collapsed="false">
      <c r="D397" s="0" t="s">
        <v>103</v>
      </c>
      <c r="E397" s="0" t="s">
        <v>104</v>
      </c>
      <c r="F397" s="0" t="s">
        <v>47</v>
      </c>
      <c r="G397" s="0" t="s">
        <v>97</v>
      </c>
      <c r="H397" s="0" t="s">
        <v>98</v>
      </c>
      <c r="I397" s="0" t="s">
        <v>69</v>
      </c>
      <c r="J397" s="0" t="s">
        <v>70</v>
      </c>
      <c r="K397" s="0" t="s">
        <v>58</v>
      </c>
      <c r="L397" s="0" t="s">
        <v>59</v>
      </c>
      <c r="M397" s="0" t="s">
        <v>50</v>
      </c>
      <c r="N397" s="0" t="n">
        <v>1574</v>
      </c>
      <c r="O397" s="0" t="n">
        <v>35</v>
      </c>
      <c r="P397" s="0" t="n">
        <v>2</v>
      </c>
      <c r="Q397" s="5" t="str">
        <f aca="false">IF($D397&lt;&gt;"","["&amp;$E397&amp;"]"&amp;"|"&amp;SUBSTITUTE(SUBSTITUTE($I397,CHAR(61),""),CHAR(34),"")&amp;"|"&amp;$K397&amp;"|"&amp;$G397&amp;"|"&amp;IF($G397="TX_CURR_SUBNAT.R","CY2020Q4",$M397),"")</f>
        <v>[FjSmRywOWUp]|25-29|Male|PLHIV.T_1|CY2021Q3</v>
      </c>
    </row>
    <row r="398" customFormat="false" ht="15" hidden="false" customHeight="false" outlineLevel="0" collapsed="false">
      <c r="D398" s="0" t="s">
        <v>103</v>
      </c>
      <c r="E398" s="0" t="s">
        <v>104</v>
      </c>
      <c r="F398" s="0" t="s">
        <v>47</v>
      </c>
      <c r="G398" s="0" t="s">
        <v>97</v>
      </c>
      <c r="H398" s="0" t="s">
        <v>98</v>
      </c>
      <c r="I398" s="0" t="s">
        <v>72</v>
      </c>
      <c r="J398" s="0" t="s">
        <v>73</v>
      </c>
      <c r="K398" s="0" t="s">
        <v>56</v>
      </c>
      <c r="L398" s="0" t="s">
        <v>57</v>
      </c>
      <c r="M398" s="0" t="s">
        <v>50</v>
      </c>
      <c r="N398" s="0" t="n">
        <v>5198</v>
      </c>
      <c r="O398" s="0" t="n">
        <v>54</v>
      </c>
      <c r="P398" s="0" t="n">
        <v>14</v>
      </c>
      <c r="Q398" s="5" t="str">
        <f aca="false">IF($D398&lt;&gt;"","["&amp;$E398&amp;"]"&amp;"|"&amp;SUBSTITUTE(SUBSTITUTE($I398,CHAR(61),""),CHAR(34),"")&amp;"|"&amp;$K398&amp;"|"&amp;$G398&amp;"|"&amp;IF($G398="TX_CURR_SUBNAT.R","CY2020Q4",$M398),"")</f>
        <v>[FjSmRywOWUp]|30-34|Female|PLHIV.T_1|CY2021Q3</v>
      </c>
    </row>
    <row r="399" customFormat="false" ht="15" hidden="false" customHeight="false" outlineLevel="0" collapsed="false">
      <c r="D399" s="0" t="s">
        <v>103</v>
      </c>
      <c r="E399" s="0" t="s">
        <v>104</v>
      </c>
      <c r="F399" s="0" t="s">
        <v>47</v>
      </c>
      <c r="G399" s="0" t="s">
        <v>97</v>
      </c>
      <c r="H399" s="0" t="s">
        <v>98</v>
      </c>
      <c r="I399" s="0" t="s">
        <v>72</v>
      </c>
      <c r="J399" s="0" t="s">
        <v>73</v>
      </c>
      <c r="K399" s="0" t="s">
        <v>58</v>
      </c>
      <c r="L399" s="0" t="s">
        <v>59</v>
      </c>
      <c r="M399" s="0" t="s">
        <v>50</v>
      </c>
      <c r="N399" s="0" t="n">
        <v>2910</v>
      </c>
      <c r="O399" s="0" t="n">
        <v>47</v>
      </c>
      <c r="P399" s="0" t="n">
        <v>28</v>
      </c>
      <c r="Q399" s="5" t="str">
        <f aca="false">IF($D399&lt;&gt;"","["&amp;$E399&amp;"]"&amp;"|"&amp;SUBSTITUTE(SUBSTITUTE($I399,CHAR(61),""),CHAR(34),"")&amp;"|"&amp;$K399&amp;"|"&amp;$G399&amp;"|"&amp;IF($G399="TX_CURR_SUBNAT.R","CY2020Q4",$M399),"")</f>
        <v>[FjSmRywOWUp]|30-34|Male|PLHIV.T_1|CY2021Q3</v>
      </c>
    </row>
    <row r="400" customFormat="false" ht="15" hidden="false" customHeight="false" outlineLevel="0" collapsed="false">
      <c r="D400" s="0" t="s">
        <v>103</v>
      </c>
      <c r="E400" s="0" t="s">
        <v>104</v>
      </c>
      <c r="F400" s="0" t="s">
        <v>47</v>
      </c>
      <c r="G400" s="0" t="s">
        <v>97</v>
      </c>
      <c r="H400" s="0" t="s">
        <v>98</v>
      </c>
      <c r="I400" s="0" t="s">
        <v>75</v>
      </c>
      <c r="J400" s="0" t="s">
        <v>76</v>
      </c>
      <c r="K400" s="0" t="s">
        <v>56</v>
      </c>
      <c r="L400" s="0" t="s">
        <v>57</v>
      </c>
      <c r="M400" s="0" t="s">
        <v>50</v>
      </c>
      <c r="N400" s="0" t="n">
        <v>4971</v>
      </c>
      <c r="O400" s="0" t="n">
        <v>20</v>
      </c>
      <c r="P400" s="0" t="n">
        <v>10</v>
      </c>
      <c r="Q400" s="5" t="str">
        <f aca="false">IF($D400&lt;&gt;"","["&amp;$E400&amp;"]"&amp;"|"&amp;SUBSTITUTE(SUBSTITUTE($I400,CHAR(61),""),CHAR(34),"")&amp;"|"&amp;$K400&amp;"|"&amp;$G400&amp;"|"&amp;IF($G400="TX_CURR_SUBNAT.R","CY2020Q4",$M400),"")</f>
        <v>[FjSmRywOWUp]|35-39|Female|PLHIV.T_1|CY2021Q3</v>
      </c>
    </row>
    <row r="401" customFormat="false" ht="15" hidden="false" customHeight="false" outlineLevel="0" collapsed="false">
      <c r="D401" s="0" t="s">
        <v>103</v>
      </c>
      <c r="E401" s="0" t="s">
        <v>104</v>
      </c>
      <c r="F401" s="0" t="s">
        <v>47</v>
      </c>
      <c r="G401" s="0" t="s">
        <v>97</v>
      </c>
      <c r="H401" s="0" t="s">
        <v>98</v>
      </c>
      <c r="I401" s="0" t="s">
        <v>75</v>
      </c>
      <c r="J401" s="0" t="s">
        <v>76</v>
      </c>
      <c r="K401" s="0" t="s">
        <v>58</v>
      </c>
      <c r="L401" s="0" t="s">
        <v>59</v>
      </c>
      <c r="M401" s="0" t="s">
        <v>50</v>
      </c>
      <c r="N401" s="0" t="n">
        <v>3549</v>
      </c>
      <c r="O401" s="0" t="n">
        <v>11</v>
      </c>
      <c r="P401" s="0" t="n">
        <v>36</v>
      </c>
      <c r="Q401" s="5" t="str">
        <f aca="false">IF($D401&lt;&gt;"","["&amp;$E401&amp;"]"&amp;"|"&amp;SUBSTITUTE(SUBSTITUTE($I401,CHAR(61),""),CHAR(34),"")&amp;"|"&amp;$K401&amp;"|"&amp;$G401&amp;"|"&amp;IF($G401="TX_CURR_SUBNAT.R","CY2020Q4",$M401),"")</f>
        <v>[FjSmRywOWUp]|35-39|Male|PLHIV.T_1|CY2021Q3</v>
      </c>
    </row>
    <row r="402" customFormat="false" ht="15" hidden="false" customHeight="false" outlineLevel="0" collapsed="false">
      <c r="D402" s="0" t="s">
        <v>103</v>
      </c>
      <c r="E402" s="0" t="s">
        <v>104</v>
      </c>
      <c r="F402" s="0" t="s">
        <v>47</v>
      </c>
      <c r="G402" s="0" t="s">
        <v>97</v>
      </c>
      <c r="H402" s="0" t="s">
        <v>98</v>
      </c>
      <c r="I402" s="0" t="s">
        <v>77</v>
      </c>
      <c r="J402" s="0" t="s">
        <v>78</v>
      </c>
      <c r="K402" s="0" t="s">
        <v>56</v>
      </c>
      <c r="L402" s="0" t="s">
        <v>57</v>
      </c>
      <c r="M402" s="0" t="s">
        <v>50</v>
      </c>
      <c r="N402" s="0" t="n">
        <v>3984</v>
      </c>
      <c r="O402" s="0" t="n">
        <v>37</v>
      </c>
      <c r="P402" s="0" t="n">
        <v>16</v>
      </c>
      <c r="Q402" s="5" t="str">
        <f aca="false">IF($D402&lt;&gt;"","["&amp;$E402&amp;"]"&amp;"|"&amp;SUBSTITUTE(SUBSTITUTE($I402,CHAR(61),""),CHAR(34),"")&amp;"|"&amp;$K402&amp;"|"&amp;$G402&amp;"|"&amp;IF($G402="TX_CURR_SUBNAT.R","CY2020Q4",$M402),"")</f>
        <v>[FjSmRywOWUp]|40-44|Female|PLHIV.T_1|CY2021Q3</v>
      </c>
    </row>
    <row r="403" customFormat="false" ht="15" hidden="false" customHeight="false" outlineLevel="0" collapsed="false">
      <c r="D403" s="0" t="s">
        <v>103</v>
      </c>
      <c r="E403" s="0" t="s">
        <v>104</v>
      </c>
      <c r="F403" s="0" t="s">
        <v>47</v>
      </c>
      <c r="G403" s="0" t="s">
        <v>97</v>
      </c>
      <c r="H403" s="0" t="s">
        <v>98</v>
      </c>
      <c r="I403" s="0" t="s">
        <v>77</v>
      </c>
      <c r="J403" s="0" t="s">
        <v>78</v>
      </c>
      <c r="K403" s="0" t="s">
        <v>58</v>
      </c>
      <c r="L403" s="0" t="s">
        <v>59</v>
      </c>
      <c r="M403" s="0" t="s">
        <v>50</v>
      </c>
      <c r="N403" s="0" t="n">
        <v>3141</v>
      </c>
      <c r="O403" s="0" t="n">
        <v>6</v>
      </c>
      <c r="P403" s="0" t="n">
        <v>29</v>
      </c>
      <c r="Q403" s="5" t="str">
        <f aca="false">IF($D403&lt;&gt;"","["&amp;$E403&amp;"]"&amp;"|"&amp;SUBSTITUTE(SUBSTITUTE($I403,CHAR(61),""),CHAR(34),"")&amp;"|"&amp;$K403&amp;"|"&amp;$G403&amp;"|"&amp;IF($G403="TX_CURR_SUBNAT.R","CY2020Q4",$M403),"")</f>
        <v>[FjSmRywOWUp]|40-44|Male|PLHIV.T_1|CY2021Q3</v>
      </c>
    </row>
    <row r="404" customFormat="false" ht="15" hidden="false" customHeight="false" outlineLevel="0" collapsed="false">
      <c r="D404" s="0" t="s">
        <v>103</v>
      </c>
      <c r="E404" s="0" t="s">
        <v>104</v>
      </c>
      <c r="F404" s="0" t="s">
        <v>47</v>
      </c>
      <c r="G404" s="0" t="s">
        <v>97</v>
      </c>
      <c r="H404" s="0" t="s">
        <v>98</v>
      </c>
      <c r="I404" s="0" t="s">
        <v>80</v>
      </c>
      <c r="J404" s="0" t="s">
        <v>81</v>
      </c>
      <c r="K404" s="0" t="s">
        <v>56</v>
      </c>
      <c r="L404" s="0" t="s">
        <v>57</v>
      </c>
      <c r="M404" s="0" t="s">
        <v>50</v>
      </c>
      <c r="N404" s="0" t="n">
        <v>2981</v>
      </c>
      <c r="O404" s="0" t="n">
        <v>23</v>
      </c>
      <c r="P404" s="0" t="n">
        <v>31</v>
      </c>
      <c r="Q404" s="5" t="str">
        <f aca="false">IF($D404&lt;&gt;"","["&amp;$E404&amp;"]"&amp;"|"&amp;SUBSTITUTE(SUBSTITUTE($I404,CHAR(61),""),CHAR(34),"")&amp;"|"&amp;$K404&amp;"|"&amp;$G404&amp;"|"&amp;IF($G404="TX_CURR_SUBNAT.R","CY2020Q4",$M404),"")</f>
        <v>[FjSmRywOWUp]|45-49|Female|PLHIV.T_1|CY2021Q3</v>
      </c>
    </row>
    <row r="405" customFormat="false" ht="15" hidden="false" customHeight="false" outlineLevel="0" collapsed="false">
      <c r="D405" s="0" t="s">
        <v>103</v>
      </c>
      <c r="E405" s="0" t="s">
        <v>104</v>
      </c>
      <c r="F405" s="0" t="s">
        <v>47</v>
      </c>
      <c r="G405" s="0" t="s">
        <v>97</v>
      </c>
      <c r="H405" s="0" t="s">
        <v>98</v>
      </c>
      <c r="I405" s="0" t="s">
        <v>80</v>
      </c>
      <c r="J405" s="0" t="s">
        <v>81</v>
      </c>
      <c r="K405" s="0" t="s">
        <v>58</v>
      </c>
      <c r="L405" s="0" t="s">
        <v>59</v>
      </c>
      <c r="M405" s="0" t="s">
        <v>50</v>
      </c>
      <c r="N405" s="0" t="n">
        <v>2613</v>
      </c>
      <c r="O405" s="0" t="n">
        <v>23</v>
      </c>
      <c r="P405" s="0" t="n">
        <v>10</v>
      </c>
      <c r="Q405" s="5" t="str">
        <f aca="false">IF($D405&lt;&gt;"","["&amp;$E405&amp;"]"&amp;"|"&amp;SUBSTITUTE(SUBSTITUTE($I405,CHAR(61),""),CHAR(34),"")&amp;"|"&amp;$K405&amp;"|"&amp;$G405&amp;"|"&amp;IF($G405="TX_CURR_SUBNAT.R","CY2020Q4",$M405),"")</f>
        <v>[FjSmRywOWUp]|45-49|Male|PLHIV.T_1|CY2021Q3</v>
      </c>
    </row>
    <row r="406" customFormat="false" ht="15" hidden="false" customHeight="false" outlineLevel="0" collapsed="false">
      <c r="D406" s="0" t="s">
        <v>103</v>
      </c>
      <c r="E406" s="0" t="s">
        <v>104</v>
      </c>
      <c r="F406" s="0" t="s">
        <v>47</v>
      </c>
      <c r="G406" s="0" t="s">
        <v>97</v>
      </c>
      <c r="H406" s="0" t="s">
        <v>98</v>
      </c>
      <c r="I406" s="0" t="s">
        <v>83</v>
      </c>
      <c r="J406" s="0" t="s">
        <v>84</v>
      </c>
      <c r="K406" s="0" t="s">
        <v>56</v>
      </c>
      <c r="L406" s="0" t="s">
        <v>57</v>
      </c>
      <c r="M406" s="0" t="s">
        <v>50</v>
      </c>
      <c r="N406" s="0" t="n">
        <v>260</v>
      </c>
      <c r="O406" s="0" t="n">
        <v>8</v>
      </c>
      <c r="P406" s="0" t="n">
        <v>25</v>
      </c>
      <c r="Q406" s="5" t="str">
        <f aca="false">IF($D406&lt;&gt;"","["&amp;$E406&amp;"]"&amp;"|"&amp;SUBSTITUTE(SUBSTITUTE($I406,CHAR(61),""),CHAR(34),"")&amp;"|"&amp;$K406&amp;"|"&amp;$G406&amp;"|"&amp;IF($G406="TX_CURR_SUBNAT.R","CY2020Q4",$M406),"")</f>
        <v>[FjSmRywOWUp]|05-09|Female|PLHIV.T_1|CY2021Q3</v>
      </c>
    </row>
    <row r="407" customFormat="false" ht="15" hidden="false" customHeight="false" outlineLevel="0" collapsed="false">
      <c r="D407" s="0" t="s">
        <v>103</v>
      </c>
      <c r="E407" s="0" t="s">
        <v>104</v>
      </c>
      <c r="F407" s="0" t="s">
        <v>47</v>
      </c>
      <c r="G407" s="0" t="s">
        <v>97</v>
      </c>
      <c r="H407" s="0" t="s">
        <v>98</v>
      </c>
      <c r="I407" s="0" t="s">
        <v>83</v>
      </c>
      <c r="J407" s="0" t="s">
        <v>84</v>
      </c>
      <c r="K407" s="0" t="s">
        <v>58</v>
      </c>
      <c r="L407" s="0" t="s">
        <v>59</v>
      </c>
      <c r="M407" s="0" t="s">
        <v>50</v>
      </c>
      <c r="N407" s="0" t="n">
        <v>252</v>
      </c>
      <c r="O407" s="0" t="n">
        <v>22</v>
      </c>
      <c r="P407" s="0" t="n">
        <v>50</v>
      </c>
      <c r="Q407" s="5" t="str">
        <f aca="false">IF($D407&lt;&gt;"","["&amp;$E407&amp;"]"&amp;"|"&amp;SUBSTITUTE(SUBSTITUTE($I407,CHAR(61),""),CHAR(34),"")&amp;"|"&amp;$K407&amp;"|"&amp;$G407&amp;"|"&amp;IF($G407="TX_CURR_SUBNAT.R","CY2020Q4",$M407),"")</f>
        <v>[FjSmRywOWUp]|05-09|Male|PLHIV.T_1|CY2021Q3</v>
      </c>
    </row>
    <row r="408" customFormat="false" ht="15" hidden="false" customHeight="false" outlineLevel="0" collapsed="false">
      <c r="D408" s="0" t="s">
        <v>103</v>
      </c>
      <c r="E408" s="0" t="s">
        <v>104</v>
      </c>
      <c r="F408" s="0" t="s">
        <v>47</v>
      </c>
      <c r="G408" s="0" t="s">
        <v>97</v>
      </c>
      <c r="H408" s="0" t="s">
        <v>98</v>
      </c>
      <c r="I408" s="53" t="s">
        <v>86</v>
      </c>
      <c r="J408" s="0" t="s">
        <v>87</v>
      </c>
      <c r="K408" s="0" t="s">
        <v>56</v>
      </c>
      <c r="L408" s="0" t="s">
        <v>57</v>
      </c>
      <c r="M408" s="0" t="s">
        <v>50</v>
      </c>
      <c r="N408" s="0" t="n">
        <v>8010</v>
      </c>
      <c r="O408" s="0" t="n">
        <v>36</v>
      </c>
      <c r="P408" s="0" t="n">
        <v>32</v>
      </c>
      <c r="Q408" s="5" t="str">
        <f aca="false">IF($D408&lt;&gt;"","["&amp;$E408&amp;"]"&amp;"|"&amp;SUBSTITUTE(SUBSTITUTE($I408,CHAR(61),""),CHAR(34),"")&amp;"|"&amp;$K408&amp;"|"&amp;$G408&amp;"|"&amp;IF($G408="TX_CURR_SUBNAT.R","CY2020Q4",$M408),"")</f>
        <v>[FjSmRywOWUp]|50+|Female|PLHIV.T_1|CY2021Q3</v>
      </c>
    </row>
    <row r="409" customFormat="false" ht="15" hidden="false" customHeight="false" outlineLevel="0" collapsed="false">
      <c r="D409" s="0" t="s">
        <v>103</v>
      </c>
      <c r="E409" s="0" t="s">
        <v>104</v>
      </c>
      <c r="F409" s="0" t="s">
        <v>47</v>
      </c>
      <c r="G409" s="0" t="s">
        <v>97</v>
      </c>
      <c r="H409" s="0" t="s">
        <v>98</v>
      </c>
      <c r="I409" s="53" t="s">
        <v>86</v>
      </c>
      <c r="J409" s="0" t="s">
        <v>87</v>
      </c>
      <c r="K409" s="0" t="s">
        <v>58</v>
      </c>
      <c r="L409" s="0" t="s">
        <v>59</v>
      </c>
      <c r="M409" s="0" t="s">
        <v>50</v>
      </c>
      <c r="N409" s="0" t="n">
        <v>6065</v>
      </c>
      <c r="O409" s="0" t="n">
        <v>60</v>
      </c>
      <c r="P409" s="0" t="n">
        <v>4</v>
      </c>
      <c r="Q409" s="5" t="str">
        <f aca="false">IF($D409&lt;&gt;"","["&amp;$E409&amp;"]"&amp;"|"&amp;SUBSTITUTE(SUBSTITUTE($I409,CHAR(61),""),CHAR(34),"")&amp;"|"&amp;$K409&amp;"|"&amp;$G409&amp;"|"&amp;IF($G409="TX_CURR_SUBNAT.R","CY2020Q4",$M409),"")</f>
        <v>[FjSmRywOWUp]|50+|Male|PLHIV.T_1|CY2021Q3</v>
      </c>
    </row>
    <row r="410" customFormat="false" ht="15" hidden="false" customHeight="false" outlineLevel="0" collapsed="false">
      <c r="D410" s="0" t="s">
        <v>103</v>
      </c>
      <c r="E410" s="0" t="s">
        <v>104</v>
      </c>
      <c r="F410" s="0" t="s">
        <v>47</v>
      </c>
      <c r="G410" s="0" t="s">
        <v>97</v>
      </c>
      <c r="H410" s="0" t="s">
        <v>98</v>
      </c>
      <c r="I410" s="0" t="s">
        <v>89</v>
      </c>
      <c r="J410" s="0" t="s">
        <v>90</v>
      </c>
      <c r="K410" s="0" t="s">
        <v>56</v>
      </c>
      <c r="L410" s="0" t="s">
        <v>57</v>
      </c>
      <c r="M410" s="0" t="s">
        <v>50</v>
      </c>
      <c r="N410" s="0" t="n">
        <v>21</v>
      </c>
      <c r="O410" s="0" t="n">
        <v>17</v>
      </c>
      <c r="P410" s="0" t="n">
        <v>32</v>
      </c>
      <c r="Q410" s="5" t="str">
        <f aca="false">IF($D410&lt;&gt;"","["&amp;$E410&amp;"]"&amp;"|"&amp;SUBSTITUTE(SUBSTITUTE($I410,CHAR(61),""),CHAR(34),"")&amp;"|"&amp;$K410&amp;"|"&amp;$G410&amp;"|"&amp;IF($G410="TX_CURR_SUBNAT.R","CY2020Q4",$M410),"")</f>
        <v>[FjSmRywOWUp]|&lt;01|Female|PLHIV.T_1|CY2021Q3</v>
      </c>
    </row>
    <row r="411" customFormat="false" ht="15" hidden="false" customHeight="false" outlineLevel="0" collapsed="false">
      <c r="D411" s="0" t="s">
        <v>103</v>
      </c>
      <c r="E411" s="0" t="s">
        <v>104</v>
      </c>
      <c r="F411" s="0" t="s">
        <v>47</v>
      </c>
      <c r="G411" s="0" t="s">
        <v>97</v>
      </c>
      <c r="H411" s="0" t="s">
        <v>98</v>
      </c>
      <c r="I411" s="0" t="s">
        <v>89</v>
      </c>
      <c r="J411" s="0" t="s">
        <v>90</v>
      </c>
      <c r="K411" s="0" t="s">
        <v>58</v>
      </c>
      <c r="L411" s="0" t="s">
        <v>59</v>
      </c>
      <c r="M411" s="0" t="s">
        <v>50</v>
      </c>
      <c r="N411" s="0" t="n">
        <v>21</v>
      </c>
      <c r="O411" s="0" t="n">
        <v>14</v>
      </c>
      <c r="P411" s="0" t="n">
        <v>10</v>
      </c>
      <c r="Q411" s="5" t="str">
        <f aca="false">IF($D411&lt;&gt;"","["&amp;$E411&amp;"]"&amp;"|"&amp;SUBSTITUTE(SUBSTITUTE($I411,CHAR(61),""),CHAR(34),"")&amp;"|"&amp;$K411&amp;"|"&amp;$G411&amp;"|"&amp;IF($G411="TX_CURR_SUBNAT.R","CY2020Q4",$M411),"")</f>
        <v>[FjSmRywOWUp]|&lt;01|Male|PLHIV.T_1|CY2021Q3</v>
      </c>
    </row>
    <row r="412" customFormat="false" ht="15" hidden="false" customHeight="false" outlineLevel="0" collapsed="false">
      <c r="D412" s="0" t="s">
        <v>103</v>
      </c>
      <c r="E412" s="0" t="s">
        <v>104</v>
      </c>
      <c r="F412" s="0" t="s">
        <v>47</v>
      </c>
      <c r="G412" s="0" t="s">
        <v>99</v>
      </c>
      <c r="H412" s="0" t="s">
        <v>100</v>
      </c>
      <c r="I412" s="0" t="s">
        <v>54</v>
      </c>
      <c r="J412" s="0" t="s">
        <v>55</v>
      </c>
      <c r="K412" s="0" t="s">
        <v>56</v>
      </c>
      <c r="L412" s="0" t="s">
        <v>57</v>
      </c>
      <c r="M412" s="0" t="s">
        <v>50</v>
      </c>
      <c r="N412" s="0" t="n">
        <v>54</v>
      </c>
      <c r="O412" s="0" t="n">
        <v>35</v>
      </c>
      <c r="P412" s="0" t="n">
        <v>26</v>
      </c>
      <c r="Q412" s="5" t="str">
        <f aca="false">IF($D412&lt;&gt;"","["&amp;$E412&amp;"]"&amp;"|"&amp;SUBSTITUTE(SUBSTITUTE($I412,CHAR(61),""),CHAR(34),"")&amp;"|"&amp;$K412&amp;"|"&amp;$G412&amp;"|"&amp;IF($G412="TX_CURR_SUBNAT.R","CY2020Q4",$M412),"")</f>
        <v>[FjSmRywOWUp]|01-04|Female|TX_CURR_SUBNAT.T_1|CY2021Q3</v>
      </c>
    </row>
    <row r="413" customFormat="false" ht="15" hidden="false" customHeight="false" outlineLevel="0" collapsed="false">
      <c r="D413" s="0" t="s">
        <v>103</v>
      </c>
      <c r="E413" s="0" t="s">
        <v>104</v>
      </c>
      <c r="F413" s="0" t="s">
        <v>47</v>
      </c>
      <c r="G413" s="0" t="s">
        <v>99</v>
      </c>
      <c r="H413" s="0" t="s">
        <v>100</v>
      </c>
      <c r="I413" s="0" t="s">
        <v>54</v>
      </c>
      <c r="J413" s="0" t="s">
        <v>55</v>
      </c>
      <c r="K413" s="0" t="s">
        <v>58</v>
      </c>
      <c r="L413" s="0" t="s">
        <v>59</v>
      </c>
      <c r="M413" s="0" t="s">
        <v>50</v>
      </c>
      <c r="N413" s="0" t="n">
        <v>55</v>
      </c>
      <c r="O413" s="0" t="n">
        <v>32</v>
      </c>
      <c r="P413" s="0" t="n">
        <v>15</v>
      </c>
      <c r="Q413" s="5" t="str">
        <f aca="false">IF($D413&lt;&gt;"","["&amp;$E413&amp;"]"&amp;"|"&amp;SUBSTITUTE(SUBSTITUTE($I413,CHAR(61),""),CHAR(34),"")&amp;"|"&amp;$K413&amp;"|"&amp;$G413&amp;"|"&amp;IF($G413="TX_CURR_SUBNAT.R","CY2020Q4",$M413),"")</f>
        <v>[FjSmRywOWUp]|01-04|Male|TX_CURR_SUBNAT.T_1|CY2021Q3</v>
      </c>
    </row>
    <row r="414" customFormat="false" ht="15" hidden="false" customHeight="false" outlineLevel="0" collapsed="false">
      <c r="D414" s="0" t="s">
        <v>103</v>
      </c>
      <c r="E414" s="0" t="s">
        <v>104</v>
      </c>
      <c r="F414" s="0" t="s">
        <v>47</v>
      </c>
      <c r="G414" s="0" t="s">
        <v>99</v>
      </c>
      <c r="H414" s="0" t="s">
        <v>100</v>
      </c>
      <c r="I414" s="0" t="s">
        <v>61</v>
      </c>
      <c r="J414" s="0" t="s">
        <v>62</v>
      </c>
      <c r="K414" s="0" t="s">
        <v>56</v>
      </c>
      <c r="L414" s="0" t="s">
        <v>57</v>
      </c>
      <c r="M414" s="0" t="s">
        <v>50</v>
      </c>
      <c r="N414" s="0" t="n">
        <v>329</v>
      </c>
      <c r="O414" s="0" t="n">
        <v>57</v>
      </c>
      <c r="P414" s="0" t="n">
        <v>35</v>
      </c>
      <c r="Q414" s="5" t="str">
        <f aca="false">IF($D414&lt;&gt;"","["&amp;$E414&amp;"]"&amp;"|"&amp;SUBSTITUTE(SUBSTITUTE($I414,CHAR(61),""),CHAR(34),"")&amp;"|"&amp;$K414&amp;"|"&amp;$G414&amp;"|"&amp;IF($G414="TX_CURR_SUBNAT.R","CY2020Q4",$M414),"")</f>
        <v>[FjSmRywOWUp]|10-14|Female|TX_CURR_SUBNAT.T_1|CY2021Q3</v>
      </c>
    </row>
    <row r="415" customFormat="false" ht="15" hidden="false" customHeight="false" outlineLevel="0" collapsed="false">
      <c r="D415" s="0" t="s">
        <v>103</v>
      </c>
      <c r="E415" s="0" t="s">
        <v>104</v>
      </c>
      <c r="F415" s="0" t="s">
        <v>47</v>
      </c>
      <c r="G415" s="0" t="s">
        <v>99</v>
      </c>
      <c r="H415" s="0" t="s">
        <v>100</v>
      </c>
      <c r="I415" s="0" t="s">
        <v>61</v>
      </c>
      <c r="J415" s="0" t="s">
        <v>62</v>
      </c>
      <c r="K415" s="0" t="s">
        <v>58</v>
      </c>
      <c r="L415" s="0" t="s">
        <v>59</v>
      </c>
      <c r="M415" s="0" t="s">
        <v>50</v>
      </c>
      <c r="N415" s="0" t="n">
        <v>334</v>
      </c>
      <c r="O415" s="0" t="n">
        <v>10</v>
      </c>
      <c r="P415" s="0" t="n">
        <v>47</v>
      </c>
      <c r="Q415" s="5" t="str">
        <f aca="false">IF($D415&lt;&gt;"","["&amp;$E415&amp;"]"&amp;"|"&amp;SUBSTITUTE(SUBSTITUTE($I415,CHAR(61),""),CHAR(34),"")&amp;"|"&amp;$K415&amp;"|"&amp;$G415&amp;"|"&amp;IF($G415="TX_CURR_SUBNAT.R","CY2020Q4",$M415),"")</f>
        <v>[FjSmRywOWUp]|10-14|Male|TX_CURR_SUBNAT.T_1|CY2021Q3</v>
      </c>
    </row>
    <row r="416" customFormat="false" ht="15" hidden="false" customHeight="false" outlineLevel="0" collapsed="false">
      <c r="D416" s="0" t="s">
        <v>103</v>
      </c>
      <c r="E416" s="0" t="s">
        <v>104</v>
      </c>
      <c r="F416" s="0" t="s">
        <v>47</v>
      </c>
      <c r="G416" s="0" t="s">
        <v>99</v>
      </c>
      <c r="H416" s="0" t="s">
        <v>100</v>
      </c>
      <c r="I416" s="0" t="s">
        <v>63</v>
      </c>
      <c r="J416" s="0" t="s">
        <v>64</v>
      </c>
      <c r="K416" s="0" t="s">
        <v>56</v>
      </c>
      <c r="L416" s="0" t="s">
        <v>57</v>
      </c>
      <c r="M416" s="0" t="s">
        <v>50</v>
      </c>
      <c r="N416" s="0" t="n">
        <v>516</v>
      </c>
      <c r="O416" s="0" t="n">
        <v>52</v>
      </c>
      <c r="P416" s="0" t="n">
        <v>36</v>
      </c>
      <c r="Q416" s="5" t="str">
        <f aca="false">IF($D416&lt;&gt;"","["&amp;$E416&amp;"]"&amp;"|"&amp;SUBSTITUTE(SUBSTITUTE($I416,CHAR(61),""),CHAR(34),"")&amp;"|"&amp;$K416&amp;"|"&amp;$G416&amp;"|"&amp;IF($G416="TX_CURR_SUBNAT.R","CY2020Q4",$M416),"")</f>
        <v>[FjSmRywOWUp]|15-19|Female|TX_CURR_SUBNAT.T_1|CY2021Q3</v>
      </c>
    </row>
    <row r="417" customFormat="false" ht="15" hidden="false" customHeight="false" outlineLevel="0" collapsed="false">
      <c r="D417" s="0" t="s">
        <v>103</v>
      </c>
      <c r="E417" s="0" t="s">
        <v>104</v>
      </c>
      <c r="F417" s="0" t="s">
        <v>47</v>
      </c>
      <c r="G417" s="0" t="s">
        <v>99</v>
      </c>
      <c r="H417" s="0" t="s">
        <v>100</v>
      </c>
      <c r="I417" s="0" t="s">
        <v>63</v>
      </c>
      <c r="J417" s="0" t="s">
        <v>64</v>
      </c>
      <c r="K417" s="0" t="s">
        <v>58</v>
      </c>
      <c r="L417" s="0" t="s">
        <v>59</v>
      </c>
      <c r="M417" s="0" t="s">
        <v>50</v>
      </c>
      <c r="N417" s="0" t="n">
        <v>369</v>
      </c>
      <c r="O417" s="0" t="n">
        <v>60</v>
      </c>
      <c r="P417" s="0" t="n">
        <v>30</v>
      </c>
      <c r="Q417" s="5" t="str">
        <f aca="false">IF($D417&lt;&gt;"","["&amp;$E417&amp;"]"&amp;"|"&amp;SUBSTITUTE(SUBSTITUTE($I417,CHAR(61),""),CHAR(34),"")&amp;"|"&amp;$K417&amp;"|"&amp;$G417&amp;"|"&amp;IF($G417="TX_CURR_SUBNAT.R","CY2020Q4",$M417),"")</f>
        <v>[FjSmRywOWUp]|15-19|Male|TX_CURR_SUBNAT.T_1|CY2021Q3</v>
      </c>
    </row>
    <row r="418" customFormat="false" ht="15" hidden="false" customHeight="false" outlineLevel="0" collapsed="false">
      <c r="D418" s="0" t="s">
        <v>103</v>
      </c>
      <c r="E418" s="0" t="s">
        <v>104</v>
      </c>
      <c r="F418" s="0" t="s">
        <v>47</v>
      </c>
      <c r="G418" s="0" t="s">
        <v>99</v>
      </c>
      <c r="H418" s="0" t="s">
        <v>100</v>
      </c>
      <c r="I418" s="0" t="s">
        <v>66</v>
      </c>
      <c r="J418" s="0" t="s">
        <v>67</v>
      </c>
      <c r="K418" s="0" t="s">
        <v>56</v>
      </c>
      <c r="L418" s="0" t="s">
        <v>57</v>
      </c>
      <c r="M418" s="0" t="s">
        <v>50</v>
      </c>
      <c r="N418" s="0" t="n">
        <v>1304</v>
      </c>
      <c r="O418" s="0" t="n">
        <v>24</v>
      </c>
      <c r="P418" s="0" t="n">
        <v>41</v>
      </c>
      <c r="Q418" s="5" t="str">
        <f aca="false">IF($D418&lt;&gt;"","["&amp;$E418&amp;"]"&amp;"|"&amp;SUBSTITUTE(SUBSTITUTE($I418,CHAR(61),""),CHAR(34),"")&amp;"|"&amp;$K418&amp;"|"&amp;$G418&amp;"|"&amp;IF($G418="TX_CURR_SUBNAT.R","CY2020Q4",$M418),"")</f>
        <v>[FjSmRywOWUp]|20-24|Female|TX_CURR_SUBNAT.T_1|CY2021Q3</v>
      </c>
    </row>
    <row r="419" customFormat="false" ht="15" hidden="false" customHeight="false" outlineLevel="0" collapsed="false">
      <c r="D419" s="0" t="s">
        <v>103</v>
      </c>
      <c r="E419" s="0" t="s">
        <v>104</v>
      </c>
      <c r="F419" s="0" t="s">
        <v>47</v>
      </c>
      <c r="G419" s="0" t="s">
        <v>99</v>
      </c>
      <c r="H419" s="0" t="s">
        <v>100</v>
      </c>
      <c r="I419" s="0" t="s">
        <v>66</v>
      </c>
      <c r="J419" s="0" t="s">
        <v>67</v>
      </c>
      <c r="K419" s="0" t="s">
        <v>58</v>
      </c>
      <c r="L419" s="0" t="s">
        <v>59</v>
      </c>
      <c r="M419" s="0" t="s">
        <v>50</v>
      </c>
      <c r="N419" s="0" t="n">
        <v>409</v>
      </c>
      <c r="O419" s="0" t="n">
        <v>15</v>
      </c>
      <c r="P419" s="0" t="n">
        <v>50</v>
      </c>
      <c r="Q419" s="5" t="str">
        <f aca="false">IF($D419&lt;&gt;"","["&amp;$E419&amp;"]"&amp;"|"&amp;SUBSTITUTE(SUBSTITUTE($I419,CHAR(61),""),CHAR(34),"")&amp;"|"&amp;$K419&amp;"|"&amp;$G419&amp;"|"&amp;IF($G419="TX_CURR_SUBNAT.R","CY2020Q4",$M419),"")</f>
        <v>[FjSmRywOWUp]|20-24|Male|TX_CURR_SUBNAT.T_1|CY2021Q3</v>
      </c>
    </row>
    <row r="420" customFormat="false" ht="15" hidden="false" customHeight="false" outlineLevel="0" collapsed="false">
      <c r="D420" s="0" t="s">
        <v>103</v>
      </c>
      <c r="E420" s="0" t="s">
        <v>104</v>
      </c>
      <c r="F420" s="0" t="s">
        <v>47</v>
      </c>
      <c r="G420" s="0" t="s">
        <v>99</v>
      </c>
      <c r="H420" s="0" t="s">
        <v>100</v>
      </c>
      <c r="I420" s="0" t="s">
        <v>69</v>
      </c>
      <c r="J420" s="0" t="s">
        <v>70</v>
      </c>
      <c r="K420" s="0" t="s">
        <v>56</v>
      </c>
      <c r="L420" s="0" t="s">
        <v>57</v>
      </c>
      <c r="M420" s="0" t="s">
        <v>50</v>
      </c>
      <c r="N420" s="0" t="n">
        <v>2561</v>
      </c>
      <c r="O420" s="0" t="n">
        <v>56</v>
      </c>
      <c r="P420" s="0" t="n">
        <v>47</v>
      </c>
      <c r="Q420" s="5" t="str">
        <f aca="false">IF($D420&lt;&gt;"","["&amp;$E420&amp;"]"&amp;"|"&amp;SUBSTITUTE(SUBSTITUTE($I420,CHAR(61),""),CHAR(34),"")&amp;"|"&amp;$K420&amp;"|"&amp;$G420&amp;"|"&amp;IF($G420="TX_CURR_SUBNAT.R","CY2020Q4",$M420),"")</f>
        <v>[FjSmRywOWUp]|25-29|Female|TX_CURR_SUBNAT.T_1|CY2021Q3</v>
      </c>
    </row>
    <row r="421" customFormat="false" ht="15" hidden="false" customHeight="false" outlineLevel="0" collapsed="false">
      <c r="D421" s="0" t="s">
        <v>103</v>
      </c>
      <c r="E421" s="0" t="s">
        <v>104</v>
      </c>
      <c r="F421" s="0" t="s">
        <v>47</v>
      </c>
      <c r="G421" s="0" t="s">
        <v>99</v>
      </c>
      <c r="H421" s="0" t="s">
        <v>100</v>
      </c>
      <c r="I421" s="0" t="s">
        <v>69</v>
      </c>
      <c r="J421" s="0" t="s">
        <v>70</v>
      </c>
      <c r="K421" s="0" t="s">
        <v>58</v>
      </c>
      <c r="L421" s="0" t="s">
        <v>59</v>
      </c>
      <c r="M421" s="0" t="s">
        <v>50</v>
      </c>
      <c r="N421" s="0" t="n">
        <v>796</v>
      </c>
      <c r="O421" s="0" t="n">
        <v>42</v>
      </c>
      <c r="P421" s="0" t="n">
        <v>44</v>
      </c>
      <c r="Q421" s="5" t="str">
        <f aca="false">IF($D421&lt;&gt;"","["&amp;$E421&amp;"]"&amp;"|"&amp;SUBSTITUTE(SUBSTITUTE($I421,CHAR(61),""),CHAR(34),"")&amp;"|"&amp;$K421&amp;"|"&amp;$G421&amp;"|"&amp;IF($G421="TX_CURR_SUBNAT.R","CY2020Q4",$M421),"")</f>
        <v>[FjSmRywOWUp]|25-29|Male|TX_CURR_SUBNAT.T_1|CY2021Q3</v>
      </c>
    </row>
    <row r="422" customFormat="false" ht="15" hidden="false" customHeight="false" outlineLevel="0" collapsed="false">
      <c r="D422" s="0" t="s">
        <v>103</v>
      </c>
      <c r="E422" s="0" t="s">
        <v>104</v>
      </c>
      <c r="F422" s="0" t="s">
        <v>47</v>
      </c>
      <c r="G422" s="0" t="s">
        <v>99</v>
      </c>
      <c r="H422" s="0" t="s">
        <v>100</v>
      </c>
      <c r="I422" s="0" t="s">
        <v>72</v>
      </c>
      <c r="J422" s="0" t="s">
        <v>73</v>
      </c>
      <c r="K422" s="0" t="s">
        <v>56</v>
      </c>
      <c r="L422" s="0" t="s">
        <v>57</v>
      </c>
      <c r="M422" s="0" t="s">
        <v>50</v>
      </c>
      <c r="N422" s="0" t="n">
        <v>3512</v>
      </c>
      <c r="O422" s="0" t="n">
        <v>11</v>
      </c>
      <c r="P422" s="0" t="n">
        <v>50</v>
      </c>
      <c r="Q422" s="5" t="str">
        <f aca="false">IF($D422&lt;&gt;"","["&amp;$E422&amp;"]"&amp;"|"&amp;SUBSTITUTE(SUBSTITUTE($I422,CHAR(61),""),CHAR(34),"")&amp;"|"&amp;$K422&amp;"|"&amp;$G422&amp;"|"&amp;IF($G422="TX_CURR_SUBNAT.R","CY2020Q4",$M422),"")</f>
        <v>[FjSmRywOWUp]|30-34|Female|TX_CURR_SUBNAT.T_1|CY2021Q3</v>
      </c>
    </row>
    <row r="423" customFormat="false" ht="15" hidden="false" customHeight="false" outlineLevel="0" collapsed="false">
      <c r="D423" s="0" t="s">
        <v>103</v>
      </c>
      <c r="E423" s="0" t="s">
        <v>104</v>
      </c>
      <c r="F423" s="0" t="s">
        <v>47</v>
      </c>
      <c r="G423" s="0" t="s">
        <v>99</v>
      </c>
      <c r="H423" s="0" t="s">
        <v>100</v>
      </c>
      <c r="I423" s="0" t="s">
        <v>72</v>
      </c>
      <c r="J423" s="0" t="s">
        <v>73</v>
      </c>
      <c r="K423" s="0" t="s">
        <v>58</v>
      </c>
      <c r="L423" s="0" t="s">
        <v>59</v>
      </c>
      <c r="M423" s="0" t="s">
        <v>50</v>
      </c>
      <c r="N423" s="0" t="n">
        <v>1456</v>
      </c>
      <c r="O423" s="0" t="n">
        <v>34</v>
      </c>
      <c r="P423" s="0" t="n">
        <v>44</v>
      </c>
      <c r="Q423" s="5" t="str">
        <f aca="false">IF($D423&lt;&gt;"","["&amp;$E423&amp;"]"&amp;"|"&amp;SUBSTITUTE(SUBSTITUTE($I423,CHAR(61),""),CHAR(34),"")&amp;"|"&amp;$K423&amp;"|"&amp;$G423&amp;"|"&amp;IF($G423="TX_CURR_SUBNAT.R","CY2020Q4",$M423),"")</f>
        <v>[FjSmRywOWUp]|30-34|Male|TX_CURR_SUBNAT.T_1|CY2021Q3</v>
      </c>
    </row>
    <row r="424" customFormat="false" ht="15" hidden="false" customHeight="false" outlineLevel="0" collapsed="false">
      <c r="D424" s="0" t="s">
        <v>103</v>
      </c>
      <c r="E424" s="0" t="s">
        <v>104</v>
      </c>
      <c r="F424" s="0" t="s">
        <v>47</v>
      </c>
      <c r="G424" s="0" t="s">
        <v>99</v>
      </c>
      <c r="H424" s="0" t="s">
        <v>100</v>
      </c>
      <c r="I424" s="0" t="s">
        <v>75</v>
      </c>
      <c r="J424" s="0" t="s">
        <v>76</v>
      </c>
      <c r="K424" s="0" t="s">
        <v>56</v>
      </c>
      <c r="L424" s="0" t="s">
        <v>57</v>
      </c>
      <c r="M424" s="0" t="s">
        <v>50</v>
      </c>
      <c r="N424" s="0" t="n">
        <v>3941</v>
      </c>
      <c r="O424" s="0" t="n">
        <v>4</v>
      </c>
      <c r="P424" s="0" t="n">
        <v>47</v>
      </c>
      <c r="Q424" s="5" t="str">
        <f aca="false">IF($D424&lt;&gt;"","["&amp;$E424&amp;"]"&amp;"|"&amp;SUBSTITUTE(SUBSTITUTE($I424,CHAR(61),""),CHAR(34),"")&amp;"|"&amp;$K424&amp;"|"&amp;$G424&amp;"|"&amp;IF($G424="TX_CURR_SUBNAT.R","CY2020Q4",$M424),"")</f>
        <v>[FjSmRywOWUp]|35-39|Female|TX_CURR_SUBNAT.T_1|CY2021Q3</v>
      </c>
    </row>
    <row r="425" customFormat="false" ht="15" hidden="false" customHeight="false" outlineLevel="0" collapsed="false">
      <c r="D425" s="0" t="s">
        <v>103</v>
      </c>
      <c r="E425" s="0" t="s">
        <v>104</v>
      </c>
      <c r="F425" s="0" t="s">
        <v>47</v>
      </c>
      <c r="G425" s="0" t="s">
        <v>99</v>
      </c>
      <c r="H425" s="0" t="s">
        <v>100</v>
      </c>
      <c r="I425" s="0" t="s">
        <v>75</v>
      </c>
      <c r="J425" s="0" t="s">
        <v>76</v>
      </c>
      <c r="K425" s="0" t="s">
        <v>58</v>
      </c>
      <c r="L425" s="0" t="s">
        <v>59</v>
      </c>
      <c r="M425" s="0" t="s">
        <v>50</v>
      </c>
      <c r="N425" s="0" t="n">
        <v>2117</v>
      </c>
      <c r="O425" s="0" t="n">
        <v>6</v>
      </c>
      <c r="P425" s="0" t="n">
        <v>42</v>
      </c>
      <c r="Q425" s="5" t="str">
        <f aca="false">IF($D425&lt;&gt;"","["&amp;$E425&amp;"]"&amp;"|"&amp;SUBSTITUTE(SUBSTITUTE($I425,CHAR(61),""),CHAR(34),"")&amp;"|"&amp;$K425&amp;"|"&amp;$G425&amp;"|"&amp;IF($G425="TX_CURR_SUBNAT.R","CY2020Q4",$M425),"")</f>
        <v>[FjSmRywOWUp]|35-39|Male|TX_CURR_SUBNAT.T_1|CY2021Q3</v>
      </c>
    </row>
    <row r="426" customFormat="false" ht="15" hidden="false" customHeight="false" outlineLevel="0" collapsed="false">
      <c r="D426" s="0" t="s">
        <v>103</v>
      </c>
      <c r="E426" s="0" t="s">
        <v>104</v>
      </c>
      <c r="F426" s="0" t="s">
        <v>47</v>
      </c>
      <c r="G426" s="0" t="s">
        <v>99</v>
      </c>
      <c r="H426" s="0" t="s">
        <v>100</v>
      </c>
      <c r="I426" s="0" t="s">
        <v>77</v>
      </c>
      <c r="J426" s="0" t="s">
        <v>78</v>
      </c>
      <c r="K426" s="0" t="s">
        <v>56</v>
      </c>
      <c r="L426" s="0" t="s">
        <v>57</v>
      </c>
      <c r="M426" s="0" t="s">
        <v>50</v>
      </c>
      <c r="N426" s="0" t="n">
        <v>3768</v>
      </c>
      <c r="O426" s="0" t="n">
        <v>2</v>
      </c>
      <c r="P426" s="0" t="n">
        <v>7</v>
      </c>
      <c r="Q426" s="5" t="str">
        <f aca="false">IF($D426&lt;&gt;"","["&amp;$E426&amp;"]"&amp;"|"&amp;SUBSTITUTE(SUBSTITUTE($I426,CHAR(61),""),CHAR(34),"")&amp;"|"&amp;$K426&amp;"|"&amp;$G426&amp;"|"&amp;IF($G426="TX_CURR_SUBNAT.R","CY2020Q4",$M426),"")</f>
        <v>[FjSmRywOWUp]|40-44|Female|TX_CURR_SUBNAT.T_1|CY2021Q3</v>
      </c>
    </row>
    <row r="427" customFormat="false" ht="15" hidden="false" customHeight="false" outlineLevel="0" collapsed="false">
      <c r="D427" s="0" t="s">
        <v>103</v>
      </c>
      <c r="E427" s="0" t="s">
        <v>104</v>
      </c>
      <c r="F427" s="0" t="s">
        <v>47</v>
      </c>
      <c r="G427" s="0" t="s">
        <v>99</v>
      </c>
      <c r="H427" s="0" t="s">
        <v>100</v>
      </c>
      <c r="I427" s="0" t="s">
        <v>77</v>
      </c>
      <c r="J427" s="0" t="s">
        <v>78</v>
      </c>
      <c r="K427" s="0" t="s">
        <v>58</v>
      </c>
      <c r="L427" s="0" t="s">
        <v>59</v>
      </c>
      <c r="M427" s="0" t="s">
        <v>50</v>
      </c>
      <c r="N427" s="0" t="n">
        <v>2217</v>
      </c>
      <c r="O427" s="0" t="n">
        <v>51</v>
      </c>
      <c r="P427" s="0" t="n">
        <v>8</v>
      </c>
      <c r="Q427" s="5" t="str">
        <f aca="false">IF($D427&lt;&gt;"","["&amp;$E427&amp;"]"&amp;"|"&amp;SUBSTITUTE(SUBSTITUTE($I427,CHAR(61),""),CHAR(34),"")&amp;"|"&amp;$K427&amp;"|"&amp;$G427&amp;"|"&amp;IF($G427="TX_CURR_SUBNAT.R","CY2020Q4",$M427),"")</f>
        <v>[FjSmRywOWUp]|40-44|Male|TX_CURR_SUBNAT.T_1|CY2021Q3</v>
      </c>
    </row>
    <row r="428" customFormat="false" ht="15" hidden="false" customHeight="false" outlineLevel="0" collapsed="false">
      <c r="D428" s="0" t="s">
        <v>103</v>
      </c>
      <c r="E428" s="0" t="s">
        <v>104</v>
      </c>
      <c r="F428" s="0" t="s">
        <v>47</v>
      </c>
      <c r="G428" s="0" t="s">
        <v>99</v>
      </c>
      <c r="H428" s="0" t="s">
        <v>100</v>
      </c>
      <c r="I428" s="0" t="s">
        <v>80</v>
      </c>
      <c r="J428" s="0" t="s">
        <v>81</v>
      </c>
      <c r="K428" s="0" t="s">
        <v>56</v>
      </c>
      <c r="L428" s="0" t="s">
        <v>57</v>
      </c>
      <c r="M428" s="0" t="s">
        <v>50</v>
      </c>
      <c r="N428" s="0" t="n">
        <v>2882</v>
      </c>
      <c r="O428" s="0" t="n">
        <v>31</v>
      </c>
      <c r="P428" s="0" t="n">
        <v>34</v>
      </c>
      <c r="Q428" s="5" t="str">
        <f aca="false">IF($D428&lt;&gt;"","["&amp;$E428&amp;"]"&amp;"|"&amp;SUBSTITUTE(SUBSTITUTE($I428,CHAR(61),""),CHAR(34),"")&amp;"|"&amp;$K428&amp;"|"&amp;$G428&amp;"|"&amp;IF($G428="TX_CURR_SUBNAT.R","CY2020Q4",$M428),"")</f>
        <v>[FjSmRywOWUp]|45-49|Female|TX_CURR_SUBNAT.T_1|CY2021Q3</v>
      </c>
    </row>
    <row r="429" customFormat="false" ht="15" hidden="false" customHeight="false" outlineLevel="0" collapsed="false">
      <c r="D429" s="0" t="s">
        <v>103</v>
      </c>
      <c r="E429" s="0" t="s">
        <v>104</v>
      </c>
      <c r="F429" s="0" t="s">
        <v>47</v>
      </c>
      <c r="G429" s="0" t="s">
        <v>99</v>
      </c>
      <c r="H429" s="0" t="s">
        <v>100</v>
      </c>
      <c r="I429" s="0" t="s">
        <v>80</v>
      </c>
      <c r="J429" s="0" t="s">
        <v>81</v>
      </c>
      <c r="K429" s="0" t="s">
        <v>58</v>
      </c>
      <c r="L429" s="0" t="s">
        <v>59</v>
      </c>
      <c r="M429" s="0" t="s">
        <v>50</v>
      </c>
      <c r="N429" s="0" t="n">
        <v>1852</v>
      </c>
      <c r="O429" s="0" t="n">
        <v>59</v>
      </c>
      <c r="P429" s="0" t="n">
        <v>17</v>
      </c>
      <c r="Q429" s="5" t="str">
        <f aca="false">IF($D429&lt;&gt;"","["&amp;$E429&amp;"]"&amp;"|"&amp;SUBSTITUTE(SUBSTITUTE($I429,CHAR(61),""),CHAR(34),"")&amp;"|"&amp;$K429&amp;"|"&amp;$G429&amp;"|"&amp;IF($G429="TX_CURR_SUBNAT.R","CY2020Q4",$M429),"")</f>
        <v>[FjSmRywOWUp]|45-49|Male|TX_CURR_SUBNAT.T_1|CY2021Q3</v>
      </c>
    </row>
    <row r="430" customFormat="false" ht="15" hidden="false" customHeight="false" outlineLevel="0" collapsed="false">
      <c r="D430" s="0" t="s">
        <v>103</v>
      </c>
      <c r="E430" s="0" t="s">
        <v>104</v>
      </c>
      <c r="F430" s="0" t="s">
        <v>47</v>
      </c>
      <c r="G430" s="0" t="s">
        <v>99</v>
      </c>
      <c r="H430" s="0" t="s">
        <v>100</v>
      </c>
      <c r="I430" s="0" t="s">
        <v>83</v>
      </c>
      <c r="J430" s="0" t="s">
        <v>84</v>
      </c>
      <c r="K430" s="0" t="s">
        <v>56</v>
      </c>
      <c r="L430" s="0" t="s">
        <v>57</v>
      </c>
      <c r="M430" s="0" t="s">
        <v>50</v>
      </c>
      <c r="N430" s="0" t="n">
        <v>162</v>
      </c>
      <c r="O430" s="0" t="n">
        <v>20</v>
      </c>
      <c r="P430" s="0" t="n">
        <v>28</v>
      </c>
      <c r="Q430" s="5" t="str">
        <f aca="false">IF($D430&lt;&gt;"","["&amp;$E430&amp;"]"&amp;"|"&amp;SUBSTITUTE(SUBSTITUTE($I430,CHAR(61),""),CHAR(34),"")&amp;"|"&amp;$K430&amp;"|"&amp;$G430&amp;"|"&amp;IF($G430="TX_CURR_SUBNAT.R","CY2020Q4",$M430),"")</f>
        <v>[FjSmRywOWUp]|05-09|Female|TX_CURR_SUBNAT.T_1|CY2021Q3</v>
      </c>
    </row>
    <row r="431" customFormat="false" ht="15" hidden="false" customHeight="false" outlineLevel="0" collapsed="false">
      <c r="D431" s="0" t="s">
        <v>103</v>
      </c>
      <c r="E431" s="0" t="s">
        <v>104</v>
      </c>
      <c r="F431" s="0" t="s">
        <v>47</v>
      </c>
      <c r="G431" s="0" t="s">
        <v>99</v>
      </c>
      <c r="H431" s="0" t="s">
        <v>100</v>
      </c>
      <c r="I431" s="0" t="s">
        <v>83</v>
      </c>
      <c r="J431" s="0" t="s">
        <v>84</v>
      </c>
      <c r="K431" s="0" t="s">
        <v>58</v>
      </c>
      <c r="L431" s="0" t="s">
        <v>59</v>
      </c>
      <c r="M431" s="0" t="s">
        <v>50</v>
      </c>
      <c r="N431" s="0" t="n">
        <v>165</v>
      </c>
      <c r="O431" s="0" t="n">
        <v>36</v>
      </c>
      <c r="P431" s="0" t="n">
        <v>46</v>
      </c>
      <c r="Q431" s="5" t="str">
        <f aca="false">IF($D431&lt;&gt;"","["&amp;$E431&amp;"]"&amp;"|"&amp;SUBSTITUTE(SUBSTITUTE($I431,CHAR(61),""),CHAR(34),"")&amp;"|"&amp;$K431&amp;"|"&amp;$G431&amp;"|"&amp;IF($G431="TX_CURR_SUBNAT.R","CY2020Q4",$M431),"")</f>
        <v>[FjSmRywOWUp]|05-09|Male|TX_CURR_SUBNAT.T_1|CY2021Q3</v>
      </c>
    </row>
    <row r="432" customFormat="false" ht="15" hidden="false" customHeight="false" outlineLevel="0" collapsed="false">
      <c r="D432" s="0" t="s">
        <v>103</v>
      </c>
      <c r="E432" s="0" t="s">
        <v>104</v>
      </c>
      <c r="F432" s="0" t="s">
        <v>47</v>
      </c>
      <c r="G432" s="0" t="s">
        <v>99</v>
      </c>
      <c r="H432" s="0" t="s">
        <v>100</v>
      </c>
      <c r="I432" s="53" t="s">
        <v>86</v>
      </c>
      <c r="J432" s="0" t="s">
        <v>87</v>
      </c>
      <c r="K432" s="0" t="s">
        <v>56</v>
      </c>
      <c r="L432" s="0" t="s">
        <v>57</v>
      </c>
      <c r="M432" s="0" t="s">
        <v>50</v>
      </c>
      <c r="N432" s="0" t="n">
        <v>6068</v>
      </c>
      <c r="O432" s="0" t="n">
        <v>57</v>
      </c>
      <c r="P432" s="0" t="n">
        <v>34</v>
      </c>
      <c r="Q432" s="5" t="str">
        <f aca="false">IF($D432&lt;&gt;"","["&amp;$E432&amp;"]"&amp;"|"&amp;SUBSTITUTE(SUBSTITUTE($I432,CHAR(61),""),CHAR(34),"")&amp;"|"&amp;$K432&amp;"|"&amp;$G432&amp;"|"&amp;IF($G432="TX_CURR_SUBNAT.R","CY2020Q4",$M432),"")</f>
        <v>[FjSmRywOWUp]|50+|Female|TX_CURR_SUBNAT.T_1|CY2021Q3</v>
      </c>
    </row>
    <row r="433" customFormat="false" ht="15" hidden="false" customHeight="false" outlineLevel="0" collapsed="false">
      <c r="D433" s="0" t="s">
        <v>103</v>
      </c>
      <c r="E433" s="0" t="s">
        <v>104</v>
      </c>
      <c r="F433" s="0" t="s">
        <v>47</v>
      </c>
      <c r="G433" s="0" t="s">
        <v>99</v>
      </c>
      <c r="H433" s="0" t="s">
        <v>100</v>
      </c>
      <c r="I433" s="53" t="s">
        <v>86</v>
      </c>
      <c r="J433" s="0" t="s">
        <v>87</v>
      </c>
      <c r="K433" s="0" t="s">
        <v>58</v>
      </c>
      <c r="L433" s="0" t="s">
        <v>59</v>
      </c>
      <c r="M433" s="0" t="s">
        <v>50</v>
      </c>
      <c r="N433" s="0" t="n">
        <v>4012</v>
      </c>
      <c r="O433" s="0" t="n">
        <v>20</v>
      </c>
      <c r="P433" s="0" t="n">
        <v>26</v>
      </c>
      <c r="Q433" s="5" t="str">
        <f aca="false">IF($D433&lt;&gt;"","["&amp;$E433&amp;"]"&amp;"|"&amp;SUBSTITUTE(SUBSTITUTE($I433,CHAR(61),""),CHAR(34),"")&amp;"|"&amp;$K433&amp;"|"&amp;$G433&amp;"|"&amp;IF($G433="TX_CURR_SUBNAT.R","CY2020Q4",$M433),"")</f>
        <v>[FjSmRywOWUp]|50+|Male|TX_CURR_SUBNAT.T_1|CY2021Q3</v>
      </c>
    </row>
    <row r="434" customFormat="false" ht="15" hidden="false" customHeight="false" outlineLevel="0" collapsed="false">
      <c r="D434" s="0" t="s">
        <v>103</v>
      </c>
      <c r="E434" s="0" t="s">
        <v>104</v>
      </c>
      <c r="F434" s="0" t="s">
        <v>47</v>
      </c>
      <c r="G434" s="0" t="s">
        <v>99</v>
      </c>
      <c r="H434" s="0" t="s">
        <v>100</v>
      </c>
      <c r="I434" s="0" t="s">
        <v>89</v>
      </c>
      <c r="J434" s="0" t="s">
        <v>90</v>
      </c>
      <c r="K434" s="0" t="s">
        <v>56</v>
      </c>
      <c r="L434" s="0" t="s">
        <v>57</v>
      </c>
      <c r="M434" s="0" t="s">
        <v>50</v>
      </c>
      <c r="N434" s="0" t="n">
        <v>10</v>
      </c>
      <c r="O434" s="0" t="n">
        <v>41</v>
      </c>
      <c r="P434" s="0" t="n">
        <v>32</v>
      </c>
      <c r="Q434" s="5" t="str">
        <f aca="false">IF($D434&lt;&gt;"","["&amp;$E434&amp;"]"&amp;"|"&amp;SUBSTITUTE(SUBSTITUTE($I434,CHAR(61),""),CHAR(34),"")&amp;"|"&amp;$K434&amp;"|"&amp;$G434&amp;"|"&amp;IF($G434="TX_CURR_SUBNAT.R","CY2020Q4",$M434),"")</f>
        <v>[FjSmRywOWUp]|&lt;01|Female|TX_CURR_SUBNAT.T_1|CY2021Q3</v>
      </c>
    </row>
    <row r="435" customFormat="false" ht="15" hidden="false" customHeight="false" outlineLevel="0" collapsed="false">
      <c r="D435" s="0" t="s">
        <v>103</v>
      </c>
      <c r="E435" s="0" t="s">
        <v>104</v>
      </c>
      <c r="F435" s="0" t="s">
        <v>47</v>
      </c>
      <c r="G435" s="0" t="s">
        <v>99</v>
      </c>
      <c r="H435" s="0" t="s">
        <v>100</v>
      </c>
      <c r="I435" s="0" t="s">
        <v>89</v>
      </c>
      <c r="J435" s="0" t="s">
        <v>90</v>
      </c>
      <c r="K435" s="0" t="s">
        <v>58</v>
      </c>
      <c r="L435" s="0" t="s">
        <v>59</v>
      </c>
      <c r="M435" s="0" t="s">
        <v>50</v>
      </c>
      <c r="N435" s="0" t="n">
        <v>10</v>
      </c>
      <c r="O435" s="0" t="n">
        <v>11</v>
      </c>
      <c r="P435" s="0" t="n">
        <v>14</v>
      </c>
      <c r="Q435" s="5" t="str">
        <f aca="false">IF($D435&lt;&gt;"","["&amp;$E435&amp;"]"&amp;"|"&amp;SUBSTITUTE(SUBSTITUTE($I435,CHAR(61),""),CHAR(34),"")&amp;"|"&amp;$K435&amp;"|"&amp;$G435&amp;"|"&amp;IF($G435="TX_CURR_SUBNAT.R","CY2020Q4",$M435),"")</f>
        <v>[FjSmRywOWUp]|&lt;01|Male|TX_CURR_SUBNAT.T_1|CY2021Q3</v>
      </c>
    </row>
    <row r="436" customFormat="false" ht="15" hidden="false" customHeight="false" outlineLevel="0" collapsed="false">
      <c r="D436" s="0" t="s">
        <v>105</v>
      </c>
      <c r="E436" s="0" t="s">
        <v>106</v>
      </c>
      <c r="F436" s="0" t="s">
        <v>47</v>
      </c>
      <c r="G436" s="0" t="s">
        <v>52</v>
      </c>
      <c r="H436" s="0" t="s">
        <v>53</v>
      </c>
      <c r="I436" s="0" t="s">
        <v>54</v>
      </c>
      <c r="J436" s="0" t="s">
        <v>55</v>
      </c>
      <c r="K436" s="0" t="s">
        <v>56</v>
      </c>
      <c r="L436" s="0" t="s">
        <v>57</v>
      </c>
      <c r="M436" s="0" t="s">
        <v>50</v>
      </c>
      <c r="N436" s="0" t="n">
        <v>6085</v>
      </c>
      <c r="O436" s="0" t="n">
        <v>34</v>
      </c>
      <c r="P436" s="0" t="n">
        <v>16</v>
      </c>
      <c r="Q436" s="5" t="str">
        <f aca="false">IF($D436&lt;&gt;"","["&amp;$E436&amp;"]"&amp;"|"&amp;SUBSTITUTE(SUBSTITUTE($I436,CHAR(61),""),CHAR(34),"")&amp;"|"&amp;$K436&amp;"|"&amp;$G436&amp;"|"&amp;IF($G436="TX_CURR_SUBNAT.R","CY2020Q4",$M436),"")</f>
        <v>[YGI7vISD2kJ]|01-04|Female|POP_EST.T_1|CY2021Q3</v>
      </c>
    </row>
    <row r="437" customFormat="false" ht="15" hidden="false" customHeight="false" outlineLevel="0" collapsed="false">
      <c r="D437" s="0" t="s">
        <v>105</v>
      </c>
      <c r="E437" s="0" t="s">
        <v>106</v>
      </c>
      <c r="F437" s="0" t="s">
        <v>47</v>
      </c>
      <c r="G437" s="0" t="s">
        <v>52</v>
      </c>
      <c r="H437" s="0" t="s">
        <v>53</v>
      </c>
      <c r="I437" s="0" t="s">
        <v>54</v>
      </c>
      <c r="J437" s="0" t="s">
        <v>55</v>
      </c>
      <c r="K437" s="0" t="s">
        <v>58</v>
      </c>
      <c r="L437" s="0" t="s">
        <v>59</v>
      </c>
      <c r="M437" s="0" t="s">
        <v>50</v>
      </c>
      <c r="N437" s="0" t="n">
        <v>6270</v>
      </c>
      <c r="O437" s="0" t="n">
        <v>34</v>
      </c>
      <c r="P437" s="0" t="n">
        <v>30</v>
      </c>
      <c r="Q437" s="5" t="str">
        <f aca="false">IF($D437&lt;&gt;"","["&amp;$E437&amp;"]"&amp;"|"&amp;SUBSTITUTE(SUBSTITUTE($I437,CHAR(61),""),CHAR(34),"")&amp;"|"&amp;$K437&amp;"|"&amp;$G437&amp;"|"&amp;IF($G437="TX_CURR_SUBNAT.R","CY2020Q4",$M437),"")</f>
        <v>[YGI7vISD2kJ]|01-04|Male|POP_EST.T_1|CY2021Q3</v>
      </c>
    </row>
    <row r="438" customFormat="false" ht="15" hidden="false" customHeight="false" outlineLevel="0" collapsed="false">
      <c r="D438" s="0" t="s">
        <v>105</v>
      </c>
      <c r="E438" s="0" t="s">
        <v>106</v>
      </c>
      <c r="F438" s="0" t="s">
        <v>47</v>
      </c>
      <c r="G438" s="0" t="s">
        <v>52</v>
      </c>
      <c r="H438" s="0" t="s">
        <v>53</v>
      </c>
      <c r="I438" s="0" t="s">
        <v>61</v>
      </c>
      <c r="J438" s="0" t="s">
        <v>62</v>
      </c>
      <c r="K438" s="0" t="s">
        <v>56</v>
      </c>
      <c r="L438" s="0" t="s">
        <v>57</v>
      </c>
      <c r="M438" s="0" t="s">
        <v>50</v>
      </c>
      <c r="N438" s="0" t="n">
        <v>8928</v>
      </c>
      <c r="O438" s="0" t="n">
        <v>55</v>
      </c>
      <c r="P438" s="0" t="n">
        <v>50</v>
      </c>
      <c r="Q438" s="5" t="str">
        <f aca="false">IF($D438&lt;&gt;"","["&amp;$E438&amp;"]"&amp;"|"&amp;SUBSTITUTE(SUBSTITUTE($I438,CHAR(61),""),CHAR(34),"")&amp;"|"&amp;$K438&amp;"|"&amp;$G438&amp;"|"&amp;IF($G438="TX_CURR_SUBNAT.R","CY2020Q4",$M438),"")</f>
        <v>[YGI7vISD2kJ]|10-14|Female|POP_EST.T_1|CY2021Q3</v>
      </c>
    </row>
    <row r="439" customFormat="false" ht="15" hidden="false" customHeight="false" outlineLevel="0" collapsed="false">
      <c r="D439" s="0" t="s">
        <v>105</v>
      </c>
      <c r="E439" s="0" t="s">
        <v>106</v>
      </c>
      <c r="F439" s="0" t="s">
        <v>47</v>
      </c>
      <c r="G439" s="0" t="s">
        <v>52</v>
      </c>
      <c r="H439" s="0" t="s">
        <v>53</v>
      </c>
      <c r="I439" s="0" t="s">
        <v>61</v>
      </c>
      <c r="J439" s="0" t="s">
        <v>62</v>
      </c>
      <c r="K439" s="0" t="s">
        <v>58</v>
      </c>
      <c r="L439" s="0" t="s">
        <v>59</v>
      </c>
      <c r="M439" s="0" t="s">
        <v>50</v>
      </c>
      <c r="N439" s="0" t="n">
        <v>8753</v>
      </c>
      <c r="O439" s="0" t="n">
        <v>29</v>
      </c>
      <c r="P439" s="0" t="n">
        <v>18</v>
      </c>
      <c r="Q439" s="5" t="str">
        <f aca="false">IF($D439&lt;&gt;"","["&amp;$E439&amp;"]"&amp;"|"&amp;SUBSTITUTE(SUBSTITUTE($I439,CHAR(61),""),CHAR(34),"")&amp;"|"&amp;$K439&amp;"|"&amp;$G439&amp;"|"&amp;IF($G439="TX_CURR_SUBNAT.R","CY2020Q4",$M439),"")</f>
        <v>[YGI7vISD2kJ]|10-14|Male|POP_EST.T_1|CY2021Q3</v>
      </c>
    </row>
    <row r="440" customFormat="false" ht="15" hidden="false" customHeight="false" outlineLevel="0" collapsed="false">
      <c r="D440" s="0" t="s">
        <v>105</v>
      </c>
      <c r="E440" s="0" t="s">
        <v>106</v>
      </c>
      <c r="F440" s="0" t="s">
        <v>47</v>
      </c>
      <c r="G440" s="0" t="s">
        <v>52</v>
      </c>
      <c r="H440" s="0" t="s">
        <v>53</v>
      </c>
      <c r="I440" s="0" t="s">
        <v>63</v>
      </c>
      <c r="J440" s="0" t="s">
        <v>64</v>
      </c>
      <c r="K440" s="0" t="s">
        <v>56</v>
      </c>
      <c r="L440" s="0" t="s">
        <v>57</v>
      </c>
      <c r="M440" s="0" t="s">
        <v>50</v>
      </c>
      <c r="N440" s="0" t="n">
        <v>7445</v>
      </c>
      <c r="O440" s="0" t="n">
        <v>19</v>
      </c>
      <c r="P440" s="0" t="n">
        <v>12</v>
      </c>
      <c r="Q440" s="5" t="str">
        <f aca="false">IF($D440&lt;&gt;"","["&amp;$E440&amp;"]"&amp;"|"&amp;SUBSTITUTE(SUBSTITUTE($I440,CHAR(61),""),CHAR(34),"")&amp;"|"&amp;$K440&amp;"|"&amp;$G440&amp;"|"&amp;IF($G440="TX_CURR_SUBNAT.R","CY2020Q4",$M440),"")</f>
        <v>[YGI7vISD2kJ]|15-19|Female|POP_EST.T_1|CY2021Q3</v>
      </c>
    </row>
    <row r="441" customFormat="false" ht="15" hidden="false" customHeight="false" outlineLevel="0" collapsed="false">
      <c r="D441" s="0" t="s">
        <v>105</v>
      </c>
      <c r="E441" s="0" t="s">
        <v>106</v>
      </c>
      <c r="F441" s="0" t="s">
        <v>47</v>
      </c>
      <c r="G441" s="0" t="s">
        <v>52</v>
      </c>
      <c r="H441" s="0" t="s">
        <v>53</v>
      </c>
      <c r="I441" s="0" t="s">
        <v>63</v>
      </c>
      <c r="J441" s="0" t="s">
        <v>64</v>
      </c>
      <c r="K441" s="0" t="s">
        <v>58</v>
      </c>
      <c r="L441" s="0" t="s">
        <v>59</v>
      </c>
      <c r="M441" s="0" t="s">
        <v>50</v>
      </c>
      <c r="N441" s="0" t="n">
        <v>8177</v>
      </c>
      <c r="O441" s="0" t="n">
        <v>5</v>
      </c>
      <c r="P441" s="0" t="n">
        <v>22</v>
      </c>
      <c r="Q441" s="5" t="str">
        <f aca="false">IF($D441&lt;&gt;"","["&amp;$E441&amp;"]"&amp;"|"&amp;SUBSTITUTE(SUBSTITUTE($I441,CHAR(61),""),CHAR(34),"")&amp;"|"&amp;$K441&amp;"|"&amp;$G441&amp;"|"&amp;IF($G441="TX_CURR_SUBNAT.R","CY2020Q4",$M441),"")</f>
        <v>[YGI7vISD2kJ]|15-19|Male|POP_EST.T_1|CY2021Q3</v>
      </c>
    </row>
    <row r="442" customFormat="false" ht="15" hidden="false" customHeight="false" outlineLevel="0" collapsed="false">
      <c r="D442" s="0" t="s">
        <v>105</v>
      </c>
      <c r="E442" s="0" t="s">
        <v>106</v>
      </c>
      <c r="F442" s="0" t="s">
        <v>47</v>
      </c>
      <c r="G442" s="0" t="s">
        <v>52</v>
      </c>
      <c r="H442" s="0" t="s">
        <v>53</v>
      </c>
      <c r="I442" s="0" t="s">
        <v>66</v>
      </c>
      <c r="J442" s="0" t="s">
        <v>67</v>
      </c>
      <c r="K442" s="0" t="s">
        <v>56</v>
      </c>
      <c r="L442" s="0" t="s">
        <v>57</v>
      </c>
      <c r="M442" s="0" t="s">
        <v>50</v>
      </c>
      <c r="N442" s="0" t="n">
        <v>7079</v>
      </c>
      <c r="O442" s="0" t="n">
        <v>37</v>
      </c>
      <c r="P442" s="0" t="n">
        <v>22</v>
      </c>
      <c r="Q442" s="5" t="str">
        <f aca="false">IF($D442&lt;&gt;"","["&amp;$E442&amp;"]"&amp;"|"&amp;SUBSTITUTE(SUBSTITUTE($I442,CHAR(61),""),CHAR(34),"")&amp;"|"&amp;$K442&amp;"|"&amp;$G442&amp;"|"&amp;IF($G442="TX_CURR_SUBNAT.R","CY2020Q4",$M442),"")</f>
        <v>[YGI7vISD2kJ]|20-24|Female|POP_EST.T_1|CY2021Q3</v>
      </c>
    </row>
    <row r="443" customFormat="false" ht="15" hidden="false" customHeight="false" outlineLevel="0" collapsed="false">
      <c r="D443" s="0" t="s">
        <v>105</v>
      </c>
      <c r="E443" s="0" t="s">
        <v>106</v>
      </c>
      <c r="F443" s="0" t="s">
        <v>47</v>
      </c>
      <c r="G443" s="0" t="s">
        <v>52</v>
      </c>
      <c r="H443" s="0" t="s">
        <v>53</v>
      </c>
      <c r="I443" s="0" t="s">
        <v>66</v>
      </c>
      <c r="J443" s="0" t="s">
        <v>67</v>
      </c>
      <c r="K443" s="0" t="s">
        <v>58</v>
      </c>
      <c r="L443" s="0" t="s">
        <v>59</v>
      </c>
      <c r="M443" s="0" t="s">
        <v>50</v>
      </c>
      <c r="N443" s="0" t="n">
        <v>7344</v>
      </c>
      <c r="O443" s="0" t="n">
        <v>21</v>
      </c>
      <c r="P443" s="0" t="n">
        <v>20</v>
      </c>
      <c r="Q443" s="5" t="str">
        <f aca="false">IF($D443&lt;&gt;"","["&amp;$E443&amp;"]"&amp;"|"&amp;SUBSTITUTE(SUBSTITUTE($I443,CHAR(61),""),CHAR(34),"")&amp;"|"&amp;$K443&amp;"|"&amp;$G443&amp;"|"&amp;IF($G443="TX_CURR_SUBNAT.R","CY2020Q4",$M443),"")</f>
        <v>[YGI7vISD2kJ]|20-24|Male|POP_EST.T_1|CY2021Q3</v>
      </c>
    </row>
    <row r="444" customFormat="false" ht="15" hidden="false" customHeight="false" outlineLevel="0" collapsed="false">
      <c r="D444" s="0" t="s">
        <v>105</v>
      </c>
      <c r="E444" s="0" t="s">
        <v>106</v>
      </c>
      <c r="F444" s="0" t="s">
        <v>47</v>
      </c>
      <c r="G444" s="0" t="s">
        <v>52</v>
      </c>
      <c r="H444" s="0" t="s">
        <v>53</v>
      </c>
      <c r="I444" s="0" t="s">
        <v>69</v>
      </c>
      <c r="J444" s="0" t="s">
        <v>70</v>
      </c>
      <c r="K444" s="0" t="s">
        <v>56</v>
      </c>
      <c r="L444" s="0" t="s">
        <v>57</v>
      </c>
      <c r="M444" s="0" t="s">
        <v>50</v>
      </c>
      <c r="N444" s="0" t="n">
        <v>7139</v>
      </c>
      <c r="O444" s="0" t="n">
        <v>58</v>
      </c>
      <c r="P444" s="0" t="n">
        <v>13</v>
      </c>
      <c r="Q444" s="5" t="str">
        <f aca="false">IF($D444&lt;&gt;"","["&amp;$E444&amp;"]"&amp;"|"&amp;SUBSTITUTE(SUBSTITUTE($I444,CHAR(61),""),CHAR(34),"")&amp;"|"&amp;$K444&amp;"|"&amp;$G444&amp;"|"&amp;IF($G444="TX_CURR_SUBNAT.R","CY2020Q4",$M444),"")</f>
        <v>[YGI7vISD2kJ]|25-29|Female|POP_EST.T_1|CY2021Q3</v>
      </c>
    </row>
    <row r="445" customFormat="false" ht="15" hidden="false" customHeight="false" outlineLevel="0" collapsed="false">
      <c r="D445" s="0" t="s">
        <v>105</v>
      </c>
      <c r="E445" s="0" t="s">
        <v>106</v>
      </c>
      <c r="F445" s="0" t="s">
        <v>47</v>
      </c>
      <c r="G445" s="0" t="s">
        <v>52</v>
      </c>
      <c r="H445" s="0" t="s">
        <v>53</v>
      </c>
      <c r="I445" s="0" t="s">
        <v>69</v>
      </c>
      <c r="J445" s="0" t="s">
        <v>70</v>
      </c>
      <c r="K445" s="0" t="s">
        <v>58</v>
      </c>
      <c r="L445" s="0" t="s">
        <v>59</v>
      </c>
      <c r="M445" s="0" t="s">
        <v>50</v>
      </c>
      <c r="N445" s="0" t="n">
        <v>7855</v>
      </c>
      <c r="O445" s="0" t="n">
        <v>29</v>
      </c>
      <c r="P445" s="0" t="n">
        <v>26</v>
      </c>
      <c r="Q445" s="5" t="str">
        <f aca="false">IF($D445&lt;&gt;"","["&amp;$E445&amp;"]"&amp;"|"&amp;SUBSTITUTE(SUBSTITUTE($I445,CHAR(61),""),CHAR(34),"")&amp;"|"&amp;$K445&amp;"|"&amp;$G445&amp;"|"&amp;IF($G445="TX_CURR_SUBNAT.R","CY2020Q4",$M445),"")</f>
        <v>[YGI7vISD2kJ]|25-29|Male|POP_EST.T_1|CY2021Q3</v>
      </c>
    </row>
    <row r="446" customFormat="false" ht="15" hidden="false" customHeight="false" outlineLevel="0" collapsed="false">
      <c r="D446" s="0" t="s">
        <v>105</v>
      </c>
      <c r="E446" s="0" t="s">
        <v>106</v>
      </c>
      <c r="F446" s="0" t="s">
        <v>47</v>
      </c>
      <c r="G446" s="0" t="s">
        <v>52</v>
      </c>
      <c r="H446" s="0" t="s">
        <v>53</v>
      </c>
      <c r="I446" s="0" t="s">
        <v>72</v>
      </c>
      <c r="J446" s="0" t="s">
        <v>73</v>
      </c>
      <c r="K446" s="0" t="s">
        <v>56</v>
      </c>
      <c r="L446" s="0" t="s">
        <v>57</v>
      </c>
      <c r="M446" s="0" t="s">
        <v>50</v>
      </c>
      <c r="N446" s="0" t="n">
        <v>6556</v>
      </c>
      <c r="O446" s="0" t="n">
        <v>33</v>
      </c>
      <c r="P446" s="0" t="n">
        <v>12</v>
      </c>
      <c r="Q446" s="5" t="str">
        <f aca="false">IF($D446&lt;&gt;"","["&amp;$E446&amp;"]"&amp;"|"&amp;SUBSTITUTE(SUBSTITUTE($I446,CHAR(61),""),CHAR(34),"")&amp;"|"&amp;$K446&amp;"|"&amp;$G446&amp;"|"&amp;IF($G446="TX_CURR_SUBNAT.R","CY2020Q4",$M446),"")</f>
        <v>[YGI7vISD2kJ]|30-34|Female|POP_EST.T_1|CY2021Q3</v>
      </c>
    </row>
    <row r="447" customFormat="false" ht="15" hidden="false" customHeight="false" outlineLevel="0" collapsed="false">
      <c r="D447" s="0" t="s">
        <v>105</v>
      </c>
      <c r="E447" s="0" t="s">
        <v>106</v>
      </c>
      <c r="F447" s="0" t="s">
        <v>47</v>
      </c>
      <c r="G447" s="0" t="s">
        <v>52</v>
      </c>
      <c r="H447" s="0" t="s">
        <v>53</v>
      </c>
      <c r="I447" s="0" t="s">
        <v>72</v>
      </c>
      <c r="J447" s="0" t="s">
        <v>73</v>
      </c>
      <c r="K447" s="0" t="s">
        <v>58</v>
      </c>
      <c r="L447" s="0" t="s">
        <v>59</v>
      </c>
      <c r="M447" s="0" t="s">
        <v>50</v>
      </c>
      <c r="N447" s="0" t="n">
        <v>7762</v>
      </c>
      <c r="O447" s="0" t="n">
        <v>16</v>
      </c>
      <c r="P447" s="0" t="n">
        <v>20</v>
      </c>
      <c r="Q447" s="5" t="str">
        <f aca="false">IF($D447&lt;&gt;"","["&amp;$E447&amp;"]"&amp;"|"&amp;SUBSTITUTE(SUBSTITUTE($I447,CHAR(61),""),CHAR(34),"")&amp;"|"&amp;$K447&amp;"|"&amp;$G447&amp;"|"&amp;IF($G447="TX_CURR_SUBNAT.R","CY2020Q4",$M447),"")</f>
        <v>[YGI7vISD2kJ]|30-34|Male|POP_EST.T_1|CY2021Q3</v>
      </c>
    </row>
    <row r="448" customFormat="false" ht="15" hidden="false" customHeight="false" outlineLevel="0" collapsed="false">
      <c r="D448" s="0" t="s">
        <v>105</v>
      </c>
      <c r="E448" s="0" t="s">
        <v>106</v>
      </c>
      <c r="F448" s="0" t="s">
        <v>47</v>
      </c>
      <c r="G448" s="0" t="s">
        <v>52</v>
      </c>
      <c r="H448" s="0" t="s">
        <v>53</v>
      </c>
      <c r="I448" s="0" t="s">
        <v>75</v>
      </c>
      <c r="J448" s="0" t="s">
        <v>76</v>
      </c>
      <c r="K448" s="0" t="s">
        <v>56</v>
      </c>
      <c r="L448" s="0" t="s">
        <v>57</v>
      </c>
      <c r="M448" s="0" t="s">
        <v>50</v>
      </c>
      <c r="N448" s="0" t="n">
        <v>4644</v>
      </c>
      <c r="O448" s="0" t="n">
        <v>20</v>
      </c>
      <c r="P448" s="0" t="n">
        <v>30</v>
      </c>
      <c r="Q448" s="5" t="str">
        <f aca="false">IF($D448&lt;&gt;"","["&amp;$E448&amp;"]"&amp;"|"&amp;SUBSTITUTE(SUBSTITUTE($I448,CHAR(61),""),CHAR(34),"")&amp;"|"&amp;$K448&amp;"|"&amp;$G448&amp;"|"&amp;IF($G448="TX_CURR_SUBNAT.R","CY2020Q4",$M448),"")</f>
        <v>[YGI7vISD2kJ]|35-39|Female|POP_EST.T_1|CY2021Q3</v>
      </c>
    </row>
    <row r="449" customFormat="false" ht="15" hidden="false" customHeight="false" outlineLevel="0" collapsed="false">
      <c r="D449" s="0" t="s">
        <v>105</v>
      </c>
      <c r="E449" s="0" t="s">
        <v>106</v>
      </c>
      <c r="F449" s="0" t="s">
        <v>47</v>
      </c>
      <c r="G449" s="0" t="s">
        <v>52</v>
      </c>
      <c r="H449" s="0" t="s">
        <v>53</v>
      </c>
      <c r="I449" s="0" t="s">
        <v>75</v>
      </c>
      <c r="J449" s="0" t="s">
        <v>76</v>
      </c>
      <c r="K449" s="0" t="s">
        <v>58</v>
      </c>
      <c r="L449" s="0" t="s">
        <v>59</v>
      </c>
      <c r="M449" s="0" t="s">
        <v>50</v>
      </c>
      <c r="N449" s="0" t="n">
        <v>5666</v>
      </c>
      <c r="O449" s="0" t="n">
        <v>13</v>
      </c>
      <c r="P449" s="0" t="n">
        <v>40</v>
      </c>
      <c r="Q449" s="5" t="str">
        <f aca="false">IF($D449&lt;&gt;"","["&amp;$E449&amp;"]"&amp;"|"&amp;SUBSTITUTE(SUBSTITUTE($I449,CHAR(61),""),CHAR(34),"")&amp;"|"&amp;$K449&amp;"|"&amp;$G449&amp;"|"&amp;IF($G449="TX_CURR_SUBNAT.R","CY2020Q4",$M449),"")</f>
        <v>[YGI7vISD2kJ]|35-39|Male|POP_EST.T_1|CY2021Q3</v>
      </c>
    </row>
    <row r="450" customFormat="false" ht="15" hidden="false" customHeight="false" outlineLevel="0" collapsed="false">
      <c r="D450" s="0" t="s">
        <v>105</v>
      </c>
      <c r="E450" s="0" t="s">
        <v>106</v>
      </c>
      <c r="F450" s="0" t="s">
        <v>47</v>
      </c>
      <c r="G450" s="0" t="s">
        <v>52</v>
      </c>
      <c r="H450" s="0" t="s">
        <v>53</v>
      </c>
      <c r="I450" s="0" t="s">
        <v>77</v>
      </c>
      <c r="J450" s="0" t="s">
        <v>78</v>
      </c>
      <c r="K450" s="0" t="s">
        <v>56</v>
      </c>
      <c r="L450" s="0" t="s">
        <v>57</v>
      </c>
      <c r="M450" s="0" t="s">
        <v>50</v>
      </c>
      <c r="N450" s="0" t="n">
        <v>3526</v>
      </c>
      <c r="O450" s="0" t="n">
        <v>31</v>
      </c>
      <c r="P450" s="0" t="n">
        <v>47</v>
      </c>
      <c r="Q450" s="5" t="str">
        <f aca="false">IF($D450&lt;&gt;"","["&amp;$E450&amp;"]"&amp;"|"&amp;SUBSTITUTE(SUBSTITUTE($I450,CHAR(61),""),CHAR(34),"")&amp;"|"&amp;$K450&amp;"|"&amp;$G450&amp;"|"&amp;IF($G450="TX_CURR_SUBNAT.R","CY2020Q4",$M450),"")</f>
        <v>[YGI7vISD2kJ]|40-44|Female|POP_EST.T_1|CY2021Q3</v>
      </c>
    </row>
    <row r="451" customFormat="false" ht="15" hidden="false" customHeight="false" outlineLevel="0" collapsed="false">
      <c r="D451" s="0" t="s">
        <v>105</v>
      </c>
      <c r="E451" s="0" t="s">
        <v>106</v>
      </c>
      <c r="F451" s="0" t="s">
        <v>47</v>
      </c>
      <c r="G451" s="0" t="s">
        <v>52</v>
      </c>
      <c r="H451" s="0" t="s">
        <v>53</v>
      </c>
      <c r="I451" s="0" t="s">
        <v>77</v>
      </c>
      <c r="J451" s="0" t="s">
        <v>78</v>
      </c>
      <c r="K451" s="0" t="s">
        <v>58</v>
      </c>
      <c r="L451" s="0" t="s">
        <v>59</v>
      </c>
      <c r="M451" s="0" t="s">
        <v>50</v>
      </c>
      <c r="N451" s="0" t="n">
        <v>3842</v>
      </c>
      <c r="O451" s="0" t="n">
        <v>43</v>
      </c>
      <c r="P451" s="0" t="n">
        <v>47</v>
      </c>
      <c r="Q451" s="5" t="str">
        <f aca="false">IF($D451&lt;&gt;"","["&amp;$E451&amp;"]"&amp;"|"&amp;SUBSTITUTE(SUBSTITUTE($I451,CHAR(61),""),CHAR(34),"")&amp;"|"&amp;$K451&amp;"|"&amp;$G451&amp;"|"&amp;IF($G451="TX_CURR_SUBNAT.R","CY2020Q4",$M451),"")</f>
        <v>[YGI7vISD2kJ]|40-44|Male|POP_EST.T_1|CY2021Q3</v>
      </c>
    </row>
    <row r="452" customFormat="false" ht="15" hidden="false" customHeight="false" outlineLevel="0" collapsed="false">
      <c r="D452" s="0" t="s">
        <v>105</v>
      </c>
      <c r="E452" s="0" t="s">
        <v>106</v>
      </c>
      <c r="F452" s="0" t="s">
        <v>47</v>
      </c>
      <c r="G452" s="0" t="s">
        <v>52</v>
      </c>
      <c r="H452" s="0" t="s">
        <v>53</v>
      </c>
      <c r="I452" s="0" t="s">
        <v>80</v>
      </c>
      <c r="J452" s="0" t="s">
        <v>81</v>
      </c>
      <c r="K452" s="0" t="s">
        <v>56</v>
      </c>
      <c r="L452" s="0" t="s">
        <v>57</v>
      </c>
      <c r="M452" s="0" t="s">
        <v>50</v>
      </c>
      <c r="N452" s="0" t="n">
        <v>2998</v>
      </c>
      <c r="O452" s="0" t="n">
        <v>60</v>
      </c>
      <c r="P452" s="0" t="n">
        <v>41</v>
      </c>
      <c r="Q452" s="5" t="str">
        <f aca="false">IF($D452&lt;&gt;"","["&amp;$E452&amp;"]"&amp;"|"&amp;SUBSTITUTE(SUBSTITUTE($I452,CHAR(61),""),CHAR(34),"")&amp;"|"&amp;$K452&amp;"|"&amp;$G452&amp;"|"&amp;IF($G452="TX_CURR_SUBNAT.R","CY2020Q4",$M452),"")</f>
        <v>[YGI7vISD2kJ]|45-49|Female|POP_EST.T_1|CY2021Q3</v>
      </c>
    </row>
    <row r="453" customFormat="false" ht="15" hidden="false" customHeight="false" outlineLevel="0" collapsed="false">
      <c r="D453" s="0" t="s">
        <v>105</v>
      </c>
      <c r="E453" s="0" t="s">
        <v>106</v>
      </c>
      <c r="F453" s="0" t="s">
        <v>47</v>
      </c>
      <c r="G453" s="0" t="s">
        <v>52</v>
      </c>
      <c r="H453" s="0" t="s">
        <v>53</v>
      </c>
      <c r="I453" s="0" t="s">
        <v>80</v>
      </c>
      <c r="J453" s="0" t="s">
        <v>81</v>
      </c>
      <c r="K453" s="0" t="s">
        <v>58</v>
      </c>
      <c r="L453" s="0" t="s">
        <v>59</v>
      </c>
      <c r="M453" s="0" t="s">
        <v>50</v>
      </c>
      <c r="N453" s="0" t="n">
        <v>2708</v>
      </c>
      <c r="O453" s="0" t="n">
        <v>45</v>
      </c>
      <c r="P453" s="0" t="n">
        <v>38</v>
      </c>
      <c r="Q453" s="5" t="str">
        <f aca="false">IF($D453&lt;&gt;"","["&amp;$E453&amp;"]"&amp;"|"&amp;SUBSTITUTE(SUBSTITUTE($I453,CHAR(61),""),CHAR(34),"")&amp;"|"&amp;$K453&amp;"|"&amp;$G453&amp;"|"&amp;IF($G453="TX_CURR_SUBNAT.R","CY2020Q4",$M453),"")</f>
        <v>[YGI7vISD2kJ]|45-49|Male|POP_EST.T_1|CY2021Q3</v>
      </c>
    </row>
    <row r="454" customFormat="false" ht="15" hidden="false" customHeight="false" outlineLevel="0" collapsed="false">
      <c r="D454" s="0" t="s">
        <v>105</v>
      </c>
      <c r="E454" s="0" t="s">
        <v>106</v>
      </c>
      <c r="F454" s="0" t="s">
        <v>47</v>
      </c>
      <c r="G454" s="0" t="s">
        <v>52</v>
      </c>
      <c r="H454" s="0" t="s">
        <v>53</v>
      </c>
      <c r="I454" s="0" t="s">
        <v>83</v>
      </c>
      <c r="J454" s="0" t="s">
        <v>84</v>
      </c>
      <c r="K454" s="0" t="s">
        <v>56</v>
      </c>
      <c r="L454" s="0" t="s">
        <v>57</v>
      </c>
      <c r="M454" s="0" t="s">
        <v>50</v>
      </c>
      <c r="N454" s="0" t="n">
        <v>9204</v>
      </c>
      <c r="O454" s="0" t="n">
        <v>28</v>
      </c>
      <c r="P454" s="0" t="n">
        <v>5</v>
      </c>
      <c r="Q454" s="5" t="str">
        <f aca="false">IF($D454&lt;&gt;"","["&amp;$E454&amp;"]"&amp;"|"&amp;SUBSTITUTE(SUBSTITUTE($I454,CHAR(61),""),CHAR(34),"")&amp;"|"&amp;$K454&amp;"|"&amp;$G454&amp;"|"&amp;IF($G454="TX_CURR_SUBNAT.R","CY2020Q4",$M454),"")</f>
        <v>[YGI7vISD2kJ]|05-09|Female|POP_EST.T_1|CY2021Q3</v>
      </c>
    </row>
    <row r="455" customFormat="false" ht="15" hidden="false" customHeight="false" outlineLevel="0" collapsed="false">
      <c r="D455" s="0" t="s">
        <v>105</v>
      </c>
      <c r="E455" s="0" t="s">
        <v>106</v>
      </c>
      <c r="F455" s="0" t="s">
        <v>47</v>
      </c>
      <c r="G455" s="0" t="s">
        <v>52</v>
      </c>
      <c r="H455" s="0" t="s">
        <v>53</v>
      </c>
      <c r="I455" s="0" t="s">
        <v>83</v>
      </c>
      <c r="J455" s="0" t="s">
        <v>84</v>
      </c>
      <c r="K455" s="0" t="s">
        <v>58</v>
      </c>
      <c r="L455" s="0" t="s">
        <v>59</v>
      </c>
      <c r="M455" s="0" t="s">
        <v>50</v>
      </c>
      <c r="N455" s="0" t="n">
        <v>8972</v>
      </c>
      <c r="O455" s="0" t="n">
        <v>45</v>
      </c>
      <c r="P455" s="0" t="n">
        <v>21</v>
      </c>
      <c r="Q455" s="5" t="str">
        <f aca="false">IF($D455&lt;&gt;"","["&amp;$E455&amp;"]"&amp;"|"&amp;SUBSTITUTE(SUBSTITUTE($I455,CHAR(61),""),CHAR(34),"")&amp;"|"&amp;$K455&amp;"|"&amp;$G455&amp;"|"&amp;IF($G455="TX_CURR_SUBNAT.R","CY2020Q4",$M455),"")</f>
        <v>[YGI7vISD2kJ]|05-09|Male|POP_EST.T_1|CY2021Q3</v>
      </c>
    </row>
    <row r="456" customFormat="false" ht="15" hidden="false" customHeight="false" outlineLevel="0" collapsed="false">
      <c r="D456" s="0" t="s">
        <v>105</v>
      </c>
      <c r="E456" s="0" t="s">
        <v>106</v>
      </c>
      <c r="F456" s="0" t="s">
        <v>47</v>
      </c>
      <c r="G456" s="0" t="s">
        <v>52</v>
      </c>
      <c r="H456" s="0" t="s">
        <v>53</v>
      </c>
      <c r="I456" s="53" t="s">
        <v>86</v>
      </c>
      <c r="J456" s="0" t="s">
        <v>87</v>
      </c>
      <c r="K456" s="0" t="s">
        <v>56</v>
      </c>
      <c r="L456" s="0" t="s">
        <v>57</v>
      </c>
      <c r="M456" s="0" t="s">
        <v>50</v>
      </c>
      <c r="N456" s="0" t="n">
        <v>17899</v>
      </c>
      <c r="O456" s="0" t="n">
        <v>4</v>
      </c>
      <c r="P456" s="0" t="n">
        <v>19</v>
      </c>
      <c r="Q456" s="5" t="str">
        <f aca="false">IF($D456&lt;&gt;"","["&amp;$E456&amp;"]"&amp;"|"&amp;SUBSTITUTE(SUBSTITUTE($I456,CHAR(61),""),CHAR(34),"")&amp;"|"&amp;$K456&amp;"|"&amp;$G456&amp;"|"&amp;IF($G456="TX_CURR_SUBNAT.R","CY2020Q4",$M456),"")</f>
        <v>[YGI7vISD2kJ]|50+|Female|POP_EST.T_1|CY2021Q3</v>
      </c>
    </row>
    <row r="457" customFormat="false" ht="15" hidden="false" customHeight="false" outlineLevel="0" collapsed="false">
      <c r="D457" s="0" t="s">
        <v>105</v>
      </c>
      <c r="E457" s="0" t="s">
        <v>106</v>
      </c>
      <c r="F457" s="0" t="s">
        <v>47</v>
      </c>
      <c r="G457" s="0" t="s">
        <v>52</v>
      </c>
      <c r="H457" s="0" t="s">
        <v>53</v>
      </c>
      <c r="I457" s="53" t="s">
        <v>86</v>
      </c>
      <c r="J457" s="0" t="s">
        <v>87</v>
      </c>
      <c r="K457" s="0" t="s">
        <v>58</v>
      </c>
      <c r="L457" s="0" t="s">
        <v>59</v>
      </c>
      <c r="M457" s="0" t="s">
        <v>50</v>
      </c>
      <c r="N457" s="0" t="n">
        <v>11413</v>
      </c>
      <c r="O457" s="0" t="n">
        <v>22</v>
      </c>
      <c r="P457" s="0" t="n">
        <v>13</v>
      </c>
      <c r="Q457" s="5" t="str">
        <f aca="false">IF($D457&lt;&gt;"","["&amp;$E457&amp;"]"&amp;"|"&amp;SUBSTITUTE(SUBSTITUTE($I457,CHAR(61),""),CHAR(34),"")&amp;"|"&amp;$K457&amp;"|"&amp;$G457&amp;"|"&amp;IF($G457="TX_CURR_SUBNAT.R","CY2020Q4",$M457),"")</f>
        <v>[YGI7vISD2kJ]|50+|Male|POP_EST.T_1|CY2021Q3</v>
      </c>
    </row>
    <row r="458" customFormat="false" ht="15" hidden="false" customHeight="false" outlineLevel="0" collapsed="false">
      <c r="D458" s="0" t="s">
        <v>105</v>
      </c>
      <c r="E458" s="0" t="s">
        <v>106</v>
      </c>
      <c r="F458" s="0" t="s">
        <v>47</v>
      </c>
      <c r="G458" s="0" t="s">
        <v>52</v>
      </c>
      <c r="H458" s="0" t="s">
        <v>53</v>
      </c>
      <c r="I458" s="0" t="s">
        <v>89</v>
      </c>
      <c r="J458" s="0" t="s">
        <v>90</v>
      </c>
      <c r="K458" s="0" t="s">
        <v>56</v>
      </c>
      <c r="L458" s="0" t="s">
        <v>57</v>
      </c>
      <c r="M458" s="0" t="s">
        <v>50</v>
      </c>
      <c r="N458" s="0" t="n">
        <v>1310</v>
      </c>
      <c r="O458" s="0" t="n">
        <v>28</v>
      </c>
      <c r="P458" s="0" t="n">
        <v>40</v>
      </c>
      <c r="Q458" s="5" t="str">
        <f aca="false">IF($D458&lt;&gt;"","["&amp;$E458&amp;"]"&amp;"|"&amp;SUBSTITUTE(SUBSTITUTE($I458,CHAR(61),""),CHAR(34),"")&amp;"|"&amp;$K458&amp;"|"&amp;$G458&amp;"|"&amp;IF($G458="TX_CURR_SUBNAT.R","CY2020Q4",$M458),"")</f>
        <v>[YGI7vISD2kJ]|&lt;01|Female|POP_EST.T_1|CY2021Q3</v>
      </c>
    </row>
    <row r="459" customFormat="false" ht="15" hidden="false" customHeight="false" outlineLevel="0" collapsed="false">
      <c r="D459" s="0" t="s">
        <v>105</v>
      </c>
      <c r="E459" s="0" t="s">
        <v>106</v>
      </c>
      <c r="F459" s="0" t="s">
        <v>47</v>
      </c>
      <c r="G459" s="0" t="s">
        <v>52</v>
      </c>
      <c r="H459" s="0" t="s">
        <v>53</v>
      </c>
      <c r="I459" s="0" t="s">
        <v>89</v>
      </c>
      <c r="J459" s="0" t="s">
        <v>90</v>
      </c>
      <c r="K459" s="0" t="s">
        <v>58</v>
      </c>
      <c r="L459" s="0" t="s">
        <v>59</v>
      </c>
      <c r="M459" s="0" t="s">
        <v>50</v>
      </c>
      <c r="N459" s="0" t="n">
        <v>1350</v>
      </c>
      <c r="O459" s="0" t="n">
        <v>37</v>
      </c>
      <c r="P459" s="0" t="n">
        <v>38</v>
      </c>
      <c r="Q459" s="5" t="str">
        <f aca="false">IF($D459&lt;&gt;"","["&amp;$E459&amp;"]"&amp;"|"&amp;SUBSTITUTE(SUBSTITUTE($I459,CHAR(61),""),CHAR(34),"")&amp;"|"&amp;$K459&amp;"|"&amp;$G459&amp;"|"&amp;IF($G459="TX_CURR_SUBNAT.R","CY2020Q4",$M459),"")</f>
        <v>[YGI7vISD2kJ]|&lt;01|Male|POP_EST.T_1|CY2021Q3</v>
      </c>
    </row>
    <row r="460" customFormat="false" ht="15" hidden="false" customHeight="false" outlineLevel="0" collapsed="false">
      <c r="D460" s="0" t="s">
        <v>105</v>
      </c>
      <c r="E460" s="0" t="s">
        <v>106</v>
      </c>
      <c r="F460" s="0" t="s">
        <v>47</v>
      </c>
      <c r="G460" s="0" t="s">
        <v>91</v>
      </c>
      <c r="H460" s="0" t="s">
        <v>92</v>
      </c>
      <c r="I460" s="0" t="s">
        <v>54</v>
      </c>
      <c r="J460" s="0" t="s">
        <v>55</v>
      </c>
      <c r="K460" s="0" t="s">
        <v>56</v>
      </c>
      <c r="L460" s="0" t="s">
        <v>57</v>
      </c>
      <c r="M460" s="0" t="s">
        <v>50</v>
      </c>
      <c r="N460" s="0" t="n">
        <v>0.0090033</v>
      </c>
      <c r="O460" s="0" t="n">
        <v>55</v>
      </c>
      <c r="P460" s="0" t="n">
        <v>7</v>
      </c>
      <c r="Q460" s="5" t="str">
        <f aca="false">IF($D460&lt;&gt;"","["&amp;$E460&amp;"]"&amp;"|"&amp;SUBSTITUTE(SUBSTITUTE($I460,CHAR(61),""),CHAR(34),"")&amp;"|"&amp;$K460&amp;"|"&amp;$G460&amp;"|"&amp;IF($G460="TX_CURR_SUBNAT.R","CY2020Q4",$M460),"")</f>
        <v>[YGI7vISD2kJ]|01-04|Female|HIV_PREV.T_1|CY2021Q3</v>
      </c>
    </row>
    <row r="461" customFormat="false" ht="15" hidden="false" customHeight="false" outlineLevel="0" collapsed="false">
      <c r="D461" s="0" t="s">
        <v>105</v>
      </c>
      <c r="E461" s="0" t="s">
        <v>106</v>
      </c>
      <c r="F461" s="0" t="s">
        <v>47</v>
      </c>
      <c r="G461" s="0" t="s">
        <v>91</v>
      </c>
      <c r="H461" s="0" t="s">
        <v>92</v>
      </c>
      <c r="I461" s="0" t="s">
        <v>54</v>
      </c>
      <c r="J461" s="0" t="s">
        <v>55</v>
      </c>
      <c r="K461" s="0" t="s">
        <v>58</v>
      </c>
      <c r="L461" s="0" t="s">
        <v>59</v>
      </c>
      <c r="M461" s="0" t="s">
        <v>50</v>
      </c>
      <c r="N461" s="0" t="n">
        <v>0.0088393</v>
      </c>
      <c r="O461" s="0" t="n">
        <v>29</v>
      </c>
      <c r="P461" s="0" t="n">
        <v>32</v>
      </c>
      <c r="Q461" s="5" t="str">
        <f aca="false">IF($D461&lt;&gt;"","["&amp;$E461&amp;"]"&amp;"|"&amp;SUBSTITUTE(SUBSTITUTE($I461,CHAR(61),""),CHAR(34),"")&amp;"|"&amp;$K461&amp;"|"&amp;$G461&amp;"|"&amp;IF($G461="TX_CURR_SUBNAT.R","CY2020Q4",$M461),"")</f>
        <v>[YGI7vISD2kJ]|01-04|Male|HIV_PREV.T_1|CY2021Q3</v>
      </c>
    </row>
    <row r="462" customFormat="false" ht="15" hidden="false" customHeight="false" outlineLevel="0" collapsed="false">
      <c r="D462" s="0" t="s">
        <v>105</v>
      </c>
      <c r="E462" s="0" t="s">
        <v>106</v>
      </c>
      <c r="F462" s="0" t="s">
        <v>47</v>
      </c>
      <c r="G462" s="0" t="s">
        <v>91</v>
      </c>
      <c r="H462" s="0" t="s">
        <v>92</v>
      </c>
      <c r="I462" s="0" t="s">
        <v>61</v>
      </c>
      <c r="J462" s="0" t="s">
        <v>62</v>
      </c>
      <c r="K462" s="0" t="s">
        <v>56</v>
      </c>
      <c r="L462" s="0" t="s">
        <v>57</v>
      </c>
      <c r="M462" s="0" t="s">
        <v>50</v>
      </c>
      <c r="N462" s="0" t="n">
        <v>0.029204</v>
      </c>
      <c r="O462" s="0" t="n">
        <v>17</v>
      </c>
      <c r="P462" s="0" t="n">
        <v>50</v>
      </c>
      <c r="Q462" s="5" t="str">
        <f aca="false">IF($D462&lt;&gt;"","["&amp;$E462&amp;"]"&amp;"|"&amp;SUBSTITUTE(SUBSTITUTE($I462,CHAR(61),""),CHAR(34),"")&amp;"|"&amp;$K462&amp;"|"&amp;$G462&amp;"|"&amp;IF($G462="TX_CURR_SUBNAT.R","CY2020Q4",$M462),"")</f>
        <v>[YGI7vISD2kJ]|10-14|Female|HIV_PREV.T_1|CY2021Q3</v>
      </c>
    </row>
    <row r="463" customFormat="false" ht="15" hidden="false" customHeight="false" outlineLevel="0" collapsed="false">
      <c r="D463" s="0" t="s">
        <v>105</v>
      </c>
      <c r="E463" s="0" t="s">
        <v>106</v>
      </c>
      <c r="F463" s="0" t="s">
        <v>47</v>
      </c>
      <c r="G463" s="0" t="s">
        <v>91</v>
      </c>
      <c r="H463" s="0" t="s">
        <v>92</v>
      </c>
      <c r="I463" s="0" t="s">
        <v>61</v>
      </c>
      <c r="J463" s="0" t="s">
        <v>62</v>
      </c>
      <c r="K463" s="0" t="s">
        <v>58</v>
      </c>
      <c r="L463" s="0" t="s">
        <v>59</v>
      </c>
      <c r="M463" s="0" t="s">
        <v>50</v>
      </c>
      <c r="N463" s="0" t="n">
        <v>0.0300597</v>
      </c>
      <c r="O463" s="0" t="n">
        <v>26</v>
      </c>
      <c r="P463" s="0" t="n">
        <v>46</v>
      </c>
      <c r="Q463" s="5" t="str">
        <f aca="false">IF($D463&lt;&gt;"","["&amp;$E463&amp;"]"&amp;"|"&amp;SUBSTITUTE(SUBSTITUTE($I463,CHAR(61),""),CHAR(34),"")&amp;"|"&amp;$K463&amp;"|"&amp;$G463&amp;"|"&amp;IF($G463="TX_CURR_SUBNAT.R","CY2020Q4",$M463),"")</f>
        <v>[YGI7vISD2kJ]|10-14|Male|HIV_PREV.T_1|CY2021Q3</v>
      </c>
    </row>
    <row r="464" customFormat="false" ht="15" hidden="false" customHeight="false" outlineLevel="0" collapsed="false">
      <c r="D464" s="0" t="s">
        <v>105</v>
      </c>
      <c r="E464" s="0" t="s">
        <v>106</v>
      </c>
      <c r="F464" s="0" t="s">
        <v>47</v>
      </c>
      <c r="G464" s="0" t="s">
        <v>91</v>
      </c>
      <c r="H464" s="0" t="s">
        <v>92</v>
      </c>
      <c r="I464" s="0" t="s">
        <v>63</v>
      </c>
      <c r="J464" s="0" t="s">
        <v>64</v>
      </c>
      <c r="K464" s="0" t="s">
        <v>56</v>
      </c>
      <c r="L464" s="0" t="s">
        <v>57</v>
      </c>
      <c r="M464" s="0" t="s">
        <v>50</v>
      </c>
      <c r="N464" s="0" t="n">
        <v>0.0554485</v>
      </c>
      <c r="O464" s="0" t="n">
        <v>49</v>
      </c>
      <c r="P464" s="0" t="n">
        <v>22</v>
      </c>
      <c r="Q464" s="5" t="str">
        <f aca="false">IF($D464&lt;&gt;"","["&amp;$E464&amp;"]"&amp;"|"&amp;SUBSTITUTE(SUBSTITUTE($I464,CHAR(61),""),CHAR(34),"")&amp;"|"&amp;$K464&amp;"|"&amp;$G464&amp;"|"&amp;IF($G464="TX_CURR_SUBNAT.R","CY2020Q4",$M464),"")</f>
        <v>[YGI7vISD2kJ]|15-19|Female|HIV_PREV.T_1|CY2021Q3</v>
      </c>
    </row>
    <row r="465" customFormat="false" ht="15" hidden="false" customHeight="false" outlineLevel="0" collapsed="false">
      <c r="D465" s="0" t="s">
        <v>105</v>
      </c>
      <c r="E465" s="0" t="s">
        <v>106</v>
      </c>
      <c r="F465" s="0" t="s">
        <v>47</v>
      </c>
      <c r="G465" s="0" t="s">
        <v>91</v>
      </c>
      <c r="H465" s="0" t="s">
        <v>92</v>
      </c>
      <c r="I465" s="0" t="s">
        <v>63</v>
      </c>
      <c r="J465" s="0" t="s">
        <v>64</v>
      </c>
      <c r="K465" s="0" t="s">
        <v>58</v>
      </c>
      <c r="L465" s="0" t="s">
        <v>59</v>
      </c>
      <c r="M465" s="0" t="s">
        <v>50</v>
      </c>
      <c r="N465" s="0" t="n">
        <v>0.0324753</v>
      </c>
      <c r="O465" s="0" t="n">
        <v>46</v>
      </c>
      <c r="P465" s="0" t="n">
        <v>12</v>
      </c>
      <c r="Q465" s="5" t="str">
        <f aca="false">IF($D465&lt;&gt;"","["&amp;$E465&amp;"]"&amp;"|"&amp;SUBSTITUTE(SUBSTITUTE($I465,CHAR(61),""),CHAR(34),"")&amp;"|"&amp;$K465&amp;"|"&amp;$G465&amp;"|"&amp;IF($G465="TX_CURR_SUBNAT.R","CY2020Q4",$M465),"")</f>
        <v>[YGI7vISD2kJ]|15-19|Male|HIV_PREV.T_1|CY2021Q3</v>
      </c>
    </row>
    <row r="466" customFormat="false" ht="15" hidden="false" customHeight="false" outlineLevel="0" collapsed="false">
      <c r="D466" s="0" t="s">
        <v>105</v>
      </c>
      <c r="E466" s="0" t="s">
        <v>106</v>
      </c>
      <c r="F466" s="0" t="s">
        <v>47</v>
      </c>
      <c r="G466" s="0" t="s">
        <v>91</v>
      </c>
      <c r="H466" s="0" t="s">
        <v>92</v>
      </c>
      <c r="I466" s="0" t="s">
        <v>66</v>
      </c>
      <c r="J466" s="0" t="s">
        <v>67</v>
      </c>
      <c r="K466" s="0" t="s">
        <v>56</v>
      </c>
      <c r="L466" s="0" t="s">
        <v>57</v>
      </c>
      <c r="M466" s="0" t="s">
        <v>50</v>
      </c>
      <c r="N466" s="0" t="n">
        <v>0.147954</v>
      </c>
      <c r="O466" s="0" t="n">
        <v>33</v>
      </c>
      <c r="P466" s="0" t="n">
        <v>45</v>
      </c>
      <c r="Q466" s="5" t="str">
        <f aca="false">IF($D466&lt;&gt;"","["&amp;$E466&amp;"]"&amp;"|"&amp;SUBSTITUTE(SUBSTITUTE($I466,CHAR(61),""),CHAR(34),"")&amp;"|"&amp;$K466&amp;"|"&amp;$G466&amp;"|"&amp;IF($G466="TX_CURR_SUBNAT.R","CY2020Q4",$M466),"")</f>
        <v>[YGI7vISD2kJ]|20-24|Female|HIV_PREV.T_1|CY2021Q3</v>
      </c>
    </row>
    <row r="467" customFormat="false" ht="15" hidden="false" customHeight="false" outlineLevel="0" collapsed="false">
      <c r="D467" s="0" t="s">
        <v>105</v>
      </c>
      <c r="E467" s="0" t="s">
        <v>106</v>
      </c>
      <c r="F467" s="0" t="s">
        <v>47</v>
      </c>
      <c r="G467" s="0" t="s">
        <v>91</v>
      </c>
      <c r="H467" s="0" t="s">
        <v>92</v>
      </c>
      <c r="I467" s="0" t="s">
        <v>66</v>
      </c>
      <c r="J467" s="0" t="s">
        <v>67</v>
      </c>
      <c r="K467" s="0" t="s">
        <v>58</v>
      </c>
      <c r="L467" s="0" t="s">
        <v>59</v>
      </c>
      <c r="M467" s="0" t="s">
        <v>50</v>
      </c>
      <c r="N467" s="0" t="n">
        <v>0.0566988</v>
      </c>
      <c r="O467" s="0" t="n">
        <v>42</v>
      </c>
      <c r="P467" s="0" t="n">
        <v>5</v>
      </c>
      <c r="Q467" s="5" t="str">
        <f aca="false">IF($D467&lt;&gt;"","["&amp;$E467&amp;"]"&amp;"|"&amp;SUBSTITUTE(SUBSTITUTE($I467,CHAR(61),""),CHAR(34),"")&amp;"|"&amp;$K467&amp;"|"&amp;$G467&amp;"|"&amp;IF($G467="TX_CURR_SUBNAT.R","CY2020Q4",$M467),"")</f>
        <v>[YGI7vISD2kJ]|20-24|Male|HIV_PREV.T_1|CY2021Q3</v>
      </c>
    </row>
    <row r="468" customFormat="false" ht="15" hidden="false" customHeight="false" outlineLevel="0" collapsed="false">
      <c r="D468" s="0" t="s">
        <v>105</v>
      </c>
      <c r="E468" s="0" t="s">
        <v>106</v>
      </c>
      <c r="F468" s="0" t="s">
        <v>47</v>
      </c>
      <c r="G468" s="0" t="s">
        <v>91</v>
      </c>
      <c r="H468" s="0" t="s">
        <v>92</v>
      </c>
      <c r="I468" s="0" t="s">
        <v>69</v>
      </c>
      <c r="J468" s="0" t="s">
        <v>70</v>
      </c>
      <c r="K468" s="0" t="s">
        <v>56</v>
      </c>
      <c r="L468" s="0" t="s">
        <v>57</v>
      </c>
      <c r="M468" s="0" t="s">
        <v>50</v>
      </c>
      <c r="N468" s="0" t="n">
        <v>0.266158</v>
      </c>
      <c r="O468" s="0" t="n">
        <v>23</v>
      </c>
      <c r="P468" s="0" t="n">
        <v>35</v>
      </c>
      <c r="Q468" s="5" t="str">
        <f aca="false">IF($D468&lt;&gt;"","["&amp;$E468&amp;"]"&amp;"|"&amp;SUBSTITUTE(SUBSTITUTE($I468,CHAR(61),""),CHAR(34),"")&amp;"|"&amp;$K468&amp;"|"&amp;$G468&amp;"|"&amp;IF($G468="TX_CURR_SUBNAT.R","CY2020Q4",$M468),"")</f>
        <v>[YGI7vISD2kJ]|25-29|Female|HIV_PREV.T_1|CY2021Q3</v>
      </c>
    </row>
    <row r="469" customFormat="false" ht="15" hidden="false" customHeight="false" outlineLevel="0" collapsed="false">
      <c r="D469" s="0" t="s">
        <v>105</v>
      </c>
      <c r="E469" s="0" t="s">
        <v>106</v>
      </c>
      <c r="F469" s="0" t="s">
        <v>47</v>
      </c>
      <c r="G469" s="0" t="s">
        <v>91</v>
      </c>
      <c r="H469" s="0" t="s">
        <v>92</v>
      </c>
      <c r="I469" s="0" t="s">
        <v>69</v>
      </c>
      <c r="J469" s="0" t="s">
        <v>70</v>
      </c>
      <c r="K469" s="0" t="s">
        <v>58</v>
      </c>
      <c r="L469" s="0" t="s">
        <v>59</v>
      </c>
      <c r="M469" s="0" t="s">
        <v>50</v>
      </c>
      <c r="N469" s="0" t="n">
        <v>0.1161061</v>
      </c>
      <c r="O469" s="0" t="n">
        <v>1</v>
      </c>
      <c r="P469" s="0" t="n">
        <v>18</v>
      </c>
      <c r="Q469" s="5" t="str">
        <f aca="false">IF($D469&lt;&gt;"","["&amp;$E469&amp;"]"&amp;"|"&amp;SUBSTITUTE(SUBSTITUTE($I469,CHAR(61),""),CHAR(34),"")&amp;"|"&amp;$K469&amp;"|"&amp;$G469&amp;"|"&amp;IF($G469="TX_CURR_SUBNAT.R","CY2020Q4",$M469),"")</f>
        <v>[YGI7vISD2kJ]|25-29|Male|HIV_PREV.T_1|CY2021Q3</v>
      </c>
    </row>
    <row r="470" customFormat="false" ht="15" hidden="false" customHeight="false" outlineLevel="0" collapsed="false">
      <c r="D470" s="0" t="s">
        <v>105</v>
      </c>
      <c r="E470" s="0" t="s">
        <v>106</v>
      </c>
      <c r="F470" s="0" t="s">
        <v>47</v>
      </c>
      <c r="G470" s="0" t="s">
        <v>91</v>
      </c>
      <c r="H470" s="0" t="s">
        <v>92</v>
      </c>
      <c r="I470" s="0" t="s">
        <v>72</v>
      </c>
      <c r="J470" s="0" t="s">
        <v>73</v>
      </c>
      <c r="K470" s="0" t="s">
        <v>56</v>
      </c>
      <c r="L470" s="0" t="s">
        <v>57</v>
      </c>
      <c r="M470" s="0" t="s">
        <v>50</v>
      </c>
      <c r="N470" s="0" t="n">
        <v>0.3897711</v>
      </c>
      <c r="O470" s="0" t="n">
        <v>52</v>
      </c>
      <c r="P470" s="0" t="n">
        <v>5</v>
      </c>
      <c r="Q470" s="5" t="str">
        <f aca="false">IF($D470&lt;&gt;"","["&amp;$E470&amp;"]"&amp;"|"&amp;SUBSTITUTE(SUBSTITUTE($I470,CHAR(61),""),CHAR(34),"")&amp;"|"&amp;$K470&amp;"|"&amp;$G470&amp;"|"&amp;IF($G470="TX_CURR_SUBNAT.R","CY2020Q4",$M470),"")</f>
        <v>[YGI7vISD2kJ]|30-34|Female|HIV_PREV.T_1|CY2021Q3</v>
      </c>
    </row>
    <row r="471" customFormat="false" ht="15" hidden="false" customHeight="false" outlineLevel="0" collapsed="false">
      <c r="D471" s="0" t="s">
        <v>105</v>
      </c>
      <c r="E471" s="0" t="s">
        <v>106</v>
      </c>
      <c r="F471" s="0" t="s">
        <v>47</v>
      </c>
      <c r="G471" s="0" t="s">
        <v>91</v>
      </c>
      <c r="H471" s="0" t="s">
        <v>92</v>
      </c>
      <c r="I471" s="0" t="s">
        <v>72</v>
      </c>
      <c r="J471" s="0" t="s">
        <v>73</v>
      </c>
      <c r="K471" s="0" t="s">
        <v>58</v>
      </c>
      <c r="L471" s="0" t="s">
        <v>59</v>
      </c>
      <c r="M471" s="0" t="s">
        <v>50</v>
      </c>
      <c r="N471" s="0" t="n">
        <v>0.2107007</v>
      </c>
      <c r="O471" s="0" t="n">
        <v>39</v>
      </c>
      <c r="P471" s="0" t="n">
        <v>46</v>
      </c>
      <c r="Q471" s="5" t="str">
        <f aca="false">IF($D471&lt;&gt;"","["&amp;$E471&amp;"]"&amp;"|"&amp;SUBSTITUTE(SUBSTITUTE($I471,CHAR(61),""),CHAR(34),"")&amp;"|"&amp;$K471&amp;"|"&amp;$G471&amp;"|"&amp;IF($G471="TX_CURR_SUBNAT.R","CY2020Q4",$M471),"")</f>
        <v>[YGI7vISD2kJ]|30-34|Male|HIV_PREV.T_1|CY2021Q3</v>
      </c>
    </row>
    <row r="472" customFormat="false" ht="15" hidden="false" customHeight="false" outlineLevel="0" collapsed="false">
      <c r="D472" s="0" t="s">
        <v>105</v>
      </c>
      <c r="E472" s="0" t="s">
        <v>106</v>
      </c>
      <c r="F472" s="0" t="s">
        <v>47</v>
      </c>
      <c r="G472" s="0" t="s">
        <v>91</v>
      </c>
      <c r="H472" s="0" t="s">
        <v>92</v>
      </c>
      <c r="I472" s="0" t="s">
        <v>75</v>
      </c>
      <c r="J472" s="0" t="s">
        <v>76</v>
      </c>
      <c r="K472" s="0" t="s">
        <v>56</v>
      </c>
      <c r="L472" s="0" t="s">
        <v>57</v>
      </c>
      <c r="M472" s="0" t="s">
        <v>50</v>
      </c>
      <c r="N472" s="0" t="n">
        <v>0.5044309</v>
      </c>
      <c r="O472" s="0" t="n">
        <v>47</v>
      </c>
      <c r="P472" s="0" t="n">
        <v>48</v>
      </c>
      <c r="Q472" s="5" t="str">
        <f aca="false">IF($D472&lt;&gt;"","["&amp;$E472&amp;"]"&amp;"|"&amp;SUBSTITUTE(SUBSTITUTE($I472,CHAR(61),""),CHAR(34),"")&amp;"|"&amp;$K472&amp;"|"&amp;$G472&amp;"|"&amp;IF($G472="TX_CURR_SUBNAT.R","CY2020Q4",$M472),"")</f>
        <v>[YGI7vISD2kJ]|35-39|Female|HIV_PREV.T_1|CY2021Q3</v>
      </c>
    </row>
    <row r="473" customFormat="false" ht="15" hidden="false" customHeight="false" outlineLevel="0" collapsed="false">
      <c r="D473" s="0" t="s">
        <v>105</v>
      </c>
      <c r="E473" s="0" t="s">
        <v>106</v>
      </c>
      <c r="F473" s="0" t="s">
        <v>47</v>
      </c>
      <c r="G473" s="0" t="s">
        <v>91</v>
      </c>
      <c r="H473" s="0" t="s">
        <v>92</v>
      </c>
      <c r="I473" s="0" t="s">
        <v>75</v>
      </c>
      <c r="J473" s="0" t="s">
        <v>76</v>
      </c>
      <c r="K473" s="0" t="s">
        <v>58</v>
      </c>
      <c r="L473" s="0" t="s">
        <v>59</v>
      </c>
      <c r="M473" s="0" t="s">
        <v>50</v>
      </c>
      <c r="N473" s="0" t="n">
        <v>0.3358209</v>
      </c>
      <c r="O473" s="0" t="n">
        <v>43</v>
      </c>
      <c r="P473" s="0" t="n">
        <v>41</v>
      </c>
      <c r="Q473" s="5" t="str">
        <f aca="false">IF($D473&lt;&gt;"","["&amp;$E473&amp;"]"&amp;"|"&amp;SUBSTITUTE(SUBSTITUTE($I473,CHAR(61),""),CHAR(34),"")&amp;"|"&amp;$K473&amp;"|"&amp;$G473&amp;"|"&amp;IF($G473="TX_CURR_SUBNAT.R","CY2020Q4",$M473),"")</f>
        <v>[YGI7vISD2kJ]|35-39|Male|HIV_PREV.T_1|CY2021Q3</v>
      </c>
    </row>
    <row r="474" customFormat="false" ht="15" hidden="false" customHeight="false" outlineLevel="0" collapsed="false">
      <c r="D474" s="0" t="s">
        <v>105</v>
      </c>
      <c r="E474" s="0" t="s">
        <v>106</v>
      </c>
      <c r="F474" s="0" t="s">
        <v>47</v>
      </c>
      <c r="G474" s="0" t="s">
        <v>91</v>
      </c>
      <c r="H474" s="0" t="s">
        <v>92</v>
      </c>
      <c r="I474" s="0" t="s">
        <v>77</v>
      </c>
      <c r="J474" s="0" t="s">
        <v>78</v>
      </c>
      <c r="K474" s="0" t="s">
        <v>56</v>
      </c>
      <c r="L474" s="0" t="s">
        <v>57</v>
      </c>
      <c r="M474" s="0" t="s">
        <v>50</v>
      </c>
      <c r="N474" s="0" t="n">
        <v>0.5278903</v>
      </c>
      <c r="O474" s="0" t="n">
        <v>59</v>
      </c>
      <c r="P474" s="0" t="n">
        <v>35</v>
      </c>
      <c r="Q474" s="5" t="str">
        <f aca="false">IF($D474&lt;&gt;"","["&amp;$E474&amp;"]"&amp;"|"&amp;SUBSTITUTE(SUBSTITUTE($I474,CHAR(61),""),CHAR(34),"")&amp;"|"&amp;$K474&amp;"|"&amp;$G474&amp;"|"&amp;IF($G474="TX_CURR_SUBNAT.R","CY2020Q4",$M474),"")</f>
        <v>[YGI7vISD2kJ]|40-44|Female|HIV_PREV.T_1|CY2021Q3</v>
      </c>
    </row>
    <row r="475" customFormat="false" ht="15" hidden="false" customHeight="false" outlineLevel="0" collapsed="false">
      <c r="D475" s="0" t="s">
        <v>105</v>
      </c>
      <c r="E475" s="0" t="s">
        <v>106</v>
      </c>
      <c r="F475" s="0" t="s">
        <v>47</v>
      </c>
      <c r="G475" s="0" t="s">
        <v>91</v>
      </c>
      <c r="H475" s="0" t="s">
        <v>92</v>
      </c>
      <c r="I475" s="0" t="s">
        <v>77</v>
      </c>
      <c r="J475" s="0" t="s">
        <v>78</v>
      </c>
      <c r="K475" s="0" t="s">
        <v>58</v>
      </c>
      <c r="L475" s="0" t="s">
        <v>59</v>
      </c>
      <c r="M475" s="0" t="s">
        <v>50</v>
      </c>
      <c r="N475" s="0" t="n">
        <v>0.4220097</v>
      </c>
      <c r="O475" s="0" t="n">
        <v>52</v>
      </c>
      <c r="P475" s="0" t="n">
        <v>42</v>
      </c>
      <c r="Q475" s="5" t="str">
        <f aca="false">IF($D475&lt;&gt;"","["&amp;$E475&amp;"]"&amp;"|"&amp;SUBSTITUTE(SUBSTITUTE($I475,CHAR(61),""),CHAR(34),"")&amp;"|"&amp;$K475&amp;"|"&amp;$G475&amp;"|"&amp;IF($G475="TX_CURR_SUBNAT.R","CY2020Q4",$M475),"")</f>
        <v>[YGI7vISD2kJ]|40-44|Male|HIV_PREV.T_1|CY2021Q3</v>
      </c>
    </row>
    <row r="476" customFormat="false" ht="15" hidden="false" customHeight="false" outlineLevel="0" collapsed="false">
      <c r="D476" s="0" t="s">
        <v>105</v>
      </c>
      <c r="E476" s="0" t="s">
        <v>106</v>
      </c>
      <c r="F476" s="0" t="s">
        <v>47</v>
      </c>
      <c r="G476" s="0" t="s">
        <v>91</v>
      </c>
      <c r="H476" s="0" t="s">
        <v>92</v>
      </c>
      <c r="I476" s="0" t="s">
        <v>80</v>
      </c>
      <c r="J476" s="0" t="s">
        <v>81</v>
      </c>
      <c r="K476" s="0" t="s">
        <v>56</v>
      </c>
      <c r="L476" s="0" t="s">
        <v>57</v>
      </c>
      <c r="M476" s="0" t="s">
        <v>50</v>
      </c>
      <c r="N476" s="0" t="n">
        <v>0.4931339</v>
      </c>
      <c r="O476" s="0" t="n">
        <v>13</v>
      </c>
      <c r="P476" s="0" t="n">
        <v>15</v>
      </c>
      <c r="Q476" s="5" t="str">
        <f aca="false">IF($D476&lt;&gt;"","["&amp;$E476&amp;"]"&amp;"|"&amp;SUBSTITUTE(SUBSTITUTE($I476,CHAR(61),""),CHAR(34),"")&amp;"|"&amp;$K476&amp;"|"&amp;$G476&amp;"|"&amp;IF($G476="TX_CURR_SUBNAT.R","CY2020Q4",$M476),"")</f>
        <v>[YGI7vISD2kJ]|45-49|Female|HIV_PREV.T_1|CY2021Q3</v>
      </c>
    </row>
    <row r="477" customFormat="false" ht="15" hidden="false" customHeight="false" outlineLevel="0" collapsed="false">
      <c r="D477" s="0" t="s">
        <v>105</v>
      </c>
      <c r="E477" s="0" t="s">
        <v>106</v>
      </c>
      <c r="F477" s="0" t="s">
        <v>47</v>
      </c>
      <c r="G477" s="0" t="s">
        <v>91</v>
      </c>
      <c r="H477" s="0" t="s">
        <v>92</v>
      </c>
      <c r="I477" s="0" t="s">
        <v>80</v>
      </c>
      <c r="J477" s="0" t="s">
        <v>81</v>
      </c>
      <c r="K477" s="0" t="s">
        <v>58</v>
      </c>
      <c r="L477" s="0" t="s">
        <v>59</v>
      </c>
      <c r="M477" s="0" t="s">
        <v>50</v>
      </c>
      <c r="N477" s="0" t="n">
        <v>0.492662</v>
      </c>
      <c r="O477" s="0" t="n">
        <v>59</v>
      </c>
      <c r="P477" s="0" t="n">
        <v>10</v>
      </c>
      <c r="Q477" s="5" t="str">
        <f aca="false">IF($D477&lt;&gt;"","["&amp;$E477&amp;"]"&amp;"|"&amp;SUBSTITUTE(SUBSTITUTE($I477,CHAR(61),""),CHAR(34),"")&amp;"|"&amp;$K477&amp;"|"&amp;$G477&amp;"|"&amp;IF($G477="TX_CURR_SUBNAT.R","CY2020Q4",$M477),"")</f>
        <v>[YGI7vISD2kJ]|45-49|Male|HIV_PREV.T_1|CY2021Q3</v>
      </c>
    </row>
    <row r="478" customFormat="false" ht="15" hidden="false" customHeight="false" outlineLevel="0" collapsed="false">
      <c r="D478" s="0" t="s">
        <v>105</v>
      </c>
      <c r="E478" s="0" t="s">
        <v>106</v>
      </c>
      <c r="F478" s="0" t="s">
        <v>47</v>
      </c>
      <c r="G478" s="0" t="s">
        <v>91</v>
      </c>
      <c r="H478" s="0" t="s">
        <v>92</v>
      </c>
      <c r="I478" s="0" t="s">
        <v>83</v>
      </c>
      <c r="J478" s="0" t="s">
        <v>84</v>
      </c>
      <c r="K478" s="0" t="s">
        <v>56</v>
      </c>
      <c r="L478" s="0" t="s">
        <v>57</v>
      </c>
      <c r="M478" s="0" t="s">
        <v>50</v>
      </c>
      <c r="N478" s="0" t="n">
        <v>0.0174</v>
      </c>
      <c r="O478" s="0" t="n">
        <v>40</v>
      </c>
      <c r="P478" s="0" t="n">
        <v>20</v>
      </c>
      <c r="Q478" s="5" t="str">
        <f aca="false">IF($D478&lt;&gt;"","["&amp;$E478&amp;"]"&amp;"|"&amp;SUBSTITUTE(SUBSTITUTE($I478,CHAR(61),""),CHAR(34),"")&amp;"|"&amp;$K478&amp;"|"&amp;$G478&amp;"|"&amp;IF($G478="TX_CURR_SUBNAT.R","CY2020Q4",$M478),"")</f>
        <v>[YGI7vISD2kJ]|05-09|Female|HIV_PREV.T_1|CY2021Q3</v>
      </c>
    </row>
    <row r="479" customFormat="false" ht="15" hidden="false" customHeight="false" outlineLevel="0" collapsed="false">
      <c r="D479" s="0" t="s">
        <v>105</v>
      </c>
      <c r="E479" s="0" t="s">
        <v>106</v>
      </c>
      <c r="F479" s="0" t="s">
        <v>47</v>
      </c>
      <c r="G479" s="0" t="s">
        <v>91</v>
      </c>
      <c r="H479" s="0" t="s">
        <v>92</v>
      </c>
      <c r="I479" s="0" t="s">
        <v>83</v>
      </c>
      <c r="J479" s="0" t="s">
        <v>84</v>
      </c>
      <c r="K479" s="0" t="s">
        <v>58</v>
      </c>
      <c r="L479" s="0" t="s">
        <v>59</v>
      </c>
      <c r="M479" s="0" t="s">
        <v>50</v>
      </c>
      <c r="N479" s="0" t="n">
        <v>0.0172495</v>
      </c>
      <c r="O479" s="0" t="n">
        <v>12</v>
      </c>
      <c r="P479" s="0" t="n">
        <v>22</v>
      </c>
      <c r="Q479" s="5" t="str">
        <f aca="false">IF($D479&lt;&gt;"","["&amp;$E479&amp;"]"&amp;"|"&amp;SUBSTITUTE(SUBSTITUTE($I479,CHAR(61),""),CHAR(34),"")&amp;"|"&amp;$K479&amp;"|"&amp;$G479&amp;"|"&amp;IF($G479="TX_CURR_SUBNAT.R","CY2020Q4",$M479),"")</f>
        <v>[YGI7vISD2kJ]|05-09|Male|HIV_PREV.T_1|CY2021Q3</v>
      </c>
    </row>
    <row r="480" customFormat="false" ht="15" hidden="false" customHeight="false" outlineLevel="0" collapsed="false">
      <c r="D480" s="0" t="s">
        <v>105</v>
      </c>
      <c r="E480" s="0" t="s">
        <v>106</v>
      </c>
      <c r="F480" s="0" t="s">
        <v>47</v>
      </c>
      <c r="G480" s="0" t="s">
        <v>91</v>
      </c>
      <c r="H480" s="0" t="s">
        <v>92</v>
      </c>
      <c r="I480" s="53" t="s">
        <v>86</v>
      </c>
      <c r="J480" s="0" t="s">
        <v>87</v>
      </c>
      <c r="K480" s="0" t="s">
        <v>56</v>
      </c>
      <c r="L480" s="0" t="s">
        <v>57</v>
      </c>
      <c r="M480" s="0" t="s">
        <v>50</v>
      </c>
      <c r="N480" s="0" t="n">
        <v>0.2719929</v>
      </c>
      <c r="O480" s="0" t="n">
        <v>18</v>
      </c>
      <c r="P480" s="0" t="n">
        <v>25</v>
      </c>
      <c r="Q480" s="5" t="str">
        <f aca="false">IF($D480&lt;&gt;"","["&amp;$E480&amp;"]"&amp;"|"&amp;SUBSTITUTE(SUBSTITUTE($I480,CHAR(61),""),CHAR(34),"")&amp;"|"&amp;$K480&amp;"|"&amp;$G480&amp;"|"&amp;IF($G480="TX_CURR_SUBNAT.R","CY2020Q4",$M480),"")</f>
        <v>[YGI7vISD2kJ]|50+|Female|HIV_PREV.T_1|CY2021Q3</v>
      </c>
    </row>
    <row r="481" customFormat="false" ht="15" hidden="false" customHeight="false" outlineLevel="0" collapsed="false">
      <c r="D481" s="0" t="s">
        <v>105</v>
      </c>
      <c r="E481" s="0" t="s">
        <v>106</v>
      </c>
      <c r="F481" s="0" t="s">
        <v>47</v>
      </c>
      <c r="G481" s="0" t="s">
        <v>91</v>
      </c>
      <c r="H481" s="0" t="s">
        <v>92</v>
      </c>
      <c r="I481" s="53" t="s">
        <v>86</v>
      </c>
      <c r="J481" s="0" t="s">
        <v>87</v>
      </c>
      <c r="K481" s="0" t="s">
        <v>58</v>
      </c>
      <c r="L481" s="0" t="s">
        <v>59</v>
      </c>
      <c r="M481" s="0" t="s">
        <v>50</v>
      </c>
      <c r="N481" s="0" t="n">
        <v>0.3120265</v>
      </c>
      <c r="O481" s="0" t="n">
        <v>53</v>
      </c>
      <c r="P481" s="0" t="n">
        <v>2</v>
      </c>
      <c r="Q481" s="5" t="str">
        <f aca="false">IF($D481&lt;&gt;"","["&amp;$E481&amp;"]"&amp;"|"&amp;SUBSTITUTE(SUBSTITUTE($I481,CHAR(61),""),CHAR(34),"")&amp;"|"&amp;$K481&amp;"|"&amp;$G481&amp;"|"&amp;IF($G481="TX_CURR_SUBNAT.R","CY2020Q4",$M481),"")</f>
        <v>[YGI7vISD2kJ]|50+|Male|HIV_PREV.T_1|CY2021Q3</v>
      </c>
    </row>
    <row r="482" customFormat="false" ht="15" hidden="false" customHeight="false" outlineLevel="0" collapsed="false">
      <c r="D482" s="0" t="s">
        <v>105</v>
      </c>
      <c r="E482" s="0" t="s">
        <v>106</v>
      </c>
      <c r="F482" s="0" t="s">
        <v>47</v>
      </c>
      <c r="G482" s="0" t="s">
        <v>91</v>
      </c>
      <c r="H482" s="0" t="s">
        <v>92</v>
      </c>
      <c r="I482" s="0" t="s">
        <v>89</v>
      </c>
      <c r="J482" s="0" t="s">
        <v>90</v>
      </c>
      <c r="K482" s="0" t="s">
        <v>56</v>
      </c>
      <c r="L482" s="0" t="s">
        <v>57</v>
      </c>
      <c r="M482" s="0" t="s">
        <v>50</v>
      </c>
      <c r="N482" s="0" t="n">
        <v>0.0085136</v>
      </c>
      <c r="O482" s="0" t="n">
        <v>18</v>
      </c>
      <c r="P482" s="0" t="n">
        <v>50</v>
      </c>
      <c r="Q482" s="5" t="str">
        <f aca="false">IF($D482&lt;&gt;"","["&amp;$E482&amp;"]"&amp;"|"&amp;SUBSTITUTE(SUBSTITUTE($I482,CHAR(61),""),CHAR(34),"")&amp;"|"&amp;$K482&amp;"|"&amp;$G482&amp;"|"&amp;IF($G482="TX_CURR_SUBNAT.R","CY2020Q4",$M482),"")</f>
        <v>[YGI7vISD2kJ]|&lt;01|Female|HIV_PREV.T_1|CY2021Q3</v>
      </c>
    </row>
    <row r="483" customFormat="false" ht="15" hidden="false" customHeight="false" outlineLevel="0" collapsed="false">
      <c r="D483" s="0" t="s">
        <v>105</v>
      </c>
      <c r="E483" s="0" t="s">
        <v>106</v>
      </c>
      <c r="F483" s="0" t="s">
        <v>47</v>
      </c>
      <c r="G483" s="0" t="s">
        <v>91</v>
      </c>
      <c r="H483" s="0" t="s">
        <v>92</v>
      </c>
      <c r="I483" s="0" t="s">
        <v>89</v>
      </c>
      <c r="J483" s="0" t="s">
        <v>90</v>
      </c>
      <c r="K483" s="0" t="s">
        <v>58</v>
      </c>
      <c r="L483" s="0" t="s">
        <v>59</v>
      </c>
      <c r="M483" s="0" t="s">
        <v>50</v>
      </c>
      <c r="N483" s="0" t="n">
        <v>0.0083585</v>
      </c>
      <c r="O483" s="0" t="n">
        <v>14</v>
      </c>
      <c r="P483" s="0" t="n">
        <v>33</v>
      </c>
      <c r="Q483" s="5" t="str">
        <f aca="false">IF($D483&lt;&gt;"","["&amp;$E483&amp;"]"&amp;"|"&amp;SUBSTITUTE(SUBSTITUTE($I483,CHAR(61),""),CHAR(34),"")&amp;"|"&amp;$K483&amp;"|"&amp;$G483&amp;"|"&amp;IF($G483="TX_CURR_SUBNAT.R","CY2020Q4",$M483),"")</f>
        <v>[YGI7vISD2kJ]|&lt;01|Male|HIV_PREV.T_1|CY2021Q3</v>
      </c>
    </row>
    <row r="484" customFormat="false" ht="15" hidden="false" customHeight="false" outlineLevel="0" collapsed="false">
      <c r="D484" s="0" t="s">
        <v>105</v>
      </c>
      <c r="E484" s="0" t="s">
        <v>106</v>
      </c>
      <c r="F484" s="0" t="s">
        <v>47</v>
      </c>
      <c r="G484" s="0" t="s">
        <v>93</v>
      </c>
      <c r="H484" s="0" t="s">
        <v>94</v>
      </c>
      <c r="I484" s="0" t="s">
        <v>54</v>
      </c>
      <c r="J484" s="0" t="s">
        <v>55</v>
      </c>
      <c r="K484" s="0" t="s">
        <v>56</v>
      </c>
      <c r="L484" s="0" t="s">
        <v>57</v>
      </c>
      <c r="M484" s="0" t="s">
        <v>50</v>
      </c>
      <c r="N484" s="0" t="n">
        <v>21</v>
      </c>
      <c r="O484" s="0" t="n">
        <v>13</v>
      </c>
      <c r="P484" s="0" t="n">
        <v>25</v>
      </c>
      <c r="Q484" s="5" t="str">
        <f aca="false">IF($D484&lt;&gt;"","["&amp;$E484&amp;"]"&amp;"|"&amp;SUBSTITUTE(SUBSTITUTE($I484,CHAR(61),""),CHAR(34),"")&amp;"|"&amp;$K484&amp;"|"&amp;$G484&amp;"|"&amp;IF($G484="TX_CURR_SUBNAT.R","CY2020Q4",$M484),"")</f>
        <v>[YGI7vISD2kJ]|01-04|Female|DIAGNOSED_SUBNAT.T_1|CY2021Q3</v>
      </c>
    </row>
    <row r="485" customFormat="false" ht="15" hidden="false" customHeight="false" outlineLevel="0" collapsed="false">
      <c r="D485" s="0" t="s">
        <v>105</v>
      </c>
      <c r="E485" s="0" t="s">
        <v>106</v>
      </c>
      <c r="F485" s="0" t="s">
        <v>47</v>
      </c>
      <c r="G485" s="0" t="s">
        <v>93</v>
      </c>
      <c r="H485" s="0" t="s">
        <v>94</v>
      </c>
      <c r="I485" s="0" t="s">
        <v>54</v>
      </c>
      <c r="J485" s="0" t="s">
        <v>55</v>
      </c>
      <c r="K485" s="0" t="s">
        <v>58</v>
      </c>
      <c r="L485" s="0" t="s">
        <v>59</v>
      </c>
      <c r="M485" s="0" t="s">
        <v>50</v>
      </c>
      <c r="N485" s="0" t="n">
        <v>22</v>
      </c>
      <c r="O485" s="0" t="n">
        <v>6</v>
      </c>
      <c r="P485" s="0" t="n">
        <v>6</v>
      </c>
      <c r="Q485" s="5" t="str">
        <f aca="false">IF($D485&lt;&gt;"","["&amp;$E485&amp;"]"&amp;"|"&amp;SUBSTITUTE(SUBSTITUTE($I485,CHAR(61),""),CHAR(34),"")&amp;"|"&amp;$K485&amp;"|"&amp;$G485&amp;"|"&amp;IF($G485="TX_CURR_SUBNAT.R","CY2020Q4",$M485),"")</f>
        <v>[YGI7vISD2kJ]|01-04|Male|DIAGNOSED_SUBNAT.T_1|CY2021Q3</v>
      </c>
    </row>
    <row r="486" customFormat="false" ht="15" hidden="false" customHeight="false" outlineLevel="0" collapsed="false">
      <c r="D486" s="0" t="s">
        <v>105</v>
      </c>
      <c r="E486" s="0" t="s">
        <v>106</v>
      </c>
      <c r="F486" s="0" t="s">
        <v>47</v>
      </c>
      <c r="G486" s="0" t="s">
        <v>93</v>
      </c>
      <c r="H486" s="0" t="s">
        <v>94</v>
      </c>
      <c r="I486" s="0" t="s">
        <v>61</v>
      </c>
      <c r="J486" s="0" t="s">
        <v>62</v>
      </c>
      <c r="K486" s="0" t="s">
        <v>56</v>
      </c>
      <c r="L486" s="0" t="s">
        <v>57</v>
      </c>
      <c r="M486" s="0" t="s">
        <v>50</v>
      </c>
      <c r="N486" s="0" t="n">
        <v>175</v>
      </c>
      <c r="O486" s="0" t="n">
        <v>42</v>
      </c>
      <c r="P486" s="0" t="n">
        <v>31</v>
      </c>
      <c r="Q486" s="5" t="str">
        <f aca="false">IF($D486&lt;&gt;"","["&amp;$E486&amp;"]"&amp;"|"&amp;SUBSTITUTE(SUBSTITUTE($I486,CHAR(61),""),CHAR(34),"")&amp;"|"&amp;$K486&amp;"|"&amp;$G486&amp;"|"&amp;IF($G486="TX_CURR_SUBNAT.R","CY2020Q4",$M486),"")</f>
        <v>[YGI7vISD2kJ]|10-14|Female|DIAGNOSED_SUBNAT.T_1|CY2021Q3</v>
      </c>
    </row>
    <row r="487" customFormat="false" ht="15" hidden="false" customHeight="false" outlineLevel="0" collapsed="false">
      <c r="D487" s="0" t="s">
        <v>105</v>
      </c>
      <c r="E487" s="0" t="s">
        <v>106</v>
      </c>
      <c r="F487" s="0" t="s">
        <v>47</v>
      </c>
      <c r="G487" s="0" t="s">
        <v>93</v>
      </c>
      <c r="H487" s="0" t="s">
        <v>94</v>
      </c>
      <c r="I487" s="0" t="s">
        <v>61</v>
      </c>
      <c r="J487" s="0" t="s">
        <v>62</v>
      </c>
      <c r="K487" s="0" t="s">
        <v>58</v>
      </c>
      <c r="L487" s="0" t="s">
        <v>59</v>
      </c>
      <c r="M487" s="0" t="s">
        <v>50</v>
      </c>
      <c r="N487" s="0" t="n">
        <v>178</v>
      </c>
      <c r="O487" s="0" t="n">
        <v>25</v>
      </c>
      <c r="P487" s="0" t="n">
        <v>44</v>
      </c>
      <c r="Q487" s="5" t="str">
        <f aca="false">IF($D487&lt;&gt;"","["&amp;$E487&amp;"]"&amp;"|"&amp;SUBSTITUTE(SUBSTITUTE($I487,CHAR(61),""),CHAR(34),"")&amp;"|"&amp;$K487&amp;"|"&amp;$G487&amp;"|"&amp;IF($G487="TX_CURR_SUBNAT.R","CY2020Q4",$M487),"")</f>
        <v>[YGI7vISD2kJ]|10-14|Male|DIAGNOSED_SUBNAT.T_1|CY2021Q3</v>
      </c>
    </row>
    <row r="488" customFormat="false" ht="15" hidden="false" customHeight="false" outlineLevel="0" collapsed="false">
      <c r="D488" s="0" t="s">
        <v>105</v>
      </c>
      <c r="E488" s="0" t="s">
        <v>106</v>
      </c>
      <c r="F488" s="0" t="s">
        <v>47</v>
      </c>
      <c r="G488" s="0" t="s">
        <v>93</v>
      </c>
      <c r="H488" s="0" t="s">
        <v>94</v>
      </c>
      <c r="I488" s="0" t="s">
        <v>63</v>
      </c>
      <c r="J488" s="0" t="s">
        <v>64</v>
      </c>
      <c r="K488" s="0" t="s">
        <v>56</v>
      </c>
      <c r="L488" s="0" t="s">
        <v>57</v>
      </c>
      <c r="M488" s="0" t="s">
        <v>50</v>
      </c>
      <c r="N488" s="0" t="n">
        <v>335</v>
      </c>
      <c r="O488" s="0" t="n">
        <v>59</v>
      </c>
      <c r="P488" s="0" t="n">
        <v>22</v>
      </c>
      <c r="Q488" s="5" t="str">
        <f aca="false">IF($D488&lt;&gt;"","["&amp;$E488&amp;"]"&amp;"|"&amp;SUBSTITUTE(SUBSTITUTE($I488,CHAR(61),""),CHAR(34),"")&amp;"|"&amp;$K488&amp;"|"&amp;$G488&amp;"|"&amp;IF($G488="TX_CURR_SUBNAT.R","CY2020Q4",$M488),"")</f>
        <v>[YGI7vISD2kJ]|15-19|Female|DIAGNOSED_SUBNAT.T_1|CY2021Q3</v>
      </c>
    </row>
    <row r="489" customFormat="false" ht="15" hidden="false" customHeight="false" outlineLevel="0" collapsed="false">
      <c r="D489" s="0" t="s">
        <v>105</v>
      </c>
      <c r="E489" s="0" t="s">
        <v>106</v>
      </c>
      <c r="F489" s="0" t="s">
        <v>47</v>
      </c>
      <c r="G489" s="0" t="s">
        <v>93</v>
      </c>
      <c r="H489" s="0" t="s">
        <v>94</v>
      </c>
      <c r="I489" s="0" t="s">
        <v>63</v>
      </c>
      <c r="J489" s="0" t="s">
        <v>64</v>
      </c>
      <c r="K489" s="0" t="s">
        <v>58</v>
      </c>
      <c r="L489" s="0" t="s">
        <v>59</v>
      </c>
      <c r="M489" s="0" t="s">
        <v>50</v>
      </c>
      <c r="N489" s="0" t="n">
        <v>252</v>
      </c>
      <c r="O489" s="0" t="n">
        <v>39</v>
      </c>
      <c r="P489" s="0" t="n">
        <v>13</v>
      </c>
      <c r="Q489" s="5" t="str">
        <f aca="false">IF($D489&lt;&gt;"","["&amp;$E489&amp;"]"&amp;"|"&amp;SUBSTITUTE(SUBSTITUTE($I489,CHAR(61),""),CHAR(34),"")&amp;"|"&amp;$K489&amp;"|"&amp;$G489&amp;"|"&amp;IF($G489="TX_CURR_SUBNAT.R","CY2020Q4",$M489),"")</f>
        <v>[YGI7vISD2kJ]|15-19|Male|DIAGNOSED_SUBNAT.T_1|CY2021Q3</v>
      </c>
    </row>
    <row r="490" customFormat="false" ht="15" hidden="false" customHeight="false" outlineLevel="0" collapsed="false">
      <c r="D490" s="0" t="s">
        <v>105</v>
      </c>
      <c r="E490" s="0" t="s">
        <v>106</v>
      </c>
      <c r="F490" s="0" t="s">
        <v>47</v>
      </c>
      <c r="G490" s="0" t="s">
        <v>93</v>
      </c>
      <c r="H490" s="0" t="s">
        <v>94</v>
      </c>
      <c r="I490" s="0" t="s">
        <v>66</v>
      </c>
      <c r="J490" s="0" t="s">
        <v>67</v>
      </c>
      <c r="K490" s="0" t="s">
        <v>56</v>
      </c>
      <c r="L490" s="0" t="s">
        <v>57</v>
      </c>
      <c r="M490" s="0" t="s">
        <v>50</v>
      </c>
      <c r="N490" s="0" t="n">
        <v>776</v>
      </c>
      <c r="O490" s="0" t="n">
        <v>25</v>
      </c>
      <c r="P490" s="0" t="n">
        <v>23</v>
      </c>
      <c r="Q490" s="5" t="str">
        <f aca="false">IF($D490&lt;&gt;"","["&amp;$E490&amp;"]"&amp;"|"&amp;SUBSTITUTE(SUBSTITUTE($I490,CHAR(61),""),CHAR(34),"")&amp;"|"&amp;$K490&amp;"|"&amp;$G490&amp;"|"&amp;IF($G490="TX_CURR_SUBNAT.R","CY2020Q4",$M490),"")</f>
        <v>[YGI7vISD2kJ]|20-24|Female|DIAGNOSED_SUBNAT.T_1|CY2021Q3</v>
      </c>
    </row>
    <row r="491" customFormat="false" ht="15" hidden="false" customHeight="false" outlineLevel="0" collapsed="false">
      <c r="D491" s="0" t="s">
        <v>105</v>
      </c>
      <c r="E491" s="0" t="s">
        <v>106</v>
      </c>
      <c r="F491" s="0" t="s">
        <v>47</v>
      </c>
      <c r="G491" s="0" t="s">
        <v>93</v>
      </c>
      <c r="H491" s="0" t="s">
        <v>94</v>
      </c>
      <c r="I491" s="0" t="s">
        <v>66</v>
      </c>
      <c r="J491" s="0" t="s">
        <v>67</v>
      </c>
      <c r="K491" s="0" t="s">
        <v>58</v>
      </c>
      <c r="L491" s="0" t="s">
        <v>59</v>
      </c>
      <c r="M491" s="0" t="s">
        <v>50</v>
      </c>
      <c r="N491" s="0" t="n">
        <v>304</v>
      </c>
      <c r="O491" s="0" t="n">
        <v>48</v>
      </c>
      <c r="P491" s="0" t="n">
        <v>26</v>
      </c>
      <c r="Q491" s="5" t="str">
        <f aca="false">IF($D491&lt;&gt;"","["&amp;$E491&amp;"]"&amp;"|"&amp;SUBSTITUTE(SUBSTITUTE($I491,CHAR(61),""),CHAR(34),"")&amp;"|"&amp;$K491&amp;"|"&amp;$G491&amp;"|"&amp;IF($G491="TX_CURR_SUBNAT.R","CY2020Q4",$M491),"")</f>
        <v>[YGI7vISD2kJ]|20-24|Male|DIAGNOSED_SUBNAT.T_1|CY2021Q3</v>
      </c>
    </row>
    <row r="492" customFormat="false" ht="15" hidden="false" customHeight="false" outlineLevel="0" collapsed="false">
      <c r="D492" s="0" t="s">
        <v>105</v>
      </c>
      <c r="E492" s="0" t="s">
        <v>106</v>
      </c>
      <c r="F492" s="0" t="s">
        <v>47</v>
      </c>
      <c r="G492" s="0" t="s">
        <v>93</v>
      </c>
      <c r="H492" s="0" t="s">
        <v>94</v>
      </c>
      <c r="I492" s="0" t="s">
        <v>69</v>
      </c>
      <c r="J492" s="0" t="s">
        <v>70</v>
      </c>
      <c r="K492" s="0" t="s">
        <v>56</v>
      </c>
      <c r="L492" s="0" t="s">
        <v>57</v>
      </c>
      <c r="M492" s="0" t="s">
        <v>50</v>
      </c>
      <c r="N492" s="0" t="n">
        <v>1307</v>
      </c>
      <c r="O492" s="0" t="n">
        <v>2</v>
      </c>
      <c r="P492" s="0" t="n">
        <v>19</v>
      </c>
      <c r="Q492" s="5" t="str">
        <f aca="false">IF($D492&lt;&gt;"","["&amp;$E492&amp;"]"&amp;"|"&amp;SUBSTITUTE(SUBSTITUTE($I492,CHAR(61),""),CHAR(34),"")&amp;"|"&amp;$K492&amp;"|"&amp;$G492&amp;"|"&amp;IF($G492="TX_CURR_SUBNAT.R","CY2020Q4",$M492),"")</f>
        <v>[YGI7vISD2kJ]|25-29|Female|DIAGNOSED_SUBNAT.T_1|CY2021Q3</v>
      </c>
    </row>
    <row r="493" customFormat="false" ht="15" hidden="false" customHeight="false" outlineLevel="0" collapsed="false">
      <c r="D493" s="0" t="s">
        <v>105</v>
      </c>
      <c r="E493" s="0" t="s">
        <v>106</v>
      </c>
      <c r="F493" s="0" t="s">
        <v>47</v>
      </c>
      <c r="G493" s="0" t="s">
        <v>93</v>
      </c>
      <c r="H493" s="0" t="s">
        <v>94</v>
      </c>
      <c r="I493" s="0" t="s">
        <v>69</v>
      </c>
      <c r="J493" s="0" t="s">
        <v>70</v>
      </c>
      <c r="K493" s="0" t="s">
        <v>58</v>
      </c>
      <c r="L493" s="0" t="s">
        <v>59</v>
      </c>
      <c r="M493" s="0" t="s">
        <v>50</v>
      </c>
      <c r="N493" s="0" t="n">
        <v>539</v>
      </c>
      <c r="O493" s="0" t="n">
        <v>33</v>
      </c>
      <c r="P493" s="0" t="n">
        <v>49</v>
      </c>
      <c r="Q493" s="5" t="str">
        <f aca="false">IF($D493&lt;&gt;"","["&amp;$E493&amp;"]"&amp;"|"&amp;SUBSTITUTE(SUBSTITUTE($I493,CHAR(61),""),CHAR(34),"")&amp;"|"&amp;$K493&amp;"|"&amp;$G493&amp;"|"&amp;IF($G493="TX_CURR_SUBNAT.R","CY2020Q4",$M493),"")</f>
        <v>[YGI7vISD2kJ]|25-29|Male|DIAGNOSED_SUBNAT.T_1|CY2021Q3</v>
      </c>
    </row>
    <row r="494" customFormat="false" ht="15" hidden="false" customHeight="false" outlineLevel="0" collapsed="false">
      <c r="D494" s="0" t="s">
        <v>105</v>
      </c>
      <c r="E494" s="0" t="s">
        <v>106</v>
      </c>
      <c r="F494" s="0" t="s">
        <v>47</v>
      </c>
      <c r="G494" s="0" t="s">
        <v>93</v>
      </c>
      <c r="H494" s="0" t="s">
        <v>94</v>
      </c>
      <c r="I494" s="0" t="s">
        <v>72</v>
      </c>
      <c r="J494" s="0" t="s">
        <v>73</v>
      </c>
      <c r="K494" s="0" t="s">
        <v>56</v>
      </c>
      <c r="L494" s="0" t="s">
        <v>57</v>
      </c>
      <c r="M494" s="0" t="s">
        <v>50</v>
      </c>
      <c r="N494" s="0" t="n">
        <v>1635</v>
      </c>
      <c r="O494" s="0" t="n">
        <v>1</v>
      </c>
      <c r="P494" s="0" t="n">
        <v>45</v>
      </c>
      <c r="Q494" s="5" t="str">
        <f aca="false">IF($D494&lt;&gt;"","["&amp;$E494&amp;"]"&amp;"|"&amp;SUBSTITUTE(SUBSTITUTE($I494,CHAR(61),""),CHAR(34),"")&amp;"|"&amp;$K494&amp;"|"&amp;$G494&amp;"|"&amp;IF($G494="TX_CURR_SUBNAT.R","CY2020Q4",$M494),"")</f>
        <v>[YGI7vISD2kJ]|30-34|Female|DIAGNOSED_SUBNAT.T_1|CY2021Q3</v>
      </c>
    </row>
    <row r="495" customFormat="false" ht="15" hidden="false" customHeight="false" outlineLevel="0" collapsed="false">
      <c r="D495" s="0" t="s">
        <v>105</v>
      </c>
      <c r="E495" s="0" t="s">
        <v>106</v>
      </c>
      <c r="F495" s="0" t="s">
        <v>47</v>
      </c>
      <c r="G495" s="0" t="s">
        <v>93</v>
      </c>
      <c r="H495" s="0" t="s">
        <v>94</v>
      </c>
      <c r="I495" s="0" t="s">
        <v>72</v>
      </c>
      <c r="J495" s="0" t="s">
        <v>73</v>
      </c>
      <c r="K495" s="0" t="s">
        <v>58</v>
      </c>
      <c r="L495" s="0" t="s">
        <v>59</v>
      </c>
      <c r="M495" s="0" t="s">
        <v>50</v>
      </c>
      <c r="N495" s="0" t="n">
        <v>886</v>
      </c>
      <c r="O495" s="0" t="n">
        <v>28</v>
      </c>
      <c r="P495" s="0" t="n">
        <v>18</v>
      </c>
      <c r="Q495" s="5" t="str">
        <f aca="false">IF($D495&lt;&gt;"","["&amp;$E495&amp;"]"&amp;"|"&amp;SUBSTITUTE(SUBSTITUTE($I495,CHAR(61),""),CHAR(34),"")&amp;"|"&amp;$K495&amp;"|"&amp;$G495&amp;"|"&amp;IF($G495="TX_CURR_SUBNAT.R","CY2020Q4",$M495),"")</f>
        <v>[YGI7vISD2kJ]|30-34|Male|DIAGNOSED_SUBNAT.T_1|CY2021Q3</v>
      </c>
    </row>
    <row r="496" customFormat="false" ht="15" hidden="false" customHeight="false" outlineLevel="0" collapsed="false">
      <c r="D496" s="0" t="s">
        <v>105</v>
      </c>
      <c r="E496" s="0" t="s">
        <v>106</v>
      </c>
      <c r="F496" s="0" t="s">
        <v>47</v>
      </c>
      <c r="G496" s="0" t="s">
        <v>93</v>
      </c>
      <c r="H496" s="0" t="s">
        <v>94</v>
      </c>
      <c r="I496" s="0" t="s">
        <v>75</v>
      </c>
      <c r="J496" s="0" t="s">
        <v>76</v>
      </c>
      <c r="K496" s="0" t="s">
        <v>56</v>
      </c>
      <c r="L496" s="0" t="s">
        <v>57</v>
      </c>
      <c r="M496" s="0" t="s">
        <v>50</v>
      </c>
      <c r="N496" s="0" t="n">
        <v>1762</v>
      </c>
      <c r="O496" s="0" t="n">
        <v>3</v>
      </c>
      <c r="P496" s="0" t="n">
        <v>14</v>
      </c>
      <c r="Q496" s="5" t="str">
        <f aca="false">IF($D496&lt;&gt;"","["&amp;$E496&amp;"]"&amp;"|"&amp;SUBSTITUTE(SUBSTITUTE($I496,CHAR(61),""),CHAR(34),"")&amp;"|"&amp;$K496&amp;"|"&amp;$G496&amp;"|"&amp;IF($G496="TX_CURR_SUBNAT.R","CY2020Q4",$M496),"")</f>
        <v>[YGI7vISD2kJ]|35-39|Female|DIAGNOSED_SUBNAT.T_1|CY2021Q3</v>
      </c>
    </row>
    <row r="497" customFormat="false" ht="15" hidden="false" customHeight="false" outlineLevel="0" collapsed="false">
      <c r="D497" s="0" t="s">
        <v>105</v>
      </c>
      <c r="E497" s="0" t="s">
        <v>106</v>
      </c>
      <c r="F497" s="0" t="s">
        <v>47</v>
      </c>
      <c r="G497" s="0" t="s">
        <v>93</v>
      </c>
      <c r="H497" s="0" t="s">
        <v>94</v>
      </c>
      <c r="I497" s="0" t="s">
        <v>75</v>
      </c>
      <c r="J497" s="0" t="s">
        <v>76</v>
      </c>
      <c r="K497" s="0" t="s">
        <v>58</v>
      </c>
      <c r="L497" s="0" t="s">
        <v>59</v>
      </c>
      <c r="M497" s="0" t="s">
        <v>50</v>
      </c>
      <c r="N497" s="0" t="n">
        <v>1187</v>
      </c>
      <c r="O497" s="0" t="n">
        <v>16</v>
      </c>
      <c r="P497" s="0" t="n">
        <v>18</v>
      </c>
      <c r="Q497" s="5" t="str">
        <f aca="false">IF($D497&lt;&gt;"","["&amp;$E497&amp;"]"&amp;"|"&amp;SUBSTITUTE(SUBSTITUTE($I497,CHAR(61),""),CHAR(34),"")&amp;"|"&amp;$K497&amp;"|"&amp;$G497&amp;"|"&amp;IF($G497="TX_CURR_SUBNAT.R","CY2020Q4",$M497),"")</f>
        <v>[YGI7vISD2kJ]|35-39|Male|DIAGNOSED_SUBNAT.T_1|CY2021Q3</v>
      </c>
    </row>
    <row r="498" customFormat="false" ht="15" hidden="false" customHeight="false" outlineLevel="0" collapsed="false">
      <c r="D498" s="0" t="s">
        <v>105</v>
      </c>
      <c r="E498" s="0" t="s">
        <v>106</v>
      </c>
      <c r="F498" s="0" t="s">
        <v>47</v>
      </c>
      <c r="G498" s="0" t="s">
        <v>93</v>
      </c>
      <c r="H498" s="0" t="s">
        <v>94</v>
      </c>
      <c r="I498" s="0" t="s">
        <v>77</v>
      </c>
      <c r="J498" s="0" t="s">
        <v>78</v>
      </c>
      <c r="K498" s="0" t="s">
        <v>56</v>
      </c>
      <c r="L498" s="0" t="s">
        <v>57</v>
      </c>
      <c r="M498" s="0" t="s">
        <v>50</v>
      </c>
      <c r="N498" s="0" t="n">
        <v>1716</v>
      </c>
      <c r="O498" s="0" t="n">
        <v>51</v>
      </c>
      <c r="P498" s="0" t="n">
        <v>41</v>
      </c>
      <c r="Q498" s="5" t="str">
        <f aca="false">IF($D498&lt;&gt;"","["&amp;$E498&amp;"]"&amp;"|"&amp;SUBSTITUTE(SUBSTITUTE($I498,CHAR(61),""),CHAR(34),"")&amp;"|"&amp;$K498&amp;"|"&amp;$G498&amp;"|"&amp;IF($G498="TX_CURR_SUBNAT.R","CY2020Q4",$M498),"")</f>
        <v>[YGI7vISD2kJ]|40-44|Female|DIAGNOSED_SUBNAT.T_1|CY2021Q3</v>
      </c>
    </row>
    <row r="499" customFormat="false" ht="15" hidden="false" customHeight="false" outlineLevel="0" collapsed="false">
      <c r="D499" s="0" t="s">
        <v>105</v>
      </c>
      <c r="E499" s="0" t="s">
        <v>106</v>
      </c>
      <c r="F499" s="0" t="s">
        <v>47</v>
      </c>
      <c r="G499" s="0" t="s">
        <v>93</v>
      </c>
      <c r="H499" s="0" t="s">
        <v>94</v>
      </c>
      <c r="I499" s="0" t="s">
        <v>77</v>
      </c>
      <c r="J499" s="0" t="s">
        <v>78</v>
      </c>
      <c r="K499" s="0" t="s">
        <v>58</v>
      </c>
      <c r="L499" s="0" t="s">
        <v>59</v>
      </c>
      <c r="M499" s="0" t="s">
        <v>50</v>
      </c>
      <c r="N499" s="0" t="n">
        <v>1204</v>
      </c>
      <c r="O499" s="0" t="n">
        <v>50</v>
      </c>
      <c r="P499" s="0" t="n">
        <v>7</v>
      </c>
      <c r="Q499" s="5" t="str">
        <f aca="false">IF($D499&lt;&gt;"","["&amp;$E499&amp;"]"&amp;"|"&amp;SUBSTITUTE(SUBSTITUTE($I499,CHAR(61),""),CHAR(34),"")&amp;"|"&amp;$K499&amp;"|"&amp;$G499&amp;"|"&amp;IF($G499="TX_CURR_SUBNAT.R","CY2020Q4",$M499),"")</f>
        <v>[YGI7vISD2kJ]|40-44|Male|DIAGNOSED_SUBNAT.T_1|CY2021Q3</v>
      </c>
    </row>
    <row r="500" customFormat="false" ht="15" hidden="false" customHeight="false" outlineLevel="0" collapsed="false">
      <c r="D500" s="0" t="s">
        <v>105</v>
      </c>
      <c r="E500" s="0" t="s">
        <v>106</v>
      </c>
      <c r="F500" s="0" t="s">
        <v>47</v>
      </c>
      <c r="G500" s="0" t="s">
        <v>93</v>
      </c>
      <c r="H500" s="0" t="s">
        <v>94</v>
      </c>
      <c r="I500" s="0" t="s">
        <v>80</v>
      </c>
      <c r="J500" s="0" t="s">
        <v>81</v>
      </c>
      <c r="K500" s="0" t="s">
        <v>56</v>
      </c>
      <c r="L500" s="0" t="s">
        <v>57</v>
      </c>
      <c r="M500" s="0" t="s">
        <v>50</v>
      </c>
      <c r="N500" s="0" t="n">
        <v>1430</v>
      </c>
      <c r="O500" s="0" t="n">
        <v>47</v>
      </c>
      <c r="P500" s="0" t="n">
        <v>38</v>
      </c>
      <c r="Q500" s="5" t="str">
        <f aca="false">IF($D500&lt;&gt;"","["&amp;$E500&amp;"]"&amp;"|"&amp;SUBSTITUTE(SUBSTITUTE($I500,CHAR(61),""),CHAR(34),"")&amp;"|"&amp;$K500&amp;"|"&amp;$G500&amp;"|"&amp;IF($G500="TX_CURR_SUBNAT.R","CY2020Q4",$M500),"")</f>
        <v>[YGI7vISD2kJ]|45-49|Female|DIAGNOSED_SUBNAT.T_1|CY2021Q3</v>
      </c>
    </row>
    <row r="501" customFormat="false" ht="15" hidden="false" customHeight="false" outlineLevel="0" collapsed="false">
      <c r="D501" s="0" t="s">
        <v>105</v>
      </c>
      <c r="E501" s="0" t="s">
        <v>106</v>
      </c>
      <c r="F501" s="0" t="s">
        <v>47</v>
      </c>
      <c r="G501" s="0" t="s">
        <v>93</v>
      </c>
      <c r="H501" s="0" t="s">
        <v>94</v>
      </c>
      <c r="I501" s="0" t="s">
        <v>80</v>
      </c>
      <c r="J501" s="0" t="s">
        <v>81</v>
      </c>
      <c r="K501" s="0" t="s">
        <v>58</v>
      </c>
      <c r="L501" s="0" t="s">
        <v>59</v>
      </c>
      <c r="M501" s="0" t="s">
        <v>50</v>
      </c>
      <c r="N501" s="0" t="n">
        <v>996</v>
      </c>
      <c r="O501" s="0" t="n">
        <v>16</v>
      </c>
      <c r="P501" s="0" t="n">
        <v>12</v>
      </c>
      <c r="Q501" s="5" t="str">
        <f aca="false">IF($D501&lt;&gt;"","["&amp;$E501&amp;"]"&amp;"|"&amp;SUBSTITUTE(SUBSTITUTE($I501,CHAR(61),""),CHAR(34),"")&amp;"|"&amp;$K501&amp;"|"&amp;$G501&amp;"|"&amp;IF($G501="TX_CURR_SUBNAT.R","CY2020Q4",$M501),"")</f>
        <v>[YGI7vISD2kJ]|45-49|Male|DIAGNOSED_SUBNAT.T_1|CY2021Q3</v>
      </c>
    </row>
    <row r="502" customFormat="false" ht="15" hidden="false" customHeight="false" outlineLevel="0" collapsed="false">
      <c r="D502" s="0" t="s">
        <v>105</v>
      </c>
      <c r="E502" s="0" t="s">
        <v>106</v>
      </c>
      <c r="F502" s="0" t="s">
        <v>47</v>
      </c>
      <c r="G502" s="0" t="s">
        <v>93</v>
      </c>
      <c r="H502" s="0" t="s">
        <v>94</v>
      </c>
      <c r="I502" s="0" t="s">
        <v>83</v>
      </c>
      <c r="J502" s="0" t="s">
        <v>84</v>
      </c>
      <c r="K502" s="0" t="s">
        <v>56</v>
      </c>
      <c r="L502" s="0" t="s">
        <v>57</v>
      </c>
      <c r="M502" s="0" t="s">
        <v>50</v>
      </c>
      <c r="N502" s="0" t="n">
        <v>88</v>
      </c>
      <c r="O502" s="0" t="n">
        <v>39</v>
      </c>
      <c r="P502" s="0" t="n">
        <v>1</v>
      </c>
      <c r="Q502" s="5" t="str">
        <f aca="false">IF($D502&lt;&gt;"","["&amp;$E502&amp;"]"&amp;"|"&amp;SUBSTITUTE(SUBSTITUTE($I502,CHAR(61),""),CHAR(34),"")&amp;"|"&amp;$K502&amp;"|"&amp;$G502&amp;"|"&amp;IF($G502="TX_CURR_SUBNAT.R","CY2020Q4",$M502),"")</f>
        <v>[YGI7vISD2kJ]|05-09|Female|DIAGNOSED_SUBNAT.T_1|CY2021Q3</v>
      </c>
    </row>
    <row r="503" customFormat="false" ht="15" hidden="false" customHeight="false" outlineLevel="0" collapsed="false">
      <c r="D503" s="0" t="s">
        <v>105</v>
      </c>
      <c r="E503" s="0" t="s">
        <v>106</v>
      </c>
      <c r="F503" s="0" t="s">
        <v>47</v>
      </c>
      <c r="G503" s="0" t="s">
        <v>93</v>
      </c>
      <c r="H503" s="0" t="s">
        <v>94</v>
      </c>
      <c r="I503" s="0" t="s">
        <v>83</v>
      </c>
      <c r="J503" s="0" t="s">
        <v>84</v>
      </c>
      <c r="K503" s="0" t="s">
        <v>58</v>
      </c>
      <c r="L503" s="0" t="s">
        <v>59</v>
      </c>
      <c r="M503" s="0" t="s">
        <v>50</v>
      </c>
      <c r="N503" s="0" t="n">
        <v>89</v>
      </c>
      <c r="O503" s="0" t="n">
        <v>44</v>
      </c>
      <c r="P503" s="0" t="n">
        <v>15</v>
      </c>
      <c r="Q503" s="5" t="str">
        <f aca="false">IF($D503&lt;&gt;"","["&amp;$E503&amp;"]"&amp;"|"&amp;SUBSTITUTE(SUBSTITUTE($I503,CHAR(61),""),CHAR(34),"")&amp;"|"&amp;$K503&amp;"|"&amp;$G503&amp;"|"&amp;IF($G503="TX_CURR_SUBNAT.R","CY2020Q4",$M503),"")</f>
        <v>[YGI7vISD2kJ]|05-09|Male|DIAGNOSED_SUBNAT.T_1|CY2021Q3</v>
      </c>
    </row>
    <row r="504" customFormat="false" ht="15" hidden="false" customHeight="false" outlineLevel="0" collapsed="false">
      <c r="D504" s="0" t="s">
        <v>105</v>
      </c>
      <c r="E504" s="0" t="s">
        <v>106</v>
      </c>
      <c r="F504" s="0" t="s">
        <v>47</v>
      </c>
      <c r="G504" s="0" t="s">
        <v>93</v>
      </c>
      <c r="H504" s="0" t="s">
        <v>94</v>
      </c>
      <c r="I504" s="53" t="s">
        <v>86</v>
      </c>
      <c r="J504" s="0" t="s">
        <v>87</v>
      </c>
      <c r="K504" s="0" t="s">
        <v>56</v>
      </c>
      <c r="L504" s="0" t="s">
        <v>57</v>
      </c>
      <c r="M504" s="0" t="s">
        <v>50</v>
      </c>
      <c r="N504" s="0" t="n">
        <v>3736</v>
      </c>
      <c r="O504" s="0" t="n">
        <v>2</v>
      </c>
      <c r="P504" s="0" t="n">
        <v>41</v>
      </c>
      <c r="Q504" s="5" t="str">
        <f aca="false">IF($D504&lt;&gt;"","["&amp;$E504&amp;"]"&amp;"|"&amp;SUBSTITUTE(SUBSTITUTE($I504,CHAR(61),""),CHAR(34),"")&amp;"|"&amp;$K504&amp;"|"&amp;$G504&amp;"|"&amp;IF($G504="TX_CURR_SUBNAT.R","CY2020Q4",$M504),"")</f>
        <v>[YGI7vISD2kJ]|50+|Female|DIAGNOSED_SUBNAT.T_1|CY2021Q3</v>
      </c>
    </row>
    <row r="505" customFormat="false" ht="15" hidden="false" customHeight="false" outlineLevel="0" collapsed="false">
      <c r="D505" s="0" t="s">
        <v>105</v>
      </c>
      <c r="E505" s="0" t="s">
        <v>106</v>
      </c>
      <c r="F505" s="0" t="s">
        <v>47</v>
      </c>
      <c r="G505" s="0" t="s">
        <v>93</v>
      </c>
      <c r="H505" s="0" t="s">
        <v>94</v>
      </c>
      <c r="I505" s="53" t="s">
        <v>86</v>
      </c>
      <c r="J505" s="0" t="s">
        <v>87</v>
      </c>
      <c r="K505" s="0" t="s">
        <v>58</v>
      </c>
      <c r="L505" s="0" t="s">
        <v>59</v>
      </c>
      <c r="M505" s="0" t="s">
        <v>50</v>
      </c>
      <c r="N505" s="0" t="n">
        <v>2496</v>
      </c>
      <c r="O505" s="0" t="n">
        <v>41</v>
      </c>
      <c r="P505" s="0" t="n">
        <v>39</v>
      </c>
      <c r="Q505" s="5" t="str">
        <f aca="false">IF($D505&lt;&gt;"","["&amp;$E505&amp;"]"&amp;"|"&amp;SUBSTITUTE(SUBSTITUTE($I505,CHAR(61),""),CHAR(34),"")&amp;"|"&amp;$K505&amp;"|"&amp;$G505&amp;"|"&amp;IF($G505="TX_CURR_SUBNAT.R","CY2020Q4",$M505),"")</f>
        <v>[YGI7vISD2kJ]|50+|Male|DIAGNOSED_SUBNAT.T_1|CY2021Q3</v>
      </c>
    </row>
    <row r="506" customFormat="false" ht="15" hidden="false" customHeight="false" outlineLevel="0" collapsed="false">
      <c r="D506" s="0" t="s">
        <v>105</v>
      </c>
      <c r="E506" s="0" t="s">
        <v>106</v>
      </c>
      <c r="F506" s="0" t="s">
        <v>47</v>
      </c>
      <c r="G506" s="0" t="s">
        <v>93</v>
      </c>
      <c r="H506" s="0" t="s">
        <v>94</v>
      </c>
      <c r="I506" s="0" t="s">
        <v>89</v>
      </c>
      <c r="J506" s="0" t="s">
        <v>90</v>
      </c>
      <c r="K506" s="0" t="s">
        <v>56</v>
      </c>
      <c r="L506" s="0" t="s">
        <v>57</v>
      </c>
      <c r="M506" s="0" t="s">
        <v>50</v>
      </c>
      <c r="N506" s="0" t="n">
        <v>4</v>
      </c>
      <c r="O506" s="0" t="n">
        <v>29</v>
      </c>
      <c r="P506" s="0" t="n">
        <v>31</v>
      </c>
      <c r="Q506" s="5" t="str">
        <f aca="false">IF($D506&lt;&gt;"","["&amp;$E506&amp;"]"&amp;"|"&amp;SUBSTITUTE(SUBSTITUTE($I506,CHAR(61),""),CHAR(34),"")&amp;"|"&amp;$K506&amp;"|"&amp;$G506&amp;"|"&amp;IF($G506="TX_CURR_SUBNAT.R","CY2020Q4",$M506),"")</f>
        <v>[YGI7vISD2kJ]|&lt;01|Female|DIAGNOSED_SUBNAT.T_1|CY2021Q3</v>
      </c>
    </row>
    <row r="507" customFormat="false" ht="15" hidden="false" customHeight="false" outlineLevel="0" collapsed="false">
      <c r="D507" s="0" t="s">
        <v>105</v>
      </c>
      <c r="E507" s="0" t="s">
        <v>106</v>
      </c>
      <c r="F507" s="0" t="s">
        <v>47</v>
      </c>
      <c r="G507" s="0" t="s">
        <v>93</v>
      </c>
      <c r="H507" s="0" t="s">
        <v>94</v>
      </c>
      <c r="I507" s="0" t="s">
        <v>89</v>
      </c>
      <c r="J507" s="0" t="s">
        <v>90</v>
      </c>
      <c r="K507" s="0" t="s">
        <v>58</v>
      </c>
      <c r="L507" s="0" t="s">
        <v>59</v>
      </c>
      <c r="M507" s="0" t="s">
        <v>50</v>
      </c>
      <c r="N507" s="0" t="n">
        <v>5</v>
      </c>
      <c r="O507" s="0" t="n">
        <v>49</v>
      </c>
      <c r="P507" s="0" t="n">
        <v>44</v>
      </c>
      <c r="Q507" s="5" t="str">
        <f aca="false">IF($D507&lt;&gt;"","["&amp;$E507&amp;"]"&amp;"|"&amp;SUBSTITUTE(SUBSTITUTE($I507,CHAR(61),""),CHAR(34),"")&amp;"|"&amp;$K507&amp;"|"&amp;$G507&amp;"|"&amp;IF($G507="TX_CURR_SUBNAT.R","CY2020Q4",$M507),"")</f>
        <v>[YGI7vISD2kJ]|&lt;01|Male|DIAGNOSED_SUBNAT.T_1|CY2021Q3</v>
      </c>
    </row>
    <row r="508" customFormat="false" ht="15" hidden="false" customHeight="false" outlineLevel="0" collapsed="false">
      <c r="D508" s="0" t="s">
        <v>105</v>
      </c>
      <c r="E508" s="0" t="s">
        <v>106</v>
      </c>
      <c r="F508" s="0" t="s">
        <v>47</v>
      </c>
      <c r="G508" s="0" t="s">
        <v>95</v>
      </c>
      <c r="H508" s="0" t="s">
        <v>96</v>
      </c>
      <c r="I508" s="0" t="s">
        <v>54</v>
      </c>
      <c r="J508" s="0" t="s">
        <v>55</v>
      </c>
      <c r="K508" s="0" t="s">
        <v>56</v>
      </c>
      <c r="L508" s="0" t="s">
        <v>57</v>
      </c>
      <c r="M508" s="0" t="s">
        <v>50</v>
      </c>
      <c r="N508" s="0" t="n">
        <v>25</v>
      </c>
      <c r="O508" s="0" t="n">
        <v>8</v>
      </c>
      <c r="P508" s="0" t="n">
        <v>30</v>
      </c>
      <c r="Q508" s="5" t="str">
        <f aca="false">IF($D508&lt;&gt;"","["&amp;$E508&amp;"]"&amp;"|"&amp;SUBSTITUTE(SUBSTITUTE($I508,CHAR(61),""),CHAR(34),"")&amp;"|"&amp;$K508&amp;"|"&amp;$G508&amp;"|"&amp;IF($G508="TX_CURR_SUBNAT.R","CY2020Q4",$M508),"")</f>
        <v>[YGI7vISD2kJ]|01-04|Female|VL_SUPPRESSED.T_1|CY2021Q3</v>
      </c>
    </row>
    <row r="509" customFormat="false" ht="15" hidden="false" customHeight="false" outlineLevel="0" collapsed="false">
      <c r="D509" s="0" t="s">
        <v>105</v>
      </c>
      <c r="E509" s="0" t="s">
        <v>106</v>
      </c>
      <c r="F509" s="0" t="s">
        <v>47</v>
      </c>
      <c r="G509" s="0" t="s">
        <v>95</v>
      </c>
      <c r="H509" s="0" t="s">
        <v>96</v>
      </c>
      <c r="I509" s="0" t="s">
        <v>54</v>
      </c>
      <c r="J509" s="0" t="s">
        <v>55</v>
      </c>
      <c r="K509" s="0" t="s">
        <v>58</v>
      </c>
      <c r="L509" s="0" t="s">
        <v>59</v>
      </c>
      <c r="M509" s="0" t="s">
        <v>50</v>
      </c>
      <c r="N509" s="0" t="n">
        <v>25</v>
      </c>
      <c r="O509" s="0" t="n">
        <v>46</v>
      </c>
      <c r="P509" s="0" t="n">
        <v>5</v>
      </c>
      <c r="Q509" s="5" t="str">
        <f aca="false">IF($D509&lt;&gt;"","["&amp;$E509&amp;"]"&amp;"|"&amp;SUBSTITUTE(SUBSTITUTE($I509,CHAR(61),""),CHAR(34),"")&amp;"|"&amp;$K509&amp;"|"&amp;$G509&amp;"|"&amp;IF($G509="TX_CURR_SUBNAT.R","CY2020Q4",$M509),"")</f>
        <v>[YGI7vISD2kJ]|01-04|Male|VL_SUPPRESSED.T_1|CY2021Q3</v>
      </c>
    </row>
    <row r="510" customFormat="false" ht="15" hidden="false" customHeight="false" outlineLevel="0" collapsed="false">
      <c r="D510" s="0" t="s">
        <v>105</v>
      </c>
      <c r="E510" s="0" t="s">
        <v>106</v>
      </c>
      <c r="F510" s="0" t="s">
        <v>47</v>
      </c>
      <c r="G510" s="0" t="s">
        <v>95</v>
      </c>
      <c r="H510" s="0" t="s">
        <v>96</v>
      </c>
      <c r="I510" s="0" t="s">
        <v>61</v>
      </c>
      <c r="J510" s="0" t="s">
        <v>62</v>
      </c>
      <c r="K510" s="0" t="s">
        <v>56</v>
      </c>
      <c r="L510" s="0" t="s">
        <v>57</v>
      </c>
      <c r="M510" s="0" t="s">
        <v>50</v>
      </c>
      <c r="N510" s="0" t="n">
        <v>127</v>
      </c>
      <c r="O510" s="0" t="n">
        <v>24</v>
      </c>
      <c r="P510" s="0" t="n">
        <v>24</v>
      </c>
      <c r="Q510" s="5" t="str">
        <f aca="false">IF($D510&lt;&gt;"","["&amp;$E510&amp;"]"&amp;"|"&amp;SUBSTITUTE(SUBSTITUTE($I510,CHAR(61),""),CHAR(34),"")&amp;"|"&amp;$K510&amp;"|"&amp;$G510&amp;"|"&amp;IF($G510="TX_CURR_SUBNAT.R","CY2020Q4",$M510),"")</f>
        <v>[YGI7vISD2kJ]|10-14|Female|VL_SUPPRESSED.T_1|CY2021Q3</v>
      </c>
    </row>
    <row r="511" customFormat="false" ht="15" hidden="false" customHeight="false" outlineLevel="0" collapsed="false">
      <c r="D511" s="0" t="s">
        <v>105</v>
      </c>
      <c r="E511" s="0" t="s">
        <v>106</v>
      </c>
      <c r="F511" s="0" t="s">
        <v>47</v>
      </c>
      <c r="G511" s="0" t="s">
        <v>95</v>
      </c>
      <c r="H511" s="0" t="s">
        <v>96</v>
      </c>
      <c r="I511" s="0" t="s">
        <v>61</v>
      </c>
      <c r="J511" s="0" t="s">
        <v>62</v>
      </c>
      <c r="K511" s="0" t="s">
        <v>58</v>
      </c>
      <c r="L511" s="0" t="s">
        <v>59</v>
      </c>
      <c r="M511" s="0" t="s">
        <v>50</v>
      </c>
      <c r="N511" s="0" t="n">
        <v>79</v>
      </c>
      <c r="O511" s="0" t="n">
        <v>22</v>
      </c>
      <c r="P511" s="0" t="n">
        <v>20</v>
      </c>
      <c r="Q511" s="5" t="str">
        <f aca="false">IF($D511&lt;&gt;"","["&amp;$E511&amp;"]"&amp;"|"&amp;SUBSTITUTE(SUBSTITUTE($I511,CHAR(61),""),CHAR(34),"")&amp;"|"&amp;$K511&amp;"|"&amp;$G511&amp;"|"&amp;IF($G511="TX_CURR_SUBNAT.R","CY2020Q4",$M511),"")</f>
        <v>[YGI7vISD2kJ]|10-14|Male|VL_SUPPRESSED.T_1|CY2021Q3</v>
      </c>
    </row>
    <row r="512" customFormat="false" ht="15" hidden="false" customHeight="false" outlineLevel="0" collapsed="false">
      <c r="D512" s="0" t="s">
        <v>105</v>
      </c>
      <c r="E512" s="0" t="s">
        <v>106</v>
      </c>
      <c r="F512" s="0" t="s">
        <v>47</v>
      </c>
      <c r="G512" s="0" t="s">
        <v>95</v>
      </c>
      <c r="H512" s="0" t="s">
        <v>96</v>
      </c>
      <c r="I512" s="0" t="s">
        <v>63</v>
      </c>
      <c r="J512" s="0" t="s">
        <v>64</v>
      </c>
      <c r="K512" s="0" t="s">
        <v>56</v>
      </c>
      <c r="L512" s="0" t="s">
        <v>57</v>
      </c>
      <c r="M512" s="0" t="s">
        <v>50</v>
      </c>
      <c r="N512" s="0" t="n">
        <v>162</v>
      </c>
      <c r="O512" s="0" t="n">
        <v>47</v>
      </c>
      <c r="P512" s="0" t="n">
        <v>4</v>
      </c>
      <c r="Q512" s="5" t="str">
        <f aca="false">IF($D512&lt;&gt;"","["&amp;$E512&amp;"]"&amp;"|"&amp;SUBSTITUTE(SUBSTITUTE($I512,CHAR(61),""),CHAR(34),"")&amp;"|"&amp;$K512&amp;"|"&amp;$G512&amp;"|"&amp;IF($G512="TX_CURR_SUBNAT.R","CY2020Q4",$M512),"")</f>
        <v>[YGI7vISD2kJ]|15-19|Female|VL_SUPPRESSED.T_1|CY2021Q3</v>
      </c>
    </row>
    <row r="513" customFormat="false" ht="15" hidden="false" customHeight="false" outlineLevel="0" collapsed="false">
      <c r="D513" s="0" t="s">
        <v>105</v>
      </c>
      <c r="E513" s="0" t="s">
        <v>106</v>
      </c>
      <c r="F513" s="0" t="s">
        <v>47</v>
      </c>
      <c r="G513" s="0" t="s">
        <v>95</v>
      </c>
      <c r="H513" s="0" t="s">
        <v>96</v>
      </c>
      <c r="I513" s="0" t="s">
        <v>63</v>
      </c>
      <c r="J513" s="0" t="s">
        <v>64</v>
      </c>
      <c r="K513" s="0" t="s">
        <v>58</v>
      </c>
      <c r="L513" s="0" t="s">
        <v>59</v>
      </c>
      <c r="M513" s="0" t="s">
        <v>50</v>
      </c>
      <c r="N513" s="0" t="n">
        <v>119</v>
      </c>
      <c r="O513" s="0" t="n">
        <v>45</v>
      </c>
      <c r="P513" s="0" t="n">
        <v>2</v>
      </c>
      <c r="Q513" s="5" t="str">
        <f aca="false">IF($D513&lt;&gt;"","["&amp;$E513&amp;"]"&amp;"|"&amp;SUBSTITUTE(SUBSTITUTE($I513,CHAR(61),""),CHAR(34),"")&amp;"|"&amp;$K513&amp;"|"&amp;$G513&amp;"|"&amp;IF($G513="TX_CURR_SUBNAT.R","CY2020Q4",$M513),"")</f>
        <v>[YGI7vISD2kJ]|15-19|Male|VL_SUPPRESSED.T_1|CY2021Q3</v>
      </c>
    </row>
    <row r="514" customFormat="false" ht="15" hidden="false" customHeight="false" outlineLevel="0" collapsed="false">
      <c r="D514" s="0" t="s">
        <v>105</v>
      </c>
      <c r="E514" s="0" t="s">
        <v>106</v>
      </c>
      <c r="F514" s="0" t="s">
        <v>47</v>
      </c>
      <c r="G514" s="0" t="s">
        <v>95</v>
      </c>
      <c r="H514" s="0" t="s">
        <v>96</v>
      </c>
      <c r="I514" s="0" t="s">
        <v>66</v>
      </c>
      <c r="J514" s="0" t="s">
        <v>67</v>
      </c>
      <c r="K514" s="0" t="s">
        <v>56</v>
      </c>
      <c r="L514" s="0" t="s">
        <v>57</v>
      </c>
      <c r="M514" s="0" t="s">
        <v>50</v>
      </c>
      <c r="N514" s="0" t="n">
        <v>384</v>
      </c>
      <c r="O514" s="0" t="n">
        <v>28</v>
      </c>
      <c r="P514" s="0" t="n">
        <v>7</v>
      </c>
      <c r="Q514" s="5" t="str">
        <f aca="false">IF($D514&lt;&gt;"","["&amp;$E514&amp;"]"&amp;"|"&amp;SUBSTITUTE(SUBSTITUTE($I514,CHAR(61),""),CHAR(34),"")&amp;"|"&amp;$K514&amp;"|"&amp;$G514&amp;"|"&amp;IF($G514="TX_CURR_SUBNAT.R","CY2020Q4",$M514),"")</f>
        <v>[YGI7vISD2kJ]|20-24|Female|VL_SUPPRESSED.T_1|CY2021Q3</v>
      </c>
    </row>
    <row r="515" customFormat="false" ht="15" hidden="false" customHeight="false" outlineLevel="0" collapsed="false">
      <c r="D515" s="0" t="s">
        <v>105</v>
      </c>
      <c r="E515" s="0" t="s">
        <v>106</v>
      </c>
      <c r="F515" s="0" t="s">
        <v>47</v>
      </c>
      <c r="G515" s="0" t="s">
        <v>95</v>
      </c>
      <c r="H515" s="0" t="s">
        <v>96</v>
      </c>
      <c r="I515" s="0" t="s">
        <v>66</v>
      </c>
      <c r="J515" s="0" t="s">
        <v>67</v>
      </c>
      <c r="K515" s="0" t="s">
        <v>58</v>
      </c>
      <c r="L515" s="0" t="s">
        <v>59</v>
      </c>
      <c r="M515" s="0" t="s">
        <v>50</v>
      </c>
      <c r="N515" s="0" t="n">
        <v>74</v>
      </c>
      <c r="O515" s="0" t="n">
        <v>50</v>
      </c>
      <c r="P515" s="0" t="n">
        <v>9</v>
      </c>
      <c r="Q515" s="5" t="str">
        <f aca="false">IF($D515&lt;&gt;"","["&amp;$E515&amp;"]"&amp;"|"&amp;SUBSTITUTE(SUBSTITUTE($I515,CHAR(61),""),CHAR(34),"")&amp;"|"&amp;$K515&amp;"|"&amp;$G515&amp;"|"&amp;IF($G515="TX_CURR_SUBNAT.R","CY2020Q4",$M515),"")</f>
        <v>[YGI7vISD2kJ]|20-24|Male|VL_SUPPRESSED.T_1|CY2021Q3</v>
      </c>
    </row>
    <row r="516" customFormat="false" ht="15" hidden="false" customHeight="false" outlineLevel="0" collapsed="false">
      <c r="D516" s="0" t="s">
        <v>105</v>
      </c>
      <c r="E516" s="0" t="s">
        <v>106</v>
      </c>
      <c r="F516" s="0" t="s">
        <v>47</v>
      </c>
      <c r="G516" s="0" t="s">
        <v>95</v>
      </c>
      <c r="H516" s="0" t="s">
        <v>96</v>
      </c>
      <c r="I516" s="0" t="s">
        <v>69</v>
      </c>
      <c r="J516" s="0" t="s">
        <v>70</v>
      </c>
      <c r="K516" s="0" t="s">
        <v>56</v>
      </c>
      <c r="L516" s="0" t="s">
        <v>57</v>
      </c>
      <c r="M516" s="0" t="s">
        <v>50</v>
      </c>
      <c r="N516" s="0" t="n">
        <v>697</v>
      </c>
      <c r="O516" s="0" t="n">
        <v>35</v>
      </c>
      <c r="P516" s="0" t="n">
        <v>45</v>
      </c>
      <c r="Q516" s="5" t="str">
        <f aca="false">IF($D516&lt;&gt;"","["&amp;$E516&amp;"]"&amp;"|"&amp;SUBSTITUTE(SUBSTITUTE($I516,CHAR(61),""),CHAR(34),"")&amp;"|"&amp;$K516&amp;"|"&amp;$G516&amp;"|"&amp;IF($G516="TX_CURR_SUBNAT.R","CY2020Q4",$M516),"")</f>
        <v>[YGI7vISD2kJ]|25-29|Female|VL_SUPPRESSED.T_1|CY2021Q3</v>
      </c>
    </row>
    <row r="517" customFormat="false" ht="15" hidden="false" customHeight="false" outlineLevel="0" collapsed="false">
      <c r="D517" s="0" t="s">
        <v>105</v>
      </c>
      <c r="E517" s="0" t="s">
        <v>106</v>
      </c>
      <c r="F517" s="0" t="s">
        <v>47</v>
      </c>
      <c r="G517" s="0" t="s">
        <v>95</v>
      </c>
      <c r="H517" s="0" t="s">
        <v>96</v>
      </c>
      <c r="I517" s="0" t="s">
        <v>69</v>
      </c>
      <c r="J517" s="0" t="s">
        <v>70</v>
      </c>
      <c r="K517" s="0" t="s">
        <v>58</v>
      </c>
      <c r="L517" s="0" t="s">
        <v>59</v>
      </c>
      <c r="M517" s="0" t="s">
        <v>50</v>
      </c>
      <c r="N517" s="0" t="n">
        <v>152</v>
      </c>
      <c r="O517" s="0" t="n">
        <v>56</v>
      </c>
      <c r="P517" s="0" t="n">
        <v>32</v>
      </c>
      <c r="Q517" s="5" t="str">
        <f aca="false">IF($D517&lt;&gt;"","["&amp;$E517&amp;"]"&amp;"|"&amp;SUBSTITUTE(SUBSTITUTE($I517,CHAR(61),""),CHAR(34),"")&amp;"|"&amp;$K517&amp;"|"&amp;$G517&amp;"|"&amp;IF($G517="TX_CURR_SUBNAT.R","CY2020Q4",$M517),"")</f>
        <v>[YGI7vISD2kJ]|25-29|Male|VL_SUPPRESSED.T_1|CY2021Q3</v>
      </c>
    </row>
    <row r="518" customFormat="false" ht="15" hidden="false" customHeight="false" outlineLevel="0" collapsed="false">
      <c r="D518" s="0" t="s">
        <v>105</v>
      </c>
      <c r="E518" s="0" t="s">
        <v>106</v>
      </c>
      <c r="F518" s="0" t="s">
        <v>47</v>
      </c>
      <c r="G518" s="0" t="s">
        <v>95</v>
      </c>
      <c r="H518" s="0" t="s">
        <v>96</v>
      </c>
      <c r="I518" s="0" t="s">
        <v>72</v>
      </c>
      <c r="J518" s="0" t="s">
        <v>73</v>
      </c>
      <c r="K518" s="0" t="s">
        <v>56</v>
      </c>
      <c r="L518" s="0" t="s">
        <v>57</v>
      </c>
      <c r="M518" s="0" t="s">
        <v>50</v>
      </c>
      <c r="N518" s="0" t="n">
        <v>976</v>
      </c>
      <c r="O518" s="0" t="n">
        <v>55</v>
      </c>
      <c r="P518" s="0" t="n">
        <v>15</v>
      </c>
      <c r="Q518" s="5" t="str">
        <f aca="false">IF($D518&lt;&gt;"","["&amp;$E518&amp;"]"&amp;"|"&amp;SUBSTITUTE(SUBSTITUTE($I518,CHAR(61),""),CHAR(34),"")&amp;"|"&amp;$K518&amp;"|"&amp;$G518&amp;"|"&amp;IF($G518="TX_CURR_SUBNAT.R","CY2020Q4",$M518),"")</f>
        <v>[YGI7vISD2kJ]|30-34|Female|VL_SUPPRESSED.T_1|CY2021Q3</v>
      </c>
    </row>
    <row r="519" customFormat="false" ht="15" hidden="false" customHeight="false" outlineLevel="0" collapsed="false">
      <c r="D519" s="0" t="s">
        <v>105</v>
      </c>
      <c r="E519" s="0" t="s">
        <v>106</v>
      </c>
      <c r="F519" s="0" t="s">
        <v>47</v>
      </c>
      <c r="G519" s="0" t="s">
        <v>95</v>
      </c>
      <c r="H519" s="0" t="s">
        <v>96</v>
      </c>
      <c r="I519" s="0" t="s">
        <v>72</v>
      </c>
      <c r="J519" s="0" t="s">
        <v>73</v>
      </c>
      <c r="K519" s="0" t="s">
        <v>58</v>
      </c>
      <c r="L519" s="0" t="s">
        <v>59</v>
      </c>
      <c r="M519" s="0" t="s">
        <v>50</v>
      </c>
      <c r="N519" s="0" t="n">
        <v>385</v>
      </c>
      <c r="O519" s="0" t="n">
        <v>12</v>
      </c>
      <c r="P519" s="0" t="n">
        <v>27</v>
      </c>
      <c r="Q519" s="5" t="str">
        <f aca="false">IF($D519&lt;&gt;"","["&amp;$E519&amp;"]"&amp;"|"&amp;SUBSTITUTE(SUBSTITUTE($I519,CHAR(61),""),CHAR(34),"")&amp;"|"&amp;$K519&amp;"|"&amp;$G519&amp;"|"&amp;IF($G519="TX_CURR_SUBNAT.R","CY2020Q4",$M519),"")</f>
        <v>[YGI7vISD2kJ]|30-34|Male|VL_SUPPRESSED.T_1|CY2021Q3</v>
      </c>
    </row>
    <row r="520" customFormat="false" ht="15" hidden="false" customHeight="false" outlineLevel="0" collapsed="false">
      <c r="D520" s="0" t="s">
        <v>105</v>
      </c>
      <c r="E520" s="0" t="s">
        <v>106</v>
      </c>
      <c r="F520" s="0" t="s">
        <v>47</v>
      </c>
      <c r="G520" s="0" t="s">
        <v>95</v>
      </c>
      <c r="H520" s="0" t="s">
        <v>96</v>
      </c>
      <c r="I520" s="0" t="s">
        <v>75</v>
      </c>
      <c r="J520" s="0" t="s">
        <v>76</v>
      </c>
      <c r="K520" s="0" t="s">
        <v>56</v>
      </c>
      <c r="L520" s="0" t="s">
        <v>57</v>
      </c>
      <c r="M520" s="0" t="s">
        <v>50</v>
      </c>
      <c r="N520" s="0" t="n">
        <v>1152</v>
      </c>
      <c r="O520" s="0" t="n">
        <v>22</v>
      </c>
      <c r="P520" s="0" t="n">
        <v>45</v>
      </c>
      <c r="Q520" s="5" t="str">
        <f aca="false">IF($D520&lt;&gt;"","["&amp;$E520&amp;"]"&amp;"|"&amp;SUBSTITUTE(SUBSTITUTE($I520,CHAR(61),""),CHAR(34),"")&amp;"|"&amp;$K520&amp;"|"&amp;$G520&amp;"|"&amp;IF($G520="TX_CURR_SUBNAT.R","CY2020Q4",$M520),"")</f>
        <v>[YGI7vISD2kJ]|35-39|Female|VL_SUPPRESSED.T_1|CY2021Q3</v>
      </c>
    </row>
    <row r="521" customFormat="false" ht="15" hidden="false" customHeight="false" outlineLevel="0" collapsed="false">
      <c r="D521" s="0" t="s">
        <v>105</v>
      </c>
      <c r="E521" s="0" t="s">
        <v>106</v>
      </c>
      <c r="F521" s="0" t="s">
        <v>47</v>
      </c>
      <c r="G521" s="0" t="s">
        <v>95</v>
      </c>
      <c r="H521" s="0" t="s">
        <v>96</v>
      </c>
      <c r="I521" s="0" t="s">
        <v>75</v>
      </c>
      <c r="J521" s="0" t="s">
        <v>76</v>
      </c>
      <c r="K521" s="0" t="s">
        <v>58</v>
      </c>
      <c r="L521" s="0" t="s">
        <v>59</v>
      </c>
      <c r="M521" s="0" t="s">
        <v>50</v>
      </c>
      <c r="N521" s="0" t="n">
        <v>475</v>
      </c>
      <c r="O521" s="0" t="n">
        <v>2</v>
      </c>
      <c r="P521" s="0" t="n">
        <v>35</v>
      </c>
      <c r="Q521" s="5" t="str">
        <f aca="false">IF($D521&lt;&gt;"","["&amp;$E521&amp;"]"&amp;"|"&amp;SUBSTITUTE(SUBSTITUTE($I521,CHAR(61),""),CHAR(34),"")&amp;"|"&amp;$K521&amp;"|"&amp;$G521&amp;"|"&amp;IF($G521="TX_CURR_SUBNAT.R","CY2020Q4",$M521),"")</f>
        <v>[YGI7vISD2kJ]|35-39|Male|VL_SUPPRESSED.T_1|CY2021Q3</v>
      </c>
    </row>
    <row r="522" customFormat="false" ht="15" hidden="false" customHeight="false" outlineLevel="0" collapsed="false">
      <c r="D522" s="0" t="s">
        <v>105</v>
      </c>
      <c r="E522" s="0" t="s">
        <v>106</v>
      </c>
      <c r="F522" s="0" t="s">
        <v>47</v>
      </c>
      <c r="G522" s="0" t="s">
        <v>95</v>
      </c>
      <c r="H522" s="0" t="s">
        <v>96</v>
      </c>
      <c r="I522" s="0" t="s">
        <v>77</v>
      </c>
      <c r="J522" s="0" t="s">
        <v>78</v>
      </c>
      <c r="K522" s="0" t="s">
        <v>56</v>
      </c>
      <c r="L522" s="0" t="s">
        <v>57</v>
      </c>
      <c r="M522" s="0" t="s">
        <v>50</v>
      </c>
      <c r="N522" s="0" t="n">
        <v>970</v>
      </c>
      <c r="O522" s="0" t="n">
        <v>22</v>
      </c>
      <c r="P522" s="0" t="n">
        <v>44</v>
      </c>
      <c r="Q522" s="5" t="str">
        <f aca="false">IF($D522&lt;&gt;"","["&amp;$E522&amp;"]"&amp;"|"&amp;SUBSTITUTE(SUBSTITUTE($I522,CHAR(61),""),CHAR(34),"")&amp;"|"&amp;$K522&amp;"|"&amp;$G522&amp;"|"&amp;IF($G522="TX_CURR_SUBNAT.R","CY2020Q4",$M522),"")</f>
        <v>[YGI7vISD2kJ]|40-44|Female|VL_SUPPRESSED.T_1|CY2021Q3</v>
      </c>
    </row>
    <row r="523" customFormat="false" ht="15" hidden="false" customHeight="false" outlineLevel="0" collapsed="false">
      <c r="D523" s="0" t="s">
        <v>105</v>
      </c>
      <c r="E523" s="0" t="s">
        <v>106</v>
      </c>
      <c r="F523" s="0" t="s">
        <v>47</v>
      </c>
      <c r="G523" s="0" t="s">
        <v>95</v>
      </c>
      <c r="H523" s="0" t="s">
        <v>96</v>
      </c>
      <c r="I523" s="0" t="s">
        <v>77</v>
      </c>
      <c r="J523" s="0" t="s">
        <v>78</v>
      </c>
      <c r="K523" s="0" t="s">
        <v>58</v>
      </c>
      <c r="L523" s="0" t="s">
        <v>59</v>
      </c>
      <c r="M523" s="0" t="s">
        <v>50</v>
      </c>
      <c r="N523" s="0" t="n">
        <v>557</v>
      </c>
      <c r="O523" s="0" t="n">
        <v>55</v>
      </c>
      <c r="P523" s="0" t="n">
        <v>7</v>
      </c>
      <c r="Q523" s="5" t="str">
        <f aca="false">IF($D523&lt;&gt;"","["&amp;$E523&amp;"]"&amp;"|"&amp;SUBSTITUTE(SUBSTITUTE($I523,CHAR(61),""),CHAR(34),"")&amp;"|"&amp;$K523&amp;"|"&amp;$G523&amp;"|"&amp;IF($G523="TX_CURR_SUBNAT.R","CY2020Q4",$M523),"")</f>
        <v>[YGI7vISD2kJ]|40-44|Male|VL_SUPPRESSED.T_1|CY2021Q3</v>
      </c>
    </row>
    <row r="524" customFormat="false" ht="15" hidden="false" customHeight="false" outlineLevel="0" collapsed="false">
      <c r="D524" s="0" t="s">
        <v>105</v>
      </c>
      <c r="E524" s="0" t="s">
        <v>106</v>
      </c>
      <c r="F524" s="0" t="s">
        <v>47</v>
      </c>
      <c r="G524" s="0" t="s">
        <v>95</v>
      </c>
      <c r="H524" s="0" t="s">
        <v>96</v>
      </c>
      <c r="I524" s="0" t="s">
        <v>80</v>
      </c>
      <c r="J524" s="0" t="s">
        <v>81</v>
      </c>
      <c r="K524" s="0" t="s">
        <v>56</v>
      </c>
      <c r="L524" s="0" t="s">
        <v>57</v>
      </c>
      <c r="M524" s="0" t="s">
        <v>50</v>
      </c>
      <c r="N524" s="0" t="n">
        <v>804</v>
      </c>
      <c r="O524" s="0" t="n">
        <v>27</v>
      </c>
      <c r="P524" s="0" t="n">
        <v>7</v>
      </c>
      <c r="Q524" s="5" t="str">
        <f aca="false">IF($D524&lt;&gt;"","["&amp;$E524&amp;"]"&amp;"|"&amp;SUBSTITUTE(SUBSTITUTE($I524,CHAR(61),""),CHAR(34),"")&amp;"|"&amp;$K524&amp;"|"&amp;$G524&amp;"|"&amp;IF($G524="TX_CURR_SUBNAT.R","CY2020Q4",$M524),"")</f>
        <v>[YGI7vISD2kJ]|45-49|Female|VL_SUPPRESSED.T_1|CY2021Q3</v>
      </c>
    </row>
    <row r="525" customFormat="false" ht="15" hidden="false" customHeight="false" outlineLevel="0" collapsed="false">
      <c r="D525" s="0" t="s">
        <v>105</v>
      </c>
      <c r="E525" s="0" t="s">
        <v>106</v>
      </c>
      <c r="F525" s="0" t="s">
        <v>47</v>
      </c>
      <c r="G525" s="0" t="s">
        <v>95</v>
      </c>
      <c r="H525" s="0" t="s">
        <v>96</v>
      </c>
      <c r="I525" s="0" t="s">
        <v>80</v>
      </c>
      <c r="J525" s="0" t="s">
        <v>81</v>
      </c>
      <c r="K525" s="0" t="s">
        <v>58</v>
      </c>
      <c r="L525" s="0" t="s">
        <v>59</v>
      </c>
      <c r="M525" s="0" t="s">
        <v>50</v>
      </c>
      <c r="N525" s="0" t="n">
        <v>479</v>
      </c>
      <c r="O525" s="0" t="n">
        <v>33</v>
      </c>
      <c r="P525" s="0" t="n">
        <v>16</v>
      </c>
      <c r="Q525" s="5" t="str">
        <f aca="false">IF($D525&lt;&gt;"","["&amp;$E525&amp;"]"&amp;"|"&amp;SUBSTITUTE(SUBSTITUTE($I525,CHAR(61),""),CHAR(34),"")&amp;"|"&amp;$K525&amp;"|"&amp;$G525&amp;"|"&amp;IF($G525="TX_CURR_SUBNAT.R","CY2020Q4",$M525),"")</f>
        <v>[YGI7vISD2kJ]|45-49|Male|VL_SUPPRESSED.T_1|CY2021Q3</v>
      </c>
    </row>
    <row r="526" customFormat="false" ht="15" hidden="false" customHeight="false" outlineLevel="0" collapsed="false">
      <c r="D526" s="0" t="s">
        <v>105</v>
      </c>
      <c r="E526" s="0" t="s">
        <v>106</v>
      </c>
      <c r="F526" s="0" t="s">
        <v>47</v>
      </c>
      <c r="G526" s="0" t="s">
        <v>95</v>
      </c>
      <c r="H526" s="0" t="s">
        <v>96</v>
      </c>
      <c r="I526" s="0" t="s">
        <v>83</v>
      </c>
      <c r="J526" s="0" t="s">
        <v>84</v>
      </c>
      <c r="K526" s="0" t="s">
        <v>56</v>
      </c>
      <c r="L526" s="0" t="s">
        <v>57</v>
      </c>
      <c r="M526" s="0" t="s">
        <v>50</v>
      </c>
      <c r="N526" s="0" t="n">
        <v>64</v>
      </c>
      <c r="O526" s="0" t="n">
        <v>45</v>
      </c>
      <c r="P526" s="0" t="n">
        <v>38</v>
      </c>
      <c r="Q526" s="5" t="str">
        <f aca="false">IF($D526&lt;&gt;"","["&amp;$E526&amp;"]"&amp;"|"&amp;SUBSTITUTE(SUBSTITUTE($I526,CHAR(61),""),CHAR(34),"")&amp;"|"&amp;$K526&amp;"|"&amp;$G526&amp;"|"&amp;IF($G526="TX_CURR_SUBNAT.R","CY2020Q4",$M526),"")</f>
        <v>[YGI7vISD2kJ]|05-09|Female|VL_SUPPRESSED.T_1|CY2021Q3</v>
      </c>
    </row>
    <row r="527" customFormat="false" ht="15" hidden="false" customHeight="false" outlineLevel="0" collapsed="false">
      <c r="D527" s="0" t="s">
        <v>105</v>
      </c>
      <c r="E527" s="0" t="s">
        <v>106</v>
      </c>
      <c r="F527" s="0" t="s">
        <v>47</v>
      </c>
      <c r="G527" s="0" t="s">
        <v>95</v>
      </c>
      <c r="H527" s="0" t="s">
        <v>96</v>
      </c>
      <c r="I527" s="0" t="s">
        <v>83</v>
      </c>
      <c r="J527" s="0" t="s">
        <v>84</v>
      </c>
      <c r="K527" s="0" t="s">
        <v>58</v>
      </c>
      <c r="L527" s="0" t="s">
        <v>59</v>
      </c>
      <c r="M527" s="0" t="s">
        <v>50</v>
      </c>
      <c r="N527" s="0" t="n">
        <v>66</v>
      </c>
      <c r="O527" s="0" t="n">
        <v>18</v>
      </c>
      <c r="P527" s="0" t="n">
        <v>15</v>
      </c>
      <c r="Q527" s="5" t="str">
        <f aca="false">IF($D527&lt;&gt;"","["&amp;$E527&amp;"]"&amp;"|"&amp;SUBSTITUTE(SUBSTITUTE($I527,CHAR(61),""),CHAR(34),"")&amp;"|"&amp;$K527&amp;"|"&amp;$G527&amp;"|"&amp;IF($G527="TX_CURR_SUBNAT.R","CY2020Q4",$M527),"")</f>
        <v>[YGI7vISD2kJ]|05-09|Male|VL_SUPPRESSED.T_1|CY2021Q3</v>
      </c>
    </row>
    <row r="528" customFormat="false" ht="15" hidden="false" customHeight="false" outlineLevel="0" collapsed="false">
      <c r="D528" s="0" t="s">
        <v>105</v>
      </c>
      <c r="E528" s="0" t="s">
        <v>106</v>
      </c>
      <c r="F528" s="0" t="s">
        <v>47</v>
      </c>
      <c r="G528" s="0" t="s">
        <v>95</v>
      </c>
      <c r="H528" s="0" t="s">
        <v>96</v>
      </c>
      <c r="I528" s="53" t="s">
        <v>86</v>
      </c>
      <c r="J528" s="0" t="s">
        <v>87</v>
      </c>
      <c r="K528" s="0" t="s">
        <v>56</v>
      </c>
      <c r="L528" s="0" t="s">
        <v>57</v>
      </c>
      <c r="M528" s="0" t="s">
        <v>50</v>
      </c>
      <c r="N528" s="0" t="n">
        <v>2813</v>
      </c>
      <c r="O528" s="0" t="n">
        <v>31</v>
      </c>
      <c r="P528" s="0" t="n">
        <v>47</v>
      </c>
      <c r="Q528" s="5" t="str">
        <f aca="false">IF($D528&lt;&gt;"","["&amp;$E528&amp;"]"&amp;"|"&amp;SUBSTITUTE(SUBSTITUTE($I528,CHAR(61),""),CHAR(34),"")&amp;"|"&amp;$K528&amp;"|"&amp;$G528&amp;"|"&amp;IF($G528="TX_CURR_SUBNAT.R","CY2020Q4",$M528),"")</f>
        <v>[YGI7vISD2kJ]|50+|Female|VL_SUPPRESSED.T_1|CY2021Q3</v>
      </c>
    </row>
    <row r="529" customFormat="false" ht="15" hidden="false" customHeight="false" outlineLevel="0" collapsed="false">
      <c r="D529" s="0" t="s">
        <v>105</v>
      </c>
      <c r="E529" s="0" t="s">
        <v>106</v>
      </c>
      <c r="F529" s="0" t="s">
        <v>47</v>
      </c>
      <c r="G529" s="0" t="s">
        <v>95</v>
      </c>
      <c r="H529" s="0" t="s">
        <v>96</v>
      </c>
      <c r="I529" s="53" t="s">
        <v>86</v>
      </c>
      <c r="J529" s="0" t="s">
        <v>87</v>
      </c>
      <c r="K529" s="0" t="s">
        <v>58</v>
      </c>
      <c r="L529" s="0" t="s">
        <v>59</v>
      </c>
      <c r="M529" s="0" t="s">
        <v>50</v>
      </c>
      <c r="N529" s="0" t="n">
        <v>1525</v>
      </c>
      <c r="O529" s="0" t="n">
        <v>25</v>
      </c>
      <c r="P529" s="0" t="n">
        <v>20</v>
      </c>
      <c r="Q529" s="5" t="str">
        <f aca="false">IF($D529&lt;&gt;"","["&amp;$E529&amp;"]"&amp;"|"&amp;SUBSTITUTE(SUBSTITUTE($I529,CHAR(61),""),CHAR(34),"")&amp;"|"&amp;$K529&amp;"|"&amp;$G529&amp;"|"&amp;IF($G529="TX_CURR_SUBNAT.R","CY2020Q4",$M529),"")</f>
        <v>[YGI7vISD2kJ]|50+|Male|VL_SUPPRESSED.T_1|CY2021Q3</v>
      </c>
    </row>
    <row r="530" customFormat="false" ht="15" hidden="false" customHeight="false" outlineLevel="0" collapsed="false">
      <c r="D530" s="0" t="s">
        <v>105</v>
      </c>
      <c r="E530" s="0" t="s">
        <v>106</v>
      </c>
      <c r="F530" s="0" t="s">
        <v>47</v>
      </c>
      <c r="G530" s="0" t="s">
        <v>95</v>
      </c>
      <c r="H530" s="0" t="s">
        <v>96</v>
      </c>
      <c r="I530" s="0" t="s">
        <v>89</v>
      </c>
      <c r="J530" s="0" t="s">
        <v>90</v>
      </c>
      <c r="K530" s="0" t="s">
        <v>56</v>
      </c>
      <c r="L530" s="0" t="s">
        <v>57</v>
      </c>
      <c r="M530" s="0" t="s">
        <v>50</v>
      </c>
      <c r="N530" s="0" t="n">
        <v>2</v>
      </c>
      <c r="O530" s="0" t="n">
        <v>28</v>
      </c>
      <c r="P530" s="0" t="n">
        <v>25</v>
      </c>
      <c r="Q530" s="5" t="str">
        <f aca="false">IF($D530&lt;&gt;"","["&amp;$E530&amp;"]"&amp;"|"&amp;SUBSTITUTE(SUBSTITUTE($I530,CHAR(61),""),CHAR(34),"")&amp;"|"&amp;$K530&amp;"|"&amp;$G530&amp;"|"&amp;IF($G530="TX_CURR_SUBNAT.R","CY2020Q4",$M530),"")</f>
        <v>[YGI7vISD2kJ]|&lt;01|Female|VL_SUPPRESSED.T_1|CY2021Q3</v>
      </c>
    </row>
    <row r="531" customFormat="false" ht="15" hidden="false" customHeight="false" outlineLevel="0" collapsed="false">
      <c r="D531" s="0" t="s">
        <v>105</v>
      </c>
      <c r="E531" s="0" t="s">
        <v>106</v>
      </c>
      <c r="F531" s="0" t="s">
        <v>47</v>
      </c>
      <c r="G531" s="0" t="s">
        <v>97</v>
      </c>
      <c r="H531" s="0" t="s">
        <v>98</v>
      </c>
      <c r="I531" s="0" t="s">
        <v>54</v>
      </c>
      <c r="J531" s="0" t="s">
        <v>55</v>
      </c>
      <c r="K531" s="0" t="s">
        <v>56</v>
      </c>
      <c r="L531" s="0" t="s">
        <v>57</v>
      </c>
      <c r="M531" s="0" t="s">
        <v>50</v>
      </c>
      <c r="N531" s="0" t="n">
        <v>55</v>
      </c>
      <c r="O531" s="0" t="n">
        <v>15</v>
      </c>
      <c r="P531" s="0" t="n">
        <v>13</v>
      </c>
      <c r="Q531" s="5" t="str">
        <f aca="false">IF($D531&lt;&gt;"","["&amp;$E531&amp;"]"&amp;"|"&amp;SUBSTITUTE(SUBSTITUTE($I531,CHAR(61),""),CHAR(34),"")&amp;"|"&amp;$K531&amp;"|"&amp;$G531&amp;"|"&amp;IF($G531="TX_CURR_SUBNAT.R","CY2020Q4",$M531),"")</f>
        <v>[YGI7vISD2kJ]|01-04|Female|PLHIV.T_1|CY2021Q3</v>
      </c>
    </row>
    <row r="532" customFormat="false" ht="15" hidden="false" customHeight="false" outlineLevel="0" collapsed="false">
      <c r="D532" s="0" t="s">
        <v>105</v>
      </c>
      <c r="E532" s="0" t="s">
        <v>106</v>
      </c>
      <c r="F532" s="0" t="s">
        <v>47</v>
      </c>
      <c r="G532" s="0" t="s">
        <v>97</v>
      </c>
      <c r="H532" s="0" t="s">
        <v>98</v>
      </c>
      <c r="I532" s="0" t="s">
        <v>54</v>
      </c>
      <c r="J532" s="0" t="s">
        <v>55</v>
      </c>
      <c r="K532" s="0" t="s">
        <v>58</v>
      </c>
      <c r="L532" s="0" t="s">
        <v>59</v>
      </c>
      <c r="M532" s="0" t="s">
        <v>50</v>
      </c>
      <c r="N532" s="0" t="n">
        <v>55</v>
      </c>
      <c r="O532" s="0" t="n">
        <v>51</v>
      </c>
      <c r="P532" s="0" t="n">
        <v>2</v>
      </c>
      <c r="Q532" s="5" t="str">
        <f aca="false">IF($D532&lt;&gt;"","["&amp;$E532&amp;"]"&amp;"|"&amp;SUBSTITUTE(SUBSTITUTE($I532,CHAR(61),""),CHAR(34),"")&amp;"|"&amp;$K532&amp;"|"&amp;$G532&amp;"|"&amp;IF($G532="TX_CURR_SUBNAT.R","CY2020Q4",$M532),"")</f>
        <v>[YGI7vISD2kJ]|01-04|Male|PLHIV.T_1|CY2021Q3</v>
      </c>
    </row>
    <row r="533" customFormat="false" ht="15" hidden="false" customHeight="false" outlineLevel="0" collapsed="false">
      <c r="D533" s="0" t="s">
        <v>105</v>
      </c>
      <c r="E533" s="0" t="s">
        <v>106</v>
      </c>
      <c r="F533" s="0" t="s">
        <v>47</v>
      </c>
      <c r="G533" s="0" t="s">
        <v>97</v>
      </c>
      <c r="H533" s="0" t="s">
        <v>98</v>
      </c>
      <c r="I533" s="0" t="s">
        <v>61</v>
      </c>
      <c r="J533" s="0" t="s">
        <v>62</v>
      </c>
      <c r="K533" s="0" t="s">
        <v>56</v>
      </c>
      <c r="L533" s="0" t="s">
        <v>57</v>
      </c>
      <c r="M533" s="0" t="s">
        <v>50</v>
      </c>
      <c r="N533" s="0" t="n">
        <v>261</v>
      </c>
      <c r="O533" s="0" t="n">
        <v>16</v>
      </c>
      <c r="P533" s="0" t="n">
        <v>39</v>
      </c>
      <c r="Q533" s="5" t="str">
        <f aca="false">IF($D533&lt;&gt;"","["&amp;$E533&amp;"]"&amp;"|"&amp;SUBSTITUTE(SUBSTITUTE($I533,CHAR(61),""),CHAR(34),"")&amp;"|"&amp;$K533&amp;"|"&amp;$G533&amp;"|"&amp;IF($G533="TX_CURR_SUBNAT.R","CY2020Q4",$M533),"")</f>
        <v>[YGI7vISD2kJ]|10-14|Female|PLHIV.T_1|CY2021Q3</v>
      </c>
    </row>
    <row r="534" customFormat="false" ht="15" hidden="false" customHeight="false" outlineLevel="0" collapsed="false">
      <c r="D534" s="0" t="s">
        <v>105</v>
      </c>
      <c r="E534" s="0" t="s">
        <v>106</v>
      </c>
      <c r="F534" s="0" t="s">
        <v>47</v>
      </c>
      <c r="G534" s="0" t="s">
        <v>97</v>
      </c>
      <c r="H534" s="0" t="s">
        <v>98</v>
      </c>
      <c r="I534" s="0" t="s">
        <v>61</v>
      </c>
      <c r="J534" s="0" t="s">
        <v>62</v>
      </c>
      <c r="K534" s="0" t="s">
        <v>58</v>
      </c>
      <c r="L534" s="0" t="s">
        <v>59</v>
      </c>
      <c r="M534" s="0" t="s">
        <v>50</v>
      </c>
      <c r="N534" s="0" t="n">
        <v>263</v>
      </c>
      <c r="O534" s="0" t="n">
        <v>11</v>
      </c>
      <c r="P534" s="0" t="n">
        <v>13</v>
      </c>
      <c r="Q534" s="5" t="str">
        <f aca="false">IF($D534&lt;&gt;"","["&amp;$E534&amp;"]"&amp;"|"&amp;SUBSTITUTE(SUBSTITUTE($I534,CHAR(61),""),CHAR(34),"")&amp;"|"&amp;$K534&amp;"|"&amp;$G534&amp;"|"&amp;IF($G534="TX_CURR_SUBNAT.R","CY2020Q4",$M534),"")</f>
        <v>[YGI7vISD2kJ]|10-14|Male|PLHIV.T_1|CY2021Q3</v>
      </c>
    </row>
    <row r="535" customFormat="false" ht="15" hidden="false" customHeight="false" outlineLevel="0" collapsed="false">
      <c r="D535" s="0" t="s">
        <v>105</v>
      </c>
      <c r="E535" s="0" t="s">
        <v>106</v>
      </c>
      <c r="F535" s="0" t="s">
        <v>47</v>
      </c>
      <c r="G535" s="0" t="s">
        <v>97</v>
      </c>
      <c r="H535" s="0" t="s">
        <v>98</v>
      </c>
      <c r="I535" s="0" t="s">
        <v>63</v>
      </c>
      <c r="J535" s="0" t="s">
        <v>64</v>
      </c>
      <c r="K535" s="0" t="s">
        <v>56</v>
      </c>
      <c r="L535" s="0" t="s">
        <v>57</v>
      </c>
      <c r="M535" s="0" t="s">
        <v>50</v>
      </c>
      <c r="N535" s="0" t="n">
        <v>413</v>
      </c>
      <c r="O535" s="0" t="n">
        <v>43</v>
      </c>
      <c r="P535" s="0" t="n">
        <v>20</v>
      </c>
      <c r="Q535" s="5" t="str">
        <f aca="false">IF($D535&lt;&gt;"","["&amp;$E535&amp;"]"&amp;"|"&amp;SUBSTITUTE(SUBSTITUTE($I535,CHAR(61),""),CHAR(34),"")&amp;"|"&amp;$K535&amp;"|"&amp;$G535&amp;"|"&amp;IF($G535="TX_CURR_SUBNAT.R","CY2020Q4",$M535),"")</f>
        <v>[YGI7vISD2kJ]|15-19|Female|PLHIV.T_1|CY2021Q3</v>
      </c>
    </row>
    <row r="536" customFormat="false" ht="15" hidden="false" customHeight="false" outlineLevel="0" collapsed="false">
      <c r="D536" s="0" t="s">
        <v>105</v>
      </c>
      <c r="E536" s="0" t="s">
        <v>106</v>
      </c>
      <c r="F536" s="0" t="s">
        <v>47</v>
      </c>
      <c r="G536" s="0" t="s">
        <v>97</v>
      </c>
      <c r="H536" s="0" t="s">
        <v>98</v>
      </c>
      <c r="I536" s="0" t="s">
        <v>63</v>
      </c>
      <c r="J536" s="0" t="s">
        <v>64</v>
      </c>
      <c r="K536" s="0" t="s">
        <v>58</v>
      </c>
      <c r="L536" s="0" t="s">
        <v>59</v>
      </c>
      <c r="M536" s="0" t="s">
        <v>50</v>
      </c>
      <c r="N536" s="0" t="n">
        <v>266</v>
      </c>
      <c r="O536" s="0" t="n">
        <v>52</v>
      </c>
      <c r="P536" s="0" t="n">
        <v>6</v>
      </c>
      <c r="Q536" s="5" t="str">
        <f aca="false">IF($D536&lt;&gt;"","["&amp;$E536&amp;"]"&amp;"|"&amp;SUBSTITUTE(SUBSTITUTE($I536,CHAR(61),""),CHAR(34),"")&amp;"|"&amp;$K536&amp;"|"&amp;$G536&amp;"|"&amp;IF($G536="TX_CURR_SUBNAT.R","CY2020Q4",$M536),"")</f>
        <v>[YGI7vISD2kJ]|15-19|Male|PLHIV.T_1|CY2021Q3</v>
      </c>
    </row>
    <row r="537" customFormat="false" ht="15" hidden="false" customHeight="false" outlineLevel="0" collapsed="false">
      <c r="D537" s="0" t="s">
        <v>105</v>
      </c>
      <c r="E537" s="0" t="s">
        <v>106</v>
      </c>
      <c r="F537" s="0" t="s">
        <v>47</v>
      </c>
      <c r="G537" s="0" t="s">
        <v>97</v>
      </c>
      <c r="H537" s="0" t="s">
        <v>98</v>
      </c>
      <c r="I537" s="0" t="s">
        <v>66</v>
      </c>
      <c r="J537" s="0" t="s">
        <v>67</v>
      </c>
      <c r="K537" s="0" t="s">
        <v>56</v>
      </c>
      <c r="L537" s="0" t="s">
        <v>57</v>
      </c>
      <c r="M537" s="0" t="s">
        <v>50</v>
      </c>
      <c r="N537" s="0" t="n">
        <v>1047</v>
      </c>
      <c r="O537" s="0" t="n">
        <v>54</v>
      </c>
      <c r="P537" s="0" t="n">
        <v>35</v>
      </c>
      <c r="Q537" s="5" t="str">
        <f aca="false">IF($D537&lt;&gt;"","["&amp;$E537&amp;"]"&amp;"|"&amp;SUBSTITUTE(SUBSTITUTE($I537,CHAR(61),""),CHAR(34),"")&amp;"|"&amp;$K537&amp;"|"&amp;$G537&amp;"|"&amp;IF($G537="TX_CURR_SUBNAT.R","CY2020Q4",$M537),"")</f>
        <v>[YGI7vISD2kJ]|20-24|Female|PLHIV.T_1|CY2021Q3</v>
      </c>
    </row>
    <row r="538" customFormat="false" ht="15" hidden="false" customHeight="false" outlineLevel="0" collapsed="false">
      <c r="D538" s="0" t="s">
        <v>105</v>
      </c>
      <c r="E538" s="0" t="s">
        <v>106</v>
      </c>
      <c r="F538" s="0" t="s">
        <v>47</v>
      </c>
      <c r="G538" s="0" t="s">
        <v>97</v>
      </c>
      <c r="H538" s="0" t="s">
        <v>98</v>
      </c>
      <c r="I538" s="0" t="s">
        <v>66</v>
      </c>
      <c r="J538" s="0" t="s">
        <v>67</v>
      </c>
      <c r="K538" s="0" t="s">
        <v>58</v>
      </c>
      <c r="L538" s="0" t="s">
        <v>59</v>
      </c>
      <c r="M538" s="0" t="s">
        <v>50</v>
      </c>
      <c r="N538" s="0" t="n">
        <v>416</v>
      </c>
      <c r="O538" s="0" t="n">
        <v>3</v>
      </c>
      <c r="P538" s="0" t="n">
        <v>6</v>
      </c>
      <c r="Q538" s="5" t="str">
        <f aca="false">IF($D538&lt;&gt;"","["&amp;$E538&amp;"]"&amp;"|"&amp;SUBSTITUTE(SUBSTITUTE($I538,CHAR(61),""),CHAR(34),"")&amp;"|"&amp;$K538&amp;"|"&amp;$G538&amp;"|"&amp;IF($G538="TX_CURR_SUBNAT.R","CY2020Q4",$M538),"")</f>
        <v>[YGI7vISD2kJ]|20-24|Male|PLHIV.T_1|CY2021Q3</v>
      </c>
    </row>
    <row r="539" customFormat="false" ht="15" hidden="false" customHeight="false" outlineLevel="0" collapsed="false">
      <c r="D539" s="0" t="s">
        <v>105</v>
      </c>
      <c r="E539" s="0" t="s">
        <v>106</v>
      </c>
      <c r="F539" s="0" t="s">
        <v>47</v>
      </c>
      <c r="G539" s="0" t="s">
        <v>97</v>
      </c>
      <c r="H539" s="0" t="s">
        <v>98</v>
      </c>
      <c r="I539" s="0" t="s">
        <v>69</v>
      </c>
      <c r="J539" s="0" t="s">
        <v>70</v>
      </c>
      <c r="K539" s="0" t="s">
        <v>56</v>
      </c>
      <c r="L539" s="0" t="s">
        <v>57</v>
      </c>
      <c r="M539" s="0" t="s">
        <v>50</v>
      </c>
      <c r="N539" s="0" t="n">
        <v>1900</v>
      </c>
      <c r="O539" s="0" t="n">
        <v>27</v>
      </c>
      <c r="P539" s="0" t="n">
        <v>27</v>
      </c>
      <c r="Q539" s="5" t="str">
        <f aca="false">IF($D539&lt;&gt;"","["&amp;$E539&amp;"]"&amp;"|"&amp;SUBSTITUTE(SUBSTITUTE($I539,CHAR(61),""),CHAR(34),"")&amp;"|"&amp;$K539&amp;"|"&amp;$G539&amp;"|"&amp;IF($G539="TX_CURR_SUBNAT.R","CY2020Q4",$M539),"")</f>
        <v>[YGI7vISD2kJ]|25-29|Female|PLHIV.T_1|CY2021Q3</v>
      </c>
    </row>
    <row r="540" customFormat="false" ht="15" hidden="false" customHeight="false" outlineLevel="0" collapsed="false">
      <c r="D540" s="0" t="s">
        <v>105</v>
      </c>
      <c r="E540" s="0" t="s">
        <v>106</v>
      </c>
      <c r="F540" s="0" t="s">
        <v>47</v>
      </c>
      <c r="G540" s="0" t="s">
        <v>97</v>
      </c>
      <c r="H540" s="0" t="s">
        <v>98</v>
      </c>
      <c r="I540" s="0" t="s">
        <v>69</v>
      </c>
      <c r="J540" s="0" t="s">
        <v>70</v>
      </c>
      <c r="K540" s="0" t="s">
        <v>58</v>
      </c>
      <c r="L540" s="0" t="s">
        <v>59</v>
      </c>
      <c r="M540" s="0" t="s">
        <v>50</v>
      </c>
      <c r="N540" s="0" t="n">
        <v>912</v>
      </c>
      <c r="O540" s="0" t="n">
        <v>28</v>
      </c>
      <c r="P540" s="0" t="n">
        <v>10</v>
      </c>
      <c r="Q540" s="5" t="str">
        <f aca="false">IF($D540&lt;&gt;"","["&amp;$E540&amp;"]"&amp;"|"&amp;SUBSTITUTE(SUBSTITUTE($I540,CHAR(61),""),CHAR(34),"")&amp;"|"&amp;$K540&amp;"|"&amp;$G540&amp;"|"&amp;IF($G540="TX_CURR_SUBNAT.R","CY2020Q4",$M540),"")</f>
        <v>[YGI7vISD2kJ]|25-29|Male|PLHIV.T_1|CY2021Q3</v>
      </c>
    </row>
    <row r="541" customFormat="false" ht="15" hidden="false" customHeight="false" outlineLevel="0" collapsed="false">
      <c r="D541" s="0" t="s">
        <v>105</v>
      </c>
      <c r="E541" s="0" t="s">
        <v>106</v>
      </c>
      <c r="F541" s="0" t="s">
        <v>47</v>
      </c>
      <c r="G541" s="0" t="s">
        <v>97</v>
      </c>
      <c r="H541" s="0" t="s">
        <v>98</v>
      </c>
      <c r="I541" s="0" t="s">
        <v>72</v>
      </c>
      <c r="J541" s="0" t="s">
        <v>73</v>
      </c>
      <c r="K541" s="0" t="s">
        <v>56</v>
      </c>
      <c r="L541" s="0" t="s">
        <v>57</v>
      </c>
      <c r="M541" s="0" t="s">
        <v>50</v>
      </c>
      <c r="N541" s="0" t="n">
        <v>2555</v>
      </c>
      <c r="O541" s="0" t="n">
        <v>45</v>
      </c>
      <c r="P541" s="0" t="n">
        <v>3</v>
      </c>
      <c r="Q541" s="5" t="str">
        <f aca="false">IF($D541&lt;&gt;"","["&amp;$E541&amp;"]"&amp;"|"&amp;SUBSTITUTE(SUBSTITUTE($I541,CHAR(61),""),CHAR(34),"")&amp;"|"&amp;$K541&amp;"|"&amp;$G541&amp;"|"&amp;IF($G541="TX_CURR_SUBNAT.R","CY2020Q4",$M541),"")</f>
        <v>[YGI7vISD2kJ]|30-34|Female|PLHIV.T_1|CY2021Q3</v>
      </c>
    </row>
    <row r="542" customFormat="false" ht="15" hidden="false" customHeight="false" outlineLevel="0" collapsed="false">
      <c r="D542" s="0" t="s">
        <v>105</v>
      </c>
      <c r="E542" s="0" t="s">
        <v>106</v>
      </c>
      <c r="F542" s="0" t="s">
        <v>47</v>
      </c>
      <c r="G542" s="0" t="s">
        <v>97</v>
      </c>
      <c r="H542" s="0" t="s">
        <v>98</v>
      </c>
      <c r="I542" s="0" t="s">
        <v>72</v>
      </c>
      <c r="J542" s="0" t="s">
        <v>73</v>
      </c>
      <c r="K542" s="0" t="s">
        <v>58</v>
      </c>
      <c r="L542" s="0" t="s">
        <v>59</v>
      </c>
      <c r="M542" s="0" t="s">
        <v>50</v>
      </c>
      <c r="N542" s="0" t="n">
        <v>1635</v>
      </c>
      <c r="O542" s="0" t="n">
        <v>58</v>
      </c>
      <c r="P542" s="0" t="n">
        <v>49</v>
      </c>
      <c r="Q542" s="5" t="str">
        <f aca="false">IF($D542&lt;&gt;"","["&amp;$E542&amp;"]"&amp;"|"&amp;SUBSTITUTE(SUBSTITUTE($I542,CHAR(61),""),CHAR(34),"")&amp;"|"&amp;$K542&amp;"|"&amp;$G542&amp;"|"&amp;IF($G542="TX_CURR_SUBNAT.R","CY2020Q4",$M542),"")</f>
        <v>[YGI7vISD2kJ]|30-34|Male|PLHIV.T_1|CY2021Q3</v>
      </c>
    </row>
    <row r="543" customFormat="false" ht="15" hidden="false" customHeight="false" outlineLevel="0" collapsed="false">
      <c r="D543" s="0" t="s">
        <v>105</v>
      </c>
      <c r="E543" s="0" t="s">
        <v>106</v>
      </c>
      <c r="F543" s="0" t="s">
        <v>47</v>
      </c>
      <c r="G543" s="0" t="s">
        <v>97</v>
      </c>
      <c r="H543" s="0" t="s">
        <v>98</v>
      </c>
      <c r="I543" s="0" t="s">
        <v>75</v>
      </c>
      <c r="J543" s="0" t="s">
        <v>76</v>
      </c>
      <c r="K543" s="0" t="s">
        <v>56</v>
      </c>
      <c r="L543" s="0" t="s">
        <v>57</v>
      </c>
      <c r="M543" s="0" t="s">
        <v>50</v>
      </c>
      <c r="N543" s="0" t="n">
        <v>2343</v>
      </c>
      <c r="O543" s="0" t="n">
        <v>50</v>
      </c>
      <c r="P543" s="0" t="n">
        <v>23</v>
      </c>
      <c r="Q543" s="5" t="str">
        <f aca="false">IF($D543&lt;&gt;"","["&amp;$E543&amp;"]"&amp;"|"&amp;SUBSTITUTE(SUBSTITUTE($I543,CHAR(61),""),CHAR(34),"")&amp;"|"&amp;$K543&amp;"|"&amp;$G543&amp;"|"&amp;IF($G543="TX_CURR_SUBNAT.R","CY2020Q4",$M543),"")</f>
        <v>[YGI7vISD2kJ]|35-39|Female|PLHIV.T_1|CY2021Q3</v>
      </c>
    </row>
    <row r="544" customFormat="false" ht="15" hidden="false" customHeight="false" outlineLevel="0" collapsed="false">
      <c r="D544" s="0" t="s">
        <v>105</v>
      </c>
      <c r="E544" s="0" t="s">
        <v>106</v>
      </c>
      <c r="F544" s="0" t="s">
        <v>47</v>
      </c>
      <c r="G544" s="0" t="s">
        <v>97</v>
      </c>
      <c r="H544" s="0" t="s">
        <v>98</v>
      </c>
      <c r="I544" s="0" t="s">
        <v>75</v>
      </c>
      <c r="J544" s="0" t="s">
        <v>76</v>
      </c>
      <c r="K544" s="0" t="s">
        <v>58</v>
      </c>
      <c r="L544" s="0" t="s">
        <v>59</v>
      </c>
      <c r="M544" s="0" t="s">
        <v>50</v>
      </c>
      <c r="N544" s="0" t="n">
        <v>1903</v>
      </c>
      <c r="O544" s="0" t="n">
        <v>35</v>
      </c>
      <c r="P544" s="0" t="n">
        <v>44</v>
      </c>
      <c r="Q544" s="5" t="str">
        <f aca="false">IF($D544&lt;&gt;"","["&amp;$E544&amp;"]"&amp;"|"&amp;SUBSTITUTE(SUBSTITUTE($I544,CHAR(61),""),CHAR(34),"")&amp;"|"&amp;$K544&amp;"|"&amp;$G544&amp;"|"&amp;IF($G544="TX_CURR_SUBNAT.R","CY2020Q4",$M544),"")</f>
        <v>[YGI7vISD2kJ]|35-39|Male|PLHIV.T_1|CY2021Q3</v>
      </c>
    </row>
    <row r="545" customFormat="false" ht="15" hidden="false" customHeight="false" outlineLevel="0" collapsed="false">
      <c r="D545" s="0" t="s">
        <v>105</v>
      </c>
      <c r="E545" s="0" t="s">
        <v>106</v>
      </c>
      <c r="F545" s="0" t="s">
        <v>47</v>
      </c>
      <c r="G545" s="0" t="s">
        <v>97</v>
      </c>
      <c r="H545" s="0" t="s">
        <v>98</v>
      </c>
      <c r="I545" s="0" t="s">
        <v>77</v>
      </c>
      <c r="J545" s="0" t="s">
        <v>78</v>
      </c>
      <c r="K545" s="0" t="s">
        <v>56</v>
      </c>
      <c r="L545" s="0" t="s">
        <v>57</v>
      </c>
      <c r="M545" s="0" t="s">
        <v>50</v>
      </c>
      <c r="N545" s="0" t="n">
        <v>1861</v>
      </c>
      <c r="O545" s="0" t="n">
        <v>37</v>
      </c>
      <c r="P545" s="0" t="n">
        <v>10</v>
      </c>
      <c r="Q545" s="5" t="str">
        <f aca="false">IF($D545&lt;&gt;"","["&amp;$E545&amp;"]"&amp;"|"&amp;SUBSTITUTE(SUBSTITUTE($I545,CHAR(61),""),CHAR(34),"")&amp;"|"&amp;$K545&amp;"|"&amp;$G545&amp;"|"&amp;IF($G545="TX_CURR_SUBNAT.R","CY2020Q4",$M545),"")</f>
        <v>[YGI7vISD2kJ]|40-44|Female|PLHIV.T_1|CY2021Q3</v>
      </c>
    </row>
    <row r="546" customFormat="false" ht="15" hidden="false" customHeight="false" outlineLevel="0" collapsed="false">
      <c r="D546" s="0" t="s">
        <v>105</v>
      </c>
      <c r="E546" s="0" t="s">
        <v>106</v>
      </c>
      <c r="F546" s="0" t="s">
        <v>47</v>
      </c>
      <c r="G546" s="0" t="s">
        <v>97</v>
      </c>
      <c r="H546" s="0" t="s">
        <v>98</v>
      </c>
      <c r="I546" s="0" t="s">
        <v>77</v>
      </c>
      <c r="J546" s="0" t="s">
        <v>78</v>
      </c>
      <c r="K546" s="0" t="s">
        <v>58</v>
      </c>
      <c r="L546" s="0" t="s">
        <v>59</v>
      </c>
      <c r="M546" s="0" t="s">
        <v>50</v>
      </c>
      <c r="N546" s="0" t="n">
        <v>1622</v>
      </c>
      <c r="O546" s="0" t="n">
        <v>40</v>
      </c>
      <c r="P546" s="0" t="n">
        <v>26</v>
      </c>
      <c r="Q546" s="5" t="str">
        <f aca="false">IF($D546&lt;&gt;"","["&amp;$E546&amp;"]"&amp;"|"&amp;SUBSTITUTE(SUBSTITUTE($I546,CHAR(61),""),CHAR(34),"")&amp;"|"&amp;$K546&amp;"|"&amp;$G546&amp;"|"&amp;IF($G546="TX_CURR_SUBNAT.R","CY2020Q4",$M546),"")</f>
        <v>[YGI7vISD2kJ]|40-44|Male|PLHIV.T_1|CY2021Q3</v>
      </c>
    </row>
    <row r="547" customFormat="false" ht="15" hidden="false" customHeight="false" outlineLevel="0" collapsed="false">
      <c r="D547" s="0" t="s">
        <v>105</v>
      </c>
      <c r="E547" s="0" t="s">
        <v>106</v>
      </c>
      <c r="F547" s="0" t="s">
        <v>47</v>
      </c>
      <c r="G547" s="0" t="s">
        <v>97</v>
      </c>
      <c r="H547" s="0" t="s">
        <v>98</v>
      </c>
      <c r="I547" s="0" t="s">
        <v>80</v>
      </c>
      <c r="J547" s="0" t="s">
        <v>81</v>
      </c>
      <c r="K547" s="0" t="s">
        <v>56</v>
      </c>
      <c r="L547" s="0" t="s">
        <v>57</v>
      </c>
      <c r="M547" s="0" t="s">
        <v>50</v>
      </c>
      <c r="N547" s="0" t="n">
        <v>1478</v>
      </c>
      <c r="O547" s="0" t="n">
        <v>23</v>
      </c>
      <c r="P547" s="0" t="n">
        <v>5</v>
      </c>
      <c r="Q547" s="5" t="str">
        <f aca="false">IF($D547&lt;&gt;"","["&amp;$E547&amp;"]"&amp;"|"&amp;SUBSTITUTE(SUBSTITUTE($I547,CHAR(61),""),CHAR(34),"")&amp;"|"&amp;$K547&amp;"|"&amp;$G547&amp;"|"&amp;IF($G547="TX_CURR_SUBNAT.R","CY2020Q4",$M547),"")</f>
        <v>[YGI7vISD2kJ]|45-49|Female|PLHIV.T_1|CY2021Q3</v>
      </c>
    </row>
    <row r="548" customFormat="false" ht="15" hidden="false" customHeight="false" outlineLevel="0" collapsed="false">
      <c r="D548" s="0" t="s">
        <v>105</v>
      </c>
      <c r="E548" s="0" t="s">
        <v>106</v>
      </c>
      <c r="F548" s="0" t="s">
        <v>47</v>
      </c>
      <c r="G548" s="0" t="s">
        <v>97</v>
      </c>
      <c r="H548" s="0" t="s">
        <v>98</v>
      </c>
      <c r="I548" s="0" t="s">
        <v>80</v>
      </c>
      <c r="J548" s="0" t="s">
        <v>81</v>
      </c>
      <c r="K548" s="0" t="s">
        <v>58</v>
      </c>
      <c r="L548" s="0" t="s">
        <v>59</v>
      </c>
      <c r="M548" s="0" t="s">
        <v>50</v>
      </c>
      <c r="N548" s="0" t="n">
        <v>1334</v>
      </c>
      <c r="O548" s="0" t="n">
        <v>39</v>
      </c>
      <c r="P548" s="0" t="n">
        <v>37</v>
      </c>
      <c r="Q548" s="5" t="str">
        <f aca="false">IF($D548&lt;&gt;"","["&amp;$E548&amp;"]"&amp;"|"&amp;SUBSTITUTE(SUBSTITUTE($I548,CHAR(61),""),CHAR(34),"")&amp;"|"&amp;$K548&amp;"|"&amp;$G548&amp;"|"&amp;IF($G548="TX_CURR_SUBNAT.R","CY2020Q4",$M548),"")</f>
        <v>[YGI7vISD2kJ]|45-49|Male|PLHIV.T_1|CY2021Q3</v>
      </c>
    </row>
    <row r="549" customFormat="false" ht="15" hidden="false" customHeight="false" outlineLevel="0" collapsed="false">
      <c r="D549" s="0" t="s">
        <v>105</v>
      </c>
      <c r="E549" s="0" t="s">
        <v>106</v>
      </c>
      <c r="F549" s="0" t="s">
        <v>47</v>
      </c>
      <c r="G549" s="0" t="s">
        <v>97</v>
      </c>
      <c r="H549" s="0" t="s">
        <v>98</v>
      </c>
      <c r="I549" s="0" t="s">
        <v>83</v>
      </c>
      <c r="J549" s="0" t="s">
        <v>84</v>
      </c>
      <c r="K549" s="0" t="s">
        <v>56</v>
      </c>
      <c r="L549" s="0" t="s">
        <v>57</v>
      </c>
      <c r="M549" s="0" t="s">
        <v>50</v>
      </c>
      <c r="N549" s="0" t="n">
        <v>160</v>
      </c>
      <c r="O549" s="0" t="n">
        <v>32</v>
      </c>
      <c r="P549" s="0" t="n">
        <v>43</v>
      </c>
      <c r="Q549" s="5" t="str">
        <f aca="false">IF($D549&lt;&gt;"","["&amp;$E549&amp;"]"&amp;"|"&amp;SUBSTITUTE(SUBSTITUTE($I549,CHAR(61),""),CHAR(34),"")&amp;"|"&amp;$K549&amp;"|"&amp;$G549&amp;"|"&amp;IF($G549="TX_CURR_SUBNAT.R","CY2020Q4",$M549),"")</f>
        <v>[YGI7vISD2kJ]|05-09|Female|PLHIV.T_1|CY2021Q3</v>
      </c>
    </row>
    <row r="550" customFormat="false" ht="15" hidden="false" customHeight="false" outlineLevel="0" collapsed="false">
      <c r="D550" s="0" t="s">
        <v>105</v>
      </c>
      <c r="E550" s="0" t="s">
        <v>106</v>
      </c>
      <c r="F550" s="0" t="s">
        <v>47</v>
      </c>
      <c r="G550" s="0" t="s">
        <v>97</v>
      </c>
      <c r="H550" s="0" t="s">
        <v>98</v>
      </c>
      <c r="I550" s="0" t="s">
        <v>83</v>
      </c>
      <c r="J550" s="0" t="s">
        <v>84</v>
      </c>
      <c r="K550" s="0" t="s">
        <v>58</v>
      </c>
      <c r="L550" s="0" t="s">
        <v>59</v>
      </c>
      <c r="M550" s="0" t="s">
        <v>50</v>
      </c>
      <c r="N550" s="0" t="n">
        <v>155</v>
      </c>
      <c r="O550" s="0" t="n">
        <v>57</v>
      </c>
      <c r="P550" s="0" t="n">
        <v>15</v>
      </c>
      <c r="Q550" s="5" t="str">
        <f aca="false">IF($D550&lt;&gt;"","["&amp;$E550&amp;"]"&amp;"|"&amp;SUBSTITUTE(SUBSTITUTE($I550,CHAR(61),""),CHAR(34),"")&amp;"|"&amp;$K550&amp;"|"&amp;$G550&amp;"|"&amp;IF($G550="TX_CURR_SUBNAT.R","CY2020Q4",$M550),"")</f>
        <v>[YGI7vISD2kJ]|05-09|Male|PLHIV.T_1|CY2021Q3</v>
      </c>
    </row>
    <row r="551" customFormat="false" ht="15" hidden="false" customHeight="false" outlineLevel="0" collapsed="false">
      <c r="D551" s="0" t="s">
        <v>105</v>
      </c>
      <c r="E551" s="0" t="s">
        <v>106</v>
      </c>
      <c r="F551" s="0" t="s">
        <v>47</v>
      </c>
      <c r="G551" s="0" t="s">
        <v>97</v>
      </c>
      <c r="H551" s="0" t="s">
        <v>98</v>
      </c>
      <c r="I551" s="53" t="s">
        <v>86</v>
      </c>
      <c r="J551" s="0" t="s">
        <v>87</v>
      </c>
      <c r="K551" s="0" t="s">
        <v>56</v>
      </c>
      <c r="L551" s="0" t="s">
        <v>57</v>
      </c>
      <c r="M551" s="0" t="s">
        <v>50</v>
      </c>
      <c r="N551" s="0" t="n">
        <v>4868</v>
      </c>
      <c r="O551" s="0" t="n">
        <v>46</v>
      </c>
      <c r="P551" s="0" t="n">
        <v>38</v>
      </c>
      <c r="Q551" s="5" t="str">
        <f aca="false">IF($D551&lt;&gt;"","["&amp;$E551&amp;"]"&amp;"|"&amp;SUBSTITUTE(SUBSTITUTE($I551,CHAR(61),""),CHAR(34),"")&amp;"|"&amp;$K551&amp;"|"&amp;$G551&amp;"|"&amp;IF($G551="TX_CURR_SUBNAT.R","CY2020Q4",$M551),"")</f>
        <v>[YGI7vISD2kJ]|50+|Female|PLHIV.T_1|CY2021Q3</v>
      </c>
    </row>
    <row r="552" customFormat="false" ht="15" hidden="false" customHeight="false" outlineLevel="0" collapsed="false">
      <c r="D552" s="0" t="s">
        <v>105</v>
      </c>
      <c r="E552" s="0" t="s">
        <v>106</v>
      </c>
      <c r="F552" s="0" t="s">
        <v>47</v>
      </c>
      <c r="G552" s="0" t="s">
        <v>97</v>
      </c>
      <c r="H552" s="0" t="s">
        <v>98</v>
      </c>
      <c r="I552" s="53" t="s">
        <v>86</v>
      </c>
      <c r="J552" s="0" t="s">
        <v>87</v>
      </c>
      <c r="K552" s="0" t="s">
        <v>58</v>
      </c>
      <c r="L552" s="0" t="s">
        <v>59</v>
      </c>
      <c r="M552" s="0" t="s">
        <v>50</v>
      </c>
      <c r="N552" s="0" t="n">
        <v>3561</v>
      </c>
      <c r="O552" s="0" t="n">
        <v>9</v>
      </c>
      <c r="P552" s="0" t="n">
        <v>23</v>
      </c>
      <c r="Q552" s="5" t="str">
        <f aca="false">IF($D552&lt;&gt;"","["&amp;$E552&amp;"]"&amp;"|"&amp;SUBSTITUTE(SUBSTITUTE($I552,CHAR(61),""),CHAR(34),"")&amp;"|"&amp;$K552&amp;"|"&amp;$G552&amp;"|"&amp;IF($G552="TX_CURR_SUBNAT.R","CY2020Q4",$M552),"")</f>
        <v>[YGI7vISD2kJ]|50+|Male|PLHIV.T_1|CY2021Q3</v>
      </c>
    </row>
    <row r="553" customFormat="false" ht="15" hidden="false" customHeight="false" outlineLevel="0" collapsed="false">
      <c r="D553" s="0" t="s">
        <v>105</v>
      </c>
      <c r="E553" s="0" t="s">
        <v>106</v>
      </c>
      <c r="F553" s="0" t="s">
        <v>47</v>
      </c>
      <c r="G553" s="0" t="s">
        <v>97</v>
      </c>
      <c r="H553" s="0" t="s">
        <v>98</v>
      </c>
      <c r="I553" s="0" t="s">
        <v>89</v>
      </c>
      <c r="J553" s="0" t="s">
        <v>90</v>
      </c>
      <c r="K553" s="0" t="s">
        <v>56</v>
      </c>
      <c r="L553" s="0" t="s">
        <v>57</v>
      </c>
      <c r="M553" s="0" t="s">
        <v>50</v>
      </c>
      <c r="N553" s="0" t="n">
        <v>11</v>
      </c>
      <c r="O553" s="0" t="n">
        <v>21</v>
      </c>
      <c r="P553" s="0" t="n">
        <v>18</v>
      </c>
      <c r="Q553" s="5" t="str">
        <f aca="false">IF($D553&lt;&gt;"","["&amp;$E553&amp;"]"&amp;"|"&amp;SUBSTITUTE(SUBSTITUTE($I553,CHAR(61),""),CHAR(34),"")&amp;"|"&amp;$K553&amp;"|"&amp;$G553&amp;"|"&amp;IF($G553="TX_CURR_SUBNAT.R","CY2020Q4",$M553),"")</f>
        <v>[YGI7vISD2kJ]|&lt;01|Female|PLHIV.T_1|CY2021Q3</v>
      </c>
    </row>
    <row r="554" customFormat="false" ht="15" hidden="false" customHeight="false" outlineLevel="0" collapsed="false">
      <c r="D554" s="0" t="s">
        <v>105</v>
      </c>
      <c r="E554" s="0" t="s">
        <v>106</v>
      </c>
      <c r="F554" s="0" t="s">
        <v>47</v>
      </c>
      <c r="G554" s="0" t="s">
        <v>97</v>
      </c>
      <c r="H554" s="0" t="s">
        <v>98</v>
      </c>
      <c r="I554" s="0" t="s">
        <v>89</v>
      </c>
      <c r="J554" s="0" t="s">
        <v>90</v>
      </c>
      <c r="K554" s="0" t="s">
        <v>58</v>
      </c>
      <c r="L554" s="0" t="s">
        <v>59</v>
      </c>
      <c r="M554" s="0" t="s">
        <v>50</v>
      </c>
      <c r="N554" s="0" t="n">
        <v>11</v>
      </c>
      <c r="O554" s="0" t="n">
        <v>4</v>
      </c>
      <c r="P554" s="0" t="n">
        <v>49</v>
      </c>
      <c r="Q554" s="5" t="str">
        <f aca="false">IF($D554&lt;&gt;"","["&amp;$E554&amp;"]"&amp;"|"&amp;SUBSTITUTE(SUBSTITUTE($I554,CHAR(61),""),CHAR(34),"")&amp;"|"&amp;$K554&amp;"|"&amp;$G554&amp;"|"&amp;IF($G554="TX_CURR_SUBNAT.R","CY2020Q4",$M554),"")</f>
        <v>[YGI7vISD2kJ]|&lt;01|Male|PLHIV.T_1|CY2021Q3</v>
      </c>
    </row>
    <row r="555" customFormat="false" ht="15" hidden="false" customHeight="false" outlineLevel="0" collapsed="false">
      <c r="D555" s="0" t="s">
        <v>105</v>
      </c>
      <c r="E555" s="0" t="s">
        <v>106</v>
      </c>
      <c r="F555" s="0" t="s">
        <v>47</v>
      </c>
      <c r="G555" s="0" t="s">
        <v>99</v>
      </c>
      <c r="H555" s="0" t="s">
        <v>100</v>
      </c>
      <c r="I555" s="0" t="s">
        <v>54</v>
      </c>
      <c r="J555" s="0" t="s">
        <v>55</v>
      </c>
      <c r="K555" s="0" t="s">
        <v>56</v>
      </c>
      <c r="L555" s="0" t="s">
        <v>57</v>
      </c>
      <c r="M555" s="0" t="s">
        <v>50</v>
      </c>
      <c r="N555" s="0" t="n">
        <v>25</v>
      </c>
      <c r="O555" s="0" t="n">
        <v>15</v>
      </c>
      <c r="P555" s="0" t="n">
        <v>2</v>
      </c>
      <c r="Q555" s="5" t="str">
        <f aca="false">IF($D555&lt;&gt;"","["&amp;$E555&amp;"]"&amp;"|"&amp;SUBSTITUTE(SUBSTITUTE($I555,CHAR(61),""),CHAR(34),"")&amp;"|"&amp;$K555&amp;"|"&amp;$G555&amp;"|"&amp;IF($G555="TX_CURR_SUBNAT.R","CY2020Q4",$M555),"")</f>
        <v>[YGI7vISD2kJ]|01-04|Female|TX_CURR_SUBNAT.T_1|CY2021Q3</v>
      </c>
    </row>
    <row r="556" customFormat="false" ht="15" hidden="false" customHeight="false" outlineLevel="0" collapsed="false">
      <c r="D556" s="0" t="s">
        <v>105</v>
      </c>
      <c r="E556" s="0" t="s">
        <v>106</v>
      </c>
      <c r="F556" s="0" t="s">
        <v>47</v>
      </c>
      <c r="G556" s="0" t="s">
        <v>99</v>
      </c>
      <c r="H556" s="0" t="s">
        <v>100</v>
      </c>
      <c r="I556" s="0" t="s">
        <v>54</v>
      </c>
      <c r="J556" s="0" t="s">
        <v>55</v>
      </c>
      <c r="K556" s="0" t="s">
        <v>58</v>
      </c>
      <c r="L556" s="0" t="s">
        <v>59</v>
      </c>
      <c r="M556" s="0" t="s">
        <v>50</v>
      </c>
      <c r="N556" s="0" t="n">
        <v>26</v>
      </c>
      <c r="O556" s="0" t="n">
        <v>8</v>
      </c>
      <c r="P556" s="0" t="n">
        <v>37</v>
      </c>
      <c r="Q556" s="5" t="str">
        <f aca="false">IF($D556&lt;&gt;"","["&amp;$E556&amp;"]"&amp;"|"&amp;SUBSTITUTE(SUBSTITUTE($I556,CHAR(61),""),CHAR(34),"")&amp;"|"&amp;$K556&amp;"|"&amp;$G556&amp;"|"&amp;IF($G556="TX_CURR_SUBNAT.R","CY2020Q4",$M556),"")</f>
        <v>[YGI7vISD2kJ]|01-04|Male|TX_CURR_SUBNAT.T_1|CY2021Q3</v>
      </c>
    </row>
    <row r="557" customFormat="false" ht="15" hidden="false" customHeight="false" outlineLevel="0" collapsed="false">
      <c r="D557" s="0" t="s">
        <v>105</v>
      </c>
      <c r="E557" s="0" t="s">
        <v>106</v>
      </c>
      <c r="F557" s="0" t="s">
        <v>47</v>
      </c>
      <c r="G557" s="0" t="s">
        <v>99</v>
      </c>
      <c r="H557" s="0" t="s">
        <v>100</v>
      </c>
      <c r="I557" s="0" t="s">
        <v>61</v>
      </c>
      <c r="J557" s="0" t="s">
        <v>62</v>
      </c>
      <c r="K557" s="0" t="s">
        <v>56</v>
      </c>
      <c r="L557" s="0" t="s">
        <v>57</v>
      </c>
      <c r="M557" s="0" t="s">
        <v>50</v>
      </c>
      <c r="N557" s="0" t="n">
        <v>196</v>
      </c>
      <c r="O557" s="0" t="n">
        <v>8</v>
      </c>
      <c r="P557" s="0" t="n">
        <v>7</v>
      </c>
      <c r="Q557" s="5" t="str">
        <f aca="false">IF($D557&lt;&gt;"","["&amp;$E557&amp;"]"&amp;"|"&amp;SUBSTITUTE(SUBSTITUTE($I557,CHAR(61),""),CHAR(34),"")&amp;"|"&amp;$K557&amp;"|"&amp;$G557&amp;"|"&amp;IF($G557="TX_CURR_SUBNAT.R","CY2020Q4",$M557),"")</f>
        <v>[YGI7vISD2kJ]|10-14|Female|TX_CURR_SUBNAT.T_1|CY2021Q3</v>
      </c>
    </row>
    <row r="558" customFormat="false" ht="15" hidden="false" customHeight="false" outlineLevel="0" collapsed="false">
      <c r="D558" s="0" t="s">
        <v>105</v>
      </c>
      <c r="E558" s="0" t="s">
        <v>106</v>
      </c>
      <c r="F558" s="0" t="s">
        <v>47</v>
      </c>
      <c r="G558" s="0" t="s">
        <v>99</v>
      </c>
      <c r="H558" s="0" t="s">
        <v>100</v>
      </c>
      <c r="I558" s="0" t="s">
        <v>61</v>
      </c>
      <c r="J558" s="0" t="s">
        <v>62</v>
      </c>
      <c r="K558" s="0" t="s">
        <v>58</v>
      </c>
      <c r="L558" s="0" t="s">
        <v>59</v>
      </c>
      <c r="M558" s="0" t="s">
        <v>50</v>
      </c>
      <c r="N558" s="0" t="n">
        <v>201</v>
      </c>
      <c r="O558" s="0" t="n">
        <v>3</v>
      </c>
      <c r="P558" s="0" t="n">
        <v>22</v>
      </c>
      <c r="Q558" s="5" t="str">
        <f aca="false">IF($D558&lt;&gt;"","["&amp;$E558&amp;"]"&amp;"|"&amp;SUBSTITUTE(SUBSTITUTE($I558,CHAR(61),""),CHAR(34),"")&amp;"|"&amp;$K558&amp;"|"&amp;$G558&amp;"|"&amp;IF($G558="TX_CURR_SUBNAT.R","CY2020Q4",$M558),"")</f>
        <v>[YGI7vISD2kJ]|10-14|Male|TX_CURR_SUBNAT.T_1|CY2021Q3</v>
      </c>
    </row>
    <row r="559" customFormat="false" ht="15" hidden="false" customHeight="false" outlineLevel="0" collapsed="false">
      <c r="D559" s="0" t="s">
        <v>105</v>
      </c>
      <c r="E559" s="0" t="s">
        <v>106</v>
      </c>
      <c r="F559" s="0" t="s">
        <v>47</v>
      </c>
      <c r="G559" s="0" t="s">
        <v>99</v>
      </c>
      <c r="H559" s="0" t="s">
        <v>100</v>
      </c>
      <c r="I559" s="0" t="s">
        <v>63</v>
      </c>
      <c r="J559" s="0" t="s">
        <v>64</v>
      </c>
      <c r="K559" s="0" t="s">
        <v>56</v>
      </c>
      <c r="L559" s="0" t="s">
        <v>57</v>
      </c>
      <c r="M559" s="0" t="s">
        <v>50</v>
      </c>
      <c r="N559" s="0" t="n">
        <v>289</v>
      </c>
      <c r="O559" s="0" t="n">
        <v>6</v>
      </c>
      <c r="P559" s="0" t="n">
        <v>50</v>
      </c>
      <c r="Q559" s="5" t="str">
        <f aca="false">IF($D559&lt;&gt;"","["&amp;$E559&amp;"]"&amp;"|"&amp;SUBSTITUTE(SUBSTITUTE($I559,CHAR(61),""),CHAR(34),"")&amp;"|"&amp;$K559&amp;"|"&amp;$G559&amp;"|"&amp;IF($G559="TX_CURR_SUBNAT.R","CY2020Q4",$M559),"")</f>
        <v>[YGI7vISD2kJ]|15-19|Female|TX_CURR_SUBNAT.T_1|CY2021Q3</v>
      </c>
    </row>
    <row r="560" customFormat="false" ht="15" hidden="false" customHeight="false" outlineLevel="0" collapsed="false">
      <c r="D560" s="0" t="s">
        <v>105</v>
      </c>
      <c r="E560" s="0" t="s">
        <v>106</v>
      </c>
      <c r="F560" s="0" t="s">
        <v>47</v>
      </c>
      <c r="G560" s="0" t="s">
        <v>99</v>
      </c>
      <c r="H560" s="0" t="s">
        <v>100</v>
      </c>
      <c r="I560" s="0" t="s">
        <v>63</v>
      </c>
      <c r="J560" s="0" t="s">
        <v>64</v>
      </c>
      <c r="K560" s="0" t="s">
        <v>58</v>
      </c>
      <c r="L560" s="0" t="s">
        <v>59</v>
      </c>
      <c r="M560" s="0" t="s">
        <v>50</v>
      </c>
      <c r="N560" s="0" t="n">
        <v>224</v>
      </c>
      <c r="O560" s="0" t="n">
        <v>46</v>
      </c>
      <c r="P560" s="0" t="n">
        <v>15</v>
      </c>
      <c r="Q560" s="5" t="str">
        <f aca="false">IF($D560&lt;&gt;"","["&amp;$E560&amp;"]"&amp;"|"&amp;SUBSTITUTE(SUBSTITUTE($I560,CHAR(61),""),CHAR(34),"")&amp;"|"&amp;$K560&amp;"|"&amp;$G560&amp;"|"&amp;IF($G560="TX_CURR_SUBNAT.R","CY2020Q4",$M560),"")</f>
        <v>[YGI7vISD2kJ]|15-19|Male|TX_CURR_SUBNAT.T_1|CY2021Q3</v>
      </c>
    </row>
    <row r="561" customFormat="false" ht="15" hidden="false" customHeight="false" outlineLevel="0" collapsed="false">
      <c r="D561" s="0" t="s">
        <v>105</v>
      </c>
      <c r="E561" s="0" t="s">
        <v>106</v>
      </c>
      <c r="F561" s="0" t="s">
        <v>47</v>
      </c>
      <c r="G561" s="0" t="s">
        <v>99</v>
      </c>
      <c r="H561" s="0" t="s">
        <v>100</v>
      </c>
      <c r="I561" s="0" t="s">
        <v>66</v>
      </c>
      <c r="J561" s="0" t="s">
        <v>67</v>
      </c>
      <c r="K561" s="0" t="s">
        <v>56</v>
      </c>
      <c r="L561" s="0" t="s">
        <v>57</v>
      </c>
      <c r="M561" s="0" t="s">
        <v>50</v>
      </c>
      <c r="N561" s="0" t="n">
        <v>643</v>
      </c>
      <c r="O561" s="0" t="n">
        <v>12</v>
      </c>
      <c r="P561" s="0" t="n">
        <v>46</v>
      </c>
      <c r="Q561" s="5" t="str">
        <f aca="false">IF($D561&lt;&gt;"","["&amp;$E561&amp;"]"&amp;"|"&amp;SUBSTITUTE(SUBSTITUTE($I561,CHAR(61),""),CHAR(34),"")&amp;"|"&amp;$K561&amp;"|"&amp;$G561&amp;"|"&amp;IF($G561="TX_CURR_SUBNAT.R","CY2020Q4",$M561),"")</f>
        <v>[YGI7vISD2kJ]|20-24|Female|TX_CURR_SUBNAT.T_1|CY2021Q3</v>
      </c>
    </row>
    <row r="562" customFormat="false" ht="15" hidden="false" customHeight="false" outlineLevel="0" collapsed="false">
      <c r="D562" s="0" t="s">
        <v>105</v>
      </c>
      <c r="E562" s="0" t="s">
        <v>106</v>
      </c>
      <c r="F562" s="0" t="s">
        <v>47</v>
      </c>
      <c r="G562" s="0" t="s">
        <v>99</v>
      </c>
      <c r="H562" s="0" t="s">
        <v>100</v>
      </c>
      <c r="I562" s="0" t="s">
        <v>66</v>
      </c>
      <c r="J562" s="0" t="s">
        <v>67</v>
      </c>
      <c r="K562" s="0" t="s">
        <v>58</v>
      </c>
      <c r="L562" s="0" t="s">
        <v>59</v>
      </c>
      <c r="M562" s="0" t="s">
        <v>50</v>
      </c>
      <c r="N562" s="0" t="n">
        <v>223</v>
      </c>
      <c r="O562" s="0" t="n">
        <v>19</v>
      </c>
      <c r="P562" s="0" t="n">
        <v>12</v>
      </c>
      <c r="Q562" s="5" t="str">
        <f aca="false">IF($D562&lt;&gt;"","["&amp;$E562&amp;"]"&amp;"|"&amp;SUBSTITUTE(SUBSTITUTE($I562,CHAR(61),""),CHAR(34),"")&amp;"|"&amp;$K562&amp;"|"&amp;$G562&amp;"|"&amp;IF($G562="TX_CURR_SUBNAT.R","CY2020Q4",$M562),"")</f>
        <v>[YGI7vISD2kJ]|20-24|Male|TX_CURR_SUBNAT.T_1|CY2021Q3</v>
      </c>
    </row>
    <row r="563" customFormat="false" ht="15" hidden="false" customHeight="false" outlineLevel="0" collapsed="false">
      <c r="D563" s="0" t="s">
        <v>105</v>
      </c>
      <c r="E563" s="0" t="s">
        <v>106</v>
      </c>
      <c r="F563" s="0" t="s">
        <v>47</v>
      </c>
      <c r="G563" s="0" t="s">
        <v>99</v>
      </c>
      <c r="H563" s="0" t="s">
        <v>100</v>
      </c>
      <c r="I563" s="0" t="s">
        <v>69</v>
      </c>
      <c r="J563" s="0" t="s">
        <v>70</v>
      </c>
      <c r="K563" s="0" t="s">
        <v>56</v>
      </c>
      <c r="L563" s="0" t="s">
        <v>57</v>
      </c>
      <c r="M563" s="0" t="s">
        <v>50</v>
      </c>
      <c r="N563" s="0" t="n">
        <v>1131</v>
      </c>
      <c r="O563" s="0" t="n">
        <v>51</v>
      </c>
      <c r="P563" s="0" t="n">
        <v>50</v>
      </c>
      <c r="Q563" s="5" t="str">
        <f aca="false">IF($D563&lt;&gt;"","["&amp;$E563&amp;"]"&amp;"|"&amp;SUBSTITUTE(SUBSTITUTE($I563,CHAR(61),""),CHAR(34),"")&amp;"|"&amp;$K563&amp;"|"&amp;$G563&amp;"|"&amp;IF($G563="TX_CURR_SUBNAT.R","CY2020Q4",$M563),"")</f>
        <v>[YGI7vISD2kJ]|25-29|Female|TX_CURR_SUBNAT.T_1|CY2021Q3</v>
      </c>
    </row>
    <row r="564" customFormat="false" ht="15" hidden="false" customHeight="false" outlineLevel="0" collapsed="false">
      <c r="D564" s="0" t="s">
        <v>105</v>
      </c>
      <c r="E564" s="0" t="s">
        <v>106</v>
      </c>
      <c r="F564" s="0" t="s">
        <v>47</v>
      </c>
      <c r="G564" s="0" t="s">
        <v>99</v>
      </c>
      <c r="H564" s="0" t="s">
        <v>100</v>
      </c>
      <c r="I564" s="0" t="s">
        <v>69</v>
      </c>
      <c r="J564" s="0" t="s">
        <v>70</v>
      </c>
      <c r="K564" s="0" t="s">
        <v>58</v>
      </c>
      <c r="L564" s="0" t="s">
        <v>59</v>
      </c>
      <c r="M564" s="0" t="s">
        <v>50</v>
      </c>
      <c r="N564" s="0" t="n">
        <v>399</v>
      </c>
      <c r="O564" s="0" t="n">
        <v>39</v>
      </c>
      <c r="P564" s="0" t="n">
        <v>2</v>
      </c>
      <c r="Q564" s="5" t="str">
        <f aca="false">IF($D564&lt;&gt;"","["&amp;$E564&amp;"]"&amp;"|"&amp;SUBSTITUTE(SUBSTITUTE($I564,CHAR(61),""),CHAR(34),"")&amp;"|"&amp;$K564&amp;"|"&amp;$G564&amp;"|"&amp;IF($G564="TX_CURR_SUBNAT.R","CY2020Q4",$M564),"")</f>
        <v>[YGI7vISD2kJ]|25-29|Male|TX_CURR_SUBNAT.T_1|CY2021Q3</v>
      </c>
    </row>
    <row r="565" customFormat="false" ht="15" hidden="false" customHeight="false" outlineLevel="0" collapsed="false">
      <c r="D565" s="0" t="s">
        <v>105</v>
      </c>
      <c r="E565" s="0" t="s">
        <v>106</v>
      </c>
      <c r="F565" s="0" t="s">
        <v>47</v>
      </c>
      <c r="G565" s="0" t="s">
        <v>99</v>
      </c>
      <c r="H565" s="0" t="s">
        <v>100</v>
      </c>
      <c r="I565" s="0" t="s">
        <v>72</v>
      </c>
      <c r="J565" s="0" t="s">
        <v>73</v>
      </c>
      <c r="K565" s="0" t="s">
        <v>56</v>
      </c>
      <c r="L565" s="0" t="s">
        <v>57</v>
      </c>
      <c r="M565" s="0" t="s">
        <v>50</v>
      </c>
      <c r="N565" s="0" t="n">
        <v>1473</v>
      </c>
      <c r="O565" s="0" t="n">
        <v>2</v>
      </c>
      <c r="P565" s="0" t="n">
        <v>41</v>
      </c>
      <c r="Q565" s="5" t="str">
        <f aca="false">IF($D565&lt;&gt;"","["&amp;$E565&amp;"]"&amp;"|"&amp;SUBSTITUTE(SUBSTITUTE($I565,CHAR(61),""),CHAR(34),"")&amp;"|"&amp;$K565&amp;"|"&amp;$G565&amp;"|"&amp;IF($G565="TX_CURR_SUBNAT.R","CY2020Q4",$M565),"")</f>
        <v>[YGI7vISD2kJ]|30-34|Female|TX_CURR_SUBNAT.T_1|CY2021Q3</v>
      </c>
    </row>
    <row r="566" customFormat="false" ht="15" hidden="false" customHeight="false" outlineLevel="0" collapsed="false">
      <c r="D566" s="0" t="s">
        <v>105</v>
      </c>
      <c r="E566" s="0" t="s">
        <v>106</v>
      </c>
      <c r="F566" s="0" t="s">
        <v>47</v>
      </c>
      <c r="G566" s="0" t="s">
        <v>99</v>
      </c>
      <c r="H566" s="0" t="s">
        <v>100</v>
      </c>
      <c r="I566" s="0" t="s">
        <v>72</v>
      </c>
      <c r="J566" s="0" t="s">
        <v>73</v>
      </c>
      <c r="K566" s="0" t="s">
        <v>58</v>
      </c>
      <c r="L566" s="0" t="s">
        <v>59</v>
      </c>
      <c r="M566" s="0" t="s">
        <v>50</v>
      </c>
      <c r="N566" s="0" t="n">
        <v>701</v>
      </c>
      <c r="O566" s="0" t="n">
        <v>19</v>
      </c>
      <c r="P566" s="0" t="n">
        <v>43</v>
      </c>
      <c r="Q566" s="5" t="str">
        <f aca="false">IF($D566&lt;&gt;"","["&amp;$E566&amp;"]"&amp;"|"&amp;SUBSTITUTE(SUBSTITUTE($I566,CHAR(61),""),CHAR(34),"")&amp;"|"&amp;$K566&amp;"|"&amp;$G566&amp;"|"&amp;IF($G566="TX_CURR_SUBNAT.R","CY2020Q4",$M566),"")</f>
        <v>[YGI7vISD2kJ]|30-34|Male|TX_CURR_SUBNAT.T_1|CY2021Q3</v>
      </c>
    </row>
    <row r="567" customFormat="false" ht="15" hidden="false" customHeight="false" outlineLevel="0" collapsed="false">
      <c r="D567" s="0" t="s">
        <v>105</v>
      </c>
      <c r="E567" s="0" t="s">
        <v>106</v>
      </c>
      <c r="F567" s="0" t="s">
        <v>47</v>
      </c>
      <c r="G567" s="0" t="s">
        <v>99</v>
      </c>
      <c r="H567" s="0" t="s">
        <v>100</v>
      </c>
      <c r="I567" s="0" t="s">
        <v>75</v>
      </c>
      <c r="J567" s="0" t="s">
        <v>76</v>
      </c>
      <c r="K567" s="0" t="s">
        <v>56</v>
      </c>
      <c r="L567" s="0" t="s">
        <v>57</v>
      </c>
      <c r="M567" s="0" t="s">
        <v>50</v>
      </c>
      <c r="N567" s="0" t="n">
        <v>1641</v>
      </c>
      <c r="O567" s="0" t="n">
        <v>24</v>
      </c>
      <c r="P567" s="0" t="n">
        <v>28</v>
      </c>
      <c r="Q567" s="5" t="str">
        <f aca="false">IF($D567&lt;&gt;"","["&amp;$E567&amp;"]"&amp;"|"&amp;SUBSTITUTE(SUBSTITUTE($I567,CHAR(61),""),CHAR(34),"")&amp;"|"&amp;$K567&amp;"|"&amp;$G567&amp;"|"&amp;IF($G567="TX_CURR_SUBNAT.R","CY2020Q4",$M567),"")</f>
        <v>[YGI7vISD2kJ]|35-39|Female|TX_CURR_SUBNAT.T_1|CY2021Q3</v>
      </c>
    </row>
    <row r="568" customFormat="false" ht="15" hidden="false" customHeight="false" outlineLevel="0" collapsed="false">
      <c r="D568" s="0" t="s">
        <v>105</v>
      </c>
      <c r="E568" s="0" t="s">
        <v>106</v>
      </c>
      <c r="F568" s="0" t="s">
        <v>47</v>
      </c>
      <c r="G568" s="0" t="s">
        <v>99</v>
      </c>
      <c r="H568" s="0" t="s">
        <v>100</v>
      </c>
      <c r="I568" s="0" t="s">
        <v>75</v>
      </c>
      <c r="J568" s="0" t="s">
        <v>76</v>
      </c>
      <c r="K568" s="0" t="s">
        <v>58</v>
      </c>
      <c r="L568" s="0" t="s">
        <v>59</v>
      </c>
      <c r="M568" s="0" t="s">
        <v>50</v>
      </c>
      <c r="N568" s="0" t="n">
        <v>987</v>
      </c>
      <c r="O568" s="0" t="n">
        <v>50</v>
      </c>
      <c r="P568" s="0" t="n">
        <v>27</v>
      </c>
      <c r="Q568" s="5" t="str">
        <f aca="false">IF($D568&lt;&gt;"","["&amp;$E568&amp;"]"&amp;"|"&amp;SUBSTITUTE(SUBSTITUTE($I568,CHAR(61),""),CHAR(34),"")&amp;"|"&amp;$K568&amp;"|"&amp;$G568&amp;"|"&amp;IF($G568="TX_CURR_SUBNAT.R","CY2020Q4",$M568),"")</f>
        <v>[YGI7vISD2kJ]|35-39|Male|TX_CURR_SUBNAT.T_1|CY2021Q3</v>
      </c>
    </row>
    <row r="569" customFormat="false" ht="15" hidden="false" customHeight="false" outlineLevel="0" collapsed="false">
      <c r="D569" s="0" t="s">
        <v>105</v>
      </c>
      <c r="E569" s="0" t="s">
        <v>106</v>
      </c>
      <c r="F569" s="0" t="s">
        <v>47</v>
      </c>
      <c r="G569" s="0" t="s">
        <v>99</v>
      </c>
      <c r="H569" s="0" t="s">
        <v>100</v>
      </c>
      <c r="I569" s="0" t="s">
        <v>77</v>
      </c>
      <c r="J569" s="0" t="s">
        <v>78</v>
      </c>
      <c r="K569" s="0" t="s">
        <v>56</v>
      </c>
      <c r="L569" s="0" t="s">
        <v>57</v>
      </c>
      <c r="M569" s="0" t="s">
        <v>50</v>
      </c>
      <c r="N569" s="0" t="n">
        <v>1626</v>
      </c>
      <c r="O569" s="0" t="n">
        <v>32</v>
      </c>
      <c r="P569" s="0" t="n">
        <v>5</v>
      </c>
      <c r="Q569" s="5" t="str">
        <f aca="false">IF($D569&lt;&gt;"","["&amp;$E569&amp;"]"&amp;"|"&amp;SUBSTITUTE(SUBSTITUTE($I569,CHAR(61),""),CHAR(34),"")&amp;"|"&amp;$K569&amp;"|"&amp;$G569&amp;"|"&amp;IF($G569="TX_CURR_SUBNAT.R","CY2020Q4",$M569),"")</f>
        <v>[YGI7vISD2kJ]|40-44|Female|TX_CURR_SUBNAT.T_1|CY2021Q3</v>
      </c>
    </row>
    <row r="570" customFormat="false" ht="15" hidden="false" customHeight="false" outlineLevel="0" collapsed="false">
      <c r="D570" s="0" t="s">
        <v>105</v>
      </c>
      <c r="E570" s="0" t="s">
        <v>106</v>
      </c>
      <c r="F570" s="0" t="s">
        <v>47</v>
      </c>
      <c r="G570" s="0" t="s">
        <v>99</v>
      </c>
      <c r="H570" s="0" t="s">
        <v>100</v>
      </c>
      <c r="I570" s="0" t="s">
        <v>77</v>
      </c>
      <c r="J570" s="0" t="s">
        <v>78</v>
      </c>
      <c r="K570" s="0" t="s">
        <v>58</v>
      </c>
      <c r="L570" s="0" t="s">
        <v>59</v>
      </c>
      <c r="M570" s="0" t="s">
        <v>50</v>
      </c>
      <c r="N570" s="0" t="n">
        <v>1027</v>
      </c>
      <c r="O570" s="0" t="n">
        <v>58</v>
      </c>
      <c r="P570" s="0" t="n">
        <v>9</v>
      </c>
      <c r="Q570" s="5" t="str">
        <f aca="false">IF($D570&lt;&gt;"","["&amp;$E570&amp;"]"&amp;"|"&amp;SUBSTITUTE(SUBSTITUTE($I570,CHAR(61),""),CHAR(34),"")&amp;"|"&amp;$K570&amp;"|"&amp;$G570&amp;"|"&amp;IF($G570="TX_CURR_SUBNAT.R","CY2020Q4",$M570),"")</f>
        <v>[YGI7vISD2kJ]|40-44|Male|TX_CURR_SUBNAT.T_1|CY2021Q3</v>
      </c>
    </row>
    <row r="571" customFormat="false" ht="15" hidden="false" customHeight="false" outlineLevel="0" collapsed="false">
      <c r="D571" s="0" t="s">
        <v>105</v>
      </c>
      <c r="E571" s="0" t="s">
        <v>106</v>
      </c>
      <c r="F571" s="0" t="s">
        <v>47</v>
      </c>
      <c r="G571" s="0" t="s">
        <v>99</v>
      </c>
      <c r="H571" s="0" t="s">
        <v>100</v>
      </c>
      <c r="I571" s="0" t="s">
        <v>80</v>
      </c>
      <c r="J571" s="0" t="s">
        <v>81</v>
      </c>
      <c r="K571" s="0" t="s">
        <v>56</v>
      </c>
      <c r="L571" s="0" t="s">
        <v>57</v>
      </c>
      <c r="M571" s="0" t="s">
        <v>50</v>
      </c>
      <c r="N571" s="0" t="n">
        <v>1377</v>
      </c>
      <c r="O571" s="0" t="n">
        <v>43</v>
      </c>
      <c r="P571" s="0" t="n">
        <v>22</v>
      </c>
      <c r="Q571" s="5" t="str">
        <f aca="false">IF($D571&lt;&gt;"","["&amp;$E571&amp;"]"&amp;"|"&amp;SUBSTITUTE(SUBSTITUTE($I571,CHAR(61),""),CHAR(34),"")&amp;"|"&amp;$K571&amp;"|"&amp;$G571&amp;"|"&amp;IF($G571="TX_CURR_SUBNAT.R","CY2020Q4",$M571),"")</f>
        <v>[YGI7vISD2kJ]|45-49|Female|TX_CURR_SUBNAT.T_1|CY2021Q3</v>
      </c>
    </row>
    <row r="572" customFormat="false" ht="15" hidden="false" customHeight="false" outlineLevel="0" collapsed="false">
      <c r="D572" s="0" t="s">
        <v>105</v>
      </c>
      <c r="E572" s="0" t="s">
        <v>106</v>
      </c>
      <c r="F572" s="0" t="s">
        <v>47</v>
      </c>
      <c r="G572" s="0" t="s">
        <v>99</v>
      </c>
      <c r="H572" s="0" t="s">
        <v>100</v>
      </c>
      <c r="I572" s="0" t="s">
        <v>80</v>
      </c>
      <c r="J572" s="0" t="s">
        <v>81</v>
      </c>
      <c r="K572" s="0" t="s">
        <v>58</v>
      </c>
      <c r="L572" s="0" t="s">
        <v>59</v>
      </c>
      <c r="M572" s="0" t="s">
        <v>50</v>
      </c>
      <c r="N572" s="0" t="n">
        <v>893</v>
      </c>
      <c r="O572" s="0" t="n">
        <v>60</v>
      </c>
      <c r="P572" s="0" t="n">
        <v>20</v>
      </c>
      <c r="Q572" s="5" t="str">
        <f aca="false">IF($D572&lt;&gt;"","["&amp;$E572&amp;"]"&amp;"|"&amp;SUBSTITUTE(SUBSTITUTE($I572,CHAR(61),""),CHAR(34),"")&amp;"|"&amp;$K572&amp;"|"&amp;$G572&amp;"|"&amp;IF($G572="TX_CURR_SUBNAT.R","CY2020Q4",$M572),"")</f>
        <v>[YGI7vISD2kJ]|45-49|Male|TX_CURR_SUBNAT.T_1|CY2021Q3</v>
      </c>
    </row>
    <row r="573" customFormat="false" ht="15" hidden="false" customHeight="false" outlineLevel="0" collapsed="false">
      <c r="D573" s="0" t="s">
        <v>105</v>
      </c>
      <c r="E573" s="0" t="s">
        <v>106</v>
      </c>
      <c r="F573" s="0" t="s">
        <v>47</v>
      </c>
      <c r="G573" s="0" t="s">
        <v>99</v>
      </c>
      <c r="H573" s="0" t="s">
        <v>100</v>
      </c>
      <c r="I573" s="0" t="s">
        <v>83</v>
      </c>
      <c r="J573" s="0" t="s">
        <v>84</v>
      </c>
      <c r="K573" s="0" t="s">
        <v>56</v>
      </c>
      <c r="L573" s="0" t="s">
        <v>57</v>
      </c>
      <c r="M573" s="0" t="s">
        <v>50</v>
      </c>
      <c r="N573" s="0" t="n">
        <v>93</v>
      </c>
      <c r="O573" s="0" t="n">
        <v>16</v>
      </c>
      <c r="P573" s="0" t="n">
        <v>21</v>
      </c>
      <c r="Q573" s="5" t="str">
        <f aca="false">IF($D573&lt;&gt;"","["&amp;$E573&amp;"]"&amp;"|"&amp;SUBSTITUTE(SUBSTITUTE($I573,CHAR(61),""),CHAR(34),"")&amp;"|"&amp;$K573&amp;"|"&amp;$G573&amp;"|"&amp;IF($G573="TX_CURR_SUBNAT.R","CY2020Q4",$M573),"")</f>
        <v>[YGI7vISD2kJ]|05-09|Female|TX_CURR_SUBNAT.T_1|CY2021Q3</v>
      </c>
    </row>
    <row r="574" customFormat="false" ht="15" hidden="false" customHeight="false" outlineLevel="0" collapsed="false">
      <c r="D574" s="0" t="s">
        <v>105</v>
      </c>
      <c r="E574" s="0" t="s">
        <v>106</v>
      </c>
      <c r="F574" s="0" t="s">
        <v>47</v>
      </c>
      <c r="G574" s="0" t="s">
        <v>99</v>
      </c>
      <c r="H574" s="0" t="s">
        <v>100</v>
      </c>
      <c r="I574" s="0" t="s">
        <v>83</v>
      </c>
      <c r="J574" s="0" t="s">
        <v>84</v>
      </c>
      <c r="K574" s="0" t="s">
        <v>58</v>
      </c>
      <c r="L574" s="0" t="s">
        <v>59</v>
      </c>
      <c r="M574" s="0" t="s">
        <v>50</v>
      </c>
      <c r="N574" s="0" t="n">
        <v>94</v>
      </c>
      <c r="O574" s="0" t="n">
        <v>35</v>
      </c>
      <c r="P574" s="0" t="n">
        <v>43</v>
      </c>
      <c r="Q574" s="5" t="str">
        <f aca="false">IF($D574&lt;&gt;"","["&amp;$E574&amp;"]"&amp;"|"&amp;SUBSTITUTE(SUBSTITUTE($I574,CHAR(61),""),CHAR(34),"")&amp;"|"&amp;$K574&amp;"|"&amp;$G574&amp;"|"&amp;IF($G574="TX_CURR_SUBNAT.R","CY2020Q4",$M574),"")</f>
        <v>[YGI7vISD2kJ]|05-09|Male|TX_CURR_SUBNAT.T_1|CY2021Q3</v>
      </c>
    </row>
    <row r="575" customFormat="false" ht="15" hidden="false" customHeight="false" outlineLevel="0" collapsed="false">
      <c r="D575" s="0" t="s">
        <v>105</v>
      </c>
      <c r="E575" s="0" t="s">
        <v>106</v>
      </c>
      <c r="F575" s="0" t="s">
        <v>47</v>
      </c>
      <c r="G575" s="0" t="s">
        <v>99</v>
      </c>
      <c r="H575" s="0" t="s">
        <v>100</v>
      </c>
      <c r="I575" s="53" t="s">
        <v>86</v>
      </c>
      <c r="J575" s="0" t="s">
        <v>87</v>
      </c>
      <c r="K575" s="0" t="s">
        <v>56</v>
      </c>
      <c r="L575" s="0" t="s">
        <v>57</v>
      </c>
      <c r="M575" s="0" t="s">
        <v>50</v>
      </c>
      <c r="N575" s="0" t="n">
        <v>3612</v>
      </c>
      <c r="O575" s="0" t="n">
        <v>9</v>
      </c>
      <c r="P575" s="0" t="n">
        <v>38</v>
      </c>
      <c r="Q575" s="5" t="str">
        <f aca="false">IF($D575&lt;&gt;"","["&amp;$E575&amp;"]"&amp;"|"&amp;SUBSTITUTE(SUBSTITUTE($I575,CHAR(61),""),CHAR(34),"")&amp;"|"&amp;$K575&amp;"|"&amp;$G575&amp;"|"&amp;IF($G575="TX_CURR_SUBNAT.R","CY2020Q4",$M575),"")</f>
        <v>[YGI7vISD2kJ]|50+|Female|TX_CURR_SUBNAT.T_1|CY2021Q3</v>
      </c>
    </row>
    <row r="576" customFormat="false" ht="15" hidden="false" customHeight="false" outlineLevel="0" collapsed="false">
      <c r="D576" s="0" t="s">
        <v>105</v>
      </c>
      <c r="E576" s="0" t="s">
        <v>106</v>
      </c>
      <c r="F576" s="0" t="s">
        <v>47</v>
      </c>
      <c r="G576" s="0" t="s">
        <v>99</v>
      </c>
      <c r="H576" s="0" t="s">
        <v>100</v>
      </c>
      <c r="I576" s="53" t="s">
        <v>86</v>
      </c>
      <c r="J576" s="0" t="s">
        <v>87</v>
      </c>
      <c r="K576" s="0" t="s">
        <v>58</v>
      </c>
      <c r="L576" s="0" t="s">
        <v>59</v>
      </c>
      <c r="M576" s="0" t="s">
        <v>50</v>
      </c>
      <c r="N576" s="0" t="n">
        <v>2329</v>
      </c>
      <c r="O576" s="0" t="n">
        <v>41</v>
      </c>
      <c r="P576" s="0" t="n">
        <v>11</v>
      </c>
      <c r="Q576" s="5" t="str">
        <f aca="false">IF($D576&lt;&gt;"","["&amp;$E576&amp;"]"&amp;"|"&amp;SUBSTITUTE(SUBSTITUTE($I576,CHAR(61),""),CHAR(34),"")&amp;"|"&amp;$K576&amp;"|"&amp;$G576&amp;"|"&amp;IF($G576="TX_CURR_SUBNAT.R","CY2020Q4",$M576),"")</f>
        <v>[YGI7vISD2kJ]|50+|Male|TX_CURR_SUBNAT.T_1|CY2021Q3</v>
      </c>
    </row>
    <row r="577" customFormat="false" ht="15" hidden="false" customHeight="false" outlineLevel="0" collapsed="false">
      <c r="D577" s="0" t="s">
        <v>105</v>
      </c>
      <c r="E577" s="0" t="s">
        <v>106</v>
      </c>
      <c r="F577" s="0" t="s">
        <v>47</v>
      </c>
      <c r="G577" s="0" t="s">
        <v>99</v>
      </c>
      <c r="H577" s="0" t="s">
        <v>100</v>
      </c>
      <c r="I577" s="0" t="s">
        <v>89</v>
      </c>
      <c r="J577" s="0" t="s">
        <v>90</v>
      </c>
      <c r="K577" s="0" t="s">
        <v>56</v>
      </c>
      <c r="L577" s="0" t="s">
        <v>57</v>
      </c>
      <c r="M577" s="0" t="s">
        <v>50</v>
      </c>
      <c r="N577" s="0" t="n">
        <v>5</v>
      </c>
      <c r="O577" s="0" t="n">
        <v>49</v>
      </c>
      <c r="P577" s="0" t="n">
        <v>18</v>
      </c>
      <c r="Q577" s="5" t="str">
        <f aca="false">IF($D577&lt;&gt;"","["&amp;$E577&amp;"]"&amp;"|"&amp;SUBSTITUTE(SUBSTITUTE($I577,CHAR(61),""),CHAR(34),"")&amp;"|"&amp;$K577&amp;"|"&amp;$G577&amp;"|"&amp;IF($G577="TX_CURR_SUBNAT.R","CY2020Q4",$M577),"")</f>
        <v>[YGI7vISD2kJ]|&lt;01|Female|TX_CURR_SUBNAT.T_1|CY2021Q3</v>
      </c>
    </row>
    <row r="578" customFormat="false" ht="15" hidden="false" customHeight="false" outlineLevel="0" collapsed="false">
      <c r="D578" s="0" t="s">
        <v>105</v>
      </c>
      <c r="E578" s="0" t="s">
        <v>106</v>
      </c>
      <c r="F578" s="0" t="s">
        <v>47</v>
      </c>
      <c r="G578" s="0" t="s">
        <v>99</v>
      </c>
      <c r="H578" s="0" t="s">
        <v>100</v>
      </c>
      <c r="I578" s="0" t="s">
        <v>89</v>
      </c>
      <c r="J578" s="0" t="s">
        <v>90</v>
      </c>
      <c r="K578" s="0" t="s">
        <v>58</v>
      </c>
      <c r="L578" s="0" t="s">
        <v>59</v>
      </c>
      <c r="M578" s="0" t="s">
        <v>50</v>
      </c>
      <c r="N578" s="0" t="n">
        <v>5</v>
      </c>
      <c r="O578" s="0" t="n">
        <v>41</v>
      </c>
      <c r="P578" s="0" t="n">
        <v>36</v>
      </c>
      <c r="Q578" s="5" t="str">
        <f aca="false">IF($D578&lt;&gt;"","["&amp;$E578&amp;"]"&amp;"|"&amp;SUBSTITUTE(SUBSTITUTE($I578,CHAR(61),""),CHAR(34),"")&amp;"|"&amp;$K578&amp;"|"&amp;$G578&amp;"|"&amp;IF($G578="TX_CURR_SUBNAT.R","CY2020Q4",$M578),"")</f>
        <v>[YGI7vISD2kJ]|&lt;01|Male|TX_CURR_SUBNAT.T_1|CY2021Q3</v>
      </c>
    </row>
    <row r="579" customFormat="false" ht="15" hidden="false" customHeight="false" outlineLevel="0" collapsed="false">
      <c r="D579" s="0" t="s">
        <v>107</v>
      </c>
      <c r="E579" s="0" t="s">
        <v>108</v>
      </c>
      <c r="F579" s="0" t="s">
        <v>47</v>
      </c>
      <c r="G579" s="0" t="s">
        <v>52</v>
      </c>
      <c r="H579" s="0" t="s">
        <v>53</v>
      </c>
      <c r="I579" s="0" t="s">
        <v>54</v>
      </c>
      <c r="J579" s="0" t="s">
        <v>55</v>
      </c>
      <c r="K579" s="0" t="s">
        <v>56</v>
      </c>
      <c r="L579" s="0" t="s">
        <v>57</v>
      </c>
      <c r="M579" s="0" t="s">
        <v>50</v>
      </c>
      <c r="N579" s="0" t="n">
        <v>6472</v>
      </c>
      <c r="O579" s="0" t="n">
        <v>13</v>
      </c>
      <c r="P579" s="0" t="n">
        <v>10</v>
      </c>
      <c r="Q579" s="5" t="str">
        <f aca="false">IF($D579&lt;&gt;"","["&amp;$E579&amp;"]"&amp;"|"&amp;SUBSTITUTE(SUBSTITUTE($I579,CHAR(61),""),CHAR(34),"")&amp;"|"&amp;$K579&amp;"|"&amp;$G579&amp;"|"&amp;IF($G579="TX_CURR_SUBNAT.R","CY2020Q4",$M579),"")</f>
        <v>[DiFv5WXIHM5]|01-04|Female|POP_EST.T_1|CY2021Q3</v>
      </c>
    </row>
    <row r="580" customFormat="false" ht="15" hidden="false" customHeight="false" outlineLevel="0" collapsed="false">
      <c r="D580" s="0" t="s">
        <v>107</v>
      </c>
      <c r="E580" s="0" t="s">
        <v>108</v>
      </c>
      <c r="F580" s="0" t="s">
        <v>47</v>
      </c>
      <c r="G580" s="0" t="s">
        <v>52</v>
      </c>
      <c r="H580" s="0" t="s">
        <v>53</v>
      </c>
      <c r="I580" s="0" t="s">
        <v>54</v>
      </c>
      <c r="J580" s="0" t="s">
        <v>55</v>
      </c>
      <c r="K580" s="0" t="s">
        <v>58</v>
      </c>
      <c r="L580" s="0" t="s">
        <v>59</v>
      </c>
      <c r="M580" s="0" t="s">
        <v>50</v>
      </c>
      <c r="N580" s="0" t="n">
        <v>6794</v>
      </c>
      <c r="O580" s="0" t="n">
        <v>34</v>
      </c>
      <c r="P580" s="0" t="n">
        <v>40</v>
      </c>
      <c r="Q580" s="5" t="str">
        <f aca="false">IF($D580&lt;&gt;"","["&amp;$E580&amp;"]"&amp;"|"&amp;SUBSTITUTE(SUBSTITUTE($I580,CHAR(61),""),CHAR(34),"")&amp;"|"&amp;$K580&amp;"|"&amp;$G580&amp;"|"&amp;IF($G580="TX_CURR_SUBNAT.R","CY2020Q4",$M580),"")</f>
        <v>[DiFv5WXIHM5]|01-04|Male|POP_EST.T_1|CY2021Q3</v>
      </c>
    </row>
    <row r="581" customFormat="false" ht="15" hidden="false" customHeight="false" outlineLevel="0" collapsed="false">
      <c r="D581" s="0" t="s">
        <v>107</v>
      </c>
      <c r="E581" s="0" t="s">
        <v>108</v>
      </c>
      <c r="F581" s="0" t="s">
        <v>47</v>
      </c>
      <c r="G581" s="0" t="s">
        <v>52</v>
      </c>
      <c r="H581" s="0" t="s">
        <v>53</v>
      </c>
      <c r="I581" s="0" t="s">
        <v>61</v>
      </c>
      <c r="J581" s="0" t="s">
        <v>62</v>
      </c>
      <c r="K581" s="0" t="s">
        <v>56</v>
      </c>
      <c r="L581" s="0" t="s">
        <v>57</v>
      </c>
      <c r="M581" s="0" t="s">
        <v>50</v>
      </c>
      <c r="N581" s="0" t="n">
        <v>9021</v>
      </c>
      <c r="O581" s="0" t="n">
        <v>55</v>
      </c>
      <c r="P581" s="0" t="n">
        <v>22</v>
      </c>
      <c r="Q581" s="5" t="str">
        <f aca="false">IF($D581&lt;&gt;"","["&amp;$E581&amp;"]"&amp;"|"&amp;SUBSTITUTE(SUBSTITUTE($I581,CHAR(61),""),CHAR(34),"")&amp;"|"&amp;$K581&amp;"|"&amp;$G581&amp;"|"&amp;IF($G581="TX_CURR_SUBNAT.R","CY2020Q4",$M581),"")</f>
        <v>[DiFv5WXIHM5]|10-14|Female|POP_EST.T_1|CY2021Q3</v>
      </c>
    </row>
    <row r="582" customFormat="false" ht="15" hidden="false" customHeight="false" outlineLevel="0" collapsed="false">
      <c r="D582" s="0" t="s">
        <v>107</v>
      </c>
      <c r="E582" s="0" t="s">
        <v>108</v>
      </c>
      <c r="F582" s="0" t="s">
        <v>47</v>
      </c>
      <c r="G582" s="0" t="s">
        <v>52</v>
      </c>
      <c r="H582" s="0" t="s">
        <v>53</v>
      </c>
      <c r="I582" s="0" t="s">
        <v>61</v>
      </c>
      <c r="J582" s="0" t="s">
        <v>62</v>
      </c>
      <c r="K582" s="0" t="s">
        <v>58</v>
      </c>
      <c r="L582" s="0" t="s">
        <v>59</v>
      </c>
      <c r="M582" s="0" t="s">
        <v>50</v>
      </c>
      <c r="N582" s="0" t="n">
        <v>9311</v>
      </c>
      <c r="O582" s="0" t="n">
        <v>27</v>
      </c>
      <c r="P582" s="0" t="n">
        <v>44</v>
      </c>
      <c r="Q582" s="5" t="str">
        <f aca="false">IF($D582&lt;&gt;"","["&amp;$E582&amp;"]"&amp;"|"&amp;SUBSTITUTE(SUBSTITUTE($I582,CHAR(61),""),CHAR(34),"")&amp;"|"&amp;$K582&amp;"|"&amp;$G582&amp;"|"&amp;IF($G582="TX_CURR_SUBNAT.R","CY2020Q4",$M582),"")</f>
        <v>[DiFv5WXIHM5]|10-14|Male|POP_EST.T_1|CY2021Q3</v>
      </c>
    </row>
    <row r="583" customFormat="false" ht="15" hidden="false" customHeight="false" outlineLevel="0" collapsed="false">
      <c r="D583" s="0" t="s">
        <v>107</v>
      </c>
      <c r="E583" s="0" t="s">
        <v>108</v>
      </c>
      <c r="F583" s="0" t="s">
        <v>47</v>
      </c>
      <c r="G583" s="0" t="s">
        <v>52</v>
      </c>
      <c r="H583" s="0" t="s">
        <v>53</v>
      </c>
      <c r="I583" s="0" t="s">
        <v>63</v>
      </c>
      <c r="J583" s="0" t="s">
        <v>64</v>
      </c>
      <c r="K583" s="0" t="s">
        <v>56</v>
      </c>
      <c r="L583" s="0" t="s">
        <v>57</v>
      </c>
      <c r="M583" s="0" t="s">
        <v>50</v>
      </c>
      <c r="N583" s="0" t="n">
        <v>8017</v>
      </c>
      <c r="O583" s="0" t="n">
        <v>54</v>
      </c>
      <c r="P583" s="0" t="n">
        <v>18</v>
      </c>
      <c r="Q583" s="5" t="str">
        <f aca="false">IF($D583&lt;&gt;"","["&amp;$E583&amp;"]"&amp;"|"&amp;SUBSTITUTE(SUBSTITUTE($I583,CHAR(61),""),CHAR(34),"")&amp;"|"&amp;$K583&amp;"|"&amp;$G583&amp;"|"&amp;IF($G583="TX_CURR_SUBNAT.R","CY2020Q4",$M583),"")</f>
        <v>[DiFv5WXIHM5]|15-19|Female|POP_EST.T_1|CY2021Q3</v>
      </c>
    </row>
    <row r="584" customFormat="false" ht="15" hidden="false" customHeight="false" outlineLevel="0" collapsed="false">
      <c r="D584" s="0" t="s">
        <v>107</v>
      </c>
      <c r="E584" s="0" t="s">
        <v>108</v>
      </c>
      <c r="F584" s="0" t="s">
        <v>47</v>
      </c>
      <c r="G584" s="0" t="s">
        <v>52</v>
      </c>
      <c r="H584" s="0" t="s">
        <v>53</v>
      </c>
      <c r="I584" s="0" t="s">
        <v>63</v>
      </c>
      <c r="J584" s="0" t="s">
        <v>64</v>
      </c>
      <c r="K584" s="0" t="s">
        <v>58</v>
      </c>
      <c r="L584" s="0" t="s">
        <v>59</v>
      </c>
      <c r="M584" s="0" t="s">
        <v>50</v>
      </c>
      <c r="N584" s="0" t="n">
        <v>8874</v>
      </c>
      <c r="O584" s="0" t="n">
        <v>54</v>
      </c>
      <c r="P584" s="0" t="n">
        <v>37</v>
      </c>
      <c r="Q584" s="5" t="str">
        <f aca="false">IF($D584&lt;&gt;"","["&amp;$E584&amp;"]"&amp;"|"&amp;SUBSTITUTE(SUBSTITUTE($I584,CHAR(61),""),CHAR(34),"")&amp;"|"&amp;$K584&amp;"|"&amp;$G584&amp;"|"&amp;IF($G584="TX_CURR_SUBNAT.R","CY2020Q4",$M584),"")</f>
        <v>[DiFv5WXIHM5]|15-19|Male|POP_EST.T_1|CY2021Q3</v>
      </c>
    </row>
    <row r="585" customFormat="false" ht="15" hidden="false" customHeight="false" outlineLevel="0" collapsed="false">
      <c r="D585" s="0" t="s">
        <v>107</v>
      </c>
      <c r="E585" s="0" t="s">
        <v>108</v>
      </c>
      <c r="F585" s="0" t="s">
        <v>47</v>
      </c>
      <c r="G585" s="0" t="s">
        <v>52</v>
      </c>
      <c r="H585" s="0" t="s">
        <v>53</v>
      </c>
      <c r="I585" s="0" t="s">
        <v>66</v>
      </c>
      <c r="J585" s="0" t="s">
        <v>67</v>
      </c>
      <c r="K585" s="0" t="s">
        <v>56</v>
      </c>
      <c r="L585" s="0" t="s">
        <v>57</v>
      </c>
      <c r="M585" s="0" t="s">
        <v>50</v>
      </c>
      <c r="N585" s="0" t="n">
        <v>6938</v>
      </c>
      <c r="O585" s="0" t="n">
        <v>31</v>
      </c>
      <c r="P585" s="0" t="n">
        <v>30</v>
      </c>
      <c r="Q585" s="5" t="str">
        <f aca="false">IF($D585&lt;&gt;"","["&amp;$E585&amp;"]"&amp;"|"&amp;SUBSTITUTE(SUBSTITUTE($I585,CHAR(61),""),CHAR(34),"")&amp;"|"&amp;$K585&amp;"|"&amp;$G585&amp;"|"&amp;IF($G585="TX_CURR_SUBNAT.R","CY2020Q4",$M585),"")</f>
        <v>[DiFv5WXIHM5]|20-24|Female|POP_EST.T_1|CY2021Q3</v>
      </c>
    </row>
    <row r="586" customFormat="false" ht="15" hidden="false" customHeight="false" outlineLevel="0" collapsed="false">
      <c r="D586" s="0" t="s">
        <v>107</v>
      </c>
      <c r="E586" s="0" t="s">
        <v>108</v>
      </c>
      <c r="F586" s="0" t="s">
        <v>47</v>
      </c>
      <c r="G586" s="0" t="s">
        <v>52</v>
      </c>
      <c r="H586" s="0" t="s">
        <v>53</v>
      </c>
      <c r="I586" s="0" t="s">
        <v>66</v>
      </c>
      <c r="J586" s="0" t="s">
        <v>67</v>
      </c>
      <c r="K586" s="0" t="s">
        <v>58</v>
      </c>
      <c r="L586" s="0" t="s">
        <v>59</v>
      </c>
      <c r="M586" s="0" t="s">
        <v>50</v>
      </c>
      <c r="N586" s="0" t="n">
        <v>7892</v>
      </c>
      <c r="O586" s="0" t="n">
        <v>19</v>
      </c>
      <c r="P586" s="0" t="n">
        <v>25</v>
      </c>
      <c r="Q586" s="5" t="str">
        <f aca="false">IF($D586&lt;&gt;"","["&amp;$E586&amp;"]"&amp;"|"&amp;SUBSTITUTE(SUBSTITUTE($I586,CHAR(61),""),CHAR(34),"")&amp;"|"&amp;$K586&amp;"|"&amp;$G586&amp;"|"&amp;IF($G586="TX_CURR_SUBNAT.R","CY2020Q4",$M586),"")</f>
        <v>[DiFv5WXIHM5]|20-24|Male|POP_EST.T_1|CY2021Q3</v>
      </c>
    </row>
    <row r="587" customFormat="false" ht="15" hidden="false" customHeight="false" outlineLevel="0" collapsed="false">
      <c r="D587" s="0" t="s">
        <v>107</v>
      </c>
      <c r="E587" s="0" t="s">
        <v>108</v>
      </c>
      <c r="F587" s="0" t="s">
        <v>47</v>
      </c>
      <c r="G587" s="0" t="s">
        <v>52</v>
      </c>
      <c r="H587" s="0" t="s">
        <v>53</v>
      </c>
      <c r="I587" s="0" t="s">
        <v>69</v>
      </c>
      <c r="J587" s="0" t="s">
        <v>70</v>
      </c>
      <c r="K587" s="0" t="s">
        <v>56</v>
      </c>
      <c r="L587" s="0" t="s">
        <v>57</v>
      </c>
      <c r="M587" s="0" t="s">
        <v>50</v>
      </c>
      <c r="N587" s="0" t="n">
        <v>7388</v>
      </c>
      <c r="O587" s="0" t="n">
        <v>51</v>
      </c>
      <c r="P587" s="0" t="n">
        <v>31</v>
      </c>
      <c r="Q587" s="5" t="str">
        <f aca="false">IF($D587&lt;&gt;"","["&amp;$E587&amp;"]"&amp;"|"&amp;SUBSTITUTE(SUBSTITUTE($I587,CHAR(61),""),CHAR(34),"")&amp;"|"&amp;$K587&amp;"|"&amp;$G587&amp;"|"&amp;IF($G587="TX_CURR_SUBNAT.R","CY2020Q4",$M587),"")</f>
        <v>[DiFv5WXIHM5]|25-29|Female|POP_EST.T_1|CY2021Q3</v>
      </c>
    </row>
    <row r="588" customFormat="false" ht="15" hidden="false" customHeight="false" outlineLevel="0" collapsed="false">
      <c r="D588" s="0" t="s">
        <v>107</v>
      </c>
      <c r="E588" s="0" t="s">
        <v>108</v>
      </c>
      <c r="F588" s="0" t="s">
        <v>47</v>
      </c>
      <c r="G588" s="0" t="s">
        <v>52</v>
      </c>
      <c r="H588" s="0" t="s">
        <v>53</v>
      </c>
      <c r="I588" s="0" t="s">
        <v>69</v>
      </c>
      <c r="J588" s="0" t="s">
        <v>70</v>
      </c>
      <c r="K588" s="0" t="s">
        <v>58</v>
      </c>
      <c r="L588" s="0" t="s">
        <v>59</v>
      </c>
      <c r="M588" s="0" t="s">
        <v>50</v>
      </c>
      <c r="N588" s="0" t="n">
        <v>8913</v>
      </c>
      <c r="O588" s="0" t="n">
        <v>51</v>
      </c>
      <c r="P588" s="0" t="n">
        <v>11</v>
      </c>
      <c r="Q588" s="5" t="str">
        <f aca="false">IF($D588&lt;&gt;"","["&amp;$E588&amp;"]"&amp;"|"&amp;SUBSTITUTE(SUBSTITUTE($I588,CHAR(61),""),CHAR(34),"")&amp;"|"&amp;$K588&amp;"|"&amp;$G588&amp;"|"&amp;IF($G588="TX_CURR_SUBNAT.R","CY2020Q4",$M588),"")</f>
        <v>[DiFv5WXIHM5]|25-29|Male|POP_EST.T_1|CY2021Q3</v>
      </c>
    </row>
    <row r="589" customFormat="false" ht="15" hidden="false" customHeight="false" outlineLevel="0" collapsed="false">
      <c r="D589" s="0" t="s">
        <v>107</v>
      </c>
      <c r="E589" s="0" t="s">
        <v>108</v>
      </c>
      <c r="F589" s="0" t="s">
        <v>47</v>
      </c>
      <c r="G589" s="0" t="s">
        <v>52</v>
      </c>
      <c r="H589" s="0" t="s">
        <v>53</v>
      </c>
      <c r="I589" s="0" t="s">
        <v>72</v>
      </c>
      <c r="J589" s="0" t="s">
        <v>73</v>
      </c>
      <c r="K589" s="0" t="s">
        <v>56</v>
      </c>
      <c r="L589" s="0" t="s">
        <v>57</v>
      </c>
      <c r="M589" s="0" t="s">
        <v>50</v>
      </c>
      <c r="N589" s="0" t="n">
        <v>7116</v>
      </c>
      <c r="O589" s="0" t="n">
        <v>36</v>
      </c>
      <c r="P589" s="0" t="n">
        <v>6</v>
      </c>
      <c r="Q589" s="5" t="str">
        <f aca="false">IF($D589&lt;&gt;"","["&amp;$E589&amp;"]"&amp;"|"&amp;SUBSTITUTE(SUBSTITUTE($I589,CHAR(61),""),CHAR(34),"")&amp;"|"&amp;$K589&amp;"|"&amp;$G589&amp;"|"&amp;IF($G589="TX_CURR_SUBNAT.R","CY2020Q4",$M589),"")</f>
        <v>[DiFv5WXIHM5]|30-34|Female|POP_EST.T_1|CY2021Q3</v>
      </c>
    </row>
    <row r="590" customFormat="false" ht="15" hidden="false" customHeight="false" outlineLevel="0" collapsed="false">
      <c r="D590" s="0" t="s">
        <v>107</v>
      </c>
      <c r="E590" s="0" t="s">
        <v>108</v>
      </c>
      <c r="F590" s="0" t="s">
        <v>47</v>
      </c>
      <c r="G590" s="0" t="s">
        <v>52</v>
      </c>
      <c r="H590" s="0" t="s">
        <v>53</v>
      </c>
      <c r="I590" s="0" t="s">
        <v>72</v>
      </c>
      <c r="J590" s="0" t="s">
        <v>73</v>
      </c>
      <c r="K590" s="0" t="s">
        <v>58</v>
      </c>
      <c r="L590" s="0" t="s">
        <v>59</v>
      </c>
      <c r="M590" s="0" t="s">
        <v>50</v>
      </c>
      <c r="N590" s="0" t="n">
        <v>8366</v>
      </c>
      <c r="O590" s="0" t="n">
        <v>39</v>
      </c>
      <c r="P590" s="0" t="n">
        <v>49</v>
      </c>
      <c r="Q590" s="5" t="str">
        <f aca="false">IF($D590&lt;&gt;"","["&amp;$E590&amp;"]"&amp;"|"&amp;SUBSTITUTE(SUBSTITUTE($I590,CHAR(61),""),CHAR(34),"")&amp;"|"&amp;$K590&amp;"|"&amp;$G590&amp;"|"&amp;IF($G590="TX_CURR_SUBNAT.R","CY2020Q4",$M590),"")</f>
        <v>[DiFv5WXIHM5]|30-34|Male|POP_EST.T_1|CY2021Q3</v>
      </c>
    </row>
    <row r="591" customFormat="false" ht="15" hidden="false" customHeight="false" outlineLevel="0" collapsed="false">
      <c r="D591" s="0" t="s">
        <v>107</v>
      </c>
      <c r="E591" s="0" t="s">
        <v>108</v>
      </c>
      <c r="F591" s="0" t="s">
        <v>47</v>
      </c>
      <c r="G591" s="0" t="s">
        <v>52</v>
      </c>
      <c r="H591" s="0" t="s">
        <v>53</v>
      </c>
      <c r="I591" s="0" t="s">
        <v>75</v>
      </c>
      <c r="J591" s="0" t="s">
        <v>76</v>
      </c>
      <c r="K591" s="0" t="s">
        <v>56</v>
      </c>
      <c r="L591" s="0" t="s">
        <v>57</v>
      </c>
      <c r="M591" s="0" t="s">
        <v>50</v>
      </c>
      <c r="N591" s="0" t="n">
        <v>5321</v>
      </c>
      <c r="O591" s="0" t="n">
        <v>28</v>
      </c>
      <c r="P591" s="0" t="n">
        <v>45</v>
      </c>
      <c r="Q591" s="5" t="str">
        <f aca="false">IF($D591&lt;&gt;"","["&amp;$E591&amp;"]"&amp;"|"&amp;SUBSTITUTE(SUBSTITUTE($I591,CHAR(61),""),CHAR(34),"")&amp;"|"&amp;$K591&amp;"|"&amp;$G591&amp;"|"&amp;IF($G591="TX_CURR_SUBNAT.R","CY2020Q4",$M591),"")</f>
        <v>[DiFv5WXIHM5]|35-39|Female|POP_EST.T_1|CY2021Q3</v>
      </c>
    </row>
    <row r="592" customFormat="false" ht="15" hidden="false" customHeight="false" outlineLevel="0" collapsed="false">
      <c r="D592" s="0" t="s">
        <v>107</v>
      </c>
      <c r="E592" s="0" t="s">
        <v>108</v>
      </c>
      <c r="F592" s="0" t="s">
        <v>47</v>
      </c>
      <c r="G592" s="0" t="s">
        <v>52</v>
      </c>
      <c r="H592" s="0" t="s">
        <v>53</v>
      </c>
      <c r="I592" s="0" t="s">
        <v>75</v>
      </c>
      <c r="J592" s="0" t="s">
        <v>76</v>
      </c>
      <c r="K592" s="0" t="s">
        <v>58</v>
      </c>
      <c r="L592" s="0" t="s">
        <v>59</v>
      </c>
      <c r="M592" s="0" t="s">
        <v>50</v>
      </c>
      <c r="N592" s="0" t="n">
        <v>6598</v>
      </c>
      <c r="O592" s="0" t="n">
        <v>4</v>
      </c>
      <c r="P592" s="0" t="n">
        <v>13</v>
      </c>
      <c r="Q592" s="5" t="str">
        <f aca="false">IF($D592&lt;&gt;"","["&amp;$E592&amp;"]"&amp;"|"&amp;SUBSTITUTE(SUBSTITUTE($I592,CHAR(61),""),CHAR(34),"")&amp;"|"&amp;$K592&amp;"|"&amp;$G592&amp;"|"&amp;IF($G592="TX_CURR_SUBNAT.R","CY2020Q4",$M592),"")</f>
        <v>[DiFv5WXIHM5]|35-39|Male|POP_EST.T_1|CY2021Q3</v>
      </c>
    </row>
    <row r="593" customFormat="false" ht="15" hidden="false" customHeight="false" outlineLevel="0" collapsed="false">
      <c r="D593" s="0" t="s">
        <v>107</v>
      </c>
      <c r="E593" s="0" t="s">
        <v>108</v>
      </c>
      <c r="F593" s="0" t="s">
        <v>47</v>
      </c>
      <c r="G593" s="0" t="s">
        <v>52</v>
      </c>
      <c r="H593" s="0" t="s">
        <v>53</v>
      </c>
      <c r="I593" s="0" t="s">
        <v>77</v>
      </c>
      <c r="J593" s="0" t="s">
        <v>78</v>
      </c>
      <c r="K593" s="0" t="s">
        <v>56</v>
      </c>
      <c r="L593" s="0" t="s">
        <v>57</v>
      </c>
      <c r="M593" s="0" t="s">
        <v>50</v>
      </c>
      <c r="N593" s="0" t="n">
        <v>3948</v>
      </c>
      <c r="O593" s="0" t="n">
        <v>44</v>
      </c>
      <c r="P593" s="0" t="n">
        <v>6</v>
      </c>
      <c r="Q593" s="5" t="str">
        <f aca="false">IF($D593&lt;&gt;"","["&amp;$E593&amp;"]"&amp;"|"&amp;SUBSTITUTE(SUBSTITUTE($I593,CHAR(61),""),CHAR(34),"")&amp;"|"&amp;$K593&amp;"|"&amp;$G593&amp;"|"&amp;IF($G593="TX_CURR_SUBNAT.R","CY2020Q4",$M593),"")</f>
        <v>[DiFv5WXIHM5]|40-44|Female|POP_EST.T_1|CY2021Q3</v>
      </c>
    </row>
    <row r="594" customFormat="false" ht="15" hidden="false" customHeight="false" outlineLevel="0" collapsed="false">
      <c r="D594" s="0" t="s">
        <v>107</v>
      </c>
      <c r="E594" s="0" t="s">
        <v>108</v>
      </c>
      <c r="F594" s="0" t="s">
        <v>47</v>
      </c>
      <c r="G594" s="0" t="s">
        <v>52</v>
      </c>
      <c r="H594" s="0" t="s">
        <v>53</v>
      </c>
      <c r="I594" s="0" t="s">
        <v>77</v>
      </c>
      <c r="J594" s="0" t="s">
        <v>78</v>
      </c>
      <c r="K594" s="0" t="s">
        <v>58</v>
      </c>
      <c r="L594" s="0" t="s">
        <v>59</v>
      </c>
      <c r="M594" s="0" t="s">
        <v>50</v>
      </c>
      <c r="N594" s="0" t="n">
        <v>4399</v>
      </c>
      <c r="O594" s="0" t="n">
        <v>51</v>
      </c>
      <c r="P594" s="0" t="n">
        <v>10</v>
      </c>
      <c r="Q594" s="5" t="str">
        <f aca="false">IF($D594&lt;&gt;"","["&amp;$E594&amp;"]"&amp;"|"&amp;SUBSTITUTE(SUBSTITUTE($I594,CHAR(61),""),CHAR(34),"")&amp;"|"&amp;$K594&amp;"|"&amp;$G594&amp;"|"&amp;IF($G594="TX_CURR_SUBNAT.R","CY2020Q4",$M594),"")</f>
        <v>[DiFv5WXIHM5]|40-44|Male|POP_EST.T_1|CY2021Q3</v>
      </c>
    </row>
    <row r="595" customFormat="false" ht="15" hidden="false" customHeight="false" outlineLevel="0" collapsed="false">
      <c r="D595" s="0" t="s">
        <v>107</v>
      </c>
      <c r="E595" s="0" t="s">
        <v>108</v>
      </c>
      <c r="F595" s="0" t="s">
        <v>47</v>
      </c>
      <c r="G595" s="0" t="s">
        <v>52</v>
      </c>
      <c r="H595" s="0" t="s">
        <v>53</v>
      </c>
      <c r="I595" s="0" t="s">
        <v>80</v>
      </c>
      <c r="J595" s="0" t="s">
        <v>81</v>
      </c>
      <c r="K595" s="0" t="s">
        <v>56</v>
      </c>
      <c r="L595" s="0" t="s">
        <v>57</v>
      </c>
      <c r="M595" s="0" t="s">
        <v>50</v>
      </c>
      <c r="N595" s="0" t="n">
        <v>3077</v>
      </c>
      <c r="O595" s="0" t="n">
        <v>30</v>
      </c>
      <c r="P595" s="0" t="n">
        <v>31</v>
      </c>
      <c r="Q595" s="5" t="str">
        <f aca="false">IF($D595&lt;&gt;"","["&amp;$E595&amp;"]"&amp;"|"&amp;SUBSTITUTE(SUBSTITUTE($I595,CHAR(61),""),CHAR(34),"")&amp;"|"&amp;$K595&amp;"|"&amp;$G595&amp;"|"&amp;IF($G595="TX_CURR_SUBNAT.R","CY2020Q4",$M595),"")</f>
        <v>[DiFv5WXIHM5]|45-49|Female|POP_EST.T_1|CY2021Q3</v>
      </c>
    </row>
    <row r="596" customFormat="false" ht="15" hidden="false" customHeight="false" outlineLevel="0" collapsed="false">
      <c r="D596" s="0" t="s">
        <v>107</v>
      </c>
      <c r="E596" s="0" t="s">
        <v>108</v>
      </c>
      <c r="F596" s="0" t="s">
        <v>47</v>
      </c>
      <c r="G596" s="0" t="s">
        <v>52</v>
      </c>
      <c r="H596" s="0" t="s">
        <v>53</v>
      </c>
      <c r="I596" s="0" t="s">
        <v>80</v>
      </c>
      <c r="J596" s="0" t="s">
        <v>81</v>
      </c>
      <c r="K596" s="0" t="s">
        <v>58</v>
      </c>
      <c r="L596" s="0" t="s">
        <v>59</v>
      </c>
      <c r="M596" s="0" t="s">
        <v>50</v>
      </c>
      <c r="N596" s="0" t="n">
        <v>2994</v>
      </c>
      <c r="O596" s="0" t="n">
        <v>48</v>
      </c>
      <c r="P596" s="0" t="n">
        <v>9</v>
      </c>
      <c r="Q596" s="5" t="str">
        <f aca="false">IF($D596&lt;&gt;"","["&amp;$E596&amp;"]"&amp;"|"&amp;SUBSTITUTE(SUBSTITUTE($I596,CHAR(61),""),CHAR(34),"")&amp;"|"&amp;$K596&amp;"|"&amp;$G596&amp;"|"&amp;IF($G596="TX_CURR_SUBNAT.R","CY2020Q4",$M596),"")</f>
        <v>[DiFv5WXIHM5]|45-49|Male|POP_EST.T_1|CY2021Q3</v>
      </c>
    </row>
    <row r="597" customFormat="false" ht="15" hidden="false" customHeight="false" outlineLevel="0" collapsed="false">
      <c r="D597" s="0" t="s">
        <v>107</v>
      </c>
      <c r="E597" s="0" t="s">
        <v>108</v>
      </c>
      <c r="F597" s="0" t="s">
        <v>47</v>
      </c>
      <c r="G597" s="0" t="s">
        <v>52</v>
      </c>
      <c r="H597" s="0" t="s">
        <v>53</v>
      </c>
      <c r="I597" s="0" t="s">
        <v>83</v>
      </c>
      <c r="J597" s="0" t="s">
        <v>84</v>
      </c>
      <c r="K597" s="0" t="s">
        <v>56</v>
      </c>
      <c r="L597" s="0" t="s">
        <v>57</v>
      </c>
      <c r="M597" s="0" t="s">
        <v>50</v>
      </c>
      <c r="N597" s="0" t="n">
        <v>9345</v>
      </c>
      <c r="O597" s="0" t="n">
        <v>34</v>
      </c>
      <c r="P597" s="0" t="n">
        <v>1</v>
      </c>
      <c r="Q597" s="5" t="str">
        <f aca="false">IF($D597&lt;&gt;"","["&amp;$E597&amp;"]"&amp;"|"&amp;SUBSTITUTE(SUBSTITUTE($I597,CHAR(61),""),CHAR(34),"")&amp;"|"&amp;$K597&amp;"|"&amp;$G597&amp;"|"&amp;IF($G597="TX_CURR_SUBNAT.R","CY2020Q4",$M597),"")</f>
        <v>[DiFv5WXIHM5]|05-09|Female|POP_EST.T_1|CY2021Q3</v>
      </c>
    </row>
    <row r="598" customFormat="false" ht="15" hidden="false" customHeight="false" outlineLevel="0" collapsed="false">
      <c r="D598" s="0" t="s">
        <v>107</v>
      </c>
      <c r="E598" s="0" t="s">
        <v>108</v>
      </c>
      <c r="F598" s="0" t="s">
        <v>47</v>
      </c>
      <c r="G598" s="0" t="s">
        <v>52</v>
      </c>
      <c r="H598" s="0" t="s">
        <v>53</v>
      </c>
      <c r="I598" s="0" t="s">
        <v>83</v>
      </c>
      <c r="J598" s="0" t="s">
        <v>84</v>
      </c>
      <c r="K598" s="0" t="s">
        <v>58</v>
      </c>
      <c r="L598" s="0" t="s">
        <v>59</v>
      </c>
      <c r="M598" s="0" t="s">
        <v>50</v>
      </c>
      <c r="N598" s="0" t="n">
        <v>9187</v>
      </c>
      <c r="O598" s="0" t="n">
        <v>29</v>
      </c>
      <c r="P598" s="0" t="n">
        <v>50</v>
      </c>
      <c r="Q598" s="5" t="str">
        <f aca="false">IF($D598&lt;&gt;"","["&amp;$E598&amp;"]"&amp;"|"&amp;SUBSTITUTE(SUBSTITUTE($I598,CHAR(61),""),CHAR(34),"")&amp;"|"&amp;$K598&amp;"|"&amp;$G598&amp;"|"&amp;IF($G598="TX_CURR_SUBNAT.R","CY2020Q4",$M598),"")</f>
        <v>[DiFv5WXIHM5]|05-09|Male|POP_EST.T_1|CY2021Q3</v>
      </c>
    </row>
    <row r="599" customFormat="false" ht="15" hidden="false" customHeight="false" outlineLevel="0" collapsed="false">
      <c r="D599" s="0" t="s">
        <v>107</v>
      </c>
      <c r="E599" s="0" t="s">
        <v>108</v>
      </c>
      <c r="F599" s="0" t="s">
        <v>47</v>
      </c>
      <c r="G599" s="0" t="s">
        <v>52</v>
      </c>
      <c r="H599" s="0" t="s">
        <v>53</v>
      </c>
      <c r="I599" s="53" t="s">
        <v>86</v>
      </c>
      <c r="J599" s="0" t="s">
        <v>87</v>
      </c>
      <c r="K599" s="0" t="s">
        <v>56</v>
      </c>
      <c r="L599" s="0" t="s">
        <v>57</v>
      </c>
      <c r="M599" s="0" t="s">
        <v>50</v>
      </c>
      <c r="N599" s="0" t="n">
        <v>19112</v>
      </c>
      <c r="O599" s="0" t="n">
        <v>8</v>
      </c>
      <c r="P599" s="0" t="n">
        <v>42</v>
      </c>
      <c r="Q599" s="5" t="str">
        <f aca="false">IF($D599&lt;&gt;"","["&amp;$E599&amp;"]"&amp;"|"&amp;SUBSTITUTE(SUBSTITUTE($I599,CHAR(61),""),CHAR(34),"")&amp;"|"&amp;$K599&amp;"|"&amp;$G599&amp;"|"&amp;IF($G599="TX_CURR_SUBNAT.R","CY2020Q4",$M599),"")</f>
        <v>[DiFv5WXIHM5]|50+|Female|POP_EST.T_1|CY2021Q3</v>
      </c>
    </row>
    <row r="600" customFormat="false" ht="15" hidden="false" customHeight="false" outlineLevel="0" collapsed="false">
      <c r="D600" s="0" t="s">
        <v>107</v>
      </c>
      <c r="E600" s="0" t="s">
        <v>108</v>
      </c>
      <c r="F600" s="0" t="s">
        <v>47</v>
      </c>
      <c r="G600" s="0" t="s">
        <v>52</v>
      </c>
      <c r="H600" s="0" t="s">
        <v>53</v>
      </c>
      <c r="I600" s="53" t="s">
        <v>86</v>
      </c>
      <c r="J600" s="0" t="s">
        <v>87</v>
      </c>
      <c r="K600" s="0" t="s">
        <v>58</v>
      </c>
      <c r="L600" s="0" t="s">
        <v>59</v>
      </c>
      <c r="M600" s="0" t="s">
        <v>50</v>
      </c>
      <c r="N600" s="0" t="n">
        <v>12751</v>
      </c>
      <c r="O600" s="0" t="n">
        <v>50</v>
      </c>
      <c r="P600" s="0" t="n">
        <v>49</v>
      </c>
      <c r="Q600" s="5" t="str">
        <f aca="false">IF($D600&lt;&gt;"","["&amp;$E600&amp;"]"&amp;"|"&amp;SUBSTITUTE(SUBSTITUTE($I600,CHAR(61),""),CHAR(34),"")&amp;"|"&amp;$K600&amp;"|"&amp;$G600&amp;"|"&amp;IF($G600="TX_CURR_SUBNAT.R","CY2020Q4",$M600),"")</f>
        <v>[DiFv5WXIHM5]|50+|Male|POP_EST.T_1|CY2021Q3</v>
      </c>
    </row>
    <row r="601" customFormat="false" ht="15" hidden="false" customHeight="false" outlineLevel="0" collapsed="false">
      <c r="D601" s="0" t="s">
        <v>107</v>
      </c>
      <c r="E601" s="0" t="s">
        <v>108</v>
      </c>
      <c r="F601" s="0" t="s">
        <v>47</v>
      </c>
      <c r="G601" s="0" t="s">
        <v>52</v>
      </c>
      <c r="H601" s="0" t="s">
        <v>53</v>
      </c>
      <c r="I601" s="0" t="s">
        <v>89</v>
      </c>
      <c r="J601" s="0" t="s">
        <v>90</v>
      </c>
      <c r="K601" s="0" t="s">
        <v>56</v>
      </c>
      <c r="L601" s="0" t="s">
        <v>57</v>
      </c>
      <c r="M601" s="0" t="s">
        <v>50</v>
      </c>
      <c r="N601" s="0" t="n">
        <v>1393</v>
      </c>
      <c r="O601" s="0" t="n">
        <v>15</v>
      </c>
      <c r="P601" s="0" t="n">
        <v>20</v>
      </c>
      <c r="Q601" s="5" t="str">
        <f aca="false">IF($D601&lt;&gt;"","["&amp;$E601&amp;"]"&amp;"|"&amp;SUBSTITUTE(SUBSTITUTE($I601,CHAR(61),""),CHAR(34),"")&amp;"|"&amp;$K601&amp;"|"&amp;$G601&amp;"|"&amp;IF($G601="TX_CURR_SUBNAT.R","CY2020Q4",$M601),"")</f>
        <v>[DiFv5WXIHM5]|&lt;01|Female|POP_EST.T_1|CY2021Q3</v>
      </c>
    </row>
    <row r="602" customFormat="false" ht="15" hidden="false" customHeight="false" outlineLevel="0" collapsed="false">
      <c r="D602" s="0" t="s">
        <v>107</v>
      </c>
      <c r="E602" s="0" t="s">
        <v>108</v>
      </c>
      <c r="F602" s="0" t="s">
        <v>47</v>
      </c>
      <c r="G602" s="0" t="s">
        <v>52</v>
      </c>
      <c r="H602" s="0" t="s">
        <v>53</v>
      </c>
      <c r="I602" s="0" t="s">
        <v>89</v>
      </c>
      <c r="J602" s="0" t="s">
        <v>90</v>
      </c>
      <c r="K602" s="0" t="s">
        <v>58</v>
      </c>
      <c r="L602" s="0" t="s">
        <v>59</v>
      </c>
      <c r="M602" s="0" t="s">
        <v>50</v>
      </c>
      <c r="N602" s="0" t="n">
        <v>1462</v>
      </c>
      <c r="O602" s="0" t="n">
        <v>50</v>
      </c>
      <c r="P602" s="0" t="n">
        <v>10</v>
      </c>
      <c r="Q602" s="5" t="str">
        <f aca="false">IF($D602&lt;&gt;"","["&amp;$E602&amp;"]"&amp;"|"&amp;SUBSTITUTE(SUBSTITUTE($I602,CHAR(61),""),CHAR(34),"")&amp;"|"&amp;$K602&amp;"|"&amp;$G602&amp;"|"&amp;IF($G602="TX_CURR_SUBNAT.R","CY2020Q4",$M602),"")</f>
        <v>[DiFv5WXIHM5]|&lt;01|Male|POP_EST.T_1|CY2021Q3</v>
      </c>
    </row>
    <row r="603" customFormat="false" ht="15" hidden="false" customHeight="false" outlineLevel="0" collapsed="false">
      <c r="D603" s="0" t="s">
        <v>107</v>
      </c>
      <c r="E603" s="0" t="s">
        <v>108</v>
      </c>
      <c r="F603" s="0" t="s">
        <v>47</v>
      </c>
      <c r="G603" s="0" t="s">
        <v>91</v>
      </c>
      <c r="H603" s="0" t="s">
        <v>92</v>
      </c>
      <c r="I603" s="0" t="s">
        <v>54</v>
      </c>
      <c r="J603" s="0" t="s">
        <v>55</v>
      </c>
      <c r="K603" s="0" t="s">
        <v>56</v>
      </c>
      <c r="L603" s="0" t="s">
        <v>57</v>
      </c>
      <c r="M603" s="0" t="s">
        <v>50</v>
      </c>
      <c r="N603" s="0" t="n">
        <v>0.0085961</v>
      </c>
      <c r="O603" s="0" t="n">
        <v>56</v>
      </c>
      <c r="P603" s="0" t="n">
        <v>39</v>
      </c>
      <c r="Q603" s="5" t="str">
        <f aca="false">IF($D603&lt;&gt;"","["&amp;$E603&amp;"]"&amp;"|"&amp;SUBSTITUTE(SUBSTITUTE($I603,CHAR(61),""),CHAR(34),"")&amp;"|"&amp;$K603&amp;"|"&amp;$G603&amp;"|"&amp;IF($G603="TX_CURR_SUBNAT.R","CY2020Q4",$M603),"")</f>
        <v>[DiFv5WXIHM5]|01-04|Female|HIV_PREV.T_1|CY2021Q3</v>
      </c>
    </row>
    <row r="604" customFormat="false" ht="15" hidden="false" customHeight="false" outlineLevel="0" collapsed="false">
      <c r="D604" s="0" t="s">
        <v>107</v>
      </c>
      <c r="E604" s="0" t="s">
        <v>108</v>
      </c>
      <c r="F604" s="0" t="s">
        <v>47</v>
      </c>
      <c r="G604" s="0" t="s">
        <v>91</v>
      </c>
      <c r="H604" s="0" t="s">
        <v>92</v>
      </c>
      <c r="I604" s="0" t="s">
        <v>54</v>
      </c>
      <c r="J604" s="0" t="s">
        <v>55</v>
      </c>
      <c r="K604" s="0" t="s">
        <v>58</v>
      </c>
      <c r="L604" s="0" t="s">
        <v>59</v>
      </c>
      <c r="M604" s="0" t="s">
        <v>50</v>
      </c>
      <c r="N604" s="0" t="n">
        <v>0.0083946</v>
      </c>
      <c r="O604" s="0" t="n">
        <v>15</v>
      </c>
      <c r="P604" s="0" t="n">
        <v>13</v>
      </c>
      <c r="Q604" s="5" t="str">
        <f aca="false">IF($D604&lt;&gt;"","["&amp;$E604&amp;"]"&amp;"|"&amp;SUBSTITUTE(SUBSTITUTE($I604,CHAR(61),""),CHAR(34),"")&amp;"|"&amp;$K604&amp;"|"&amp;$G604&amp;"|"&amp;IF($G604="TX_CURR_SUBNAT.R","CY2020Q4",$M604),"")</f>
        <v>[DiFv5WXIHM5]|01-04|Male|HIV_PREV.T_1|CY2021Q3</v>
      </c>
    </row>
    <row r="605" customFormat="false" ht="15" hidden="false" customHeight="false" outlineLevel="0" collapsed="false">
      <c r="D605" s="0" t="s">
        <v>107</v>
      </c>
      <c r="E605" s="0" t="s">
        <v>108</v>
      </c>
      <c r="F605" s="0" t="s">
        <v>47</v>
      </c>
      <c r="G605" s="0" t="s">
        <v>91</v>
      </c>
      <c r="H605" s="0" t="s">
        <v>92</v>
      </c>
      <c r="I605" s="0" t="s">
        <v>61</v>
      </c>
      <c r="J605" s="0" t="s">
        <v>62</v>
      </c>
      <c r="K605" s="0" t="s">
        <v>56</v>
      </c>
      <c r="L605" s="0" t="s">
        <v>57</v>
      </c>
      <c r="M605" s="0" t="s">
        <v>50</v>
      </c>
      <c r="N605" s="0" t="n">
        <v>0.027385</v>
      </c>
      <c r="O605" s="0" t="n">
        <v>40</v>
      </c>
      <c r="P605" s="0" t="n">
        <v>13</v>
      </c>
      <c r="Q605" s="5" t="str">
        <f aca="false">IF($D605&lt;&gt;"","["&amp;$E605&amp;"]"&amp;"|"&amp;SUBSTITUTE(SUBSTITUTE($I605,CHAR(61),""),CHAR(34),"")&amp;"|"&amp;$K605&amp;"|"&amp;$G605&amp;"|"&amp;IF($G605="TX_CURR_SUBNAT.R","CY2020Q4",$M605),"")</f>
        <v>[DiFv5WXIHM5]|10-14|Female|HIV_PREV.T_1|CY2021Q3</v>
      </c>
    </row>
    <row r="606" customFormat="false" ht="15" hidden="false" customHeight="false" outlineLevel="0" collapsed="false">
      <c r="D606" s="0" t="s">
        <v>107</v>
      </c>
      <c r="E606" s="0" t="s">
        <v>108</v>
      </c>
      <c r="F606" s="0" t="s">
        <v>47</v>
      </c>
      <c r="G606" s="0" t="s">
        <v>91</v>
      </c>
      <c r="H606" s="0" t="s">
        <v>92</v>
      </c>
      <c r="I606" s="0" t="s">
        <v>61</v>
      </c>
      <c r="J606" s="0" t="s">
        <v>62</v>
      </c>
      <c r="K606" s="0" t="s">
        <v>58</v>
      </c>
      <c r="L606" s="0" t="s">
        <v>59</v>
      </c>
      <c r="M606" s="0" t="s">
        <v>50</v>
      </c>
      <c r="N606" s="0" t="n">
        <v>0.0274997</v>
      </c>
      <c r="O606" s="0" t="n">
        <v>20</v>
      </c>
      <c r="P606" s="0" t="n">
        <v>9</v>
      </c>
      <c r="Q606" s="5" t="str">
        <f aca="false">IF($D606&lt;&gt;"","["&amp;$E606&amp;"]"&amp;"|"&amp;SUBSTITUTE(SUBSTITUTE($I606,CHAR(61),""),CHAR(34),"")&amp;"|"&amp;$K606&amp;"|"&amp;$G606&amp;"|"&amp;IF($G606="TX_CURR_SUBNAT.R","CY2020Q4",$M606),"")</f>
        <v>[DiFv5WXIHM5]|10-14|Male|HIV_PREV.T_1|CY2021Q3</v>
      </c>
    </row>
    <row r="607" customFormat="false" ht="15" hidden="false" customHeight="false" outlineLevel="0" collapsed="false">
      <c r="D607" s="0" t="s">
        <v>107</v>
      </c>
      <c r="E607" s="0" t="s">
        <v>108</v>
      </c>
      <c r="F607" s="0" t="s">
        <v>47</v>
      </c>
      <c r="G607" s="0" t="s">
        <v>91</v>
      </c>
      <c r="H607" s="0" t="s">
        <v>92</v>
      </c>
      <c r="I607" s="0" t="s">
        <v>63</v>
      </c>
      <c r="J607" s="0" t="s">
        <v>64</v>
      </c>
      <c r="K607" s="0" t="s">
        <v>56</v>
      </c>
      <c r="L607" s="0" t="s">
        <v>57</v>
      </c>
      <c r="M607" s="0" t="s">
        <v>50</v>
      </c>
      <c r="N607" s="0" t="n">
        <v>0.0522428</v>
      </c>
      <c r="O607" s="0" t="n">
        <v>10</v>
      </c>
      <c r="P607" s="0" t="n">
        <v>13</v>
      </c>
      <c r="Q607" s="5" t="str">
        <f aca="false">IF($D607&lt;&gt;"","["&amp;$E607&amp;"]"&amp;"|"&amp;SUBSTITUTE(SUBSTITUTE($I607,CHAR(61),""),CHAR(34),"")&amp;"|"&amp;$K607&amp;"|"&amp;$G607&amp;"|"&amp;IF($G607="TX_CURR_SUBNAT.R","CY2020Q4",$M607),"")</f>
        <v>[DiFv5WXIHM5]|15-19|Female|HIV_PREV.T_1|CY2021Q3</v>
      </c>
    </row>
    <row r="608" customFormat="false" ht="15" hidden="false" customHeight="false" outlineLevel="0" collapsed="false">
      <c r="D608" s="0" t="s">
        <v>107</v>
      </c>
      <c r="E608" s="0" t="s">
        <v>108</v>
      </c>
      <c r="F608" s="0" t="s">
        <v>47</v>
      </c>
      <c r="G608" s="0" t="s">
        <v>91</v>
      </c>
      <c r="H608" s="0" t="s">
        <v>92</v>
      </c>
      <c r="I608" s="0" t="s">
        <v>63</v>
      </c>
      <c r="J608" s="0" t="s">
        <v>64</v>
      </c>
      <c r="K608" s="0" t="s">
        <v>58</v>
      </c>
      <c r="L608" s="0" t="s">
        <v>59</v>
      </c>
      <c r="M608" s="0" t="s">
        <v>50</v>
      </c>
      <c r="N608" s="0" t="n">
        <v>0.0301246</v>
      </c>
      <c r="O608" s="0" t="n">
        <v>25</v>
      </c>
      <c r="P608" s="0" t="n">
        <v>28</v>
      </c>
      <c r="Q608" s="5" t="str">
        <f aca="false">IF($D608&lt;&gt;"","["&amp;$E608&amp;"]"&amp;"|"&amp;SUBSTITUTE(SUBSTITUTE($I608,CHAR(61),""),CHAR(34),"")&amp;"|"&amp;$K608&amp;"|"&amp;$G608&amp;"|"&amp;IF($G608="TX_CURR_SUBNAT.R","CY2020Q4",$M608),"")</f>
        <v>[DiFv5WXIHM5]|15-19|Male|HIV_PREV.T_1|CY2021Q3</v>
      </c>
    </row>
    <row r="609" customFormat="false" ht="15" hidden="false" customHeight="false" outlineLevel="0" collapsed="false">
      <c r="D609" s="0" t="s">
        <v>107</v>
      </c>
      <c r="E609" s="0" t="s">
        <v>108</v>
      </c>
      <c r="F609" s="0" t="s">
        <v>47</v>
      </c>
      <c r="G609" s="0" t="s">
        <v>91</v>
      </c>
      <c r="H609" s="0" t="s">
        <v>92</v>
      </c>
      <c r="I609" s="0" t="s">
        <v>66</v>
      </c>
      <c r="J609" s="0" t="s">
        <v>67</v>
      </c>
      <c r="K609" s="0" t="s">
        <v>56</v>
      </c>
      <c r="L609" s="0" t="s">
        <v>57</v>
      </c>
      <c r="M609" s="0" t="s">
        <v>50</v>
      </c>
      <c r="N609" s="0" t="n">
        <v>0.1514763</v>
      </c>
      <c r="O609" s="0" t="n">
        <v>25</v>
      </c>
      <c r="P609" s="0" t="n">
        <v>20</v>
      </c>
      <c r="Q609" s="5" t="str">
        <f aca="false">IF($D609&lt;&gt;"","["&amp;$E609&amp;"]"&amp;"|"&amp;SUBSTITUTE(SUBSTITUTE($I609,CHAR(61),""),CHAR(34),"")&amp;"|"&amp;$K609&amp;"|"&amp;$G609&amp;"|"&amp;IF($G609="TX_CURR_SUBNAT.R","CY2020Q4",$M609),"")</f>
        <v>[DiFv5WXIHM5]|20-24|Female|HIV_PREV.T_1|CY2021Q3</v>
      </c>
    </row>
    <row r="610" customFormat="false" ht="15" hidden="false" customHeight="false" outlineLevel="0" collapsed="false">
      <c r="D610" s="0" t="s">
        <v>107</v>
      </c>
      <c r="E610" s="0" t="s">
        <v>108</v>
      </c>
      <c r="F610" s="0" t="s">
        <v>47</v>
      </c>
      <c r="G610" s="0" t="s">
        <v>91</v>
      </c>
      <c r="H610" s="0" t="s">
        <v>92</v>
      </c>
      <c r="I610" s="0" t="s">
        <v>66</v>
      </c>
      <c r="J610" s="0" t="s">
        <v>67</v>
      </c>
      <c r="K610" s="0" t="s">
        <v>58</v>
      </c>
      <c r="L610" s="0" t="s">
        <v>59</v>
      </c>
      <c r="M610" s="0" t="s">
        <v>50</v>
      </c>
      <c r="N610" s="0" t="n">
        <v>0.0547102</v>
      </c>
      <c r="O610" s="0" t="n">
        <v>27</v>
      </c>
      <c r="P610" s="0" t="n">
        <v>9</v>
      </c>
      <c r="Q610" s="5" t="str">
        <f aca="false">IF($D610&lt;&gt;"","["&amp;$E610&amp;"]"&amp;"|"&amp;SUBSTITUTE(SUBSTITUTE($I610,CHAR(61),""),CHAR(34),"")&amp;"|"&amp;$K610&amp;"|"&amp;$G610&amp;"|"&amp;IF($G610="TX_CURR_SUBNAT.R","CY2020Q4",$M610),"")</f>
        <v>[DiFv5WXIHM5]|20-24|Male|HIV_PREV.T_1|CY2021Q3</v>
      </c>
    </row>
    <row r="611" customFormat="false" ht="15" hidden="false" customHeight="false" outlineLevel="0" collapsed="false">
      <c r="D611" s="0" t="s">
        <v>107</v>
      </c>
      <c r="E611" s="0" t="s">
        <v>108</v>
      </c>
      <c r="F611" s="0" t="s">
        <v>47</v>
      </c>
      <c r="G611" s="0" t="s">
        <v>91</v>
      </c>
      <c r="H611" s="0" t="s">
        <v>92</v>
      </c>
      <c r="I611" s="0" t="s">
        <v>69</v>
      </c>
      <c r="J611" s="0" t="s">
        <v>70</v>
      </c>
      <c r="K611" s="0" t="s">
        <v>56</v>
      </c>
      <c r="L611" s="0" t="s">
        <v>57</v>
      </c>
      <c r="M611" s="0" t="s">
        <v>50</v>
      </c>
      <c r="N611" s="0" t="n">
        <v>0.2573216</v>
      </c>
      <c r="O611" s="0" t="n">
        <v>41</v>
      </c>
      <c r="P611" s="0" t="n">
        <v>35</v>
      </c>
      <c r="Q611" s="5" t="str">
        <f aca="false">IF($D611&lt;&gt;"","["&amp;$E611&amp;"]"&amp;"|"&amp;SUBSTITUTE(SUBSTITUTE($I611,CHAR(61),""),CHAR(34),"")&amp;"|"&amp;$K611&amp;"|"&amp;$G611&amp;"|"&amp;IF($G611="TX_CURR_SUBNAT.R","CY2020Q4",$M611),"")</f>
        <v>[DiFv5WXIHM5]|25-29|Female|HIV_PREV.T_1|CY2021Q3</v>
      </c>
    </row>
    <row r="612" customFormat="false" ht="15" hidden="false" customHeight="false" outlineLevel="0" collapsed="false">
      <c r="D612" s="0" t="s">
        <v>107</v>
      </c>
      <c r="E612" s="0" t="s">
        <v>108</v>
      </c>
      <c r="F612" s="0" t="s">
        <v>47</v>
      </c>
      <c r="G612" s="0" t="s">
        <v>91</v>
      </c>
      <c r="H612" s="0" t="s">
        <v>92</v>
      </c>
      <c r="I612" s="0" t="s">
        <v>69</v>
      </c>
      <c r="J612" s="0" t="s">
        <v>70</v>
      </c>
      <c r="K612" s="0" t="s">
        <v>58</v>
      </c>
      <c r="L612" s="0" t="s">
        <v>59</v>
      </c>
      <c r="M612" s="0" t="s">
        <v>50</v>
      </c>
      <c r="N612" s="0" t="n">
        <v>0.1080619</v>
      </c>
      <c r="O612" s="0" t="n">
        <v>20</v>
      </c>
      <c r="P612" s="0" t="n">
        <v>33</v>
      </c>
      <c r="Q612" s="5" t="str">
        <f aca="false">IF($D612&lt;&gt;"","["&amp;$E612&amp;"]"&amp;"|"&amp;SUBSTITUTE(SUBSTITUTE($I612,CHAR(61),""),CHAR(34),"")&amp;"|"&amp;$K612&amp;"|"&amp;$G612&amp;"|"&amp;IF($G612="TX_CURR_SUBNAT.R","CY2020Q4",$M612),"")</f>
        <v>[DiFv5WXIHM5]|25-29|Male|HIV_PREV.T_1|CY2021Q3</v>
      </c>
    </row>
    <row r="613" customFormat="false" ht="15" hidden="false" customHeight="false" outlineLevel="0" collapsed="false">
      <c r="D613" s="0" t="s">
        <v>107</v>
      </c>
      <c r="E613" s="0" t="s">
        <v>108</v>
      </c>
      <c r="F613" s="0" t="s">
        <v>47</v>
      </c>
      <c r="G613" s="0" t="s">
        <v>91</v>
      </c>
      <c r="H613" s="0" t="s">
        <v>92</v>
      </c>
      <c r="I613" s="0" t="s">
        <v>72</v>
      </c>
      <c r="J613" s="0" t="s">
        <v>73</v>
      </c>
      <c r="K613" s="0" t="s">
        <v>56</v>
      </c>
      <c r="L613" s="0" t="s">
        <v>57</v>
      </c>
      <c r="M613" s="0" t="s">
        <v>50</v>
      </c>
      <c r="N613" s="0" t="n">
        <v>0.3721924</v>
      </c>
      <c r="O613" s="0" t="n">
        <v>49</v>
      </c>
      <c r="P613" s="0" t="n">
        <v>22</v>
      </c>
      <c r="Q613" s="5" t="str">
        <f aca="false">IF($D613&lt;&gt;"","["&amp;$E613&amp;"]"&amp;"|"&amp;SUBSTITUTE(SUBSTITUTE($I613,CHAR(61),""),CHAR(34),"")&amp;"|"&amp;$K613&amp;"|"&amp;$G613&amp;"|"&amp;IF($G613="TX_CURR_SUBNAT.R","CY2020Q4",$M613),"")</f>
        <v>[DiFv5WXIHM5]|30-34|Female|HIV_PREV.T_1|CY2021Q3</v>
      </c>
    </row>
    <row r="614" customFormat="false" ht="15" hidden="false" customHeight="false" outlineLevel="0" collapsed="false">
      <c r="D614" s="0" t="s">
        <v>107</v>
      </c>
      <c r="E614" s="0" t="s">
        <v>108</v>
      </c>
      <c r="F614" s="0" t="s">
        <v>47</v>
      </c>
      <c r="G614" s="0" t="s">
        <v>91</v>
      </c>
      <c r="H614" s="0" t="s">
        <v>92</v>
      </c>
      <c r="I614" s="0" t="s">
        <v>72</v>
      </c>
      <c r="J614" s="0" t="s">
        <v>73</v>
      </c>
      <c r="K614" s="0" t="s">
        <v>58</v>
      </c>
      <c r="L614" s="0" t="s">
        <v>59</v>
      </c>
      <c r="M614" s="0" t="s">
        <v>50</v>
      </c>
      <c r="N614" s="0" t="n">
        <v>0.2052753</v>
      </c>
      <c r="O614" s="0" t="n">
        <v>33</v>
      </c>
      <c r="P614" s="0" t="n">
        <v>44</v>
      </c>
      <c r="Q614" s="5" t="str">
        <f aca="false">IF($D614&lt;&gt;"","["&amp;$E614&amp;"]"&amp;"|"&amp;SUBSTITUTE(SUBSTITUTE($I614,CHAR(61),""),CHAR(34),"")&amp;"|"&amp;$K614&amp;"|"&amp;$G614&amp;"|"&amp;IF($G614="TX_CURR_SUBNAT.R","CY2020Q4",$M614),"")</f>
        <v>[DiFv5WXIHM5]|30-34|Male|HIV_PREV.T_1|CY2021Q3</v>
      </c>
    </row>
    <row r="615" customFormat="false" ht="15" hidden="false" customHeight="false" outlineLevel="0" collapsed="false">
      <c r="D615" s="0" t="s">
        <v>107</v>
      </c>
      <c r="E615" s="0" t="s">
        <v>108</v>
      </c>
      <c r="F615" s="0" t="s">
        <v>47</v>
      </c>
      <c r="G615" s="0" t="s">
        <v>91</v>
      </c>
      <c r="H615" s="0" t="s">
        <v>92</v>
      </c>
      <c r="I615" s="0" t="s">
        <v>75</v>
      </c>
      <c r="J615" s="0" t="s">
        <v>76</v>
      </c>
      <c r="K615" s="0" t="s">
        <v>56</v>
      </c>
      <c r="L615" s="0" t="s">
        <v>57</v>
      </c>
      <c r="M615" s="0" t="s">
        <v>50</v>
      </c>
      <c r="N615" s="0" t="n">
        <v>0.4742205</v>
      </c>
      <c r="O615" s="0" t="n">
        <v>52</v>
      </c>
      <c r="P615" s="0" t="n">
        <v>7</v>
      </c>
      <c r="Q615" s="5" t="str">
        <f aca="false">IF($D615&lt;&gt;"","["&amp;$E615&amp;"]"&amp;"|"&amp;SUBSTITUTE(SUBSTITUTE($I615,CHAR(61),""),CHAR(34),"")&amp;"|"&amp;$K615&amp;"|"&amp;$G615&amp;"|"&amp;IF($G615="TX_CURR_SUBNAT.R","CY2020Q4",$M615),"")</f>
        <v>[DiFv5WXIHM5]|35-39|Female|HIV_PREV.T_1|CY2021Q3</v>
      </c>
    </row>
    <row r="616" customFormat="false" ht="15" hidden="false" customHeight="false" outlineLevel="0" collapsed="false">
      <c r="D616" s="0" t="s">
        <v>107</v>
      </c>
      <c r="E616" s="0" t="s">
        <v>108</v>
      </c>
      <c r="F616" s="0" t="s">
        <v>47</v>
      </c>
      <c r="G616" s="0" t="s">
        <v>91</v>
      </c>
      <c r="H616" s="0" t="s">
        <v>92</v>
      </c>
      <c r="I616" s="0" t="s">
        <v>75</v>
      </c>
      <c r="J616" s="0" t="s">
        <v>76</v>
      </c>
      <c r="K616" s="0" t="s">
        <v>58</v>
      </c>
      <c r="L616" s="0" t="s">
        <v>59</v>
      </c>
      <c r="M616" s="0" t="s">
        <v>50</v>
      </c>
      <c r="N616" s="0" t="n">
        <v>0.3062058</v>
      </c>
      <c r="O616" s="0" t="n">
        <v>34</v>
      </c>
      <c r="P616" s="0" t="n">
        <v>19</v>
      </c>
      <c r="Q616" s="5" t="str">
        <f aca="false">IF($D616&lt;&gt;"","["&amp;$E616&amp;"]"&amp;"|"&amp;SUBSTITUTE(SUBSTITUTE($I616,CHAR(61),""),CHAR(34),"")&amp;"|"&amp;$K616&amp;"|"&amp;$G616&amp;"|"&amp;IF($G616="TX_CURR_SUBNAT.R","CY2020Q4",$M616),"")</f>
        <v>[DiFv5WXIHM5]|35-39|Male|HIV_PREV.T_1|CY2021Q3</v>
      </c>
    </row>
    <row r="617" customFormat="false" ht="15" hidden="false" customHeight="false" outlineLevel="0" collapsed="false">
      <c r="D617" s="0" t="s">
        <v>107</v>
      </c>
      <c r="E617" s="0" t="s">
        <v>108</v>
      </c>
      <c r="F617" s="0" t="s">
        <v>47</v>
      </c>
      <c r="G617" s="0" t="s">
        <v>91</v>
      </c>
      <c r="H617" s="0" t="s">
        <v>92</v>
      </c>
      <c r="I617" s="0" t="s">
        <v>77</v>
      </c>
      <c r="J617" s="0" t="s">
        <v>78</v>
      </c>
      <c r="K617" s="0" t="s">
        <v>56</v>
      </c>
      <c r="L617" s="0" t="s">
        <v>57</v>
      </c>
      <c r="M617" s="0" t="s">
        <v>50</v>
      </c>
      <c r="N617" s="0" t="n">
        <v>0.5179833</v>
      </c>
      <c r="O617" s="0" t="n">
        <v>14</v>
      </c>
      <c r="P617" s="0" t="n">
        <v>10</v>
      </c>
      <c r="Q617" s="5" t="str">
        <f aca="false">IF($D617&lt;&gt;"","["&amp;$E617&amp;"]"&amp;"|"&amp;SUBSTITUTE(SUBSTITUTE($I617,CHAR(61),""),CHAR(34),"")&amp;"|"&amp;$K617&amp;"|"&amp;$G617&amp;"|"&amp;IF($G617="TX_CURR_SUBNAT.R","CY2020Q4",$M617),"")</f>
        <v>[DiFv5WXIHM5]|40-44|Female|HIV_PREV.T_1|CY2021Q3</v>
      </c>
    </row>
    <row r="618" customFormat="false" ht="15" hidden="false" customHeight="false" outlineLevel="0" collapsed="false">
      <c r="D618" s="0" t="s">
        <v>107</v>
      </c>
      <c r="E618" s="0" t="s">
        <v>108</v>
      </c>
      <c r="F618" s="0" t="s">
        <v>47</v>
      </c>
      <c r="G618" s="0" t="s">
        <v>91</v>
      </c>
      <c r="H618" s="0" t="s">
        <v>92</v>
      </c>
      <c r="I618" s="0" t="s">
        <v>77</v>
      </c>
      <c r="J618" s="0" t="s">
        <v>78</v>
      </c>
      <c r="K618" s="0" t="s">
        <v>58</v>
      </c>
      <c r="L618" s="0" t="s">
        <v>59</v>
      </c>
      <c r="M618" s="0" t="s">
        <v>50</v>
      </c>
      <c r="N618" s="0" t="n">
        <v>0.4022389</v>
      </c>
      <c r="O618" s="0" t="n">
        <v>40</v>
      </c>
      <c r="P618" s="0" t="n">
        <v>28</v>
      </c>
      <c r="Q618" s="5" t="str">
        <f aca="false">IF($D618&lt;&gt;"","["&amp;$E618&amp;"]"&amp;"|"&amp;SUBSTITUTE(SUBSTITUTE($I618,CHAR(61),""),CHAR(34),"")&amp;"|"&amp;$K618&amp;"|"&amp;$G618&amp;"|"&amp;IF($G618="TX_CURR_SUBNAT.R","CY2020Q4",$M618),"")</f>
        <v>[DiFv5WXIHM5]|40-44|Male|HIV_PREV.T_1|CY2021Q3</v>
      </c>
    </row>
    <row r="619" customFormat="false" ht="15" hidden="false" customHeight="false" outlineLevel="0" collapsed="false">
      <c r="D619" s="0" t="s">
        <v>107</v>
      </c>
      <c r="E619" s="0" t="s">
        <v>108</v>
      </c>
      <c r="F619" s="0" t="s">
        <v>47</v>
      </c>
      <c r="G619" s="0" t="s">
        <v>91</v>
      </c>
      <c r="H619" s="0" t="s">
        <v>92</v>
      </c>
      <c r="I619" s="0" t="s">
        <v>80</v>
      </c>
      <c r="J619" s="0" t="s">
        <v>81</v>
      </c>
      <c r="K619" s="0" t="s">
        <v>56</v>
      </c>
      <c r="L619" s="0" t="s">
        <v>57</v>
      </c>
      <c r="M619" s="0" t="s">
        <v>50</v>
      </c>
      <c r="N619" s="0" t="n">
        <v>0.5118428</v>
      </c>
      <c r="O619" s="0" t="n">
        <v>19</v>
      </c>
      <c r="P619" s="0" t="n">
        <v>10</v>
      </c>
      <c r="Q619" s="5" t="str">
        <f aca="false">IF($D619&lt;&gt;"","["&amp;$E619&amp;"]"&amp;"|"&amp;SUBSTITUTE(SUBSTITUTE($I619,CHAR(61),""),CHAR(34),"")&amp;"|"&amp;$K619&amp;"|"&amp;$G619&amp;"|"&amp;IF($G619="TX_CURR_SUBNAT.R","CY2020Q4",$M619),"")</f>
        <v>[DiFv5WXIHM5]|45-49|Female|HIV_PREV.T_1|CY2021Q3</v>
      </c>
    </row>
    <row r="620" customFormat="false" ht="15" hidden="false" customHeight="false" outlineLevel="0" collapsed="false">
      <c r="D620" s="0" t="s">
        <v>107</v>
      </c>
      <c r="E620" s="0" t="s">
        <v>108</v>
      </c>
      <c r="F620" s="0" t="s">
        <v>47</v>
      </c>
      <c r="G620" s="0" t="s">
        <v>91</v>
      </c>
      <c r="H620" s="0" t="s">
        <v>92</v>
      </c>
      <c r="I620" s="0" t="s">
        <v>80</v>
      </c>
      <c r="J620" s="0" t="s">
        <v>81</v>
      </c>
      <c r="K620" s="0" t="s">
        <v>58</v>
      </c>
      <c r="L620" s="0" t="s">
        <v>59</v>
      </c>
      <c r="M620" s="0" t="s">
        <v>50</v>
      </c>
      <c r="N620" s="0" t="n">
        <v>0.4834961</v>
      </c>
      <c r="O620" s="0" t="n">
        <v>54</v>
      </c>
      <c r="P620" s="0" t="n">
        <v>44</v>
      </c>
      <c r="Q620" s="5" t="str">
        <f aca="false">IF($D620&lt;&gt;"","["&amp;$E620&amp;"]"&amp;"|"&amp;SUBSTITUTE(SUBSTITUTE($I620,CHAR(61),""),CHAR(34),"")&amp;"|"&amp;$K620&amp;"|"&amp;$G620&amp;"|"&amp;IF($G620="TX_CURR_SUBNAT.R","CY2020Q4",$M620),"")</f>
        <v>[DiFv5WXIHM5]|45-49|Male|HIV_PREV.T_1|CY2021Q3</v>
      </c>
    </row>
    <row r="621" customFormat="false" ht="15" hidden="false" customHeight="false" outlineLevel="0" collapsed="false">
      <c r="D621" s="0" t="s">
        <v>107</v>
      </c>
      <c r="E621" s="0" t="s">
        <v>108</v>
      </c>
      <c r="F621" s="0" t="s">
        <v>47</v>
      </c>
      <c r="G621" s="0" t="s">
        <v>91</v>
      </c>
      <c r="H621" s="0" t="s">
        <v>92</v>
      </c>
      <c r="I621" s="0" t="s">
        <v>83</v>
      </c>
      <c r="J621" s="0" t="s">
        <v>84</v>
      </c>
      <c r="K621" s="0" t="s">
        <v>56</v>
      </c>
      <c r="L621" s="0" t="s">
        <v>57</v>
      </c>
      <c r="M621" s="0" t="s">
        <v>50</v>
      </c>
      <c r="N621" s="0" t="n">
        <v>0.0164776</v>
      </c>
      <c r="O621" s="0" t="n">
        <v>25</v>
      </c>
      <c r="P621" s="0" t="n">
        <v>17</v>
      </c>
      <c r="Q621" s="5" t="str">
        <f aca="false">IF($D621&lt;&gt;"","["&amp;$E621&amp;"]"&amp;"|"&amp;SUBSTITUTE(SUBSTITUTE($I621,CHAR(61),""),CHAR(34),"")&amp;"|"&amp;$K621&amp;"|"&amp;$G621&amp;"|"&amp;IF($G621="TX_CURR_SUBNAT.R","CY2020Q4",$M621),"")</f>
        <v>[DiFv5WXIHM5]|05-09|Female|HIV_PREV.T_1|CY2021Q3</v>
      </c>
    </row>
    <row r="622" customFormat="false" ht="15" hidden="false" customHeight="false" outlineLevel="0" collapsed="false">
      <c r="D622" s="0" t="s">
        <v>107</v>
      </c>
      <c r="E622" s="0" t="s">
        <v>108</v>
      </c>
      <c r="F622" s="0" t="s">
        <v>47</v>
      </c>
      <c r="G622" s="0" t="s">
        <v>91</v>
      </c>
      <c r="H622" s="0" t="s">
        <v>92</v>
      </c>
      <c r="I622" s="0" t="s">
        <v>83</v>
      </c>
      <c r="J622" s="0" t="s">
        <v>84</v>
      </c>
      <c r="K622" s="0" t="s">
        <v>58</v>
      </c>
      <c r="L622" s="0" t="s">
        <v>59</v>
      </c>
      <c r="M622" s="0" t="s">
        <v>50</v>
      </c>
      <c r="N622" s="0" t="n">
        <v>0.0165325</v>
      </c>
      <c r="O622" s="0" t="n">
        <v>40</v>
      </c>
      <c r="P622" s="0" t="n">
        <v>6</v>
      </c>
      <c r="Q622" s="5" t="str">
        <f aca="false">IF($D622&lt;&gt;"","["&amp;$E622&amp;"]"&amp;"|"&amp;SUBSTITUTE(SUBSTITUTE($I622,CHAR(61),""),CHAR(34),"")&amp;"|"&amp;$K622&amp;"|"&amp;$G622&amp;"|"&amp;IF($G622="TX_CURR_SUBNAT.R","CY2020Q4",$M622),"")</f>
        <v>[DiFv5WXIHM5]|05-09|Male|HIV_PREV.T_1|CY2021Q3</v>
      </c>
    </row>
    <row r="623" customFormat="false" ht="15" hidden="false" customHeight="false" outlineLevel="0" collapsed="false">
      <c r="D623" s="0" t="s">
        <v>107</v>
      </c>
      <c r="E623" s="0" t="s">
        <v>108</v>
      </c>
      <c r="F623" s="0" t="s">
        <v>47</v>
      </c>
      <c r="G623" s="0" t="s">
        <v>91</v>
      </c>
      <c r="H623" s="0" t="s">
        <v>92</v>
      </c>
      <c r="I623" s="53" t="s">
        <v>86</v>
      </c>
      <c r="J623" s="0" t="s">
        <v>87</v>
      </c>
      <c r="K623" s="0" t="s">
        <v>56</v>
      </c>
      <c r="L623" s="0" t="s">
        <v>57</v>
      </c>
      <c r="M623" s="0" t="s">
        <v>50</v>
      </c>
      <c r="N623" s="0" t="n">
        <v>0.2650757</v>
      </c>
      <c r="O623" s="0" t="n">
        <v>30</v>
      </c>
      <c r="P623" s="0" t="n">
        <v>31</v>
      </c>
      <c r="Q623" s="5" t="str">
        <f aca="false">IF($D623&lt;&gt;"","["&amp;$E623&amp;"]"&amp;"|"&amp;SUBSTITUTE(SUBSTITUTE($I623,CHAR(61),""),CHAR(34),"")&amp;"|"&amp;$K623&amp;"|"&amp;$G623&amp;"|"&amp;IF($G623="TX_CURR_SUBNAT.R","CY2020Q4",$M623),"")</f>
        <v>[DiFv5WXIHM5]|50+|Female|HIV_PREV.T_1|CY2021Q3</v>
      </c>
    </row>
    <row r="624" customFormat="false" ht="15" hidden="false" customHeight="false" outlineLevel="0" collapsed="false">
      <c r="D624" s="0" t="s">
        <v>107</v>
      </c>
      <c r="E624" s="0" t="s">
        <v>108</v>
      </c>
      <c r="F624" s="0" t="s">
        <v>47</v>
      </c>
      <c r="G624" s="0" t="s">
        <v>91</v>
      </c>
      <c r="H624" s="0" t="s">
        <v>92</v>
      </c>
      <c r="I624" s="53" t="s">
        <v>86</v>
      </c>
      <c r="J624" s="0" t="s">
        <v>87</v>
      </c>
      <c r="K624" s="0" t="s">
        <v>58</v>
      </c>
      <c r="L624" s="0" t="s">
        <v>59</v>
      </c>
      <c r="M624" s="0" t="s">
        <v>50</v>
      </c>
      <c r="N624" s="0" t="n">
        <v>0.29826</v>
      </c>
      <c r="O624" s="0" t="n">
        <v>49</v>
      </c>
      <c r="P624" s="0" t="n">
        <v>11</v>
      </c>
      <c r="Q624" s="5" t="str">
        <f aca="false">IF($D624&lt;&gt;"","["&amp;$E624&amp;"]"&amp;"|"&amp;SUBSTITUTE(SUBSTITUTE($I624,CHAR(61),""),CHAR(34),"")&amp;"|"&amp;$K624&amp;"|"&amp;$G624&amp;"|"&amp;IF($G624="TX_CURR_SUBNAT.R","CY2020Q4",$M624),"")</f>
        <v>[DiFv5WXIHM5]|50+|Male|HIV_PREV.T_1|CY2021Q3</v>
      </c>
    </row>
    <row r="625" customFormat="false" ht="15" hidden="false" customHeight="false" outlineLevel="0" collapsed="false">
      <c r="D625" s="0" t="s">
        <v>107</v>
      </c>
      <c r="E625" s="0" t="s">
        <v>108</v>
      </c>
      <c r="F625" s="0" t="s">
        <v>47</v>
      </c>
      <c r="G625" s="0" t="s">
        <v>91</v>
      </c>
      <c r="H625" s="0" t="s">
        <v>92</v>
      </c>
      <c r="I625" s="0" t="s">
        <v>89</v>
      </c>
      <c r="J625" s="0" t="s">
        <v>90</v>
      </c>
      <c r="K625" s="0" t="s">
        <v>56</v>
      </c>
      <c r="L625" s="0" t="s">
        <v>57</v>
      </c>
      <c r="M625" s="0" t="s">
        <v>50</v>
      </c>
      <c r="N625" s="0" t="n">
        <v>0.0081285</v>
      </c>
      <c r="O625" s="0" t="n">
        <v>34</v>
      </c>
      <c r="P625" s="0" t="n">
        <v>39</v>
      </c>
      <c r="Q625" s="5" t="str">
        <f aca="false">IF($D625&lt;&gt;"","["&amp;$E625&amp;"]"&amp;"|"&amp;SUBSTITUTE(SUBSTITUTE($I625,CHAR(61),""),CHAR(34),"")&amp;"|"&amp;$K625&amp;"|"&amp;$G625&amp;"|"&amp;IF($G625="TX_CURR_SUBNAT.R","CY2020Q4",$M625),"")</f>
        <v>[DiFv5WXIHM5]|&lt;01|Female|HIV_PREV.T_1|CY2021Q3</v>
      </c>
    </row>
    <row r="626" customFormat="false" ht="15" hidden="false" customHeight="false" outlineLevel="0" collapsed="false">
      <c r="D626" s="0" t="s">
        <v>107</v>
      </c>
      <c r="E626" s="0" t="s">
        <v>108</v>
      </c>
      <c r="F626" s="0" t="s">
        <v>47</v>
      </c>
      <c r="G626" s="0" t="s">
        <v>91</v>
      </c>
      <c r="H626" s="0" t="s">
        <v>92</v>
      </c>
      <c r="I626" s="0" t="s">
        <v>89</v>
      </c>
      <c r="J626" s="0" t="s">
        <v>90</v>
      </c>
      <c r="K626" s="0" t="s">
        <v>58</v>
      </c>
      <c r="L626" s="0" t="s">
        <v>59</v>
      </c>
      <c r="M626" s="0" t="s">
        <v>50</v>
      </c>
      <c r="N626" s="0" t="n">
        <v>0.007938</v>
      </c>
      <c r="O626" s="0" t="n">
        <v>49</v>
      </c>
      <c r="P626" s="0" t="n">
        <v>40</v>
      </c>
      <c r="Q626" s="5" t="str">
        <f aca="false">IF($D626&lt;&gt;"","["&amp;$E626&amp;"]"&amp;"|"&amp;SUBSTITUTE(SUBSTITUTE($I626,CHAR(61),""),CHAR(34),"")&amp;"|"&amp;$K626&amp;"|"&amp;$G626&amp;"|"&amp;IF($G626="TX_CURR_SUBNAT.R","CY2020Q4",$M626),"")</f>
        <v>[DiFv5WXIHM5]|&lt;01|Male|HIV_PREV.T_1|CY2021Q3</v>
      </c>
    </row>
    <row r="627" customFormat="false" ht="15" hidden="false" customHeight="false" outlineLevel="0" collapsed="false">
      <c r="D627" s="0" t="s">
        <v>107</v>
      </c>
      <c r="E627" s="0" t="s">
        <v>108</v>
      </c>
      <c r="F627" s="0" t="s">
        <v>47</v>
      </c>
      <c r="G627" s="0" t="s">
        <v>93</v>
      </c>
      <c r="H627" s="0" t="s">
        <v>94</v>
      </c>
      <c r="I627" s="0" t="s">
        <v>54</v>
      </c>
      <c r="J627" s="0" t="s">
        <v>55</v>
      </c>
      <c r="K627" s="0" t="s">
        <v>56</v>
      </c>
      <c r="L627" s="0" t="s">
        <v>57</v>
      </c>
      <c r="M627" s="0" t="s">
        <v>50</v>
      </c>
      <c r="N627" s="0" t="n">
        <v>23</v>
      </c>
      <c r="O627" s="0" t="n">
        <v>37</v>
      </c>
      <c r="P627" s="0" t="n">
        <v>15</v>
      </c>
      <c r="Q627" s="5" t="str">
        <f aca="false">IF($D627&lt;&gt;"","["&amp;$E627&amp;"]"&amp;"|"&amp;SUBSTITUTE(SUBSTITUTE($I627,CHAR(61),""),CHAR(34),"")&amp;"|"&amp;$K627&amp;"|"&amp;$G627&amp;"|"&amp;IF($G627="TX_CURR_SUBNAT.R","CY2020Q4",$M627),"")</f>
        <v>[DiFv5WXIHM5]|01-04|Female|DIAGNOSED_SUBNAT.T_1|CY2021Q3</v>
      </c>
    </row>
    <row r="628" customFormat="false" ht="15" hidden="false" customHeight="false" outlineLevel="0" collapsed="false">
      <c r="D628" s="0" t="s">
        <v>107</v>
      </c>
      <c r="E628" s="0" t="s">
        <v>108</v>
      </c>
      <c r="F628" s="0" t="s">
        <v>47</v>
      </c>
      <c r="G628" s="0" t="s">
        <v>93</v>
      </c>
      <c r="H628" s="0" t="s">
        <v>94</v>
      </c>
      <c r="I628" s="0" t="s">
        <v>54</v>
      </c>
      <c r="J628" s="0" t="s">
        <v>55</v>
      </c>
      <c r="K628" s="0" t="s">
        <v>58</v>
      </c>
      <c r="L628" s="0" t="s">
        <v>59</v>
      </c>
      <c r="M628" s="0" t="s">
        <v>50</v>
      </c>
      <c r="N628" s="0" t="n">
        <v>24</v>
      </c>
      <c r="O628" s="0" t="n">
        <v>10</v>
      </c>
      <c r="P628" s="0" t="n">
        <v>4</v>
      </c>
      <c r="Q628" s="5" t="str">
        <f aca="false">IF($D628&lt;&gt;"","["&amp;$E628&amp;"]"&amp;"|"&amp;SUBSTITUTE(SUBSTITUTE($I628,CHAR(61),""),CHAR(34),"")&amp;"|"&amp;$K628&amp;"|"&amp;$G628&amp;"|"&amp;IF($G628="TX_CURR_SUBNAT.R","CY2020Q4",$M628),"")</f>
        <v>[DiFv5WXIHM5]|01-04|Male|DIAGNOSED_SUBNAT.T_1|CY2021Q3</v>
      </c>
    </row>
    <row r="629" customFormat="false" ht="15" hidden="false" customHeight="false" outlineLevel="0" collapsed="false">
      <c r="D629" s="0" t="s">
        <v>107</v>
      </c>
      <c r="E629" s="0" t="s">
        <v>108</v>
      </c>
      <c r="F629" s="0" t="s">
        <v>47</v>
      </c>
      <c r="G629" s="0" t="s">
        <v>93</v>
      </c>
      <c r="H629" s="0" t="s">
        <v>94</v>
      </c>
      <c r="I629" s="0" t="s">
        <v>61</v>
      </c>
      <c r="J629" s="0" t="s">
        <v>62</v>
      </c>
      <c r="K629" s="0" t="s">
        <v>56</v>
      </c>
      <c r="L629" s="0" t="s">
        <v>57</v>
      </c>
      <c r="M629" s="0" t="s">
        <v>50</v>
      </c>
      <c r="N629" s="0" t="n">
        <v>178</v>
      </c>
      <c r="O629" s="0" t="n">
        <v>27</v>
      </c>
      <c r="P629" s="0" t="n">
        <v>43</v>
      </c>
      <c r="Q629" s="5" t="str">
        <f aca="false">IF($D629&lt;&gt;"","["&amp;$E629&amp;"]"&amp;"|"&amp;SUBSTITUTE(SUBSTITUTE($I629,CHAR(61),""),CHAR(34),"")&amp;"|"&amp;$K629&amp;"|"&amp;$G629&amp;"|"&amp;IF($G629="TX_CURR_SUBNAT.R","CY2020Q4",$M629),"")</f>
        <v>[DiFv5WXIHM5]|10-14|Female|DIAGNOSED_SUBNAT.T_1|CY2021Q3</v>
      </c>
    </row>
    <row r="630" customFormat="false" ht="15" hidden="false" customHeight="false" outlineLevel="0" collapsed="false">
      <c r="D630" s="0" t="s">
        <v>107</v>
      </c>
      <c r="E630" s="0" t="s">
        <v>108</v>
      </c>
      <c r="F630" s="0" t="s">
        <v>47</v>
      </c>
      <c r="G630" s="0" t="s">
        <v>93</v>
      </c>
      <c r="H630" s="0" t="s">
        <v>94</v>
      </c>
      <c r="I630" s="0" t="s">
        <v>61</v>
      </c>
      <c r="J630" s="0" t="s">
        <v>62</v>
      </c>
      <c r="K630" s="0" t="s">
        <v>58</v>
      </c>
      <c r="L630" s="0" t="s">
        <v>59</v>
      </c>
      <c r="M630" s="0" t="s">
        <v>50</v>
      </c>
      <c r="N630" s="0" t="n">
        <v>186</v>
      </c>
      <c r="O630" s="0" t="n">
        <v>19</v>
      </c>
      <c r="P630" s="0" t="n">
        <v>6</v>
      </c>
      <c r="Q630" s="5" t="str">
        <f aca="false">IF($D630&lt;&gt;"","["&amp;$E630&amp;"]"&amp;"|"&amp;SUBSTITUTE(SUBSTITUTE($I630,CHAR(61),""),CHAR(34),"")&amp;"|"&amp;$K630&amp;"|"&amp;$G630&amp;"|"&amp;IF($G630="TX_CURR_SUBNAT.R","CY2020Q4",$M630),"")</f>
        <v>[DiFv5WXIHM5]|10-14|Male|DIAGNOSED_SUBNAT.T_1|CY2021Q3</v>
      </c>
    </row>
    <row r="631" customFormat="false" ht="15" hidden="false" customHeight="false" outlineLevel="0" collapsed="false">
      <c r="D631" s="0" t="s">
        <v>107</v>
      </c>
      <c r="E631" s="0" t="s">
        <v>108</v>
      </c>
      <c r="F631" s="0" t="s">
        <v>47</v>
      </c>
      <c r="G631" s="0" t="s">
        <v>93</v>
      </c>
      <c r="H631" s="0" t="s">
        <v>94</v>
      </c>
      <c r="I631" s="0" t="s">
        <v>63</v>
      </c>
      <c r="J631" s="0" t="s">
        <v>64</v>
      </c>
      <c r="K631" s="0" t="s">
        <v>56</v>
      </c>
      <c r="L631" s="0" t="s">
        <v>57</v>
      </c>
      <c r="M631" s="0" t="s">
        <v>50</v>
      </c>
      <c r="N631" s="0" t="n">
        <v>356</v>
      </c>
      <c r="O631" s="0" t="n">
        <v>37</v>
      </c>
      <c r="P631" s="0" t="n">
        <v>46</v>
      </c>
      <c r="Q631" s="5" t="str">
        <f aca="false">IF($D631&lt;&gt;"","["&amp;$E631&amp;"]"&amp;"|"&amp;SUBSTITUTE(SUBSTITUTE($I631,CHAR(61),""),CHAR(34),"")&amp;"|"&amp;$K631&amp;"|"&amp;$G631&amp;"|"&amp;IF($G631="TX_CURR_SUBNAT.R","CY2020Q4",$M631),"")</f>
        <v>[DiFv5WXIHM5]|15-19|Female|DIAGNOSED_SUBNAT.T_1|CY2021Q3</v>
      </c>
    </row>
    <row r="632" customFormat="false" ht="15" hidden="false" customHeight="false" outlineLevel="0" collapsed="false">
      <c r="D632" s="0" t="s">
        <v>107</v>
      </c>
      <c r="E632" s="0" t="s">
        <v>108</v>
      </c>
      <c r="F632" s="0" t="s">
        <v>47</v>
      </c>
      <c r="G632" s="0" t="s">
        <v>93</v>
      </c>
      <c r="H632" s="0" t="s">
        <v>94</v>
      </c>
      <c r="I632" s="0" t="s">
        <v>63</v>
      </c>
      <c r="J632" s="0" t="s">
        <v>64</v>
      </c>
      <c r="K632" s="0" t="s">
        <v>58</v>
      </c>
      <c r="L632" s="0" t="s">
        <v>59</v>
      </c>
      <c r="M632" s="0" t="s">
        <v>50</v>
      </c>
      <c r="N632" s="0" t="n">
        <v>270</v>
      </c>
      <c r="O632" s="0" t="n">
        <v>5</v>
      </c>
      <c r="P632" s="0" t="n">
        <v>5</v>
      </c>
      <c r="Q632" s="5" t="str">
        <f aca="false">IF($D632&lt;&gt;"","["&amp;$E632&amp;"]"&amp;"|"&amp;SUBSTITUTE(SUBSTITUTE($I632,CHAR(61),""),CHAR(34),"")&amp;"|"&amp;$K632&amp;"|"&amp;$G632&amp;"|"&amp;IF($G632="TX_CURR_SUBNAT.R","CY2020Q4",$M632),"")</f>
        <v>[DiFv5WXIHM5]|15-19|Male|DIAGNOSED_SUBNAT.T_1|CY2021Q3</v>
      </c>
    </row>
    <row r="633" customFormat="false" ht="15" hidden="false" customHeight="false" outlineLevel="0" collapsed="false">
      <c r="D633" s="0" t="s">
        <v>107</v>
      </c>
      <c r="E633" s="0" t="s">
        <v>108</v>
      </c>
      <c r="F633" s="0" t="s">
        <v>47</v>
      </c>
      <c r="G633" s="0" t="s">
        <v>93</v>
      </c>
      <c r="H633" s="0" t="s">
        <v>94</v>
      </c>
      <c r="I633" s="0" t="s">
        <v>66</v>
      </c>
      <c r="J633" s="0" t="s">
        <v>67</v>
      </c>
      <c r="K633" s="0" t="s">
        <v>56</v>
      </c>
      <c r="L633" s="0" t="s">
        <v>57</v>
      </c>
      <c r="M633" s="0" t="s">
        <v>50</v>
      </c>
      <c r="N633" s="0" t="n">
        <v>836</v>
      </c>
      <c r="O633" s="0" t="n">
        <v>56</v>
      </c>
      <c r="P633" s="0" t="n">
        <v>44</v>
      </c>
      <c r="Q633" s="5" t="str">
        <f aca="false">IF($D633&lt;&gt;"","["&amp;$E633&amp;"]"&amp;"|"&amp;SUBSTITUTE(SUBSTITUTE($I633,CHAR(61),""),CHAR(34),"")&amp;"|"&amp;$K633&amp;"|"&amp;$G633&amp;"|"&amp;IF($G633="TX_CURR_SUBNAT.R","CY2020Q4",$M633),"")</f>
        <v>[DiFv5WXIHM5]|20-24|Female|DIAGNOSED_SUBNAT.T_1|CY2021Q3</v>
      </c>
    </row>
    <row r="634" customFormat="false" ht="15" hidden="false" customHeight="false" outlineLevel="0" collapsed="false">
      <c r="D634" s="0" t="s">
        <v>107</v>
      </c>
      <c r="E634" s="0" t="s">
        <v>108</v>
      </c>
      <c r="F634" s="0" t="s">
        <v>47</v>
      </c>
      <c r="G634" s="0" t="s">
        <v>93</v>
      </c>
      <c r="H634" s="0" t="s">
        <v>94</v>
      </c>
      <c r="I634" s="0" t="s">
        <v>66</v>
      </c>
      <c r="J634" s="0" t="s">
        <v>67</v>
      </c>
      <c r="K634" s="0" t="s">
        <v>58</v>
      </c>
      <c r="L634" s="0" t="s">
        <v>59</v>
      </c>
      <c r="M634" s="0" t="s">
        <v>50</v>
      </c>
      <c r="N634" s="0" t="n">
        <v>341</v>
      </c>
      <c r="O634" s="0" t="n">
        <v>53</v>
      </c>
      <c r="P634" s="0" t="n">
        <v>28</v>
      </c>
      <c r="Q634" s="5" t="str">
        <f aca="false">IF($D634&lt;&gt;"","["&amp;$E634&amp;"]"&amp;"|"&amp;SUBSTITUTE(SUBSTITUTE($I634,CHAR(61),""),CHAR(34),"")&amp;"|"&amp;$K634&amp;"|"&amp;$G634&amp;"|"&amp;IF($G634="TX_CURR_SUBNAT.R","CY2020Q4",$M634),"")</f>
        <v>[DiFv5WXIHM5]|20-24|Male|DIAGNOSED_SUBNAT.T_1|CY2021Q3</v>
      </c>
    </row>
    <row r="635" customFormat="false" ht="15" hidden="false" customHeight="false" outlineLevel="0" collapsed="false">
      <c r="D635" s="0" t="s">
        <v>107</v>
      </c>
      <c r="E635" s="0" t="s">
        <v>108</v>
      </c>
      <c r="F635" s="0" t="s">
        <v>47</v>
      </c>
      <c r="G635" s="0" t="s">
        <v>93</v>
      </c>
      <c r="H635" s="0" t="s">
        <v>94</v>
      </c>
      <c r="I635" s="0" t="s">
        <v>69</v>
      </c>
      <c r="J635" s="0" t="s">
        <v>70</v>
      </c>
      <c r="K635" s="0" t="s">
        <v>56</v>
      </c>
      <c r="L635" s="0" t="s">
        <v>57</v>
      </c>
      <c r="M635" s="0" t="s">
        <v>50</v>
      </c>
      <c r="N635" s="0" t="n">
        <v>1405</v>
      </c>
      <c r="O635" s="0" t="n">
        <v>24</v>
      </c>
      <c r="P635" s="0" t="n">
        <v>32</v>
      </c>
      <c r="Q635" s="5" t="str">
        <f aca="false">IF($D635&lt;&gt;"","["&amp;$E635&amp;"]"&amp;"|"&amp;SUBSTITUTE(SUBSTITUTE($I635,CHAR(61),""),CHAR(34),"")&amp;"|"&amp;$K635&amp;"|"&amp;$G635&amp;"|"&amp;IF($G635="TX_CURR_SUBNAT.R","CY2020Q4",$M635),"")</f>
        <v>[DiFv5WXIHM5]|25-29|Female|DIAGNOSED_SUBNAT.T_1|CY2021Q3</v>
      </c>
    </row>
    <row r="636" customFormat="false" ht="15" hidden="false" customHeight="false" outlineLevel="0" collapsed="false">
      <c r="D636" s="0" t="s">
        <v>107</v>
      </c>
      <c r="E636" s="0" t="s">
        <v>108</v>
      </c>
      <c r="F636" s="0" t="s">
        <v>47</v>
      </c>
      <c r="G636" s="0" t="s">
        <v>93</v>
      </c>
      <c r="H636" s="0" t="s">
        <v>94</v>
      </c>
      <c r="I636" s="0" t="s">
        <v>69</v>
      </c>
      <c r="J636" s="0" t="s">
        <v>70</v>
      </c>
      <c r="K636" s="0" t="s">
        <v>58</v>
      </c>
      <c r="L636" s="0" t="s">
        <v>59</v>
      </c>
      <c r="M636" s="0" t="s">
        <v>50</v>
      </c>
      <c r="N636" s="0" t="n">
        <v>620</v>
      </c>
      <c r="O636" s="0" t="n">
        <v>6</v>
      </c>
      <c r="P636" s="0" t="n">
        <v>11</v>
      </c>
      <c r="Q636" s="5" t="str">
        <f aca="false">IF($D636&lt;&gt;"","["&amp;$E636&amp;"]"&amp;"|"&amp;SUBSTITUTE(SUBSTITUTE($I636,CHAR(61),""),CHAR(34),"")&amp;"|"&amp;$K636&amp;"|"&amp;$G636&amp;"|"&amp;IF($G636="TX_CURR_SUBNAT.R","CY2020Q4",$M636),"")</f>
        <v>[DiFv5WXIHM5]|25-29|Male|DIAGNOSED_SUBNAT.T_1|CY2021Q3</v>
      </c>
    </row>
    <row r="637" customFormat="false" ht="15" hidden="false" customHeight="false" outlineLevel="0" collapsed="false">
      <c r="D637" s="0" t="s">
        <v>107</v>
      </c>
      <c r="E637" s="0" t="s">
        <v>108</v>
      </c>
      <c r="F637" s="0" t="s">
        <v>47</v>
      </c>
      <c r="G637" s="0" t="s">
        <v>93</v>
      </c>
      <c r="H637" s="0" t="s">
        <v>94</v>
      </c>
      <c r="I637" s="0" t="s">
        <v>72</v>
      </c>
      <c r="J637" s="0" t="s">
        <v>73</v>
      </c>
      <c r="K637" s="0" t="s">
        <v>56</v>
      </c>
      <c r="L637" s="0" t="s">
        <v>57</v>
      </c>
      <c r="M637" s="0" t="s">
        <v>50</v>
      </c>
      <c r="N637" s="0" t="n">
        <v>1793</v>
      </c>
      <c r="O637" s="0" t="n">
        <v>50</v>
      </c>
      <c r="P637" s="0" t="n">
        <v>14</v>
      </c>
      <c r="Q637" s="5" t="str">
        <f aca="false">IF($D637&lt;&gt;"","["&amp;$E637&amp;"]"&amp;"|"&amp;SUBSTITUTE(SUBSTITUTE($I637,CHAR(61),""),CHAR(34),"")&amp;"|"&amp;$K637&amp;"|"&amp;$G637&amp;"|"&amp;IF($G637="TX_CURR_SUBNAT.R","CY2020Q4",$M637),"")</f>
        <v>[DiFv5WXIHM5]|30-34|Female|DIAGNOSED_SUBNAT.T_1|CY2021Q3</v>
      </c>
    </row>
    <row r="638" customFormat="false" ht="15" hidden="false" customHeight="false" outlineLevel="0" collapsed="false">
      <c r="D638" s="0" t="s">
        <v>107</v>
      </c>
      <c r="E638" s="0" t="s">
        <v>108</v>
      </c>
      <c r="F638" s="0" t="s">
        <v>47</v>
      </c>
      <c r="G638" s="0" t="s">
        <v>93</v>
      </c>
      <c r="H638" s="0" t="s">
        <v>94</v>
      </c>
      <c r="I638" s="0" t="s">
        <v>72</v>
      </c>
      <c r="J638" s="0" t="s">
        <v>73</v>
      </c>
      <c r="K638" s="0" t="s">
        <v>58</v>
      </c>
      <c r="L638" s="0" t="s">
        <v>59</v>
      </c>
      <c r="M638" s="0" t="s">
        <v>50</v>
      </c>
      <c r="N638" s="0" t="n">
        <v>993</v>
      </c>
      <c r="O638" s="0" t="n">
        <v>20</v>
      </c>
      <c r="P638" s="0" t="n">
        <v>32</v>
      </c>
      <c r="Q638" s="5" t="str">
        <f aca="false">IF($D638&lt;&gt;"","["&amp;$E638&amp;"]"&amp;"|"&amp;SUBSTITUTE(SUBSTITUTE($I638,CHAR(61),""),CHAR(34),"")&amp;"|"&amp;$K638&amp;"|"&amp;$G638&amp;"|"&amp;IF($G638="TX_CURR_SUBNAT.R","CY2020Q4",$M638),"")</f>
        <v>[DiFv5WXIHM5]|30-34|Male|DIAGNOSED_SUBNAT.T_1|CY2021Q3</v>
      </c>
    </row>
    <row r="639" customFormat="false" ht="15" hidden="false" customHeight="false" outlineLevel="0" collapsed="false">
      <c r="D639" s="0" t="s">
        <v>107</v>
      </c>
      <c r="E639" s="0" t="s">
        <v>108</v>
      </c>
      <c r="F639" s="0" t="s">
        <v>47</v>
      </c>
      <c r="G639" s="0" t="s">
        <v>93</v>
      </c>
      <c r="H639" s="0" t="s">
        <v>94</v>
      </c>
      <c r="I639" s="0" t="s">
        <v>75</v>
      </c>
      <c r="J639" s="0" t="s">
        <v>76</v>
      </c>
      <c r="K639" s="0" t="s">
        <v>56</v>
      </c>
      <c r="L639" s="0" t="s">
        <v>57</v>
      </c>
      <c r="M639" s="0" t="s">
        <v>50</v>
      </c>
      <c r="N639" s="0" t="n">
        <v>1968</v>
      </c>
      <c r="O639" s="0" t="n">
        <v>13</v>
      </c>
      <c r="P639" s="0" t="n">
        <v>35</v>
      </c>
      <c r="Q639" s="5" t="str">
        <f aca="false">IF($D639&lt;&gt;"","["&amp;$E639&amp;"]"&amp;"|"&amp;SUBSTITUTE(SUBSTITUTE($I639,CHAR(61),""),CHAR(34),"")&amp;"|"&amp;$K639&amp;"|"&amp;$G639&amp;"|"&amp;IF($G639="TX_CURR_SUBNAT.R","CY2020Q4",$M639),"")</f>
        <v>[DiFv5WXIHM5]|35-39|Female|DIAGNOSED_SUBNAT.T_1|CY2021Q3</v>
      </c>
    </row>
    <row r="640" customFormat="false" ht="15" hidden="false" customHeight="false" outlineLevel="0" collapsed="false">
      <c r="D640" s="0" t="s">
        <v>107</v>
      </c>
      <c r="E640" s="0" t="s">
        <v>108</v>
      </c>
      <c r="F640" s="0" t="s">
        <v>47</v>
      </c>
      <c r="G640" s="0" t="s">
        <v>93</v>
      </c>
      <c r="H640" s="0" t="s">
        <v>94</v>
      </c>
      <c r="I640" s="0" t="s">
        <v>75</v>
      </c>
      <c r="J640" s="0" t="s">
        <v>76</v>
      </c>
      <c r="K640" s="0" t="s">
        <v>58</v>
      </c>
      <c r="L640" s="0" t="s">
        <v>59</v>
      </c>
      <c r="M640" s="0" t="s">
        <v>50</v>
      </c>
      <c r="N640" s="0" t="n">
        <v>1313</v>
      </c>
      <c r="O640" s="0" t="n">
        <v>21</v>
      </c>
      <c r="P640" s="0" t="n">
        <v>15</v>
      </c>
      <c r="Q640" s="5" t="str">
        <f aca="false">IF($D640&lt;&gt;"","["&amp;$E640&amp;"]"&amp;"|"&amp;SUBSTITUTE(SUBSTITUTE($I640,CHAR(61),""),CHAR(34),"")&amp;"|"&amp;$K640&amp;"|"&amp;$G640&amp;"|"&amp;IF($G640="TX_CURR_SUBNAT.R","CY2020Q4",$M640),"")</f>
        <v>[DiFv5WXIHM5]|35-39|Male|DIAGNOSED_SUBNAT.T_1|CY2021Q3</v>
      </c>
    </row>
    <row r="641" customFormat="false" ht="15" hidden="false" customHeight="false" outlineLevel="0" collapsed="false">
      <c r="D641" s="0" t="s">
        <v>107</v>
      </c>
      <c r="E641" s="0" t="s">
        <v>108</v>
      </c>
      <c r="F641" s="0" t="s">
        <v>47</v>
      </c>
      <c r="G641" s="0" t="s">
        <v>93</v>
      </c>
      <c r="H641" s="0" t="s">
        <v>94</v>
      </c>
      <c r="I641" s="0" t="s">
        <v>77</v>
      </c>
      <c r="J641" s="0" t="s">
        <v>78</v>
      </c>
      <c r="K641" s="0" t="s">
        <v>56</v>
      </c>
      <c r="L641" s="0" t="s">
        <v>57</v>
      </c>
      <c r="M641" s="0" t="s">
        <v>50</v>
      </c>
      <c r="N641" s="0" t="n">
        <v>1922</v>
      </c>
      <c r="O641" s="0" t="n">
        <v>53</v>
      </c>
      <c r="P641" s="0" t="n">
        <v>26</v>
      </c>
      <c r="Q641" s="5" t="str">
        <f aca="false">IF($D641&lt;&gt;"","["&amp;$E641&amp;"]"&amp;"|"&amp;SUBSTITUTE(SUBSTITUTE($I641,CHAR(61),""),CHAR(34),"")&amp;"|"&amp;$K641&amp;"|"&amp;$G641&amp;"|"&amp;IF($G641="TX_CURR_SUBNAT.R","CY2020Q4",$M641),"")</f>
        <v>[DiFv5WXIHM5]|40-44|Female|DIAGNOSED_SUBNAT.T_1|CY2021Q3</v>
      </c>
    </row>
    <row r="642" customFormat="false" ht="15" hidden="false" customHeight="false" outlineLevel="0" collapsed="false">
      <c r="D642" s="0" t="s">
        <v>107</v>
      </c>
      <c r="E642" s="0" t="s">
        <v>108</v>
      </c>
      <c r="F642" s="0" t="s">
        <v>47</v>
      </c>
      <c r="G642" s="0" t="s">
        <v>93</v>
      </c>
      <c r="H642" s="0" t="s">
        <v>94</v>
      </c>
      <c r="I642" s="0" t="s">
        <v>77</v>
      </c>
      <c r="J642" s="0" t="s">
        <v>78</v>
      </c>
      <c r="K642" s="0" t="s">
        <v>58</v>
      </c>
      <c r="L642" s="0" t="s">
        <v>59</v>
      </c>
      <c r="M642" s="0" t="s">
        <v>50</v>
      </c>
      <c r="N642" s="0" t="n">
        <v>1365</v>
      </c>
      <c r="O642" s="0" t="n">
        <v>20</v>
      </c>
      <c r="P642" s="0" t="n">
        <v>46</v>
      </c>
      <c r="Q642" s="5" t="str">
        <f aca="false">IF($D642&lt;&gt;"","["&amp;$E642&amp;"]"&amp;"|"&amp;SUBSTITUTE(SUBSTITUTE($I642,CHAR(61),""),CHAR(34),"")&amp;"|"&amp;$K642&amp;"|"&amp;$G642&amp;"|"&amp;IF($G642="TX_CURR_SUBNAT.R","CY2020Q4",$M642),"")</f>
        <v>[DiFv5WXIHM5]|40-44|Male|DIAGNOSED_SUBNAT.T_1|CY2021Q3</v>
      </c>
    </row>
    <row r="643" customFormat="false" ht="15" hidden="false" customHeight="false" outlineLevel="0" collapsed="false">
      <c r="D643" s="0" t="s">
        <v>107</v>
      </c>
      <c r="E643" s="0" t="s">
        <v>108</v>
      </c>
      <c r="F643" s="0" t="s">
        <v>47</v>
      </c>
      <c r="G643" s="0" t="s">
        <v>93</v>
      </c>
      <c r="H643" s="0" t="s">
        <v>94</v>
      </c>
      <c r="I643" s="0" t="s">
        <v>80</v>
      </c>
      <c r="J643" s="0" t="s">
        <v>81</v>
      </c>
      <c r="K643" s="0" t="s">
        <v>56</v>
      </c>
      <c r="L643" s="0" t="s">
        <v>57</v>
      </c>
      <c r="M643" s="0" t="s">
        <v>50</v>
      </c>
      <c r="N643" s="0" t="n">
        <v>1528</v>
      </c>
      <c r="O643" s="0" t="n">
        <v>25</v>
      </c>
      <c r="P643" s="0" t="n">
        <v>23</v>
      </c>
      <c r="Q643" s="5" t="str">
        <f aca="false">IF($D643&lt;&gt;"","["&amp;$E643&amp;"]"&amp;"|"&amp;SUBSTITUTE(SUBSTITUTE($I643,CHAR(61),""),CHAR(34),"")&amp;"|"&amp;$K643&amp;"|"&amp;$G643&amp;"|"&amp;IF($G643="TX_CURR_SUBNAT.R","CY2020Q4",$M643),"")</f>
        <v>[DiFv5WXIHM5]|45-49|Female|DIAGNOSED_SUBNAT.T_1|CY2021Q3</v>
      </c>
    </row>
    <row r="644" customFormat="false" ht="15" hidden="false" customHeight="false" outlineLevel="0" collapsed="false">
      <c r="D644" s="0" t="s">
        <v>107</v>
      </c>
      <c r="E644" s="0" t="s">
        <v>108</v>
      </c>
      <c r="F644" s="0" t="s">
        <v>47</v>
      </c>
      <c r="G644" s="0" t="s">
        <v>93</v>
      </c>
      <c r="H644" s="0" t="s">
        <v>94</v>
      </c>
      <c r="I644" s="0" t="s">
        <v>80</v>
      </c>
      <c r="J644" s="0" t="s">
        <v>81</v>
      </c>
      <c r="K644" s="0" t="s">
        <v>58</v>
      </c>
      <c r="L644" s="0" t="s">
        <v>59</v>
      </c>
      <c r="M644" s="0" t="s">
        <v>50</v>
      </c>
      <c r="N644" s="0" t="n">
        <v>1111</v>
      </c>
      <c r="O644" s="0" t="n">
        <v>38</v>
      </c>
      <c r="P644" s="0" t="n">
        <v>6</v>
      </c>
      <c r="Q644" s="5" t="str">
        <f aca="false">IF($D644&lt;&gt;"","["&amp;$E644&amp;"]"&amp;"|"&amp;SUBSTITUTE(SUBSTITUTE($I644,CHAR(61),""),CHAR(34),"")&amp;"|"&amp;$K644&amp;"|"&amp;$G644&amp;"|"&amp;IF($G644="TX_CURR_SUBNAT.R","CY2020Q4",$M644),"")</f>
        <v>[DiFv5WXIHM5]|45-49|Male|DIAGNOSED_SUBNAT.T_1|CY2021Q3</v>
      </c>
    </row>
    <row r="645" customFormat="false" ht="15" hidden="false" customHeight="false" outlineLevel="0" collapsed="false">
      <c r="D645" s="0" t="s">
        <v>107</v>
      </c>
      <c r="E645" s="0" t="s">
        <v>108</v>
      </c>
      <c r="F645" s="0" t="s">
        <v>47</v>
      </c>
      <c r="G645" s="0" t="s">
        <v>93</v>
      </c>
      <c r="H645" s="0" t="s">
        <v>94</v>
      </c>
      <c r="I645" s="0" t="s">
        <v>83</v>
      </c>
      <c r="J645" s="0" t="s">
        <v>84</v>
      </c>
      <c r="K645" s="0" t="s">
        <v>56</v>
      </c>
      <c r="L645" s="0" t="s">
        <v>57</v>
      </c>
      <c r="M645" s="0" t="s">
        <v>50</v>
      </c>
      <c r="N645" s="0" t="n">
        <v>91</v>
      </c>
      <c r="O645" s="0" t="n">
        <v>11</v>
      </c>
      <c r="P645" s="0" t="n">
        <v>40</v>
      </c>
      <c r="Q645" s="5" t="str">
        <f aca="false">IF($D645&lt;&gt;"","["&amp;$E645&amp;"]"&amp;"|"&amp;SUBSTITUTE(SUBSTITUTE($I645,CHAR(61),""),CHAR(34),"")&amp;"|"&amp;$K645&amp;"|"&amp;$G645&amp;"|"&amp;IF($G645="TX_CURR_SUBNAT.R","CY2020Q4",$M645),"")</f>
        <v>[DiFv5WXIHM5]|05-09|Female|DIAGNOSED_SUBNAT.T_1|CY2021Q3</v>
      </c>
    </row>
    <row r="646" customFormat="false" ht="15" hidden="false" customHeight="false" outlineLevel="0" collapsed="false">
      <c r="D646" s="0" t="s">
        <v>107</v>
      </c>
      <c r="E646" s="0" t="s">
        <v>108</v>
      </c>
      <c r="F646" s="0" t="s">
        <v>47</v>
      </c>
      <c r="G646" s="0" t="s">
        <v>93</v>
      </c>
      <c r="H646" s="0" t="s">
        <v>94</v>
      </c>
      <c r="I646" s="0" t="s">
        <v>83</v>
      </c>
      <c r="J646" s="0" t="s">
        <v>84</v>
      </c>
      <c r="K646" s="0" t="s">
        <v>58</v>
      </c>
      <c r="L646" s="0" t="s">
        <v>59</v>
      </c>
      <c r="M646" s="0" t="s">
        <v>50</v>
      </c>
      <c r="N646" s="0" t="n">
        <v>94</v>
      </c>
      <c r="O646" s="0" t="n">
        <v>46</v>
      </c>
      <c r="P646" s="0" t="n">
        <v>27</v>
      </c>
      <c r="Q646" s="5" t="str">
        <f aca="false">IF($D646&lt;&gt;"","["&amp;$E646&amp;"]"&amp;"|"&amp;SUBSTITUTE(SUBSTITUTE($I646,CHAR(61),""),CHAR(34),"")&amp;"|"&amp;$K646&amp;"|"&amp;$G646&amp;"|"&amp;IF($G646="TX_CURR_SUBNAT.R","CY2020Q4",$M646),"")</f>
        <v>[DiFv5WXIHM5]|05-09|Male|DIAGNOSED_SUBNAT.T_1|CY2021Q3</v>
      </c>
    </row>
    <row r="647" customFormat="false" ht="15" hidden="false" customHeight="false" outlineLevel="0" collapsed="false">
      <c r="D647" s="0" t="s">
        <v>107</v>
      </c>
      <c r="E647" s="0" t="s">
        <v>108</v>
      </c>
      <c r="F647" s="0" t="s">
        <v>47</v>
      </c>
      <c r="G647" s="0" t="s">
        <v>93</v>
      </c>
      <c r="H647" s="0" t="s">
        <v>94</v>
      </c>
      <c r="I647" s="53" t="s">
        <v>86</v>
      </c>
      <c r="J647" s="0" t="s">
        <v>87</v>
      </c>
      <c r="K647" s="0" t="s">
        <v>56</v>
      </c>
      <c r="L647" s="0" t="s">
        <v>57</v>
      </c>
      <c r="M647" s="0" t="s">
        <v>50</v>
      </c>
      <c r="N647" s="0" t="n">
        <v>3939</v>
      </c>
      <c r="O647" s="0" t="n">
        <v>13</v>
      </c>
      <c r="P647" s="0" t="n">
        <v>48</v>
      </c>
      <c r="Q647" s="5" t="str">
        <f aca="false">IF($D647&lt;&gt;"","["&amp;$E647&amp;"]"&amp;"|"&amp;SUBSTITUTE(SUBSTITUTE($I647,CHAR(61),""),CHAR(34),"")&amp;"|"&amp;$K647&amp;"|"&amp;$G647&amp;"|"&amp;IF($G647="TX_CURR_SUBNAT.R","CY2020Q4",$M647),"")</f>
        <v>[DiFv5WXIHM5]|50+|Female|DIAGNOSED_SUBNAT.T_1|CY2021Q3</v>
      </c>
    </row>
    <row r="648" customFormat="false" ht="15" hidden="false" customHeight="false" outlineLevel="0" collapsed="false">
      <c r="D648" s="0" t="s">
        <v>107</v>
      </c>
      <c r="E648" s="0" t="s">
        <v>108</v>
      </c>
      <c r="F648" s="0" t="s">
        <v>47</v>
      </c>
      <c r="G648" s="0" t="s">
        <v>93</v>
      </c>
      <c r="H648" s="0" t="s">
        <v>94</v>
      </c>
      <c r="I648" s="53" t="s">
        <v>86</v>
      </c>
      <c r="J648" s="0" t="s">
        <v>87</v>
      </c>
      <c r="K648" s="0" t="s">
        <v>58</v>
      </c>
      <c r="L648" s="0" t="s">
        <v>59</v>
      </c>
      <c r="M648" s="0" t="s">
        <v>50</v>
      </c>
      <c r="N648" s="0" t="n">
        <v>2699</v>
      </c>
      <c r="O648" s="0" t="n">
        <v>5</v>
      </c>
      <c r="P648" s="0" t="n">
        <v>38</v>
      </c>
      <c r="Q648" s="5" t="str">
        <f aca="false">IF($D648&lt;&gt;"","["&amp;$E648&amp;"]"&amp;"|"&amp;SUBSTITUTE(SUBSTITUTE($I648,CHAR(61),""),CHAR(34),"")&amp;"|"&amp;$K648&amp;"|"&amp;$G648&amp;"|"&amp;IF($G648="TX_CURR_SUBNAT.R","CY2020Q4",$M648),"")</f>
        <v>[DiFv5WXIHM5]|50+|Male|DIAGNOSED_SUBNAT.T_1|CY2021Q3</v>
      </c>
    </row>
    <row r="649" customFormat="false" ht="15" hidden="false" customHeight="false" outlineLevel="0" collapsed="false">
      <c r="D649" s="0" t="s">
        <v>107</v>
      </c>
      <c r="E649" s="0" t="s">
        <v>108</v>
      </c>
      <c r="F649" s="0" t="s">
        <v>47</v>
      </c>
      <c r="G649" s="0" t="s">
        <v>93</v>
      </c>
      <c r="H649" s="0" t="s">
        <v>94</v>
      </c>
      <c r="I649" s="0" t="s">
        <v>89</v>
      </c>
      <c r="J649" s="0" t="s">
        <v>90</v>
      </c>
      <c r="K649" s="0" t="s">
        <v>56</v>
      </c>
      <c r="L649" s="0" t="s">
        <v>57</v>
      </c>
      <c r="M649" s="0" t="s">
        <v>50</v>
      </c>
      <c r="N649" s="0" t="n">
        <v>5</v>
      </c>
      <c r="O649" s="0" t="n">
        <v>57</v>
      </c>
      <c r="P649" s="0" t="n">
        <v>12</v>
      </c>
      <c r="Q649" s="5" t="str">
        <f aca="false">IF($D649&lt;&gt;"","["&amp;$E649&amp;"]"&amp;"|"&amp;SUBSTITUTE(SUBSTITUTE($I649,CHAR(61),""),CHAR(34),"")&amp;"|"&amp;$K649&amp;"|"&amp;$G649&amp;"|"&amp;IF($G649="TX_CURR_SUBNAT.R","CY2020Q4",$M649),"")</f>
        <v>[DiFv5WXIHM5]|&lt;01|Female|DIAGNOSED_SUBNAT.T_1|CY2021Q3</v>
      </c>
    </row>
    <row r="650" customFormat="false" ht="15" hidden="false" customHeight="false" outlineLevel="0" collapsed="false">
      <c r="D650" s="0" t="s">
        <v>107</v>
      </c>
      <c r="E650" s="0" t="s">
        <v>108</v>
      </c>
      <c r="F650" s="0" t="s">
        <v>47</v>
      </c>
      <c r="G650" s="0" t="s">
        <v>93</v>
      </c>
      <c r="H650" s="0" t="s">
        <v>94</v>
      </c>
      <c r="I650" s="0" t="s">
        <v>89</v>
      </c>
      <c r="J650" s="0" t="s">
        <v>90</v>
      </c>
      <c r="K650" s="0" t="s">
        <v>58</v>
      </c>
      <c r="L650" s="0" t="s">
        <v>59</v>
      </c>
      <c r="M650" s="0" t="s">
        <v>50</v>
      </c>
      <c r="N650" s="0" t="n">
        <v>5</v>
      </c>
      <c r="O650" s="0" t="n">
        <v>52</v>
      </c>
      <c r="P650" s="0" t="n">
        <v>39</v>
      </c>
      <c r="Q650" s="5" t="str">
        <f aca="false">IF($D650&lt;&gt;"","["&amp;$E650&amp;"]"&amp;"|"&amp;SUBSTITUTE(SUBSTITUTE($I650,CHAR(61),""),CHAR(34),"")&amp;"|"&amp;$K650&amp;"|"&amp;$G650&amp;"|"&amp;IF($G650="TX_CURR_SUBNAT.R","CY2020Q4",$M650),"")</f>
        <v>[DiFv5WXIHM5]|&lt;01|Male|DIAGNOSED_SUBNAT.T_1|CY2021Q3</v>
      </c>
    </row>
    <row r="651" customFormat="false" ht="15" hidden="false" customHeight="false" outlineLevel="0" collapsed="false">
      <c r="D651" s="0" t="s">
        <v>107</v>
      </c>
      <c r="E651" s="0" t="s">
        <v>108</v>
      </c>
      <c r="F651" s="0" t="s">
        <v>47</v>
      </c>
      <c r="G651" s="0" t="s">
        <v>95</v>
      </c>
      <c r="H651" s="0" t="s">
        <v>96</v>
      </c>
      <c r="I651" s="0" t="s">
        <v>54</v>
      </c>
      <c r="J651" s="0" t="s">
        <v>55</v>
      </c>
      <c r="K651" s="0" t="s">
        <v>56</v>
      </c>
      <c r="L651" s="0" t="s">
        <v>57</v>
      </c>
      <c r="M651" s="0" t="s">
        <v>50</v>
      </c>
      <c r="N651" s="0" t="n">
        <v>22</v>
      </c>
      <c r="O651" s="0" t="n">
        <v>25</v>
      </c>
      <c r="P651" s="0" t="n">
        <v>49</v>
      </c>
      <c r="Q651" s="5" t="str">
        <f aca="false">IF($D651&lt;&gt;"","["&amp;$E651&amp;"]"&amp;"|"&amp;SUBSTITUTE(SUBSTITUTE($I651,CHAR(61),""),CHAR(34),"")&amp;"|"&amp;$K651&amp;"|"&amp;$G651&amp;"|"&amp;IF($G651="TX_CURR_SUBNAT.R","CY2020Q4",$M651),"")</f>
        <v>[DiFv5WXIHM5]|01-04|Female|VL_SUPPRESSED.T_1|CY2021Q3</v>
      </c>
    </row>
    <row r="652" customFormat="false" ht="15" hidden="false" customHeight="false" outlineLevel="0" collapsed="false">
      <c r="D652" s="0" t="s">
        <v>107</v>
      </c>
      <c r="E652" s="0" t="s">
        <v>108</v>
      </c>
      <c r="F652" s="0" t="s">
        <v>47</v>
      </c>
      <c r="G652" s="0" t="s">
        <v>95</v>
      </c>
      <c r="H652" s="0" t="s">
        <v>96</v>
      </c>
      <c r="I652" s="0" t="s">
        <v>54</v>
      </c>
      <c r="J652" s="0" t="s">
        <v>55</v>
      </c>
      <c r="K652" s="0" t="s">
        <v>58</v>
      </c>
      <c r="L652" s="0" t="s">
        <v>59</v>
      </c>
      <c r="M652" s="0" t="s">
        <v>50</v>
      </c>
      <c r="N652" s="0" t="n">
        <v>22</v>
      </c>
      <c r="O652" s="0" t="n">
        <v>31</v>
      </c>
      <c r="P652" s="0" t="n">
        <v>12</v>
      </c>
      <c r="Q652" s="5" t="str">
        <f aca="false">IF($D652&lt;&gt;"","["&amp;$E652&amp;"]"&amp;"|"&amp;SUBSTITUTE(SUBSTITUTE($I652,CHAR(61),""),CHAR(34),"")&amp;"|"&amp;$K652&amp;"|"&amp;$G652&amp;"|"&amp;IF($G652="TX_CURR_SUBNAT.R","CY2020Q4",$M652),"")</f>
        <v>[DiFv5WXIHM5]|01-04|Male|VL_SUPPRESSED.T_1|CY2021Q3</v>
      </c>
    </row>
    <row r="653" customFormat="false" ht="15" hidden="false" customHeight="false" outlineLevel="0" collapsed="false">
      <c r="D653" s="0" t="s">
        <v>107</v>
      </c>
      <c r="E653" s="0" t="s">
        <v>108</v>
      </c>
      <c r="F653" s="0" t="s">
        <v>47</v>
      </c>
      <c r="G653" s="0" t="s">
        <v>95</v>
      </c>
      <c r="H653" s="0" t="s">
        <v>96</v>
      </c>
      <c r="I653" s="0" t="s">
        <v>61</v>
      </c>
      <c r="J653" s="0" t="s">
        <v>62</v>
      </c>
      <c r="K653" s="0" t="s">
        <v>56</v>
      </c>
      <c r="L653" s="0" t="s">
        <v>57</v>
      </c>
      <c r="M653" s="0" t="s">
        <v>50</v>
      </c>
      <c r="N653" s="0" t="n">
        <v>167</v>
      </c>
      <c r="O653" s="0" t="n">
        <v>6</v>
      </c>
      <c r="P653" s="0" t="n">
        <v>34</v>
      </c>
      <c r="Q653" s="5" t="str">
        <f aca="false">IF($D653&lt;&gt;"","["&amp;$E653&amp;"]"&amp;"|"&amp;SUBSTITUTE(SUBSTITUTE($I653,CHAR(61),""),CHAR(34),"")&amp;"|"&amp;$K653&amp;"|"&amp;$G653&amp;"|"&amp;IF($G653="TX_CURR_SUBNAT.R","CY2020Q4",$M653),"")</f>
        <v>[DiFv5WXIHM5]|10-14|Female|VL_SUPPRESSED.T_1|CY2021Q3</v>
      </c>
    </row>
    <row r="654" customFormat="false" ht="15" hidden="false" customHeight="false" outlineLevel="0" collapsed="false">
      <c r="D654" s="0" t="s">
        <v>107</v>
      </c>
      <c r="E654" s="0" t="s">
        <v>108</v>
      </c>
      <c r="F654" s="0" t="s">
        <v>47</v>
      </c>
      <c r="G654" s="0" t="s">
        <v>95</v>
      </c>
      <c r="H654" s="0" t="s">
        <v>96</v>
      </c>
      <c r="I654" s="0" t="s">
        <v>61</v>
      </c>
      <c r="J654" s="0" t="s">
        <v>62</v>
      </c>
      <c r="K654" s="0" t="s">
        <v>58</v>
      </c>
      <c r="L654" s="0" t="s">
        <v>59</v>
      </c>
      <c r="M654" s="0" t="s">
        <v>50</v>
      </c>
      <c r="N654" s="0" t="n">
        <v>142</v>
      </c>
      <c r="O654" s="0" t="n">
        <v>50</v>
      </c>
      <c r="P654" s="0" t="n">
        <v>35</v>
      </c>
      <c r="Q654" s="5" t="str">
        <f aca="false">IF($D654&lt;&gt;"","["&amp;$E654&amp;"]"&amp;"|"&amp;SUBSTITUTE(SUBSTITUTE($I654,CHAR(61),""),CHAR(34),"")&amp;"|"&amp;$K654&amp;"|"&amp;$G654&amp;"|"&amp;IF($G654="TX_CURR_SUBNAT.R","CY2020Q4",$M654),"")</f>
        <v>[DiFv5WXIHM5]|10-14|Male|VL_SUPPRESSED.T_1|CY2021Q3</v>
      </c>
    </row>
    <row r="655" customFormat="false" ht="15" hidden="false" customHeight="false" outlineLevel="0" collapsed="false">
      <c r="D655" s="0" t="s">
        <v>107</v>
      </c>
      <c r="E655" s="0" t="s">
        <v>108</v>
      </c>
      <c r="F655" s="0" t="s">
        <v>47</v>
      </c>
      <c r="G655" s="0" t="s">
        <v>95</v>
      </c>
      <c r="H655" s="0" t="s">
        <v>96</v>
      </c>
      <c r="I655" s="0" t="s">
        <v>63</v>
      </c>
      <c r="J655" s="0" t="s">
        <v>64</v>
      </c>
      <c r="K655" s="0" t="s">
        <v>56</v>
      </c>
      <c r="L655" s="0" t="s">
        <v>57</v>
      </c>
      <c r="M655" s="0" t="s">
        <v>50</v>
      </c>
      <c r="N655" s="0" t="n">
        <v>209</v>
      </c>
      <c r="O655" s="0" t="n">
        <v>12</v>
      </c>
      <c r="P655" s="0" t="n">
        <v>42</v>
      </c>
      <c r="Q655" s="5" t="str">
        <f aca="false">IF($D655&lt;&gt;"","["&amp;$E655&amp;"]"&amp;"|"&amp;SUBSTITUTE(SUBSTITUTE($I655,CHAR(61),""),CHAR(34),"")&amp;"|"&amp;$K655&amp;"|"&amp;$G655&amp;"|"&amp;IF($G655="TX_CURR_SUBNAT.R","CY2020Q4",$M655),"")</f>
        <v>[DiFv5WXIHM5]|15-19|Female|VL_SUPPRESSED.T_1|CY2021Q3</v>
      </c>
    </row>
    <row r="656" customFormat="false" ht="15" hidden="false" customHeight="false" outlineLevel="0" collapsed="false">
      <c r="D656" s="0" t="s">
        <v>107</v>
      </c>
      <c r="E656" s="0" t="s">
        <v>108</v>
      </c>
      <c r="F656" s="0" t="s">
        <v>47</v>
      </c>
      <c r="G656" s="0" t="s">
        <v>95</v>
      </c>
      <c r="H656" s="0" t="s">
        <v>96</v>
      </c>
      <c r="I656" s="0" t="s">
        <v>63</v>
      </c>
      <c r="J656" s="0" t="s">
        <v>64</v>
      </c>
      <c r="K656" s="0" t="s">
        <v>58</v>
      </c>
      <c r="L656" s="0" t="s">
        <v>59</v>
      </c>
      <c r="M656" s="0" t="s">
        <v>50</v>
      </c>
      <c r="N656" s="0" t="n">
        <v>151</v>
      </c>
      <c r="O656" s="0" t="n">
        <v>29</v>
      </c>
      <c r="P656" s="0" t="n">
        <v>40</v>
      </c>
      <c r="Q656" s="5" t="str">
        <f aca="false">IF($D656&lt;&gt;"","["&amp;$E656&amp;"]"&amp;"|"&amp;SUBSTITUTE(SUBSTITUTE($I656,CHAR(61),""),CHAR(34),"")&amp;"|"&amp;$K656&amp;"|"&amp;$G656&amp;"|"&amp;IF($G656="TX_CURR_SUBNAT.R","CY2020Q4",$M656),"")</f>
        <v>[DiFv5WXIHM5]|15-19|Male|VL_SUPPRESSED.T_1|CY2021Q3</v>
      </c>
    </row>
    <row r="657" customFormat="false" ht="15" hidden="false" customHeight="false" outlineLevel="0" collapsed="false">
      <c r="D657" s="0" t="s">
        <v>107</v>
      </c>
      <c r="E657" s="0" t="s">
        <v>108</v>
      </c>
      <c r="F657" s="0" t="s">
        <v>47</v>
      </c>
      <c r="G657" s="0" t="s">
        <v>95</v>
      </c>
      <c r="H657" s="0" t="s">
        <v>96</v>
      </c>
      <c r="I657" s="0" t="s">
        <v>66</v>
      </c>
      <c r="J657" s="0" t="s">
        <v>67</v>
      </c>
      <c r="K657" s="0" t="s">
        <v>56</v>
      </c>
      <c r="L657" s="0" t="s">
        <v>57</v>
      </c>
      <c r="M657" s="0" t="s">
        <v>50</v>
      </c>
      <c r="N657" s="0" t="n">
        <v>564</v>
      </c>
      <c r="O657" s="0" t="n">
        <v>19</v>
      </c>
      <c r="P657" s="0" t="n">
        <v>45</v>
      </c>
      <c r="Q657" s="5" t="str">
        <f aca="false">IF($D657&lt;&gt;"","["&amp;$E657&amp;"]"&amp;"|"&amp;SUBSTITUTE(SUBSTITUTE($I657,CHAR(61),""),CHAR(34),"")&amp;"|"&amp;$K657&amp;"|"&amp;$G657&amp;"|"&amp;IF($G657="TX_CURR_SUBNAT.R","CY2020Q4",$M657),"")</f>
        <v>[DiFv5WXIHM5]|20-24|Female|VL_SUPPRESSED.T_1|CY2021Q3</v>
      </c>
    </row>
    <row r="658" customFormat="false" ht="15" hidden="false" customHeight="false" outlineLevel="0" collapsed="false">
      <c r="D658" s="0" t="s">
        <v>107</v>
      </c>
      <c r="E658" s="0" t="s">
        <v>108</v>
      </c>
      <c r="F658" s="0" t="s">
        <v>47</v>
      </c>
      <c r="G658" s="0" t="s">
        <v>95</v>
      </c>
      <c r="H658" s="0" t="s">
        <v>96</v>
      </c>
      <c r="I658" s="0" t="s">
        <v>66</v>
      </c>
      <c r="J658" s="0" t="s">
        <v>67</v>
      </c>
      <c r="K658" s="0" t="s">
        <v>58</v>
      </c>
      <c r="L658" s="0" t="s">
        <v>59</v>
      </c>
      <c r="M658" s="0" t="s">
        <v>50</v>
      </c>
      <c r="N658" s="0" t="n">
        <v>144</v>
      </c>
      <c r="O658" s="0" t="n">
        <v>46</v>
      </c>
      <c r="P658" s="0" t="n">
        <v>12</v>
      </c>
      <c r="Q658" s="5" t="str">
        <f aca="false">IF($D658&lt;&gt;"","["&amp;$E658&amp;"]"&amp;"|"&amp;SUBSTITUTE(SUBSTITUTE($I658,CHAR(61),""),CHAR(34),"")&amp;"|"&amp;$K658&amp;"|"&amp;$G658&amp;"|"&amp;IF($G658="TX_CURR_SUBNAT.R","CY2020Q4",$M658),"")</f>
        <v>[DiFv5WXIHM5]|20-24|Male|VL_SUPPRESSED.T_1|CY2021Q3</v>
      </c>
    </row>
    <row r="659" customFormat="false" ht="15" hidden="false" customHeight="false" outlineLevel="0" collapsed="false">
      <c r="D659" s="0" t="s">
        <v>107</v>
      </c>
      <c r="E659" s="0" t="s">
        <v>108</v>
      </c>
      <c r="F659" s="0" t="s">
        <v>47</v>
      </c>
      <c r="G659" s="0" t="s">
        <v>95</v>
      </c>
      <c r="H659" s="0" t="s">
        <v>96</v>
      </c>
      <c r="I659" s="0" t="s">
        <v>69</v>
      </c>
      <c r="J659" s="0" t="s">
        <v>70</v>
      </c>
      <c r="K659" s="0" t="s">
        <v>56</v>
      </c>
      <c r="L659" s="0" t="s">
        <v>57</v>
      </c>
      <c r="M659" s="0" t="s">
        <v>50</v>
      </c>
      <c r="N659" s="0" t="n">
        <v>1190</v>
      </c>
      <c r="O659" s="0" t="n">
        <v>22</v>
      </c>
      <c r="P659" s="0" t="n">
        <v>3</v>
      </c>
      <c r="Q659" s="5" t="str">
        <f aca="false">IF($D659&lt;&gt;"","["&amp;$E659&amp;"]"&amp;"|"&amp;SUBSTITUTE(SUBSTITUTE($I659,CHAR(61),""),CHAR(34),"")&amp;"|"&amp;$K659&amp;"|"&amp;$G659&amp;"|"&amp;IF($G659="TX_CURR_SUBNAT.R","CY2020Q4",$M659),"")</f>
        <v>[DiFv5WXIHM5]|25-29|Female|VL_SUPPRESSED.T_1|CY2021Q3</v>
      </c>
    </row>
    <row r="660" customFormat="false" ht="15" hidden="false" customHeight="false" outlineLevel="0" collapsed="false">
      <c r="D660" s="0" t="s">
        <v>107</v>
      </c>
      <c r="E660" s="0" t="s">
        <v>108</v>
      </c>
      <c r="F660" s="0" t="s">
        <v>47</v>
      </c>
      <c r="G660" s="0" t="s">
        <v>95</v>
      </c>
      <c r="H660" s="0" t="s">
        <v>96</v>
      </c>
      <c r="I660" s="0" t="s">
        <v>69</v>
      </c>
      <c r="J660" s="0" t="s">
        <v>70</v>
      </c>
      <c r="K660" s="0" t="s">
        <v>58</v>
      </c>
      <c r="L660" s="0" t="s">
        <v>59</v>
      </c>
      <c r="M660" s="0" t="s">
        <v>50</v>
      </c>
      <c r="N660" s="0" t="n">
        <v>217</v>
      </c>
      <c r="O660" s="0" t="n">
        <v>53</v>
      </c>
      <c r="P660" s="0" t="n">
        <v>15</v>
      </c>
      <c r="Q660" s="5" t="str">
        <f aca="false">IF($D660&lt;&gt;"","["&amp;$E660&amp;"]"&amp;"|"&amp;SUBSTITUTE(SUBSTITUTE($I660,CHAR(61),""),CHAR(34),"")&amp;"|"&amp;$K660&amp;"|"&amp;$G660&amp;"|"&amp;IF($G660="TX_CURR_SUBNAT.R","CY2020Q4",$M660),"")</f>
        <v>[DiFv5WXIHM5]|25-29|Male|VL_SUPPRESSED.T_1|CY2021Q3</v>
      </c>
    </row>
    <row r="661" customFormat="false" ht="15" hidden="false" customHeight="false" outlineLevel="0" collapsed="false">
      <c r="D661" s="0" t="s">
        <v>107</v>
      </c>
      <c r="E661" s="0" t="s">
        <v>108</v>
      </c>
      <c r="F661" s="0" t="s">
        <v>47</v>
      </c>
      <c r="G661" s="0" t="s">
        <v>95</v>
      </c>
      <c r="H661" s="0" t="s">
        <v>96</v>
      </c>
      <c r="I661" s="0" t="s">
        <v>72</v>
      </c>
      <c r="J661" s="0" t="s">
        <v>73</v>
      </c>
      <c r="K661" s="0" t="s">
        <v>56</v>
      </c>
      <c r="L661" s="0" t="s">
        <v>57</v>
      </c>
      <c r="M661" s="0" t="s">
        <v>50</v>
      </c>
      <c r="N661" s="0" t="n">
        <v>1603</v>
      </c>
      <c r="O661" s="0" t="n">
        <v>31</v>
      </c>
      <c r="P661" s="0" t="n">
        <v>35</v>
      </c>
      <c r="Q661" s="5" t="str">
        <f aca="false">IF($D661&lt;&gt;"","["&amp;$E661&amp;"]"&amp;"|"&amp;SUBSTITUTE(SUBSTITUTE($I661,CHAR(61),""),CHAR(34),"")&amp;"|"&amp;$K661&amp;"|"&amp;$G661&amp;"|"&amp;IF($G661="TX_CURR_SUBNAT.R","CY2020Q4",$M661),"")</f>
        <v>[DiFv5WXIHM5]|30-34|Female|VL_SUPPRESSED.T_1|CY2021Q3</v>
      </c>
    </row>
    <row r="662" customFormat="false" ht="15" hidden="false" customHeight="false" outlineLevel="0" collapsed="false">
      <c r="D662" s="0" t="s">
        <v>107</v>
      </c>
      <c r="E662" s="0" t="s">
        <v>108</v>
      </c>
      <c r="F662" s="0" t="s">
        <v>47</v>
      </c>
      <c r="G662" s="0" t="s">
        <v>95</v>
      </c>
      <c r="H662" s="0" t="s">
        <v>96</v>
      </c>
      <c r="I662" s="0" t="s">
        <v>72</v>
      </c>
      <c r="J662" s="0" t="s">
        <v>73</v>
      </c>
      <c r="K662" s="0" t="s">
        <v>58</v>
      </c>
      <c r="L662" s="0" t="s">
        <v>59</v>
      </c>
      <c r="M662" s="0" t="s">
        <v>50</v>
      </c>
      <c r="N662" s="0" t="n">
        <v>588</v>
      </c>
      <c r="O662" s="0" t="n">
        <v>48</v>
      </c>
      <c r="P662" s="0" t="n">
        <v>28</v>
      </c>
      <c r="Q662" s="5" t="str">
        <f aca="false">IF($D662&lt;&gt;"","["&amp;$E662&amp;"]"&amp;"|"&amp;SUBSTITUTE(SUBSTITUTE($I662,CHAR(61),""),CHAR(34),"")&amp;"|"&amp;$K662&amp;"|"&amp;$G662&amp;"|"&amp;IF($G662="TX_CURR_SUBNAT.R","CY2020Q4",$M662),"")</f>
        <v>[DiFv5WXIHM5]|30-34|Male|VL_SUPPRESSED.T_1|CY2021Q3</v>
      </c>
    </row>
    <row r="663" customFormat="false" ht="15" hidden="false" customHeight="false" outlineLevel="0" collapsed="false">
      <c r="D663" s="0" t="s">
        <v>107</v>
      </c>
      <c r="E663" s="0" t="s">
        <v>108</v>
      </c>
      <c r="F663" s="0" t="s">
        <v>47</v>
      </c>
      <c r="G663" s="0" t="s">
        <v>95</v>
      </c>
      <c r="H663" s="0" t="s">
        <v>96</v>
      </c>
      <c r="I663" s="0" t="s">
        <v>75</v>
      </c>
      <c r="J663" s="0" t="s">
        <v>76</v>
      </c>
      <c r="K663" s="0" t="s">
        <v>56</v>
      </c>
      <c r="L663" s="0" t="s">
        <v>57</v>
      </c>
      <c r="M663" s="0" t="s">
        <v>50</v>
      </c>
      <c r="N663" s="0" t="n">
        <v>1752</v>
      </c>
      <c r="O663" s="0" t="n">
        <v>56</v>
      </c>
      <c r="P663" s="0" t="n">
        <v>9</v>
      </c>
      <c r="Q663" s="5" t="str">
        <f aca="false">IF($D663&lt;&gt;"","["&amp;$E663&amp;"]"&amp;"|"&amp;SUBSTITUTE(SUBSTITUTE($I663,CHAR(61),""),CHAR(34),"")&amp;"|"&amp;$K663&amp;"|"&amp;$G663&amp;"|"&amp;IF($G663="TX_CURR_SUBNAT.R","CY2020Q4",$M663),"")</f>
        <v>[DiFv5WXIHM5]|35-39|Female|VL_SUPPRESSED.T_1|CY2021Q3</v>
      </c>
    </row>
    <row r="664" customFormat="false" ht="15" hidden="false" customHeight="false" outlineLevel="0" collapsed="false">
      <c r="D664" s="0" t="s">
        <v>107</v>
      </c>
      <c r="E664" s="0" t="s">
        <v>108</v>
      </c>
      <c r="F664" s="0" t="s">
        <v>47</v>
      </c>
      <c r="G664" s="0" t="s">
        <v>95</v>
      </c>
      <c r="H664" s="0" t="s">
        <v>96</v>
      </c>
      <c r="I664" s="0" t="s">
        <v>75</v>
      </c>
      <c r="J664" s="0" t="s">
        <v>76</v>
      </c>
      <c r="K664" s="0" t="s">
        <v>58</v>
      </c>
      <c r="L664" s="0" t="s">
        <v>59</v>
      </c>
      <c r="M664" s="0" t="s">
        <v>50</v>
      </c>
      <c r="N664" s="0" t="n">
        <v>1067</v>
      </c>
      <c r="O664" s="0" t="n">
        <v>51</v>
      </c>
      <c r="P664" s="0" t="n">
        <v>34</v>
      </c>
      <c r="Q664" s="5" t="str">
        <f aca="false">IF($D664&lt;&gt;"","["&amp;$E664&amp;"]"&amp;"|"&amp;SUBSTITUTE(SUBSTITUTE($I664,CHAR(61),""),CHAR(34),"")&amp;"|"&amp;$K664&amp;"|"&amp;$G664&amp;"|"&amp;IF($G664="TX_CURR_SUBNAT.R","CY2020Q4",$M664),"")</f>
        <v>[DiFv5WXIHM5]|35-39|Male|VL_SUPPRESSED.T_1|CY2021Q3</v>
      </c>
    </row>
    <row r="665" customFormat="false" ht="15" hidden="false" customHeight="false" outlineLevel="0" collapsed="false">
      <c r="D665" s="0" t="s">
        <v>107</v>
      </c>
      <c r="E665" s="0" t="s">
        <v>108</v>
      </c>
      <c r="F665" s="0" t="s">
        <v>47</v>
      </c>
      <c r="G665" s="0" t="s">
        <v>95</v>
      </c>
      <c r="H665" s="0" t="s">
        <v>96</v>
      </c>
      <c r="I665" s="0" t="s">
        <v>77</v>
      </c>
      <c r="J665" s="0" t="s">
        <v>78</v>
      </c>
      <c r="K665" s="0" t="s">
        <v>56</v>
      </c>
      <c r="L665" s="0" t="s">
        <v>57</v>
      </c>
      <c r="M665" s="0" t="s">
        <v>50</v>
      </c>
      <c r="N665" s="0" t="n">
        <v>1513</v>
      </c>
      <c r="O665" s="0" t="n">
        <v>25</v>
      </c>
      <c r="P665" s="0" t="n">
        <v>8</v>
      </c>
      <c r="Q665" s="5" t="str">
        <f aca="false">IF($D665&lt;&gt;"","["&amp;$E665&amp;"]"&amp;"|"&amp;SUBSTITUTE(SUBSTITUTE($I665,CHAR(61),""),CHAR(34),"")&amp;"|"&amp;$K665&amp;"|"&amp;$G665&amp;"|"&amp;IF($G665="TX_CURR_SUBNAT.R","CY2020Q4",$M665),"")</f>
        <v>[DiFv5WXIHM5]|40-44|Female|VL_SUPPRESSED.T_1|CY2021Q3</v>
      </c>
    </row>
    <row r="666" customFormat="false" ht="15" hidden="false" customHeight="false" outlineLevel="0" collapsed="false">
      <c r="D666" s="0" t="s">
        <v>107</v>
      </c>
      <c r="E666" s="0" t="s">
        <v>108</v>
      </c>
      <c r="F666" s="0" t="s">
        <v>47</v>
      </c>
      <c r="G666" s="0" t="s">
        <v>95</v>
      </c>
      <c r="H666" s="0" t="s">
        <v>96</v>
      </c>
      <c r="I666" s="0" t="s">
        <v>77</v>
      </c>
      <c r="J666" s="0" t="s">
        <v>78</v>
      </c>
      <c r="K666" s="0" t="s">
        <v>58</v>
      </c>
      <c r="L666" s="0" t="s">
        <v>59</v>
      </c>
      <c r="M666" s="0" t="s">
        <v>50</v>
      </c>
      <c r="N666" s="0" t="n">
        <v>1027</v>
      </c>
      <c r="O666" s="0" t="n">
        <v>39</v>
      </c>
      <c r="P666" s="0" t="n">
        <v>44</v>
      </c>
      <c r="Q666" s="5" t="str">
        <f aca="false">IF($D666&lt;&gt;"","["&amp;$E666&amp;"]"&amp;"|"&amp;SUBSTITUTE(SUBSTITUTE($I666,CHAR(61),""),CHAR(34),"")&amp;"|"&amp;$K666&amp;"|"&amp;$G666&amp;"|"&amp;IF($G666="TX_CURR_SUBNAT.R","CY2020Q4",$M666),"")</f>
        <v>[DiFv5WXIHM5]|40-44|Male|VL_SUPPRESSED.T_1|CY2021Q3</v>
      </c>
    </row>
    <row r="667" customFormat="false" ht="15" hidden="false" customHeight="false" outlineLevel="0" collapsed="false">
      <c r="D667" s="0" t="s">
        <v>107</v>
      </c>
      <c r="E667" s="0" t="s">
        <v>108</v>
      </c>
      <c r="F667" s="0" t="s">
        <v>47</v>
      </c>
      <c r="G667" s="0" t="s">
        <v>95</v>
      </c>
      <c r="H667" s="0" t="s">
        <v>96</v>
      </c>
      <c r="I667" s="0" t="s">
        <v>80</v>
      </c>
      <c r="J667" s="0" t="s">
        <v>81</v>
      </c>
      <c r="K667" s="0" t="s">
        <v>56</v>
      </c>
      <c r="L667" s="0" t="s">
        <v>57</v>
      </c>
      <c r="M667" s="0" t="s">
        <v>50</v>
      </c>
      <c r="N667" s="0" t="n">
        <v>1225</v>
      </c>
      <c r="O667" s="0" t="n">
        <v>31</v>
      </c>
      <c r="P667" s="0" t="n">
        <v>12</v>
      </c>
      <c r="Q667" s="5" t="str">
        <f aca="false">IF($D667&lt;&gt;"","["&amp;$E667&amp;"]"&amp;"|"&amp;SUBSTITUTE(SUBSTITUTE($I667,CHAR(61),""),CHAR(34),"")&amp;"|"&amp;$K667&amp;"|"&amp;$G667&amp;"|"&amp;IF($G667="TX_CURR_SUBNAT.R","CY2020Q4",$M667),"")</f>
        <v>[DiFv5WXIHM5]|45-49|Female|VL_SUPPRESSED.T_1|CY2021Q3</v>
      </c>
    </row>
    <row r="668" customFormat="false" ht="15" hidden="false" customHeight="false" outlineLevel="0" collapsed="false">
      <c r="D668" s="0" t="s">
        <v>107</v>
      </c>
      <c r="E668" s="0" t="s">
        <v>108</v>
      </c>
      <c r="F668" s="0" t="s">
        <v>47</v>
      </c>
      <c r="G668" s="0" t="s">
        <v>95</v>
      </c>
      <c r="H668" s="0" t="s">
        <v>96</v>
      </c>
      <c r="I668" s="0" t="s">
        <v>80</v>
      </c>
      <c r="J668" s="0" t="s">
        <v>81</v>
      </c>
      <c r="K668" s="0" t="s">
        <v>58</v>
      </c>
      <c r="L668" s="0" t="s">
        <v>59</v>
      </c>
      <c r="M668" s="0" t="s">
        <v>50</v>
      </c>
      <c r="N668" s="0" t="n">
        <v>806</v>
      </c>
      <c r="O668" s="0" t="n">
        <v>13</v>
      </c>
      <c r="P668" s="0" t="n">
        <v>19</v>
      </c>
      <c r="Q668" s="5" t="str">
        <f aca="false">IF($D668&lt;&gt;"","["&amp;$E668&amp;"]"&amp;"|"&amp;SUBSTITUTE(SUBSTITUTE($I668,CHAR(61),""),CHAR(34),"")&amp;"|"&amp;$K668&amp;"|"&amp;$G668&amp;"|"&amp;IF($G668="TX_CURR_SUBNAT.R","CY2020Q4",$M668),"")</f>
        <v>[DiFv5WXIHM5]|45-49|Male|VL_SUPPRESSED.T_1|CY2021Q3</v>
      </c>
    </row>
    <row r="669" customFormat="false" ht="15" hidden="false" customHeight="false" outlineLevel="0" collapsed="false">
      <c r="D669" s="0" t="s">
        <v>107</v>
      </c>
      <c r="E669" s="0" t="s">
        <v>108</v>
      </c>
      <c r="F669" s="0" t="s">
        <v>47</v>
      </c>
      <c r="G669" s="0" t="s">
        <v>95</v>
      </c>
      <c r="H669" s="0" t="s">
        <v>96</v>
      </c>
      <c r="I669" s="0" t="s">
        <v>83</v>
      </c>
      <c r="J669" s="0" t="s">
        <v>84</v>
      </c>
      <c r="K669" s="0" t="s">
        <v>56</v>
      </c>
      <c r="L669" s="0" t="s">
        <v>57</v>
      </c>
      <c r="M669" s="0" t="s">
        <v>50</v>
      </c>
      <c r="N669" s="0" t="n">
        <v>106</v>
      </c>
      <c r="O669" s="0" t="n">
        <v>29</v>
      </c>
      <c r="P669" s="0" t="n">
        <v>43</v>
      </c>
      <c r="Q669" s="5" t="str">
        <f aca="false">IF($D669&lt;&gt;"","["&amp;$E669&amp;"]"&amp;"|"&amp;SUBSTITUTE(SUBSTITUTE($I669,CHAR(61),""),CHAR(34),"")&amp;"|"&amp;$K669&amp;"|"&amp;$G669&amp;"|"&amp;IF($G669="TX_CURR_SUBNAT.R","CY2020Q4",$M669),"")</f>
        <v>[DiFv5WXIHM5]|05-09|Female|VL_SUPPRESSED.T_1|CY2021Q3</v>
      </c>
    </row>
    <row r="670" customFormat="false" ht="15" hidden="false" customHeight="false" outlineLevel="0" collapsed="false">
      <c r="D670" s="0" t="s">
        <v>107</v>
      </c>
      <c r="E670" s="0" t="s">
        <v>108</v>
      </c>
      <c r="F670" s="0" t="s">
        <v>47</v>
      </c>
      <c r="G670" s="0" t="s">
        <v>95</v>
      </c>
      <c r="H670" s="0" t="s">
        <v>96</v>
      </c>
      <c r="I670" s="0" t="s">
        <v>83</v>
      </c>
      <c r="J670" s="0" t="s">
        <v>84</v>
      </c>
      <c r="K670" s="0" t="s">
        <v>58</v>
      </c>
      <c r="L670" s="0" t="s">
        <v>59</v>
      </c>
      <c r="M670" s="0" t="s">
        <v>50</v>
      </c>
      <c r="N670" s="0" t="n">
        <v>90</v>
      </c>
      <c r="O670" s="0" t="n">
        <v>37</v>
      </c>
      <c r="P670" s="0" t="n">
        <v>37</v>
      </c>
      <c r="Q670" s="5" t="str">
        <f aca="false">IF($D670&lt;&gt;"","["&amp;$E670&amp;"]"&amp;"|"&amp;SUBSTITUTE(SUBSTITUTE($I670,CHAR(61),""),CHAR(34),"")&amp;"|"&amp;$K670&amp;"|"&amp;$G670&amp;"|"&amp;IF($G670="TX_CURR_SUBNAT.R","CY2020Q4",$M670),"")</f>
        <v>[DiFv5WXIHM5]|05-09|Male|VL_SUPPRESSED.T_1|CY2021Q3</v>
      </c>
    </row>
    <row r="671" customFormat="false" ht="15" hidden="false" customHeight="false" outlineLevel="0" collapsed="false">
      <c r="D671" s="0" t="s">
        <v>107</v>
      </c>
      <c r="E671" s="0" t="s">
        <v>108</v>
      </c>
      <c r="F671" s="0" t="s">
        <v>47</v>
      </c>
      <c r="G671" s="0" t="s">
        <v>95</v>
      </c>
      <c r="H671" s="0" t="s">
        <v>96</v>
      </c>
      <c r="I671" s="53" t="s">
        <v>86</v>
      </c>
      <c r="J671" s="0" t="s">
        <v>87</v>
      </c>
      <c r="K671" s="0" t="s">
        <v>56</v>
      </c>
      <c r="L671" s="0" t="s">
        <v>57</v>
      </c>
      <c r="M671" s="0" t="s">
        <v>50</v>
      </c>
      <c r="N671" s="0" t="n">
        <v>3439</v>
      </c>
      <c r="O671" s="0" t="n">
        <v>38</v>
      </c>
      <c r="P671" s="0" t="n">
        <v>48</v>
      </c>
      <c r="Q671" s="5" t="str">
        <f aca="false">IF($D671&lt;&gt;"","["&amp;$E671&amp;"]"&amp;"|"&amp;SUBSTITUTE(SUBSTITUTE($I671,CHAR(61),""),CHAR(34),"")&amp;"|"&amp;$K671&amp;"|"&amp;$G671&amp;"|"&amp;IF($G671="TX_CURR_SUBNAT.R","CY2020Q4",$M671),"")</f>
        <v>[DiFv5WXIHM5]|50+|Female|VL_SUPPRESSED.T_1|CY2021Q3</v>
      </c>
    </row>
    <row r="672" customFormat="false" ht="15" hidden="false" customHeight="false" outlineLevel="0" collapsed="false">
      <c r="D672" s="0" t="s">
        <v>107</v>
      </c>
      <c r="E672" s="0" t="s">
        <v>108</v>
      </c>
      <c r="F672" s="0" t="s">
        <v>47</v>
      </c>
      <c r="G672" s="0" t="s">
        <v>95</v>
      </c>
      <c r="H672" s="0" t="s">
        <v>96</v>
      </c>
      <c r="I672" s="53" t="s">
        <v>86</v>
      </c>
      <c r="J672" s="0" t="s">
        <v>87</v>
      </c>
      <c r="K672" s="0" t="s">
        <v>58</v>
      </c>
      <c r="L672" s="0" t="s">
        <v>59</v>
      </c>
      <c r="M672" s="0" t="s">
        <v>50</v>
      </c>
      <c r="N672" s="0" t="n">
        <v>2291</v>
      </c>
      <c r="O672" s="0" t="n">
        <v>35</v>
      </c>
      <c r="P672" s="0" t="n">
        <v>13</v>
      </c>
      <c r="Q672" s="5" t="str">
        <f aca="false">IF($D672&lt;&gt;"","["&amp;$E672&amp;"]"&amp;"|"&amp;SUBSTITUTE(SUBSTITUTE($I672,CHAR(61),""),CHAR(34),"")&amp;"|"&amp;$K672&amp;"|"&amp;$G672&amp;"|"&amp;IF($G672="TX_CURR_SUBNAT.R","CY2020Q4",$M672),"")</f>
        <v>[DiFv5WXIHM5]|50+|Male|VL_SUPPRESSED.T_1|CY2021Q3</v>
      </c>
    </row>
    <row r="673" customFormat="false" ht="15" hidden="false" customHeight="false" outlineLevel="0" collapsed="false">
      <c r="D673" s="0" t="s">
        <v>107</v>
      </c>
      <c r="E673" s="0" t="s">
        <v>108</v>
      </c>
      <c r="F673" s="0" t="s">
        <v>47</v>
      </c>
      <c r="G673" s="0" t="s">
        <v>97</v>
      </c>
      <c r="H673" s="0" t="s">
        <v>98</v>
      </c>
      <c r="I673" s="0" t="s">
        <v>54</v>
      </c>
      <c r="J673" s="0" t="s">
        <v>55</v>
      </c>
      <c r="K673" s="0" t="s">
        <v>56</v>
      </c>
      <c r="L673" s="0" t="s">
        <v>57</v>
      </c>
      <c r="M673" s="0" t="s">
        <v>50</v>
      </c>
      <c r="N673" s="0" t="n">
        <v>56</v>
      </c>
      <c r="O673" s="0" t="n">
        <v>28</v>
      </c>
      <c r="P673" s="0" t="n">
        <v>26</v>
      </c>
      <c r="Q673" s="5" t="str">
        <f aca="false">IF($D673&lt;&gt;"","["&amp;$E673&amp;"]"&amp;"|"&amp;SUBSTITUTE(SUBSTITUTE($I673,CHAR(61),""),CHAR(34),"")&amp;"|"&amp;$K673&amp;"|"&amp;$G673&amp;"|"&amp;IF($G673="TX_CURR_SUBNAT.R","CY2020Q4",$M673),"")</f>
        <v>[DiFv5WXIHM5]|01-04|Female|PLHIV.T_1|CY2021Q3</v>
      </c>
    </row>
    <row r="674" customFormat="false" ht="15" hidden="false" customHeight="false" outlineLevel="0" collapsed="false">
      <c r="D674" s="0" t="s">
        <v>107</v>
      </c>
      <c r="E674" s="0" t="s">
        <v>108</v>
      </c>
      <c r="F674" s="0" t="s">
        <v>47</v>
      </c>
      <c r="G674" s="0" t="s">
        <v>97</v>
      </c>
      <c r="H674" s="0" t="s">
        <v>98</v>
      </c>
      <c r="I674" s="0" t="s">
        <v>54</v>
      </c>
      <c r="J674" s="0" t="s">
        <v>55</v>
      </c>
      <c r="K674" s="0" t="s">
        <v>58</v>
      </c>
      <c r="L674" s="0" t="s">
        <v>59</v>
      </c>
      <c r="M674" s="0" t="s">
        <v>50</v>
      </c>
      <c r="N674" s="0" t="n">
        <v>57</v>
      </c>
      <c r="O674" s="0" t="n">
        <v>44</v>
      </c>
      <c r="P674" s="0" t="n">
        <v>31</v>
      </c>
      <c r="Q674" s="5" t="str">
        <f aca="false">IF($D674&lt;&gt;"","["&amp;$E674&amp;"]"&amp;"|"&amp;SUBSTITUTE(SUBSTITUTE($I674,CHAR(61),""),CHAR(34),"")&amp;"|"&amp;$K674&amp;"|"&amp;$G674&amp;"|"&amp;IF($G674="TX_CURR_SUBNAT.R","CY2020Q4",$M674),"")</f>
        <v>[DiFv5WXIHM5]|01-04|Male|PLHIV.T_1|CY2021Q3</v>
      </c>
    </row>
    <row r="675" customFormat="false" ht="15" hidden="false" customHeight="false" outlineLevel="0" collapsed="false">
      <c r="D675" s="0" t="s">
        <v>107</v>
      </c>
      <c r="E675" s="0" t="s">
        <v>108</v>
      </c>
      <c r="F675" s="0" t="s">
        <v>47</v>
      </c>
      <c r="G675" s="0" t="s">
        <v>97</v>
      </c>
      <c r="H675" s="0" t="s">
        <v>98</v>
      </c>
      <c r="I675" s="0" t="s">
        <v>61</v>
      </c>
      <c r="J675" s="0" t="s">
        <v>62</v>
      </c>
      <c r="K675" s="0" t="s">
        <v>56</v>
      </c>
      <c r="L675" s="0" t="s">
        <v>57</v>
      </c>
      <c r="M675" s="0" t="s">
        <v>50</v>
      </c>
      <c r="N675" s="0" t="n">
        <v>247</v>
      </c>
      <c r="O675" s="0" t="n">
        <v>38</v>
      </c>
      <c r="P675" s="0" t="n">
        <v>31</v>
      </c>
      <c r="Q675" s="5" t="str">
        <f aca="false">IF($D675&lt;&gt;"","["&amp;$E675&amp;"]"&amp;"|"&amp;SUBSTITUTE(SUBSTITUTE($I675,CHAR(61),""),CHAR(34),"")&amp;"|"&amp;$K675&amp;"|"&amp;$G675&amp;"|"&amp;IF($G675="TX_CURR_SUBNAT.R","CY2020Q4",$M675),"")</f>
        <v>[DiFv5WXIHM5]|10-14|Female|PLHIV.T_1|CY2021Q3</v>
      </c>
    </row>
    <row r="676" customFormat="false" ht="15" hidden="false" customHeight="false" outlineLevel="0" collapsed="false">
      <c r="D676" s="0" t="s">
        <v>107</v>
      </c>
      <c r="E676" s="0" t="s">
        <v>108</v>
      </c>
      <c r="F676" s="0" t="s">
        <v>47</v>
      </c>
      <c r="G676" s="0" t="s">
        <v>97</v>
      </c>
      <c r="H676" s="0" t="s">
        <v>98</v>
      </c>
      <c r="I676" s="0" t="s">
        <v>61</v>
      </c>
      <c r="J676" s="0" t="s">
        <v>62</v>
      </c>
      <c r="K676" s="0" t="s">
        <v>58</v>
      </c>
      <c r="L676" s="0" t="s">
        <v>59</v>
      </c>
      <c r="M676" s="0" t="s">
        <v>50</v>
      </c>
      <c r="N676" s="0" t="n">
        <v>256</v>
      </c>
      <c r="O676" s="0" t="n">
        <v>37</v>
      </c>
      <c r="P676" s="0" t="n">
        <v>47</v>
      </c>
      <c r="Q676" s="5" t="str">
        <f aca="false">IF($D676&lt;&gt;"","["&amp;$E676&amp;"]"&amp;"|"&amp;SUBSTITUTE(SUBSTITUTE($I676,CHAR(61),""),CHAR(34),"")&amp;"|"&amp;$K676&amp;"|"&amp;$G676&amp;"|"&amp;IF($G676="TX_CURR_SUBNAT.R","CY2020Q4",$M676),"")</f>
        <v>[DiFv5WXIHM5]|10-14|Male|PLHIV.T_1|CY2021Q3</v>
      </c>
    </row>
    <row r="677" customFormat="false" ht="15" hidden="false" customHeight="false" outlineLevel="0" collapsed="false">
      <c r="D677" s="0" t="s">
        <v>107</v>
      </c>
      <c r="E677" s="0" t="s">
        <v>108</v>
      </c>
      <c r="F677" s="0" t="s">
        <v>47</v>
      </c>
      <c r="G677" s="0" t="s">
        <v>97</v>
      </c>
      <c r="H677" s="0" t="s">
        <v>98</v>
      </c>
      <c r="I677" s="0" t="s">
        <v>63</v>
      </c>
      <c r="J677" s="0" t="s">
        <v>64</v>
      </c>
      <c r="K677" s="0" t="s">
        <v>56</v>
      </c>
      <c r="L677" s="0" t="s">
        <v>57</v>
      </c>
      <c r="M677" s="0" t="s">
        <v>50</v>
      </c>
      <c r="N677" s="0" t="n">
        <v>419</v>
      </c>
      <c r="O677" s="0" t="n">
        <v>42</v>
      </c>
      <c r="P677" s="0" t="n">
        <v>21</v>
      </c>
      <c r="Q677" s="5" t="str">
        <f aca="false">IF($D677&lt;&gt;"","["&amp;$E677&amp;"]"&amp;"|"&amp;SUBSTITUTE(SUBSTITUTE($I677,CHAR(61),""),CHAR(34),"")&amp;"|"&amp;$K677&amp;"|"&amp;$G677&amp;"|"&amp;IF($G677="TX_CURR_SUBNAT.R","CY2020Q4",$M677),"")</f>
        <v>[DiFv5WXIHM5]|15-19|Female|PLHIV.T_1|CY2021Q3</v>
      </c>
    </row>
    <row r="678" customFormat="false" ht="15" hidden="false" customHeight="false" outlineLevel="0" collapsed="false">
      <c r="D678" s="0" t="s">
        <v>107</v>
      </c>
      <c r="E678" s="0" t="s">
        <v>108</v>
      </c>
      <c r="F678" s="0" t="s">
        <v>47</v>
      </c>
      <c r="G678" s="0" t="s">
        <v>97</v>
      </c>
      <c r="H678" s="0" t="s">
        <v>98</v>
      </c>
      <c r="I678" s="0" t="s">
        <v>63</v>
      </c>
      <c r="J678" s="0" t="s">
        <v>64</v>
      </c>
      <c r="K678" s="0" t="s">
        <v>58</v>
      </c>
      <c r="L678" s="0" t="s">
        <v>59</v>
      </c>
      <c r="M678" s="0" t="s">
        <v>50</v>
      </c>
      <c r="N678" s="0" t="n">
        <v>267</v>
      </c>
      <c r="O678" s="0" t="n">
        <v>35</v>
      </c>
      <c r="P678" s="0" t="n">
        <v>1</v>
      </c>
      <c r="Q678" s="5" t="str">
        <f aca="false">IF($D678&lt;&gt;"","["&amp;$E678&amp;"]"&amp;"|"&amp;SUBSTITUTE(SUBSTITUTE($I678,CHAR(61),""),CHAR(34),"")&amp;"|"&amp;$K678&amp;"|"&amp;$G678&amp;"|"&amp;IF($G678="TX_CURR_SUBNAT.R","CY2020Q4",$M678),"")</f>
        <v>[DiFv5WXIHM5]|15-19|Male|PLHIV.T_1|CY2021Q3</v>
      </c>
    </row>
    <row r="679" customFormat="false" ht="15" hidden="false" customHeight="false" outlineLevel="0" collapsed="false">
      <c r="D679" s="0" t="s">
        <v>107</v>
      </c>
      <c r="E679" s="0" t="s">
        <v>108</v>
      </c>
      <c r="F679" s="0" t="s">
        <v>47</v>
      </c>
      <c r="G679" s="0" t="s">
        <v>97</v>
      </c>
      <c r="H679" s="0" t="s">
        <v>98</v>
      </c>
      <c r="I679" s="0" t="s">
        <v>66</v>
      </c>
      <c r="J679" s="0" t="s">
        <v>67</v>
      </c>
      <c r="K679" s="0" t="s">
        <v>56</v>
      </c>
      <c r="L679" s="0" t="s">
        <v>57</v>
      </c>
      <c r="M679" s="0" t="s">
        <v>50</v>
      </c>
      <c r="N679" s="0" t="n">
        <v>1051</v>
      </c>
      <c r="O679" s="0" t="n">
        <v>33</v>
      </c>
      <c r="P679" s="0" t="n">
        <v>43</v>
      </c>
      <c r="Q679" s="5" t="str">
        <f aca="false">IF($D679&lt;&gt;"","["&amp;$E679&amp;"]"&amp;"|"&amp;SUBSTITUTE(SUBSTITUTE($I679,CHAR(61),""),CHAR(34),"")&amp;"|"&amp;$K679&amp;"|"&amp;$G679&amp;"|"&amp;IF($G679="TX_CURR_SUBNAT.R","CY2020Q4",$M679),"")</f>
        <v>[DiFv5WXIHM5]|20-24|Female|PLHIV.T_1|CY2021Q3</v>
      </c>
    </row>
    <row r="680" customFormat="false" ht="15" hidden="false" customHeight="false" outlineLevel="0" collapsed="false">
      <c r="D680" s="0" t="s">
        <v>107</v>
      </c>
      <c r="E680" s="0" t="s">
        <v>108</v>
      </c>
      <c r="F680" s="0" t="s">
        <v>47</v>
      </c>
      <c r="G680" s="0" t="s">
        <v>97</v>
      </c>
      <c r="H680" s="0" t="s">
        <v>98</v>
      </c>
      <c r="I680" s="0" t="s">
        <v>66</v>
      </c>
      <c r="J680" s="0" t="s">
        <v>67</v>
      </c>
      <c r="K680" s="0" t="s">
        <v>58</v>
      </c>
      <c r="L680" s="0" t="s">
        <v>59</v>
      </c>
      <c r="M680" s="0" t="s">
        <v>50</v>
      </c>
      <c r="N680" s="0" t="n">
        <v>432</v>
      </c>
      <c r="O680" s="0" t="n">
        <v>33</v>
      </c>
      <c r="P680" s="0" t="n">
        <v>20</v>
      </c>
      <c r="Q680" s="5" t="str">
        <f aca="false">IF($D680&lt;&gt;"","["&amp;$E680&amp;"]"&amp;"|"&amp;SUBSTITUTE(SUBSTITUTE($I680,CHAR(61),""),CHAR(34),"")&amp;"|"&amp;$K680&amp;"|"&amp;$G680&amp;"|"&amp;IF($G680="TX_CURR_SUBNAT.R","CY2020Q4",$M680),"")</f>
        <v>[DiFv5WXIHM5]|20-24|Male|PLHIV.T_1|CY2021Q3</v>
      </c>
    </row>
    <row r="681" customFormat="false" ht="15" hidden="false" customHeight="false" outlineLevel="0" collapsed="false">
      <c r="D681" s="0" t="s">
        <v>107</v>
      </c>
      <c r="E681" s="0" t="s">
        <v>108</v>
      </c>
      <c r="F681" s="0" t="s">
        <v>47</v>
      </c>
      <c r="G681" s="0" t="s">
        <v>97</v>
      </c>
      <c r="H681" s="0" t="s">
        <v>98</v>
      </c>
      <c r="I681" s="0" t="s">
        <v>69</v>
      </c>
      <c r="J681" s="0" t="s">
        <v>70</v>
      </c>
      <c r="K681" s="0" t="s">
        <v>56</v>
      </c>
      <c r="L681" s="0" t="s">
        <v>57</v>
      </c>
      <c r="M681" s="0" t="s">
        <v>50</v>
      </c>
      <c r="N681" s="0" t="n">
        <v>1901</v>
      </c>
      <c r="O681" s="0" t="n">
        <v>44</v>
      </c>
      <c r="P681" s="0" t="n">
        <v>10</v>
      </c>
      <c r="Q681" s="5" t="str">
        <f aca="false">IF($D681&lt;&gt;"","["&amp;$E681&amp;"]"&amp;"|"&amp;SUBSTITUTE(SUBSTITUTE($I681,CHAR(61),""),CHAR(34),"")&amp;"|"&amp;$K681&amp;"|"&amp;$G681&amp;"|"&amp;IF($G681="TX_CURR_SUBNAT.R","CY2020Q4",$M681),"")</f>
        <v>[DiFv5WXIHM5]|25-29|Female|PLHIV.T_1|CY2021Q3</v>
      </c>
    </row>
    <row r="682" customFormat="false" ht="15" hidden="false" customHeight="false" outlineLevel="0" collapsed="false">
      <c r="D682" s="0" t="s">
        <v>107</v>
      </c>
      <c r="E682" s="0" t="s">
        <v>108</v>
      </c>
      <c r="F682" s="0" t="s">
        <v>47</v>
      </c>
      <c r="G682" s="0" t="s">
        <v>97</v>
      </c>
      <c r="H682" s="0" t="s">
        <v>98</v>
      </c>
      <c r="I682" s="0" t="s">
        <v>69</v>
      </c>
      <c r="J682" s="0" t="s">
        <v>70</v>
      </c>
      <c r="K682" s="0" t="s">
        <v>58</v>
      </c>
      <c r="L682" s="0" t="s">
        <v>59</v>
      </c>
      <c r="M682" s="0" t="s">
        <v>50</v>
      </c>
      <c r="N682" s="0" t="n">
        <v>963</v>
      </c>
      <c r="O682" s="0" t="n">
        <v>25</v>
      </c>
      <c r="P682" s="0" t="n">
        <v>36</v>
      </c>
      <c r="Q682" s="5" t="str">
        <f aca="false">IF($D682&lt;&gt;"","["&amp;$E682&amp;"]"&amp;"|"&amp;SUBSTITUTE(SUBSTITUTE($I682,CHAR(61),""),CHAR(34),"")&amp;"|"&amp;$K682&amp;"|"&amp;$G682&amp;"|"&amp;IF($G682="TX_CURR_SUBNAT.R","CY2020Q4",$M682),"")</f>
        <v>[DiFv5WXIHM5]|25-29|Male|PLHIV.T_1|CY2021Q3</v>
      </c>
    </row>
    <row r="683" customFormat="false" ht="15" hidden="false" customHeight="false" outlineLevel="0" collapsed="false">
      <c r="D683" s="0" t="s">
        <v>107</v>
      </c>
      <c r="E683" s="0" t="s">
        <v>108</v>
      </c>
      <c r="F683" s="0" t="s">
        <v>47</v>
      </c>
      <c r="G683" s="0" t="s">
        <v>97</v>
      </c>
      <c r="H683" s="0" t="s">
        <v>98</v>
      </c>
      <c r="I683" s="0" t="s">
        <v>72</v>
      </c>
      <c r="J683" s="0" t="s">
        <v>73</v>
      </c>
      <c r="K683" s="0" t="s">
        <v>56</v>
      </c>
      <c r="L683" s="0" t="s">
        <v>57</v>
      </c>
      <c r="M683" s="0" t="s">
        <v>50</v>
      </c>
      <c r="N683" s="0" t="n">
        <v>2649</v>
      </c>
      <c r="O683" s="0" t="n">
        <v>15</v>
      </c>
      <c r="P683" s="0" t="n">
        <v>14</v>
      </c>
      <c r="Q683" s="5" t="str">
        <f aca="false">IF($D683&lt;&gt;"","["&amp;$E683&amp;"]"&amp;"|"&amp;SUBSTITUTE(SUBSTITUTE($I683,CHAR(61),""),CHAR(34),"")&amp;"|"&amp;$K683&amp;"|"&amp;$G683&amp;"|"&amp;IF($G683="TX_CURR_SUBNAT.R","CY2020Q4",$M683),"")</f>
        <v>[DiFv5WXIHM5]|30-34|Female|PLHIV.T_1|CY2021Q3</v>
      </c>
    </row>
    <row r="684" customFormat="false" ht="15" hidden="false" customHeight="false" outlineLevel="0" collapsed="false">
      <c r="D684" s="0" t="s">
        <v>107</v>
      </c>
      <c r="E684" s="0" t="s">
        <v>108</v>
      </c>
      <c r="F684" s="0" t="s">
        <v>47</v>
      </c>
      <c r="G684" s="0" t="s">
        <v>97</v>
      </c>
      <c r="H684" s="0" t="s">
        <v>98</v>
      </c>
      <c r="I684" s="0" t="s">
        <v>72</v>
      </c>
      <c r="J684" s="0" t="s">
        <v>73</v>
      </c>
      <c r="K684" s="0" t="s">
        <v>58</v>
      </c>
      <c r="L684" s="0" t="s">
        <v>59</v>
      </c>
      <c r="M684" s="0" t="s">
        <v>50</v>
      </c>
      <c r="N684" s="0" t="n">
        <v>1717</v>
      </c>
      <c r="O684" s="0" t="n">
        <v>1</v>
      </c>
      <c r="P684" s="0" t="n">
        <v>45</v>
      </c>
      <c r="Q684" s="5" t="str">
        <f aca="false">IF($D684&lt;&gt;"","["&amp;$E684&amp;"]"&amp;"|"&amp;SUBSTITUTE(SUBSTITUTE($I684,CHAR(61),""),CHAR(34),"")&amp;"|"&amp;$K684&amp;"|"&amp;$G684&amp;"|"&amp;IF($G684="TX_CURR_SUBNAT.R","CY2020Q4",$M684),"")</f>
        <v>[DiFv5WXIHM5]|30-34|Male|PLHIV.T_1|CY2021Q3</v>
      </c>
    </row>
    <row r="685" customFormat="false" ht="15" hidden="false" customHeight="false" outlineLevel="0" collapsed="false">
      <c r="D685" s="0" t="s">
        <v>107</v>
      </c>
      <c r="E685" s="0" t="s">
        <v>108</v>
      </c>
      <c r="F685" s="0" t="s">
        <v>47</v>
      </c>
      <c r="G685" s="0" t="s">
        <v>97</v>
      </c>
      <c r="H685" s="0" t="s">
        <v>98</v>
      </c>
      <c r="I685" s="0" t="s">
        <v>75</v>
      </c>
      <c r="J685" s="0" t="s">
        <v>76</v>
      </c>
      <c r="K685" s="0" t="s">
        <v>56</v>
      </c>
      <c r="L685" s="0" t="s">
        <v>57</v>
      </c>
      <c r="M685" s="0" t="s">
        <v>50</v>
      </c>
      <c r="N685" s="0" t="n">
        <v>2524</v>
      </c>
      <c r="O685" s="0" t="n">
        <v>19</v>
      </c>
      <c r="P685" s="0" t="n">
        <v>5</v>
      </c>
      <c r="Q685" s="5" t="str">
        <f aca="false">IF($D685&lt;&gt;"","["&amp;$E685&amp;"]"&amp;"|"&amp;SUBSTITUTE(SUBSTITUTE($I685,CHAR(61),""),CHAR(34),"")&amp;"|"&amp;$K685&amp;"|"&amp;$G685&amp;"|"&amp;IF($G685="TX_CURR_SUBNAT.R","CY2020Q4",$M685),"")</f>
        <v>[DiFv5WXIHM5]|35-39|Female|PLHIV.T_1|CY2021Q3</v>
      </c>
    </row>
    <row r="686" customFormat="false" ht="15" hidden="false" customHeight="false" outlineLevel="0" collapsed="false">
      <c r="D686" s="0" t="s">
        <v>107</v>
      </c>
      <c r="E686" s="0" t="s">
        <v>108</v>
      </c>
      <c r="F686" s="0" t="s">
        <v>47</v>
      </c>
      <c r="G686" s="0" t="s">
        <v>97</v>
      </c>
      <c r="H686" s="0" t="s">
        <v>98</v>
      </c>
      <c r="I686" s="0" t="s">
        <v>75</v>
      </c>
      <c r="J686" s="0" t="s">
        <v>76</v>
      </c>
      <c r="K686" s="0" t="s">
        <v>58</v>
      </c>
      <c r="L686" s="0" t="s">
        <v>59</v>
      </c>
      <c r="M686" s="0" t="s">
        <v>50</v>
      </c>
      <c r="N686" s="0" t="n">
        <v>2020</v>
      </c>
      <c r="O686" s="0" t="n">
        <v>27</v>
      </c>
      <c r="P686" s="0" t="n">
        <v>24</v>
      </c>
      <c r="Q686" s="5" t="str">
        <f aca="false">IF($D686&lt;&gt;"","["&amp;$E686&amp;"]"&amp;"|"&amp;SUBSTITUTE(SUBSTITUTE($I686,CHAR(61),""),CHAR(34),"")&amp;"|"&amp;$K686&amp;"|"&amp;$G686&amp;"|"&amp;IF($G686="TX_CURR_SUBNAT.R","CY2020Q4",$M686),"")</f>
        <v>[DiFv5WXIHM5]|35-39|Male|PLHIV.T_1|CY2021Q3</v>
      </c>
    </row>
    <row r="687" customFormat="false" ht="15" hidden="false" customHeight="false" outlineLevel="0" collapsed="false">
      <c r="D687" s="0" t="s">
        <v>107</v>
      </c>
      <c r="E687" s="0" t="s">
        <v>108</v>
      </c>
      <c r="F687" s="0" t="s">
        <v>47</v>
      </c>
      <c r="G687" s="0" t="s">
        <v>97</v>
      </c>
      <c r="H687" s="0" t="s">
        <v>98</v>
      </c>
      <c r="I687" s="0" t="s">
        <v>77</v>
      </c>
      <c r="J687" s="0" t="s">
        <v>78</v>
      </c>
      <c r="K687" s="0" t="s">
        <v>56</v>
      </c>
      <c r="L687" s="0" t="s">
        <v>57</v>
      </c>
      <c r="M687" s="0" t="s">
        <v>50</v>
      </c>
      <c r="N687" s="0" t="n">
        <v>2045</v>
      </c>
      <c r="O687" s="0" t="n">
        <v>51</v>
      </c>
      <c r="P687" s="0" t="n">
        <v>19</v>
      </c>
      <c r="Q687" s="5" t="str">
        <f aca="false">IF($D687&lt;&gt;"","["&amp;$E687&amp;"]"&amp;"|"&amp;SUBSTITUTE(SUBSTITUTE($I687,CHAR(61),""),CHAR(34),"")&amp;"|"&amp;$K687&amp;"|"&amp;$G687&amp;"|"&amp;IF($G687="TX_CURR_SUBNAT.R","CY2020Q4",$M687),"")</f>
        <v>[DiFv5WXIHM5]|40-44|Female|PLHIV.T_1|CY2021Q3</v>
      </c>
    </row>
    <row r="688" customFormat="false" ht="15" hidden="false" customHeight="false" outlineLevel="0" collapsed="false">
      <c r="D688" s="0" t="s">
        <v>107</v>
      </c>
      <c r="E688" s="0" t="s">
        <v>108</v>
      </c>
      <c r="F688" s="0" t="s">
        <v>47</v>
      </c>
      <c r="G688" s="0" t="s">
        <v>97</v>
      </c>
      <c r="H688" s="0" t="s">
        <v>98</v>
      </c>
      <c r="I688" s="0" t="s">
        <v>77</v>
      </c>
      <c r="J688" s="0" t="s">
        <v>78</v>
      </c>
      <c r="K688" s="0" t="s">
        <v>58</v>
      </c>
      <c r="L688" s="0" t="s">
        <v>59</v>
      </c>
      <c r="M688" s="0" t="s">
        <v>50</v>
      </c>
      <c r="N688" s="0" t="n">
        <v>1769</v>
      </c>
      <c r="O688" s="0" t="n">
        <v>8</v>
      </c>
      <c r="P688" s="0" t="n">
        <v>11</v>
      </c>
      <c r="Q688" s="5" t="str">
        <f aca="false">IF($D688&lt;&gt;"","["&amp;$E688&amp;"]"&amp;"|"&amp;SUBSTITUTE(SUBSTITUTE($I688,CHAR(61),""),CHAR(34),"")&amp;"|"&amp;$K688&amp;"|"&amp;$G688&amp;"|"&amp;IF($G688="TX_CURR_SUBNAT.R","CY2020Q4",$M688),"")</f>
        <v>[DiFv5WXIHM5]|40-44|Male|PLHIV.T_1|CY2021Q3</v>
      </c>
    </row>
    <row r="689" customFormat="false" ht="15" hidden="false" customHeight="false" outlineLevel="0" collapsed="false">
      <c r="D689" s="0" t="s">
        <v>107</v>
      </c>
      <c r="E689" s="0" t="s">
        <v>108</v>
      </c>
      <c r="F689" s="0" t="s">
        <v>47</v>
      </c>
      <c r="G689" s="0" t="s">
        <v>97</v>
      </c>
      <c r="H689" s="0" t="s">
        <v>98</v>
      </c>
      <c r="I689" s="0" t="s">
        <v>80</v>
      </c>
      <c r="J689" s="0" t="s">
        <v>81</v>
      </c>
      <c r="K689" s="0" t="s">
        <v>56</v>
      </c>
      <c r="L689" s="0" t="s">
        <v>57</v>
      </c>
      <c r="M689" s="0" t="s">
        <v>50</v>
      </c>
      <c r="N689" s="0" t="n">
        <v>1575</v>
      </c>
      <c r="O689" s="0" t="n">
        <v>39</v>
      </c>
      <c r="P689" s="0" t="n">
        <v>34</v>
      </c>
      <c r="Q689" s="5" t="str">
        <f aca="false">IF($D689&lt;&gt;"","["&amp;$E689&amp;"]"&amp;"|"&amp;SUBSTITUTE(SUBSTITUTE($I689,CHAR(61),""),CHAR(34),"")&amp;"|"&amp;$K689&amp;"|"&amp;$G689&amp;"|"&amp;IF($G689="TX_CURR_SUBNAT.R","CY2020Q4",$M689),"")</f>
        <v>[DiFv5WXIHM5]|45-49|Female|PLHIV.T_1|CY2021Q3</v>
      </c>
    </row>
    <row r="690" customFormat="false" ht="15" hidden="false" customHeight="false" outlineLevel="0" collapsed="false">
      <c r="D690" s="0" t="s">
        <v>107</v>
      </c>
      <c r="E690" s="0" t="s">
        <v>108</v>
      </c>
      <c r="F690" s="0" t="s">
        <v>47</v>
      </c>
      <c r="G690" s="0" t="s">
        <v>97</v>
      </c>
      <c r="H690" s="0" t="s">
        <v>98</v>
      </c>
      <c r="I690" s="0" t="s">
        <v>80</v>
      </c>
      <c r="J690" s="0" t="s">
        <v>81</v>
      </c>
      <c r="K690" s="0" t="s">
        <v>58</v>
      </c>
      <c r="L690" s="0" t="s">
        <v>59</v>
      </c>
      <c r="M690" s="0" t="s">
        <v>50</v>
      </c>
      <c r="N690" s="0" t="n">
        <v>1448</v>
      </c>
      <c r="O690" s="0" t="n">
        <v>14</v>
      </c>
      <c r="P690" s="0" t="n">
        <v>50</v>
      </c>
      <c r="Q690" s="5" t="str">
        <f aca="false">IF($D690&lt;&gt;"","["&amp;$E690&amp;"]"&amp;"|"&amp;SUBSTITUTE(SUBSTITUTE($I690,CHAR(61),""),CHAR(34),"")&amp;"|"&amp;$K690&amp;"|"&amp;$G690&amp;"|"&amp;IF($G690="TX_CURR_SUBNAT.R","CY2020Q4",$M690),"")</f>
        <v>[DiFv5WXIHM5]|45-49|Male|PLHIV.T_1|CY2021Q3</v>
      </c>
    </row>
    <row r="691" customFormat="false" ht="15" hidden="false" customHeight="false" outlineLevel="0" collapsed="false">
      <c r="D691" s="0" t="s">
        <v>107</v>
      </c>
      <c r="E691" s="0" t="s">
        <v>108</v>
      </c>
      <c r="F691" s="0" t="s">
        <v>47</v>
      </c>
      <c r="G691" s="0" t="s">
        <v>97</v>
      </c>
      <c r="H691" s="0" t="s">
        <v>98</v>
      </c>
      <c r="I691" s="0" t="s">
        <v>83</v>
      </c>
      <c r="J691" s="0" t="s">
        <v>84</v>
      </c>
      <c r="K691" s="0" t="s">
        <v>56</v>
      </c>
      <c r="L691" s="0" t="s">
        <v>57</v>
      </c>
      <c r="M691" s="0" t="s">
        <v>50</v>
      </c>
      <c r="N691" s="0" t="n">
        <v>154</v>
      </c>
      <c r="O691" s="0" t="n">
        <v>42</v>
      </c>
      <c r="P691" s="0" t="n">
        <v>50</v>
      </c>
      <c r="Q691" s="5" t="str">
        <f aca="false">IF($D691&lt;&gt;"","["&amp;$E691&amp;"]"&amp;"|"&amp;SUBSTITUTE(SUBSTITUTE($I691,CHAR(61),""),CHAR(34),"")&amp;"|"&amp;$K691&amp;"|"&amp;$G691&amp;"|"&amp;IF($G691="TX_CURR_SUBNAT.R","CY2020Q4",$M691),"")</f>
        <v>[DiFv5WXIHM5]|05-09|Female|PLHIV.T_1|CY2021Q3</v>
      </c>
    </row>
    <row r="692" customFormat="false" ht="15" hidden="false" customHeight="false" outlineLevel="0" collapsed="false">
      <c r="D692" s="0" t="s">
        <v>107</v>
      </c>
      <c r="E692" s="0" t="s">
        <v>108</v>
      </c>
      <c r="F692" s="0" t="s">
        <v>47</v>
      </c>
      <c r="G692" s="0" t="s">
        <v>97</v>
      </c>
      <c r="H692" s="0" t="s">
        <v>98</v>
      </c>
      <c r="I692" s="0" t="s">
        <v>83</v>
      </c>
      <c r="J692" s="0" t="s">
        <v>84</v>
      </c>
      <c r="K692" s="0" t="s">
        <v>58</v>
      </c>
      <c r="L692" s="0" t="s">
        <v>59</v>
      </c>
      <c r="M692" s="0" t="s">
        <v>50</v>
      </c>
      <c r="N692" s="0" t="n">
        <v>152</v>
      </c>
      <c r="O692" s="0" t="n">
        <v>37</v>
      </c>
      <c r="P692" s="0" t="n">
        <v>10</v>
      </c>
      <c r="Q692" s="5" t="str">
        <f aca="false">IF($D692&lt;&gt;"","["&amp;$E692&amp;"]"&amp;"|"&amp;SUBSTITUTE(SUBSTITUTE($I692,CHAR(61),""),CHAR(34),"")&amp;"|"&amp;$K692&amp;"|"&amp;$G692&amp;"|"&amp;IF($G692="TX_CURR_SUBNAT.R","CY2020Q4",$M692),"")</f>
        <v>[DiFv5WXIHM5]|05-09|Male|PLHIV.T_1|CY2021Q3</v>
      </c>
    </row>
    <row r="693" customFormat="false" ht="15" hidden="false" customHeight="false" outlineLevel="0" collapsed="false">
      <c r="D693" s="0" t="s">
        <v>107</v>
      </c>
      <c r="E693" s="0" t="s">
        <v>108</v>
      </c>
      <c r="F693" s="0" t="s">
        <v>47</v>
      </c>
      <c r="G693" s="0" t="s">
        <v>97</v>
      </c>
      <c r="H693" s="0" t="s">
        <v>98</v>
      </c>
      <c r="I693" s="53" t="s">
        <v>86</v>
      </c>
      <c r="J693" s="0" t="s">
        <v>87</v>
      </c>
      <c r="K693" s="0" t="s">
        <v>56</v>
      </c>
      <c r="L693" s="0" t="s">
        <v>57</v>
      </c>
      <c r="M693" s="0" t="s">
        <v>50</v>
      </c>
      <c r="N693" s="0" t="n">
        <v>5066</v>
      </c>
      <c r="O693" s="0" t="n">
        <v>6</v>
      </c>
      <c r="P693" s="0" t="n">
        <v>48</v>
      </c>
      <c r="Q693" s="5" t="str">
        <f aca="false">IF($D693&lt;&gt;"","["&amp;$E693&amp;"]"&amp;"|"&amp;SUBSTITUTE(SUBSTITUTE($I693,CHAR(61),""),CHAR(34),"")&amp;"|"&amp;$K693&amp;"|"&amp;$G693&amp;"|"&amp;IF($G693="TX_CURR_SUBNAT.R","CY2020Q4",$M693),"")</f>
        <v>[DiFv5WXIHM5]|50+|Female|PLHIV.T_1|CY2021Q3</v>
      </c>
    </row>
    <row r="694" customFormat="false" ht="15" hidden="false" customHeight="false" outlineLevel="0" collapsed="false">
      <c r="D694" s="0" t="s">
        <v>107</v>
      </c>
      <c r="E694" s="0" t="s">
        <v>108</v>
      </c>
      <c r="F694" s="0" t="s">
        <v>47</v>
      </c>
      <c r="G694" s="0" t="s">
        <v>97</v>
      </c>
      <c r="H694" s="0" t="s">
        <v>98</v>
      </c>
      <c r="I694" s="53" t="s">
        <v>86</v>
      </c>
      <c r="J694" s="0" t="s">
        <v>87</v>
      </c>
      <c r="K694" s="0" t="s">
        <v>58</v>
      </c>
      <c r="L694" s="0" t="s">
        <v>59</v>
      </c>
      <c r="M694" s="0" t="s">
        <v>50</v>
      </c>
      <c r="N694" s="0" t="n">
        <v>3803</v>
      </c>
      <c r="O694" s="0" t="n">
        <v>30</v>
      </c>
      <c r="P694" s="0" t="n">
        <v>43</v>
      </c>
      <c r="Q694" s="5" t="str">
        <f aca="false">IF($D694&lt;&gt;"","["&amp;$E694&amp;"]"&amp;"|"&amp;SUBSTITUTE(SUBSTITUTE($I694,CHAR(61),""),CHAR(34),"")&amp;"|"&amp;$K694&amp;"|"&amp;$G694&amp;"|"&amp;IF($G694="TX_CURR_SUBNAT.R","CY2020Q4",$M694),"")</f>
        <v>[DiFv5WXIHM5]|50+|Male|PLHIV.T_1|CY2021Q3</v>
      </c>
    </row>
    <row r="695" customFormat="false" ht="15" hidden="false" customHeight="false" outlineLevel="0" collapsed="false">
      <c r="D695" s="0" t="s">
        <v>107</v>
      </c>
      <c r="E695" s="0" t="s">
        <v>108</v>
      </c>
      <c r="F695" s="0" t="s">
        <v>47</v>
      </c>
      <c r="G695" s="0" t="s">
        <v>97</v>
      </c>
      <c r="H695" s="0" t="s">
        <v>98</v>
      </c>
      <c r="I695" s="0" t="s">
        <v>89</v>
      </c>
      <c r="J695" s="0" t="s">
        <v>90</v>
      </c>
      <c r="K695" s="0" t="s">
        <v>56</v>
      </c>
      <c r="L695" s="0" t="s">
        <v>57</v>
      </c>
      <c r="M695" s="0" t="s">
        <v>50</v>
      </c>
      <c r="N695" s="0" t="n">
        <v>11</v>
      </c>
      <c r="O695" s="0" t="n">
        <v>35</v>
      </c>
      <c r="P695" s="0" t="n">
        <v>23</v>
      </c>
      <c r="Q695" s="5" t="str">
        <f aca="false">IF($D695&lt;&gt;"","["&amp;$E695&amp;"]"&amp;"|"&amp;SUBSTITUTE(SUBSTITUTE($I695,CHAR(61),""),CHAR(34),"")&amp;"|"&amp;$K695&amp;"|"&amp;$G695&amp;"|"&amp;IF($G695="TX_CURR_SUBNAT.R","CY2020Q4",$M695),"")</f>
        <v>[DiFv5WXIHM5]|&lt;01|Female|PLHIV.T_1|CY2021Q3</v>
      </c>
    </row>
    <row r="696" customFormat="false" ht="15" hidden="false" customHeight="false" outlineLevel="0" collapsed="false">
      <c r="D696" s="0" t="s">
        <v>107</v>
      </c>
      <c r="E696" s="0" t="s">
        <v>108</v>
      </c>
      <c r="F696" s="0" t="s">
        <v>47</v>
      </c>
      <c r="G696" s="0" t="s">
        <v>97</v>
      </c>
      <c r="H696" s="0" t="s">
        <v>98</v>
      </c>
      <c r="I696" s="0" t="s">
        <v>89</v>
      </c>
      <c r="J696" s="0" t="s">
        <v>90</v>
      </c>
      <c r="K696" s="0" t="s">
        <v>58</v>
      </c>
      <c r="L696" s="0" t="s">
        <v>59</v>
      </c>
      <c r="M696" s="0" t="s">
        <v>50</v>
      </c>
      <c r="N696" s="0" t="n">
        <v>12</v>
      </c>
      <c r="O696" s="0" t="n">
        <v>38</v>
      </c>
      <c r="P696" s="0" t="n">
        <v>48</v>
      </c>
      <c r="Q696" s="5" t="str">
        <f aca="false">IF($D696&lt;&gt;"","["&amp;$E696&amp;"]"&amp;"|"&amp;SUBSTITUTE(SUBSTITUTE($I696,CHAR(61),""),CHAR(34),"")&amp;"|"&amp;$K696&amp;"|"&amp;$G696&amp;"|"&amp;IF($G696="TX_CURR_SUBNAT.R","CY2020Q4",$M696),"")</f>
        <v>[DiFv5WXIHM5]|&lt;01|Male|PLHIV.T_1|CY2021Q3</v>
      </c>
    </row>
    <row r="697" customFormat="false" ht="15" hidden="false" customHeight="false" outlineLevel="0" collapsed="false">
      <c r="D697" s="0" t="s">
        <v>107</v>
      </c>
      <c r="E697" s="0" t="s">
        <v>108</v>
      </c>
      <c r="F697" s="0" t="s">
        <v>47</v>
      </c>
      <c r="G697" s="0" t="s">
        <v>99</v>
      </c>
      <c r="H697" s="0" t="s">
        <v>100</v>
      </c>
      <c r="I697" s="0" t="s">
        <v>54</v>
      </c>
      <c r="J697" s="0" t="s">
        <v>55</v>
      </c>
      <c r="K697" s="0" t="s">
        <v>56</v>
      </c>
      <c r="L697" s="0" t="s">
        <v>57</v>
      </c>
      <c r="M697" s="0" t="s">
        <v>50</v>
      </c>
      <c r="N697" s="0" t="n">
        <v>28</v>
      </c>
      <c r="O697" s="0" t="n">
        <v>4</v>
      </c>
      <c r="P697" s="0" t="n">
        <v>39</v>
      </c>
      <c r="Q697" s="5" t="str">
        <f aca="false">IF($D697&lt;&gt;"","["&amp;$E697&amp;"]"&amp;"|"&amp;SUBSTITUTE(SUBSTITUTE($I697,CHAR(61),""),CHAR(34),"")&amp;"|"&amp;$K697&amp;"|"&amp;$G697&amp;"|"&amp;IF($G697="TX_CURR_SUBNAT.R","CY2020Q4",$M697),"")</f>
        <v>[DiFv5WXIHM5]|01-04|Female|TX_CURR_SUBNAT.T_1|CY2021Q3</v>
      </c>
    </row>
    <row r="698" customFormat="false" ht="15" hidden="false" customHeight="false" outlineLevel="0" collapsed="false">
      <c r="D698" s="0" t="s">
        <v>107</v>
      </c>
      <c r="E698" s="0" t="s">
        <v>108</v>
      </c>
      <c r="F698" s="0" t="s">
        <v>47</v>
      </c>
      <c r="G698" s="0" t="s">
        <v>99</v>
      </c>
      <c r="H698" s="0" t="s">
        <v>100</v>
      </c>
      <c r="I698" s="0" t="s">
        <v>54</v>
      </c>
      <c r="J698" s="0" t="s">
        <v>55</v>
      </c>
      <c r="K698" s="0" t="s">
        <v>58</v>
      </c>
      <c r="L698" s="0" t="s">
        <v>59</v>
      </c>
      <c r="M698" s="0" t="s">
        <v>50</v>
      </c>
      <c r="N698" s="0" t="n">
        <v>28</v>
      </c>
      <c r="O698" s="0" t="n">
        <v>19</v>
      </c>
      <c r="P698" s="0" t="n">
        <v>16</v>
      </c>
      <c r="Q698" s="5" t="str">
        <f aca="false">IF($D698&lt;&gt;"","["&amp;$E698&amp;"]"&amp;"|"&amp;SUBSTITUTE(SUBSTITUTE($I698,CHAR(61),""),CHAR(34),"")&amp;"|"&amp;$K698&amp;"|"&amp;$G698&amp;"|"&amp;IF($G698="TX_CURR_SUBNAT.R","CY2020Q4",$M698),"")</f>
        <v>[DiFv5WXIHM5]|01-04|Male|TX_CURR_SUBNAT.T_1|CY2021Q3</v>
      </c>
    </row>
    <row r="699" customFormat="false" ht="15" hidden="false" customHeight="false" outlineLevel="0" collapsed="false">
      <c r="D699" s="0" t="s">
        <v>107</v>
      </c>
      <c r="E699" s="0" t="s">
        <v>108</v>
      </c>
      <c r="F699" s="0" t="s">
        <v>47</v>
      </c>
      <c r="G699" s="0" t="s">
        <v>99</v>
      </c>
      <c r="H699" s="0" t="s">
        <v>100</v>
      </c>
      <c r="I699" s="0" t="s">
        <v>61</v>
      </c>
      <c r="J699" s="0" t="s">
        <v>62</v>
      </c>
      <c r="K699" s="0" t="s">
        <v>56</v>
      </c>
      <c r="L699" s="0" t="s">
        <v>57</v>
      </c>
      <c r="M699" s="0" t="s">
        <v>50</v>
      </c>
      <c r="N699" s="0" t="n">
        <v>200</v>
      </c>
      <c r="O699" s="0" t="n">
        <v>32</v>
      </c>
      <c r="P699" s="0" t="n">
        <v>21</v>
      </c>
      <c r="Q699" s="5" t="str">
        <f aca="false">IF($D699&lt;&gt;"","["&amp;$E699&amp;"]"&amp;"|"&amp;SUBSTITUTE(SUBSTITUTE($I699,CHAR(61),""),CHAR(34),"")&amp;"|"&amp;$K699&amp;"|"&amp;$G699&amp;"|"&amp;IF($G699="TX_CURR_SUBNAT.R","CY2020Q4",$M699),"")</f>
        <v>[DiFv5WXIHM5]|10-14|Female|TX_CURR_SUBNAT.T_1|CY2021Q3</v>
      </c>
    </row>
    <row r="700" customFormat="false" ht="15" hidden="false" customHeight="false" outlineLevel="0" collapsed="false">
      <c r="D700" s="0" t="s">
        <v>107</v>
      </c>
      <c r="E700" s="0" t="s">
        <v>108</v>
      </c>
      <c r="F700" s="0" t="s">
        <v>47</v>
      </c>
      <c r="G700" s="0" t="s">
        <v>99</v>
      </c>
      <c r="H700" s="0" t="s">
        <v>100</v>
      </c>
      <c r="I700" s="0" t="s">
        <v>61</v>
      </c>
      <c r="J700" s="0" t="s">
        <v>62</v>
      </c>
      <c r="K700" s="0" t="s">
        <v>58</v>
      </c>
      <c r="L700" s="0" t="s">
        <v>59</v>
      </c>
      <c r="M700" s="0" t="s">
        <v>50</v>
      </c>
      <c r="N700" s="0" t="n">
        <v>209</v>
      </c>
      <c r="O700" s="0" t="n">
        <v>31</v>
      </c>
      <c r="P700" s="0" t="n">
        <v>48</v>
      </c>
      <c r="Q700" s="5" t="str">
        <f aca="false">IF($D700&lt;&gt;"","["&amp;$E700&amp;"]"&amp;"|"&amp;SUBSTITUTE(SUBSTITUTE($I700,CHAR(61),""),CHAR(34),"")&amp;"|"&amp;$K700&amp;"|"&amp;$G700&amp;"|"&amp;IF($G700="TX_CURR_SUBNAT.R","CY2020Q4",$M700),"")</f>
        <v>[DiFv5WXIHM5]|10-14|Male|TX_CURR_SUBNAT.T_1|CY2021Q3</v>
      </c>
    </row>
    <row r="701" customFormat="false" ht="15" hidden="false" customHeight="false" outlineLevel="0" collapsed="false">
      <c r="D701" s="0" t="s">
        <v>107</v>
      </c>
      <c r="E701" s="0" t="s">
        <v>108</v>
      </c>
      <c r="F701" s="0" t="s">
        <v>47</v>
      </c>
      <c r="G701" s="0" t="s">
        <v>99</v>
      </c>
      <c r="H701" s="0" t="s">
        <v>100</v>
      </c>
      <c r="I701" s="0" t="s">
        <v>63</v>
      </c>
      <c r="J701" s="0" t="s">
        <v>64</v>
      </c>
      <c r="K701" s="0" t="s">
        <v>56</v>
      </c>
      <c r="L701" s="0" t="s">
        <v>57</v>
      </c>
      <c r="M701" s="0" t="s">
        <v>50</v>
      </c>
      <c r="N701" s="0" t="n">
        <v>309</v>
      </c>
      <c r="O701" s="0" t="n">
        <v>3</v>
      </c>
      <c r="P701" s="0" t="n">
        <v>46</v>
      </c>
      <c r="Q701" s="5" t="str">
        <f aca="false">IF($D701&lt;&gt;"","["&amp;$E701&amp;"]"&amp;"|"&amp;SUBSTITUTE(SUBSTITUTE($I701,CHAR(61),""),CHAR(34),"")&amp;"|"&amp;$K701&amp;"|"&amp;$G701&amp;"|"&amp;IF($G701="TX_CURR_SUBNAT.R","CY2020Q4",$M701),"")</f>
        <v>[DiFv5WXIHM5]|15-19|Female|TX_CURR_SUBNAT.T_1|CY2021Q3</v>
      </c>
    </row>
    <row r="702" customFormat="false" ht="15" hidden="false" customHeight="false" outlineLevel="0" collapsed="false">
      <c r="D702" s="0" t="s">
        <v>107</v>
      </c>
      <c r="E702" s="0" t="s">
        <v>108</v>
      </c>
      <c r="F702" s="0" t="s">
        <v>47</v>
      </c>
      <c r="G702" s="0" t="s">
        <v>99</v>
      </c>
      <c r="H702" s="0" t="s">
        <v>100</v>
      </c>
      <c r="I702" s="0" t="s">
        <v>63</v>
      </c>
      <c r="J702" s="0" t="s">
        <v>64</v>
      </c>
      <c r="K702" s="0" t="s">
        <v>58</v>
      </c>
      <c r="L702" s="0" t="s">
        <v>59</v>
      </c>
      <c r="M702" s="0" t="s">
        <v>50</v>
      </c>
      <c r="N702" s="0" t="n">
        <v>241</v>
      </c>
      <c r="O702" s="0" t="n">
        <v>27</v>
      </c>
      <c r="P702" s="0" t="n">
        <v>25</v>
      </c>
      <c r="Q702" s="5" t="str">
        <f aca="false">IF($D702&lt;&gt;"","["&amp;$E702&amp;"]"&amp;"|"&amp;SUBSTITUTE(SUBSTITUTE($I702,CHAR(61),""),CHAR(34),"")&amp;"|"&amp;$K702&amp;"|"&amp;$G702&amp;"|"&amp;IF($G702="TX_CURR_SUBNAT.R","CY2020Q4",$M702),"")</f>
        <v>[DiFv5WXIHM5]|15-19|Male|TX_CURR_SUBNAT.T_1|CY2021Q3</v>
      </c>
    </row>
    <row r="703" customFormat="false" ht="15" hidden="false" customHeight="false" outlineLevel="0" collapsed="false">
      <c r="D703" s="0" t="s">
        <v>107</v>
      </c>
      <c r="E703" s="0" t="s">
        <v>108</v>
      </c>
      <c r="F703" s="0" t="s">
        <v>47</v>
      </c>
      <c r="G703" s="0" t="s">
        <v>99</v>
      </c>
      <c r="H703" s="0" t="s">
        <v>100</v>
      </c>
      <c r="I703" s="0" t="s">
        <v>66</v>
      </c>
      <c r="J703" s="0" t="s">
        <v>67</v>
      </c>
      <c r="K703" s="0" t="s">
        <v>56</v>
      </c>
      <c r="L703" s="0" t="s">
        <v>57</v>
      </c>
      <c r="M703" s="0" t="s">
        <v>50</v>
      </c>
      <c r="N703" s="0" t="n">
        <v>692</v>
      </c>
      <c r="O703" s="0" t="n">
        <v>33</v>
      </c>
      <c r="P703" s="0" t="n">
        <v>12</v>
      </c>
      <c r="Q703" s="5" t="str">
        <f aca="false">IF($D703&lt;&gt;"","["&amp;$E703&amp;"]"&amp;"|"&amp;SUBSTITUTE(SUBSTITUTE($I703,CHAR(61),""),CHAR(34),"")&amp;"|"&amp;$K703&amp;"|"&amp;$G703&amp;"|"&amp;IF($G703="TX_CURR_SUBNAT.R","CY2020Q4",$M703),"")</f>
        <v>[DiFv5WXIHM5]|20-24|Female|TX_CURR_SUBNAT.T_1|CY2021Q3</v>
      </c>
    </row>
    <row r="704" customFormat="false" ht="15" hidden="false" customHeight="false" outlineLevel="0" collapsed="false">
      <c r="D704" s="0" t="s">
        <v>107</v>
      </c>
      <c r="E704" s="0" t="s">
        <v>108</v>
      </c>
      <c r="F704" s="0" t="s">
        <v>47</v>
      </c>
      <c r="G704" s="0" t="s">
        <v>99</v>
      </c>
      <c r="H704" s="0" t="s">
        <v>100</v>
      </c>
      <c r="I704" s="0" t="s">
        <v>66</v>
      </c>
      <c r="J704" s="0" t="s">
        <v>67</v>
      </c>
      <c r="K704" s="0" t="s">
        <v>58</v>
      </c>
      <c r="L704" s="0" t="s">
        <v>59</v>
      </c>
      <c r="M704" s="0" t="s">
        <v>50</v>
      </c>
      <c r="N704" s="0" t="n">
        <v>252</v>
      </c>
      <c r="O704" s="0" t="n">
        <v>12</v>
      </c>
      <c r="P704" s="0" t="n">
        <v>15</v>
      </c>
      <c r="Q704" s="5" t="str">
        <f aca="false">IF($D704&lt;&gt;"","["&amp;$E704&amp;"]"&amp;"|"&amp;SUBSTITUTE(SUBSTITUTE($I704,CHAR(61),""),CHAR(34),"")&amp;"|"&amp;$K704&amp;"|"&amp;$G704&amp;"|"&amp;IF($G704="TX_CURR_SUBNAT.R","CY2020Q4",$M704),"")</f>
        <v>[DiFv5WXIHM5]|20-24|Male|TX_CURR_SUBNAT.T_1|CY2021Q3</v>
      </c>
    </row>
    <row r="705" customFormat="false" ht="15" hidden="false" customHeight="false" outlineLevel="0" collapsed="false">
      <c r="D705" s="0" t="s">
        <v>107</v>
      </c>
      <c r="E705" s="0" t="s">
        <v>108</v>
      </c>
      <c r="F705" s="0" t="s">
        <v>47</v>
      </c>
      <c r="G705" s="0" t="s">
        <v>99</v>
      </c>
      <c r="H705" s="0" t="s">
        <v>100</v>
      </c>
      <c r="I705" s="0" t="s">
        <v>69</v>
      </c>
      <c r="J705" s="0" t="s">
        <v>70</v>
      </c>
      <c r="K705" s="0" t="s">
        <v>56</v>
      </c>
      <c r="L705" s="0" t="s">
        <v>57</v>
      </c>
      <c r="M705" s="0" t="s">
        <v>50</v>
      </c>
      <c r="N705" s="0" t="n">
        <v>1216</v>
      </c>
      <c r="O705" s="0" t="n">
        <v>43</v>
      </c>
      <c r="P705" s="0" t="n">
        <v>35</v>
      </c>
      <c r="Q705" s="5" t="str">
        <f aca="false">IF($D705&lt;&gt;"","["&amp;$E705&amp;"]"&amp;"|"&amp;SUBSTITUTE(SUBSTITUTE($I705,CHAR(61),""),CHAR(34),"")&amp;"|"&amp;$K705&amp;"|"&amp;$G705&amp;"|"&amp;IF($G705="TX_CURR_SUBNAT.R","CY2020Q4",$M705),"")</f>
        <v>[DiFv5WXIHM5]|25-29|Female|TX_CURR_SUBNAT.T_1|CY2021Q3</v>
      </c>
    </row>
    <row r="706" customFormat="false" ht="15" hidden="false" customHeight="false" outlineLevel="0" collapsed="false">
      <c r="D706" s="0" t="s">
        <v>107</v>
      </c>
      <c r="E706" s="0" t="s">
        <v>108</v>
      </c>
      <c r="F706" s="0" t="s">
        <v>47</v>
      </c>
      <c r="G706" s="0" t="s">
        <v>99</v>
      </c>
      <c r="H706" s="0" t="s">
        <v>100</v>
      </c>
      <c r="I706" s="0" t="s">
        <v>69</v>
      </c>
      <c r="J706" s="0" t="s">
        <v>70</v>
      </c>
      <c r="K706" s="0" t="s">
        <v>58</v>
      </c>
      <c r="L706" s="0" t="s">
        <v>59</v>
      </c>
      <c r="M706" s="0" t="s">
        <v>50</v>
      </c>
      <c r="N706" s="0" t="n">
        <v>460</v>
      </c>
      <c r="O706" s="0" t="n">
        <v>2</v>
      </c>
      <c r="P706" s="0" t="n">
        <v>5</v>
      </c>
      <c r="Q706" s="5" t="str">
        <f aca="false">IF($D706&lt;&gt;"","["&amp;$E706&amp;"]"&amp;"|"&amp;SUBSTITUTE(SUBSTITUTE($I706,CHAR(61),""),CHAR(34),"")&amp;"|"&amp;$K706&amp;"|"&amp;$G706&amp;"|"&amp;IF($G706="TX_CURR_SUBNAT.R","CY2020Q4",$M706),"")</f>
        <v>[DiFv5WXIHM5]|25-29|Male|TX_CURR_SUBNAT.T_1|CY2021Q3</v>
      </c>
    </row>
    <row r="707" customFormat="false" ht="15" hidden="false" customHeight="false" outlineLevel="0" collapsed="false">
      <c r="D707" s="0" t="s">
        <v>107</v>
      </c>
      <c r="E707" s="0" t="s">
        <v>108</v>
      </c>
      <c r="F707" s="0" t="s">
        <v>47</v>
      </c>
      <c r="G707" s="0" t="s">
        <v>99</v>
      </c>
      <c r="H707" s="0" t="s">
        <v>100</v>
      </c>
      <c r="I707" s="0" t="s">
        <v>72</v>
      </c>
      <c r="J707" s="0" t="s">
        <v>73</v>
      </c>
      <c r="K707" s="0" t="s">
        <v>56</v>
      </c>
      <c r="L707" s="0" t="s">
        <v>57</v>
      </c>
      <c r="M707" s="0" t="s">
        <v>50</v>
      </c>
      <c r="N707" s="0" t="n">
        <v>1620</v>
      </c>
      <c r="O707" s="0" t="n">
        <v>40</v>
      </c>
      <c r="P707" s="0" t="n">
        <v>39</v>
      </c>
      <c r="Q707" s="5" t="str">
        <f aca="false">IF($D707&lt;&gt;"","["&amp;$E707&amp;"]"&amp;"|"&amp;SUBSTITUTE(SUBSTITUTE($I707,CHAR(61),""),CHAR(34),"")&amp;"|"&amp;$K707&amp;"|"&amp;$G707&amp;"|"&amp;IF($G707="TX_CURR_SUBNAT.R","CY2020Q4",$M707),"")</f>
        <v>[DiFv5WXIHM5]|30-34|Female|TX_CURR_SUBNAT.T_1|CY2021Q3</v>
      </c>
    </row>
    <row r="708" customFormat="false" ht="15" hidden="false" customHeight="false" outlineLevel="0" collapsed="false">
      <c r="D708" s="0" t="s">
        <v>107</v>
      </c>
      <c r="E708" s="0" t="s">
        <v>108</v>
      </c>
      <c r="F708" s="0" t="s">
        <v>47</v>
      </c>
      <c r="G708" s="0" t="s">
        <v>99</v>
      </c>
      <c r="H708" s="0" t="s">
        <v>100</v>
      </c>
      <c r="I708" s="0" t="s">
        <v>72</v>
      </c>
      <c r="J708" s="0" t="s">
        <v>73</v>
      </c>
      <c r="K708" s="0" t="s">
        <v>58</v>
      </c>
      <c r="L708" s="0" t="s">
        <v>59</v>
      </c>
      <c r="M708" s="0" t="s">
        <v>50</v>
      </c>
      <c r="N708" s="0" t="n">
        <v>784</v>
      </c>
      <c r="O708" s="0" t="n">
        <v>34</v>
      </c>
      <c r="P708" s="0" t="n">
        <v>44</v>
      </c>
      <c r="Q708" s="5" t="str">
        <f aca="false">IF($D708&lt;&gt;"","["&amp;$E708&amp;"]"&amp;"|"&amp;SUBSTITUTE(SUBSTITUTE($I708,CHAR(61),""),CHAR(34),"")&amp;"|"&amp;$K708&amp;"|"&amp;$G708&amp;"|"&amp;IF($G708="TX_CURR_SUBNAT.R","CY2020Q4",$M708),"")</f>
        <v>[DiFv5WXIHM5]|30-34|Male|TX_CURR_SUBNAT.T_1|CY2021Q3</v>
      </c>
    </row>
    <row r="709" customFormat="false" ht="15" hidden="false" customHeight="false" outlineLevel="0" collapsed="false">
      <c r="D709" s="0" t="s">
        <v>107</v>
      </c>
      <c r="E709" s="0" t="s">
        <v>108</v>
      </c>
      <c r="F709" s="0" t="s">
        <v>47</v>
      </c>
      <c r="G709" s="0" t="s">
        <v>99</v>
      </c>
      <c r="H709" s="0" t="s">
        <v>100</v>
      </c>
      <c r="I709" s="0" t="s">
        <v>75</v>
      </c>
      <c r="J709" s="0" t="s">
        <v>76</v>
      </c>
      <c r="K709" s="0" t="s">
        <v>56</v>
      </c>
      <c r="L709" s="0" t="s">
        <v>57</v>
      </c>
      <c r="M709" s="0" t="s">
        <v>50</v>
      </c>
      <c r="N709" s="0" t="n">
        <v>1841</v>
      </c>
      <c r="O709" s="0" t="n">
        <v>38</v>
      </c>
      <c r="P709" s="0" t="n">
        <v>13</v>
      </c>
      <c r="Q709" s="5" t="str">
        <f aca="false">IF($D709&lt;&gt;"","["&amp;$E709&amp;"]"&amp;"|"&amp;SUBSTITUTE(SUBSTITUTE($I709,CHAR(61),""),CHAR(34),"")&amp;"|"&amp;$K709&amp;"|"&amp;$G709&amp;"|"&amp;IF($G709="TX_CURR_SUBNAT.R","CY2020Q4",$M709),"")</f>
        <v>[DiFv5WXIHM5]|35-39|Female|TX_CURR_SUBNAT.T_1|CY2021Q3</v>
      </c>
    </row>
    <row r="710" customFormat="false" ht="15" hidden="false" customHeight="false" outlineLevel="0" collapsed="false">
      <c r="D710" s="0" t="s">
        <v>107</v>
      </c>
      <c r="E710" s="0" t="s">
        <v>108</v>
      </c>
      <c r="F710" s="0" t="s">
        <v>47</v>
      </c>
      <c r="G710" s="0" t="s">
        <v>99</v>
      </c>
      <c r="H710" s="0" t="s">
        <v>100</v>
      </c>
      <c r="I710" s="0" t="s">
        <v>75</v>
      </c>
      <c r="J710" s="0" t="s">
        <v>76</v>
      </c>
      <c r="K710" s="0" t="s">
        <v>58</v>
      </c>
      <c r="L710" s="0" t="s">
        <v>59</v>
      </c>
      <c r="M710" s="0" t="s">
        <v>50</v>
      </c>
      <c r="N710" s="0" t="n">
        <v>1092</v>
      </c>
      <c r="O710" s="0" t="n">
        <v>7</v>
      </c>
      <c r="P710" s="0" t="n">
        <v>14</v>
      </c>
      <c r="Q710" s="5" t="str">
        <f aca="false">IF($D710&lt;&gt;"","["&amp;$E710&amp;"]"&amp;"|"&amp;SUBSTITUTE(SUBSTITUTE($I710,CHAR(61),""),CHAR(34),"")&amp;"|"&amp;$K710&amp;"|"&amp;$G710&amp;"|"&amp;IF($G710="TX_CURR_SUBNAT.R","CY2020Q4",$M710),"")</f>
        <v>[DiFv5WXIHM5]|35-39|Male|TX_CURR_SUBNAT.T_1|CY2021Q3</v>
      </c>
    </row>
    <row r="711" customFormat="false" ht="15" hidden="false" customHeight="false" outlineLevel="0" collapsed="false">
      <c r="D711" s="0" t="s">
        <v>107</v>
      </c>
      <c r="E711" s="0" t="s">
        <v>108</v>
      </c>
      <c r="F711" s="0" t="s">
        <v>47</v>
      </c>
      <c r="G711" s="0" t="s">
        <v>99</v>
      </c>
      <c r="H711" s="0" t="s">
        <v>100</v>
      </c>
      <c r="I711" s="0" t="s">
        <v>77</v>
      </c>
      <c r="J711" s="0" t="s">
        <v>78</v>
      </c>
      <c r="K711" s="0" t="s">
        <v>56</v>
      </c>
      <c r="L711" s="0" t="s">
        <v>57</v>
      </c>
      <c r="M711" s="0" t="s">
        <v>50</v>
      </c>
      <c r="N711" s="0" t="n">
        <v>1818</v>
      </c>
      <c r="O711" s="0" t="n">
        <v>48</v>
      </c>
      <c r="P711" s="0" t="n">
        <v>22</v>
      </c>
      <c r="Q711" s="5" t="str">
        <f aca="false">IF($D711&lt;&gt;"","["&amp;$E711&amp;"]"&amp;"|"&amp;SUBSTITUTE(SUBSTITUTE($I711,CHAR(61),""),CHAR(34),"")&amp;"|"&amp;$K711&amp;"|"&amp;$G711&amp;"|"&amp;IF($G711="TX_CURR_SUBNAT.R","CY2020Q4",$M711),"")</f>
        <v>[DiFv5WXIHM5]|40-44|Female|TX_CURR_SUBNAT.T_1|CY2021Q3</v>
      </c>
    </row>
    <row r="712" customFormat="false" ht="15" hidden="false" customHeight="false" outlineLevel="0" collapsed="false">
      <c r="D712" s="0" t="s">
        <v>107</v>
      </c>
      <c r="E712" s="0" t="s">
        <v>108</v>
      </c>
      <c r="F712" s="0" t="s">
        <v>47</v>
      </c>
      <c r="G712" s="0" t="s">
        <v>99</v>
      </c>
      <c r="H712" s="0" t="s">
        <v>100</v>
      </c>
      <c r="I712" s="0" t="s">
        <v>77</v>
      </c>
      <c r="J712" s="0" t="s">
        <v>78</v>
      </c>
      <c r="K712" s="0" t="s">
        <v>58</v>
      </c>
      <c r="L712" s="0" t="s">
        <v>59</v>
      </c>
      <c r="M712" s="0" t="s">
        <v>50</v>
      </c>
      <c r="N712" s="0" t="n">
        <v>1170</v>
      </c>
      <c r="O712" s="0" t="n">
        <v>16</v>
      </c>
      <c r="P712" s="0" t="n">
        <v>36</v>
      </c>
      <c r="Q712" s="5" t="str">
        <f aca="false">IF($D712&lt;&gt;"","["&amp;$E712&amp;"]"&amp;"|"&amp;SUBSTITUTE(SUBSTITUTE($I712,CHAR(61),""),CHAR(34),"")&amp;"|"&amp;$K712&amp;"|"&amp;$G712&amp;"|"&amp;IF($G712="TX_CURR_SUBNAT.R","CY2020Q4",$M712),"")</f>
        <v>[DiFv5WXIHM5]|40-44|Male|TX_CURR_SUBNAT.T_1|CY2021Q3</v>
      </c>
    </row>
    <row r="713" customFormat="false" ht="15" hidden="false" customHeight="false" outlineLevel="0" collapsed="false">
      <c r="D713" s="0" t="s">
        <v>107</v>
      </c>
      <c r="E713" s="0" t="s">
        <v>108</v>
      </c>
      <c r="F713" s="0" t="s">
        <v>47</v>
      </c>
      <c r="G713" s="0" t="s">
        <v>99</v>
      </c>
      <c r="H713" s="0" t="s">
        <v>100</v>
      </c>
      <c r="I713" s="0" t="s">
        <v>80</v>
      </c>
      <c r="J713" s="0" t="s">
        <v>81</v>
      </c>
      <c r="K713" s="0" t="s">
        <v>56</v>
      </c>
      <c r="L713" s="0" t="s">
        <v>57</v>
      </c>
      <c r="M713" s="0" t="s">
        <v>50</v>
      </c>
      <c r="N713" s="0" t="n">
        <v>1470</v>
      </c>
      <c r="O713" s="0" t="n">
        <v>36</v>
      </c>
      <c r="P713" s="0" t="n">
        <v>13</v>
      </c>
      <c r="Q713" s="5" t="str">
        <f aca="false">IF($D713&lt;&gt;"","["&amp;$E713&amp;"]"&amp;"|"&amp;SUBSTITUTE(SUBSTITUTE($I713,CHAR(61),""),CHAR(34),"")&amp;"|"&amp;$K713&amp;"|"&amp;$G713&amp;"|"&amp;IF($G713="TX_CURR_SUBNAT.R","CY2020Q4",$M713),"")</f>
        <v>[DiFv5WXIHM5]|45-49|Female|TX_CURR_SUBNAT.T_1|CY2021Q3</v>
      </c>
    </row>
    <row r="714" customFormat="false" ht="15" hidden="false" customHeight="false" outlineLevel="0" collapsed="false">
      <c r="D714" s="0" t="s">
        <v>107</v>
      </c>
      <c r="E714" s="0" t="s">
        <v>108</v>
      </c>
      <c r="F714" s="0" t="s">
        <v>47</v>
      </c>
      <c r="G714" s="0" t="s">
        <v>99</v>
      </c>
      <c r="H714" s="0" t="s">
        <v>100</v>
      </c>
      <c r="I714" s="0" t="s">
        <v>80</v>
      </c>
      <c r="J714" s="0" t="s">
        <v>81</v>
      </c>
      <c r="K714" s="0" t="s">
        <v>58</v>
      </c>
      <c r="L714" s="0" t="s">
        <v>59</v>
      </c>
      <c r="M714" s="0" t="s">
        <v>50</v>
      </c>
      <c r="N714" s="0" t="n">
        <v>994</v>
      </c>
      <c r="O714" s="0" t="n">
        <v>28</v>
      </c>
      <c r="P714" s="0" t="n">
        <v>49</v>
      </c>
      <c r="Q714" s="5" t="str">
        <f aca="false">IF($D714&lt;&gt;"","["&amp;$E714&amp;"]"&amp;"|"&amp;SUBSTITUTE(SUBSTITUTE($I714,CHAR(61),""),CHAR(34),"")&amp;"|"&amp;$K714&amp;"|"&amp;$G714&amp;"|"&amp;IF($G714="TX_CURR_SUBNAT.R","CY2020Q4",$M714),"")</f>
        <v>[DiFv5WXIHM5]|45-49|Male|TX_CURR_SUBNAT.T_1|CY2021Q3</v>
      </c>
    </row>
    <row r="715" customFormat="false" ht="15" hidden="false" customHeight="false" outlineLevel="0" collapsed="false">
      <c r="D715" s="0" t="s">
        <v>107</v>
      </c>
      <c r="E715" s="0" t="s">
        <v>108</v>
      </c>
      <c r="F715" s="0" t="s">
        <v>47</v>
      </c>
      <c r="G715" s="0" t="s">
        <v>99</v>
      </c>
      <c r="H715" s="0" t="s">
        <v>100</v>
      </c>
      <c r="I715" s="0" t="s">
        <v>83</v>
      </c>
      <c r="J715" s="0" t="s">
        <v>84</v>
      </c>
      <c r="K715" s="0" t="s">
        <v>56</v>
      </c>
      <c r="L715" s="0" t="s">
        <v>57</v>
      </c>
      <c r="M715" s="0" t="s">
        <v>50</v>
      </c>
      <c r="N715" s="0" t="n">
        <v>96</v>
      </c>
      <c r="O715" s="0" t="n">
        <v>41</v>
      </c>
      <c r="P715" s="0" t="n">
        <v>5</v>
      </c>
      <c r="Q715" s="5" t="str">
        <f aca="false">IF($D715&lt;&gt;"","["&amp;$E715&amp;"]"&amp;"|"&amp;SUBSTITUTE(SUBSTITUTE($I715,CHAR(61),""),CHAR(34),"")&amp;"|"&amp;$K715&amp;"|"&amp;$G715&amp;"|"&amp;IF($G715="TX_CURR_SUBNAT.R","CY2020Q4",$M715),"")</f>
        <v>[DiFv5WXIHM5]|05-09|Female|TX_CURR_SUBNAT.T_1|CY2021Q3</v>
      </c>
    </row>
    <row r="716" customFormat="false" ht="15" hidden="false" customHeight="false" outlineLevel="0" collapsed="false">
      <c r="D716" s="0" t="s">
        <v>107</v>
      </c>
      <c r="E716" s="0" t="s">
        <v>108</v>
      </c>
      <c r="F716" s="0" t="s">
        <v>47</v>
      </c>
      <c r="G716" s="0" t="s">
        <v>99</v>
      </c>
      <c r="H716" s="0" t="s">
        <v>100</v>
      </c>
      <c r="I716" s="0" t="s">
        <v>83</v>
      </c>
      <c r="J716" s="0" t="s">
        <v>84</v>
      </c>
      <c r="K716" s="0" t="s">
        <v>58</v>
      </c>
      <c r="L716" s="0" t="s">
        <v>59</v>
      </c>
      <c r="M716" s="0" t="s">
        <v>50</v>
      </c>
      <c r="N716" s="0" t="n">
        <v>100</v>
      </c>
      <c r="O716" s="0" t="n">
        <v>46</v>
      </c>
      <c r="P716" s="0" t="n">
        <v>27</v>
      </c>
      <c r="Q716" s="5" t="str">
        <f aca="false">IF($D716&lt;&gt;"","["&amp;$E716&amp;"]"&amp;"|"&amp;SUBSTITUTE(SUBSTITUTE($I716,CHAR(61),""),CHAR(34),"")&amp;"|"&amp;$K716&amp;"|"&amp;$G716&amp;"|"&amp;IF($G716="TX_CURR_SUBNAT.R","CY2020Q4",$M716),"")</f>
        <v>[DiFv5WXIHM5]|05-09|Male|TX_CURR_SUBNAT.T_1|CY2021Q3</v>
      </c>
    </row>
    <row r="717" customFormat="false" ht="15" hidden="false" customHeight="false" outlineLevel="0" collapsed="false">
      <c r="D717" s="0" t="s">
        <v>107</v>
      </c>
      <c r="E717" s="0" t="s">
        <v>108</v>
      </c>
      <c r="F717" s="0" t="s">
        <v>47</v>
      </c>
      <c r="G717" s="0" t="s">
        <v>99</v>
      </c>
      <c r="H717" s="0" t="s">
        <v>100</v>
      </c>
      <c r="I717" s="53" t="s">
        <v>86</v>
      </c>
      <c r="J717" s="0" t="s">
        <v>87</v>
      </c>
      <c r="K717" s="0" t="s">
        <v>56</v>
      </c>
      <c r="L717" s="0" t="s">
        <v>57</v>
      </c>
      <c r="M717" s="0" t="s">
        <v>50</v>
      </c>
      <c r="N717" s="0" t="n">
        <v>3809</v>
      </c>
      <c r="O717" s="0" t="n">
        <v>55</v>
      </c>
      <c r="P717" s="0" t="n">
        <v>18</v>
      </c>
      <c r="Q717" s="5" t="str">
        <f aca="false">IF($D717&lt;&gt;"","["&amp;$E717&amp;"]"&amp;"|"&amp;SUBSTITUTE(SUBSTITUTE($I717,CHAR(61),""),CHAR(34),"")&amp;"|"&amp;$K717&amp;"|"&amp;$G717&amp;"|"&amp;IF($G717="TX_CURR_SUBNAT.R","CY2020Q4",$M717),"")</f>
        <v>[DiFv5WXIHM5]|50+|Female|TX_CURR_SUBNAT.T_1|CY2021Q3</v>
      </c>
    </row>
    <row r="718" customFormat="false" ht="15" hidden="false" customHeight="false" outlineLevel="0" collapsed="false">
      <c r="D718" s="0" t="s">
        <v>107</v>
      </c>
      <c r="E718" s="0" t="s">
        <v>108</v>
      </c>
      <c r="F718" s="0" t="s">
        <v>47</v>
      </c>
      <c r="G718" s="0" t="s">
        <v>99</v>
      </c>
      <c r="H718" s="0" t="s">
        <v>100</v>
      </c>
      <c r="I718" s="53" t="s">
        <v>86</v>
      </c>
      <c r="J718" s="0" t="s">
        <v>87</v>
      </c>
      <c r="K718" s="0" t="s">
        <v>58</v>
      </c>
      <c r="L718" s="0" t="s">
        <v>59</v>
      </c>
      <c r="M718" s="0" t="s">
        <v>50</v>
      </c>
      <c r="N718" s="0" t="n">
        <v>2520</v>
      </c>
      <c r="O718" s="0" t="n">
        <v>9</v>
      </c>
      <c r="P718" s="0" t="n">
        <v>19</v>
      </c>
      <c r="Q718" s="5" t="str">
        <f aca="false">IF($D718&lt;&gt;"","["&amp;$E718&amp;"]"&amp;"|"&amp;SUBSTITUTE(SUBSTITUTE($I718,CHAR(61),""),CHAR(34),"")&amp;"|"&amp;$K718&amp;"|"&amp;$G718&amp;"|"&amp;IF($G718="TX_CURR_SUBNAT.R","CY2020Q4",$M718),"")</f>
        <v>[DiFv5WXIHM5]|50+|Male|TX_CURR_SUBNAT.T_1|CY2021Q3</v>
      </c>
    </row>
    <row r="719" customFormat="false" ht="15" hidden="false" customHeight="false" outlineLevel="0" collapsed="false">
      <c r="D719" s="0" t="s">
        <v>107</v>
      </c>
      <c r="E719" s="0" t="s">
        <v>108</v>
      </c>
      <c r="F719" s="0" t="s">
        <v>47</v>
      </c>
      <c r="G719" s="0" t="s">
        <v>99</v>
      </c>
      <c r="H719" s="0" t="s">
        <v>100</v>
      </c>
      <c r="I719" s="0" t="s">
        <v>89</v>
      </c>
      <c r="J719" s="0" t="s">
        <v>90</v>
      </c>
      <c r="K719" s="0" t="s">
        <v>56</v>
      </c>
      <c r="L719" s="0" t="s">
        <v>57</v>
      </c>
      <c r="M719" s="0" t="s">
        <v>50</v>
      </c>
      <c r="N719" s="0" t="n">
        <v>5</v>
      </c>
      <c r="O719" s="0" t="n">
        <v>45</v>
      </c>
      <c r="P719" s="0" t="n">
        <v>5</v>
      </c>
      <c r="Q719" s="5" t="str">
        <f aca="false">IF($D719&lt;&gt;"","["&amp;$E719&amp;"]"&amp;"|"&amp;SUBSTITUTE(SUBSTITUTE($I719,CHAR(61),""),CHAR(34),"")&amp;"|"&amp;$K719&amp;"|"&amp;$G719&amp;"|"&amp;IF($G719="TX_CURR_SUBNAT.R","CY2020Q4",$M719),"")</f>
        <v>[DiFv5WXIHM5]|&lt;01|Female|TX_CURR_SUBNAT.T_1|CY2021Q3</v>
      </c>
    </row>
    <row r="720" customFormat="false" ht="15" hidden="false" customHeight="false" outlineLevel="0" collapsed="false">
      <c r="D720" s="0" t="s">
        <v>107</v>
      </c>
      <c r="E720" s="0" t="s">
        <v>108</v>
      </c>
      <c r="F720" s="0" t="s">
        <v>47</v>
      </c>
      <c r="G720" s="0" t="s">
        <v>99</v>
      </c>
      <c r="H720" s="0" t="s">
        <v>100</v>
      </c>
      <c r="I720" s="0" t="s">
        <v>89</v>
      </c>
      <c r="J720" s="0" t="s">
        <v>90</v>
      </c>
      <c r="K720" s="0" t="s">
        <v>58</v>
      </c>
      <c r="L720" s="0" t="s">
        <v>59</v>
      </c>
      <c r="M720" s="0" t="s">
        <v>50</v>
      </c>
      <c r="N720" s="0" t="n">
        <v>5</v>
      </c>
      <c r="O720" s="0" t="n">
        <v>14</v>
      </c>
      <c r="P720" s="0" t="n">
        <v>32</v>
      </c>
      <c r="Q720" s="5" t="str">
        <f aca="false">IF($D720&lt;&gt;"","["&amp;$E720&amp;"]"&amp;"|"&amp;SUBSTITUTE(SUBSTITUTE($I720,CHAR(61),""),CHAR(34),"")&amp;"|"&amp;$K720&amp;"|"&amp;$G720&amp;"|"&amp;IF($G720="TX_CURR_SUBNAT.R","CY2020Q4",$M720),"")</f>
        <v>[DiFv5WXIHM5]|&lt;01|Male|TX_CURR_SUBNAT.T_1|CY2021Q3</v>
      </c>
    </row>
    <row r="721" customFormat="false" ht="15" hidden="false" customHeight="false" outlineLevel="0" collapsed="false">
      <c r="D721" s="0" t="s">
        <v>109</v>
      </c>
      <c r="E721" s="0" t="s">
        <v>110</v>
      </c>
      <c r="F721" s="0" t="s">
        <v>47</v>
      </c>
      <c r="G721" s="0" t="s">
        <v>52</v>
      </c>
      <c r="H721" s="0" t="s">
        <v>53</v>
      </c>
      <c r="I721" s="0" t="s">
        <v>54</v>
      </c>
      <c r="J721" s="0" t="s">
        <v>55</v>
      </c>
      <c r="K721" s="0" t="s">
        <v>56</v>
      </c>
      <c r="L721" s="0" t="s">
        <v>57</v>
      </c>
      <c r="M721" s="0" t="s">
        <v>50</v>
      </c>
      <c r="N721" s="0" t="n">
        <v>10445</v>
      </c>
      <c r="O721" s="0" t="n">
        <v>17</v>
      </c>
      <c r="P721" s="0" t="n">
        <v>23</v>
      </c>
      <c r="Q721" s="5" t="str">
        <f aca="false">IF($D721&lt;&gt;"","["&amp;$E721&amp;"]"&amp;"|"&amp;SUBSTITUTE(SUBSTITUTE($I721,CHAR(61),""),CHAR(34),"")&amp;"|"&amp;$K721&amp;"|"&amp;$G721&amp;"|"&amp;IF($G721="TX_CURR_SUBNAT.R","CY2020Q4",$M721),"")</f>
        <v>[wpg5evyl1OL]|01-04|Female|POP_EST.T_1|CY2021Q3</v>
      </c>
    </row>
    <row r="722" customFormat="false" ht="15" hidden="false" customHeight="false" outlineLevel="0" collapsed="false">
      <c r="D722" s="0" t="s">
        <v>109</v>
      </c>
      <c r="E722" s="0" t="s">
        <v>110</v>
      </c>
      <c r="F722" s="0" t="s">
        <v>47</v>
      </c>
      <c r="G722" s="0" t="s">
        <v>52</v>
      </c>
      <c r="H722" s="0" t="s">
        <v>53</v>
      </c>
      <c r="I722" s="0" t="s">
        <v>54</v>
      </c>
      <c r="J722" s="0" t="s">
        <v>55</v>
      </c>
      <c r="K722" s="0" t="s">
        <v>58</v>
      </c>
      <c r="L722" s="0" t="s">
        <v>59</v>
      </c>
      <c r="M722" s="0" t="s">
        <v>50</v>
      </c>
      <c r="N722" s="0" t="n">
        <v>10657</v>
      </c>
      <c r="O722" s="0" t="n">
        <v>8</v>
      </c>
      <c r="P722" s="0" t="n">
        <v>20</v>
      </c>
      <c r="Q722" s="5" t="str">
        <f aca="false">IF($D722&lt;&gt;"","["&amp;$E722&amp;"]"&amp;"|"&amp;SUBSTITUTE(SUBSTITUTE($I722,CHAR(61),""),CHAR(34),"")&amp;"|"&amp;$K722&amp;"|"&amp;$G722&amp;"|"&amp;IF($G722="TX_CURR_SUBNAT.R","CY2020Q4",$M722),"")</f>
        <v>[wpg5evyl1OL]|01-04|Male|POP_EST.T_1|CY2021Q3</v>
      </c>
    </row>
    <row r="723" customFormat="false" ht="15" hidden="false" customHeight="false" outlineLevel="0" collapsed="false">
      <c r="D723" s="0" t="s">
        <v>109</v>
      </c>
      <c r="E723" s="0" t="s">
        <v>110</v>
      </c>
      <c r="F723" s="0" t="s">
        <v>47</v>
      </c>
      <c r="G723" s="0" t="s">
        <v>52</v>
      </c>
      <c r="H723" s="0" t="s">
        <v>53</v>
      </c>
      <c r="I723" s="0" t="s">
        <v>61</v>
      </c>
      <c r="J723" s="0" t="s">
        <v>62</v>
      </c>
      <c r="K723" s="0" t="s">
        <v>56</v>
      </c>
      <c r="L723" s="0" t="s">
        <v>57</v>
      </c>
      <c r="M723" s="0" t="s">
        <v>50</v>
      </c>
      <c r="N723" s="0" t="n">
        <v>13166</v>
      </c>
      <c r="O723" s="0" t="n">
        <v>14</v>
      </c>
      <c r="P723" s="0" t="n">
        <v>1</v>
      </c>
      <c r="Q723" s="5" t="str">
        <f aca="false">IF($D723&lt;&gt;"","["&amp;$E723&amp;"]"&amp;"|"&amp;SUBSTITUTE(SUBSTITUTE($I723,CHAR(61),""),CHAR(34),"")&amp;"|"&amp;$K723&amp;"|"&amp;$G723&amp;"|"&amp;IF($G723="TX_CURR_SUBNAT.R","CY2020Q4",$M723),"")</f>
        <v>[wpg5evyl1OL]|10-14|Female|POP_EST.T_1|CY2021Q3</v>
      </c>
    </row>
    <row r="724" customFormat="false" ht="15" hidden="false" customHeight="false" outlineLevel="0" collapsed="false">
      <c r="D724" s="0" t="s">
        <v>109</v>
      </c>
      <c r="E724" s="0" t="s">
        <v>110</v>
      </c>
      <c r="F724" s="0" t="s">
        <v>47</v>
      </c>
      <c r="G724" s="0" t="s">
        <v>52</v>
      </c>
      <c r="H724" s="0" t="s">
        <v>53</v>
      </c>
      <c r="I724" s="0" t="s">
        <v>61</v>
      </c>
      <c r="J724" s="0" t="s">
        <v>62</v>
      </c>
      <c r="K724" s="0" t="s">
        <v>58</v>
      </c>
      <c r="L724" s="0" t="s">
        <v>59</v>
      </c>
      <c r="M724" s="0" t="s">
        <v>50</v>
      </c>
      <c r="N724" s="0" t="n">
        <v>13241</v>
      </c>
      <c r="O724" s="0" t="n">
        <v>58</v>
      </c>
      <c r="P724" s="0" t="n">
        <v>21</v>
      </c>
      <c r="Q724" s="5" t="str">
        <f aca="false">IF($D724&lt;&gt;"","["&amp;$E724&amp;"]"&amp;"|"&amp;SUBSTITUTE(SUBSTITUTE($I724,CHAR(61),""),CHAR(34),"")&amp;"|"&amp;$K724&amp;"|"&amp;$G724&amp;"|"&amp;IF($G724="TX_CURR_SUBNAT.R","CY2020Q4",$M724),"")</f>
        <v>[wpg5evyl1OL]|10-14|Male|POP_EST.T_1|CY2021Q3</v>
      </c>
    </row>
    <row r="725" customFormat="false" ht="15" hidden="false" customHeight="false" outlineLevel="0" collapsed="false">
      <c r="D725" s="0" t="s">
        <v>109</v>
      </c>
      <c r="E725" s="0" t="s">
        <v>110</v>
      </c>
      <c r="F725" s="0" t="s">
        <v>47</v>
      </c>
      <c r="G725" s="0" t="s">
        <v>52</v>
      </c>
      <c r="H725" s="0" t="s">
        <v>53</v>
      </c>
      <c r="I725" s="0" t="s">
        <v>63</v>
      </c>
      <c r="J725" s="0" t="s">
        <v>64</v>
      </c>
      <c r="K725" s="0" t="s">
        <v>56</v>
      </c>
      <c r="L725" s="0" t="s">
        <v>57</v>
      </c>
      <c r="M725" s="0" t="s">
        <v>50</v>
      </c>
      <c r="N725" s="0" t="n">
        <v>12445</v>
      </c>
      <c r="O725" s="0" t="n">
        <v>41</v>
      </c>
      <c r="P725" s="0" t="n">
        <v>1</v>
      </c>
      <c r="Q725" s="5" t="str">
        <f aca="false">IF($D725&lt;&gt;"","["&amp;$E725&amp;"]"&amp;"|"&amp;SUBSTITUTE(SUBSTITUTE($I725,CHAR(61),""),CHAR(34),"")&amp;"|"&amp;$K725&amp;"|"&amp;$G725&amp;"|"&amp;IF($G725="TX_CURR_SUBNAT.R","CY2020Q4",$M725),"")</f>
        <v>[wpg5evyl1OL]|15-19|Female|POP_EST.T_1|CY2021Q3</v>
      </c>
    </row>
    <row r="726" customFormat="false" ht="15" hidden="false" customHeight="false" outlineLevel="0" collapsed="false">
      <c r="D726" s="0" t="s">
        <v>109</v>
      </c>
      <c r="E726" s="0" t="s">
        <v>110</v>
      </c>
      <c r="F726" s="0" t="s">
        <v>47</v>
      </c>
      <c r="G726" s="0" t="s">
        <v>52</v>
      </c>
      <c r="H726" s="0" t="s">
        <v>53</v>
      </c>
      <c r="I726" s="0" t="s">
        <v>63</v>
      </c>
      <c r="J726" s="0" t="s">
        <v>64</v>
      </c>
      <c r="K726" s="0" t="s">
        <v>58</v>
      </c>
      <c r="L726" s="0" t="s">
        <v>59</v>
      </c>
      <c r="M726" s="0" t="s">
        <v>50</v>
      </c>
      <c r="N726" s="0" t="n">
        <v>12882</v>
      </c>
      <c r="O726" s="0" t="n">
        <v>38</v>
      </c>
      <c r="P726" s="0" t="n">
        <v>3</v>
      </c>
      <c r="Q726" s="5" t="str">
        <f aca="false">IF($D726&lt;&gt;"","["&amp;$E726&amp;"]"&amp;"|"&amp;SUBSTITUTE(SUBSTITUTE($I726,CHAR(61),""),CHAR(34),"")&amp;"|"&amp;$K726&amp;"|"&amp;$G726&amp;"|"&amp;IF($G726="TX_CURR_SUBNAT.R","CY2020Q4",$M726),"")</f>
        <v>[wpg5evyl1OL]|15-19|Male|POP_EST.T_1|CY2021Q3</v>
      </c>
    </row>
    <row r="727" customFormat="false" ht="15" hidden="false" customHeight="false" outlineLevel="0" collapsed="false">
      <c r="D727" s="0" t="s">
        <v>109</v>
      </c>
      <c r="E727" s="0" t="s">
        <v>110</v>
      </c>
      <c r="F727" s="0" t="s">
        <v>47</v>
      </c>
      <c r="G727" s="0" t="s">
        <v>52</v>
      </c>
      <c r="H727" s="0" t="s">
        <v>53</v>
      </c>
      <c r="I727" s="0" t="s">
        <v>66</v>
      </c>
      <c r="J727" s="0" t="s">
        <v>67</v>
      </c>
      <c r="K727" s="0" t="s">
        <v>56</v>
      </c>
      <c r="L727" s="0" t="s">
        <v>57</v>
      </c>
      <c r="M727" s="0" t="s">
        <v>50</v>
      </c>
      <c r="N727" s="0" t="n">
        <v>11987</v>
      </c>
      <c r="O727" s="0" t="n">
        <v>4</v>
      </c>
      <c r="P727" s="0" t="n">
        <v>22</v>
      </c>
      <c r="Q727" s="5" t="str">
        <f aca="false">IF($D727&lt;&gt;"","["&amp;$E727&amp;"]"&amp;"|"&amp;SUBSTITUTE(SUBSTITUTE($I727,CHAR(61),""),CHAR(34),"")&amp;"|"&amp;$K727&amp;"|"&amp;$G727&amp;"|"&amp;IF($G727="TX_CURR_SUBNAT.R","CY2020Q4",$M727),"")</f>
        <v>[wpg5evyl1OL]|20-24|Female|POP_EST.T_1|CY2021Q3</v>
      </c>
    </row>
    <row r="728" customFormat="false" ht="15" hidden="false" customHeight="false" outlineLevel="0" collapsed="false">
      <c r="D728" s="0" t="s">
        <v>109</v>
      </c>
      <c r="E728" s="0" t="s">
        <v>110</v>
      </c>
      <c r="F728" s="0" t="s">
        <v>47</v>
      </c>
      <c r="G728" s="0" t="s">
        <v>52</v>
      </c>
      <c r="H728" s="0" t="s">
        <v>53</v>
      </c>
      <c r="I728" s="0" t="s">
        <v>66</v>
      </c>
      <c r="J728" s="0" t="s">
        <v>67</v>
      </c>
      <c r="K728" s="0" t="s">
        <v>58</v>
      </c>
      <c r="L728" s="0" t="s">
        <v>59</v>
      </c>
      <c r="M728" s="0" t="s">
        <v>50</v>
      </c>
      <c r="N728" s="0" t="n">
        <v>12472</v>
      </c>
      <c r="O728" s="0" t="n">
        <v>42</v>
      </c>
      <c r="P728" s="0" t="n">
        <v>23</v>
      </c>
      <c r="Q728" s="5" t="str">
        <f aca="false">IF($D728&lt;&gt;"","["&amp;$E728&amp;"]"&amp;"|"&amp;SUBSTITUTE(SUBSTITUTE($I728,CHAR(61),""),CHAR(34),"")&amp;"|"&amp;$K728&amp;"|"&amp;$G728&amp;"|"&amp;IF($G728="TX_CURR_SUBNAT.R","CY2020Q4",$M728),"")</f>
        <v>[wpg5evyl1OL]|20-24|Male|POP_EST.T_1|CY2021Q3</v>
      </c>
    </row>
    <row r="729" customFormat="false" ht="15" hidden="false" customHeight="false" outlineLevel="0" collapsed="false">
      <c r="D729" s="0" t="s">
        <v>109</v>
      </c>
      <c r="E729" s="0" t="s">
        <v>110</v>
      </c>
      <c r="F729" s="0" t="s">
        <v>47</v>
      </c>
      <c r="G729" s="0" t="s">
        <v>52</v>
      </c>
      <c r="H729" s="0" t="s">
        <v>53</v>
      </c>
      <c r="I729" s="0" t="s">
        <v>69</v>
      </c>
      <c r="J729" s="0" t="s">
        <v>70</v>
      </c>
      <c r="K729" s="0" t="s">
        <v>56</v>
      </c>
      <c r="L729" s="0" t="s">
        <v>57</v>
      </c>
      <c r="M729" s="0" t="s">
        <v>50</v>
      </c>
      <c r="N729" s="0" t="n">
        <v>12375</v>
      </c>
      <c r="O729" s="0" t="n">
        <v>11</v>
      </c>
      <c r="P729" s="0" t="n">
        <v>8</v>
      </c>
      <c r="Q729" s="5" t="str">
        <f aca="false">IF($D729&lt;&gt;"","["&amp;$E729&amp;"]"&amp;"|"&amp;SUBSTITUTE(SUBSTITUTE($I729,CHAR(61),""),CHAR(34),"")&amp;"|"&amp;$K729&amp;"|"&amp;$G729&amp;"|"&amp;IF($G729="TX_CURR_SUBNAT.R","CY2020Q4",$M729),"")</f>
        <v>[wpg5evyl1OL]|25-29|Female|POP_EST.T_1|CY2021Q3</v>
      </c>
    </row>
    <row r="730" customFormat="false" ht="15" hidden="false" customHeight="false" outlineLevel="0" collapsed="false">
      <c r="D730" s="0" t="s">
        <v>109</v>
      </c>
      <c r="E730" s="0" t="s">
        <v>110</v>
      </c>
      <c r="F730" s="0" t="s">
        <v>47</v>
      </c>
      <c r="G730" s="0" t="s">
        <v>52</v>
      </c>
      <c r="H730" s="0" t="s">
        <v>53</v>
      </c>
      <c r="I730" s="0" t="s">
        <v>69</v>
      </c>
      <c r="J730" s="0" t="s">
        <v>70</v>
      </c>
      <c r="K730" s="0" t="s">
        <v>58</v>
      </c>
      <c r="L730" s="0" t="s">
        <v>59</v>
      </c>
      <c r="M730" s="0" t="s">
        <v>50</v>
      </c>
      <c r="N730" s="0" t="n">
        <v>12986</v>
      </c>
      <c r="O730" s="0" t="n">
        <v>22</v>
      </c>
      <c r="P730" s="0" t="n">
        <v>20</v>
      </c>
      <c r="Q730" s="5" t="str">
        <f aca="false">IF($D730&lt;&gt;"","["&amp;$E730&amp;"]"&amp;"|"&amp;SUBSTITUTE(SUBSTITUTE($I730,CHAR(61),""),CHAR(34),"")&amp;"|"&amp;$K730&amp;"|"&amp;$G730&amp;"|"&amp;IF($G730="TX_CURR_SUBNAT.R","CY2020Q4",$M730),"")</f>
        <v>[wpg5evyl1OL]|25-29|Male|POP_EST.T_1|CY2021Q3</v>
      </c>
    </row>
    <row r="731" customFormat="false" ht="15" hidden="false" customHeight="false" outlineLevel="0" collapsed="false">
      <c r="D731" s="0" t="s">
        <v>109</v>
      </c>
      <c r="E731" s="0" t="s">
        <v>110</v>
      </c>
      <c r="F731" s="0" t="s">
        <v>47</v>
      </c>
      <c r="G731" s="0" t="s">
        <v>52</v>
      </c>
      <c r="H731" s="0" t="s">
        <v>53</v>
      </c>
      <c r="I731" s="0" t="s">
        <v>72</v>
      </c>
      <c r="J731" s="0" t="s">
        <v>73</v>
      </c>
      <c r="K731" s="0" t="s">
        <v>56</v>
      </c>
      <c r="L731" s="0" t="s">
        <v>57</v>
      </c>
      <c r="M731" s="0" t="s">
        <v>50</v>
      </c>
      <c r="N731" s="0" t="n">
        <v>12104</v>
      </c>
      <c r="O731" s="0" t="n">
        <v>4</v>
      </c>
      <c r="P731" s="0" t="n">
        <v>44</v>
      </c>
      <c r="Q731" s="5" t="str">
        <f aca="false">IF($D731&lt;&gt;"","["&amp;$E731&amp;"]"&amp;"|"&amp;SUBSTITUTE(SUBSTITUTE($I731,CHAR(61),""),CHAR(34),"")&amp;"|"&amp;$K731&amp;"|"&amp;$G731&amp;"|"&amp;IF($G731="TX_CURR_SUBNAT.R","CY2020Q4",$M731),"")</f>
        <v>[wpg5evyl1OL]|30-34|Female|POP_EST.T_1|CY2021Q3</v>
      </c>
    </row>
    <row r="732" customFormat="false" ht="15" hidden="false" customHeight="false" outlineLevel="0" collapsed="false">
      <c r="D732" s="0" t="s">
        <v>109</v>
      </c>
      <c r="E732" s="0" t="s">
        <v>110</v>
      </c>
      <c r="F732" s="0" t="s">
        <v>47</v>
      </c>
      <c r="G732" s="0" t="s">
        <v>52</v>
      </c>
      <c r="H732" s="0" t="s">
        <v>53</v>
      </c>
      <c r="I732" s="0" t="s">
        <v>72</v>
      </c>
      <c r="J732" s="0" t="s">
        <v>73</v>
      </c>
      <c r="K732" s="0" t="s">
        <v>58</v>
      </c>
      <c r="L732" s="0" t="s">
        <v>59</v>
      </c>
      <c r="M732" s="0" t="s">
        <v>50</v>
      </c>
      <c r="N732" s="0" t="n">
        <v>12894</v>
      </c>
      <c r="O732" s="0" t="n">
        <v>9</v>
      </c>
      <c r="P732" s="0" t="n">
        <v>15</v>
      </c>
      <c r="Q732" s="5" t="str">
        <f aca="false">IF($D732&lt;&gt;"","["&amp;$E732&amp;"]"&amp;"|"&amp;SUBSTITUTE(SUBSTITUTE($I732,CHAR(61),""),CHAR(34),"")&amp;"|"&amp;$K732&amp;"|"&amp;$G732&amp;"|"&amp;IF($G732="TX_CURR_SUBNAT.R","CY2020Q4",$M732),"")</f>
        <v>[wpg5evyl1OL]|30-34|Male|POP_EST.T_1|CY2021Q3</v>
      </c>
    </row>
    <row r="733" customFormat="false" ht="15" hidden="false" customHeight="false" outlineLevel="0" collapsed="false">
      <c r="D733" s="0" t="s">
        <v>109</v>
      </c>
      <c r="E733" s="0" t="s">
        <v>110</v>
      </c>
      <c r="F733" s="0" t="s">
        <v>47</v>
      </c>
      <c r="G733" s="0" t="s">
        <v>52</v>
      </c>
      <c r="H733" s="0" t="s">
        <v>53</v>
      </c>
      <c r="I733" s="0" t="s">
        <v>75</v>
      </c>
      <c r="J733" s="0" t="s">
        <v>76</v>
      </c>
      <c r="K733" s="0" t="s">
        <v>56</v>
      </c>
      <c r="L733" s="0" t="s">
        <v>57</v>
      </c>
      <c r="M733" s="0" t="s">
        <v>50</v>
      </c>
      <c r="N733" s="0" t="n">
        <v>9083</v>
      </c>
      <c r="O733" s="0" t="n">
        <v>53</v>
      </c>
      <c r="P733" s="0" t="n">
        <v>8</v>
      </c>
      <c r="Q733" s="5" t="str">
        <f aca="false">IF($D733&lt;&gt;"","["&amp;$E733&amp;"]"&amp;"|"&amp;SUBSTITUTE(SUBSTITUTE($I733,CHAR(61),""),CHAR(34),"")&amp;"|"&amp;$K733&amp;"|"&amp;$G733&amp;"|"&amp;IF($G733="TX_CURR_SUBNAT.R","CY2020Q4",$M733),"")</f>
        <v>[wpg5evyl1OL]|35-39|Female|POP_EST.T_1|CY2021Q3</v>
      </c>
    </row>
    <row r="734" customFormat="false" ht="15" hidden="false" customHeight="false" outlineLevel="0" collapsed="false">
      <c r="D734" s="0" t="s">
        <v>109</v>
      </c>
      <c r="E734" s="0" t="s">
        <v>110</v>
      </c>
      <c r="F734" s="0" t="s">
        <v>47</v>
      </c>
      <c r="G734" s="0" t="s">
        <v>52</v>
      </c>
      <c r="H734" s="0" t="s">
        <v>53</v>
      </c>
      <c r="I734" s="0" t="s">
        <v>75</v>
      </c>
      <c r="J734" s="0" t="s">
        <v>76</v>
      </c>
      <c r="K734" s="0" t="s">
        <v>58</v>
      </c>
      <c r="L734" s="0" t="s">
        <v>59</v>
      </c>
      <c r="M734" s="0" t="s">
        <v>50</v>
      </c>
      <c r="N734" s="0" t="n">
        <v>10372</v>
      </c>
      <c r="O734" s="0" t="n">
        <v>23</v>
      </c>
      <c r="P734" s="0" t="n">
        <v>19</v>
      </c>
      <c r="Q734" s="5" t="str">
        <f aca="false">IF($D734&lt;&gt;"","["&amp;$E734&amp;"]"&amp;"|"&amp;SUBSTITUTE(SUBSTITUTE($I734,CHAR(61),""),CHAR(34),"")&amp;"|"&amp;$K734&amp;"|"&amp;$G734&amp;"|"&amp;IF($G734="TX_CURR_SUBNAT.R","CY2020Q4",$M734),"")</f>
        <v>[wpg5evyl1OL]|35-39|Male|POP_EST.T_1|CY2021Q3</v>
      </c>
    </row>
    <row r="735" customFormat="false" ht="15" hidden="false" customHeight="false" outlineLevel="0" collapsed="false">
      <c r="D735" s="0" t="s">
        <v>109</v>
      </c>
      <c r="E735" s="0" t="s">
        <v>110</v>
      </c>
      <c r="F735" s="0" t="s">
        <v>47</v>
      </c>
      <c r="G735" s="0" t="s">
        <v>52</v>
      </c>
      <c r="H735" s="0" t="s">
        <v>53</v>
      </c>
      <c r="I735" s="0" t="s">
        <v>77</v>
      </c>
      <c r="J735" s="0" t="s">
        <v>78</v>
      </c>
      <c r="K735" s="0" t="s">
        <v>56</v>
      </c>
      <c r="L735" s="0" t="s">
        <v>57</v>
      </c>
      <c r="M735" s="0" t="s">
        <v>50</v>
      </c>
      <c r="N735" s="0" t="n">
        <v>6597</v>
      </c>
      <c r="O735" s="0" t="n">
        <v>50</v>
      </c>
      <c r="P735" s="0" t="n">
        <v>42</v>
      </c>
      <c r="Q735" s="5" t="str">
        <f aca="false">IF($D735&lt;&gt;"","["&amp;$E735&amp;"]"&amp;"|"&amp;SUBSTITUTE(SUBSTITUTE($I735,CHAR(61),""),CHAR(34),"")&amp;"|"&amp;$K735&amp;"|"&amp;$G735&amp;"|"&amp;IF($G735="TX_CURR_SUBNAT.R","CY2020Q4",$M735),"")</f>
        <v>[wpg5evyl1OL]|40-44|Female|POP_EST.T_1|CY2021Q3</v>
      </c>
    </row>
    <row r="736" customFormat="false" ht="15" hidden="false" customHeight="false" outlineLevel="0" collapsed="false">
      <c r="D736" s="0" t="s">
        <v>109</v>
      </c>
      <c r="E736" s="0" t="s">
        <v>110</v>
      </c>
      <c r="F736" s="0" t="s">
        <v>47</v>
      </c>
      <c r="G736" s="0" t="s">
        <v>52</v>
      </c>
      <c r="H736" s="0" t="s">
        <v>53</v>
      </c>
      <c r="I736" s="0" t="s">
        <v>77</v>
      </c>
      <c r="J736" s="0" t="s">
        <v>78</v>
      </c>
      <c r="K736" s="0" t="s">
        <v>58</v>
      </c>
      <c r="L736" s="0" t="s">
        <v>59</v>
      </c>
      <c r="M736" s="0" t="s">
        <v>50</v>
      </c>
      <c r="N736" s="0" t="n">
        <v>6905</v>
      </c>
      <c r="O736" s="0" t="n">
        <v>37</v>
      </c>
      <c r="P736" s="0" t="n">
        <v>1</v>
      </c>
      <c r="Q736" s="5" t="str">
        <f aca="false">IF($D736&lt;&gt;"","["&amp;$E736&amp;"]"&amp;"|"&amp;SUBSTITUTE(SUBSTITUTE($I736,CHAR(61),""),CHAR(34),"")&amp;"|"&amp;$K736&amp;"|"&amp;$G736&amp;"|"&amp;IF($G736="TX_CURR_SUBNAT.R","CY2020Q4",$M736),"")</f>
        <v>[wpg5evyl1OL]|40-44|Male|POP_EST.T_1|CY2021Q3</v>
      </c>
    </row>
    <row r="737" customFormat="false" ht="15" hidden="false" customHeight="false" outlineLevel="0" collapsed="false">
      <c r="D737" s="0" t="s">
        <v>109</v>
      </c>
      <c r="E737" s="0" t="s">
        <v>110</v>
      </c>
      <c r="F737" s="0" t="s">
        <v>47</v>
      </c>
      <c r="G737" s="0" t="s">
        <v>52</v>
      </c>
      <c r="H737" s="0" t="s">
        <v>53</v>
      </c>
      <c r="I737" s="0" t="s">
        <v>80</v>
      </c>
      <c r="J737" s="0" t="s">
        <v>81</v>
      </c>
      <c r="K737" s="0" t="s">
        <v>56</v>
      </c>
      <c r="L737" s="0" t="s">
        <v>57</v>
      </c>
      <c r="M737" s="0" t="s">
        <v>50</v>
      </c>
      <c r="N737" s="0" t="n">
        <v>5601</v>
      </c>
      <c r="O737" s="0" t="n">
        <v>54</v>
      </c>
      <c r="P737" s="0" t="n">
        <v>1</v>
      </c>
      <c r="Q737" s="5" t="str">
        <f aca="false">IF($D737&lt;&gt;"","["&amp;$E737&amp;"]"&amp;"|"&amp;SUBSTITUTE(SUBSTITUTE($I737,CHAR(61),""),CHAR(34),"")&amp;"|"&amp;$K737&amp;"|"&amp;$G737&amp;"|"&amp;IF($G737="TX_CURR_SUBNAT.R","CY2020Q4",$M737),"")</f>
        <v>[wpg5evyl1OL]|45-49|Female|POP_EST.T_1|CY2021Q3</v>
      </c>
    </row>
    <row r="738" customFormat="false" ht="15" hidden="false" customHeight="false" outlineLevel="0" collapsed="false">
      <c r="D738" s="0" t="s">
        <v>109</v>
      </c>
      <c r="E738" s="0" t="s">
        <v>110</v>
      </c>
      <c r="F738" s="0" t="s">
        <v>47</v>
      </c>
      <c r="G738" s="0" t="s">
        <v>52</v>
      </c>
      <c r="H738" s="0" t="s">
        <v>53</v>
      </c>
      <c r="I738" s="0" t="s">
        <v>80</v>
      </c>
      <c r="J738" s="0" t="s">
        <v>81</v>
      </c>
      <c r="K738" s="0" t="s">
        <v>58</v>
      </c>
      <c r="L738" s="0" t="s">
        <v>59</v>
      </c>
      <c r="M738" s="0" t="s">
        <v>50</v>
      </c>
      <c r="N738" s="0" t="n">
        <v>5130</v>
      </c>
      <c r="O738" s="0" t="n">
        <v>44</v>
      </c>
      <c r="P738" s="0" t="n">
        <v>6</v>
      </c>
      <c r="Q738" s="5" t="str">
        <f aca="false">IF($D738&lt;&gt;"","["&amp;$E738&amp;"]"&amp;"|"&amp;SUBSTITUTE(SUBSTITUTE($I738,CHAR(61),""),CHAR(34),"")&amp;"|"&amp;$K738&amp;"|"&amp;$G738&amp;"|"&amp;IF($G738="TX_CURR_SUBNAT.R","CY2020Q4",$M738),"")</f>
        <v>[wpg5evyl1OL]|45-49|Male|POP_EST.T_1|CY2021Q3</v>
      </c>
    </row>
    <row r="739" customFormat="false" ht="15" hidden="false" customHeight="false" outlineLevel="0" collapsed="false">
      <c r="D739" s="0" t="s">
        <v>109</v>
      </c>
      <c r="E739" s="0" t="s">
        <v>110</v>
      </c>
      <c r="F739" s="0" t="s">
        <v>47</v>
      </c>
      <c r="G739" s="0" t="s">
        <v>52</v>
      </c>
      <c r="H739" s="0" t="s">
        <v>53</v>
      </c>
      <c r="I739" s="0" t="s">
        <v>83</v>
      </c>
      <c r="J739" s="0" t="s">
        <v>84</v>
      </c>
      <c r="K739" s="0" t="s">
        <v>56</v>
      </c>
      <c r="L739" s="0" t="s">
        <v>57</v>
      </c>
      <c r="M739" s="0" t="s">
        <v>50</v>
      </c>
      <c r="N739" s="0" t="n">
        <v>14545</v>
      </c>
      <c r="O739" s="0" t="n">
        <v>41</v>
      </c>
      <c r="P739" s="0" t="n">
        <v>47</v>
      </c>
      <c r="Q739" s="5" t="str">
        <f aca="false">IF($D739&lt;&gt;"","["&amp;$E739&amp;"]"&amp;"|"&amp;SUBSTITUTE(SUBSTITUTE($I739,CHAR(61),""),CHAR(34),"")&amp;"|"&amp;$K739&amp;"|"&amp;$G739&amp;"|"&amp;IF($G739="TX_CURR_SUBNAT.R","CY2020Q4",$M739),"")</f>
        <v>[wpg5evyl1OL]|05-09|Female|POP_EST.T_1|CY2021Q3</v>
      </c>
    </row>
    <row r="740" customFormat="false" ht="15" hidden="false" customHeight="false" outlineLevel="0" collapsed="false">
      <c r="D740" s="0" t="s">
        <v>109</v>
      </c>
      <c r="E740" s="0" t="s">
        <v>110</v>
      </c>
      <c r="F740" s="0" t="s">
        <v>47</v>
      </c>
      <c r="G740" s="0" t="s">
        <v>52</v>
      </c>
      <c r="H740" s="0" t="s">
        <v>53</v>
      </c>
      <c r="I740" s="0" t="s">
        <v>83</v>
      </c>
      <c r="J740" s="0" t="s">
        <v>84</v>
      </c>
      <c r="K740" s="0" t="s">
        <v>58</v>
      </c>
      <c r="L740" s="0" t="s">
        <v>59</v>
      </c>
      <c r="M740" s="0" t="s">
        <v>50</v>
      </c>
      <c r="N740" s="0" t="n">
        <v>14062</v>
      </c>
      <c r="O740" s="0" t="n">
        <v>22</v>
      </c>
      <c r="P740" s="0" t="n">
        <v>6</v>
      </c>
      <c r="Q740" s="5" t="str">
        <f aca="false">IF($D740&lt;&gt;"","["&amp;$E740&amp;"]"&amp;"|"&amp;SUBSTITUTE(SUBSTITUTE($I740,CHAR(61),""),CHAR(34),"")&amp;"|"&amp;$K740&amp;"|"&amp;$G740&amp;"|"&amp;IF($G740="TX_CURR_SUBNAT.R","CY2020Q4",$M740),"")</f>
        <v>[wpg5evyl1OL]|05-09|Male|POP_EST.T_1|CY2021Q3</v>
      </c>
    </row>
    <row r="741" customFormat="false" ht="15" hidden="false" customHeight="false" outlineLevel="0" collapsed="false">
      <c r="D741" s="0" t="s">
        <v>109</v>
      </c>
      <c r="E741" s="0" t="s">
        <v>110</v>
      </c>
      <c r="F741" s="0" t="s">
        <v>47</v>
      </c>
      <c r="G741" s="0" t="s">
        <v>52</v>
      </c>
      <c r="H741" s="0" t="s">
        <v>53</v>
      </c>
      <c r="I741" s="53" t="s">
        <v>86</v>
      </c>
      <c r="J741" s="0" t="s">
        <v>87</v>
      </c>
      <c r="K741" s="0" t="s">
        <v>56</v>
      </c>
      <c r="L741" s="0" t="s">
        <v>57</v>
      </c>
      <c r="M741" s="0" t="s">
        <v>50</v>
      </c>
      <c r="N741" s="0" t="n">
        <v>26039</v>
      </c>
      <c r="O741" s="0" t="n">
        <v>27</v>
      </c>
      <c r="P741" s="0" t="n">
        <v>16</v>
      </c>
      <c r="Q741" s="5" t="str">
        <f aca="false">IF($D741&lt;&gt;"","["&amp;$E741&amp;"]"&amp;"|"&amp;SUBSTITUTE(SUBSTITUTE($I741,CHAR(61),""),CHAR(34),"")&amp;"|"&amp;$K741&amp;"|"&amp;$G741&amp;"|"&amp;IF($G741="TX_CURR_SUBNAT.R","CY2020Q4",$M741),"")</f>
        <v>[wpg5evyl1OL]|50+|Female|POP_EST.T_1|CY2021Q3</v>
      </c>
    </row>
    <row r="742" customFormat="false" ht="15" hidden="false" customHeight="false" outlineLevel="0" collapsed="false">
      <c r="D742" s="0" t="s">
        <v>109</v>
      </c>
      <c r="E742" s="0" t="s">
        <v>110</v>
      </c>
      <c r="F742" s="0" t="s">
        <v>47</v>
      </c>
      <c r="G742" s="0" t="s">
        <v>52</v>
      </c>
      <c r="H742" s="0" t="s">
        <v>53</v>
      </c>
      <c r="I742" s="53" t="s">
        <v>86</v>
      </c>
      <c r="J742" s="0" t="s">
        <v>87</v>
      </c>
      <c r="K742" s="0" t="s">
        <v>58</v>
      </c>
      <c r="L742" s="0" t="s">
        <v>59</v>
      </c>
      <c r="M742" s="0" t="s">
        <v>50</v>
      </c>
      <c r="N742" s="0" t="n">
        <v>18045</v>
      </c>
      <c r="O742" s="0" t="n">
        <v>14</v>
      </c>
      <c r="P742" s="0" t="n">
        <v>22</v>
      </c>
      <c r="Q742" s="5" t="str">
        <f aca="false">IF($D742&lt;&gt;"","["&amp;$E742&amp;"]"&amp;"|"&amp;SUBSTITUTE(SUBSTITUTE($I742,CHAR(61),""),CHAR(34),"")&amp;"|"&amp;$K742&amp;"|"&amp;$G742&amp;"|"&amp;IF($G742="TX_CURR_SUBNAT.R","CY2020Q4",$M742),"")</f>
        <v>[wpg5evyl1OL]|50+|Male|POP_EST.T_1|CY2021Q3</v>
      </c>
    </row>
    <row r="743" customFormat="false" ht="15" hidden="false" customHeight="false" outlineLevel="0" collapsed="false">
      <c r="D743" s="0" t="s">
        <v>109</v>
      </c>
      <c r="E743" s="0" t="s">
        <v>110</v>
      </c>
      <c r="F743" s="0" t="s">
        <v>47</v>
      </c>
      <c r="G743" s="0" t="s">
        <v>52</v>
      </c>
      <c r="H743" s="0" t="s">
        <v>53</v>
      </c>
      <c r="I743" s="0" t="s">
        <v>89</v>
      </c>
      <c r="J743" s="0" t="s">
        <v>90</v>
      </c>
      <c r="K743" s="0" t="s">
        <v>56</v>
      </c>
      <c r="L743" s="0" t="s">
        <v>57</v>
      </c>
      <c r="M743" s="0" t="s">
        <v>50</v>
      </c>
      <c r="N743" s="0" t="n">
        <v>2248</v>
      </c>
      <c r="O743" s="0" t="n">
        <v>20</v>
      </c>
      <c r="P743" s="0" t="n">
        <v>4</v>
      </c>
      <c r="Q743" s="5" t="str">
        <f aca="false">IF($D743&lt;&gt;"","["&amp;$E743&amp;"]"&amp;"|"&amp;SUBSTITUTE(SUBSTITUTE($I743,CHAR(61),""),CHAR(34),"")&amp;"|"&amp;$K743&amp;"|"&amp;$G743&amp;"|"&amp;IF($G743="TX_CURR_SUBNAT.R","CY2020Q4",$M743),"")</f>
        <v>[wpg5evyl1OL]|&lt;01|Female|POP_EST.T_1|CY2021Q3</v>
      </c>
    </row>
    <row r="744" customFormat="false" ht="15" hidden="false" customHeight="false" outlineLevel="0" collapsed="false">
      <c r="D744" s="0" t="s">
        <v>109</v>
      </c>
      <c r="E744" s="0" t="s">
        <v>110</v>
      </c>
      <c r="F744" s="0" t="s">
        <v>47</v>
      </c>
      <c r="G744" s="0" t="s">
        <v>52</v>
      </c>
      <c r="H744" s="0" t="s">
        <v>53</v>
      </c>
      <c r="I744" s="0" t="s">
        <v>89</v>
      </c>
      <c r="J744" s="0" t="s">
        <v>90</v>
      </c>
      <c r="K744" s="0" t="s">
        <v>58</v>
      </c>
      <c r="L744" s="0" t="s">
        <v>59</v>
      </c>
      <c r="M744" s="0" t="s">
        <v>50</v>
      </c>
      <c r="N744" s="0" t="n">
        <v>2294</v>
      </c>
      <c r="O744" s="0" t="n">
        <v>14</v>
      </c>
      <c r="P744" s="0" t="n">
        <v>37</v>
      </c>
      <c r="Q744" s="5" t="str">
        <f aca="false">IF($D744&lt;&gt;"","["&amp;$E744&amp;"]"&amp;"|"&amp;SUBSTITUTE(SUBSTITUTE($I744,CHAR(61),""),CHAR(34),"")&amp;"|"&amp;$K744&amp;"|"&amp;$G744&amp;"|"&amp;IF($G744="TX_CURR_SUBNAT.R","CY2020Q4",$M744),"")</f>
        <v>[wpg5evyl1OL]|&lt;01|Male|POP_EST.T_1|CY2021Q3</v>
      </c>
    </row>
    <row r="745" customFormat="false" ht="15" hidden="false" customHeight="false" outlineLevel="0" collapsed="false">
      <c r="D745" s="0" t="s">
        <v>109</v>
      </c>
      <c r="E745" s="0" t="s">
        <v>110</v>
      </c>
      <c r="F745" s="0" t="s">
        <v>47</v>
      </c>
      <c r="G745" s="0" t="s">
        <v>91</v>
      </c>
      <c r="H745" s="0" t="s">
        <v>92</v>
      </c>
      <c r="I745" s="0" t="s">
        <v>54</v>
      </c>
      <c r="J745" s="0" t="s">
        <v>55</v>
      </c>
      <c r="K745" s="0" t="s">
        <v>56</v>
      </c>
      <c r="L745" s="0" t="s">
        <v>57</v>
      </c>
      <c r="M745" s="0" t="s">
        <v>50</v>
      </c>
      <c r="N745" s="0" t="n">
        <v>0.0073229</v>
      </c>
      <c r="O745" s="0" t="n">
        <v>2</v>
      </c>
      <c r="P745" s="0" t="n">
        <v>40</v>
      </c>
      <c r="Q745" s="5" t="str">
        <f aca="false">IF($D745&lt;&gt;"","["&amp;$E745&amp;"]"&amp;"|"&amp;SUBSTITUTE(SUBSTITUTE($I745,CHAR(61),""),CHAR(34),"")&amp;"|"&amp;$K745&amp;"|"&amp;$G745&amp;"|"&amp;IF($G745="TX_CURR_SUBNAT.R","CY2020Q4",$M745),"")</f>
        <v>[wpg5evyl1OL]|01-04|Female|HIV_PREV.T_1|CY2021Q3</v>
      </c>
    </row>
    <row r="746" customFormat="false" ht="15" hidden="false" customHeight="false" outlineLevel="0" collapsed="false">
      <c r="D746" s="0" t="s">
        <v>109</v>
      </c>
      <c r="E746" s="0" t="s">
        <v>110</v>
      </c>
      <c r="F746" s="0" t="s">
        <v>47</v>
      </c>
      <c r="G746" s="0" t="s">
        <v>91</v>
      </c>
      <c r="H746" s="0" t="s">
        <v>92</v>
      </c>
      <c r="I746" s="0" t="s">
        <v>54</v>
      </c>
      <c r="J746" s="0" t="s">
        <v>55</v>
      </c>
      <c r="K746" s="0" t="s">
        <v>58</v>
      </c>
      <c r="L746" s="0" t="s">
        <v>59</v>
      </c>
      <c r="M746" s="0" t="s">
        <v>50</v>
      </c>
      <c r="N746" s="0" t="n">
        <v>0.0073098</v>
      </c>
      <c r="O746" s="0" t="n">
        <v>45</v>
      </c>
      <c r="P746" s="0" t="n">
        <v>29</v>
      </c>
      <c r="Q746" s="5" t="str">
        <f aca="false">IF($D746&lt;&gt;"","["&amp;$E746&amp;"]"&amp;"|"&amp;SUBSTITUTE(SUBSTITUTE($I746,CHAR(61),""),CHAR(34),"")&amp;"|"&amp;$K746&amp;"|"&amp;$G746&amp;"|"&amp;IF($G746="TX_CURR_SUBNAT.R","CY2020Q4",$M746),"")</f>
        <v>[wpg5evyl1OL]|01-04|Male|HIV_PREV.T_1|CY2021Q3</v>
      </c>
    </row>
    <row r="747" customFormat="false" ht="15" hidden="false" customHeight="false" outlineLevel="0" collapsed="false">
      <c r="D747" s="0" t="s">
        <v>109</v>
      </c>
      <c r="E747" s="0" t="s">
        <v>110</v>
      </c>
      <c r="F747" s="0" t="s">
        <v>47</v>
      </c>
      <c r="G747" s="0" t="s">
        <v>91</v>
      </c>
      <c r="H747" s="0" t="s">
        <v>92</v>
      </c>
      <c r="I747" s="0" t="s">
        <v>61</v>
      </c>
      <c r="J747" s="0" t="s">
        <v>62</v>
      </c>
      <c r="K747" s="0" t="s">
        <v>56</v>
      </c>
      <c r="L747" s="0" t="s">
        <v>57</v>
      </c>
      <c r="M747" s="0" t="s">
        <v>50</v>
      </c>
      <c r="N747" s="0" t="n">
        <v>0.0226008</v>
      </c>
      <c r="O747" s="0" t="n">
        <v>37</v>
      </c>
      <c r="P747" s="0" t="n">
        <v>45</v>
      </c>
      <c r="Q747" s="5" t="str">
        <f aca="false">IF($D747&lt;&gt;"","["&amp;$E747&amp;"]"&amp;"|"&amp;SUBSTITUTE(SUBSTITUTE($I747,CHAR(61),""),CHAR(34),"")&amp;"|"&amp;$K747&amp;"|"&amp;$G747&amp;"|"&amp;IF($G747="TX_CURR_SUBNAT.R","CY2020Q4",$M747),"")</f>
        <v>[wpg5evyl1OL]|10-14|Female|HIV_PREV.T_1|CY2021Q3</v>
      </c>
    </row>
    <row r="748" customFormat="false" ht="15" hidden="false" customHeight="false" outlineLevel="0" collapsed="false">
      <c r="D748" s="0" t="s">
        <v>109</v>
      </c>
      <c r="E748" s="0" t="s">
        <v>110</v>
      </c>
      <c r="F748" s="0" t="s">
        <v>47</v>
      </c>
      <c r="G748" s="0" t="s">
        <v>91</v>
      </c>
      <c r="H748" s="0" t="s">
        <v>92</v>
      </c>
      <c r="I748" s="0" t="s">
        <v>61</v>
      </c>
      <c r="J748" s="0" t="s">
        <v>62</v>
      </c>
      <c r="K748" s="0" t="s">
        <v>58</v>
      </c>
      <c r="L748" s="0" t="s">
        <v>59</v>
      </c>
      <c r="M748" s="0" t="s">
        <v>50</v>
      </c>
      <c r="N748" s="0" t="n">
        <v>0.0227714</v>
      </c>
      <c r="O748" s="0" t="n">
        <v>54</v>
      </c>
      <c r="P748" s="0" t="n">
        <v>26</v>
      </c>
      <c r="Q748" s="5" t="str">
        <f aca="false">IF($D748&lt;&gt;"","["&amp;$E748&amp;"]"&amp;"|"&amp;SUBSTITUTE(SUBSTITUTE($I748,CHAR(61),""),CHAR(34),"")&amp;"|"&amp;$K748&amp;"|"&amp;$G748&amp;"|"&amp;IF($G748="TX_CURR_SUBNAT.R","CY2020Q4",$M748),"")</f>
        <v>[wpg5evyl1OL]|10-14|Male|HIV_PREV.T_1|CY2021Q3</v>
      </c>
    </row>
    <row r="749" customFormat="false" ht="15" hidden="false" customHeight="false" outlineLevel="0" collapsed="false">
      <c r="D749" s="0" t="s">
        <v>109</v>
      </c>
      <c r="E749" s="0" t="s">
        <v>110</v>
      </c>
      <c r="F749" s="0" t="s">
        <v>47</v>
      </c>
      <c r="G749" s="0" t="s">
        <v>91</v>
      </c>
      <c r="H749" s="0" t="s">
        <v>92</v>
      </c>
      <c r="I749" s="0" t="s">
        <v>63</v>
      </c>
      <c r="J749" s="0" t="s">
        <v>64</v>
      </c>
      <c r="K749" s="0" t="s">
        <v>56</v>
      </c>
      <c r="L749" s="0" t="s">
        <v>57</v>
      </c>
      <c r="M749" s="0" t="s">
        <v>50</v>
      </c>
      <c r="N749" s="0" t="n">
        <v>0.0419618</v>
      </c>
      <c r="O749" s="0" t="n">
        <v>47</v>
      </c>
      <c r="P749" s="0" t="n">
        <v>49</v>
      </c>
      <c r="Q749" s="5" t="str">
        <f aca="false">IF($D749&lt;&gt;"","["&amp;$E749&amp;"]"&amp;"|"&amp;SUBSTITUTE(SUBSTITUTE($I749,CHAR(61),""),CHAR(34),"")&amp;"|"&amp;$K749&amp;"|"&amp;$G749&amp;"|"&amp;IF($G749="TX_CURR_SUBNAT.R","CY2020Q4",$M749),"")</f>
        <v>[wpg5evyl1OL]|15-19|Female|HIV_PREV.T_1|CY2021Q3</v>
      </c>
    </row>
    <row r="750" customFormat="false" ht="15" hidden="false" customHeight="false" outlineLevel="0" collapsed="false">
      <c r="D750" s="0" t="s">
        <v>109</v>
      </c>
      <c r="E750" s="0" t="s">
        <v>110</v>
      </c>
      <c r="F750" s="0" t="s">
        <v>47</v>
      </c>
      <c r="G750" s="0" t="s">
        <v>91</v>
      </c>
      <c r="H750" s="0" t="s">
        <v>92</v>
      </c>
      <c r="I750" s="0" t="s">
        <v>63</v>
      </c>
      <c r="J750" s="0" t="s">
        <v>64</v>
      </c>
      <c r="K750" s="0" t="s">
        <v>58</v>
      </c>
      <c r="L750" s="0" t="s">
        <v>59</v>
      </c>
      <c r="M750" s="0" t="s">
        <v>50</v>
      </c>
      <c r="N750" s="0" t="n">
        <v>0.0237972</v>
      </c>
      <c r="O750" s="0" t="n">
        <v>25</v>
      </c>
      <c r="P750" s="0" t="n">
        <v>5</v>
      </c>
      <c r="Q750" s="5" t="str">
        <f aca="false">IF($D750&lt;&gt;"","["&amp;$E750&amp;"]"&amp;"|"&amp;SUBSTITUTE(SUBSTITUTE($I750,CHAR(61),""),CHAR(34),"")&amp;"|"&amp;$K750&amp;"|"&amp;$G750&amp;"|"&amp;IF($G750="TX_CURR_SUBNAT.R","CY2020Q4",$M750),"")</f>
        <v>[wpg5evyl1OL]|15-19|Male|HIV_PREV.T_1|CY2021Q3</v>
      </c>
    </row>
    <row r="751" customFormat="false" ht="15" hidden="false" customHeight="false" outlineLevel="0" collapsed="false">
      <c r="D751" s="0" t="s">
        <v>109</v>
      </c>
      <c r="E751" s="0" t="s">
        <v>110</v>
      </c>
      <c r="F751" s="0" t="s">
        <v>47</v>
      </c>
      <c r="G751" s="0" t="s">
        <v>91</v>
      </c>
      <c r="H751" s="0" t="s">
        <v>92</v>
      </c>
      <c r="I751" s="0" t="s">
        <v>66</v>
      </c>
      <c r="J751" s="0" t="s">
        <v>67</v>
      </c>
      <c r="K751" s="0" t="s">
        <v>56</v>
      </c>
      <c r="L751" s="0" t="s">
        <v>57</v>
      </c>
      <c r="M751" s="0" t="s">
        <v>50</v>
      </c>
      <c r="N751" s="0" t="n">
        <v>0.1188492</v>
      </c>
      <c r="O751" s="0" t="n">
        <v>55</v>
      </c>
      <c r="P751" s="0" t="n">
        <v>50</v>
      </c>
      <c r="Q751" s="5" t="str">
        <f aca="false">IF($D751&lt;&gt;"","["&amp;$E751&amp;"]"&amp;"|"&amp;SUBSTITUTE(SUBSTITUTE($I751,CHAR(61),""),CHAR(34),"")&amp;"|"&amp;$K751&amp;"|"&amp;$G751&amp;"|"&amp;IF($G751="TX_CURR_SUBNAT.R","CY2020Q4",$M751),"")</f>
        <v>[wpg5evyl1OL]|20-24|Female|HIV_PREV.T_1|CY2021Q3</v>
      </c>
    </row>
    <row r="752" customFormat="false" ht="15" hidden="false" customHeight="false" outlineLevel="0" collapsed="false">
      <c r="D752" s="0" t="s">
        <v>109</v>
      </c>
      <c r="E752" s="0" t="s">
        <v>110</v>
      </c>
      <c r="F752" s="0" t="s">
        <v>47</v>
      </c>
      <c r="G752" s="0" t="s">
        <v>91</v>
      </c>
      <c r="H752" s="0" t="s">
        <v>92</v>
      </c>
      <c r="I752" s="0" t="s">
        <v>66</v>
      </c>
      <c r="J752" s="0" t="s">
        <v>67</v>
      </c>
      <c r="K752" s="0" t="s">
        <v>58</v>
      </c>
      <c r="L752" s="0" t="s">
        <v>59</v>
      </c>
      <c r="M752" s="0" t="s">
        <v>50</v>
      </c>
      <c r="N752" s="0" t="n">
        <v>0.0423556</v>
      </c>
      <c r="O752" s="0" t="n">
        <v>18</v>
      </c>
      <c r="P752" s="0" t="n">
        <v>43</v>
      </c>
      <c r="Q752" s="5" t="str">
        <f aca="false">IF($D752&lt;&gt;"","["&amp;$E752&amp;"]"&amp;"|"&amp;SUBSTITUTE(SUBSTITUTE($I752,CHAR(61),""),CHAR(34),"")&amp;"|"&amp;$K752&amp;"|"&amp;$G752&amp;"|"&amp;IF($G752="TX_CURR_SUBNAT.R","CY2020Q4",$M752),"")</f>
        <v>[wpg5evyl1OL]|20-24|Male|HIV_PREV.T_1|CY2021Q3</v>
      </c>
    </row>
    <row r="753" customFormat="false" ht="15" hidden="false" customHeight="false" outlineLevel="0" collapsed="false">
      <c r="D753" s="0" t="s">
        <v>109</v>
      </c>
      <c r="E753" s="0" t="s">
        <v>110</v>
      </c>
      <c r="F753" s="0" t="s">
        <v>47</v>
      </c>
      <c r="G753" s="0" t="s">
        <v>91</v>
      </c>
      <c r="H753" s="0" t="s">
        <v>92</v>
      </c>
      <c r="I753" s="0" t="s">
        <v>69</v>
      </c>
      <c r="J753" s="0" t="s">
        <v>70</v>
      </c>
      <c r="K753" s="0" t="s">
        <v>56</v>
      </c>
      <c r="L753" s="0" t="s">
        <v>57</v>
      </c>
      <c r="M753" s="0" t="s">
        <v>50</v>
      </c>
      <c r="N753" s="0" t="n">
        <v>0.2192363</v>
      </c>
      <c r="O753" s="0" t="n">
        <v>11</v>
      </c>
      <c r="P753" s="0" t="n">
        <v>49</v>
      </c>
      <c r="Q753" s="5" t="str">
        <f aca="false">IF($D753&lt;&gt;"","["&amp;$E753&amp;"]"&amp;"|"&amp;SUBSTITUTE(SUBSTITUTE($I753,CHAR(61),""),CHAR(34),"")&amp;"|"&amp;$K753&amp;"|"&amp;$G753&amp;"|"&amp;IF($G753="TX_CURR_SUBNAT.R","CY2020Q4",$M753),"")</f>
        <v>[wpg5evyl1OL]|25-29|Female|HIV_PREV.T_1|CY2021Q3</v>
      </c>
    </row>
    <row r="754" customFormat="false" ht="15" hidden="false" customHeight="false" outlineLevel="0" collapsed="false">
      <c r="D754" s="0" t="s">
        <v>109</v>
      </c>
      <c r="E754" s="0" t="s">
        <v>110</v>
      </c>
      <c r="F754" s="0" t="s">
        <v>47</v>
      </c>
      <c r="G754" s="0" t="s">
        <v>91</v>
      </c>
      <c r="H754" s="0" t="s">
        <v>92</v>
      </c>
      <c r="I754" s="0" t="s">
        <v>69</v>
      </c>
      <c r="J754" s="0" t="s">
        <v>70</v>
      </c>
      <c r="K754" s="0" t="s">
        <v>58</v>
      </c>
      <c r="L754" s="0" t="s">
        <v>59</v>
      </c>
      <c r="M754" s="0" t="s">
        <v>50</v>
      </c>
      <c r="N754" s="0" t="n">
        <v>0.0914706</v>
      </c>
      <c r="O754" s="0" t="n">
        <v>32</v>
      </c>
      <c r="P754" s="0" t="n">
        <v>38</v>
      </c>
      <c r="Q754" s="5" t="str">
        <f aca="false">IF($D754&lt;&gt;"","["&amp;$E754&amp;"]"&amp;"|"&amp;SUBSTITUTE(SUBSTITUTE($I754,CHAR(61),""),CHAR(34),"")&amp;"|"&amp;$K754&amp;"|"&amp;$G754&amp;"|"&amp;IF($G754="TX_CURR_SUBNAT.R","CY2020Q4",$M754),"")</f>
        <v>[wpg5evyl1OL]|25-29|Male|HIV_PREV.T_1|CY2021Q3</v>
      </c>
    </row>
    <row r="755" customFormat="false" ht="15" hidden="false" customHeight="false" outlineLevel="0" collapsed="false">
      <c r="D755" s="0" t="s">
        <v>109</v>
      </c>
      <c r="E755" s="0" t="s">
        <v>110</v>
      </c>
      <c r="F755" s="0" t="s">
        <v>47</v>
      </c>
      <c r="G755" s="0" t="s">
        <v>91</v>
      </c>
      <c r="H755" s="0" t="s">
        <v>92</v>
      </c>
      <c r="I755" s="0" t="s">
        <v>72</v>
      </c>
      <c r="J755" s="0" t="s">
        <v>73</v>
      </c>
      <c r="K755" s="0" t="s">
        <v>56</v>
      </c>
      <c r="L755" s="0" t="s">
        <v>57</v>
      </c>
      <c r="M755" s="0" t="s">
        <v>50</v>
      </c>
      <c r="N755" s="0" t="n">
        <v>0.3203534</v>
      </c>
      <c r="O755" s="0" t="n">
        <v>43</v>
      </c>
      <c r="P755" s="0" t="n">
        <v>47</v>
      </c>
      <c r="Q755" s="5" t="str">
        <f aca="false">IF($D755&lt;&gt;"","["&amp;$E755&amp;"]"&amp;"|"&amp;SUBSTITUTE(SUBSTITUTE($I755,CHAR(61),""),CHAR(34),"")&amp;"|"&amp;$K755&amp;"|"&amp;$G755&amp;"|"&amp;IF($G755="TX_CURR_SUBNAT.R","CY2020Q4",$M755),"")</f>
        <v>[wpg5evyl1OL]|30-34|Female|HIV_PREV.T_1|CY2021Q3</v>
      </c>
    </row>
    <row r="756" customFormat="false" ht="15" hidden="false" customHeight="false" outlineLevel="0" collapsed="false">
      <c r="D756" s="0" t="s">
        <v>109</v>
      </c>
      <c r="E756" s="0" t="s">
        <v>110</v>
      </c>
      <c r="F756" s="0" t="s">
        <v>47</v>
      </c>
      <c r="G756" s="0" t="s">
        <v>91</v>
      </c>
      <c r="H756" s="0" t="s">
        <v>92</v>
      </c>
      <c r="I756" s="0" t="s">
        <v>72</v>
      </c>
      <c r="J756" s="0" t="s">
        <v>73</v>
      </c>
      <c r="K756" s="0" t="s">
        <v>58</v>
      </c>
      <c r="L756" s="0" t="s">
        <v>59</v>
      </c>
      <c r="M756" s="0" t="s">
        <v>50</v>
      </c>
      <c r="N756" s="0" t="n">
        <v>0.1680274</v>
      </c>
      <c r="O756" s="0" t="n">
        <v>16</v>
      </c>
      <c r="P756" s="0" t="n">
        <v>44</v>
      </c>
      <c r="Q756" s="5" t="str">
        <f aca="false">IF($D756&lt;&gt;"","["&amp;$E756&amp;"]"&amp;"|"&amp;SUBSTITUTE(SUBSTITUTE($I756,CHAR(61),""),CHAR(34),"")&amp;"|"&amp;$K756&amp;"|"&amp;$G756&amp;"|"&amp;IF($G756="TX_CURR_SUBNAT.R","CY2020Q4",$M756),"")</f>
        <v>[wpg5evyl1OL]|30-34|Male|HIV_PREV.T_1|CY2021Q3</v>
      </c>
    </row>
    <row r="757" customFormat="false" ht="15" hidden="false" customHeight="false" outlineLevel="0" collapsed="false">
      <c r="D757" s="0" t="s">
        <v>109</v>
      </c>
      <c r="E757" s="0" t="s">
        <v>110</v>
      </c>
      <c r="F757" s="0" t="s">
        <v>47</v>
      </c>
      <c r="G757" s="0" t="s">
        <v>91</v>
      </c>
      <c r="H757" s="0" t="s">
        <v>92</v>
      </c>
      <c r="I757" s="0" t="s">
        <v>75</v>
      </c>
      <c r="J757" s="0" t="s">
        <v>76</v>
      </c>
      <c r="K757" s="0" t="s">
        <v>56</v>
      </c>
      <c r="L757" s="0" t="s">
        <v>57</v>
      </c>
      <c r="M757" s="0" t="s">
        <v>50</v>
      </c>
      <c r="N757" s="0" t="n">
        <v>0.4172957</v>
      </c>
      <c r="O757" s="0" t="n">
        <v>5</v>
      </c>
      <c r="P757" s="0" t="n">
        <v>35</v>
      </c>
      <c r="Q757" s="5" t="str">
        <f aca="false">IF($D757&lt;&gt;"","["&amp;$E757&amp;"]"&amp;"|"&amp;SUBSTITUTE(SUBSTITUTE($I757,CHAR(61),""),CHAR(34),"")&amp;"|"&amp;$K757&amp;"|"&amp;$G757&amp;"|"&amp;IF($G757="TX_CURR_SUBNAT.R","CY2020Q4",$M757),"")</f>
        <v>[wpg5evyl1OL]|35-39|Female|HIV_PREV.T_1|CY2021Q3</v>
      </c>
    </row>
    <row r="758" customFormat="false" ht="15" hidden="false" customHeight="false" outlineLevel="0" collapsed="false">
      <c r="D758" s="0" t="s">
        <v>109</v>
      </c>
      <c r="E758" s="0" t="s">
        <v>110</v>
      </c>
      <c r="F758" s="0" t="s">
        <v>47</v>
      </c>
      <c r="G758" s="0" t="s">
        <v>91</v>
      </c>
      <c r="H758" s="0" t="s">
        <v>92</v>
      </c>
      <c r="I758" s="0" t="s">
        <v>75</v>
      </c>
      <c r="J758" s="0" t="s">
        <v>76</v>
      </c>
      <c r="K758" s="0" t="s">
        <v>58</v>
      </c>
      <c r="L758" s="0" t="s">
        <v>59</v>
      </c>
      <c r="M758" s="0" t="s">
        <v>50</v>
      </c>
      <c r="N758" s="0" t="n">
        <v>0.2577185</v>
      </c>
      <c r="O758" s="0" t="n">
        <v>40</v>
      </c>
      <c r="P758" s="0" t="n">
        <v>4</v>
      </c>
      <c r="Q758" s="5" t="str">
        <f aca="false">IF($D758&lt;&gt;"","["&amp;$E758&amp;"]"&amp;"|"&amp;SUBSTITUTE(SUBSTITUTE($I758,CHAR(61),""),CHAR(34),"")&amp;"|"&amp;$K758&amp;"|"&amp;$G758&amp;"|"&amp;IF($G758="TX_CURR_SUBNAT.R","CY2020Q4",$M758),"")</f>
        <v>[wpg5evyl1OL]|35-39|Male|HIV_PREV.T_1|CY2021Q3</v>
      </c>
    </row>
    <row r="759" customFormat="false" ht="15" hidden="false" customHeight="false" outlineLevel="0" collapsed="false">
      <c r="D759" s="0" t="s">
        <v>109</v>
      </c>
      <c r="E759" s="0" t="s">
        <v>110</v>
      </c>
      <c r="F759" s="0" t="s">
        <v>47</v>
      </c>
      <c r="G759" s="0" t="s">
        <v>91</v>
      </c>
      <c r="H759" s="0" t="s">
        <v>92</v>
      </c>
      <c r="I759" s="0" t="s">
        <v>77</v>
      </c>
      <c r="J759" s="0" t="s">
        <v>78</v>
      </c>
      <c r="K759" s="0" t="s">
        <v>56</v>
      </c>
      <c r="L759" s="0" t="s">
        <v>57</v>
      </c>
      <c r="M759" s="0" t="s">
        <v>50</v>
      </c>
      <c r="N759" s="0" t="n">
        <v>0.4653609</v>
      </c>
      <c r="O759" s="0" t="n">
        <v>33</v>
      </c>
      <c r="P759" s="0" t="n">
        <v>29</v>
      </c>
      <c r="Q759" s="5" t="str">
        <f aca="false">IF($D759&lt;&gt;"","["&amp;$E759&amp;"]"&amp;"|"&amp;SUBSTITUTE(SUBSTITUTE($I759,CHAR(61),""),CHAR(34),"")&amp;"|"&amp;$K759&amp;"|"&amp;$G759&amp;"|"&amp;IF($G759="TX_CURR_SUBNAT.R","CY2020Q4",$M759),"")</f>
        <v>[wpg5evyl1OL]|40-44|Female|HIV_PREV.T_1|CY2021Q3</v>
      </c>
    </row>
    <row r="760" customFormat="false" ht="15" hidden="false" customHeight="false" outlineLevel="0" collapsed="false">
      <c r="D760" s="0" t="s">
        <v>109</v>
      </c>
      <c r="E760" s="0" t="s">
        <v>110</v>
      </c>
      <c r="F760" s="0" t="s">
        <v>47</v>
      </c>
      <c r="G760" s="0" t="s">
        <v>91</v>
      </c>
      <c r="H760" s="0" t="s">
        <v>92</v>
      </c>
      <c r="I760" s="0" t="s">
        <v>77</v>
      </c>
      <c r="J760" s="0" t="s">
        <v>78</v>
      </c>
      <c r="K760" s="0" t="s">
        <v>58</v>
      </c>
      <c r="L760" s="0" t="s">
        <v>59</v>
      </c>
      <c r="M760" s="0" t="s">
        <v>50</v>
      </c>
      <c r="N760" s="0" t="n">
        <v>0.3495099</v>
      </c>
      <c r="O760" s="0" t="n">
        <v>49</v>
      </c>
      <c r="P760" s="0" t="n">
        <v>8</v>
      </c>
      <c r="Q760" s="5" t="str">
        <f aca="false">IF($D760&lt;&gt;"","["&amp;$E760&amp;"]"&amp;"|"&amp;SUBSTITUTE(SUBSTITUTE($I760,CHAR(61),""),CHAR(34),"")&amp;"|"&amp;$K760&amp;"|"&amp;$G760&amp;"|"&amp;IF($G760="TX_CURR_SUBNAT.R","CY2020Q4",$M760),"")</f>
        <v>[wpg5evyl1OL]|40-44|Male|HIV_PREV.T_1|CY2021Q3</v>
      </c>
    </row>
    <row r="761" customFormat="false" ht="15" hidden="false" customHeight="false" outlineLevel="0" collapsed="false">
      <c r="D761" s="0" t="s">
        <v>109</v>
      </c>
      <c r="E761" s="0" t="s">
        <v>110</v>
      </c>
      <c r="F761" s="0" t="s">
        <v>47</v>
      </c>
      <c r="G761" s="0" t="s">
        <v>91</v>
      </c>
      <c r="H761" s="0" t="s">
        <v>92</v>
      </c>
      <c r="I761" s="0" t="s">
        <v>80</v>
      </c>
      <c r="J761" s="0" t="s">
        <v>81</v>
      </c>
      <c r="K761" s="0" t="s">
        <v>56</v>
      </c>
      <c r="L761" s="0" t="s">
        <v>57</v>
      </c>
      <c r="M761" s="0" t="s">
        <v>50</v>
      </c>
      <c r="N761" s="0" t="n">
        <v>0.421911</v>
      </c>
      <c r="O761" s="0" t="n">
        <v>1</v>
      </c>
      <c r="P761" s="0" t="n">
        <v>29</v>
      </c>
      <c r="Q761" s="5" t="str">
        <f aca="false">IF($D761&lt;&gt;"","["&amp;$E761&amp;"]"&amp;"|"&amp;SUBSTITUTE(SUBSTITUTE($I761,CHAR(61),""),CHAR(34),"")&amp;"|"&amp;$K761&amp;"|"&amp;$G761&amp;"|"&amp;IF($G761="TX_CURR_SUBNAT.R","CY2020Q4",$M761),"")</f>
        <v>[wpg5evyl1OL]|45-49|Female|HIV_PREV.T_1|CY2021Q3</v>
      </c>
    </row>
    <row r="762" customFormat="false" ht="15" hidden="false" customHeight="false" outlineLevel="0" collapsed="false">
      <c r="D762" s="0" t="s">
        <v>109</v>
      </c>
      <c r="E762" s="0" t="s">
        <v>110</v>
      </c>
      <c r="F762" s="0" t="s">
        <v>47</v>
      </c>
      <c r="G762" s="0" t="s">
        <v>91</v>
      </c>
      <c r="H762" s="0" t="s">
        <v>92</v>
      </c>
      <c r="I762" s="0" t="s">
        <v>80</v>
      </c>
      <c r="J762" s="0" t="s">
        <v>81</v>
      </c>
      <c r="K762" s="0" t="s">
        <v>58</v>
      </c>
      <c r="L762" s="0" t="s">
        <v>59</v>
      </c>
      <c r="M762" s="0" t="s">
        <v>50</v>
      </c>
      <c r="N762" s="0" t="n">
        <v>0.39596</v>
      </c>
      <c r="O762" s="0" t="n">
        <v>26</v>
      </c>
      <c r="P762" s="0" t="n">
        <v>23</v>
      </c>
      <c r="Q762" s="5" t="str">
        <f aca="false">IF($D762&lt;&gt;"","["&amp;$E762&amp;"]"&amp;"|"&amp;SUBSTITUTE(SUBSTITUTE($I762,CHAR(61),""),CHAR(34),"")&amp;"|"&amp;$K762&amp;"|"&amp;$G762&amp;"|"&amp;IF($G762="TX_CURR_SUBNAT.R","CY2020Q4",$M762),"")</f>
        <v>[wpg5evyl1OL]|45-49|Male|HIV_PREV.T_1|CY2021Q3</v>
      </c>
    </row>
    <row r="763" customFormat="false" ht="15" hidden="false" customHeight="false" outlineLevel="0" collapsed="false">
      <c r="D763" s="0" t="s">
        <v>109</v>
      </c>
      <c r="E763" s="0" t="s">
        <v>110</v>
      </c>
      <c r="F763" s="0" t="s">
        <v>47</v>
      </c>
      <c r="G763" s="0" t="s">
        <v>91</v>
      </c>
      <c r="H763" s="0" t="s">
        <v>92</v>
      </c>
      <c r="I763" s="0" t="s">
        <v>83</v>
      </c>
      <c r="J763" s="0" t="s">
        <v>84</v>
      </c>
      <c r="K763" s="0" t="s">
        <v>56</v>
      </c>
      <c r="L763" s="0" t="s">
        <v>57</v>
      </c>
      <c r="M763" s="0" t="s">
        <v>50</v>
      </c>
      <c r="N763" s="0" t="n">
        <v>0.0133508</v>
      </c>
      <c r="O763" s="0" t="n">
        <v>38</v>
      </c>
      <c r="P763" s="0" t="n">
        <v>14</v>
      </c>
      <c r="Q763" s="5" t="str">
        <f aca="false">IF($D763&lt;&gt;"","["&amp;$E763&amp;"]"&amp;"|"&amp;SUBSTITUTE(SUBSTITUTE($I763,CHAR(61),""),CHAR(34),"")&amp;"|"&amp;$K763&amp;"|"&amp;$G763&amp;"|"&amp;IF($G763="TX_CURR_SUBNAT.R","CY2020Q4",$M763),"")</f>
        <v>[wpg5evyl1OL]|05-09|Female|HIV_PREV.T_1|CY2021Q3</v>
      </c>
    </row>
    <row r="764" customFormat="false" ht="15" hidden="false" customHeight="false" outlineLevel="0" collapsed="false">
      <c r="D764" s="0" t="s">
        <v>109</v>
      </c>
      <c r="E764" s="0" t="s">
        <v>110</v>
      </c>
      <c r="F764" s="0" t="s">
        <v>47</v>
      </c>
      <c r="G764" s="0" t="s">
        <v>91</v>
      </c>
      <c r="H764" s="0" t="s">
        <v>92</v>
      </c>
      <c r="I764" s="0" t="s">
        <v>83</v>
      </c>
      <c r="J764" s="0" t="s">
        <v>84</v>
      </c>
      <c r="K764" s="0" t="s">
        <v>58</v>
      </c>
      <c r="L764" s="0" t="s">
        <v>59</v>
      </c>
      <c r="M764" s="0" t="s">
        <v>50</v>
      </c>
      <c r="N764" s="0" t="n">
        <v>0.0133412</v>
      </c>
      <c r="O764" s="0" t="n">
        <v>24</v>
      </c>
      <c r="P764" s="0" t="n">
        <v>42</v>
      </c>
      <c r="Q764" s="5" t="str">
        <f aca="false">IF($D764&lt;&gt;"","["&amp;$E764&amp;"]"&amp;"|"&amp;SUBSTITUTE(SUBSTITUTE($I764,CHAR(61),""),CHAR(34),"")&amp;"|"&amp;$K764&amp;"|"&amp;$G764&amp;"|"&amp;IF($G764="TX_CURR_SUBNAT.R","CY2020Q4",$M764),"")</f>
        <v>[wpg5evyl1OL]|05-09|Male|HIV_PREV.T_1|CY2021Q3</v>
      </c>
    </row>
    <row r="765" customFormat="false" ht="15" hidden="false" customHeight="false" outlineLevel="0" collapsed="false">
      <c r="D765" s="0" t="s">
        <v>109</v>
      </c>
      <c r="E765" s="0" t="s">
        <v>110</v>
      </c>
      <c r="F765" s="0" t="s">
        <v>47</v>
      </c>
      <c r="G765" s="0" t="s">
        <v>91</v>
      </c>
      <c r="H765" s="0" t="s">
        <v>92</v>
      </c>
      <c r="I765" s="53" t="s">
        <v>86</v>
      </c>
      <c r="J765" s="0" t="s">
        <v>87</v>
      </c>
      <c r="K765" s="0" t="s">
        <v>56</v>
      </c>
      <c r="L765" s="0" t="s">
        <v>57</v>
      </c>
      <c r="M765" s="0" t="s">
        <v>50</v>
      </c>
      <c r="N765" s="0" t="n">
        <v>0.2496345</v>
      </c>
      <c r="O765" s="0" t="n">
        <v>13</v>
      </c>
      <c r="P765" s="0" t="n">
        <v>23</v>
      </c>
      <c r="Q765" s="5" t="str">
        <f aca="false">IF($D765&lt;&gt;"","["&amp;$E765&amp;"]"&amp;"|"&amp;SUBSTITUTE(SUBSTITUTE($I765,CHAR(61),""),CHAR(34),"")&amp;"|"&amp;$K765&amp;"|"&amp;$G765&amp;"|"&amp;IF($G765="TX_CURR_SUBNAT.R","CY2020Q4",$M765),"")</f>
        <v>[wpg5evyl1OL]|50+|Female|HIV_PREV.T_1|CY2021Q3</v>
      </c>
    </row>
    <row r="766" customFormat="false" ht="15" hidden="false" customHeight="false" outlineLevel="0" collapsed="false">
      <c r="D766" s="0" t="s">
        <v>109</v>
      </c>
      <c r="E766" s="0" t="s">
        <v>110</v>
      </c>
      <c r="F766" s="0" t="s">
        <v>47</v>
      </c>
      <c r="G766" s="0" t="s">
        <v>91</v>
      </c>
      <c r="H766" s="0" t="s">
        <v>92</v>
      </c>
      <c r="I766" s="53" t="s">
        <v>86</v>
      </c>
      <c r="J766" s="0" t="s">
        <v>87</v>
      </c>
      <c r="K766" s="0" t="s">
        <v>58</v>
      </c>
      <c r="L766" s="0" t="s">
        <v>59</v>
      </c>
      <c r="M766" s="0" t="s">
        <v>50</v>
      </c>
      <c r="N766" s="0" t="n">
        <v>0.2685901</v>
      </c>
      <c r="O766" s="0" t="n">
        <v>51</v>
      </c>
      <c r="P766" s="0" t="n">
        <v>34</v>
      </c>
      <c r="Q766" s="5" t="str">
        <f aca="false">IF($D766&lt;&gt;"","["&amp;$E766&amp;"]"&amp;"|"&amp;SUBSTITUTE(SUBSTITUTE($I766,CHAR(61),""),CHAR(34),"")&amp;"|"&amp;$K766&amp;"|"&amp;$G766&amp;"|"&amp;IF($G766="TX_CURR_SUBNAT.R","CY2020Q4",$M766),"")</f>
        <v>[wpg5evyl1OL]|50+|Male|HIV_PREV.T_1|CY2021Q3</v>
      </c>
    </row>
    <row r="767" customFormat="false" ht="15" hidden="false" customHeight="false" outlineLevel="0" collapsed="false">
      <c r="D767" s="0" t="s">
        <v>109</v>
      </c>
      <c r="E767" s="0" t="s">
        <v>110</v>
      </c>
      <c r="F767" s="0" t="s">
        <v>47</v>
      </c>
      <c r="G767" s="0" t="s">
        <v>91</v>
      </c>
      <c r="H767" s="0" t="s">
        <v>92</v>
      </c>
      <c r="I767" s="0" t="s">
        <v>89</v>
      </c>
      <c r="J767" s="0" t="s">
        <v>90</v>
      </c>
      <c r="K767" s="0" t="s">
        <v>56</v>
      </c>
      <c r="L767" s="0" t="s">
        <v>57</v>
      </c>
      <c r="M767" s="0" t="s">
        <v>50</v>
      </c>
      <c r="N767" s="0" t="n">
        <v>0.0069246</v>
      </c>
      <c r="O767" s="0" t="n">
        <v>8</v>
      </c>
      <c r="P767" s="0" t="n">
        <v>15</v>
      </c>
      <c r="Q767" s="5" t="str">
        <f aca="false">IF($D767&lt;&gt;"","["&amp;$E767&amp;"]"&amp;"|"&amp;SUBSTITUTE(SUBSTITUTE($I767,CHAR(61),""),CHAR(34),"")&amp;"|"&amp;$K767&amp;"|"&amp;$G767&amp;"|"&amp;IF($G767="TX_CURR_SUBNAT.R","CY2020Q4",$M767),"")</f>
        <v>[wpg5evyl1OL]|&lt;01|Female|HIV_PREV.T_1|CY2021Q3</v>
      </c>
    </row>
    <row r="768" customFormat="false" ht="15" hidden="false" customHeight="false" outlineLevel="0" collapsed="false">
      <c r="D768" s="0" t="s">
        <v>109</v>
      </c>
      <c r="E768" s="0" t="s">
        <v>110</v>
      </c>
      <c r="F768" s="0" t="s">
        <v>47</v>
      </c>
      <c r="G768" s="0" t="s">
        <v>91</v>
      </c>
      <c r="H768" s="0" t="s">
        <v>92</v>
      </c>
      <c r="I768" s="0" t="s">
        <v>89</v>
      </c>
      <c r="J768" s="0" t="s">
        <v>90</v>
      </c>
      <c r="K768" s="0" t="s">
        <v>58</v>
      </c>
      <c r="L768" s="0" t="s">
        <v>59</v>
      </c>
      <c r="M768" s="0" t="s">
        <v>50</v>
      </c>
      <c r="N768" s="0" t="n">
        <v>0.0069122</v>
      </c>
      <c r="O768" s="0" t="n">
        <v>31</v>
      </c>
      <c r="P768" s="0" t="n">
        <v>26</v>
      </c>
      <c r="Q768" s="5" t="str">
        <f aca="false">IF($D768&lt;&gt;"","["&amp;$E768&amp;"]"&amp;"|"&amp;SUBSTITUTE(SUBSTITUTE($I768,CHAR(61),""),CHAR(34),"")&amp;"|"&amp;$K768&amp;"|"&amp;$G768&amp;"|"&amp;IF($G768="TX_CURR_SUBNAT.R","CY2020Q4",$M768),"")</f>
        <v>[wpg5evyl1OL]|&lt;01|Male|HIV_PREV.T_1|CY2021Q3</v>
      </c>
    </row>
    <row r="769" customFormat="false" ht="15" hidden="false" customHeight="false" outlineLevel="0" collapsed="false">
      <c r="D769" s="0" t="s">
        <v>109</v>
      </c>
      <c r="E769" s="0" t="s">
        <v>110</v>
      </c>
      <c r="F769" s="0" t="s">
        <v>47</v>
      </c>
      <c r="G769" s="0" t="s">
        <v>93</v>
      </c>
      <c r="H769" s="0" t="s">
        <v>94</v>
      </c>
      <c r="I769" s="0" t="s">
        <v>54</v>
      </c>
      <c r="J769" s="0" t="s">
        <v>55</v>
      </c>
      <c r="K769" s="0" t="s">
        <v>56</v>
      </c>
      <c r="L769" s="0" t="s">
        <v>57</v>
      </c>
      <c r="M769" s="0" t="s">
        <v>50</v>
      </c>
      <c r="N769" s="0" t="n">
        <v>34</v>
      </c>
      <c r="O769" s="0" t="n">
        <v>50</v>
      </c>
      <c r="P769" s="0" t="n">
        <v>45</v>
      </c>
      <c r="Q769" s="5" t="str">
        <f aca="false">IF($D769&lt;&gt;"","["&amp;$E769&amp;"]"&amp;"|"&amp;SUBSTITUTE(SUBSTITUTE($I769,CHAR(61),""),CHAR(34),"")&amp;"|"&amp;$K769&amp;"|"&amp;$G769&amp;"|"&amp;IF($G769="TX_CURR_SUBNAT.R","CY2020Q4",$M769),"")</f>
        <v>[wpg5evyl1OL]|01-04|Female|DIAGNOSED_SUBNAT.T_1|CY2021Q3</v>
      </c>
    </row>
    <row r="770" customFormat="false" ht="15" hidden="false" customHeight="false" outlineLevel="0" collapsed="false">
      <c r="D770" s="0" t="s">
        <v>109</v>
      </c>
      <c r="E770" s="0" t="s">
        <v>110</v>
      </c>
      <c r="F770" s="0" t="s">
        <v>47</v>
      </c>
      <c r="G770" s="0" t="s">
        <v>93</v>
      </c>
      <c r="H770" s="0" t="s">
        <v>94</v>
      </c>
      <c r="I770" s="0" t="s">
        <v>54</v>
      </c>
      <c r="J770" s="0" t="s">
        <v>55</v>
      </c>
      <c r="K770" s="0" t="s">
        <v>58</v>
      </c>
      <c r="L770" s="0" t="s">
        <v>59</v>
      </c>
      <c r="M770" s="0" t="s">
        <v>50</v>
      </c>
      <c r="N770" s="0" t="n">
        <v>35</v>
      </c>
      <c r="O770" s="0" t="n">
        <v>45</v>
      </c>
      <c r="P770" s="0" t="n">
        <v>24</v>
      </c>
      <c r="Q770" s="5" t="str">
        <f aca="false">IF($D770&lt;&gt;"","["&amp;$E770&amp;"]"&amp;"|"&amp;SUBSTITUTE(SUBSTITUTE($I770,CHAR(61),""),CHAR(34),"")&amp;"|"&amp;$K770&amp;"|"&amp;$G770&amp;"|"&amp;IF($G770="TX_CURR_SUBNAT.R","CY2020Q4",$M770),"")</f>
        <v>[wpg5evyl1OL]|01-04|Male|DIAGNOSED_SUBNAT.T_1|CY2021Q3</v>
      </c>
    </row>
    <row r="771" customFormat="false" ht="15" hidden="false" customHeight="false" outlineLevel="0" collapsed="false">
      <c r="D771" s="0" t="s">
        <v>109</v>
      </c>
      <c r="E771" s="0" t="s">
        <v>110</v>
      </c>
      <c r="F771" s="0" t="s">
        <v>47</v>
      </c>
      <c r="G771" s="0" t="s">
        <v>93</v>
      </c>
      <c r="H771" s="0" t="s">
        <v>94</v>
      </c>
      <c r="I771" s="0" t="s">
        <v>61</v>
      </c>
      <c r="J771" s="0" t="s">
        <v>62</v>
      </c>
      <c r="K771" s="0" t="s">
        <v>56</v>
      </c>
      <c r="L771" s="0" t="s">
        <v>57</v>
      </c>
      <c r="M771" s="0" t="s">
        <v>50</v>
      </c>
      <c r="N771" s="0" t="n">
        <v>217</v>
      </c>
      <c r="O771" s="0" t="n">
        <v>31</v>
      </c>
      <c r="P771" s="0" t="n">
        <v>48</v>
      </c>
      <c r="Q771" s="5" t="str">
        <f aca="false">IF($D771&lt;&gt;"","["&amp;$E771&amp;"]"&amp;"|"&amp;SUBSTITUTE(SUBSTITUTE($I771,CHAR(61),""),CHAR(34),"")&amp;"|"&amp;$K771&amp;"|"&amp;$G771&amp;"|"&amp;IF($G771="TX_CURR_SUBNAT.R","CY2020Q4",$M771),"")</f>
        <v>[wpg5evyl1OL]|10-14|Female|DIAGNOSED_SUBNAT.T_1|CY2021Q3</v>
      </c>
    </row>
    <row r="772" customFormat="false" ht="15" hidden="false" customHeight="false" outlineLevel="0" collapsed="false">
      <c r="D772" s="0" t="s">
        <v>109</v>
      </c>
      <c r="E772" s="0" t="s">
        <v>110</v>
      </c>
      <c r="F772" s="0" t="s">
        <v>47</v>
      </c>
      <c r="G772" s="0" t="s">
        <v>93</v>
      </c>
      <c r="H772" s="0" t="s">
        <v>94</v>
      </c>
      <c r="I772" s="0" t="s">
        <v>61</v>
      </c>
      <c r="J772" s="0" t="s">
        <v>62</v>
      </c>
      <c r="K772" s="0" t="s">
        <v>58</v>
      </c>
      <c r="L772" s="0" t="s">
        <v>59</v>
      </c>
      <c r="M772" s="0" t="s">
        <v>50</v>
      </c>
      <c r="N772" s="0" t="n">
        <v>224</v>
      </c>
      <c r="O772" s="0" t="n">
        <v>8</v>
      </c>
      <c r="P772" s="0" t="n">
        <v>27</v>
      </c>
      <c r="Q772" s="5" t="str">
        <f aca="false">IF($D772&lt;&gt;"","["&amp;$E772&amp;"]"&amp;"|"&amp;SUBSTITUTE(SUBSTITUTE($I772,CHAR(61),""),CHAR(34),"")&amp;"|"&amp;$K772&amp;"|"&amp;$G772&amp;"|"&amp;IF($G772="TX_CURR_SUBNAT.R","CY2020Q4",$M772),"")</f>
        <v>[wpg5evyl1OL]|10-14|Male|DIAGNOSED_SUBNAT.T_1|CY2021Q3</v>
      </c>
    </row>
    <row r="773" customFormat="false" ht="15" hidden="false" customHeight="false" outlineLevel="0" collapsed="false">
      <c r="D773" s="0" t="s">
        <v>109</v>
      </c>
      <c r="E773" s="0" t="s">
        <v>110</v>
      </c>
      <c r="F773" s="0" t="s">
        <v>47</v>
      </c>
      <c r="G773" s="0" t="s">
        <v>93</v>
      </c>
      <c r="H773" s="0" t="s">
        <v>94</v>
      </c>
      <c r="I773" s="0" t="s">
        <v>63</v>
      </c>
      <c r="J773" s="0" t="s">
        <v>64</v>
      </c>
      <c r="K773" s="0" t="s">
        <v>56</v>
      </c>
      <c r="L773" s="0" t="s">
        <v>57</v>
      </c>
      <c r="M773" s="0" t="s">
        <v>50</v>
      </c>
      <c r="N773" s="0" t="n">
        <v>442</v>
      </c>
      <c r="O773" s="0" t="n">
        <v>50</v>
      </c>
      <c r="P773" s="0" t="n">
        <v>28</v>
      </c>
      <c r="Q773" s="5" t="str">
        <f aca="false">IF($D773&lt;&gt;"","["&amp;$E773&amp;"]"&amp;"|"&amp;SUBSTITUTE(SUBSTITUTE($I773,CHAR(61),""),CHAR(34),"")&amp;"|"&amp;$K773&amp;"|"&amp;$G773&amp;"|"&amp;IF($G773="TX_CURR_SUBNAT.R","CY2020Q4",$M773),"")</f>
        <v>[wpg5evyl1OL]|15-19|Female|DIAGNOSED_SUBNAT.T_1|CY2021Q3</v>
      </c>
    </row>
    <row r="774" customFormat="false" ht="15" hidden="false" customHeight="false" outlineLevel="0" collapsed="false">
      <c r="D774" s="0" t="s">
        <v>109</v>
      </c>
      <c r="E774" s="0" t="s">
        <v>110</v>
      </c>
      <c r="F774" s="0" t="s">
        <v>47</v>
      </c>
      <c r="G774" s="0" t="s">
        <v>93</v>
      </c>
      <c r="H774" s="0" t="s">
        <v>94</v>
      </c>
      <c r="I774" s="0" t="s">
        <v>63</v>
      </c>
      <c r="J774" s="0" t="s">
        <v>64</v>
      </c>
      <c r="K774" s="0" t="s">
        <v>58</v>
      </c>
      <c r="L774" s="0" t="s">
        <v>59</v>
      </c>
      <c r="M774" s="0" t="s">
        <v>50</v>
      </c>
      <c r="N774" s="0" t="n">
        <v>318</v>
      </c>
      <c r="O774" s="0" t="n">
        <v>8</v>
      </c>
      <c r="P774" s="0" t="n">
        <v>33</v>
      </c>
      <c r="Q774" s="5" t="str">
        <f aca="false">IF($D774&lt;&gt;"","["&amp;$E774&amp;"]"&amp;"|"&amp;SUBSTITUTE(SUBSTITUTE($I774,CHAR(61),""),CHAR(34),"")&amp;"|"&amp;$K774&amp;"|"&amp;$G774&amp;"|"&amp;IF($G774="TX_CURR_SUBNAT.R","CY2020Q4",$M774),"")</f>
        <v>[wpg5evyl1OL]|15-19|Male|DIAGNOSED_SUBNAT.T_1|CY2021Q3</v>
      </c>
    </row>
    <row r="775" customFormat="false" ht="15" hidden="false" customHeight="false" outlineLevel="0" collapsed="false">
      <c r="D775" s="0" t="s">
        <v>109</v>
      </c>
      <c r="E775" s="0" t="s">
        <v>110</v>
      </c>
      <c r="F775" s="0" t="s">
        <v>47</v>
      </c>
      <c r="G775" s="0" t="s">
        <v>93</v>
      </c>
      <c r="H775" s="0" t="s">
        <v>94</v>
      </c>
      <c r="I775" s="0" t="s">
        <v>66</v>
      </c>
      <c r="J775" s="0" t="s">
        <v>67</v>
      </c>
      <c r="K775" s="0" t="s">
        <v>56</v>
      </c>
      <c r="L775" s="0" t="s">
        <v>57</v>
      </c>
      <c r="M775" s="0" t="s">
        <v>50</v>
      </c>
      <c r="N775" s="0" t="n">
        <v>1154</v>
      </c>
      <c r="O775" s="0" t="n">
        <v>2</v>
      </c>
      <c r="P775" s="0" t="n">
        <v>7</v>
      </c>
      <c r="Q775" s="5" t="str">
        <f aca="false">IF($D775&lt;&gt;"","["&amp;$E775&amp;"]"&amp;"|"&amp;SUBSTITUTE(SUBSTITUTE($I775,CHAR(61),""),CHAR(34),"")&amp;"|"&amp;$K775&amp;"|"&amp;$G775&amp;"|"&amp;IF($G775="TX_CURR_SUBNAT.R","CY2020Q4",$M775),"")</f>
        <v>[wpg5evyl1OL]|20-24|Female|DIAGNOSED_SUBNAT.T_1|CY2021Q3</v>
      </c>
    </row>
    <row r="776" customFormat="false" ht="15" hidden="false" customHeight="false" outlineLevel="0" collapsed="false">
      <c r="D776" s="0" t="s">
        <v>109</v>
      </c>
      <c r="E776" s="0" t="s">
        <v>110</v>
      </c>
      <c r="F776" s="0" t="s">
        <v>47</v>
      </c>
      <c r="G776" s="0" t="s">
        <v>93</v>
      </c>
      <c r="H776" s="0" t="s">
        <v>94</v>
      </c>
      <c r="I776" s="0" t="s">
        <v>66</v>
      </c>
      <c r="J776" s="0" t="s">
        <v>67</v>
      </c>
      <c r="K776" s="0" t="s">
        <v>58</v>
      </c>
      <c r="L776" s="0" t="s">
        <v>59</v>
      </c>
      <c r="M776" s="0" t="s">
        <v>50</v>
      </c>
      <c r="N776" s="0" t="n">
        <v>441</v>
      </c>
      <c r="O776" s="0" t="n">
        <v>59</v>
      </c>
      <c r="P776" s="0" t="n">
        <v>23</v>
      </c>
      <c r="Q776" s="5" t="str">
        <f aca="false">IF($D776&lt;&gt;"","["&amp;$E776&amp;"]"&amp;"|"&amp;SUBSTITUTE(SUBSTITUTE($I776,CHAR(61),""),CHAR(34),"")&amp;"|"&amp;$K776&amp;"|"&amp;$G776&amp;"|"&amp;IF($G776="TX_CURR_SUBNAT.R","CY2020Q4",$M776),"")</f>
        <v>[wpg5evyl1OL]|20-24|Male|DIAGNOSED_SUBNAT.T_1|CY2021Q3</v>
      </c>
    </row>
    <row r="777" customFormat="false" ht="15" hidden="false" customHeight="false" outlineLevel="0" collapsed="false">
      <c r="D777" s="0" t="s">
        <v>109</v>
      </c>
      <c r="E777" s="0" t="s">
        <v>110</v>
      </c>
      <c r="F777" s="0" t="s">
        <v>47</v>
      </c>
      <c r="G777" s="0" t="s">
        <v>93</v>
      </c>
      <c r="H777" s="0" t="s">
        <v>94</v>
      </c>
      <c r="I777" s="0" t="s">
        <v>69</v>
      </c>
      <c r="J777" s="0" t="s">
        <v>70</v>
      </c>
      <c r="K777" s="0" t="s">
        <v>56</v>
      </c>
      <c r="L777" s="0" t="s">
        <v>57</v>
      </c>
      <c r="M777" s="0" t="s">
        <v>50</v>
      </c>
      <c r="N777" s="0" t="n">
        <v>2117</v>
      </c>
      <c r="O777" s="0" t="n">
        <v>8</v>
      </c>
      <c r="P777" s="0" t="n">
        <v>42</v>
      </c>
      <c r="Q777" s="5" t="str">
        <f aca="false">IF($D777&lt;&gt;"","["&amp;$E777&amp;"]"&amp;"|"&amp;SUBSTITUTE(SUBSTITUTE($I777,CHAR(61),""),CHAR(34),"")&amp;"|"&amp;$K777&amp;"|"&amp;$G777&amp;"|"&amp;IF($G777="TX_CURR_SUBNAT.R","CY2020Q4",$M777),"")</f>
        <v>[wpg5evyl1OL]|25-29|Female|DIAGNOSED_SUBNAT.T_1|CY2021Q3</v>
      </c>
    </row>
    <row r="778" customFormat="false" ht="15" hidden="false" customHeight="false" outlineLevel="0" collapsed="false">
      <c r="D778" s="0" t="s">
        <v>109</v>
      </c>
      <c r="E778" s="0" t="s">
        <v>110</v>
      </c>
      <c r="F778" s="0" t="s">
        <v>47</v>
      </c>
      <c r="G778" s="0" t="s">
        <v>93</v>
      </c>
      <c r="H778" s="0" t="s">
        <v>94</v>
      </c>
      <c r="I778" s="0" t="s">
        <v>69</v>
      </c>
      <c r="J778" s="0" t="s">
        <v>70</v>
      </c>
      <c r="K778" s="0" t="s">
        <v>58</v>
      </c>
      <c r="L778" s="0" t="s">
        <v>59</v>
      </c>
      <c r="M778" s="0" t="s">
        <v>50</v>
      </c>
      <c r="N778" s="0" t="n">
        <v>871</v>
      </c>
      <c r="O778" s="0" t="n">
        <v>16</v>
      </c>
      <c r="P778" s="0" t="n">
        <v>14</v>
      </c>
      <c r="Q778" s="5" t="str">
        <f aca="false">IF($D778&lt;&gt;"","["&amp;$E778&amp;"]"&amp;"|"&amp;SUBSTITUTE(SUBSTITUTE($I778,CHAR(61),""),CHAR(34),"")&amp;"|"&amp;$K778&amp;"|"&amp;$G778&amp;"|"&amp;IF($G778="TX_CURR_SUBNAT.R","CY2020Q4",$M778),"")</f>
        <v>[wpg5evyl1OL]|25-29|Male|DIAGNOSED_SUBNAT.T_1|CY2021Q3</v>
      </c>
    </row>
    <row r="779" customFormat="false" ht="15" hidden="false" customHeight="false" outlineLevel="0" collapsed="false">
      <c r="D779" s="0" t="s">
        <v>109</v>
      </c>
      <c r="E779" s="0" t="s">
        <v>110</v>
      </c>
      <c r="F779" s="0" t="s">
        <v>47</v>
      </c>
      <c r="G779" s="0" t="s">
        <v>93</v>
      </c>
      <c r="H779" s="0" t="s">
        <v>94</v>
      </c>
      <c r="I779" s="0" t="s">
        <v>72</v>
      </c>
      <c r="J779" s="0" t="s">
        <v>73</v>
      </c>
      <c r="K779" s="0" t="s">
        <v>56</v>
      </c>
      <c r="L779" s="0" t="s">
        <v>57</v>
      </c>
      <c r="M779" s="0" t="s">
        <v>50</v>
      </c>
      <c r="N779" s="0" t="n">
        <v>2797</v>
      </c>
      <c r="O779" s="0" t="n">
        <v>41</v>
      </c>
      <c r="P779" s="0" t="n">
        <v>11</v>
      </c>
      <c r="Q779" s="5" t="str">
        <f aca="false">IF($D779&lt;&gt;"","["&amp;$E779&amp;"]"&amp;"|"&amp;SUBSTITUTE(SUBSTITUTE($I779,CHAR(61),""),CHAR(34),"")&amp;"|"&amp;$K779&amp;"|"&amp;$G779&amp;"|"&amp;IF($G779="TX_CURR_SUBNAT.R","CY2020Q4",$M779),"")</f>
        <v>[wpg5evyl1OL]|30-34|Female|DIAGNOSED_SUBNAT.T_1|CY2021Q3</v>
      </c>
    </row>
    <row r="780" customFormat="false" ht="15" hidden="false" customHeight="false" outlineLevel="0" collapsed="false">
      <c r="D780" s="0" t="s">
        <v>109</v>
      </c>
      <c r="E780" s="0" t="s">
        <v>110</v>
      </c>
      <c r="F780" s="0" t="s">
        <v>47</v>
      </c>
      <c r="G780" s="0" t="s">
        <v>93</v>
      </c>
      <c r="H780" s="0" t="s">
        <v>94</v>
      </c>
      <c r="I780" s="0" t="s">
        <v>72</v>
      </c>
      <c r="J780" s="0" t="s">
        <v>73</v>
      </c>
      <c r="K780" s="0" t="s">
        <v>58</v>
      </c>
      <c r="L780" s="0" t="s">
        <v>59</v>
      </c>
      <c r="M780" s="0" t="s">
        <v>50</v>
      </c>
      <c r="N780" s="0" t="n">
        <v>1493</v>
      </c>
      <c r="O780" s="0" t="n">
        <v>9</v>
      </c>
      <c r="P780" s="0" t="n">
        <v>18</v>
      </c>
      <c r="Q780" s="5" t="str">
        <f aca="false">IF($D780&lt;&gt;"","["&amp;$E780&amp;"]"&amp;"|"&amp;SUBSTITUTE(SUBSTITUTE($I780,CHAR(61),""),CHAR(34),"")&amp;"|"&amp;$K780&amp;"|"&amp;$G780&amp;"|"&amp;IF($G780="TX_CURR_SUBNAT.R","CY2020Q4",$M780),"")</f>
        <v>[wpg5evyl1OL]|30-34|Male|DIAGNOSED_SUBNAT.T_1|CY2021Q3</v>
      </c>
    </row>
    <row r="781" customFormat="false" ht="15" hidden="false" customHeight="false" outlineLevel="0" collapsed="false">
      <c r="D781" s="0" t="s">
        <v>109</v>
      </c>
      <c r="E781" s="0" t="s">
        <v>110</v>
      </c>
      <c r="F781" s="0" t="s">
        <v>47</v>
      </c>
      <c r="G781" s="0" t="s">
        <v>93</v>
      </c>
      <c r="H781" s="0" t="s">
        <v>94</v>
      </c>
      <c r="I781" s="0" t="s">
        <v>75</v>
      </c>
      <c r="J781" s="0" t="s">
        <v>76</v>
      </c>
      <c r="K781" s="0" t="s">
        <v>56</v>
      </c>
      <c r="L781" s="0" t="s">
        <v>57</v>
      </c>
      <c r="M781" s="0" t="s">
        <v>50</v>
      </c>
      <c r="N781" s="0" t="n">
        <v>3152</v>
      </c>
      <c r="O781" s="0" t="n">
        <v>58</v>
      </c>
      <c r="P781" s="0" t="n">
        <v>7</v>
      </c>
      <c r="Q781" s="5" t="str">
        <f aca="false">IF($D781&lt;&gt;"","["&amp;$E781&amp;"]"&amp;"|"&amp;SUBSTITUTE(SUBSTITUTE($I781,CHAR(61),""),CHAR(34),"")&amp;"|"&amp;$K781&amp;"|"&amp;$G781&amp;"|"&amp;IF($G781="TX_CURR_SUBNAT.R","CY2020Q4",$M781),"")</f>
        <v>[wpg5evyl1OL]|35-39|Female|DIAGNOSED_SUBNAT.T_1|CY2021Q3</v>
      </c>
    </row>
    <row r="782" customFormat="false" ht="15" hidden="false" customHeight="false" outlineLevel="0" collapsed="false">
      <c r="D782" s="0" t="s">
        <v>109</v>
      </c>
      <c r="E782" s="0" t="s">
        <v>110</v>
      </c>
      <c r="F782" s="0" t="s">
        <v>47</v>
      </c>
      <c r="G782" s="0" t="s">
        <v>93</v>
      </c>
      <c r="H782" s="0" t="s">
        <v>94</v>
      </c>
      <c r="I782" s="0" t="s">
        <v>75</v>
      </c>
      <c r="J782" s="0" t="s">
        <v>76</v>
      </c>
      <c r="K782" s="0" t="s">
        <v>58</v>
      </c>
      <c r="L782" s="0" t="s">
        <v>59</v>
      </c>
      <c r="M782" s="0" t="s">
        <v>50</v>
      </c>
      <c r="N782" s="0" t="n">
        <v>2082</v>
      </c>
      <c r="O782" s="0" t="n">
        <v>57</v>
      </c>
      <c r="P782" s="0" t="n">
        <v>22</v>
      </c>
      <c r="Q782" s="5" t="str">
        <f aca="false">IF($D782&lt;&gt;"","["&amp;$E782&amp;"]"&amp;"|"&amp;SUBSTITUTE(SUBSTITUTE($I782,CHAR(61),""),CHAR(34),"")&amp;"|"&amp;$K782&amp;"|"&amp;$G782&amp;"|"&amp;IF($G782="TX_CURR_SUBNAT.R","CY2020Q4",$M782),"")</f>
        <v>[wpg5evyl1OL]|35-39|Male|DIAGNOSED_SUBNAT.T_1|CY2021Q3</v>
      </c>
    </row>
    <row r="783" customFormat="false" ht="15" hidden="false" customHeight="false" outlineLevel="0" collapsed="false">
      <c r="D783" s="0" t="s">
        <v>109</v>
      </c>
      <c r="E783" s="0" t="s">
        <v>110</v>
      </c>
      <c r="F783" s="0" t="s">
        <v>47</v>
      </c>
      <c r="G783" s="0" t="s">
        <v>93</v>
      </c>
      <c r="H783" s="0" t="s">
        <v>94</v>
      </c>
      <c r="I783" s="0" t="s">
        <v>77</v>
      </c>
      <c r="J783" s="0" t="s">
        <v>78</v>
      </c>
      <c r="K783" s="0" t="s">
        <v>56</v>
      </c>
      <c r="L783" s="0" t="s">
        <v>57</v>
      </c>
      <c r="M783" s="0" t="s">
        <v>50</v>
      </c>
      <c r="N783" s="0" t="n">
        <v>3064</v>
      </c>
      <c r="O783" s="0" t="n">
        <v>4</v>
      </c>
      <c r="P783" s="0" t="n">
        <v>45</v>
      </c>
      <c r="Q783" s="5" t="str">
        <f aca="false">IF($D783&lt;&gt;"","["&amp;$E783&amp;"]"&amp;"|"&amp;SUBSTITUTE(SUBSTITUTE($I783,CHAR(61),""),CHAR(34),"")&amp;"|"&amp;$K783&amp;"|"&amp;$G783&amp;"|"&amp;IF($G783="TX_CURR_SUBNAT.R","CY2020Q4",$M783),"")</f>
        <v>[wpg5evyl1OL]|40-44|Female|DIAGNOSED_SUBNAT.T_1|CY2021Q3</v>
      </c>
    </row>
    <row r="784" customFormat="false" ht="15" hidden="false" customHeight="false" outlineLevel="0" collapsed="false">
      <c r="D784" s="0" t="s">
        <v>109</v>
      </c>
      <c r="E784" s="0" t="s">
        <v>110</v>
      </c>
      <c r="F784" s="0" t="s">
        <v>47</v>
      </c>
      <c r="G784" s="0" t="s">
        <v>93</v>
      </c>
      <c r="H784" s="0" t="s">
        <v>94</v>
      </c>
      <c r="I784" s="0" t="s">
        <v>77</v>
      </c>
      <c r="J784" s="0" t="s">
        <v>78</v>
      </c>
      <c r="K784" s="0" t="s">
        <v>58</v>
      </c>
      <c r="L784" s="0" t="s">
        <v>59</v>
      </c>
      <c r="M784" s="0" t="s">
        <v>50</v>
      </c>
      <c r="N784" s="0" t="n">
        <v>2178</v>
      </c>
      <c r="O784" s="0" t="n">
        <v>44</v>
      </c>
      <c r="P784" s="0" t="n">
        <v>9</v>
      </c>
      <c r="Q784" s="5" t="str">
        <f aca="false">IF($D784&lt;&gt;"","["&amp;$E784&amp;"]"&amp;"|"&amp;SUBSTITUTE(SUBSTITUTE($I784,CHAR(61),""),CHAR(34),"")&amp;"|"&amp;$K784&amp;"|"&amp;$G784&amp;"|"&amp;IF($G784="TX_CURR_SUBNAT.R","CY2020Q4",$M784),"")</f>
        <v>[wpg5evyl1OL]|40-44|Male|DIAGNOSED_SUBNAT.T_1|CY2021Q3</v>
      </c>
    </row>
    <row r="785" customFormat="false" ht="15" hidden="false" customHeight="false" outlineLevel="0" collapsed="false">
      <c r="D785" s="0" t="s">
        <v>109</v>
      </c>
      <c r="E785" s="0" t="s">
        <v>110</v>
      </c>
      <c r="F785" s="0" t="s">
        <v>47</v>
      </c>
      <c r="G785" s="0" t="s">
        <v>93</v>
      </c>
      <c r="H785" s="0" t="s">
        <v>94</v>
      </c>
      <c r="I785" s="0" t="s">
        <v>80</v>
      </c>
      <c r="J785" s="0" t="s">
        <v>81</v>
      </c>
      <c r="K785" s="0" t="s">
        <v>56</v>
      </c>
      <c r="L785" s="0" t="s">
        <v>57</v>
      </c>
      <c r="M785" s="0" t="s">
        <v>50</v>
      </c>
      <c r="N785" s="0" t="n">
        <v>2343</v>
      </c>
      <c r="O785" s="0" t="n">
        <v>41</v>
      </c>
      <c r="P785" s="0" t="n">
        <v>14</v>
      </c>
      <c r="Q785" s="5" t="str">
        <f aca="false">IF($D785&lt;&gt;"","["&amp;$E785&amp;"]"&amp;"|"&amp;SUBSTITUTE(SUBSTITUTE($I785,CHAR(61),""),CHAR(34),"")&amp;"|"&amp;$K785&amp;"|"&amp;$G785&amp;"|"&amp;IF($G785="TX_CURR_SUBNAT.R","CY2020Q4",$M785),"")</f>
        <v>[wpg5evyl1OL]|45-49|Female|DIAGNOSED_SUBNAT.T_1|CY2021Q3</v>
      </c>
    </row>
    <row r="786" customFormat="false" ht="15" hidden="false" customHeight="false" outlineLevel="0" collapsed="false">
      <c r="D786" s="0" t="s">
        <v>109</v>
      </c>
      <c r="E786" s="0" t="s">
        <v>110</v>
      </c>
      <c r="F786" s="0" t="s">
        <v>47</v>
      </c>
      <c r="G786" s="0" t="s">
        <v>93</v>
      </c>
      <c r="H786" s="0" t="s">
        <v>94</v>
      </c>
      <c r="I786" s="0" t="s">
        <v>80</v>
      </c>
      <c r="J786" s="0" t="s">
        <v>81</v>
      </c>
      <c r="K786" s="0" t="s">
        <v>58</v>
      </c>
      <c r="L786" s="0" t="s">
        <v>59</v>
      </c>
      <c r="M786" s="0" t="s">
        <v>50</v>
      </c>
      <c r="N786" s="0" t="n">
        <v>1768</v>
      </c>
      <c r="O786" s="0" t="n">
        <v>11</v>
      </c>
      <c r="P786" s="0" t="n">
        <v>49</v>
      </c>
      <c r="Q786" s="5" t="str">
        <f aca="false">IF($D786&lt;&gt;"","["&amp;$E786&amp;"]"&amp;"|"&amp;SUBSTITUTE(SUBSTITUTE($I786,CHAR(61),""),CHAR(34),"")&amp;"|"&amp;$K786&amp;"|"&amp;$G786&amp;"|"&amp;IF($G786="TX_CURR_SUBNAT.R","CY2020Q4",$M786),"")</f>
        <v>[wpg5evyl1OL]|45-49|Male|DIAGNOSED_SUBNAT.T_1|CY2021Q3</v>
      </c>
    </row>
    <row r="787" customFormat="false" ht="15" hidden="false" customHeight="false" outlineLevel="0" collapsed="false">
      <c r="D787" s="0" t="s">
        <v>109</v>
      </c>
      <c r="E787" s="0" t="s">
        <v>110</v>
      </c>
      <c r="F787" s="0" t="s">
        <v>47</v>
      </c>
      <c r="G787" s="0" t="s">
        <v>93</v>
      </c>
      <c r="H787" s="0" t="s">
        <v>94</v>
      </c>
      <c r="I787" s="0" t="s">
        <v>83</v>
      </c>
      <c r="J787" s="0" t="s">
        <v>84</v>
      </c>
      <c r="K787" s="0" t="s">
        <v>56</v>
      </c>
      <c r="L787" s="0" t="s">
        <v>57</v>
      </c>
      <c r="M787" s="0" t="s">
        <v>50</v>
      </c>
      <c r="N787" s="0" t="n">
        <v>117</v>
      </c>
      <c r="O787" s="0" t="n">
        <v>45</v>
      </c>
      <c r="P787" s="0" t="n">
        <v>18</v>
      </c>
      <c r="Q787" s="5" t="str">
        <f aca="false">IF($D787&lt;&gt;"","["&amp;$E787&amp;"]"&amp;"|"&amp;SUBSTITUTE(SUBSTITUTE($I787,CHAR(61),""),CHAR(34),"")&amp;"|"&amp;$K787&amp;"|"&amp;$G787&amp;"|"&amp;IF($G787="TX_CURR_SUBNAT.R","CY2020Q4",$M787),"")</f>
        <v>[wpg5evyl1OL]|05-09|Female|DIAGNOSED_SUBNAT.T_1|CY2021Q3</v>
      </c>
    </row>
    <row r="788" customFormat="false" ht="15" hidden="false" customHeight="false" outlineLevel="0" collapsed="false">
      <c r="D788" s="0" t="s">
        <v>109</v>
      </c>
      <c r="E788" s="0" t="s">
        <v>110</v>
      </c>
      <c r="F788" s="0" t="s">
        <v>47</v>
      </c>
      <c r="G788" s="0" t="s">
        <v>93</v>
      </c>
      <c r="H788" s="0" t="s">
        <v>94</v>
      </c>
      <c r="I788" s="0" t="s">
        <v>83</v>
      </c>
      <c r="J788" s="0" t="s">
        <v>84</v>
      </c>
      <c r="K788" s="0" t="s">
        <v>58</v>
      </c>
      <c r="L788" s="0" t="s">
        <v>59</v>
      </c>
      <c r="M788" s="0" t="s">
        <v>50</v>
      </c>
      <c r="N788" s="0" t="n">
        <v>119</v>
      </c>
      <c r="O788" s="0" t="n">
        <v>48</v>
      </c>
      <c r="P788" s="0" t="n">
        <v>36</v>
      </c>
      <c r="Q788" s="5" t="str">
        <f aca="false">IF($D788&lt;&gt;"","["&amp;$E788&amp;"]"&amp;"|"&amp;SUBSTITUTE(SUBSTITUTE($I788,CHAR(61),""),CHAR(34),"")&amp;"|"&amp;$K788&amp;"|"&amp;$G788&amp;"|"&amp;IF($G788="TX_CURR_SUBNAT.R","CY2020Q4",$M788),"")</f>
        <v>[wpg5evyl1OL]|05-09|Male|DIAGNOSED_SUBNAT.T_1|CY2021Q3</v>
      </c>
    </row>
    <row r="789" customFormat="false" ht="15" hidden="false" customHeight="false" outlineLevel="0" collapsed="false">
      <c r="D789" s="0" t="s">
        <v>109</v>
      </c>
      <c r="E789" s="0" t="s">
        <v>110</v>
      </c>
      <c r="F789" s="0" t="s">
        <v>47</v>
      </c>
      <c r="G789" s="0" t="s">
        <v>93</v>
      </c>
      <c r="H789" s="0" t="s">
        <v>94</v>
      </c>
      <c r="I789" s="53" t="s">
        <v>86</v>
      </c>
      <c r="J789" s="0" t="s">
        <v>87</v>
      </c>
      <c r="K789" s="0" t="s">
        <v>56</v>
      </c>
      <c r="L789" s="0" t="s">
        <v>57</v>
      </c>
      <c r="M789" s="0" t="s">
        <v>50</v>
      </c>
      <c r="N789" s="0" t="n">
        <v>4913</v>
      </c>
      <c r="O789" s="0" t="n">
        <v>34</v>
      </c>
      <c r="P789" s="0" t="n">
        <v>47</v>
      </c>
      <c r="Q789" s="5" t="str">
        <f aca="false">IF($D789&lt;&gt;"","["&amp;$E789&amp;"]"&amp;"|"&amp;SUBSTITUTE(SUBSTITUTE($I789,CHAR(61),""),CHAR(34),"")&amp;"|"&amp;$K789&amp;"|"&amp;$G789&amp;"|"&amp;IF($G789="TX_CURR_SUBNAT.R","CY2020Q4",$M789),"")</f>
        <v>[wpg5evyl1OL]|50+|Female|DIAGNOSED_SUBNAT.T_1|CY2021Q3</v>
      </c>
    </row>
    <row r="790" customFormat="false" ht="15" hidden="false" customHeight="false" outlineLevel="0" collapsed="false">
      <c r="D790" s="0" t="s">
        <v>109</v>
      </c>
      <c r="E790" s="0" t="s">
        <v>110</v>
      </c>
      <c r="F790" s="0" t="s">
        <v>47</v>
      </c>
      <c r="G790" s="0" t="s">
        <v>93</v>
      </c>
      <c r="H790" s="0" t="s">
        <v>94</v>
      </c>
      <c r="I790" s="53" t="s">
        <v>86</v>
      </c>
      <c r="J790" s="0" t="s">
        <v>87</v>
      </c>
      <c r="K790" s="0" t="s">
        <v>58</v>
      </c>
      <c r="L790" s="0" t="s">
        <v>59</v>
      </c>
      <c r="M790" s="0" t="s">
        <v>50</v>
      </c>
      <c r="N790" s="0" t="n">
        <v>3587</v>
      </c>
      <c r="O790" s="0" t="n">
        <v>20</v>
      </c>
      <c r="P790" s="0" t="n">
        <v>15</v>
      </c>
      <c r="Q790" s="5" t="str">
        <f aca="false">IF($D790&lt;&gt;"","["&amp;$E790&amp;"]"&amp;"|"&amp;SUBSTITUTE(SUBSTITUTE($I790,CHAR(61),""),CHAR(34),"")&amp;"|"&amp;$K790&amp;"|"&amp;$G790&amp;"|"&amp;IF($G790="TX_CURR_SUBNAT.R","CY2020Q4",$M790),"")</f>
        <v>[wpg5evyl1OL]|50+|Male|DIAGNOSED_SUBNAT.T_1|CY2021Q3</v>
      </c>
    </row>
    <row r="791" customFormat="false" ht="15" hidden="false" customHeight="false" outlineLevel="0" collapsed="false">
      <c r="D791" s="0" t="s">
        <v>109</v>
      </c>
      <c r="E791" s="0" t="s">
        <v>110</v>
      </c>
      <c r="F791" s="0" t="s">
        <v>47</v>
      </c>
      <c r="G791" s="0" t="s">
        <v>93</v>
      </c>
      <c r="H791" s="0" t="s">
        <v>94</v>
      </c>
      <c r="I791" s="0" t="s">
        <v>89</v>
      </c>
      <c r="J791" s="0" t="s">
        <v>90</v>
      </c>
      <c r="K791" s="0" t="s">
        <v>56</v>
      </c>
      <c r="L791" s="0" t="s">
        <v>57</v>
      </c>
      <c r="M791" s="0" t="s">
        <v>50</v>
      </c>
      <c r="N791" s="0" t="n">
        <v>7</v>
      </c>
      <c r="O791" s="0" t="n">
        <v>56</v>
      </c>
      <c r="P791" s="0" t="n">
        <v>35</v>
      </c>
      <c r="Q791" s="5" t="str">
        <f aca="false">IF($D791&lt;&gt;"","["&amp;$E791&amp;"]"&amp;"|"&amp;SUBSTITUTE(SUBSTITUTE($I791,CHAR(61),""),CHAR(34),"")&amp;"|"&amp;$K791&amp;"|"&amp;$G791&amp;"|"&amp;IF($G791="TX_CURR_SUBNAT.R","CY2020Q4",$M791),"")</f>
        <v>[wpg5evyl1OL]|&lt;01|Female|DIAGNOSED_SUBNAT.T_1|CY2021Q3</v>
      </c>
    </row>
    <row r="792" customFormat="false" ht="15" hidden="false" customHeight="false" outlineLevel="0" collapsed="false">
      <c r="D792" s="0" t="s">
        <v>109</v>
      </c>
      <c r="E792" s="0" t="s">
        <v>110</v>
      </c>
      <c r="F792" s="0" t="s">
        <v>47</v>
      </c>
      <c r="G792" s="0" t="s">
        <v>93</v>
      </c>
      <c r="H792" s="0" t="s">
        <v>94</v>
      </c>
      <c r="I792" s="0" t="s">
        <v>89</v>
      </c>
      <c r="J792" s="0" t="s">
        <v>90</v>
      </c>
      <c r="K792" s="0" t="s">
        <v>58</v>
      </c>
      <c r="L792" s="0" t="s">
        <v>59</v>
      </c>
      <c r="M792" s="0" t="s">
        <v>50</v>
      </c>
      <c r="N792" s="0" t="n">
        <v>7</v>
      </c>
      <c r="O792" s="0" t="n">
        <v>30</v>
      </c>
      <c r="P792" s="0" t="n">
        <v>30</v>
      </c>
      <c r="Q792" s="5" t="str">
        <f aca="false">IF($D792&lt;&gt;"","["&amp;$E792&amp;"]"&amp;"|"&amp;SUBSTITUTE(SUBSTITUTE($I792,CHAR(61),""),CHAR(34),"")&amp;"|"&amp;$K792&amp;"|"&amp;$G792&amp;"|"&amp;IF($G792="TX_CURR_SUBNAT.R","CY2020Q4",$M792),"")</f>
        <v>[wpg5evyl1OL]|&lt;01|Male|DIAGNOSED_SUBNAT.T_1|CY2021Q3</v>
      </c>
    </row>
    <row r="793" customFormat="false" ht="15" hidden="false" customHeight="false" outlineLevel="0" collapsed="false">
      <c r="D793" s="0" t="s">
        <v>109</v>
      </c>
      <c r="E793" s="0" t="s">
        <v>110</v>
      </c>
      <c r="F793" s="0" t="s">
        <v>47</v>
      </c>
      <c r="G793" s="0" t="s">
        <v>95</v>
      </c>
      <c r="H793" s="0" t="s">
        <v>96</v>
      </c>
      <c r="I793" s="0" t="s">
        <v>54</v>
      </c>
      <c r="J793" s="0" t="s">
        <v>55</v>
      </c>
      <c r="K793" s="0" t="s">
        <v>56</v>
      </c>
      <c r="L793" s="0" t="s">
        <v>57</v>
      </c>
      <c r="M793" s="0" t="s">
        <v>50</v>
      </c>
      <c r="N793" s="0" t="n">
        <v>26</v>
      </c>
      <c r="O793" s="0" t="n">
        <v>54</v>
      </c>
      <c r="P793" s="0" t="n">
        <v>29</v>
      </c>
      <c r="Q793" s="5" t="str">
        <f aca="false">IF($D793&lt;&gt;"","["&amp;$E793&amp;"]"&amp;"|"&amp;SUBSTITUTE(SUBSTITUTE($I793,CHAR(61),""),CHAR(34),"")&amp;"|"&amp;$K793&amp;"|"&amp;$G793&amp;"|"&amp;IF($G793="TX_CURR_SUBNAT.R","CY2020Q4",$M793),"")</f>
        <v>[wpg5evyl1OL]|01-04|Female|VL_SUPPRESSED.T_1|CY2021Q3</v>
      </c>
    </row>
    <row r="794" customFormat="false" ht="15" hidden="false" customHeight="false" outlineLevel="0" collapsed="false">
      <c r="D794" s="0" t="s">
        <v>109</v>
      </c>
      <c r="E794" s="0" t="s">
        <v>110</v>
      </c>
      <c r="F794" s="0" t="s">
        <v>47</v>
      </c>
      <c r="G794" s="0" t="s">
        <v>95</v>
      </c>
      <c r="H794" s="0" t="s">
        <v>96</v>
      </c>
      <c r="I794" s="0" t="s">
        <v>54</v>
      </c>
      <c r="J794" s="0" t="s">
        <v>55</v>
      </c>
      <c r="K794" s="0" t="s">
        <v>58</v>
      </c>
      <c r="L794" s="0" t="s">
        <v>59</v>
      </c>
      <c r="M794" s="0" t="s">
        <v>50</v>
      </c>
      <c r="N794" s="0" t="n">
        <v>29</v>
      </c>
      <c r="O794" s="0" t="n">
        <v>12</v>
      </c>
      <c r="P794" s="0" t="n">
        <v>9</v>
      </c>
      <c r="Q794" s="5" t="str">
        <f aca="false">IF($D794&lt;&gt;"","["&amp;$E794&amp;"]"&amp;"|"&amp;SUBSTITUTE(SUBSTITUTE($I794,CHAR(61),""),CHAR(34),"")&amp;"|"&amp;$K794&amp;"|"&amp;$G794&amp;"|"&amp;IF($G794="TX_CURR_SUBNAT.R","CY2020Q4",$M794),"")</f>
        <v>[wpg5evyl1OL]|01-04|Male|VL_SUPPRESSED.T_1|CY2021Q3</v>
      </c>
    </row>
    <row r="795" customFormat="false" ht="15" hidden="false" customHeight="false" outlineLevel="0" collapsed="false">
      <c r="D795" s="0" t="s">
        <v>109</v>
      </c>
      <c r="E795" s="0" t="s">
        <v>110</v>
      </c>
      <c r="F795" s="0" t="s">
        <v>47</v>
      </c>
      <c r="G795" s="0" t="s">
        <v>95</v>
      </c>
      <c r="H795" s="0" t="s">
        <v>96</v>
      </c>
      <c r="I795" s="0" t="s">
        <v>61</v>
      </c>
      <c r="J795" s="0" t="s">
        <v>62</v>
      </c>
      <c r="K795" s="0" t="s">
        <v>56</v>
      </c>
      <c r="L795" s="0" t="s">
        <v>57</v>
      </c>
      <c r="M795" s="0" t="s">
        <v>50</v>
      </c>
      <c r="N795" s="0" t="n">
        <v>167</v>
      </c>
      <c r="O795" s="0" t="n">
        <v>57</v>
      </c>
      <c r="P795" s="0" t="n">
        <v>43</v>
      </c>
      <c r="Q795" s="5" t="str">
        <f aca="false">IF($D795&lt;&gt;"","["&amp;$E795&amp;"]"&amp;"|"&amp;SUBSTITUTE(SUBSTITUTE($I795,CHAR(61),""),CHAR(34),"")&amp;"|"&amp;$K795&amp;"|"&amp;$G795&amp;"|"&amp;IF($G795="TX_CURR_SUBNAT.R","CY2020Q4",$M795),"")</f>
        <v>[wpg5evyl1OL]|10-14|Female|VL_SUPPRESSED.T_1|CY2021Q3</v>
      </c>
    </row>
    <row r="796" customFormat="false" ht="15" hidden="false" customHeight="false" outlineLevel="0" collapsed="false">
      <c r="D796" s="0" t="s">
        <v>109</v>
      </c>
      <c r="E796" s="0" t="s">
        <v>110</v>
      </c>
      <c r="F796" s="0" t="s">
        <v>47</v>
      </c>
      <c r="G796" s="0" t="s">
        <v>95</v>
      </c>
      <c r="H796" s="0" t="s">
        <v>96</v>
      </c>
      <c r="I796" s="0" t="s">
        <v>61</v>
      </c>
      <c r="J796" s="0" t="s">
        <v>62</v>
      </c>
      <c r="K796" s="0" t="s">
        <v>58</v>
      </c>
      <c r="L796" s="0" t="s">
        <v>59</v>
      </c>
      <c r="M796" s="0" t="s">
        <v>50</v>
      </c>
      <c r="N796" s="0" t="n">
        <v>166</v>
      </c>
      <c r="O796" s="0" t="n">
        <v>13</v>
      </c>
      <c r="P796" s="0" t="n">
        <v>17</v>
      </c>
      <c r="Q796" s="5" t="str">
        <f aca="false">IF($D796&lt;&gt;"","["&amp;$E796&amp;"]"&amp;"|"&amp;SUBSTITUTE(SUBSTITUTE($I796,CHAR(61),""),CHAR(34),"")&amp;"|"&amp;$K796&amp;"|"&amp;$G796&amp;"|"&amp;IF($G796="TX_CURR_SUBNAT.R","CY2020Q4",$M796),"")</f>
        <v>[wpg5evyl1OL]|10-14|Male|VL_SUPPRESSED.T_1|CY2021Q3</v>
      </c>
    </row>
    <row r="797" customFormat="false" ht="15" hidden="false" customHeight="false" outlineLevel="0" collapsed="false">
      <c r="D797" s="0" t="s">
        <v>109</v>
      </c>
      <c r="E797" s="0" t="s">
        <v>110</v>
      </c>
      <c r="F797" s="0" t="s">
        <v>47</v>
      </c>
      <c r="G797" s="0" t="s">
        <v>95</v>
      </c>
      <c r="H797" s="0" t="s">
        <v>96</v>
      </c>
      <c r="I797" s="0" t="s">
        <v>63</v>
      </c>
      <c r="J797" s="0" t="s">
        <v>64</v>
      </c>
      <c r="K797" s="0" t="s">
        <v>56</v>
      </c>
      <c r="L797" s="0" t="s">
        <v>57</v>
      </c>
      <c r="M797" s="0" t="s">
        <v>50</v>
      </c>
      <c r="N797" s="0" t="n">
        <v>258</v>
      </c>
      <c r="O797" s="0" t="n">
        <v>59</v>
      </c>
      <c r="P797" s="0" t="n">
        <v>44</v>
      </c>
      <c r="Q797" s="5" t="str">
        <f aca="false">IF($D797&lt;&gt;"","["&amp;$E797&amp;"]"&amp;"|"&amp;SUBSTITUTE(SUBSTITUTE($I797,CHAR(61),""),CHAR(34),"")&amp;"|"&amp;$K797&amp;"|"&amp;$G797&amp;"|"&amp;IF($G797="TX_CURR_SUBNAT.R","CY2020Q4",$M797),"")</f>
        <v>[wpg5evyl1OL]|15-19|Female|VL_SUPPRESSED.T_1|CY2021Q3</v>
      </c>
    </row>
    <row r="798" customFormat="false" ht="15" hidden="false" customHeight="false" outlineLevel="0" collapsed="false">
      <c r="D798" s="0" t="s">
        <v>109</v>
      </c>
      <c r="E798" s="0" t="s">
        <v>110</v>
      </c>
      <c r="F798" s="0" t="s">
        <v>47</v>
      </c>
      <c r="G798" s="0" t="s">
        <v>95</v>
      </c>
      <c r="H798" s="0" t="s">
        <v>96</v>
      </c>
      <c r="I798" s="0" t="s">
        <v>63</v>
      </c>
      <c r="J798" s="0" t="s">
        <v>64</v>
      </c>
      <c r="K798" s="0" t="s">
        <v>58</v>
      </c>
      <c r="L798" s="0" t="s">
        <v>59</v>
      </c>
      <c r="M798" s="0" t="s">
        <v>50</v>
      </c>
      <c r="N798" s="0" t="n">
        <v>164</v>
      </c>
      <c r="O798" s="0" t="n">
        <v>54</v>
      </c>
      <c r="P798" s="0" t="n">
        <v>27</v>
      </c>
      <c r="Q798" s="5" t="str">
        <f aca="false">IF($D798&lt;&gt;"","["&amp;$E798&amp;"]"&amp;"|"&amp;SUBSTITUTE(SUBSTITUTE($I798,CHAR(61),""),CHAR(34),"")&amp;"|"&amp;$K798&amp;"|"&amp;$G798&amp;"|"&amp;IF($G798="TX_CURR_SUBNAT.R","CY2020Q4",$M798),"")</f>
        <v>[wpg5evyl1OL]|15-19|Male|VL_SUPPRESSED.T_1|CY2021Q3</v>
      </c>
    </row>
    <row r="799" customFormat="false" ht="15" hidden="false" customHeight="false" outlineLevel="0" collapsed="false">
      <c r="D799" s="0" t="s">
        <v>109</v>
      </c>
      <c r="E799" s="0" t="s">
        <v>110</v>
      </c>
      <c r="F799" s="0" t="s">
        <v>47</v>
      </c>
      <c r="G799" s="0" t="s">
        <v>95</v>
      </c>
      <c r="H799" s="0" t="s">
        <v>96</v>
      </c>
      <c r="I799" s="0" t="s">
        <v>66</v>
      </c>
      <c r="J799" s="0" t="s">
        <v>67</v>
      </c>
      <c r="K799" s="0" t="s">
        <v>56</v>
      </c>
      <c r="L799" s="0" t="s">
        <v>57</v>
      </c>
      <c r="M799" s="0" t="s">
        <v>50</v>
      </c>
      <c r="N799" s="0" t="n">
        <v>761</v>
      </c>
      <c r="O799" s="0" t="n">
        <v>29</v>
      </c>
      <c r="P799" s="0" t="n">
        <v>4</v>
      </c>
      <c r="Q799" s="5" t="str">
        <f aca="false">IF($D799&lt;&gt;"","["&amp;$E799&amp;"]"&amp;"|"&amp;SUBSTITUTE(SUBSTITUTE($I799,CHAR(61),""),CHAR(34),"")&amp;"|"&amp;$K799&amp;"|"&amp;$G799&amp;"|"&amp;IF($G799="TX_CURR_SUBNAT.R","CY2020Q4",$M799),"")</f>
        <v>[wpg5evyl1OL]|20-24|Female|VL_SUPPRESSED.T_1|CY2021Q3</v>
      </c>
    </row>
    <row r="800" customFormat="false" ht="15" hidden="false" customHeight="false" outlineLevel="0" collapsed="false">
      <c r="D800" s="0" t="s">
        <v>109</v>
      </c>
      <c r="E800" s="0" t="s">
        <v>110</v>
      </c>
      <c r="F800" s="0" t="s">
        <v>47</v>
      </c>
      <c r="G800" s="0" t="s">
        <v>95</v>
      </c>
      <c r="H800" s="0" t="s">
        <v>96</v>
      </c>
      <c r="I800" s="0" t="s">
        <v>66</v>
      </c>
      <c r="J800" s="0" t="s">
        <v>67</v>
      </c>
      <c r="K800" s="0" t="s">
        <v>58</v>
      </c>
      <c r="L800" s="0" t="s">
        <v>59</v>
      </c>
      <c r="M800" s="0" t="s">
        <v>50</v>
      </c>
      <c r="N800" s="0" t="n">
        <v>114</v>
      </c>
      <c r="O800" s="0" t="n">
        <v>18</v>
      </c>
      <c r="P800" s="0" t="n">
        <v>24</v>
      </c>
      <c r="Q800" s="5" t="str">
        <f aca="false">IF($D800&lt;&gt;"","["&amp;$E800&amp;"]"&amp;"|"&amp;SUBSTITUTE(SUBSTITUTE($I800,CHAR(61),""),CHAR(34),"")&amp;"|"&amp;$K800&amp;"|"&amp;$G800&amp;"|"&amp;IF($G800="TX_CURR_SUBNAT.R","CY2020Q4",$M800),"")</f>
        <v>[wpg5evyl1OL]|20-24|Male|VL_SUPPRESSED.T_1|CY2021Q3</v>
      </c>
    </row>
    <row r="801" customFormat="false" ht="15" hidden="false" customHeight="false" outlineLevel="0" collapsed="false">
      <c r="D801" s="0" t="s">
        <v>109</v>
      </c>
      <c r="E801" s="0" t="s">
        <v>110</v>
      </c>
      <c r="F801" s="0" t="s">
        <v>47</v>
      </c>
      <c r="G801" s="0" t="s">
        <v>95</v>
      </c>
      <c r="H801" s="0" t="s">
        <v>96</v>
      </c>
      <c r="I801" s="0" t="s">
        <v>69</v>
      </c>
      <c r="J801" s="0" t="s">
        <v>70</v>
      </c>
      <c r="K801" s="0" t="s">
        <v>56</v>
      </c>
      <c r="L801" s="0" t="s">
        <v>57</v>
      </c>
      <c r="M801" s="0" t="s">
        <v>50</v>
      </c>
      <c r="N801" s="0" t="n">
        <v>1689</v>
      </c>
      <c r="O801" s="0" t="n">
        <v>11</v>
      </c>
      <c r="P801" s="0" t="n">
        <v>7</v>
      </c>
      <c r="Q801" s="5" t="str">
        <f aca="false">IF($D801&lt;&gt;"","["&amp;$E801&amp;"]"&amp;"|"&amp;SUBSTITUTE(SUBSTITUTE($I801,CHAR(61),""),CHAR(34),"")&amp;"|"&amp;$K801&amp;"|"&amp;$G801&amp;"|"&amp;IF($G801="TX_CURR_SUBNAT.R","CY2020Q4",$M801),"")</f>
        <v>[wpg5evyl1OL]|25-29|Female|VL_SUPPRESSED.T_1|CY2021Q3</v>
      </c>
    </row>
    <row r="802" customFormat="false" ht="15" hidden="false" customHeight="false" outlineLevel="0" collapsed="false">
      <c r="D802" s="0" t="s">
        <v>109</v>
      </c>
      <c r="E802" s="0" t="s">
        <v>110</v>
      </c>
      <c r="F802" s="0" t="s">
        <v>47</v>
      </c>
      <c r="G802" s="0" t="s">
        <v>95</v>
      </c>
      <c r="H802" s="0" t="s">
        <v>96</v>
      </c>
      <c r="I802" s="0" t="s">
        <v>69</v>
      </c>
      <c r="J802" s="0" t="s">
        <v>70</v>
      </c>
      <c r="K802" s="0" t="s">
        <v>58</v>
      </c>
      <c r="L802" s="0" t="s">
        <v>59</v>
      </c>
      <c r="M802" s="0" t="s">
        <v>50</v>
      </c>
      <c r="N802" s="0" t="n">
        <v>397</v>
      </c>
      <c r="O802" s="0" t="n">
        <v>56</v>
      </c>
      <c r="P802" s="0" t="n">
        <v>23</v>
      </c>
      <c r="Q802" s="5" t="str">
        <f aca="false">IF($D802&lt;&gt;"","["&amp;$E802&amp;"]"&amp;"|"&amp;SUBSTITUTE(SUBSTITUTE($I802,CHAR(61),""),CHAR(34),"")&amp;"|"&amp;$K802&amp;"|"&amp;$G802&amp;"|"&amp;IF($G802="TX_CURR_SUBNAT.R","CY2020Q4",$M802),"")</f>
        <v>[wpg5evyl1OL]|25-29|Male|VL_SUPPRESSED.T_1|CY2021Q3</v>
      </c>
    </row>
    <row r="803" customFormat="false" ht="15" hidden="false" customHeight="false" outlineLevel="0" collapsed="false">
      <c r="D803" s="0" t="s">
        <v>109</v>
      </c>
      <c r="E803" s="0" t="s">
        <v>110</v>
      </c>
      <c r="F803" s="0" t="s">
        <v>47</v>
      </c>
      <c r="G803" s="0" t="s">
        <v>95</v>
      </c>
      <c r="H803" s="0" t="s">
        <v>96</v>
      </c>
      <c r="I803" s="0" t="s">
        <v>72</v>
      </c>
      <c r="J803" s="0" t="s">
        <v>73</v>
      </c>
      <c r="K803" s="0" t="s">
        <v>56</v>
      </c>
      <c r="L803" s="0" t="s">
        <v>57</v>
      </c>
      <c r="M803" s="0" t="s">
        <v>50</v>
      </c>
      <c r="N803" s="0" t="n">
        <v>2362</v>
      </c>
      <c r="O803" s="0" t="n">
        <v>42</v>
      </c>
      <c r="P803" s="0" t="n">
        <v>42</v>
      </c>
      <c r="Q803" s="5" t="str">
        <f aca="false">IF($D803&lt;&gt;"","["&amp;$E803&amp;"]"&amp;"|"&amp;SUBSTITUTE(SUBSTITUTE($I803,CHAR(61),""),CHAR(34),"")&amp;"|"&amp;$K803&amp;"|"&amp;$G803&amp;"|"&amp;IF($G803="TX_CURR_SUBNAT.R","CY2020Q4",$M803),"")</f>
        <v>[wpg5evyl1OL]|30-34|Female|VL_SUPPRESSED.T_1|CY2021Q3</v>
      </c>
    </row>
    <row r="804" customFormat="false" ht="15" hidden="false" customHeight="false" outlineLevel="0" collapsed="false">
      <c r="D804" s="0" t="s">
        <v>109</v>
      </c>
      <c r="E804" s="0" t="s">
        <v>110</v>
      </c>
      <c r="F804" s="0" t="s">
        <v>47</v>
      </c>
      <c r="G804" s="0" t="s">
        <v>95</v>
      </c>
      <c r="H804" s="0" t="s">
        <v>96</v>
      </c>
      <c r="I804" s="0" t="s">
        <v>72</v>
      </c>
      <c r="J804" s="0" t="s">
        <v>73</v>
      </c>
      <c r="K804" s="0" t="s">
        <v>58</v>
      </c>
      <c r="L804" s="0" t="s">
        <v>59</v>
      </c>
      <c r="M804" s="0" t="s">
        <v>50</v>
      </c>
      <c r="N804" s="0" t="n">
        <v>919</v>
      </c>
      <c r="O804" s="0" t="n">
        <v>59</v>
      </c>
      <c r="P804" s="0" t="n">
        <v>30</v>
      </c>
      <c r="Q804" s="5" t="str">
        <f aca="false">IF($D804&lt;&gt;"","["&amp;$E804&amp;"]"&amp;"|"&amp;SUBSTITUTE(SUBSTITUTE($I804,CHAR(61),""),CHAR(34),"")&amp;"|"&amp;$K804&amp;"|"&amp;$G804&amp;"|"&amp;IF($G804="TX_CURR_SUBNAT.R","CY2020Q4",$M804),"")</f>
        <v>[wpg5evyl1OL]|30-34|Male|VL_SUPPRESSED.T_1|CY2021Q3</v>
      </c>
    </row>
    <row r="805" customFormat="false" ht="15" hidden="false" customHeight="false" outlineLevel="0" collapsed="false">
      <c r="D805" s="0" t="s">
        <v>109</v>
      </c>
      <c r="E805" s="0" t="s">
        <v>110</v>
      </c>
      <c r="F805" s="0" t="s">
        <v>47</v>
      </c>
      <c r="G805" s="0" t="s">
        <v>95</v>
      </c>
      <c r="H805" s="0" t="s">
        <v>96</v>
      </c>
      <c r="I805" s="0" t="s">
        <v>75</v>
      </c>
      <c r="J805" s="0" t="s">
        <v>76</v>
      </c>
      <c r="K805" s="0" t="s">
        <v>56</v>
      </c>
      <c r="L805" s="0" t="s">
        <v>57</v>
      </c>
      <c r="M805" s="0" t="s">
        <v>50</v>
      </c>
      <c r="N805" s="0" t="n">
        <v>2669</v>
      </c>
      <c r="O805" s="0" t="n">
        <v>49</v>
      </c>
      <c r="P805" s="0" t="n">
        <v>1</v>
      </c>
      <c r="Q805" s="5" t="str">
        <f aca="false">IF($D805&lt;&gt;"","["&amp;$E805&amp;"]"&amp;"|"&amp;SUBSTITUTE(SUBSTITUTE($I805,CHAR(61),""),CHAR(34),"")&amp;"|"&amp;$K805&amp;"|"&amp;$G805&amp;"|"&amp;IF($G805="TX_CURR_SUBNAT.R","CY2020Q4",$M805),"")</f>
        <v>[wpg5evyl1OL]|35-39|Female|VL_SUPPRESSED.T_1|CY2021Q3</v>
      </c>
    </row>
    <row r="806" customFormat="false" ht="15" hidden="false" customHeight="false" outlineLevel="0" collapsed="false">
      <c r="D806" s="0" t="s">
        <v>109</v>
      </c>
      <c r="E806" s="0" t="s">
        <v>110</v>
      </c>
      <c r="F806" s="0" t="s">
        <v>47</v>
      </c>
      <c r="G806" s="0" t="s">
        <v>95</v>
      </c>
      <c r="H806" s="0" t="s">
        <v>96</v>
      </c>
      <c r="I806" s="0" t="s">
        <v>75</v>
      </c>
      <c r="J806" s="0" t="s">
        <v>76</v>
      </c>
      <c r="K806" s="0" t="s">
        <v>58</v>
      </c>
      <c r="L806" s="0" t="s">
        <v>59</v>
      </c>
      <c r="M806" s="0" t="s">
        <v>50</v>
      </c>
      <c r="N806" s="0" t="n">
        <v>1408</v>
      </c>
      <c r="O806" s="0" t="n">
        <v>19</v>
      </c>
      <c r="P806" s="0" t="n">
        <v>33</v>
      </c>
      <c r="Q806" s="5" t="str">
        <f aca="false">IF($D806&lt;&gt;"","["&amp;$E806&amp;"]"&amp;"|"&amp;SUBSTITUTE(SUBSTITUTE($I806,CHAR(61),""),CHAR(34),"")&amp;"|"&amp;$K806&amp;"|"&amp;$G806&amp;"|"&amp;IF($G806="TX_CURR_SUBNAT.R","CY2020Q4",$M806),"")</f>
        <v>[wpg5evyl1OL]|35-39|Male|VL_SUPPRESSED.T_1|CY2021Q3</v>
      </c>
    </row>
    <row r="807" customFormat="false" ht="15" hidden="false" customHeight="false" outlineLevel="0" collapsed="false">
      <c r="D807" s="0" t="s">
        <v>109</v>
      </c>
      <c r="E807" s="0" t="s">
        <v>110</v>
      </c>
      <c r="F807" s="0" t="s">
        <v>47</v>
      </c>
      <c r="G807" s="0" t="s">
        <v>95</v>
      </c>
      <c r="H807" s="0" t="s">
        <v>96</v>
      </c>
      <c r="I807" s="0" t="s">
        <v>77</v>
      </c>
      <c r="J807" s="0" t="s">
        <v>78</v>
      </c>
      <c r="K807" s="0" t="s">
        <v>56</v>
      </c>
      <c r="L807" s="0" t="s">
        <v>57</v>
      </c>
      <c r="M807" s="0" t="s">
        <v>50</v>
      </c>
      <c r="N807" s="0" t="n">
        <v>2247</v>
      </c>
      <c r="O807" s="0" t="n">
        <v>32</v>
      </c>
      <c r="P807" s="0" t="n">
        <v>14</v>
      </c>
      <c r="Q807" s="5" t="str">
        <f aca="false">IF($D807&lt;&gt;"","["&amp;$E807&amp;"]"&amp;"|"&amp;SUBSTITUTE(SUBSTITUTE($I807,CHAR(61),""),CHAR(34),"")&amp;"|"&amp;$K807&amp;"|"&amp;$G807&amp;"|"&amp;IF($G807="TX_CURR_SUBNAT.R","CY2020Q4",$M807),"")</f>
        <v>[wpg5evyl1OL]|40-44|Female|VL_SUPPRESSED.T_1|CY2021Q3</v>
      </c>
    </row>
    <row r="808" customFormat="false" ht="15" hidden="false" customHeight="false" outlineLevel="0" collapsed="false">
      <c r="D808" s="0" t="s">
        <v>109</v>
      </c>
      <c r="E808" s="0" t="s">
        <v>110</v>
      </c>
      <c r="F808" s="0" t="s">
        <v>47</v>
      </c>
      <c r="G808" s="0" t="s">
        <v>95</v>
      </c>
      <c r="H808" s="0" t="s">
        <v>96</v>
      </c>
      <c r="I808" s="0" t="s">
        <v>77</v>
      </c>
      <c r="J808" s="0" t="s">
        <v>78</v>
      </c>
      <c r="K808" s="0" t="s">
        <v>58</v>
      </c>
      <c r="L808" s="0" t="s">
        <v>59</v>
      </c>
      <c r="M808" s="0" t="s">
        <v>50</v>
      </c>
      <c r="N808" s="0" t="n">
        <v>1470</v>
      </c>
      <c r="O808" s="0" t="n">
        <v>46</v>
      </c>
      <c r="P808" s="0" t="n">
        <v>47</v>
      </c>
      <c r="Q808" s="5" t="str">
        <f aca="false">IF($D808&lt;&gt;"","["&amp;$E808&amp;"]"&amp;"|"&amp;SUBSTITUTE(SUBSTITUTE($I808,CHAR(61),""),CHAR(34),"")&amp;"|"&amp;$K808&amp;"|"&amp;$G808&amp;"|"&amp;IF($G808="TX_CURR_SUBNAT.R","CY2020Q4",$M808),"")</f>
        <v>[wpg5evyl1OL]|40-44|Male|VL_SUPPRESSED.T_1|CY2021Q3</v>
      </c>
    </row>
    <row r="809" customFormat="false" ht="15" hidden="false" customHeight="false" outlineLevel="0" collapsed="false">
      <c r="D809" s="0" t="s">
        <v>109</v>
      </c>
      <c r="E809" s="0" t="s">
        <v>110</v>
      </c>
      <c r="F809" s="0" t="s">
        <v>47</v>
      </c>
      <c r="G809" s="0" t="s">
        <v>95</v>
      </c>
      <c r="H809" s="0" t="s">
        <v>96</v>
      </c>
      <c r="I809" s="0" t="s">
        <v>80</v>
      </c>
      <c r="J809" s="0" t="s">
        <v>81</v>
      </c>
      <c r="K809" s="0" t="s">
        <v>56</v>
      </c>
      <c r="L809" s="0" t="s">
        <v>57</v>
      </c>
      <c r="M809" s="0" t="s">
        <v>50</v>
      </c>
      <c r="N809" s="0" t="n">
        <v>1614</v>
      </c>
      <c r="O809" s="0" t="n">
        <v>46</v>
      </c>
      <c r="P809" s="0" t="n">
        <v>7</v>
      </c>
      <c r="Q809" s="5" t="str">
        <f aca="false">IF($D809&lt;&gt;"","["&amp;$E809&amp;"]"&amp;"|"&amp;SUBSTITUTE(SUBSTITUTE($I809,CHAR(61),""),CHAR(34),"")&amp;"|"&amp;$K809&amp;"|"&amp;$G809&amp;"|"&amp;IF($G809="TX_CURR_SUBNAT.R","CY2020Q4",$M809),"")</f>
        <v>[wpg5evyl1OL]|45-49|Female|VL_SUPPRESSED.T_1|CY2021Q3</v>
      </c>
    </row>
    <row r="810" customFormat="false" ht="15" hidden="false" customHeight="false" outlineLevel="0" collapsed="false">
      <c r="D810" s="0" t="s">
        <v>109</v>
      </c>
      <c r="E810" s="0" t="s">
        <v>110</v>
      </c>
      <c r="F810" s="0" t="s">
        <v>47</v>
      </c>
      <c r="G810" s="0" t="s">
        <v>95</v>
      </c>
      <c r="H810" s="0" t="s">
        <v>96</v>
      </c>
      <c r="I810" s="0" t="s">
        <v>80</v>
      </c>
      <c r="J810" s="0" t="s">
        <v>81</v>
      </c>
      <c r="K810" s="0" t="s">
        <v>58</v>
      </c>
      <c r="L810" s="0" t="s">
        <v>59</v>
      </c>
      <c r="M810" s="0" t="s">
        <v>50</v>
      </c>
      <c r="N810" s="0" t="n">
        <v>1261</v>
      </c>
      <c r="O810" s="0" t="n">
        <v>36</v>
      </c>
      <c r="P810" s="0" t="n">
        <v>35</v>
      </c>
      <c r="Q810" s="5" t="str">
        <f aca="false">IF($D810&lt;&gt;"","["&amp;$E810&amp;"]"&amp;"|"&amp;SUBSTITUTE(SUBSTITUTE($I810,CHAR(61),""),CHAR(34),"")&amp;"|"&amp;$K810&amp;"|"&amp;$G810&amp;"|"&amp;IF($G810="TX_CURR_SUBNAT.R","CY2020Q4",$M810),"")</f>
        <v>[wpg5evyl1OL]|45-49|Male|VL_SUPPRESSED.T_1|CY2021Q3</v>
      </c>
    </row>
    <row r="811" customFormat="false" ht="15" hidden="false" customHeight="false" outlineLevel="0" collapsed="false">
      <c r="D811" s="0" t="s">
        <v>109</v>
      </c>
      <c r="E811" s="0" t="s">
        <v>110</v>
      </c>
      <c r="F811" s="0" t="s">
        <v>47</v>
      </c>
      <c r="G811" s="0" t="s">
        <v>95</v>
      </c>
      <c r="H811" s="0" t="s">
        <v>96</v>
      </c>
      <c r="I811" s="0" t="s">
        <v>83</v>
      </c>
      <c r="J811" s="0" t="s">
        <v>84</v>
      </c>
      <c r="K811" s="0" t="s">
        <v>56</v>
      </c>
      <c r="L811" s="0" t="s">
        <v>57</v>
      </c>
      <c r="M811" s="0" t="s">
        <v>50</v>
      </c>
      <c r="N811" s="0" t="n">
        <v>118</v>
      </c>
      <c r="O811" s="0" t="n">
        <v>54</v>
      </c>
      <c r="P811" s="0" t="n">
        <v>19</v>
      </c>
      <c r="Q811" s="5" t="str">
        <f aca="false">IF($D811&lt;&gt;"","["&amp;$E811&amp;"]"&amp;"|"&amp;SUBSTITUTE(SUBSTITUTE($I811,CHAR(61),""),CHAR(34),"")&amp;"|"&amp;$K811&amp;"|"&amp;$G811&amp;"|"&amp;IF($G811="TX_CURR_SUBNAT.R","CY2020Q4",$M811),"")</f>
        <v>[wpg5evyl1OL]|05-09|Female|VL_SUPPRESSED.T_1|CY2021Q3</v>
      </c>
    </row>
    <row r="812" customFormat="false" ht="15" hidden="false" customHeight="false" outlineLevel="0" collapsed="false">
      <c r="D812" s="0" t="s">
        <v>109</v>
      </c>
      <c r="E812" s="0" t="s">
        <v>110</v>
      </c>
      <c r="F812" s="0" t="s">
        <v>47</v>
      </c>
      <c r="G812" s="0" t="s">
        <v>95</v>
      </c>
      <c r="H812" s="0" t="s">
        <v>96</v>
      </c>
      <c r="I812" s="0" t="s">
        <v>83</v>
      </c>
      <c r="J812" s="0" t="s">
        <v>84</v>
      </c>
      <c r="K812" s="0" t="s">
        <v>58</v>
      </c>
      <c r="L812" s="0" t="s">
        <v>59</v>
      </c>
      <c r="M812" s="0" t="s">
        <v>50</v>
      </c>
      <c r="N812" s="0" t="n">
        <v>83</v>
      </c>
      <c r="O812" s="0" t="n">
        <v>51</v>
      </c>
      <c r="P812" s="0" t="n">
        <v>29</v>
      </c>
      <c r="Q812" s="5" t="str">
        <f aca="false">IF($D812&lt;&gt;"","["&amp;$E812&amp;"]"&amp;"|"&amp;SUBSTITUTE(SUBSTITUTE($I812,CHAR(61),""),CHAR(34),"")&amp;"|"&amp;$K812&amp;"|"&amp;$G812&amp;"|"&amp;IF($G812="TX_CURR_SUBNAT.R","CY2020Q4",$M812),"")</f>
        <v>[wpg5evyl1OL]|05-09|Male|VL_SUPPRESSED.T_1|CY2021Q3</v>
      </c>
    </row>
    <row r="813" customFormat="false" ht="15" hidden="false" customHeight="false" outlineLevel="0" collapsed="false">
      <c r="D813" s="0" t="s">
        <v>109</v>
      </c>
      <c r="E813" s="0" t="s">
        <v>110</v>
      </c>
      <c r="F813" s="0" t="s">
        <v>47</v>
      </c>
      <c r="G813" s="0" t="s">
        <v>95</v>
      </c>
      <c r="H813" s="0" t="s">
        <v>96</v>
      </c>
      <c r="I813" s="53" t="s">
        <v>86</v>
      </c>
      <c r="J813" s="0" t="s">
        <v>87</v>
      </c>
      <c r="K813" s="0" t="s">
        <v>56</v>
      </c>
      <c r="L813" s="0" t="s">
        <v>57</v>
      </c>
      <c r="M813" s="0" t="s">
        <v>50</v>
      </c>
      <c r="N813" s="0" t="n">
        <v>4333</v>
      </c>
      <c r="O813" s="0" t="n">
        <v>27</v>
      </c>
      <c r="P813" s="0" t="n">
        <v>2</v>
      </c>
      <c r="Q813" s="5" t="str">
        <f aca="false">IF($D813&lt;&gt;"","["&amp;$E813&amp;"]"&amp;"|"&amp;SUBSTITUTE(SUBSTITUTE($I813,CHAR(61),""),CHAR(34),"")&amp;"|"&amp;$K813&amp;"|"&amp;$G813&amp;"|"&amp;IF($G813="TX_CURR_SUBNAT.R","CY2020Q4",$M813),"")</f>
        <v>[wpg5evyl1OL]|50+|Female|VL_SUPPRESSED.T_1|CY2021Q3</v>
      </c>
    </row>
    <row r="814" customFormat="false" ht="15" hidden="false" customHeight="false" outlineLevel="0" collapsed="false">
      <c r="D814" s="0" t="s">
        <v>109</v>
      </c>
      <c r="E814" s="0" t="s">
        <v>110</v>
      </c>
      <c r="F814" s="0" t="s">
        <v>47</v>
      </c>
      <c r="G814" s="0" t="s">
        <v>95</v>
      </c>
      <c r="H814" s="0" t="s">
        <v>96</v>
      </c>
      <c r="I814" s="53" t="s">
        <v>86</v>
      </c>
      <c r="J814" s="0" t="s">
        <v>87</v>
      </c>
      <c r="K814" s="0" t="s">
        <v>58</v>
      </c>
      <c r="L814" s="0" t="s">
        <v>59</v>
      </c>
      <c r="M814" s="0" t="s">
        <v>50</v>
      </c>
      <c r="N814" s="0" t="n">
        <v>3026</v>
      </c>
      <c r="O814" s="0" t="n">
        <v>57</v>
      </c>
      <c r="P814" s="0" t="n">
        <v>37</v>
      </c>
      <c r="Q814" s="5" t="str">
        <f aca="false">IF($D814&lt;&gt;"","["&amp;$E814&amp;"]"&amp;"|"&amp;SUBSTITUTE(SUBSTITUTE($I814,CHAR(61),""),CHAR(34),"")&amp;"|"&amp;$K814&amp;"|"&amp;$G814&amp;"|"&amp;IF($G814="TX_CURR_SUBNAT.R","CY2020Q4",$M814),"")</f>
        <v>[wpg5evyl1OL]|50+|Male|VL_SUPPRESSED.T_1|CY2021Q3</v>
      </c>
    </row>
    <row r="815" customFormat="false" ht="15" hidden="false" customHeight="false" outlineLevel="0" collapsed="false">
      <c r="D815" s="0" t="s">
        <v>109</v>
      </c>
      <c r="E815" s="0" t="s">
        <v>110</v>
      </c>
      <c r="F815" s="0" t="s">
        <v>47</v>
      </c>
      <c r="G815" s="0" t="s">
        <v>97</v>
      </c>
      <c r="H815" s="0" t="s">
        <v>98</v>
      </c>
      <c r="I815" s="0" t="s">
        <v>54</v>
      </c>
      <c r="J815" s="0" t="s">
        <v>55</v>
      </c>
      <c r="K815" s="0" t="s">
        <v>56</v>
      </c>
      <c r="L815" s="0" t="s">
        <v>57</v>
      </c>
      <c r="M815" s="0" t="s">
        <v>50</v>
      </c>
      <c r="N815" s="0" t="n">
        <v>76</v>
      </c>
      <c r="O815" s="0" t="n">
        <v>3</v>
      </c>
      <c r="P815" s="0" t="n">
        <v>16</v>
      </c>
      <c r="Q815" s="5" t="str">
        <f aca="false">IF($D815&lt;&gt;"","["&amp;$E815&amp;"]"&amp;"|"&amp;SUBSTITUTE(SUBSTITUTE($I815,CHAR(61),""),CHAR(34),"")&amp;"|"&amp;$K815&amp;"|"&amp;$G815&amp;"|"&amp;IF($G815="TX_CURR_SUBNAT.R","CY2020Q4",$M815),"")</f>
        <v>[wpg5evyl1OL]|01-04|Female|PLHIV.T_1|CY2021Q3</v>
      </c>
    </row>
    <row r="816" customFormat="false" ht="15" hidden="false" customHeight="false" outlineLevel="0" collapsed="false">
      <c r="D816" s="0" t="s">
        <v>109</v>
      </c>
      <c r="E816" s="0" t="s">
        <v>110</v>
      </c>
      <c r="F816" s="0" t="s">
        <v>47</v>
      </c>
      <c r="G816" s="0" t="s">
        <v>97</v>
      </c>
      <c r="H816" s="0" t="s">
        <v>98</v>
      </c>
      <c r="I816" s="0" t="s">
        <v>54</v>
      </c>
      <c r="J816" s="0" t="s">
        <v>55</v>
      </c>
      <c r="K816" s="0" t="s">
        <v>58</v>
      </c>
      <c r="L816" s="0" t="s">
        <v>59</v>
      </c>
      <c r="M816" s="0" t="s">
        <v>50</v>
      </c>
      <c r="N816" s="0" t="n">
        <v>78</v>
      </c>
      <c r="O816" s="0" t="n">
        <v>32</v>
      </c>
      <c r="P816" s="0" t="n">
        <v>7</v>
      </c>
      <c r="Q816" s="5" t="str">
        <f aca="false">IF($D816&lt;&gt;"","["&amp;$E816&amp;"]"&amp;"|"&amp;SUBSTITUTE(SUBSTITUTE($I816,CHAR(61),""),CHAR(34),"")&amp;"|"&amp;$K816&amp;"|"&amp;$G816&amp;"|"&amp;IF($G816="TX_CURR_SUBNAT.R","CY2020Q4",$M816),"")</f>
        <v>[wpg5evyl1OL]|01-04|Male|PLHIV.T_1|CY2021Q3</v>
      </c>
    </row>
    <row r="817" customFormat="false" ht="15" hidden="false" customHeight="false" outlineLevel="0" collapsed="false">
      <c r="D817" s="0" t="s">
        <v>109</v>
      </c>
      <c r="E817" s="0" t="s">
        <v>110</v>
      </c>
      <c r="F817" s="0" t="s">
        <v>47</v>
      </c>
      <c r="G817" s="0" t="s">
        <v>97</v>
      </c>
      <c r="H817" s="0" t="s">
        <v>98</v>
      </c>
      <c r="I817" s="0" t="s">
        <v>61</v>
      </c>
      <c r="J817" s="0" t="s">
        <v>62</v>
      </c>
      <c r="K817" s="0" t="s">
        <v>56</v>
      </c>
      <c r="L817" s="0" t="s">
        <v>57</v>
      </c>
      <c r="M817" s="0" t="s">
        <v>50</v>
      </c>
      <c r="N817" s="0" t="n">
        <v>298</v>
      </c>
      <c r="O817" s="0" t="n">
        <v>1</v>
      </c>
      <c r="P817" s="0" t="n">
        <v>41</v>
      </c>
      <c r="Q817" s="5" t="str">
        <f aca="false">IF($D817&lt;&gt;"","["&amp;$E817&amp;"]"&amp;"|"&amp;SUBSTITUTE(SUBSTITUTE($I817,CHAR(61),""),CHAR(34),"")&amp;"|"&amp;$K817&amp;"|"&amp;$G817&amp;"|"&amp;IF($G817="TX_CURR_SUBNAT.R","CY2020Q4",$M817),"")</f>
        <v>[wpg5evyl1OL]|10-14|Female|PLHIV.T_1|CY2021Q3</v>
      </c>
    </row>
    <row r="818" customFormat="false" ht="15" hidden="false" customHeight="false" outlineLevel="0" collapsed="false">
      <c r="D818" s="0" t="s">
        <v>109</v>
      </c>
      <c r="E818" s="0" t="s">
        <v>110</v>
      </c>
      <c r="F818" s="0" t="s">
        <v>47</v>
      </c>
      <c r="G818" s="0" t="s">
        <v>97</v>
      </c>
      <c r="H818" s="0" t="s">
        <v>98</v>
      </c>
      <c r="I818" s="0" t="s">
        <v>61</v>
      </c>
      <c r="J818" s="0" t="s">
        <v>62</v>
      </c>
      <c r="K818" s="0" t="s">
        <v>58</v>
      </c>
      <c r="L818" s="0" t="s">
        <v>59</v>
      </c>
      <c r="M818" s="0" t="s">
        <v>50</v>
      </c>
      <c r="N818" s="0" t="n">
        <v>302</v>
      </c>
      <c r="O818" s="0" t="n">
        <v>10</v>
      </c>
      <c r="P818" s="0" t="n">
        <v>12</v>
      </c>
      <c r="Q818" s="5" t="str">
        <f aca="false">IF($D818&lt;&gt;"","["&amp;$E818&amp;"]"&amp;"|"&amp;SUBSTITUTE(SUBSTITUTE($I818,CHAR(61),""),CHAR(34),"")&amp;"|"&amp;$K818&amp;"|"&amp;$G818&amp;"|"&amp;IF($G818="TX_CURR_SUBNAT.R","CY2020Q4",$M818),"")</f>
        <v>[wpg5evyl1OL]|10-14|Male|PLHIV.T_1|CY2021Q3</v>
      </c>
    </row>
    <row r="819" customFormat="false" ht="15" hidden="false" customHeight="false" outlineLevel="0" collapsed="false">
      <c r="D819" s="0" t="s">
        <v>109</v>
      </c>
      <c r="E819" s="0" t="s">
        <v>110</v>
      </c>
      <c r="F819" s="0" t="s">
        <v>47</v>
      </c>
      <c r="G819" s="0" t="s">
        <v>97</v>
      </c>
      <c r="H819" s="0" t="s">
        <v>98</v>
      </c>
      <c r="I819" s="0" t="s">
        <v>63</v>
      </c>
      <c r="J819" s="0" t="s">
        <v>64</v>
      </c>
      <c r="K819" s="0" t="s">
        <v>56</v>
      </c>
      <c r="L819" s="0" t="s">
        <v>57</v>
      </c>
      <c r="M819" s="0" t="s">
        <v>50</v>
      </c>
      <c r="N819" s="0" t="n">
        <v>522</v>
      </c>
      <c r="O819" s="0" t="n">
        <v>17</v>
      </c>
      <c r="P819" s="0" t="n">
        <v>42</v>
      </c>
      <c r="Q819" s="5" t="str">
        <f aca="false">IF($D819&lt;&gt;"","["&amp;$E819&amp;"]"&amp;"|"&amp;SUBSTITUTE(SUBSTITUTE($I819,CHAR(61),""),CHAR(34),"")&amp;"|"&amp;$K819&amp;"|"&amp;$G819&amp;"|"&amp;IF($G819="TX_CURR_SUBNAT.R","CY2020Q4",$M819),"")</f>
        <v>[wpg5evyl1OL]|15-19|Female|PLHIV.T_1|CY2021Q3</v>
      </c>
    </row>
    <row r="820" customFormat="false" ht="15" hidden="false" customHeight="false" outlineLevel="0" collapsed="false">
      <c r="D820" s="0" t="s">
        <v>109</v>
      </c>
      <c r="E820" s="0" t="s">
        <v>110</v>
      </c>
      <c r="F820" s="0" t="s">
        <v>47</v>
      </c>
      <c r="G820" s="0" t="s">
        <v>97</v>
      </c>
      <c r="H820" s="0" t="s">
        <v>98</v>
      </c>
      <c r="I820" s="0" t="s">
        <v>63</v>
      </c>
      <c r="J820" s="0" t="s">
        <v>64</v>
      </c>
      <c r="K820" s="0" t="s">
        <v>58</v>
      </c>
      <c r="L820" s="0" t="s">
        <v>59</v>
      </c>
      <c r="M820" s="0" t="s">
        <v>50</v>
      </c>
      <c r="N820" s="0" t="n">
        <v>307</v>
      </c>
      <c r="O820" s="0" t="n">
        <v>23</v>
      </c>
      <c r="P820" s="0" t="n">
        <v>24</v>
      </c>
      <c r="Q820" s="5" t="str">
        <f aca="false">IF($D820&lt;&gt;"","["&amp;$E820&amp;"]"&amp;"|"&amp;SUBSTITUTE(SUBSTITUTE($I820,CHAR(61),""),CHAR(34),"")&amp;"|"&amp;$K820&amp;"|"&amp;$G820&amp;"|"&amp;IF($G820="TX_CURR_SUBNAT.R","CY2020Q4",$M820),"")</f>
        <v>[wpg5evyl1OL]|15-19|Male|PLHIV.T_1|CY2021Q3</v>
      </c>
    </row>
    <row r="821" customFormat="false" ht="15" hidden="false" customHeight="false" outlineLevel="0" collapsed="false">
      <c r="D821" s="0" t="s">
        <v>109</v>
      </c>
      <c r="E821" s="0" t="s">
        <v>110</v>
      </c>
      <c r="F821" s="0" t="s">
        <v>47</v>
      </c>
      <c r="G821" s="0" t="s">
        <v>97</v>
      </c>
      <c r="H821" s="0" t="s">
        <v>98</v>
      </c>
      <c r="I821" s="0" t="s">
        <v>66</v>
      </c>
      <c r="J821" s="0" t="s">
        <v>67</v>
      </c>
      <c r="K821" s="0" t="s">
        <v>56</v>
      </c>
      <c r="L821" s="0" t="s">
        <v>57</v>
      </c>
      <c r="M821" s="0" t="s">
        <v>50</v>
      </c>
      <c r="N821" s="0" t="n">
        <v>1425</v>
      </c>
      <c r="O821" s="0" t="n">
        <v>24</v>
      </c>
      <c r="P821" s="0" t="n">
        <v>3</v>
      </c>
      <c r="Q821" s="5" t="str">
        <f aca="false">IF($D821&lt;&gt;"","["&amp;$E821&amp;"]"&amp;"|"&amp;SUBSTITUTE(SUBSTITUTE($I821,CHAR(61),""),CHAR(34),"")&amp;"|"&amp;$K821&amp;"|"&amp;$G821&amp;"|"&amp;IF($G821="TX_CURR_SUBNAT.R","CY2020Q4",$M821),"")</f>
        <v>[wpg5evyl1OL]|20-24|Female|PLHIV.T_1|CY2021Q3</v>
      </c>
    </row>
    <row r="822" customFormat="false" ht="15" hidden="false" customHeight="false" outlineLevel="0" collapsed="false">
      <c r="D822" s="0" t="s">
        <v>109</v>
      </c>
      <c r="E822" s="0" t="s">
        <v>110</v>
      </c>
      <c r="F822" s="0" t="s">
        <v>47</v>
      </c>
      <c r="G822" s="0" t="s">
        <v>97</v>
      </c>
      <c r="H822" s="0" t="s">
        <v>98</v>
      </c>
      <c r="I822" s="0" t="s">
        <v>66</v>
      </c>
      <c r="J822" s="0" t="s">
        <v>67</v>
      </c>
      <c r="K822" s="0" t="s">
        <v>58</v>
      </c>
      <c r="L822" s="0" t="s">
        <v>59</v>
      </c>
      <c r="M822" s="0" t="s">
        <v>50</v>
      </c>
      <c r="N822" s="0" t="n">
        <v>528</v>
      </c>
      <c r="O822" s="0" t="n">
        <v>26</v>
      </c>
      <c r="P822" s="0" t="n">
        <v>34</v>
      </c>
      <c r="Q822" s="5" t="str">
        <f aca="false">IF($D822&lt;&gt;"","["&amp;$E822&amp;"]"&amp;"|"&amp;SUBSTITUTE(SUBSTITUTE($I822,CHAR(61),""),CHAR(34),"")&amp;"|"&amp;$K822&amp;"|"&amp;$G822&amp;"|"&amp;IF($G822="TX_CURR_SUBNAT.R","CY2020Q4",$M822),"")</f>
        <v>[wpg5evyl1OL]|20-24|Male|PLHIV.T_1|CY2021Q3</v>
      </c>
    </row>
    <row r="823" customFormat="false" ht="15" hidden="false" customHeight="false" outlineLevel="0" collapsed="false">
      <c r="D823" s="0" t="s">
        <v>109</v>
      </c>
      <c r="E823" s="0" t="s">
        <v>110</v>
      </c>
      <c r="F823" s="0" t="s">
        <v>47</v>
      </c>
      <c r="G823" s="0" t="s">
        <v>97</v>
      </c>
      <c r="H823" s="0" t="s">
        <v>98</v>
      </c>
      <c r="I823" s="0" t="s">
        <v>69</v>
      </c>
      <c r="J823" s="0" t="s">
        <v>70</v>
      </c>
      <c r="K823" s="0" t="s">
        <v>56</v>
      </c>
      <c r="L823" s="0" t="s">
        <v>57</v>
      </c>
      <c r="M823" s="0" t="s">
        <v>50</v>
      </c>
      <c r="N823" s="0" t="n">
        <v>2713</v>
      </c>
      <c r="O823" s="0" t="n">
        <v>28</v>
      </c>
      <c r="P823" s="0" t="n">
        <v>2</v>
      </c>
      <c r="Q823" s="5" t="str">
        <f aca="false">IF($D823&lt;&gt;"","["&amp;$E823&amp;"]"&amp;"|"&amp;SUBSTITUTE(SUBSTITUTE($I823,CHAR(61),""),CHAR(34),"")&amp;"|"&amp;$K823&amp;"|"&amp;$G823&amp;"|"&amp;IF($G823="TX_CURR_SUBNAT.R","CY2020Q4",$M823),"")</f>
        <v>[wpg5evyl1OL]|25-29|Female|PLHIV.T_1|CY2021Q3</v>
      </c>
    </row>
    <row r="824" customFormat="false" ht="15" hidden="false" customHeight="false" outlineLevel="0" collapsed="false">
      <c r="D824" s="0" t="s">
        <v>109</v>
      </c>
      <c r="E824" s="0" t="s">
        <v>110</v>
      </c>
      <c r="F824" s="0" t="s">
        <v>47</v>
      </c>
      <c r="G824" s="0" t="s">
        <v>97</v>
      </c>
      <c r="H824" s="0" t="s">
        <v>98</v>
      </c>
      <c r="I824" s="0" t="s">
        <v>69</v>
      </c>
      <c r="J824" s="0" t="s">
        <v>70</v>
      </c>
      <c r="K824" s="0" t="s">
        <v>58</v>
      </c>
      <c r="L824" s="0" t="s">
        <v>59</v>
      </c>
      <c r="M824" s="0" t="s">
        <v>50</v>
      </c>
      <c r="N824" s="0" t="n">
        <v>1188</v>
      </c>
      <c r="O824" s="0" t="n">
        <v>34</v>
      </c>
      <c r="P824" s="0" t="n">
        <v>36</v>
      </c>
      <c r="Q824" s="5" t="str">
        <f aca="false">IF($D824&lt;&gt;"","["&amp;$E824&amp;"]"&amp;"|"&amp;SUBSTITUTE(SUBSTITUTE($I824,CHAR(61),""),CHAR(34),"")&amp;"|"&amp;$K824&amp;"|"&amp;$G824&amp;"|"&amp;IF($G824="TX_CURR_SUBNAT.R","CY2020Q4",$M824),"")</f>
        <v>[wpg5evyl1OL]|25-29|Male|PLHIV.T_1|CY2021Q3</v>
      </c>
    </row>
    <row r="825" customFormat="false" ht="15" hidden="false" customHeight="false" outlineLevel="0" collapsed="false">
      <c r="D825" s="0" t="s">
        <v>109</v>
      </c>
      <c r="E825" s="0" t="s">
        <v>110</v>
      </c>
      <c r="F825" s="0" t="s">
        <v>47</v>
      </c>
      <c r="G825" s="0" t="s">
        <v>97</v>
      </c>
      <c r="H825" s="0" t="s">
        <v>98</v>
      </c>
      <c r="I825" s="0" t="s">
        <v>72</v>
      </c>
      <c r="J825" s="0" t="s">
        <v>73</v>
      </c>
      <c r="K825" s="0" t="s">
        <v>56</v>
      </c>
      <c r="L825" s="0" t="s">
        <v>57</v>
      </c>
      <c r="M825" s="0" t="s">
        <v>50</v>
      </c>
      <c r="N825" s="0" t="n">
        <v>3878</v>
      </c>
      <c r="O825" s="0" t="n">
        <v>6</v>
      </c>
      <c r="P825" s="0" t="n">
        <v>12</v>
      </c>
      <c r="Q825" s="5" t="str">
        <f aca="false">IF($D825&lt;&gt;"","["&amp;$E825&amp;"]"&amp;"|"&amp;SUBSTITUTE(SUBSTITUTE($I825,CHAR(61),""),CHAR(34),"")&amp;"|"&amp;$K825&amp;"|"&amp;$G825&amp;"|"&amp;IF($G825="TX_CURR_SUBNAT.R","CY2020Q4",$M825),"")</f>
        <v>[wpg5evyl1OL]|30-34|Female|PLHIV.T_1|CY2021Q3</v>
      </c>
    </row>
    <row r="826" customFormat="false" ht="15" hidden="false" customHeight="false" outlineLevel="0" collapsed="false">
      <c r="D826" s="0" t="s">
        <v>109</v>
      </c>
      <c r="E826" s="0" t="s">
        <v>110</v>
      </c>
      <c r="F826" s="0" t="s">
        <v>47</v>
      </c>
      <c r="G826" s="0" t="s">
        <v>97</v>
      </c>
      <c r="H826" s="0" t="s">
        <v>98</v>
      </c>
      <c r="I826" s="0" t="s">
        <v>72</v>
      </c>
      <c r="J826" s="0" t="s">
        <v>73</v>
      </c>
      <c r="K826" s="0" t="s">
        <v>58</v>
      </c>
      <c r="L826" s="0" t="s">
        <v>59</v>
      </c>
      <c r="M826" s="0" t="s">
        <v>50</v>
      </c>
      <c r="N826" s="0" t="n">
        <v>2167</v>
      </c>
      <c r="O826" s="0" t="n">
        <v>29</v>
      </c>
      <c r="P826" s="0" t="n">
        <v>23</v>
      </c>
      <c r="Q826" s="5" t="str">
        <f aca="false">IF($D826&lt;&gt;"","["&amp;$E826&amp;"]"&amp;"|"&amp;SUBSTITUTE(SUBSTITUTE($I826,CHAR(61),""),CHAR(34),"")&amp;"|"&amp;$K826&amp;"|"&amp;$G826&amp;"|"&amp;IF($G826="TX_CURR_SUBNAT.R","CY2020Q4",$M826),"")</f>
        <v>[wpg5evyl1OL]|30-34|Male|PLHIV.T_1|CY2021Q3</v>
      </c>
    </row>
    <row r="827" customFormat="false" ht="15" hidden="false" customHeight="false" outlineLevel="0" collapsed="false">
      <c r="D827" s="0" t="s">
        <v>109</v>
      </c>
      <c r="E827" s="0" t="s">
        <v>110</v>
      </c>
      <c r="F827" s="0" t="s">
        <v>47</v>
      </c>
      <c r="G827" s="0" t="s">
        <v>97</v>
      </c>
      <c r="H827" s="0" t="s">
        <v>98</v>
      </c>
      <c r="I827" s="0" t="s">
        <v>75</v>
      </c>
      <c r="J827" s="0" t="s">
        <v>76</v>
      </c>
      <c r="K827" s="0" t="s">
        <v>56</v>
      </c>
      <c r="L827" s="0" t="s">
        <v>57</v>
      </c>
      <c r="M827" s="0" t="s">
        <v>50</v>
      </c>
      <c r="N827" s="0" t="n">
        <v>3790</v>
      </c>
      <c r="O827" s="0" t="n">
        <v>15</v>
      </c>
      <c r="P827" s="0" t="n">
        <v>40</v>
      </c>
      <c r="Q827" s="5" t="str">
        <f aca="false">IF($D827&lt;&gt;"","["&amp;$E827&amp;"]"&amp;"|"&amp;SUBSTITUTE(SUBSTITUTE($I827,CHAR(61),""),CHAR(34),"")&amp;"|"&amp;$K827&amp;"|"&amp;$G827&amp;"|"&amp;IF($G827="TX_CURR_SUBNAT.R","CY2020Q4",$M827),"")</f>
        <v>[wpg5evyl1OL]|35-39|Female|PLHIV.T_1|CY2021Q3</v>
      </c>
    </row>
    <row r="828" customFormat="false" ht="15" hidden="false" customHeight="false" outlineLevel="0" collapsed="false">
      <c r="D828" s="0" t="s">
        <v>109</v>
      </c>
      <c r="E828" s="0" t="s">
        <v>110</v>
      </c>
      <c r="F828" s="0" t="s">
        <v>47</v>
      </c>
      <c r="G828" s="0" t="s">
        <v>97</v>
      </c>
      <c r="H828" s="0" t="s">
        <v>98</v>
      </c>
      <c r="I828" s="0" t="s">
        <v>75</v>
      </c>
      <c r="J828" s="0" t="s">
        <v>76</v>
      </c>
      <c r="K828" s="0" t="s">
        <v>58</v>
      </c>
      <c r="L828" s="0" t="s">
        <v>59</v>
      </c>
      <c r="M828" s="0" t="s">
        <v>50</v>
      </c>
      <c r="N828" s="0" t="n">
        <v>2673</v>
      </c>
      <c r="O828" s="0" t="n">
        <v>55</v>
      </c>
      <c r="P828" s="0" t="n">
        <v>35</v>
      </c>
      <c r="Q828" s="5" t="str">
        <f aca="false">IF($D828&lt;&gt;"","["&amp;$E828&amp;"]"&amp;"|"&amp;SUBSTITUTE(SUBSTITUTE($I828,CHAR(61),""),CHAR(34),"")&amp;"|"&amp;$K828&amp;"|"&amp;$G828&amp;"|"&amp;IF($G828="TX_CURR_SUBNAT.R","CY2020Q4",$M828),"")</f>
        <v>[wpg5evyl1OL]|35-39|Male|PLHIV.T_1|CY2021Q3</v>
      </c>
    </row>
    <row r="829" customFormat="false" ht="15" hidden="false" customHeight="false" outlineLevel="0" collapsed="false">
      <c r="D829" s="0" t="s">
        <v>109</v>
      </c>
      <c r="E829" s="0" t="s">
        <v>110</v>
      </c>
      <c r="F829" s="0" t="s">
        <v>47</v>
      </c>
      <c r="G829" s="0" t="s">
        <v>97</v>
      </c>
      <c r="H829" s="0" t="s">
        <v>98</v>
      </c>
      <c r="I829" s="0" t="s">
        <v>77</v>
      </c>
      <c r="J829" s="0" t="s">
        <v>78</v>
      </c>
      <c r="K829" s="0" t="s">
        <v>56</v>
      </c>
      <c r="L829" s="0" t="s">
        <v>57</v>
      </c>
      <c r="M829" s="0" t="s">
        <v>50</v>
      </c>
      <c r="N829" s="0" t="n">
        <v>3070</v>
      </c>
      <c r="O829" s="0" t="n">
        <v>43</v>
      </c>
      <c r="P829" s="0" t="n">
        <v>8</v>
      </c>
      <c r="Q829" s="5" t="str">
        <f aca="false">IF($D829&lt;&gt;"","["&amp;$E829&amp;"]"&amp;"|"&amp;SUBSTITUTE(SUBSTITUTE($I829,CHAR(61),""),CHAR(34),"")&amp;"|"&amp;$K829&amp;"|"&amp;$G829&amp;"|"&amp;IF($G829="TX_CURR_SUBNAT.R","CY2020Q4",$M829),"")</f>
        <v>[wpg5evyl1OL]|40-44|Female|PLHIV.T_1|CY2021Q3</v>
      </c>
    </row>
    <row r="830" customFormat="false" ht="15" hidden="false" customHeight="false" outlineLevel="0" collapsed="false">
      <c r="D830" s="0" t="s">
        <v>109</v>
      </c>
      <c r="E830" s="0" t="s">
        <v>110</v>
      </c>
      <c r="F830" s="0" t="s">
        <v>47</v>
      </c>
      <c r="G830" s="0" t="s">
        <v>97</v>
      </c>
      <c r="H830" s="0" t="s">
        <v>98</v>
      </c>
      <c r="I830" s="0" t="s">
        <v>77</v>
      </c>
      <c r="J830" s="0" t="s">
        <v>78</v>
      </c>
      <c r="K830" s="0" t="s">
        <v>58</v>
      </c>
      <c r="L830" s="0" t="s">
        <v>59</v>
      </c>
      <c r="M830" s="0" t="s">
        <v>50</v>
      </c>
      <c r="N830" s="0" t="n">
        <v>2413</v>
      </c>
      <c r="O830" s="0" t="n">
        <v>20</v>
      </c>
      <c r="P830" s="0" t="n">
        <v>26</v>
      </c>
      <c r="Q830" s="5" t="str">
        <f aca="false">IF($D830&lt;&gt;"","["&amp;$E830&amp;"]"&amp;"|"&amp;SUBSTITUTE(SUBSTITUTE($I830,CHAR(61),""),CHAR(34),"")&amp;"|"&amp;$K830&amp;"|"&amp;$G830&amp;"|"&amp;IF($G830="TX_CURR_SUBNAT.R","CY2020Q4",$M830),"")</f>
        <v>[wpg5evyl1OL]|40-44|Male|PLHIV.T_1|CY2021Q3</v>
      </c>
    </row>
    <row r="831" customFormat="false" ht="15" hidden="false" customHeight="false" outlineLevel="0" collapsed="false">
      <c r="D831" s="0" t="s">
        <v>109</v>
      </c>
      <c r="E831" s="0" t="s">
        <v>110</v>
      </c>
      <c r="F831" s="0" t="s">
        <v>47</v>
      </c>
      <c r="G831" s="0" t="s">
        <v>97</v>
      </c>
      <c r="H831" s="0" t="s">
        <v>98</v>
      </c>
      <c r="I831" s="0" t="s">
        <v>80</v>
      </c>
      <c r="J831" s="0" t="s">
        <v>81</v>
      </c>
      <c r="K831" s="0" t="s">
        <v>56</v>
      </c>
      <c r="L831" s="0" t="s">
        <v>57</v>
      </c>
      <c r="M831" s="0" t="s">
        <v>50</v>
      </c>
      <c r="N831" s="0" t="n">
        <v>2363</v>
      </c>
      <c r="O831" s="0" t="n">
        <v>31</v>
      </c>
      <c r="P831" s="0" t="n">
        <v>27</v>
      </c>
      <c r="Q831" s="5" t="str">
        <f aca="false">IF($D831&lt;&gt;"","["&amp;$E831&amp;"]"&amp;"|"&amp;SUBSTITUTE(SUBSTITUTE($I831,CHAR(61),""),CHAR(34),"")&amp;"|"&amp;$K831&amp;"|"&amp;$G831&amp;"|"&amp;IF($G831="TX_CURR_SUBNAT.R","CY2020Q4",$M831),"")</f>
        <v>[wpg5evyl1OL]|45-49|Female|PLHIV.T_1|CY2021Q3</v>
      </c>
    </row>
    <row r="832" customFormat="false" ht="15" hidden="false" customHeight="false" outlineLevel="0" collapsed="false">
      <c r="D832" s="0" t="s">
        <v>109</v>
      </c>
      <c r="E832" s="0" t="s">
        <v>110</v>
      </c>
      <c r="F832" s="0" t="s">
        <v>47</v>
      </c>
      <c r="G832" s="0" t="s">
        <v>97</v>
      </c>
      <c r="H832" s="0" t="s">
        <v>98</v>
      </c>
      <c r="I832" s="0" t="s">
        <v>80</v>
      </c>
      <c r="J832" s="0" t="s">
        <v>81</v>
      </c>
      <c r="K832" s="0" t="s">
        <v>58</v>
      </c>
      <c r="L832" s="0" t="s">
        <v>59</v>
      </c>
      <c r="M832" s="0" t="s">
        <v>50</v>
      </c>
      <c r="N832" s="0" t="n">
        <v>2031</v>
      </c>
      <c r="O832" s="0" t="n">
        <v>3</v>
      </c>
      <c r="P832" s="0" t="n">
        <v>10</v>
      </c>
      <c r="Q832" s="5" t="str">
        <f aca="false">IF($D832&lt;&gt;"","["&amp;$E832&amp;"]"&amp;"|"&amp;SUBSTITUTE(SUBSTITUTE($I832,CHAR(61),""),CHAR(34),"")&amp;"|"&amp;$K832&amp;"|"&amp;$G832&amp;"|"&amp;IF($G832="TX_CURR_SUBNAT.R","CY2020Q4",$M832),"")</f>
        <v>[wpg5evyl1OL]|45-49|Male|PLHIV.T_1|CY2021Q3</v>
      </c>
    </row>
    <row r="833" customFormat="false" ht="15" hidden="false" customHeight="false" outlineLevel="0" collapsed="false">
      <c r="D833" s="0" t="s">
        <v>109</v>
      </c>
      <c r="E833" s="0" t="s">
        <v>110</v>
      </c>
      <c r="F833" s="0" t="s">
        <v>47</v>
      </c>
      <c r="G833" s="0" t="s">
        <v>97</v>
      </c>
      <c r="H833" s="0" t="s">
        <v>98</v>
      </c>
      <c r="I833" s="0" t="s">
        <v>83</v>
      </c>
      <c r="J833" s="0" t="s">
        <v>84</v>
      </c>
      <c r="K833" s="0" t="s">
        <v>56</v>
      </c>
      <c r="L833" s="0" t="s">
        <v>57</v>
      </c>
      <c r="M833" s="0" t="s">
        <v>50</v>
      </c>
      <c r="N833" s="0" t="n">
        <v>194</v>
      </c>
      <c r="O833" s="0" t="n">
        <v>12</v>
      </c>
      <c r="P833" s="0" t="n">
        <v>43</v>
      </c>
      <c r="Q833" s="5" t="str">
        <f aca="false">IF($D833&lt;&gt;"","["&amp;$E833&amp;"]"&amp;"|"&amp;SUBSTITUTE(SUBSTITUTE($I833,CHAR(61),""),CHAR(34),"")&amp;"|"&amp;$K833&amp;"|"&amp;$G833&amp;"|"&amp;IF($G833="TX_CURR_SUBNAT.R","CY2020Q4",$M833),"")</f>
        <v>[wpg5evyl1OL]|05-09|Female|PLHIV.T_1|CY2021Q3</v>
      </c>
    </row>
    <row r="834" customFormat="false" ht="15" hidden="false" customHeight="false" outlineLevel="0" collapsed="false">
      <c r="D834" s="0" t="s">
        <v>109</v>
      </c>
      <c r="E834" s="0" t="s">
        <v>110</v>
      </c>
      <c r="F834" s="0" t="s">
        <v>47</v>
      </c>
      <c r="G834" s="0" t="s">
        <v>97</v>
      </c>
      <c r="H834" s="0" t="s">
        <v>98</v>
      </c>
      <c r="I834" s="0" t="s">
        <v>83</v>
      </c>
      <c r="J834" s="0" t="s">
        <v>84</v>
      </c>
      <c r="K834" s="0" t="s">
        <v>58</v>
      </c>
      <c r="L834" s="0" t="s">
        <v>59</v>
      </c>
      <c r="M834" s="0" t="s">
        <v>50</v>
      </c>
      <c r="N834" s="0" t="n">
        <v>188</v>
      </c>
      <c r="O834" s="0" t="n">
        <v>1</v>
      </c>
      <c r="P834" s="0" t="n">
        <v>8</v>
      </c>
      <c r="Q834" s="5" t="str">
        <f aca="false">IF($D834&lt;&gt;"","["&amp;$E834&amp;"]"&amp;"|"&amp;SUBSTITUTE(SUBSTITUTE($I834,CHAR(61),""),CHAR(34),"")&amp;"|"&amp;$K834&amp;"|"&amp;$G834&amp;"|"&amp;IF($G834="TX_CURR_SUBNAT.R","CY2020Q4",$M834),"")</f>
        <v>[wpg5evyl1OL]|05-09|Male|PLHIV.T_1|CY2021Q3</v>
      </c>
    </row>
    <row r="835" customFormat="false" ht="15" hidden="false" customHeight="false" outlineLevel="0" collapsed="false">
      <c r="D835" s="0" t="s">
        <v>109</v>
      </c>
      <c r="E835" s="0" t="s">
        <v>110</v>
      </c>
      <c r="F835" s="0" t="s">
        <v>47</v>
      </c>
      <c r="G835" s="0" t="s">
        <v>97</v>
      </c>
      <c r="H835" s="0" t="s">
        <v>98</v>
      </c>
      <c r="I835" s="53" t="s">
        <v>86</v>
      </c>
      <c r="J835" s="0" t="s">
        <v>87</v>
      </c>
      <c r="K835" s="0" t="s">
        <v>56</v>
      </c>
      <c r="L835" s="0" t="s">
        <v>57</v>
      </c>
      <c r="M835" s="0" t="s">
        <v>50</v>
      </c>
      <c r="N835" s="0" t="n">
        <v>6500</v>
      </c>
      <c r="O835" s="0" t="n">
        <v>22</v>
      </c>
      <c r="P835" s="0" t="n">
        <v>1</v>
      </c>
      <c r="Q835" s="5" t="str">
        <f aca="false">IF($D835&lt;&gt;"","["&amp;$E835&amp;"]"&amp;"|"&amp;SUBSTITUTE(SUBSTITUTE($I835,CHAR(61),""),CHAR(34),"")&amp;"|"&amp;$K835&amp;"|"&amp;$G835&amp;"|"&amp;IF($G835="TX_CURR_SUBNAT.R","CY2020Q4",$M835),"")</f>
        <v>[wpg5evyl1OL]|50+|Female|PLHIV.T_1|CY2021Q3</v>
      </c>
    </row>
    <row r="836" customFormat="false" ht="15" hidden="false" customHeight="false" outlineLevel="0" collapsed="false">
      <c r="D836" s="0" t="s">
        <v>109</v>
      </c>
      <c r="E836" s="0" t="s">
        <v>110</v>
      </c>
      <c r="F836" s="0" t="s">
        <v>47</v>
      </c>
      <c r="G836" s="0" t="s">
        <v>97</v>
      </c>
      <c r="H836" s="0" t="s">
        <v>98</v>
      </c>
      <c r="I836" s="53" t="s">
        <v>86</v>
      </c>
      <c r="J836" s="0" t="s">
        <v>87</v>
      </c>
      <c r="K836" s="0" t="s">
        <v>58</v>
      </c>
      <c r="L836" s="0" t="s">
        <v>59</v>
      </c>
      <c r="M836" s="0" t="s">
        <v>50</v>
      </c>
      <c r="N836" s="0" t="n">
        <v>4847</v>
      </c>
      <c r="O836" s="0" t="n">
        <v>7</v>
      </c>
      <c r="P836" s="0" t="n">
        <v>13</v>
      </c>
      <c r="Q836" s="5" t="str">
        <f aca="false">IF($D836&lt;&gt;"","["&amp;$E836&amp;"]"&amp;"|"&amp;SUBSTITUTE(SUBSTITUTE($I836,CHAR(61),""),CHAR(34),"")&amp;"|"&amp;$K836&amp;"|"&amp;$G836&amp;"|"&amp;IF($G836="TX_CURR_SUBNAT.R","CY2020Q4",$M836),"")</f>
        <v>[wpg5evyl1OL]|50+|Male|PLHIV.T_1|CY2021Q3</v>
      </c>
    </row>
    <row r="837" customFormat="false" ht="15" hidden="false" customHeight="false" outlineLevel="0" collapsed="false">
      <c r="D837" s="0" t="s">
        <v>109</v>
      </c>
      <c r="E837" s="0" t="s">
        <v>110</v>
      </c>
      <c r="F837" s="0" t="s">
        <v>47</v>
      </c>
      <c r="G837" s="0" t="s">
        <v>97</v>
      </c>
      <c r="H837" s="0" t="s">
        <v>98</v>
      </c>
      <c r="I837" s="0" t="s">
        <v>89</v>
      </c>
      <c r="J837" s="0" t="s">
        <v>90</v>
      </c>
      <c r="K837" s="0" t="s">
        <v>56</v>
      </c>
      <c r="L837" s="0" t="s">
        <v>57</v>
      </c>
      <c r="M837" s="0" t="s">
        <v>50</v>
      </c>
      <c r="N837" s="0" t="n">
        <v>16</v>
      </c>
      <c r="O837" s="0" t="n">
        <v>26</v>
      </c>
      <c r="P837" s="0" t="n">
        <v>46</v>
      </c>
      <c r="Q837" s="5" t="str">
        <f aca="false">IF($D837&lt;&gt;"","["&amp;$E837&amp;"]"&amp;"|"&amp;SUBSTITUTE(SUBSTITUTE($I837,CHAR(61),""),CHAR(34),"")&amp;"|"&amp;$K837&amp;"|"&amp;$G837&amp;"|"&amp;IF($G837="TX_CURR_SUBNAT.R","CY2020Q4",$M837),"")</f>
        <v>[wpg5evyl1OL]|&lt;01|Female|PLHIV.T_1|CY2021Q3</v>
      </c>
    </row>
    <row r="838" customFormat="false" ht="15" hidden="false" customHeight="false" outlineLevel="0" collapsed="false">
      <c r="D838" s="0" t="s">
        <v>109</v>
      </c>
      <c r="E838" s="0" t="s">
        <v>110</v>
      </c>
      <c r="F838" s="0" t="s">
        <v>47</v>
      </c>
      <c r="G838" s="0" t="s">
        <v>97</v>
      </c>
      <c r="H838" s="0" t="s">
        <v>98</v>
      </c>
      <c r="I838" s="0" t="s">
        <v>89</v>
      </c>
      <c r="J838" s="0" t="s">
        <v>90</v>
      </c>
      <c r="K838" s="0" t="s">
        <v>58</v>
      </c>
      <c r="L838" s="0" t="s">
        <v>59</v>
      </c>
      <c r="M838" s="0" t="s">
        <v>50</v>
      </c>
      <c r="N838" s="0" t="n">
        <v>16</v>
      </c>
      <c r="O838" s="0" t="n">
        <v>37</v>
      </c>
      <c r="P838" s="0" t="n">
        <v>6</v>
      </c>
      <c r="Q838" s="5" t="str">
        <f aca="false">IF($D838&lt;&gt;"","["&amp;$E838&amp;"]"&amp;"|"&amp;SUBSTITUTE(SUBSTITUTE($I838,CHAR(61),""),CHAR(34),"")&amp;"|"&amp;$K838&amp;"|"&amp;$G838&amp;"|"&amp;IF($G838="TX_CURR_SUBNAT.R","CY2020Q4",$M838),"")</f>
        <v>[wpg5evyl1OL]|&lt;01|Male|PLHIV.T_1|CY2021Q3</v>
      </c>
    </row>
    <row r="839" customFormat="false" ht="15" hidden="false" customHeight="false" outlineLevel="0" collapsed="false">
      <c r="D839" s="0" t="s">
        <v>109</v>
      </c>
      <c r="E839" s="0" t="s">
        <v>110</v>
      </c>
      <c r="F839" s="0" t="s">
        <v>47</v>
      </c>
      <c r="G839" s="0" t="s">
        <v>99</v>
      </c>
      <c r="H839" s="0" t="s">
        <v>100</v>
      </c>
      <c r="I839" s="0" t="s">
        <v>54</v>
      </c>
      <c r="J839" s="0" t="s">
        <v>55</v>
      </c>
      <c r="K839" s="0" t="s">
        <v>56</v>
      </c>
      <c r="L839" s="0" t="s">
        <v>57</v>
      </c>
      <c r="M839" s="0" t="s">
        <v>50</v>
      </c>
      <c r="N839" s="0" t="n">
        <v>41</v>
      </c>
      <c r="O839" s="0" t="n">
        <v>29</v>
      </c>
      <c r="P839" s="0" t="n">
        <v>35</v>
      </c>
      <c r="Q839" s="5" t="str">
        <f aca="false">IF($D839&lt;&gt;"","["&amp;$E839&amp;"]"&amp;"|"&amp;SUBSTITUTE(SUBSTITUTE($I839,CHAR(61),""),CHAR(34),"")&amp;"|"&amp;$K839&amp;"|"&amp;$G839&amp;"|"&amp;IF($G839="TX_CURR_SUBNAT.R","CY2020Q4",$M839),"")</f>
        <v>[wpg5evyl1OL]|01-04|Female|TX_CURR_SUBNAT.T_1|CY2021Q3</v>
      </c>
    </row>
    <row r="840" customFormat="false" ht="15" hidden="false" customHeight="false" outlineLevel="0" collapsed="false">
      <c r="D840" s="0" t="s">
        <v>109</v>
      </c>
      <c r="E840" s="0" t="s">
        <v>110</v>
      </c>
      <c r="F840" s="0" t="s">
        <v>47</v>
      </c>
      <c r="G840" s="0" t="s">
        <v>99</v>
      </c>
      <c r="H840" s="0" t="s">
        <v>100</v>
      </c>
      <c r="I840" s="0" t="s">
        <v>54</v>
      </c>
      <c r="J840" s="0" t="s">
        <v>55</v>
      </c>
      <c r="K840" s="0" t="s">
        <v>58</v>
      </c>
      <c r="L840" s="0" t="s">
        <v>59</v>
      </c>
      <c r="M840" s="0" t="s">
        <v>50</v>
      </c>
      <c r="N840" s="0" t="n">
        <v>42</v>
      </c>
      <c r="O840" s="0" t="n">
        <v>19</v>
      </c>
      <c r="P840" s="0" t="n">
        <v>14</v>
      </c>
      <c r="Q840" s="5" t="str">
        <f aca="false">IF($D840&lt;&gt;"","["&amp;$E840&amp;"]"&amp;"|"&amp;SUBSTITUTE(SUBSTITUTE($I840,CHAR(61),""),CHAR(34),"")&amp;"|"&amp;$K840&amp;"|"&amp;$G840&amp;"|"&amp;IF($G840="TX_CURR_SUBNAT.R","CY2020Q4",$M840),"")</f>
        <v>[wpg5evyl1OL]|01-04|Male|TX_CURR_SUBNAT.T_1|CY2021Q3</v>
      </c>
    </row>
    <row r="841" customFormat="false" ht="15" hidden="false" customHeight="false" outlineLevel="0" collapsed="false">
      <c r="D841" s="0" t="s">
        <v>109</v>
      </c>
      <c r="E841" s="0" t="s">
        <v>110</v>
      </c>
      <c r="F841" s="0" t="s">
        <v>47</v>
      </c>
      <c r="G841" s="0" t="s">
        <v>99</v>
      </c>
      <c r="H841" s="0" t="s">
        <v>100</v>
      </c>
      <c r="I841" s="0" t="s">
        <v>61</v>
      </c>
      <c r="J841" s="0" t="s">
        <v>62</v>
      </c>
      <c r="K841" s="0" t="s">
        <v>56</v>
      </c>
      <c r="L841" s="0" t="s">
        <v>57</v>
      </c>
      <c r="M841" s="0" t="s">
        <v>50</v>
      </c>
      <c r="N841" s="0" t="n">
        <v>243</v>
      </c>
      <c r="O841" s="0" t="n">
        <v>18</v>
      </c>
      <c r="P841" s="0" t="n">
        <v>28</v>
      </c>
      <c r="Q841" s="5" t="str">
        <f aca="false">IF($D841&lt;&gt;"","["&amp;$E841&amp;"]"&amp;"|"&amp;SUBSTITUTE(SUBSTITUTE($I841,CHAR(61),""),CHAR(34),"")&amp;"|"&amp;$K841&amp;"|"&amp;$G841&amp;"|"&amp;IF($G841="TX_CURR_SUBNAT.R","CY2020Q4",$M841),"")</f>
        <v>[wpg5evyl1OL]|10-14|Female|TX_CURR_SUBNAT.T_1|CY2021Q3</v>
      </c>
    </row>
    <row r="842" customFormat="false" ht="15" hidden="false" customHeight="false" outlineLevel="0" collapsed="false">
      <c r="D842" s="0" t="s">
        <v>109</v>
      </c>
      <c r="E842" s="0" t="s">
        <v>110</v>
      </c>
      <c r="F842" s="0" t="s">
        <v>47</v>
      </c>
      <c r="G842" s="0" t="s">
        <v>99</v>
      </c>
      <c r="H842" s="0" t="s">
        <v>100</v>
      </c>
      <c r="I842" s="0" t="s">
        <v>61</v>
      </c>
      <c r="J842" s="0" t="s">
        <v>62</v>
      </c>
      <c r="K842" s="0" t="s">
        <v>58</v>
      </c>
      <c r="L842" s="0" t="s">
        <v>59</v>
      </c>
      <c r="M842" s="0" t="s">
        <v>50</v>
      </c>
      <c r="N842" s="0" t="n">
        <v>252</v>
      </c>
      <c r="O842" s="0" t="n">
        <v>35</v>
      </c>
      <c r="P842" s="0" t="n">
        <v>11</v>
      </c>
      <c r="Q842" s="5" t="str">
        <f aca="false">IF($D842&lt;&gt;"","["&amp;$E842&amp;"]"&amp;"|"&amp;SUBSTITUTE(SUBSTITUTE($I842,CHAR(61),""),CHAR(34),"")&amp;"|"&amp;$K842&amp;"|"&amp;$G842&amp;"|"&amp;IF($G842="TX_CURR_SUBNAT.R","CY2020Q4",$M842),"")</f>
        <v>[wpg5evyl1OL]|10-14|Male|TX_CURR_SUBNAT.T_1|CY2021Q3</v>
      </c>
    </row>
    <row r="843" customFormat="false" ht="15" hidden="false" customHeight="false" outlineLevel="0" collapsed="false">
      <c r="D843" s="0" t="s">
        <v>109</v>
      </c>
      <c r="E843" s="0" t="s">
        <v>110</v>
      </c>
      <c r="F843" s="0" t="s">
        <v>47</v>
      </c>
      <c r="G843" s="0" t="s">
        <v>99</v>
      </c>
      <c r="H843" s="0" t="s">
        <v>100</v>
      </c>
      <c r="I843" s="0" t="s">
        <v>63</v>
      </c>
      <c r="J843" s="0" t="s">
        <v>64</v>
      </c>
      <c r="K843" s="0" t="s">
        <v>56</v>
      </c>
      <c r="L843" s="0" t="s">
        <v>57</v>
      </c>
      <c r="M843" s="0" t="s">
        <v>50</v>
      </c>
      <c r="N843" s="0" t="n">
        <v>384</v>
      </c>
      <c r="O843" s="0" t="n">
        <v>33</v>
      </c>
      <c r="P843" s="0" t="n">
        <v>36</v>
      </c>
      <c r="Q843" s="5" t="str">
        <f aca="false">IF($D843&lt;&gt;"","["&amp;$E843&amp;"]"&amp;"|"&amp;SUBSTITUTE(SUBSTITUTE($I843,CHAR(61),""),CHAR(34),"")&amp;"|"&amp;$K843&amp;"|"&amp;$G843&amp;"|"&amp;IF($G843="TX_CURR_SUBNAT.R","CY2020Q4",$M843),"")</f>
        <v>[wpg5evyl1OL]|15-19|Female|TX_CURR_SUBNAT.T_1|CY2021Q3</v>
      </c>
    </row>
    <row r="844" customFormat="false" ht="15" hidden="false" customHeight="false" outlineLevel="0" collapsed="false">
      <c r="D844" s="0" t="s">
        <v>109</v>
      </c>
      <c r="E844" s="0" t="s">
        <v>110</v>
      </c>
      <c r="F844" s="0" t="s">
        <v>47</v>
      </c>
      <c r="G844" s="0" t="s">
        <v>99</v>
      </c>
      <c r="H844" s="0" t="s">
        <v>100</v>
      </c>
      <c r="I844" s="0" t="s">
        <v>63</v>
      </c>
      <c r="J844" s="0" t="s">
        <v>64</v>
      </c>
      <c r="K844" s="0" t="s">
        <v>58</v>
      </c>
      <c r="L844" s="0" t="s">
        <v>59</v>
      </c>
      <c r="M844" s="0" t="s">
        <v>50</v>
      </c>
      <c r="N844" s="0" t="n">
        <v>282</v>
      </c>
      <c r="O844" s="0" t="n">
        <v>11</v>
      </c>
      <c r="P844" s="0" t="n">
        <v>21</v>
      </c>
      <c r="Q844" s="5" t="str">
        <f aca="false">IF($D844&lt;&gt;"","["&amp;$E844&amp;"]"&amp;"|"&amp;SUBSTITUTE(SUBSTITUTE($I844,CHAR(61),""),CHAR(34),"")&amp;"|"&amp;$K844&amp;"|"&amp;$G844&amp;"|"&amp;IF($G844="TX_CURR_SUBNAT.R","CY2020Q4",$M844),"")</f>
        <v>[wpg5evyl1OL]|15-19|Male|TX_CURR_SUBNAT.T_1|CY2021Q3</v>
      </c>
    </row>
    <row r="845" customFormat="false" ht="15" hidden="false" customHeight="false" outlineLevel="0" collapsed="false">
      <c r="D845" s="0" t="s">
        <v>109</v>
      </c>
      <c r="E845" s="0" t="s">
        <v>110</v>
      </c>
      <c r="F845" s="0" t="s">
        <v>47</v>
      </c>
      <c r="G845" s="0" t="s">
        <v>99</v>
      </c>
      <c r="H845" s="0" t="s">
        <v>100</v>
      </c>
      <c r="I845" s="0" t="s">
        <v>66</v>
      </c>
      <c r="J845" s="0" t="s">
        <v>67</v>
      </c>
      <c r="K845" s="0" t="s">
        <v>56</v>
      </c>
      <c r="L845" s="0" t="s">
        <v>57</v>
      </c>
      <c r="M845" s="0" t="s">
        <v>50</v>
      </c>
      <c r="N845" s="0" t="n">
        <v>959</v>
      </c>
      <c r="O845" s="0" t="n">
        <v>59</v>
      </c>
      <c r="P845" s="0" t="n">
        <v>41</v>
      </c>
      <c r="Q845" s="5" t="str">
        <f aca="false">IF($D845&lt;&gt;"","["&amp;$E845&amp;"]"&amp;"|"&amp;SUBSTITUTE(SUBSTITUTE($I845,CHAR(61),""),CHAR(34),"")&amp;"|"&amp;$K845&amp;"|"&amp;$G845&amp;"|"&amp;IF($G845="TX_CURR_SUBNAT.R","CY2020Q4",$M845),"")</f>
        <v>[wpg5evyl1OL]|20-24|Female|TX_CURR_SUBNAT.T_1|CY2021Q3</v>
      </c>
    </row>
    <row r="846" customFormat="false" ht="15" hidden="false" customHeight="false" outlineLevel="0" collapsed="false">
      <c r="D846" s="0" t="s">
        <v>109</v>
      </c>
      <c r="E846" s="0" t="s">
        <v>110</v>
      </c>
      <c r="F846" s="0" t="s">
        <v>47</v>
      </c>
      <c r="G846" s="0" t="s">
        <v>99</v>
      </c>
      <c r="H846" s="0" t="s">
        <v>100</v>
      </c>
      <c r="I846" s="0" t="s">
        <v>66</v>
      </c>
      <c r="J846" s="0" t="s">
        <v>67</v>
      </c>
      <c r="K846" s="0" t="s">
        <v>58</v>
      </c>
      <c r="L846" s="0" t="s">
        <v>59</v>
      </c>
      <c r="M846" s="0" t="s">
        <v>50</v>
      </c>
      <c r="N846" s="0" t="n">
        <v>328</v>
      </c>
      <c r="O846" s="0" t="n">
        <v>24</v>
      </c>
      <c r="P846" s="0" t="n">
        <v>8</v>
      </c>
      <c r="Q846" s="5" t="str">
        <f aca="false">IF($D846&lt;&gt;"","["&amp;$E846&amp;"]"&amp;"|"&amp;SUBSTITUTE(SUBSTITUTE($I846,CHAR(61),""),CHAR(34),"")&amp;"|"&amp;$K846&amp;"|"&amp;$G846&amp;"|"&amp;IF($G846="TX_CURR_SUBNAT.R","CY2020Q4",$M846),"")</f>
        <v>[wpg5evyl1OL]|20-24|Male|TX_CURR_SUBNAT.T_1|CY2021Q3</v>
      </c>
    </row>
    <row r="847" customFormat="false" ht="15" hidden="false" customHeight="false" outlineLevel="0" collapsed="false">
      <c r="D847" s="0" t="s">
        <v>109</v>
      </c>
      <c r="E847" s="0" t="s">
        <v>110</v>
      </c>
      <c r="F847" s="0" t="s">
        <v>47</v>
      </c>
      <c r="G847" s="0" t="s">
        <v>99</v>
      </c>
      <c r="H847" s="0" t="s">
        <v>100</v>
      </c>
      <c r="I847" s="0" t="s">
        <v>69</v>
      </c>
      <c r="J847" s="0" t="s">
        <v>70</v>
      </c>
      <c r="K847" s="0" t="s">
        <v>56</v>
      </c>
      <c r="L847" s="0" t="s">
        <v>57</v>
      </c>
      <c r="M847" s="0" t="s">
        <v>50</v>
      </c>
      <c r="N847" s="0" t="n">
        <v>1847</v>
      </c>
      <c r="O847" s="0" t="n">
        <v>57</v>
      </c>
      <c r="P847" s="0" t="n">
        <v>32</v>
      </c>
      <c r="Q847" s="5" t="str">
        <f aca="false">IF($D847&lt;&gt;"","["&amp;$E847&amp;"]"&amp;"|"&amp;SUBSTITUTE(SUBSTITUTE($I847,CHAR(61),""),CHAR(34),"")&amp;"|"&amp;$K847&amp;"|"&amp;$G847&amp;"|"&amp;IF($G847="TX_CURR_SUBNAT.R","CY2020Q4",$M847),"")</f>
        <v>[wpg5evyl1OL]|25-29|Female|TX_CURR_SUBNAT.T_1|CY2021Q3</v>
      </c>
    </row>
    <row r="848" customFormat="false" ht="15" hidden="false" customHeight="false" outlineLevel="0" collapsed="false">
      <c r="D848" s="0" t="s">
        <v>109</v>
      </c>
      <c r="E848" s="0" t="s">
        <v>110</v>
      </c>
      <c r="F848" s="0" t="s">
        <v>47</v>
      </c>
      <c r="G848" s="0" t="s">
        <v>99</v>
      </c>
      <c r="H848" s="0" t="s">
        <v>100</v>
      </c>
      <c r="I848" s="0" t="s">
        <v>69</v>
      </c>
      <c r="J848" s="0" t="s">
        <v>70</v>
      </c>
      <c r="K848" s="0" t="s">
        <v>58</v>
      </c>
      <c r="L848" s="0" t="s">
        <v>59</v>
      </c>
      <c r="M848" s="0" t="s">
        <v>50</v>
      </c>
      <c r="N848" s="0" t="n">
        <v>652</v>
      </c>
      <c r="O848" s="0" t="n">
        <v>38</v>
      </c>
      <c r="P848" s="0" t="n">
        <v>45</v>
      </c>
      <c r="Q848" s="5" t="str">
        <f aca="false">IF($D848&lt;&gt;"","["&amp;$E848&amp;"]"&amp;"|"&amp;SUBSTITUTE(SUBSTITUTE($I848,CHAR(61),""),CHAR(34),"")&amp;"|"&amp;$K848&amp;"|"&amp;$G848&amp;"|"&amp;IF($G848="TX_CURR_SUBNAT.R","CY2020Q4",$M848),"")</f>
        <v>[wpg5evyl1OL]|25-29|Male|TX_CURR_SUBNAT.T_1|CY2021Q3</v>
      </c>
    </row>
    <row r="849" customFormat="false" ht="15" hidden="false" customHeight="false" outlineLevel="0" collapsed="false">
      <c r="D849" s="0" t="s">
        <v>109</v>
      </c>
      <c r="E849" s="0" t="s">
        <v>110</v>
      </c>
      <c r="F849" s="0" t="s">
        <v>47</v>
      </c>
      <c r="G849" s="0" t="s">
        <v>99</v>
      </c>
      <c r="H849" s="0" t="s">
        <v>100</v>
      </c>
      <c r="I849" s="0" t="s">
        <v>72</v>
      </c>
      <c r="J849" s="0" t="s">
        <v>73</v>
      </c>
      <c r="K849" s="0" t="s">
        <v>56</v>
      </c>
      <c r="L849" s="0" t="s">
        <v>57</v>
      </c>
      <c r="M849" s="0" t="s">
        <v>50</v>
      </c>
      <c r="N849" s="0" t="n">
        <v>2548</v>
      </c>
      <c r="O849" s="0" t="n">
        <v>45</v>
      </c>
      <c r="P849" s="0" t="n">
        <v>2</v>
      </c>
      <c r="Q849" s="5" t="str">
        <f aca="false">IF($D849&lt;&gt;"","["&amp;$E849&amp;"]"&amp;"|"&amp;SUBSTITUTE(SUBSTITUTE($I849,CHAR(61),""),CHAR(34),"")&amp;"|"&amp;$K849&amp;"|"&amp;$G849&amp;"|"&amp;IF($G849="TX_CURR_SUBNAT.R","CY2020Q4",$M849),"")</f>
        <v>[wpg5evyl1OL]|30-34|Female|TX_CURR_SUBNAT.T_1|CY2021Q3</v>
      </c>
    </row>
    <row r="850" customFormat="false" ht="15" hidden="false" customHeight="false" outlineLevel="0" collapsed="false">
      <c r="D850" s="0" t="s">
        <v>109</v>
      </c>
      <c r="E850" s="0" t="s">
        <v>110</v>
      </c>
      <c r="F850" s="0" t="s">
        <v>47</v>
      </c>
      <c r="G850" s="0" t="s">
        <v>99</v>
      </c>
      <c r="H850" s="0" t="s">
        <v>100</v>
      </c>
      <c r="I850" s="0" t="s">
        <v>72</v>
      </c>
      <c r="J850" s="0" t="s">
        <v>73</v>
      </c>
      <c r="K850" s="0" t="s">
        <v>58</v>
      </c>
      <c r="L850" s="0" t="s">
        <v>59</v>
      </c>
      <c r="M850" s="0" t="s">
        <v>50</v>
      </c>
      <c r="N850" s="0" t="n">
        <v>1191</v>
      </c>
      <c r="O850" s="0" t="n">
        <v>41</v>
      </c>
      <c r="P850" s="0" t="n">
        <v>1</v>
      </c>
      <c r="Q850" s="5" t="str">
        <f aca="false">IF($D850&lt;&gt;"","["&amp;$E850&amp;"]"&amp;"|"&amp;SUBSTITUTE(SUBSTITUTE($I850,CHAR(61),""),CHAR(34),"")&amp;"|"&amp;$K850&amp;"|"&amp;$G850&amp;"|"&amp;IF($G850="TX_CURR_SUBNAT.R","CY2020Q4",$M850),"")</f>
        <v>[wpg5evyl1OL]|30-34|Male|TX_CURR_SUBNAT.T_1|CY2021Q3</v>
      </c>
    </row>
    <row r="851" customFormat="false" ht="15" hidden="false" customHeight="false" outlineLevel="0" collapsed="false">
      <c r="D851" s="0" t="s">
        <v>109</v>
      </c>
      <c r="E851" s="0" t="s">
        <v>110</v>
      </c>
      <c r="F851" s="0" t="s">
        <v>47</v>
      </c>
      <c r="G851" s="0" t="s">
        <v>99</v>
      </c>
      <c r="H851" s="0" t="s">
        <v>100</v>
      </c>
      <c r="I851" s="0" t="s">
        <v>75</v>
      </c>
      <c r="J851" s="0" t="s">
        <v>76</v>
      </c>
      <c r="K851" s="0" t="s">
        <v>56</v>
      </c>
      <c r="L851" s="0" t="s">
        <v>57</v>
      </c>
      <c r="M851" s="0" t="s">
        <v>50</v>
      </c>
      <c r="N851" s="0" t="n">
        <v>2972</v>
      </c>
      <c r="O851" s="0" t="n">
        <v>58</v>
      </c>
      <c r="P851" s="0" t="n">
        <v>32</v>
      </c>
      <c r="Q851" s="5" t="str">
        <f aca="false">IF($D851&lt;&gt;"","["&amp;$E851&amp;"]"&amp;"|"&amp;SUBSTITUTE(SUBSTITUTE($I851,CHAR(61),""),CHAR(34),"")&amp;"|"&amp;$K851&amp;"|"&amp;$G851&amp;"|"&amp;IF($G851="TX_CURR_SUBNAT.R","CY2020Q4",$M851),"")</f>
        <v>[wpg5evyl1OL]|35-39|Female|TX_CURR_SUBNAT.T_1|CY2021Q3</v>
      </c>
    </row>
    <row r="852" customFormat="false" ht="15" hidden="false" customHeight="false" outlineLevel="0" collapsed="false">
      <c r="D852" s="0" t="s">
        <v>109</v>
      </c>
      <c r="E852" s="0" t="s">
        <v>110</v>
      </c>
      <c r="F852" s="0" t="s">
        <v>47</v>
      </c>
      <c r="G852" s="0" t="s">
        <v>99</v>
      </c>
      <c r="H852" s="0" t="s">
        <v>100</v>
      </c>
      <c r="I852" s="0" t="s">
        <v>75</v>
      </c>
      <c r="J852" s="0" t="s">
        <v>76</v>
      </c>
      <c r="K852" s="0" t="s">
        <v>58</v>
      </c>
      <c r="L852" s="0" t="s">
        <v>59</v>
      </c>
      <c r="M852" s="0" t="s">
        <v>50</v>
      </c>
      <c r="N852" s="0" t="n">
        <v>1754</v>
      </c>
      <c r="O852" s="0" t="n">
        <v>6</v>
      </c>
      <c r="P852" s="0" t="n">
        <v>20</v>
      </c>
      <c r="Q852" s="5" t="str">
        <f aca="false">IF($D852&lt;&gt;"","["&amp;$E852&amp;"]"&amp;"|"&amp;SUBSTITUTE(SUBSTITUTE($I852,CHAR(61),""),CHAR(34),"")&amp;"|"&amp;$K852&amp;"|"&amp;$G852&amp;"|"&amp;IF($G852="TX_CURR_SUBNAT.R","CY2020Q4",$M852),"")</f>
        <v>[wpg5evyl1OL]|35-39|Male|TX_CURR_SUBNAT.T_1|CY2021Q3</v>
      </c>
    </row>
    <row r="853" customFormat="false" ht="15" hidden="false" customHeight="false" outlineLevel="0" collapsed="false">
      <c r="D853" s="0" t="s">
        <v>109</v>
      </c>
      <c r="E853" s="0" t="s">
        <v>110</v>
      </c>
      <c r="F853" s="0" t="s">
        <v>47</v>
      </c>
      <c r="G853" s="0" t="s">
        <v>99</v>
      </c>
      <c r="H853" s="0" t="s">
        <v>100</v>
      </c>
      <c r="I853" s="0" t="s">
        <v>77</v>
      </c>
      <c r="J853" s="0" t="s">
        <v>78</v>
      </c>
      <c r="K853" s="0" t="s">
        <v>56</v>
      </c>
      <c r="L853" s="0" t="s">
        <v>57</v>
      </c>
      <c r="M853" s="0" t="s">
        <v>50</v>
      </c>
      <c r="N853" s="0" t="n">
        <v>2898</v>
      </c>
      <c r="O853" s="0" t="n">
        <v>38</v>
      </c>
      <c r="P853" s="0" t="n">
        <v>32</v>
      </c>
      <c r="Q853" s="5" t="str">
        <f aca="false">IF($D853&lt;&gt;"","["&amp;$E853&amp;"]"&amp;"|"&amp;SUBSTITUTE(SUBSTITUTE($I853,CHAR(61),""),CHAR(34),"")&amp;"|"&amp;$K853&amp;"|"&amp;$G853&amp;"|"&amp;IF($G853="TX_CURR_SUBNAT.R","CY2020Q4",$M853),"")</f>
        <v>[wpg5evyl1OL]|40-44|Female|TX_CURR_SUBNAT.T_1|CY2021Q3</v>
      </c>
    </row>
    <row r="854" customFormat="false" ht="15" hidden="false" customHeight="false" outlineLevel="0" collapsed="false">
      <c r="D854" s="0" t="s">
        <v>109</v>
      </c>
      <c r="E854" s="0" t="s">
        <v>110</v>
      </c>
      <c r="F854" s="0" t="s">
        <v>47</v>
      </c>
      <c r="G854" s="0" t="s">
        <v>99</v>
      </c>
      <c r="H854" s="0" t="s">
        <v>100</v>
      </c>
      <c r="I854" s="0" t="s">
        <v>77</v>
      </c>
      <c r="J854" s="0" t="s">
        <v>78</v>
      </c>
      <c r="K854" s="0" t="s">
        <v>58</v>
      </c>
      <c r="L854" s="0" t="s">
        <v>59</v>
      </c>
      <c r="M854" s="0" t="s">
        <v>50</v>
      </c>
      <c r="N854" s="0" t="n">
        <v>1880</v>
      </c>
      <c r="O854" s="0" t="n">
        <v>55</v>
      </c>
      <c r="P854" s="0" t="n">
        <v>30</v>
      </c>
      <c r="Q854" s="5" t="str">
        <f aca="false">IF($D854&lt;&gt;"","["&amp;$E854&amp;"]"&amp;"|"&amp;SUBSTITUTE(SUBSTITUTE($I854,CHAR(61),""),CHAR(34),"")&amp;"|"&amp;$K854&amp;"|"&amp;$G854&amp;"|"&amp;IF($G854="TX_CURR_SUBNAT.R","CY2020Q4",$M854),"")</f>
        <v>[wpg5evyl1OL]|40-44|Male|TX_CURR_SUBNAT.T_1|CY2021Q3</v>
      </c>
    </row>
    <row r="855" customFormat="false" ht="15" hidden="false" customHeight="false" outlineLevel="0" collapsed="false">
      <c r="D855" s="0" t="s">
        <v>109</v>
      </c>
      <c r="E855" s="0" t="s">
        <v>110</v>
      </c>
      <c r="F855" s="0" t="s">
        <v>47</v>
      </c>
      <c r="G855" s="0" t="s">
        <v>99</v>
      </c>
      <c r="H855" s="0" t="s">
        <v>100</v>
      </c>
      <c r="I855" s="0" t="s">
        <v>80</v>
      </c>
      <c r="J855" s="0" t="s">
        <v>81</v>
      </c>
      <c r="K855" s="0" t="s">
        <v>56</v>
      </c>
      <c r="L855" s="0" t="s">
        <v>57</v>
      </c>
      <c r="M855" s="0" t="s">
        <v>50</v>
      </c>
      <c r="N855" s="0" t="n">
        <v>2251</v>
      </c>
      <c r="O855" s="0" t="n">
        <v>5</v>
      </c>
      <c r="P855" s="0" t="n">
        <v>35</v>
      </c>
      <c r="Q855" s="5" t="str">
        <f aca="false">IF($D855&lt;&gt;"","["&amp;$E855&amp;"]"&amp;"|"&amp;SUBSTITUTE(SUBSTITUTE($I855,CHAR(61),""),CHAR(34),"")&amp;"|"&amp;$K855&amp;"|"&amp;$G855&amp;"|"&amp;IF($G855="TX_CURR_SUBNAT.R","CY2020Q4",$M855),"")</f>
        <v>[wpg5evyl1OL]|45-49|Female|TX_CURR_SUBNAT.T_1|CY2021Q3</v>
      </c>
    </row>
    <row r="856" customFormat="false" ht="15" hidden="false" customHeight="false" outlineLevel="0" collapsed="false">
      <c r="D856" s="0" t="s">
        <v>109</v>
      </c>
      <c r="E856" s="0" t="s">
        <v>110</v>
      </c>
      <c r="F856" s="0" t="s">
        <v>47</v>
      </c>
      <c r="G856" s="0" t="s">
        <v>99</v>
      </c>
      <c r="H856" s="0" t="s">
        <v>100</v>
      </c>
      <c r="I856" s="0" t="s">
        <v>80</v>
      </c>
      <c r="J856" s="0" t="s">
        <v>81</v>
      </c>
      <c r="K856" s="0" t="s">
        <v>58</v>
      </c>
      <c r="L856" s="0" t="s">
        <v>59</v>
      </c>
      <c r="M856" s="0" t="s">
        <v>50</v>
      </c>
      <c r="N856" s="0" t="n">
        <v>1600</v>
      </c>
      <c r="O856" s="0" t="n">
        <v>14</v>
      </c>
      <c r="P856" s="0" t="n">
        <v>35</v>
      </c>
      <c r="Q856" s="5" t="str">
        <f aca="false">IF($D856&lt;&gt;"","["&amp;$E856&amp;"]"&amp;"|"&amp;SUBSTITUTE(SUBSTITUTE($I856,CHAR(61),""),CHAR(34),"")&amp;"|"&amp;$K856&amp;"|"&amp;$G856&amp;"|"&amp;IF($G856="TX_CURR_SUBNAT.R","CY2020Q4",$M856),"")</f>
        <v>[wpg5evyl1OL]|45-49|Male|TX_CURR_SUBNAT.T_1|CY2021Q3</v>
      </c>
    </row>
    <row r="857" customFormat="false" ht="15" hidden="false" customHeight="false" outlineLevel="0" collapsed="false">
      <c r="D857" s="0" t="s">
        <v>109</v>
      </c>
      <c r="E857" s="0" t="s">
        <v>110</v>
      </c>
      <c r="F857" s="0" t="s">
        <v>47</v>
      </c>
      <c r="G857" s="0" t="s">
        <v>99</v>
      </c>
      <c r="H857" s="0" t="s">
        <v>100</v>
      </c>
      <c r="I857" s="0" t="s">
        <v>83</v>
      </c>
      <c r="J857" s="0" t="s">
        <v>84</v>
      </c>
      <c r="K857" s="0" t="s">
        <v>56</v>
      </c>
      <c r="L857" s="0" t="s">
        <v>57</v>
      </c>
      <c r="M857" s="0" t="s">
        <v>50</v>
      </c>
      <c r="N857" s="0" t="n">
        <v>122</v>
      </c>
      <c r="O857" s="0" t="n">
        <v>33</v>
      </c>
      <c r="P857" s="0" t="n">
        <v>2</v>
      </c>
      <c r="Q857" s="5" t="str">
        <f aca="false">IF($D857&lt;&gt;"","["&amp;$E857&amp;"]"&amp;"|"&amp;SUBSTITUTE(SUBSTITUTE($I857,CHAR(61),""),CHAR(34),"")&amp;"|"&amp;$K857&amp;"|"&amp;$G857&amp;"|"&amp;IF($G857="TX_CURR_SUBNAT.R","CY2020Q4",$M857),"")</f>
        <v>[wpg5evyl1OL]|05-09|Female|TX_CURR_SUBNAT.T_1|CY2021Q3</v>
      </c>
    </row>
    <row r="858" customFormat="false" ht="15" hidden="false" customHeight="false" outlineLevel="0" collapsed="false">
      <c r="D858" s="0" t="s">
        <v>109</v>
      </c>
      <c r="E858" s="0" t="s">
        <v>110</v>
      </c>
      <c r="F858" s="0" t="s">
        <v>47</v>
      </c>
      <c r="G858" s="0" t="s">
        <v>99</v>
      </c>
      <c r="H858" s="0" t="s">
        <v>100</v>
      </c>
      <c r="I858" s="0" t="s">
        <v>83</v>
      </c>
      <c r="J858" s="0" t="s">
        <v>84</v>
      </c>
      <c r="K858" s="0" t="s">
        <v>58</v>
      </c>
      <c r="L858" s="0" t="s">
        <v>59</v>
      </c>
      <c r="M858" s="0" t="s">
        <v>50</v>
      </c>
      <c r="N858" s="0" t="n">
        <v>124</v>
      </c>
      <c r="O858" s="0" t="n">
        <v>49</v>
      </c>
      <c r="P858" s="0" t="n">
        <v>42</v>
      </c>
      <c r="Q858" s="5" t="str">
        <f aca="false">IF($D858&lt;&gt;"","["&amp;$E858&amp;"]"&amp;"|"&amp;SUBSTITUTE(SUBSTITUTE($I858,CHAR(61),""),CHAR(34),"")&amp;"|"&amp;$K858&amp;"|"&amp;$G858&amp;"|"&amp;IF($G858="TX_CURR_SUBNAT.R","CY2020Q4",$M858),"")</f>
        <v>[wpg5evyl1OL]|05-09|Male|TX_CURR_SUBNAT.T_1|CY2021Q3</v>
      </c>
    </row>
    <row r="859" customFormat="false" ht="15" hidden="false" customHeight="false" outlineLevel="0" collapsed="false">
      <c r="D859" s="0" t="s">
        <v>109</v>
      </c>
      <c r="E859" s="0" t="s">
        <v>110</v>
      </c>
      <c r="F859" s="0" t="s">
        <v>47</v>
      </c>
      <c r="G859" s="0" t="s">
        <v>99</v>
      </c>
      <c r="H859" s="0" t="s">
        <v>100</v>
      </c>
      <c r="I859" s="53" t="s">
        <v>86</v>
      </c>
      <c r="J859" s="0" t="s">
        <v>87</v>
      </c>
      <c r="K859" s="0" t="s">
        <v>56</v>
      </c>
      <c r="L859" s="0" t="s">
        <v>57</v>
      </c>
      <c r="M859" s="0" t="s">
        <v>50</v>
      </c>
      <c r="N859" s="0" t="n">
        <v>4756</v>
      </c>
      <c r="O859" s="0" t="n">
        <v>56</v>
      </c>
      <c r="P859" s="0" t="n">
        <v>34</v>
      </c>
      <c r="Q859" s="5" t="str">
        <f aca="false">IF($D859&lt;&gt;"","["&amp;$E859&amp;"]"&amp;"|"&amp;SUBSTITUTE(SUBSTITUTE($I859,CHAR(61),""),CHAR(34),"")&amp;"|"&amp;$K859&amp;"|"&amp;$G859&amp;"|"&amp;IF($G859="TX_CURR_SUBNAT.R","CY2020Q4",$M859),"")</f>
        <v>[wpg5evyl1OL]|50+|Female|TX_CURR_SUBNAT.T_1|CY2021Q3</v>
      </c>
    </row>
    <row r="860" customFormat="false" ht="15" hidden="false" customHeight="false" outlineLevel="0" collapsed="false">
      <c r="D860" s="0" t="s">
        <v>109</v>
      </c>
      <c r="E860" s="0" t="s">
        <v>110</v>
      </c>
      <c r="F860" s="0" t="s">
        <v>47</v>
      </c>
      <c r="G860" s="0" t="s">
        <v>99</v>
      </c>
      <c r="H860" s="0" t="s">
        <v>100</v>
      </c>
      <c r="I860" s="53" t="s">
        <v>86</v>
      </c>
      <c r="J860" s="0" t="s">
        <v>87</v>
      </c>
      <c r="K860" s="0" t="s">
        <v>58</v>
      </c>
      <c r="L860" s="0" t="s">
        <v>59</v>
      </c>
      <c r="M860" s="0" t="s">
        <v>50</v>
      </c>
      <c r="N860" s="0" t="n">
        <v>3354</v>
      </c>
      <c r="O860" s="0" t="n">
        <v>29</v>
      </c>
      <c r="P860" s="0" t="n">
        <v>44</v>
      </c>
      <c r="Q860" s="5" t="str">
        <f aca="false">IF($D860&lt;&gt;"","["&amp;$E860&amp;"]"&amp;"|"&amp;SUBSTITUTE(SUBSTITUTE($I860,CHAR(61),""),CHAR(34),"")&amp;"|"&amp;$K860&amp;"|"&amp;$G860&amp;"|"&amp;IF($G860="TX_CURR_SUBNAT.R","CY2020Q4",$M860),"")</f>
        <v>[wpg5evyl1OL]|50+|Male|TX_CURR_SUBNAT.T_1|CY2021Q3</v>
      </c>
    </row>
    <row r="861" customFormat="false" ht="15" hidden="false" customHeight="false" outlineLevel="0" collapsed="false">
      <c r="D861" s="0" t="s">
        <v>109</v>
      </c>
      <c r="E861" s="0" t="s">
        <v>110</v>
      </c>
      <c r="F861" s="0" t="s">
        <v>47</v>
      </c>
      <c r="G861" s="0" t="s">
        <v>99</v>
      </c>
      <c r="H861" s="0" t="s">
        <v>100</v>
      </c>
      <c r="I861" s="0" t="s">
        <v>89</v>
      </c>
      <c r="J861" s="0" t="s">
        <v>90</v>
      </c>
      <c r="K861" s="0" t="s">
        <v>56</v>
      </c>
      <c r="L861" s="0" t="s">
        <v>57</v>
      </c>
      <c r="M861" s="0" t="s">
        <v>50</v>
      </c>
      <c r="N861" s="0" t="n">
        <v>8</v>
      </c>
      <c r="O861" s="0" t="n">
        <v>30</v>
      </c>
      <c r="P861" s="0" t="n">
        <v>17</v>
      </c>
      <c r="Q861" s="5" t="str">
        <f aca="false">IF($D861&lt;&gt;"","["&amp;$E861&amp;"]"&amp;"|"&amp;SUBSTITUTE(SUBSTITUTE($I861,CHAR(61),""),CHAR(34),"")&amp;"|"&amp;$K861&amp;"|"&amp;$G861&amp;"|"&amp;IF($G861="TX_CURR_SUBNAT.R","CY2020Q4",$M861),"")</f>
        <v>[wpg5evyl1OL]|&lt;01|Female|TX_CURR_SUBNAT.T_1|CY2021Q3</v>
      </c>
    </row>
    <row r="862" customFormat="false" ht="15" hidden="false" customHeight="false" outlineLevel="0" collapsed="false">
      <c r="D862" s="0" t="s">
        <v>109</v>
      </c>
      <c r="E862" s="0" t="s">
        <v>110</v>
      </c>
      <c r="F862" s="0" t="s">
        <v>47</v>
      </c>
      <c r="G862" s="0" t="s">
        <v>99</v>
      </c>
      <c r="H862" s="0" t="s">
        <v>100</v>
      </c>
      <c r="I862" s="0" t="s">
        <v>89</v>
      </c>
      <c r="J862" s="0" t="s">
        <v>90</v>
      </c>
      <c r="K862" s="0" t="s">
        <v>58</v>
      </c>
      <c r="L862" s="0" t="s">
        <v>59</v>
      </c>
      <c r="M862" s="0" t="s">
        <v>50</v>
      </c>
      <c r="N862" s="0" t="n">
        <v>8</v>
      </c>
      <c r="O862" s="0" t="n">
        <v>26</v>
      </c>
      <c r="P862" s="0" t="n">
        <v>14</v>
      </c>
      <c r="Q862" s="5" t="str">
        <f aca="false">IF($D862&lt;&gt;"","["&amp;$E862&amp;"]"&amp;"|"&amp;SUBSTITUTE(SUBSTITUTE($I862,CHAR(61),""),CHAR(34),"")&amp;"|"&amp;$K862&amp;"|"&amp;$G862&amp;"|"&amp;IF($G862="TX_CURR_SUBNAT.R","CY2020Q4",$M862),"")</f>
        <v>[wpg5evyl1OL]|&lt;01|Male|TX_CURR_SUBNAT.T_1|CY2021Q3</v>
      </c>
    </row>
    <row r="863" customFormat="false" ht="15" hidden="false" customHeight="false" outlineLevel="0" collapsed="false">
      <c r="D863" s="0" t="s">
        <v>111</v>
      </c>
      <c r="E863" s="0" t="s">
        <v>112</v>
      </c>
      <c r="F863" s="0" t="s">
        <v>47</v>
      </c>
      <c r="G863" s="0" t="s">
        <v>52</v>
      </c>
      <c r="H863" s="0" t="s">
        <v>53</v>
      </c>
      <c r="I863" s="0" t="s">
        <v>54</v>
      </c>
      <c r="J863" s="0" t="s">
        <v>55</v>
      </c>
      <c r="K863" s="0" t="s">
        <v>56</v>
      </c>
      <c r="L863" s="0" t="s">
        <v>57</v>
      </c>
      <c r="M863" s="0" t="s">
        <v>50</v>
      </c>
      <c r="N863" s="0" t="n">
        <v>3137</v>
      </c>
      <c r="O863" s="0" t="n">
        <v>48</v>
      </c>
      <c r="P863" s="0" t="n">
        <v>2</v>
      </c>
      <c r="Q863" s="5" t="str">
        <f aca="false">IF($D863&lt;&gt;"","["&amp;$E863&amp;"]"&amp;"|"&amp;SUBSTITUTE(SUBSTITUTE($I863,CHAR(61),""),CHAR(34),"")&amp;"|"&amp;$K863&amp;"|"&amp;$G863&amp;"|"&amp;IF($G863="TX_CURR_SUBNAT.R","CY2020Q4",$M863),"")</f>
        <v>[zTaMbxvQtJ6]|01-04|Female|POP_EST.T_1|CY2021Q3</v>
      </c>
    </row>
    <row r="864" customFormat="false" ht="15" hidden="false" customHeight="false" outlineLevel="0" collapsed="false">
      <c r="D864" s="0" t="s">
        <v>111</v>
      </c>
      <c r="E864" s="0" t="s">
        <v>112</v>
      </c>
      <c r="F864" s="0" t="s">
        <v>47</v>
      </c>
      <c r="G864" s="0" t="s">
        <v>52</v>
      </c>
      <c r="H864" s="0" t="s">
        <v>53</v>
      </c>
      <c r="I864" s="0" t="s">
        <v>54</v>
      </c>
      <c r="J864" s="0" t="s">
        <v>55</v>
      </c>
      <c r="K864" s="0" t="s">
        <v>58</v>
      </c>
      <c r="L864" s="0" t="s">
        <v>59</v>
      </c>
      <c r="M864" s="0" t="s">
        <v>50</v>
      </c>
      <c r="N864" s="0" t="n">
        <v>3154</v>
      </c>
      <c r="O864" s="0" t="n">
        <v>59</v>
      </c>
      <c r="P864" s="0" t="n">
        <v>26</v>
      </c>
      <c r="Q864" s="5" t="str">
        <f aca="false">IF($D864&lt;&gt;"","["&amp;$E864&amp;"]"&amp;"|"&amp;SUBSTITUTE(SUBSTITUTE($I864,CHAR(61),""),CHAR(34),"")&amp;"|"&amp;$K864&amp;"|"&amp;$G864&amp;"|"&amp;IF($G864="TX_CURR_SUBNAT.R","CY2020Q4",$M864),"")</f>
        <v>[zTaMbxvQtJ6]|01-04|Male|POP_EST.T_1|CY2021Q3</v>
      </c>
    </row>
    <row r="865" customFormat="false" ht="15" hidden="false" customHeight="false" outlineLevel="0" collapsed="false">
      <c r="D865" s="0" t="s">
        <v>111</v>
      </c>
      <c r="E865" s="0" t="s">
        <v>112</v>
      </c>
      <c r="F865" s="0" t="s">
        <v>47</v>
      </c>
      <c r="G865" s="0" t="s">
        <v>52</v>
      </c>
      <c r="H865" s="0" t="s">
        <v>53</v>
      </c>
      <c r="I865" s="0" t="s">
        <v>61</v>
      </c>
      <c r="J865" s="0" t="s">
        <v>62</v>
      </c>
      <c r="K865" s="0" t="s">
        <v>56</v>
      </c>
      <c r="L865" s="0" t="s">
        <v>57</v>
      </c>
      <c r="M865" s="0" t="s">
        <v>50</v>
      </c>
      <c r="N865" s="0" t="n">
        <v>4443</v>
      </c>
      <c r="O865" s="0" t="n">
        <v>19</v>
      </c>
      <c r="P865" s="0" t="n">
        <v>50</v>
      </c>
      <c r="Q865" s="5" t="str">
        <f aca="false">IF($D865&lt;&gt;"","["&amp;$E865&amp;"]"&amp;"|"&amp;SUBSTITUTE(SUBSTITUTE($I865,CHAR(61),""),CHAR(34),"")&amp;"|"&amp;$K865&amp;"|"&amp;$G865&amp;"|"&amp;IF($G865="TX_CURR_SUBNAT.R","CY2020Q4",$M865),"")</f>
        <v>[zTaMbxvQtJ6]|10-14|Female|POP_EST.T_1|CY2021Q3</v>
      </c>
    </row>
    <row r="866" customFormat="false" ht="15" hidden="false" customHeight="false" outlineLevel="0" collapsed="false">
      <c r="D866" s="0" t="s">
        <v>111</v>
      </c>
      <c r="E866" s="0" t="s">
        <v>112</v>
      </c>
      <c r="F866" s="0" t="s">
        <v>47</v>
      </c>
      <c r="G866" s="0" t="s">
        <v>52</v>
      </c>
      <c r="H866" s="0" t="s">
        <v>53</v>
      </c>
      <c r="I866" s="0" t="s">
        <v>61</v>
      </c>
      <c r="J866" s="0" t="s">
        <v>62</v>
      </c>
      <c r="K866" s="0" t="s">
        <v>58</v>
      </c>
      <c r="L866" s="0" t="s">
        <v>59</v>
      </c>
      <c r="M866" s="0" t="s">
        <v>50</v>
      </c>
      <c r="N866" s="0" t="n">
        <v>4412</v>
      </c>
      <c r="O866" s="0" t="n">
        <v>21</v>
      </c>
      <c r="P866" s="0" t="n">
        <v>24</v>
      </c>
      <c r="Q866" s="5" t="str">
        <f aca="false">IF($D866&lt;&gt;"","["&amp;$E866&amp;"]"&amp;"|"&amp;SUBSTITUTE(SUBSTITUTE($I866,CHAR(61),""),CHAR(34),"")&amp;"|"&amp;$K866&amp;"|"&amp;$G866&amp;"|"&amp;IF($G866="TX_CURR_SUBNAT.R","CY2020Q4",$M866),"")</f>
        <v>[zTaMbxvQtJ6]|10-14|Male|POP_EST.T_1|CY2021Q3</v>
      </c>
    </row>
    <row r="867" customFormat="false" ht="15" hidden="false" customHeight="false" outlineLevel="0" collapsed="false">
      <c r="D867" s="0" t="s">
        <v>111</v>
      </c>
      <c r="E867" s="0" t="s">
        <v>112</v>
      </c>
      <c r="F867" s="0" t="s">
        <v>47</v>
      </c>
      <c r="G867" s="0" t="s">
        <v>52</v>
      </c>
      <c r="H867" s="0" t="s">
        <v>53</v>
      </c>
      <c r="I867" s="0" t="s">
        <v>63</v>
      </c>
      <c r="J867" s="0" t="s">
        <v>64</v>
      </c>
      <c r="K867" s="0" t="s">
        <v>56</v>
      </c>
      <c r="L867" s="0" t="s">
        <v>57</v>
      </c>
      <c r="M867" s="0" t="s">
        <v>50</v>
      </c>
      <c r="N867" s="0" t="n">
        <v>3858</v>
      </c>
      <c r="O867" s="0" t="n">
        <v>56</v>
      </c>
      <c r="P867" s="0" t="n">
        <v>47</v>
      </c>
      <c r="Q867" s="5" t="str">
        <f aca="false">IF($D867&lt;&gt;"","["&amp;$E867&amp;"]"&amp;"|"&amp;SUBSTITUTE(SUBSTITUTE($I867,CHAR(61),""),CHAR(34),"")&amp;"|"&amp;$K867&amp;"|"&amp;$G867&amp;"|"&amp;IF($G867="TX_CURR_SUBNAT.R","CY2020Q4",$M867),"")</f>
        <v>[zTaMbxvQtJ6]|15-19|Female|POP_EST.T_1|CY2021Q3</v>
      </c>
    </row>
    <row r="868" customFormat="false" ht="15" hidden="false" customHeight="false" outlineLevel="0" collapsed="false">
      <c r="D868" s="0" t="s">
        <v>111</v>
      </c>
      <c r="E868" s="0" t="s">
        <v>112</v>
      </c>
      <c r="F868" s="0" t="s">
        <v>47</v>
      </c>
      <c r="G868" s="0" t="s">
        <v>52</v>
      </c>
      <c r="H868" s="0" t="s">
        <v>53</v>
      </c>
      <c r="I868" s="0" t="s">
        <v>63</v>
      </c>
      <c r="J868" s="0" t="s">
        <v>64</v>
      </c>
      <c r="K868" s="0" t="s">
        <v>58</v>
      </c>
      <c r="L868" s="0" t="s">
        <v>59</v>
      </c>
      <c r="M868" s="0" t="s">
        <v>50</v>
      </c>
      <c r="N868" s="0" t="n">
        <v>4309</v>
      </c>
      <c r="O868" s="0" t="n">
        <v>25</v>
      </c>
      <c r="P868" s="0" t="n">
        <v>29</v>
      </c>
      <c r="Q868" s="5" t="str">
        <f aca="false">IF($D868&lt;&gt;"","["&amp;$E868&amp;"]"&amp;"|"&amp;SUBSTITUTE(SUBSTITUTE($I868,CHAR(61),""),CHAR(34),"")&amp;"|"&amp;$K868&amp;"|"&amp;$G868&amp;"|"&amp;IF($G868="TX_CURR_SUBNAT.R","CY2020Q4",$M868),"")</f>
        <v>[zTaMbxvQtJ6]|15-19|Male|POP_EST.T_1|CY2021Q3</v>
      </c>
    </row>
    <row r="869" customFormat="false" ht="15" hidden="false" customHeight="false" outlineLevel="0" collapsed="false">
      <c r="D869" s="0" t="s">
        <v>111</v>
      </c>
      <c r="E869" s="0" t="s">
        <v>112</v>
      </c>
      <c r="F869" s="0" t="s">
        <v>47</v>
      </c>
      <c r="G869" s="0" t="s">
        <v>52</v>
      </c>
      <c r="H869" s="0" t="s">
        <v>53</v>
      </c>
      <c r="I869" s="0" t="s">
        <v>66</v>
      </c>
      <c r="J869" s="0" t="s">
        <v>67</v>
      </c>
      <c r="K869" s="0" t="s">
        <v>56</v>
      </c>
      <c r="L869" s="0" t="s">
        <v>57</v>
      </c>
      <c r="M869" s="0" t="s">
        <v>50</v>
      </c>
      <c r="N869" s="0" t="n">
        <v>3270</v>
      </c>
      <c r="O869" s="0" t="n">
        <v>48</v>
      </c>
      <c r="P869" s="0" t="n">
        <v>8</v>
      </c>
      <c r="Q869" s="5" t="str">
        <f aca="false">IF($D869&lt;&gt;"","["&amp;$E869&amp;"]"&amp;"|"&amp;SUBSTITUTE(SUBSTITUTE($I869,CHAR(61),""),CHAR(34),"")&amp;"|"&amp;$K869&amp;"|"&amp;$G869&amp;"|"&amp;IF($G869="TX_CURR_SUBNAT.R","CY2020Q4",$M869),"")</f>
        <v>[zTaMbxvQtJ6]|20-24|Female|POP_EST.T_1|CY2021Q3</v>
      </c>
    </row>
    <row r="870" customFormat="false" ht="15" hidden="false" customHeight="false" outlineLevel="0" collapsed="false">
      <c r="D870" s="0" t="s">
        <v>111</v>
      </c>
      <c r="E870" s="0" t="s">
        <v>112</v>
      </c>
      <c r="F870" s="0" t="s">
        <v>47</v>
      </c>
      <c r="G870" s="0" t="s">
        <v>52</v>
      </c>
      <c r="H870" s="0" t="s">
        <v>53</v>
      </c>
      <c r="I870" s="0" t="s">
        <v>66</v>
      </c>
      <c r="J870" s="0" t="s">
        <v>67</v>
      </c>
      <c r="K870" s="0" t="s">
        <v>58</v>
      </c>
      <c r="L870" s="0" t="s">
        <v>59</v>
      </c>
      <c r="M870" s="0" t="s">
        <v>50</v>
      </c>
      <c r="N870" s="0" t="n">
        <v>3493</v>
      </c>
      <c r="O870" s="0" t="n">
        <v>8</v>
      </c>
      <c r="P870" s="0" t="n">
        <v>33</v>
      </c>
      <c r="Q870" s="5" t="str">
        <f aca="false">IF($D870&lt;&gt;"","["&amp;$E870&amp;"]"&amp;"|"&amp;SUBSTITUTE(SUBSTITUTE($I870,CHAR(61),""),CHAR(34),"")&amp;"|"&amp;$K870&amp;"|"&amp;$G870&amp;"|"&amp;IF($G870="TX_CURR_SUBNAT.R","CY2020Q4",$M870),"")</f>
        <v>[zTaMbxvQtJ6]|20-24|Male|POP_EST.T_1|CY2021Q3</v>
      </c>
    </row>
    <row r="871" customFormat="false" ht="15" hidden="false" customHeight="false" outlineLevel="0" collapsed="false">
      <c r="D871" s="0" t="s">
        <v>111</v>
      </c>
      <c r="E871" s="0" t="s">
        <v>112</v>
      </c>
      <c r="F871" s="0" t="s">
        <v>47</v>
      </c>
      <c r="G871" s="0" t="s">
        <v>52</v>
      </c>
      <c r="H871" s="0" t="s">
        <v>53</v>
      </c>
      <c r="I871" s="0" t="s">
        <v>69</v>
      </c>
      <c r="J871" s="0" t="s">
        <v>70</v>
      </c>
      <c r="K871" s="0" t="s">
        <v>56</v>
      </c>
      <c r="L871" s="0" t="s">
        <v>57</v>
      </c>
      <c r="M871" s="0" t="s">
        <v>50</v>
      </c>
      <c r="N871" s="0" t="n">
        <v>3373</v>
      </c>
      <c r="O871" s="0" t="n">
        <v>5</v>
      </c>
      <c r="P871" s="0" t="n">
        <v>4</v>
      </c>
      <c r="Q871" s="5" t="str">
        <f aca="false">IF($D871&lt;&gt;"","["&amp;$E871&amp;"]"&amp;"|"&amp;SUBSTITUTE(SUBSTITUTE($I871,CHAR(61),""),CHAR(34),"")&amp;"|"&amp;$K871&amp;"|"&amp;$G871&amp;"|"&amp;IF($G871="TX_CURR_SUBNAT.R","CY2020Q4",$M871),"")</f>
        <v>[zTaMbxvQtJ6]|25-29|Female|POP_EST.T_1|CY2021Q3</v>
      </c>
    </row>
    <row r="872" customFormat="false" ht="15" hidden="false" customHeight="false" outlineLevel="0" collapsed="false">
      <c r="D872" s="0" t="s">
        <v>111</v>
      </c>
      <c r="E872" s="0" t="s">
        <v>112</v>
      </c>
      <c r="F872" s="0" t="s">
        <v>47</v>
      </c>
      <c r="G872" s="0" t="s">
        <v>52</v>
      </c>
      <c r="H872" s="0" t="s">
        <v>53</v>
      </c>
      <c r="I872" s="0" t="s">
        <v>69</v>
      </c>
      <c r="J872" s="0" t="s">
        <v>70</v>
      </c>
      <c r="K872" s="0" t="s">
        <v>58</v>
      </c>
      <c r="L872" s="0" t="s">
        <v>59</v>
      </c>
      <c r="M872" s="0" t="s">
        <v>50</v>
      </c>
      <c r="N872" s="0" t="n">
        <v>3488</v>
      </c>
      <c r="O872" s="0" t="n">
        <v>40</v>
      </c>
      <c r="P872" s="0" t="n">
        <v>7</v>
      </c>
      <c r="Q872" s="5" t="str">
        <f aca="false">IF($D872&lt;&gt;"","["&amp;$E872&amp;"]"&amp;"|"&amp;SUBSTITUTE(SUBSTITUTE($I872,CHAR(61),""),CHAR(34),"")&amp;"|"&amp;$K872&amp;"|"&amp;$G872&amp;"|"&amp;IF($G872="TX_CURR_SUBNAT.R","CY2020Q4",$M872),"")</f>
        <v>[zTaMbxvQtJ6]|25-29|Male|POP_EST.T_1|CY2021Q3</v>
      </c>
    </row>
    <row r="873" customFormat="false" ht="15" hidden="false" customHeight="false" outlineLevel="0" collapsed="false">
      <c r="D873" s="0" t="s">
        <v>111</v>
      </c>
      <c r="E873" s="0" t="s">
        <v>112</v>
      </c>
      <c r="F873" s="0" t="s">
        <v>47</v>
      </c>
      <c r="G873" s="0" t="s">
        <v>52</v>
      </c>
      <c r="H873" s="0" t="s">
        <v>53</v>
      </c>
      <c r="I873" s="0" t="s">
        <v>72</v>
      </c>
      <c r="J873" s="0" t="s">
        <v>73</v>
      </c>
      <c r="K873" s="0" t="s">
        <v>56</v>
      </c>
      <c r="L873" s="0" t="s">
        <v>57</v>
      </c>
      <c r="M873" s="0" t="s">
        <v>50</v>
      </c>
      <c r="N873" s="0" t="n">
        <v>3171</v>
      </c>
      <c r="O873" s="0" t="n">
        <v>19</v>
      </c>
      <c r="P873" s="0" t="n">
        <v>36</v>
      </c>
      <c r="Q873" s="5" t="str">
        <f aca="false">IF($D873&lt;&gt;"","["&amp;$E873&amp;"]"&amp;"|"&amp;SUBSTITUTE(SUBSTITUTE($I873,CHAR(61),""),CHAR(34),"")&amp;"|"&amp;$K873&amp;"|"&amp;$G873&amp;"|"&amp;IF($G873="TX_CURR_SUBNAT.R","CY2020Q4",$M873),"")</f>
        <v>[zTaMbxvQtJ6]|30-34|Female|POP_EST.T_1|CY2021Q3</v>
      </c>
    </row>
    <row r="874" customFormat="false" ht="15" hidden="false" customHeight="false" outlineLevel="0" collapsed="false">
      <c r="D874" s="0" t="s">
        <v>111</v>
      </c>
      <c r="E874" s="0" t="s">
        <v>112</v>
      </c>
      <c r="F874" s="0" t="s">
        <v>47</v>
      </c>
      <c r="G874" s="0" t="s">
        <v>52</v>
      </c>
      <c r="H874" s="0" t="s">
        <v>53</v>
      </c>
      <c r="I874" s="0" t="s">
        <v>72</v>
      </c>
      <c r="J874" s="0" t="s">
        <v>73</v>
      </c>
      <c r="K874" s="0" t="s">
        <v>58</v>
      </c>
      <c r="L874" s="0" t="s">
        <v>59</v>
      </c>
      <c r="M874" s="0" t="s">
        <v>50</v>
      </c>
      <c r="N874" s="0" t="n">
        <v>3485</v>
      </c>
      <c r="O874" s="0" t="n">
        <v>60</v>
      </c>
      <c r="P874" s="0" t="n">
        <v>3</v>
      </c>
      <c r="Q874" s="5" t="str">
        <f aca="false">IF($D874&lt;&gt;"","["&amp;$E874&amp;"]"&amp;"|"&amp;SUBSTITUTE(SUBSTITUTE($I874,CHAR(61),""),CHAR(34),"")&amp;"|"&amp;$K874&amp;"|"&amp;$G874&amp;"|"&amp;IF($G874="TX_CURR_SUBNAT.R","CY2020Q4",$M874),"")</f>
        <v>[zTaMbxvQtJ6]|30-34|Male|POP_EST.T_1|CY2021Q3</v>
      </c>
    </row>
    <row r="875" customFormat="false" ht="15" hidden="false" customHeight="false" outlineLevel="0" collapsed="false">
      <c r="D875" s="0" t="s">
        <v>111</v>
      </c>
      <c r="E875" s="0" t="s">
        <v>112</v>
      </c>
      <c r="F875" s="0" t="s">
        <v>47</v>
      </c>
      <c r="G875" s="0" t="s">
        <v>52</v>
      </c>
      <c r="H875" s="0" t="s">
        <v>53</v>
      </c>
      <c r="I875" s="0" t="s">
        <v>75</v>
      </c>
      <c r="J875" s="0" t="s">
        <v>76</v>
      </c>
      <c r="K875" s="0" t="s">
        <v>56</v>
      </c>
      <c r="L875" s="0" t="s">
        <v>57</v>
      </c>
      <c r="M875" s="0" t="s">
        <v>50</v>
      </c>
      <c r="N875" s="0" t="n">
        <v>2211</v>
      </c>
      <c r="O875" s="0" t="n">
        <v>50</v>
      </c>
      <c r="P875" s="0" t="n">
        <v>15</v>
      </c>
      <c r="Q875" s="5" t="str">
        <f aca="false">IF($D875&lt;&gt;"","["&amp;$E875&amp;"]"&amp;"|"&amp;SUBSTITUTE(SUBSTITUTE($I875,CHAR(61),""),CHAR(34),"")&amp;"|"&amp;$K875&amp;"|"&amp;$G875&amp;"|"&amp;IF($G875="TX_CURR_SUBNAT.R","CY2020Q4",$M875),"")</f>
        <v>[zTaMbxvQtJ6]|35-39|Female|POP_EST.T_1|CY2021Q3</v>
      </c>
    </row>
    <row r="876" customFormat="false" ht="15" hidden="false" customHeight="false" outlineLevel="0" collapsed="false">
      <c r="D876" s="0" t="s">
        <v>111</v>
      </c>
      <c r="E876" s="0" t="s">
        <v>112</v>
      </c>
      <c r="F876" s="0" t="s">
        <v>47</v>
      </c>
      <c r="G876" s="0" t="s">
        <v>52</v>
      </c>
      <c r="H876" s="0" t="s">
        <v>53</v>
      </c>
      <c r="I876" s="0" t="s">
        <v>75</v>
      </c>
      <c r="J876" s="0" t="s">
        <v>76</v>
      </c>
      <c r="K876" s="0" t="s">
        <v>58</v>
      </c>
      <c r="L876" s="0" t="s">
        <v>59</v>
      </c>
      <c r="M876" s="0" t="s">
        <v>50</v>
      </c>
      <c r="N876" s="0" t="n">
        <v>2726</v>
      </c>
      <c r="O876" s="0" t="n">
        <v>29</v>
      </c>
      <c r="P876" s="0" t="n">
        <v>28</v>
      </c>
      <c r="Q876" s="5" t="str">
        <f aca="false">IF($D876&lt;&gt;"","["&amp;$E876&amp;"]"&amp;"|"&amp;SUBSTITUTE(SUBSTITUTE($I876,CHAR(61),""),CHAR(34),"")&amp;"|"&amp;$K876&amp;"|"&amp;$G876&amp;"|"&amp;IF($G876="TX_CURR_SUBNAT.R","CY2020Q4",$M876),"")</f>
        <v>[zTaMbxvQtJ6]|35-39|Male|POP_EST.T_1|CY2021Q3</v>
      </c>
    </row>
    <row r="877" customFormat="false" ht="15" hidden="false" customHeight="false" outlineLevel="0" collapsed="false">
      <c r="D877" s="0" t="s">
        <v>111</v>
      </c>
      <c r="E877" s="0" t="s">
        <v>112</v>
      </c>
      <c r="F877" s="0" t="s">
        <v>47</v>
      </c>
      <c r="G877" s="0" t="s">
        <v>52</v>
      </c>
      <c r="H877" s="0" t="s">
        <v>53</v>
      </c>
      <c r="I877" s="0" t="s">
        <v>77</v>
      </c>
      <c r="J877" s="0" t="s">
        <v>78</v>
      </c>
      <c r="K877" s="0" t="s">
        <v>56</v>
      </c>
      <c r="L877" s="0" t="s">
        <v>57</v>
      </c>
      <c r="M877" s="0" t="s">
        <v>50</v>
      </c>
      <c r="N877" s="0" t="n">
        <v>1587</v>
      </c>
      <c r="O877" s="0" t="n">
        <v>44</v>
      </c>
      <c r="P877" s="0" t="n">
        <v>24</v>
      </c>
      <c r="Q877" s="5" t="str">
        <f aca="false">IF($D877&lt;&gt;"","["&amp;$E877&amp;"]"&amp;"|"&amp;SUBSTITUTE(SUBSTITUTE($I877,CHAR(61),""),CHAR(34),"")&amp;"|"&amp;$K877&amp;"|"&amp;$G877&amp;"|"&amp;IF($G877="TX_CURR_SUBNAT.R","CY2020Q4",$M877),"")</f>
        <v>[zTaMbxvQtJ6]|40-44|Female|POP_EST.T_1|CY2021Q3</v>
      </c>
    </row>
    <row r="878" customFormat="false" ht="15" hidden="false" customHeight="false" outlineLevel="0" collapsed="false">
      <c r="D878" s="0" t="s">
        <v>111</v>
      </c>
      <c r="E878" s="0" t="s">
        <v>112</v>
      </c>
      <c r="F878" s="0" t="s">
        <v>47</v>
      </c>
      <c r="G878" s="0" t="s">
        <v>52</v>
      </c>
      <c r="H878" s="0" t="s">
        <v>53</v>
      </c>
      <c r="I878" s="0" t="s">
        <v>77</v>
      </c>
      <c r="J878" s="0" t="s">
        <v>78</v>
      </c>
      <c r="K878" s="0" t="s">
        <v>58</v>
      </c>
      <c r="L878" s="0" t="s">
        <v>59</v>
      </c>
      <c r="M878" s="0" t="s">
        <v>50</v>
      </c>
      <c r="N878" s="0" t="n">
        <v>1658</v>
      </c>
      <c r="O878" s="0" t="n">
        <v>25</v>
      </c>
      <c r="P878" s="0" t="n">
        <v>32</v>
      </c>
      <c r="Q878" s="5" t="str">
        <f aca="false">IF($D878&lt;&gt;"","["&amp;$E878&amp;"]"&amp;"|"&amp;SUBSTITUTE(SUBSTITUTE($I878,CHAR(61),""),CHAR(34),"")&amp;"|"&amp;$K878&amp;"|"&amp;$G878&amp;"|"&amp;IF($G878="TX_CURR_SUBNAT.R","CY2020Q4",$M878),"")</f>
        <v>[zTaMbxvQtJ6]|40-44|Male|POP_EST.T_1|CY2021Q3</v>
      </c>
    </row>
    <row r="879" customFormat="false" ht="15" hidden="false" customHeight="false" outlineLevel="0" collapsed="false">
      <c r="D879" s="0" t="s">
        <v>111</v>
      </c>
      <c r="E879" s="0" t="s">
        <v>112</v>
      </c>
      <c r="F879" s="0" t="s">
        <v>47</v>
      </c>
      <c r="G879" s="0" t="s">
        <v>52</v>
      </c>
      <c r="H879" s="0" t="s">
        <v>53</v>
      </c>
      <c r="I879" s="0" t="s">
        <v>80</v>
      </c>
      <c r="J879" s="0" t="s">
        <v>81</v>
      </c>
      <c r="K879" s="0" t="s">
        <v>56</v>
      </c>
      <c r="L879" s="0" t="s">
        <v>57</v>
      </c>
      <c r="M879" s="0" t="s">
        <v>50</v>
      </c>
      <c r="N879" s="0" t="n">
        <v>1272</v>
      </c>
      <c r="O879" s="0" t="n">
        <v>22</v>
      </c>
      <c r="P879" s="0" t="n">
        <v>30</v>
      </c>
      <c r="Q879" s="5" t="str">
        <f aca="false">IF($D879&lt;&gt;"","["&amp;$E879&amp;"]"&amp;"|"&amp;SUBSTITUTE(SUBSTITUTE($I879,CHAR(61),""),CHAR(34),"")&amp;"|"&amp;$K879&amp;"|"&amp;$G879&amp;"|"&amp;IF($G879="TX_CURR_SUBNAT.R","CY2020Q4",$M879),"")</f>
        <v>[zTaMbxvQtJ6]|45-49|Female|POP_EST.T_1|CY2021Q3</v>
      </c>
    </row>
    <row r="880" customFormat="false" ht="15" hidden="false" customHeight="false" outlineLevel="0" collapsed="false">
      <c r="D880" s="0" t="s">
        <v>111</v>
      </c>
      <c r="E880" s="0" t="s">
        <v>112</v>
      </c>
      <c r="F880" s="0" t="s">
        <v>47</v>
      </c>
      <c r="G880" s="0" t="s">
        <v>52</v>
      </c>
      <c r="H880" s="0" t="s">
        <v>53</v>
      </c>
      <c r="I880" s="0" t="s">
        <v>80</v>
      </c>
      <c r="J880" s="0" t="s">
        <v>81</v>
      </c>
      <c r="K880" s="0" t="s">
        <v>58</v>
      </c>
      <c r="L880" s="0" t="s">
        <v>59</v>
      </c>
      <c r="M880" s="0" t="s">
        <v>50</v>
      </c>
      <c r="N880" s="0" t="n">
        <v>1210</v>
      </c>
      <c r="O880" s="0" t="n">
        <v>32</v>
      </c>
      <c r="P880" s="0" t="n">
        <v>39</v>
      </c>
      <c r="Q880" s="5" t="str">
        <f aca="false">IF($D880&lt;&gt;"","["&amp;$E880&amp;"]"&amp;"|"&amp;SUBSTITUTE(SUBSTITUTE($I880,CHAR(61),""),CHAR(34),"")&amp;"|"&amp;$K880&amp;"|"&amp;$G880&amp;"|"&amp;IF($G880="TX_CURR_SUBNAT.R","CY2020Q4",$M880),"")</f>
        <v>[zTaMbxvQtJ6]|45-49|Male|POP_EST.T_1|CY2021Q3</v>
      </c>
    </row>
    <row r="881" customFormat="false" ht="15" hidden="false" customHeight="false" outlineLevel="0" collapsed="false">
      <c r="D881" s="0" t="s">
        <v>111</v>
      </c>
      <c r="E881" s="0" t="s">
        <v>112</v>
      </c>
      <c r="F881" s="0" t="s">
        <v>47</v>
      </c>
      <c r="G881" s="0" t="s">
        <v>52</v>
      </c>
      <c r="H881" s="0" t="s">
        <v>53</v>
      </c>
      <c r="I881" s="0" t="s">
        <v>83</v>
      </c>
      <c r="J881" s="0" t="s">
        <v>84</v>
      </c>
      <c r="K881" s="0" t="s">
        <v>56</v>
      </c>
      <c r="L881" s="0" t="s">
        <v>57</v>
      </c>
      <c r="M881" s="0" t="s">
        <v>50</v>
      </c>
      <c r="N881" s="0" t="n">
        <v>4427</v>
      </c>
      <c r="O881" s="0" t="n">
        <v>50</v>
      </c>
      <c r="P881" s="0" t="n">
        <v>4</v>
      </c>
      <c r="Q881" s="5" t="str">
        <f aca="false">IF($D881&lt;&gt;"","["&amp;$E881&amp;"]"&amp;"|"&amp;SUBSTITUTE(SUBSTITUTE($I881,CHAR(61),""),CHAR(34),"")&amp;"|"&amp;$K881&amp;"|"&amp;$G881&amp;"|"&amp;IF($G881="TX_CURR_SUBNAT.R","CY2020Q4",$M881),"")</f>
        <v>[zTaMbxvQtJ6]|05-09|Female|POP_EST.T_1|CY2021Q3</v>
      </c>
    </row>
    <row r="882" customFormat="false" ht="15" hidden="false" customHeight="false" outlineLevel="0" collapsed="false">
      <c r="D882" s="0" t="s">
        <v>111</v>
      </c>
      <c r="E882" s="0" t="s">
        <v>112</v>
      </c>
      <c r="F882" s="0" t="s">
        <v>47</v>
      </c>
      <c r="G882" s="0" t="s">
        <v>52</v>
      </c>
      <c r="H882" s="0" t="s">
        <v>53</v>
      </c>
      <c r="I882" s="0" t="s">
        <v>83</v>
      </c>
      <c r="J882" s="0" t="s">
        <v>84</v>
      </c>
      <c r="K882" s="0" t="s">
        <v>58</v>
      </c>
      <c r="L882" s="0" t="s">
        <v>59</v>
      </c>
      <c r="M882" s="0" t="s">
        <v>50</v>
      </c>
      <c r="N882" s="0" t="n">
        <v>4425</v>
      </c>
      <c r="O882" s="0" t="n">
        <v>12</v>
      </c>
      <c r="P882" s="0" t="n">
        <v>12</v>
      </c>
      <c r="Q882" s="5" t="str">
        <f aca="false">IF($D882&lt;&gt;"","["&amp;$E882&amp;"]"&amp;"|"&amp;SUBSTITUTE(SUBSTITUTE($I882,CHAR(61),""),CHAR(34),"")&amp;"|"&amp;$K882&amp;"|"&amp;$G882&amp;"|"&amp;IF($G882="TX_CURR_SUBNAT.R","CY2020Q4",$M882),"")</f>
        <v>[zTaMbxvQtJ6]|05-09|Male|POP_EST.T_1|CY2021Q3</v>
      </c>
    </row>
    <row r="883" customFormat="false" ht="15" hidden="false" customHeight="false" outlineLevel="0" collapsed="false">
      <c r="D883" s="0" t="s">
        <v>111</v>
      </c>
      <c r="E883" s="0" t="s">
        <v>112</v>
      </c>
      <c r="F883" s="0" t="s">
        <v>47</v>
      </c>
      <c r="G883" s="0" t="s">
        <v>52</v>
      </c>
      <c r="H883" s="0" t="s">
        <v>53</v>
      </c>
      <c r="I883" s="53" t="s">
        <v>86</v>
      </c>
      <c r="J883" s="0" t="s">
        <v>87</v>
      </c>
      <c r="K883" s="0" t="s">
        <v>56</v>
      </c>
      <c r="L883" s="0" t="s">
        <v>57</v>
      </c>
      <c r="M883" s="0" t="s">
        <v>50</v>
      </c>
      <c r="N883" s="0" t="n">
        <v>7341</v>
      </c>
      <c r="O883" s="0" t="n">
        <v>14</v>
      </c>
      <c r="P883" s="0" t="n">
        <v>3</v>
      </c>
      <c r="Q883" s="5" t="str">
        <f aca="false">IF($D883&lt;&gt;"","["&amp;$E883&amp;"]"&amp;"|"&amp;SUBSTITUTE(SUBSTITUTE($I883,CHAR(61),""),CHAR(34),"")&amp;"|"&amp;$K883&amp;"|"&amp;$G883&amp;"|"&amp;IF($G883="TX_CURR_SUBNAT.R","CY2020Q4",$M883),"")</f>
        <v>[zTaMbxvQtJ6]|50+|Female|POP_EST.T_1|CY2021Q3</v>
      </c>
    </row>
    <row r="884" customFormat="false" ht="15" hidden="false" customHeight="false" outlineLevel="0" collapsed="false">
      <c r="D884" s="0" t="s">
        <v>111</v>
      </c>
      <c r="E884" s="0" t="s">
        <v>112</v>
      </c>
      <c r="F884" s="0" t="s">
        <v>47</v>
      </c>
      <c r="G884" s="0" t="s">
        <v>52</v>
      </c>
      <c r="H884" s="0" t="s">
        <v>53</v>
      </c>
      <c r="I884" s="53" t="s">
        <v>86</v>
      </c>
      <c r="J884" s="0" t="s">
        <v>87</v>
      </c>
      <c r="K884" s="0" t="s">
        <v>58</v>
      </c>
      <c r="L884" s="0" t="s">
        <v>59</v>
      </c>
      <c r="M884" s="0" t="s">
        <v>50</v>
      </c>
      <c r="N884" s="0" t="n">
        <v>4778</v>
      </c>
      <c r="O884" s="0" t="n">
        <v>29</v>
      </c>
      <c r="P884" s="0" t="n">
        <v>44</v>
      </c>
      <c r="Q884" s="5" t="str">
        <f aca="false">IF($D884&lt;&gt;"","["&amp;$E884&amp;"]"&amp;"|"&amp;SUBSTITUTE(SUBSTITUTE($I884,CHAR(61),""),CHAR(34),"")&amp;"|"&amp;$K884&amp;"|"&amp;$G884&amp;"|"&amp;IF($G884="TX_CURR_SUBNAT.R","CY2020Q4",$M884),"")</f>
        <v>[zTaMbxvQtJ6]|50+|Male|POP_EST.T_1|CY2021Q3</v>
      </c>
    </row>
    <row r="885" customFormat="false" ht="15" hidden="false" customHeight="false" outlineLevel="0" collapsed="false">
      <c r="D885" s="0" t="s">
        <v>111</v>
      </c>
      <c r="E885" s="0" t="s">
        <v>112</v>
      </c>
      <c r="F885" s="0" t="s">
        <v>47</v>
      </c>
      <c r="G885" s="0" t="s">
        <v>52</v>
      </c>
      <c r="H885" s="0" t="s">
        <v>53</v>
      </c>
      <c r="I885" s="0" t="s">
        <v>89</v>
      </c>
      <c r="J885" s="0" t="s">
        <v>90</v>
      </c>
      <c r="K885" s="0" t="s">
        <v>56</v>
      </c>
      <c r="L885" s="0" t="s">
        <v>57</v>
      </c>
      <c r="M885" s="0" t="s">
        <v>50</v>
      </c>
      <c r="N885" s="0" t="n">
        <v>675</v>
      </c>
      <c r="O885" s="0" t="n">
        <v>4</v>
      </c>
      <c r="P885" s="0" t="n">
        <v>18</v>
      </c>
      <c r="Q885" s="5" t="str">
        <f aca="false">IF($D885&lt;&gt;"","["&amp;$E885&amp;"]"&amp;"|"&amp;SUBSTITUTE(SUBSTITUTE($I885,CHAR(61),""),CHAR(34),"")&amp;"|"&amp;$K885&amp;"|"&amp;$G885&amp;"|"&amp;IF($G885="TX_CURR_SUBNAT.R","CY2020Q4",$M885),"")</f>
        <v>[zTaMbxvQtJ6]|&lt;01|Female|POP_EST.T_1|CY2021Q3</v>
      </c>
    </row>
    <row r="886" customFormat="false" ht="15" hidden="false" customHeight="false" outlineLevel="0" collapsed="false">
      <c r="D886" s="0" t="s">
        <v>111</v>
      </c>
      <c r="E886" s="0" t="s">
        <v>112</v>
      </c>
      <c r="F886" s="0" t="s">
        <v>47</v>
      </c>
      <c r="G886" s="0" t="s">
        <v>52</v>
      </c>
      <c r="H886" s="0" t="s">
        <v>53</v>
      </c>
      <c r="I886" s="0" t="s">
        <v>89</v>
      </c>
      <c r="J886" s="0" t="s">
        <v>90</v>
      </c>
      <c r="K886" s="0" t="s">
        <v>58</v>
      </c>
      <c r="L886" s="0" t="s">
        <v>59</v>
      </c>
      <c r="M886" s="0" t="s">
        <v>50</v>
      </c>
      <c r="N886" s="0" t="n">
        <v>679</v>
      </c>
      <c r="O886" s="0" t="n">
        <v>32</v>
      </c>
      <c r="P886" s="0" t="n">
        <v>24</v>
      </c>
      <c r="Q886" s="5" t="str">
        <f aca="false">IF($D886&lt;&gt;"","["&amp;$E886&amp;"]"&amp;"|"&amp;SUBSTITUTE(SUBSTITUTE($I886,CHAR(61),""),CHAR(34),"")&amp;"|"&amp;$K886&amp;"|"&amp;$G886&amp;"|"&amp;IF($G886="TX_CURR_SUBNAT.R","CY2020Q4",$M886),"")</f>
        <v>[zTaMbxvQtJ6]|&lt;01|Male|POP_EST.T_1|CY2021Q3</v>
      </c>
    </row>
    <row r="887" customFormat="false" ht="15" hidden="false" customHeight="false" outlineLevel="0" collapsed="false">
      <c r="D887" s="0" t="s">
        <v>111</v>
      </c>
      <c r="E887" s="0" t="s">
        <v>112</v>
      </c>
      <c r="F887" s="0" t="s">
        <v>47</v>
      </c>
      <c r="G887" s="0" t="s">
        <v>91</v>
      </c>
      <c r="H887" s="0" t="s">
        <v>92</v>
      </c>
      <c r="I887" s="0" t="s">
        <v>54</v>
      </c>
      <c r="J887" s="0" t="s">
        <v>55</v>
      </c>
      <c r="K887" s="0" t="s">
        <v>56</v>
      </c>
      <c r="L887" s="0" t="s">
        <v>57</v>
      </c>
      <c r="M887" s="0" t="s">
        <v>50</v>
      </c>
      <c r="N887" s="0" t="n">
        <v>0.0070841</v>
      </c>
      <c r="O887" s="0" t="n">
        <v>53</v>
      </c>
      <c r="P887" s="0" t="n">
        <v>38</v>
      </c>
      <c r="Q887" s="5" t="str">
        <f aca="false">IF($D887&lt;&gt;"","["&amp;$E887&amp;"]"&amp;"|"&amp;SUBSTITUTE(SUBSTITUTE($I887,CHAR(61),""),CHAR(34),"")&amp;"|"&amp;$K887&amp;"|"&amp;$G887&amp;"|"&amp;IF($G887="TX_CURR_SUBNAT.R","CY2020Q4",$M887),"")</f>
        <v>[zTaMbxvQtJ6]|01-04|Female|HIV_PREV.T_1|CY2021Q3</v>
      </c>
    </row>
    <row r="888" customFormat="false" ht="15" hidden="false" customHeight="false" outlineLevel="0" collapsed="false">
      <c r="D888" s="0" t="s">
        <v>111</v>
      </c>
      <c r="E888" s="0" t="s">
        <v>112</v>
      </c>
      <c r="F888" s="0" t="s">
        <v>47</v>
      </c>
      <c r="G888" s="0" t="s">
        <v>91</v>
      </c>
      <c r="H888" s="0" t="s">
        <v>92</v>
      </c>
      <c r="I888" s="0" t="s">
        <v>54</v>
      </c>
      <c r="J888" s="0" t="s">
        <v>55</v>
      </c>
      <c r="K888" s="0" t="s">
        <v>58</v>
      </c>
      <c r="L888" s="0" t="s">
        <v>59</v>
      </c>
      <c r="M888" s="0" t="s">
        <v>50</v>
      </c>
      <c r="N888" s="0" t="n">
        <v>0.0070897</v>
      </c>
      <c r="O888" s="0" t="n">
        <v>44</v>
      </c>
      <c r="P888" s="0" t="n">
        <v>17</v>
      </c>
      <c r="Q888" s="5" t="str">
        <f aca="false">IF($D888&lt;&gt;"","["&amp;$E888&amp;"]"&amp;"|"&amp;SUBSTITUTE(SUBSTITUTE($I888,CHAR(61),""),CHAR(34),"")&amp;"|"&amp;$K888&amp;"|"&amp;$G888&amp;"|"&amp;IF($G888="TX_CURR_SUBNAT.R","CY2020Q4",$M888),"")</f>
        <v>[zTaMbxvQtJ6]|01-04|Male|HIV_PREV.T_1|CY2021Q3</v>
      </c>
    </row>
    <row r="889" customFormat="false" ht="15" hidden="false" customHeight="false" outlineLevel="0" collapsed="false">
      <c r="D889" s="0" t="s">
        <v>111</v>
      </c>
      <c r="E889" s="0" t="s">
        <v>112</v>
      </c>
      <c r="F889" s="0" t="s">
        <v>47</v>
      </c>
      <c r="G889" s="0" t="s">
        <v>91</v>
      </c>
      <c r="H889" s="0" t="s">
        <v>92</v>
      </c>
      <c r="I889" s="0" t="s">
        <v>61</v>
      </c>
      <c r="J889" s="0" t="s">
        <v>62</v>
      </c>
      <c r="K889" s="0" t="s">
        <v>56</v>
      </c>
      <c r="L889" s="0" t="s">
        <v>57</v>
      </c>
      <c r="M889" s="0" t="s">
        <v>50</v>
      </c>
      <c r="N889" s="0" t="n">
        <v>0.0229621</v>
      </c>
      <c r="O889" s="0" t="n">
        <v>59</v>
      </c>
      <c r="P889" s="0" t="n">
        <v>9</v>
      </c>
      <c r="Q889" s="5" t="str">
        <f aca="false">IF($D889&lt;&gt;"","["&amp;$E889&amp;"]"&amp;"|"&amp;SUBSTITUTE(SUBSTITUTE($I889,CHAR(61),""),CHAR(34),"")&amp;"|"&amp;$K889&amp;"|"&amp;$G889&amp;"|"&amp;IF($G889="TX_CURR_SUBNAT.R","CY2020Q4",$M889),"")</f>
        <v>[zTaMbxvQtJ6]|10-14|Female|HIV_PREV.T_1|CY2021Q3</v>
      </c>
    </row>
    <row r="890" customFormat="false" ht="15" hidden="false" customHeight="false" outlineLevel="0" collapsed="false">
      <c r="D890" s="0" t="s">
        <v>111</v>
      </c>
      <c r="E890" s="0" t="s">
        <v>112</v>
      </c>
      <c r="F890" s="0" t="s">
        <v>47</v>
      </c>
      <c r="G890" s="0" t="s">
        <v>91</v>
      </c>
      <c r="H890" s="0" t="s">
        <v>92</v>
      </c>
      <c r="I890" s="0" t="s">
        <v>61</v>
      </c>
      <c r="J890" s="0" t="s">
        <v>62</v>
      </c>
      <c r="K890" s="0" t="s">
        <v>58</v>
      </c>
      <c r="L890" s="0" t="s">
        <v>59</v>
      </c>
      <c r="M890" s="0" t="s">
        <v>50</v>
      </c>
      <c r="N890" s="0" t="n">
        <v>0.0235113</v>
      </c>
      <c r="O890" s="0" t="n">
        <v>25</v>
      </c>
      <c r="P890" s="0" t="n">
        <v>17</v>
      </c>
      <c r="Q890" s="5" t="str">
        <f aca="false">IF($D890&lt;&gt;"","["&amp;$E890&amp;"]"&amp;"|"&amp;SUBSTITUTE(SUBSTITUTE($I890,CHAR(61),""),CHAR(34),"")&amp;"|"&amp;$K890&amp;"|"&amp;$G890&amp;"|"&amp;IF($G890="TX_CURR_SUBNAT.R","CY2020Q4",$M890),"")</f>
        <v>[zTaMbxvQtJ6]|10-14|Male|HIV_PREV.T_1|CY2021Q3</v>
      </c>
    </row>
    <row r="891" customFormat="false" ht="15" hidden="false" customHeight="false" outlineLevel="0" collapsed="false">
      <c r="D891" s="0" t="s">
        <v>111</v>
      </c>
      <c r="E891" s="0" t="s">
        <v>112</v>
      </c>
      <c r="F891" s="0" t="s">
        <v>47</v>
      </c>
      <c r="G891" s="0" t="s">
        <v>91</v>
      </c>
      <c r="H891" s="0" t="s">
        <v>92</v>
      </c>
      <c r="I891" s="0" t="s">
        <v>63</v>
      </c>
      <c r="J891" s="0" t="s">
        <v>64</v>
      </c>
      <c r="K891" s="0" t="s">
        <v>56</v>
      </c>
      <c r="L891" s="0" t="s">
        <v>57</v>
      </c>
      <c r="M891" s="0" t="s">
        <v>50</v>
      </c>
      <c r="N891" s="0" t="n">
        <v>0.0444861</v>
      </c>
      <c r="O891" s="0" t="n">
        <v>51</v>
      </c>
      <c r="P891" s="0" t="n">
        <v>37</v>
      </c>
      <c r="Q891" s="5" t="str">
        <f aca="false">IF($D891&lt;&gt;"","["&amp;$E891&amp;"]"&amp;"|"&amp;SUBSTITUTE(SUBSTITUTE($I891,CHAR(61),""),CHAR(34),"")&amp;"|"&amp;$K891&amp;"|"&amp;$G891&amp;"|"&amp;IF($G891="TX_CURR_SUBNAT.R","CY2020Q4",$M891),"")</f>
        <v>[zTaMbxvQtJ6]|15-19|Female|HIV_PREV.T_1|CY2021Q3</v>
      </c>
    </row>
    <row r="892" customFormat="false" ht="15" hidden="false" customHeight="false" outlineLevel="0" collapsed="false">
      <c r="D892" s="0" t="s">
        <v>111</v>
      </c>
      <c r="E892" s="0" t="s">
        <v>112</v>
      </c>
      <c r="F892" s="0" t="s">
        <v>47</v>
      </c>
      <c r="G892" s="0" t="s">
        <v>91</v>
      </c>
      <c r="H892" s="0" t="s">
        <v>92</v>
      </c>
      <c r="I892" s="0" t="s">
        <v>63</v>
      </c>
      <c r="J892" s="0" t="s">
        <v>64</v>
      </c>
      <c r="K892" s="0" t="s">
        <v>58</v>
      </c>
      <c r="L892" s="0" t="s">
        <v>59</v>
      </c>
      <c r="M892" s="0" t="s">
        <v>50</v>
      </c>
      <c r="N892" s="0" t="n">
        <v>0.0247238</v>
      </c>
      <c r="O892" s="0" t="n">
        <v>28</v>
      </c>
      <c r="P892" s="0" t="n">
        <v>43</v>
      </c>
      <c r="Q892" s="5" t="str">
        <f aca="false">IF($D892&lt;&gt;"","["&amp;$E892&amp;"]"&amp;"|"&amp;SUBSTITUTE(SUBSTITUTE($I892,CHAR(61),""),CHAR(34),"")&amp;"|"&amp;$K892&amp;"|"&amp;$G892&amp;"|"&amp;IF($G892="TX_CURR_SUBNAT.R","CY2020Q4",$M892),"")</f>
        <v>[zTaMbxvQtJ6]|15-19|Male|HIV_PREV.T_1|CY2021Q3</v>
      </c>
    </row>
    <row r="893" customFormat="false" ht="15" hidden="false" customHeight="false" outlineLevel="0" collapsed="false">
      <c r="D893" s="0" t="s">
        <v>111</v>
      </c>
      <c r="E893" s="0" t="s">
        <v>112</v>
      </c>
      <c r="F893" s="0" t="s">
        <v>47</v>
      </c>
      <c r="G893" s="0" t="s">
        <v>91</v>
      </c>
      <c r="H893" s="0" t="s">
        <v>92</v>
      </c>
      <c r="I893" s="0" t="s">
        <v>66</v>
      </c>
      <c r="J893" s="0" t="s">
        <v>67</v>
      </c>
      <c r="K893" s="0" t="s">
        <v>56</v>
      </c>
      <c r="L893" s="0" t="s">
        <v>57</v>
      </c>
      <c r="M893" s="0" t="s">
        <v>50</v>
      </c>
      <c r="N893" s="0" t="n">
        <v>0.1294158</v>
      </c>
      <c r="O893" s="0" t="n">
        <v>20</v>
      </c>
      <c r="P893" s="0" t="n">
        <v>9</v>
      </c>
      <c r="Q893" s="5" t="str">
        <f aca="false">IF($D893&lt;&gt;"","["&amp;$E893&amp;"]"&amp;"|"&amp;SUBSTITUTE(SUBSTITUTE($I893,CHAR(61),""),CHAR(34),"")&amp;"|"&amp;$K893&amp;"|"&amp;$G893&amp;"|"&amp;IF($G893="TX_CURR_SUBNAT.R","CY2020Q4",$M893),"")</f>
        <v>[zTaMbxvQtJ6]|20-24|Female|HIV_PREV.T_1|CY2021Q3</v>
      </c>
    </row>
    <row r="894" customFormat="false" ht="15" hidden="false" customHeight="false" outlineLevel="0" collapsed="false">
      <c r="D894" s="0" t="s">
        <v>111</v>
      </c>
      <c r="E894" s="0" t="s">
        <v>112</v>
      </c>
      <c r="F894" s="0" t="s">
        <v>47</v>
      </c>
      <c r="G894" s="0" t="s">
        <v>91</v>
      </c>
      <c r="H894" s="0" t="s">
        <v>92</v>
      </c>
      <c r="I894" s="0" t="s">
        <v>66</v>
      </c>
      <c r="J894" s="0" t="s">
        <v>67</v>
      </c>
      <c r="K894" s="0" t="s">
        <v>58</v>
      </c>
      <c r="L894" s="0" t="s">
        <v>59</v>
      </c>
      <c r="M894" s="0" t="s">
        <v>50</v>
      </c>
      <c r="N894" s="0" t="n">
        <v>0.0472607</v>
      </c>
      <c r="O894" s="0" t="n">
        <v>7</v>
      </c>
      <c r="P894" s="0" t="n">
        <v>30</v>
      </c>
      <c r="Q894" s="5" t="str">
        <f aca="false">IF($D894&lt;&gt;"","["&amp;$E894&amp;"]"&amp;"|"&amp;SUBSTITUTE(SUBSTITUTE($I894,CHAR(61),""),CHAR(34),"")&amp;"|"&amp;$K894&amp;"|"&amp;$G894&amp;"|"&amp;IF($G894="TX_CURR_SUBNAT.R","CY2020Q4",$M894),"")</f>
        <v>[zTaMbxvQtJ6]|20-24|Male|HIV_PREV.T_1|CY2021Q3</v>
      </c>
    </row>
    <row r="895" customFormat="false" ht="15" hidden="false" customHeight="false" outlineLevel="0" collapsed="false">
      <c r="D895" s="0" t="s">
        <v>111</v>
      </c>
      <c r="E895" s="0" t="s">
        <v>112</v>
      </c>
      <c r="F895" s="0" t="s">
        <v>47</v>
      </c>
      <c r="G895" s="0" t="s">
        <v>91</v>
      </c>
      <c r="H895" s="0" t="s">
        <v>92</v>
      </c>
      <c r="I895" s="0" t="s">
        <v>69</v>
      </c>
      <c r="J895" s="0" t="s">
        <v>70</v>
      </c>
      <c r="K895" s="0" t="s">
        <v>56</v>
      </c>
      <c r="L895" s="0" t="s">
        <v>57</v>
      </c>
      <c r="M895" s="0" t="s">
        <v>50</v>
      </c>
      <c r="N895" s="0" t="n">
        <v>0.2256615</v>
      </c>
      <c r="O895" s="0" t="n">
        <v>45</v>
      </c>
      <c r="P895" s="0" t="n">
        <v>40</v>
      </c>
      <c r="Q895" s="5" t="str">
        <f aca="false">IF($D895&lt;&gt;"","["&amp;$E895&amp;"]"&amp;"|"&amp;SUBSTITUTE(SUBSTITUTE($I895,CHAR(61),""),CHAR(34),"")&amp;"|"&amp;$K895&amp;"|"&amp;$G895&amp;"|"&amp;IF($G895="TX_CURR_SUBNAT.R","CY2020Q4",$M895),"")</f>
        <v>[zTaMbxvQtJ6]|25-29|Female|HIV_PREV.T_1|CY2021Q3</v>
      </c>
    </row>
    <row r="896" customFormat="false" ht="15" hidden="false" customHeight="false" outlineLevel="0" collapsed="false">
      <c r="D896" s="0" t="s">
        <v>111</v>
      </c>
      <c r="E896" s="0" t="s">
        <v>112</v>
      </c>
      <c r="F896" s="0" t="s">
        <v>47</v>
      </c>
      <c r="G896" s="0" t="s">
        <v>91</v>
      </c>
      <c r="H896" s="0" t="s">
        <v>92</v>
      </c>
      <c r="I896" s="0" t="s">
        <v>69</v>
      </c>
      <c r="J896" s="0" t="s">
        <v>70</v>
      </c>
      <c r="K896" s="0" t="s">
        <v>58</v>
      </c>
      <c r="L896" s="0" t="s">
        <v>59</v>
      </c>
      <c r="M896" s="0" t="s">
        <v>50</v>
      </c>
      <c r="N896" s="0" t="n">
        <v>0.0987694</v>
      </c>
      <c r="O896" s="0" t="n">
        <v>8</v>
      </c>
      <c r="P896" s="0" t="n">
        <v>12</v>
      </c>
      <c r="Q896" s="5" t="str">
        <f aca="false">IF($D896&lt;&gt;"","["&amp;$E896&amp;"]"&amp;"|"&amp;SUBSTITUTE(SUBSTITUTE($I896,CHAR(61),""),CHAR(34),"")&amp;"|"&amp;$K896&amp;"|"&amp;$G896&amp;"|"&amp;IF($G896="TX_CURR_SUBNAT.R","CY2020Q4",$M896),"")</f>
        <v>[zTaMbxvQtJ6]|25-29|Male|HIV_PREV.T_1|CY2021Q3</v>
      </c>
    </row>
    <row r="897" customFormat="false" ht="15" hidden="false" customHeight="false" outlineLevel="0" collapsed="false">
      <c r="D897" s="0" t="s">
        <v>111</v>
      </c>
      <c r="E897" s="0" t="s">
        <v>112</v>
      </c>
      <c r="F897" s="0" t="s">
        <v>47</v>
      </c>
      <c r="G897" s="0" t="s">
        <v>91</v>
      </c>
      <c r="H897" s="0" t="s">
        <v>92</v>
      </c>
      <c r="I897" s="0" t="s">
        <v>72</v>
      </c>
      <c r="J897" s="0" t="s">
        <v>73</v>
      </c>
      <c r="K897" s="0" t="s">
        <v>56</v>
      </c>
      <c r="L897" s="0" t="s">
        <v>57</v>
      </c>
      <c r="M897" s="0" t="s">
        <v>50</v>
      </c>
      <c r="N897" s="0" t="n">
        <v>0.3350367</v>
      </c>
      <c r="O897" s="0" t="n">
        <v>39</v>
      </c>
      <c r="P897" s="0" t="n">
        <v>42</v>
      </c>
      <c r="Q897" s="5" t="str">
        <f aca="false">IF($D897&lt;&gt;"","["&amp;$E897&amp;"]"&amp;"|"&amp;SUBSTITUTE(SUBSTITUTE($I897,CHAR(61),""),CHAR(34),"")&amp;"|"&amp;$K897&amp;"|"&amp;$G897&amp;"|"&amp;IF($G897="TX_CURR_SUBNAT.R","CY2020Q4",$M897),"")</f>
        <v>[zTaMbxvQtJ6]|30-34|Female|HIV_PREV.T_1|CY2021Q3</v>
      </c>
    </row>
    <row r="898" customFormat="false" ht="15" hidden="false" customHeight="false" outlineLevel="0" collapsed="false">
      <c r="D898" s="0" t="s">
        <v>111</v>
      </c>
      <c r="E898" s="0" t="s">
        <v>112</v>
      </c>
      <c r="F898" s="0" t="s">
        <v>47</v>
      </c>
      <c r="G898" s="0" t="s">
        <v>91</v>
      </c>
      <c r="H898" s="0" t="s">
        <v>92</v>
      </c>
      <c r="I898" s="0" t="s">
        <v>72</v>
      </c>
      <c r="J898" s="0" t="s">
        <v>73</v>
      </c>
      <c r="K898" s="0" t="s">
        <v>58</v>
      </c>
      <c r="L898" s="0" t="s">
        <v>59</v>
      </c>
      <c r="M898" s="0" t="s">
        <v>50</v>
      </c>
      <c r="N898" s="0" t="n">
        <v>0.1772965</v>
      </c>
      <c r="O898" s="0" t="n">
        <v>21</v>
      </c>
      <c r="P898" s="0" t="n">
        <v>15</v>
      </c>
      <c r="Q898" s="5" t="str">
        <f aca="false">IF($D898&lt;&gt;"","["&amp;$E898&amp;"]"&amp;"|"&amp;SUBSTITUTE(SUBSTITUTE($I898,CHAR(61),""),CHAR(34),"")&amp;"|"&amp;$K898&amp;"|"&amp;$G898&amp;"|"&amp;IF($G898="TX_CURR_SUBNAT.R","CY2020Q4",$M898),"")</f>
        <v>[zTaMbxvQtJ6]|30-34|Male|HIV_PREV.T_1|CY2021Q3</v>
      </c>
    </row>
    <row r="899" customFormat="false" ht="15" hidden="false" customHeight="false" outlineLevel="0" collapsed="false">
      <c r="D899" s="0" t="s">
        <v>111</v>
      </c>
      <c r="E899" s="0" t="s">
        <v>112</v>
      </c>
      <c r="F899" s="0" t="s">
        <v>47</v>
      </c>
      <c r="G899" s="0" t="s">
        <v>91</v>
      </c>
      <c r="H899" s="0" t="s">
        <v>92</v>
      </c>
      <c r="I899" s="0" t="s">
        <v>75</v>
      </c>
      <c r="J899" s="0" t="s">
        <v>76</v>
      </c>
      <c r="K899" s="0" t="s">
        <v>56</v>
      </c>
      <c r="L899" s="0" t="s">
        <v>57</v>
      </c>
      <c r="M899" s="0" t="s">
        <v>50</v>
      </c>
      <c r="N899" s="0" t="n">
        <v>0.4491046</v>
      </c>
      <c r="O899" s="0" t="n">
        <v>28</v>
      </c>
      <c r="P899" s="0" t="n">
        <v>3</v>
      </c>
      <c r="Q899" s="5" t="str">
        <f aca="false">IF($D899&lt;&gt;"","["&amp;$E899&amp;"]"&amp;"|"&amp;SUBSTITUTE(SUBSTITUTE($I899,CHAR(61),""),CHAR(34),"")&amp;"|"&amp;$K899&amp;"|"&amp;$G899&amp;"|"&amp;IF($G899="TX_CURR_SUBNAT.R","CY2020Q4",$M899),"")</f>
        <v>[zTaMbxvQtJ6]|35-39|Female|HIV_PREV.T_1|CY2021Q3</v>
      </c>
    </row>
    <row r="900" customFormat="false" ht="15" hidden="false" customHeight="false" outlineLevel="0" collapsed="false">
      <c r="D900" s="0" t="s">
        <v>111</v>
      </c>
      <c r="E900" s="0" t="s">
        <v>112</v>
      </c>
      <c r="F900" s="0" t="s">
        <v>47</v>
      </c>
      <c r="G900" s="0" t="s">
        <v>91</v>
      </c>
      <c r="H900" s="0" t="s">
        <v>92</v>
      </c>
      <c r="I900" s="0" t="s">
        <v>75</v>
      </c>
      <c r="J900" s="0" t="s">
        <v>76</v>
      </c>
      <c r="K900" s="0" t="s">
        <v>58</v>
      </c>
      <c r="L900" s="0" t="s">
        <v>59</v>
      </c>
      <c r="M900" s="0" t="s">
        <v>50</v>
      </c>
      <c r="N900" s="0" t="n">
        <v>0.2740757</v>
      </c>
      <c r="O900" s="0" t="n">
        <v>5</v>
      </c>
      <c r="P900" s="0" t="n">
        <v>46</v>
      </c>
      <c r="Q900" s="5" t="str">
        <f aca="false">IF($D900&lt;&gt;"","["&amp;$E900&amp;"]"&amp;"|"&amp;SUBSTITUTE(SUBSTITUTE($I900,CHAR(61),""),CHAR(34),"")&amp;"|"&amp;$K900&amp;"|"&amp;$G900&amp;"|"&amp;IF($G900="TX_CURR_SUBNAT.R","CY2020Q4",$M900),"")</f>
        <v>[zTaMbxvQtJ6]|35-39|Male|HIV_PREV.T_1|CY2021Q3</v>
      </c>
    </row>
    <row r="901" customFormat="false" ht="15" hidden="false" customHeight="false" outlineLevel="0" collapsed="false">
      <c r="D901" s="0" t="s">
        <v>111</v>
      </c>
      <c r="E901" s="0" t="s">
        <v>112</v>
      </c>
      <c r="F901" s="0" t="s">
        <v>47</v>
      </c>
      <c r="G901" s="0" t="s">
        <v>91</v>
      </c>
      <c r="H901" s="0" t="s">
        <v>92</v>
      </c>
      <c r="I901" s="0" t="s">
        <v>77</v>
      </c>
      <c r="J901" s="0" t="s">
        <v>78</v>
      </c>
      <c r="K901" s="0" t="s">
        <v>56</v>
      </c>
      <c r="L901" s="0" t="s">
        <v>57</v>
      </c>
      <c r="M901" s="0" t="s">
        <v>50</v>
      </c>
      <c r="N901" s="0" t="n">
        <v>0.4838059</v>
      </c>
      <c r="O901" s="0" t="n">
        <v>20</v>
      </c>
      <c r="P901" s="0" t="n">
        <v>22</v>
      </c>
      <c r="Q901" s="5" t="str">
        <f aca="false">IF($D901&lt;&gt;"","["&amp;$E901&amp;"]"&amp;"|"&amp;SUBSTITUTE(SUBSTITUTE($I901,CHAR(61),""),CHAR(34),"")&amp;"|"&amp;$K901&amp;"|"&amp;$G901&amp;"|"&amp;IF($G901="TX_CURR_SUBNAT.R","CY2020Q4",$M901),"")</f>
        <v>[zTaMbxvQtJ6]|40-44|Female|HIV_PREV.T_1|CY2021Q3</v>
      </c>
    </row>
    <row r="902" customFormat="false" ht="15" hidden="false" customHeight="false" outlineLevel="0" collapsed="false">
      <c r="D902" s="0" t="s">
        <v>111</v>
      </c>
      <c r="E902" s="0" t="s">
        <v>112</v>
      </c>
      <c r="F902" s="0" t="s">
        <v>47</v>
      </c>
      <c r="G902" s="0" t="s">
        <v>91</v>
      </c>
      <c r="H902" s="0" t="s">
        <v>92</v>
      </c>
      <c r="I902" s="0" t="s">
        <v>77</v>
      </c>
      <c r="J902" s="0" t="s">
        <v>78</v>
      </c>
      <c r="K902" s="0" t="s">
        <v>58</v>
      </c>
      <c r="L902" s="0" t="s">
        <v>59</v>
      </c>
      <c r="M902" s="0" t="s">
        <v>50</v>
      </c>
      <c r="N902" s="0" t="n">
        <v>0.3867853</v>
      </c>
      <c r="O902" s="0" t="n">
        <v>48</v>
      </c>
      <c r="P902" s="0" t="n">
        <v>4</v>
      </c>
      <c r="Q902" s="5" t="str">
        <f aca="false">IF($D902&lt;&gt;"","["&amp;$E902&amp;"]"&amp;"|"&amp;SUBSTITUTE(SUBSTITUTE($I902,CHAR(61),""),CHAR(34),"")&amp;"|"&amp;$K902&amp;"|"&amp;$G902&amp;"|"&amp;IF($G902="TX_CURR_SUBNAT.R","CY2020Q4",$M902),"")</f>
        <v>[zTaMbxvQtJ6]|40-44|Male|HIV_PREV.T_1|CY2021Q3</v>
      </c>
    </row>
    <row r="903" customFormat="false" ht="15" hidden="false" customHeight="false" outlineLevel="0" collapsed="false">
      <c r="D903" s="0" t="s">
        <v>111</v>
      </c>
      <c r="E903" s="0" t="s">
        <v>112</v>
      </c>
      <c r="F903" s="0" t="s">
        <v>47</v>
      </c>
      <c r="G903" s="0" t="s">
        <v>91</v>
      </c>
      <c r="H903" s="0" t="s">
        <v>92</v>
      </c>
      <c r="I903" s="0" t="s">
        <v>80</v>
      </c>
      <c r="J903" s="0" t="s">
        <v>81</v>
      </c>
      <c r="K903" s="0" t="s">
        <v>56</v>
      </c>
      <c r="L903" s="0" t="s">
        <v>57</v>
      </c>
      <c r="M903" s="0" t="s">
        <v>50</v>
      </c>
      <c r="N903" s="0" t="n">
        <v>0.4531533</v>
      </c>
      <c r="O903" s="0" t="n">
        <v>18</v>
      </c>
      <c r="P903" s="0" t="n">
        <v>31</v>
      </c>
      <c r="Q903" s="5" t="str">
        <f aca="false">IF($D903&lt;&gt;"","["&amp;$E903&amp;"]"&amp;"|"&amp;SUBSTITUTE(SUBSTITUTE($I903,CHAR(61),""),CHAR(34),"")&amp;"|"&amp;$K903&amp;"|"&amp;$G903&amp;"|"&amp;IF($G903="TX_CURR_SUBNAT.R","CY2020Q4",$M903),"")</f>
        <v>[zTaMbxvQtJ6]|45-49|Female|HIV_PREV.T_1|CY2021Q3</v>
      </c>
    </row>
    <row r="904" customFormat="false" ht="15" hidden="false" customHeight="false" outlineLevel="0" collapsed="false">
      <c r="D904" s="0" t="s">
        <v>111</v>
      </c>
      <c r="E904" s="0" t="s">
        <v>112</v>
      </c>
      <c r="F904" s="0" t="s">
        <v>47</v>
      </c>
      <c r="G904" s="0" t="s">
        <v>91</v>
      </c>
      <c r="H904" s="0" t="s">
        <v>92</v>
      </c>
      <c r="I904" s="0" t="s">
        <v>80</v>
      </c>
      <c r="J904" s="0" t="s">
        <v>81</v>
      </c>
      <c r="K904" s="0" t="s">
        <v>58</v>
      </c>
      <c r="L904" s="0" t="s">
        <v>59</v>
      </c>
      <c r="M904" s="0" t="s">
        <v>50</v>
      </c>
      <c r="N904" s="0" t="n">
        <v>0.4229576</v>
      </c>
      <c r="O904" s="0" t="n">
        <v>10</v>
      </c>
      <c r="P904" s="0" t="n">
        <v>31</v>
      </c>
      <c r="Q904" s="5" t="str">
        <f aca="false">IF($D904&lt;&gt;"","["&amp;$E904&amp;"]"&amp;"|"&amp;SUBSTITUTE(SUBSTITUTE($I904,CHAR(61),""),CHAR(34),"")&amp;"|"&amp;$K904&amp;"|"&amp;$G904&amp;"|"&amp;IF($G904="TX_CURR_SUBNAT.R","CY2020Q4",$M904),"")</f>
        <v>[zTaMbxvQtJ6]|45-49|Male|HIV_PREV.T_1|CY2021Q3</v>
      </c>
    </row>
    <row r="905" customFormat="false" ht="15" hidden="false" customHeight="false" outlineLevel="0" collapsed="false">
      <c r="D905" s="0" t="s">
        <v>111</v>
      </c>
      <c r="E905" s="0" t="s">
        <v>112</v>
      </c>
      <c r="F905" s="0" t="s">
        <v>47</v>
      </c>
      <c r="G905" s="0" t="s">
        <v>91</v>
      </c>
      <c r="H905" s="0" t="s">
        <v>92</v>
      </c>
      <c r="I905" s="0" t="s">
        <v>83</v>
      </c>
      <c r="J905" s="0" t="s">
        <v>84</v>
      </c>
      <c r="K905" s="0" t="s">
        <v>56</v>
      </c>
      <c r="L905" s="0" t="s">
        <v>57</v>
      </c>
      <c r="M905" s="0" t="s">
        <v>50</v>
      </c>
      <c r="N905" s="0" t="n">
        <v>0.0142577</v>
      </c>
      <c r="O905" s="0" t="n">
        <v>21</v>
      </c>
      <c r="P905" s="0" t="n">
        <v>49</v>
      </c>
      <c r="Q905" s="5" t="str">
        <f aca="false">IF($D905&lt;&gt;"","["&amp;$E905&amp;"]"&amp;"|"&amp;SUBSTITUTE(SUBSTITUTE($I905,CHAR(61),""),CHAR(34),"")&amp;"|"&amp;$K905&amp;"|"&amp;$G905&amp;"|"&amp;IF($G905="TX_CURR_SUBNAT.R","CY2020Q4",$M905),"")</f>
        <v>[zTaMbxvQtJ6]|05-09|Female|HIV_PREV.T_1|CY2021Q3</v>
      </c>
    </row>
    <row r="906" customFormat="false" ht="15" hidden="false" customHeight="false" outlineLevel="0" collapsed="false">
      <c r="D906" s="0" t="s">
        <v>111</v>
      </c>
      <c r="E906" s="0" t="s">
        <v>112</v>
      </c>
      <c r="F906" s="0" t="s">
        <v>47</v>
      </c>
      <c r="G906" s="0" t="s">
        <v>91</v>
      </c>
      <c r="H906" s="0" t="s">
        <v>92</v>
      </c>
      <c r="I906" s="0" t="s">
        <v>83</v>
      </c>
      <c r="J906" s="0" t="s">
        <v>84</v>
      </c>
      <c r="K906" s="0" t="s">
        <v>58</v>
      </c>
      <c r="L906" s="0" t="s">
        <v>59</v>
      </c>
      <c r="M906" s="0" t="s">
        <v>50</v>
      </c>
      <c r="N906" s="0" t="n">
        <v>0.0138116</v>
      </c>
      <c r="O906" s="0" t="n">
        <v>19</v>
      </c>
      <c r="P906" s="0" t="n">
        <v>24</v>
      </c>
      <c r="Q906" s="5" t="str">
        <f aca="false">IF($D906&lt;&gt;"","["&amp;$E906&amp;"]"&amp;"|"&amp;SUBSTITUTE(SUBSTITUTE($I906,CHAR(61),""),CHAR(34),"")&amp;"|"&amp;$K906&amp;"|"&amp;$G906&amp;"|"&amp;IF($G906="TX_CURR_SUBNAT.R","CY2020Q4",$M906),"")</f>
        <v>[zTaMbxvQtJ6]|05-09|Male|HIV_PREV.T_1|CY2021Q3</v>
      </c>
    </row>
    <row r="907" customFormat="false" ht="15" hidden="false" customHeight="false" outlineLevel="0" collapsed="false">
      <c r="D907" s="0" t="s">
        <v>111</v>
      </c>
      <c r="E907" s="0" t="s">
        <v>112</v>
      </c>
      <c r="F907" s="0" t="s">
        <v>47</v>
      </c>
      <c r="G907" s="0" t="s">
        <v>91</v>
      </c>
      <c r="H907" s="0" t="s">
        <v>92</v>
      </c>
      <c r="I907" s="53" t="s">
        <v>86</v>
      </c>
      <c r="J907" s="0" t="s">
        <v>87</v>
      </c>
      <c r="K907" s="0" t="s">
        <v>56</v>
      </c>
      <c r="L907" s="0" t="s">
        <v>57</v>
      </c>
      <c r="M907" s="0" t="s">
        <v>50</v>
      </c>
      <c r="N907" s="0" t="n">
        <v>0.2367692</v>
      </c>
      <c r="O907" s="0" t="n">
        <v>52</v>
      </c>
      <c r="P907" s="0" t="n">
        <v>22</v>
      </c>
      <c r="Q907" s="5" t="str">
        <f aca="false">IF($D907&lt;&gt;"","["&amp;$E907&amp;"]"&amp;"|"&amp;SUBSTITUTE(SUBSTITUTE($I907,CHAR(61),""),CHAR(34),"")&amp;"|"&amp;$K907&amp;"|"&amp;$G907&amp;"|"&amp;IF($G907="TX_CURR_SUBNAT.R","CY2020Q4",$M907),"")</f>
        <v>[zTaMbxvQtJ6]|50+|Female|HIV_PREV.T_1|CY2021Q3</v>
      </c>
    </row>
    <row r="908" customFormat="false" ht="15" hidden="false" customHeight="false" outlineLevel="0" collapsed="false">
      <c r="D908" s="0" t="s">
        <v>111</v>
      </c>
      <c r="E908" s="0" t="s">
        <v>112</v>
      </c>
      <c r="F908" s="0" t="s">
        <v>47</v>
      </c>
      <c r="G908" s="0" t="s">
        <v>91</v>
      </c>
      <c r="H908" s="0" t="s">
        <v>92</v>
      </c>
      <c r="I908" s="53" t="s">
        <v>86</v>
      </c>
      <c r="J908" s="0" t="s">
        <v>87</v>
      </c>
      <c r="K908" s="0" t="s">
        <v>58</v>
      </c>
      <c r="L908" s="0" t="s">
        <v>59</v>
      </c>
      <c r="M908" s="0" t="s">
        <v>50</v>
      </c>
      <c r="N908" s="0" t="n">
        <v>0.2711099</v>
      </c>
      <c r="O908" s="0" t="n">
        <v>20</v>
      </c>
      <c r="P908" s="0" t="n">
        <v>49</v>
      </c>
      <c r="Q908" s="5" t="str">
        <f aca="false">IF($D908&lt;&gt;"","["&amp;$E908&amp;"]"&amp;"|"&amp;SUBSTITUTE(SUBSTITUTE($I908,CHAR(61),""),CHAR(34),"")&amp;"|"&amp;$K908&amp;"|"&amp;$G908&amp;"|"&amp;IF($G908="TX_CURR_SUBNAT.R","CY2020Q4",$M908),"")</f>
        <v>[zTaMbxvQtJ6]|50+|Male|HIV_PREV.T_1|CY2021Q3</v>
      </c>
    </row>
    <row r="909" customFormat="false" ht="15" hidden="false" customHeight="false" outlineLevel="0" collapsed="false">
      <c r="D909" s="0" t="s">
        <v>111</v>
      </c>
      <c r="E909" s="0" t="s">
        <v>112</v>
      </c>
      <c r="F909" s="0" t="s">
        <v>47</v>
      </c>
      <c r="G909" s="0" t="s">
        <v>91</v>
      </c>
      <c r="H909" s="0" t="s">
        <v>92</v>
      </c>
      <c r="I909" s="0" t="s">
        <v>89</v>
      </c>
      <c r="J909" s="0" t="s">
        <v>90</v>
      </c>
      <c r="K909" s="0" t="s">
        <v>56</v>
      </c>
      <c r="L909" s="0" t="s">
        <v>57</v>
      </c>
      <c r="M909" s="0" t="s">
        <v>50</v>
      </c>
      <c r="N909" s="0" t="n">
        <v>0.0066988</v>
      </c>
      <c r="O909" s="0" t="n">
        <v>12</v>
      </c>
      <c r="P909" s="0" t="n">
        <v>44</v>
      </c>
      <c r="Q909" s="5" t="str">
        <f aca="false">IF($D909&lt;&gt;"","["&amp;$E909&amp;"]"&amp;"|"&amp;SUBSTITUTE(SUBSTITUTE($I909,CHAR(61),""),CHAR(34),"")&amp;"|"&amp;$K909&amp;"|"&amp;$G909&amp;"|"&amp;IF($G909="TX_CURR_SUBNAT.R","CY2020Q4",$M909),"")</f>
        <v>[zTaMbxvQtJ6]|&lt;01|Female|HIV_PREV.T_1|CY2021Q3</v>
      </c>
    </row>
    <row r="910" customFormat="false" ht="15" hidden="false" customHeight="false" outlineLevel="0" collapsed="false">
      <c r="D910" s="0" t="s">
        <v>111</v>
      </c>
      <c r="E910" s="0" t="s">
        <v>112</v>
      </c>
      <c r="F910" s="0" t="s">
        <v>47</v>
      </c>
      <c r="G910" s="0" t="s">
        <v>91</v>
      </c>
      <c r="H910" s="0" t="s">
        <v>92</v>
      </c>
      <c r="I910" s="0" t="s">
        <v>89</v>
      </c>
      <c r="J910" s="0" t="s">
        <v>90</v>
      </c>
      <c r="K910" s="0" t="s">
        <v>58</v>
      </c>
      <c r="L910" s="0" t="s">
        <v>59</v>
      </c>
      <c r="M910" s="0" t="s">
        <v>50</v>
      </c>
      <c r="N910" s="0" t="n">
        <v>0.0067041</v>
      </c>
      <c r="O910" s="0" t="n">
        <v>12</v>
      </c>
      <c r="P910" s="0" t="n">
        <v>7</v>
      </c>
      <c r="Q910" s="5" t="str">
        <f aca="false">IF($D910&lt;&gt;"","["&amp;$E910&amp;"]"&amp;"|"&amp;SUBSTITUTE(SUBSTITUTE($I910,CHAR(61),""),CHAR(34),"")&amp;"|"&amp;$K910&amp;"|"&amp;$G910&amp;"|"&amp;IF($G910="TX_CURR_SUBNAT.R","CY2020Q4",$M910),"")</f>
        <v>[zTaMbxvQtJ6]|&lt;01|Male|HIV_PREV.T_1|CY2021Q3</v>
      </c>
    </row>
    <row r="911" customFormat="false" ht="15" hidden="false" customHeight="false" outlineLevel="0" collapsed="false">
      <c r="D911" s="0" t="s">
        <v>111</v>
      </c>
      <c r="E911" s="0" t="s">
        <v>112</v>
      </c>
      <c r="F911" s="0" t="s">
        <v>47</v>
      </c>
      <c r="G911" s="0" t="s">
        <v>93</v>
      </c>
      <c r="H911" s="0" t="s">
        <v>94</v>
      </c>
      <c r="I911" s="0" t="s">
        <v>54</v>
      </c>
      <c r="J911" s="0" t="s">
        <v>55</v>
      </c>
      <c r="K911" s="0" t="s">
        <v>56</v>
      </c>
      <c r="L911" s="0" t="s">
        <v>57</v>
      </c>
      <c r="M911" s="0" t="s">
        <v>50</v>
      </c>
      <c r="N911" s="0" t="n">
        <v>9</v>
      </c>
      <c r="O911" s="0" t="n">
        <v>24</v>
      </c>
      <c r="P911" s="0" t="n">
        <v>48</v>
      </c>
      <c r="Q911" s="5" t="str">
        <f aca="false">IF($D911&lt;&gt;"","["&amp;$E911&amp;"]"&amp;"|"&amp;SUBSTITUTE(SUBSTITUTE($I911,CHAR(61),""),CHAR(34),"")&amp;"|"&amp;$K911&amp;"|"&amp;$G911&amp;"|"&amp;IF($G911="TX_CURR_SUBNAT.R","CY2020Q4",$M911),"")</f>
        <v>[zTaMbxvQtJ6]|01-04|Female|DIAGNOSED_SUBNAT.T_1|CY2021Q3</v>
      </c>
    </row>
    <row r="912" customFormat="false" ht="15" hidden="false" customHeight="false" outlineLevel="0" collapsed="false">
      <c r="D912" s="0" t="s">
        <v>111</v>
      </c>
      <c r="E912" s="0" t="s">
        <v>112</v>
      </c>
      <c r="F912" s="0" t="s">
        <v>47</v>
      </c>
      <c r="G912" s="0" t="s">
        <v>93</v>
      </c>
      <c r="H912" s="0" t="s">
        <v>94</v>
      </c>
      <c r="I912" s="0" t="s">
        <v>54</v>
      </c>
      <c r="J912" s="0" t="s">
        <v>55</v>
      </c>
      <c r="K912" s="0" t="s">
        <v>58</v>
      </c>
      <c r="L912" s="0" t="s">
        <v>59</v>
      </c>
      <c r="M912" s="0" t="s">
        <v>50</v>
      </c>
      <c r="N912" s="0" t="n">
        <v>9</v>
      </c>
      <c r="O912" s="0" t="n">
        <v>15</v>
      </c>
      <c r="P912" s="0" t="n">
        <v>14</v>
      </c>
      <c r="Q912" s="5" t="str">
        <f aca="false">IF($D912&lt;&gt;"","["&amp;$E912&amp;"]"&amp;"|"&amp;SUBSTITUTE(SUBSTITUTE($I912,CHAR(61),""),CHAR(34),"")&amp;"|"&amp;$K912&amp;"|"&amp;$G912&amp;"|"&amp;IF($G912="TX_CURR_SUBNAT.R","CY2020Q4",$M912),"")</f>
        <v>[zTaMbxvQtJ6]|01-04|Male|DIAGNOSED_SUBNAT.T_1|CY2021Q3</v>
      </c>
    </row>
    <row r="913" customFormat="false" ht="15" hidden="false" customHeight="false" outlineLevel="0" collapsed="false">
      <c r="D913" s="0" t="s">
        <v>111</v>
      </c>
      <c r="E913" s="0" t="s">
        <v>112</v>
      </c>
      <c r="F913" s="0" t="s">
        <v>47</v>
      </c>
      <c r="G913" s="0" t="s">
        <v>93</v>
      </c>
      <c r="H913" s="0" t="s">
        <v>94</v>
      </c>
      <c r="I913" s="0" t="s">
        <v>61</v>
      </c>
      <c r="J913" s="0" t="s">
        <v>62</v>
      </c>
      <c r="K913" s="0" t="s">
        <v>56</v>
      </c>
      <c r="L913" s="0" t="s">
        <v>57</v>
      </c>
      <c r="M913" s="0" t="s">
        <v>50</v>
      </c>
      <c r="N913" s="0" t="n">
        <v>75</v>
      </c>
      <c r="O913" s="0" t="n">
        <v>8</v>
      </c>
      <c r="P913" s="0" t="n">
        <v>21</v>
      </c>
      <c r="Q913" s="5" t="str">
        <f aca="false">IF($D913&lt;&gt;"","["&amp;$E913&amp;"]"&amp;"|"&amp;SUBSTITUTE(SUBSTITUTE($I913,CHAR(61),""),CHAR(34),"")&amp;"|"&amp;$K913&amp;"|"&amp;$G913&amp;"|"&amp;IF($G913="TX_CURR_SUBNAT.R","CY2020Q4",$M913),"")</f>
        <v>[zTaMbxvQtJ6]|10-14|Female|DIAGNOSED_SUBNAT.T_1|CY2021Q3</v>
      </c>
    </row>
    <row r="914" customFormat="false" ht="15" hidden="false" customHeight="false" outlineLevel="0" collapsed="false">
      <c r="D914" s="0" t="s">
        <v>111</v>
      </c>
      <c r="E914" s="0" t="s">
        <v>112</v>
      </c>
      <c r="F914" s="0" t="s">
        <v>47</v>
      </c>
      <c r="G914" s="0" t="s">
        <v>93</v>
      </c>
      <c r="H914" s="0" t="s">
        <v>94</v>
      </c>
      <c r="I914" s="0" t="s">
        <v>61</v>
      </c>
      <c r="J914" s="0" t="s">
        <v>62</v>
      </c>
      <c r="K914" s="0" t="s">
        <v>58</v>
      </c>
      <c r="L914" s="0" t="s">
        <v>59</v>
      </c>
      <c r="M914" s="0" t="s">
        <v>50</v>
      </c>
      <c r="N914" s="0" t="n">
        <v>77</v>
      </c>
      <c r="O914" s="0" t="n">
        <v>49</v>
      </c>
      <c r="P914" s="0" t="n">
        <v>32</v>
      </c>
      <c r="Q914" s="5" t="str">
        <f aca="false">IF($D914&lt;&gt;"","["&amp;$E914&amp;"]"&amp;"|"&amp;SUBSTITUTE(SUBSTITUTE($I914,CHAR(61),""),CHAR(34),"")&amp;"|"&amp;$K914&amp;"|"&amp;$G914&amp;"|"&amp;IF($G914="TX_CURR_SUBNAT.R","CY2020Q4",$M914),"")</f>
        <v>[zTaMbxvQtJ6]|10-14|Male|DIAGNOSED_SUBNAT.T_1|CY2021Q3</v>
      </c>
    </row>
    <row r="915" customFormat="false" ht="15" hidden="false" customHeight="false" outlineLevel="0" collapsed="false">
      <c r="D915" s="0" t="s">
        <v>111</v>
      </c>
      <c r="E915" s="0" t="s">
        <v>112</v>
      </c>
      <c r="F915" s="0" t="s">
        <v>47</v>
      </c>
      <c r="G915" s="0" t="s">
        <v>93</v>
      </c>
      <c r="H915" s="0" t="s">
        <v>94</v>
      </c>
      <c r="I915" s="0" t="s">
        <v>63</v>
      </c>
      <c r="J915" s="0" t="s">
        <v>64</v>
      </c>
      <c r="K915" s="0" t="s">
        <v>56</v>
      </c>
      <c r="L915" s="0" t="s">
        <v>57</v>
      </c>
      <c r="M915" s="0" t="s">
        <v>50</v>
      </c>
      <c r="N915" s="0" t="n">
        <v>143</v>
      </c>
      <c r="O915" s="0" t="n">
        <v>42</v>
      </c>
      <c r="P915" s="0" t="n">
        <v>13</v>
      </c>
      <c r="Q915" s="5" t="str">
        <f aca="false">IF($D915&lt;&gt;"","["&amp;$E915&amp;"]"&amp;"|"&amp;SUBSTITUTE(SUBSTITUTE($I915,CHAR(61),""),CHAR(34),"")&amp;"|"&amp;$K915&amp;"|"&amp;$G915&amp;"|"&amp;IF($G915="TX_CURR_SUBNAT.R","CY2020Q4",$M915),"")</f>
        <v>[zTaMbxvQtJ6]|15-19|Female|DIAGNOSED_SUBNAT.T_1|CY2021Q3</v>
      </c>
    </row>
    <row r="916" customFormat="false" ht="15" hidden="false" customHeight="false" outlineLevel="0" collapsed="false">
      <c r="D916" s="0" t="s">
        <v>111</v>
      </c>
      <c r="E916" s="0" t="s">
        <v>112</v>
      </c>
      <c r="F916" s="0" t="s">
        <v>47</v>
      </c>
      <c r="G916" s="0" t="s">
        <v>93</v>
      </c>
      <c r="H916" s="0" t="s">
        <v>94</v>
      </c>
      <c r="I916" s="0" t="s">
        <v>63</v>
      </c>
      <c r="J916" s="0" t="s">
        <v>64</v>
      </c>
      <c r="K916" s="0" t="s">
        <v>58</v>
      </c>
      <c r="L916" s="0" t="s">
        <v>59</v>
      </c>
      <c r="M916" s="0" t="s">
        <v>50</v>
      </c>
      <c r="N916" s="0" t="n">
        <v>108</v>
      </c>
      <c r="O916" s="0" t="n">
        <v>5</v>
      </c>
      <c r="P916" s="0" t="n">
        <v>49</v>
      </c>
      <c r="Q916" s="5" t="str">
        <f aca="false">IF($D916&lt;&gt;"","["&amp;$E916&amp;"]"&amp;"|"&amp;SUBSTITUTE(SUBSTITUTE($I916,CHAR(61),""),CHAR(34),"")&amp;"|"&amp;$K916&amp;"|"&amp;$G916&amp;"|"&amp;IF($G916="TX_CURR_SUBNAT.R","CY2020Q4",$M916),"")</f>
        <v>[zTaMbxvQtJ6]|15-19|Male|DIAGNOSED_SUBNAT.T_1|CY2021Q3</v>
      </c>
    </row>
    <row r="917" customFormat="false" ht="15" hidden="false" customHeight="false" outlineLevel="0" collapsed="false">
      <c r="D917" s="0" t="s">
        <v>111</v>
      </c>
      <c r="E917" s="0" t="s">
        <v>112</v>
      </c>
      <c r="F917" s="0" t="s">
        <v>47</v>
      </c>
      <c r="G917" s="0" t="s">
        <v>93</v>
      </c>
      <c r="H917" s="0" t="s">
        <v>94</v>
      </c>
      <c r="I917" s="0" t="s">
        <v>66</v>
      </c>
      <c r="J917" s="0" t="s">
        <v>67</v>
      </c>
      <c r="K917" s="0" t="s">
        <v>56</v>
      </c>
      <c r="L917" s="0" t="s">
        <v>57</v>
      </c>
      <c r="M917" s="0" t="s">
        <v>50</v>
      </c>
      <c r="N917" s="0" t="n">
        <v>307</v>
      </c>
      <c r="O917" s="0" t="n">
        <v>59</v>
      </c>
      <c r="P917" s="0" t="n">
        <v>2</v>
      </c>
      <c r="Q917" s="5" t="str">
        <f aca="false">IF($D917&lt;&gt;"","["&amp;$E917&amp;"]"&amp;"|"&amp;SUBSTITUTE(SUBSTITUTE($I917,CHAR(61),""),CHAR(34),"")&amp;"|"&amp;$K917&amp;"|"&amp;$G917&amp;"|"&amp;IF($G917="TX_CURR_SUBNAT.R","CY2020Q4",$M917),"")</f>
        <v>[zTaMbxvQtJ6]|20-24|Female|DIAGNOSED_SUBNAT.T_1|CY2021Q3</v>
      </c>
    </row>
    <row r="918" customFormat="false" ht="15" hidden="false" customHeight="false" outlineLevel="0" collapsed="false">
      <c r="D918" s="0" t="s">
        <v>111</v>
      </c>
      <c r="E918" s="0" t="s">
        <v>112</v>
      </c>
      <c r="F918" s="0" t="s">
        <v>47</v>
      </c>
      <c r="G918" s="0" t="s">
        <v>93</v>
      </c>
      <c r="H918" s="0" t="s">
        <v>94</v>
      </c>
      <c r="I918" s="0" t="s">
        <v>66</v>
      </c>
      <c r="J918" s="0" t="s">
        <v>67</v>
      </c>
      <c r="K918" s="0" t="s">
        <v>58</v>
      </c>
      <c r="L918" s="0" t="s">
        <v>59</v>
      </c>
      <c r="M918" s="0" t="s">
        <v>50</v>
      </c>
      <c r="N918" s="0" t="n">
        <v>118</v>
      </c>
      <c r="O918" s="0" t="n">
        <v>17</v>
      </c>
      <c r="P918" s="0" t="n">
        <v>13</v>
      </c>
      <c r="Q918" s="5" t="str">
        <f aca="false">IF($D918&lt;&gt;"","["&amp;$E918&amp;"]"&amp;"|"&amp;SUBSTITUTE(SUBSTITUTE($I918,CHAR(61),""),CHAR(34),"")&amp;"|"&amp;$K918&amp;"|"&amp;$G918&amp;"|"&amp;IF($G918="TX_CURR_SUBNAT.R","CY2020Q4",$M918),"")</f>
        <v>[zTaMbxvQtJ6]|20-24|Male|DIAGNOSED_SUBNAT.T_1|CY2021Q3</v>
      </c>
    </row>
    <row r="919" customFormat="false" ht="15" hidden="false" customHeight="false" outlineLevel="0" collapsed="false">
      <c r="D919" s="0" t="s">
        <v>111</v>
      </c>
      <c r="E919" s="0" t="s">
        <v>112</v>
      </c>
      <c r="F919" s="0" t="s">
        <v>47</v>
      </c>
      <c r="G919" s="0" t="s">
        <v>93</v>
      </c>
      <c r="H919" s="0" t="s">
        <v>94</v>
      </c>
      <c r="I919" s="0" t="s">
        <v>69</v>
      </c>
      <c r="J919" s="0" t="s">
        <v>70</v>
      </c>
      <c r="K919" s="0" t="s">
        <v>56</v>
      </c>
      <c r="L919" s="0" t="s">
        <v>57</v>
      </c>
      <c r="M919" s="0" t="s">
        <v>50</v>
      </c>
      <c r="N919" s="0" t="n">
        <v>496</v>
      </c>
      <c r="O919" s="0" t="n">
        <v>52</v>
      </c>
      <c r="P919" s="0" t="n">
        <v>41</v>
      </c>
      <c r="Q919" s="5" t="str">
        <f aca="false">IF($D919&lt;&gt;"","["&amp;$E919&amp;"]"&amp;"|"&amp;SUBSTITUTE(SUBSTITUTE($I919,CHAR(61),""),CHAR(34),"")&amp;"|"&amp;$K919&amp;"|"&amp;$G919&amp;"|"&amp;IF($G919="TX_CURR_SUBNAT.R","CY2020Q4",$M919),"")</f>
        <v>[zTaMbxvQtJ6]|25-29|Female|DIAGNOSED_SUBNAT.T_1|CY2021Q3</v>
      </c>
    </row>
    <row r="920" customFormat="false" ht="15" hidden="false" customHeight="false" outlineLevel="0" collapsed="false">
      <c r="D920" s="0" t="s">
        <v>111</v>
      </c>
      <c r="E920" s="0" t="s">
        <v>112</v>
      </c>
      <c r="F920" s="0" t="s">
        <v>47</v>
      </c>
      <c r="G920" s="0" t="s">
        <v>93</v>
      </c>
      <c r="H920" s="0" t="s">
        <v>94</v>
      </c>
      <c r="I920" s="0" t="s">
        <v>69</v>
      </c>
      <c r="J920" s="0" t="s">
        <v>70</v>
      </c>
      <c r="K920" s="0" t="s">
        <v>58</v>
      </c>
      <c r="L920" s="0" t="s">
        <v>59</v>
      </c>
      <c r="M920" s="0" t="s">
        <v>50</v>
      </c>
      <c r="N920" s="0" t="n">
        <v>193</v>
      </c>
      <c r="O920" s="0" t="n">
        <v>18</v>
      </c>
      <c r="P920" s="0" t="n">
        <v>22</v>
      </c>
      <c r="Q920" s="5" t="str">
        <f aca="false">IF($D920&lt;&gt;"","["&amp;$E920&amp;"]"&amp;"|"&amp;SUBSTITUTE(SUBSTITUTE($I920,CHAR(61),""),CHAR(34),"")&amp;"|"&amp;$K920&amp;"|"&amp;$G920&amp;"|"&amp;IF($G920="TX_CURR_SUBNAT.R","CY2020Q4",$M920),"")</f>
        <v>[zTaMbxvQtJ6]|25-29|Male|DIAGNOSED_SUBNAT.T_1|CY2021Q3</v>
      </c>
    </row>
    <row r="921" customFormat="false" ht="15" hidden="false" customHeight="false" outlineLevel="0" collapsed="false">
      <c r="D921" s="0" t="s">
        <v>111</v>
      </c>
      <c r="E921" s="0" t="s">
        <v>112</v>
      </c>
      <c r="F921" s="0" t="s">
        <v>47</v>
      </c>
      <c r="G921" s="0" t="s">
        <v>93</v>
      </c>
      <c r="H921" s="0" t="s">
        <v>94</v>
      </c>
      <c r="I921" s="0" t="s">
        <v>72</v>
      </c>
      <c r="J921" s="0" t="s">
        <v>73</v>
      </c>
      <c r="K921" s="0" t="s">
        <v>56</v>
      </c>
      <c r="L921" s="0" t="s">
        <v>57</v>
      </c>
      <c r="M921" s="0" t="s">
        <v>50</v>
      </c>
      <c r="N921" s="0" t="n">
        <v>637</v>
      </c>
      <c r="O921" s="0" t="n">
        <v>42</v>
      </c>
      <c r="P921" s="0" t="n">
        <v>29</v>
      </c>
      <c r="Q921" s="5" t="str">
        <f aca="false">IF($D921&lt;&gt;"","["&amp;$E921&amp;"]"&amp;"|"&amp;SUBSTITUTE(SUBSTITUTE($I921,CHAR(61),""),CHAR(34),"")&amp;"|"&amp;$K921&amp;"|"&amp;$G921&amp;"|"&amp;IF($G921="TX_CURR_SUBNAT.R","CY2020Q4",$M921),"")</f>
        <v>[zTaMbxvQtJ6]|30-34|Female|DIAGNOSED_SUBNAT.T_1|CY2021Q3</v>
      </c>
    </row>
    <row r="922" customFormat="false" ht="15" hidden="false" customHeight="false" outlineLevel="0" collapsed="false">
      <c r="D922" s="0" t="s">
        <v>111</v>
      </c>
      <c r="E922" s="0" t="s">
        <v>112</v>
      </c>
      <c r="F922" s="0" t="s">
        <v>47</v>
      </c>
      <c r="G922" s="0" t="s">
        <v>93</v>
      </c>
      <c r="H922" s="0" t="s">
        <v>94</v>
      </c>
      <c r="I922" s="0" t="s">
        <v>72</v>
      </c>
      <c r="J922" s="0" t="s">
        <v>73</v>
      </c>
      <c r="K922" s="0" t="s">
        <v>58</v>
      </c>
      <c r="L922" s="0" t="s">
        <v>59</v>
      </c>
      <c r="M922" s="0" t="s">
        <v>50</v>
      </c>
      <c r="N922" s="0" t="n">
        <v>319</v>
      </c>
      <c r="O922" s="0" t="n">
        <v>35</v>
      </c>
      <c r="P922" s="0" t="n">
        <v>5</v>
      </c>
      <c r="Q922" s="5" t="str">
        <f aca="false">IF($D922&lt;&gt;"","["&amp;$E922&amp;"]"&amp;"|"&amp;SUBSTITUTE(SUBSTITUTE($I922,CHAR(61),""),CHAR(34),"")&amp;"|"&amp;$K922&amp;"|"&amp;$G922&amp;"|"&amp;IF($G922="TX_CURR_SUBNAT.R","CY2020Q4",$M922),"")</f>
        <v>[zTaMbxvQtJ6]|30-34|Male|DIAGNOSED_SUBNAT.T_1|CY2021Q3</v>
      </c>
    </row>
    <row r="923" customFormat="false" ht="15" hidden="false" customHeight="false" outlineLevel="0" collapsed="false">
      <c r="D923" s="0" t="s">
        <v>111</v>
      </c>
      <c r="E923" s="0" t="s">
        <v>112</v>
      </c>
      <c r="F923" s="0" t="s">
        <v>47</v>
      </c>
      <c r="G923" s="0" t="s">
        <v>93</v>
      </c>
      <c r="H923" s="0" t="s">
        <v>94</v>
      </c>
      <c r="I923" s="0" t="s">
        <v>75</v>
      </c>
      <c r="J923" s="0" t="s">
        <v>76</v>
      </c>
      <c r="K923" s="0" t="s">
        <v>56</v>
      </c>
      <c r="L923" s="0" t="s">
        <v>57</v>
      </c>
      <c r="M923" s="0" t="s">
        <v>50</v>
      </c>
      <c r="N923" s="0" t="n">
        <v>703</v>
      </c>
      <c r="O923" s="0" t="n">
        <v>34</v>
      </c>
      <c r="P923" s="0" t="n">
        <v>50</v>
      </c>
      <c r="Q923" s="5" t="str">
        <f aca="false">IF($D923&lt;&gt;"","["&amp;$E923&amp;"]"&amp;"|"&amp;SUBSTITUTE(SUBSTITUTE($I923,CHAR(61),""),CHAR(34),"")&amp;"|"&amp;$K923&amp;"|"&amp;$G923&amp;"|"&amp;IF($G923="TX_CURR_SUBNAT.R","CY2020Q4",$M923),"")</f>
        <v>[zTaMbxvQtJ6]|35-39|Female|DIAGNOSED_SUBNAT.T_1|CY2021Q3</v>
      </c>
    </row>
    <row r="924" customFormat="false" ht="15" hidden="false" customHeight="false" outlineLevel="0" collapsed="false">
      <c r="D924" s="0" t="s">
        <v>111</v>
      </c>
      <c r="E924" s="0" t="s">
        <v>112</v>
      </c>
      <c r="F924" s="0" t="s">
        <v>47</v>
      </c>
      <c r="G924" s="0" t="s">
        <v>93</v>
      </c>
      <c r="H924" s="0" t="s">
        <v>94</v>
      </c>
      <c r="I924" s="0" t="s">
        <v>75</v>
      </c>
      <c r="J924" s="0" t="s">
        <v>76</v>
      </c>
      <c r="K924" s="0" t="s">
        <v>58</v>
      </c>
      <c r="L924" s="0" t="s">
        <v>59</v>
      </c>
      <c r="M924" s="0" t="s">
        <v>50</v>
      </c>
      <c r="N924" s="0" t="n">
        <v>444</v>
      </c>
      <c r="O924" s="0" t="n">
        <v>15</v>
      </c>
      <c r="P924" s="0" t="n">
        <v>35</v>
      </c>
      <c r="Q924" s="5" t="str">
        <f aca="false">IF($D924&lt;&gt;"","["&amp;$E924&amp;"]"&amp;"|"&amp;SUBSTITUTE(SUBSTITUTE($I924,CHAR(61),""),CHAR(34),"")&amp;"|"&amp;$K924&amp;"|"&amp;$G924&amp;"|"&amp;IF($G924="TX_CURR_SUBNAT.R","CY2020Q4",$M924),"")</f>
        <v>[zTaMbxvQtJ6]|35-39|Male|DIAGNOSED_SUBNAT.T_1|CY2021Q3</v>
      </c>
    </row>
    <row r="925" customFormat="false" ht="15" hidden="false" customHeight="false" outlineLevel="0" collapsed="false">
      <c r="D925" s="0" t="s">
        <v>111</v>
      </c>
      <c r="E925" s="0" t="s">
        <v>112</v>
      </c>
      <c r="F925" s="0" t="s">
        <v>47</v>
      </c>
      <c r="G925" s="0" t="s">
        <v>93</v>
      </c>
      <c r="H925" s="0" t="s">
        <v>94</v>
      </c>
      <c r="I925" s="0" t="s">
        <v>77</v>
      </c>
      <c r="J925" s="0" t="s">
        <v>78</v>
      </c>
      <c r="K925" s="0" t="s">
        <v>56</v>
      </c>
      <c r="L925" s="0" t="s">
        <v>57</v>
      </c>
      <c r="M925" s="0" t="s">
        <v>50</v>
      </c>
      <c r="N925" s="0" t="n">
        <v>688</v>
      </c>
      <c r="O925" s="0" t="n">
        <v>23</v>
      </c>
      <c r="P925" s="0" t="n">
        <v>44</v>
      </c>
      <c r="Q925" s="5" t="str">
        <f aca="false">IF($D925&lt;&gt;"","["&amp;$E925&amp;"]"&amp;"|"&amp;SUBSTITUTE(SUBSTITUTE($I925,CHAR(61),""),CHAR(34),"")&amp;"|"&amp;$K925&amp;"|"&amp;$G925&amp;"|"&amp;IF($G925="TX_CURR_SUBNAT.R","CY2020Q4",$M925),"")</f>
        <v>[zTaMbxvQtJ6]|40-44|Female|DIAGNOSED_SUBNAT.T_1|CY2021Q3</v>
      </c>
    </row>
    <row r="926" customFormat="false" ht="15" hidden="false" customHeight="false" outlineLevel="0" collapsed="false">
      <c r="D926" s="0" t="s">
        <v>111</v>
      </c>
      <c r="E926" s="0" t="s">
        <v>112</v>
      </c>
      <c r="F926" s="0" t="s">
        <v>47</v>
      </c>
      <c r="G926" s="0" t="s">
        <v>93</v>
      </c>
      <c r="H926" s="0" t="s">
        <v>94</v>
      </c>
      <c r="I926" s="0" t="s">
        <v>77</v>
      </c>
      <c r="J926" s="0" t="s">
        <v>78</v>
      </c>
      <c r="K926" s="0" t="s">
        <v>58</v>
      </c>
      <c r="L926" s="0" t="s">
        <v>59</v>
      </c>
      <c r="M926" s="0" t="s">
        <v>50</v>
      </c>
      <c r="N926" s="0" t="n">
        <v>463</v>
      </c>
      <c r="O926" s="0" t="n">
        <v>23</v>
      </c>
      <c r="P926" s="0" t="n">
        <v>10</v>
      </c>
      <c r="Q926" s="5" t="str">
        <f aca="false">IF($D926&lt;&gt;"","["&amp;$E926&amp;"]"&amp;"|"&amp;SUBSTITUTE(SUBSTITUTE($I926,CHAR(61),""),CHAR(34),"")&amp;"|"&amp;$K926&amp;"|"&amp;$G926&amp;"|"&amp;IF($G926="TX_CURR_SUBNAT.R","CY2020Q4",$M926),"")</f>
        <v>[zTaMbxvQtJ6]|40-44|Male|DIAGNOSED_SUBNAT.T_1|CY2021Q3</v>
      </c>
    </row>
    <row r="927" customFormat="false" ht="15" hidden="false" customHeight="false" outlineLevel="0" collapsed="false">
      <c r="D927" s="0" t="s">
        <v>111</v>
      </c>
      <c r="E927" s="0" t="s">
        <v>112</v>
      </c>
      <c r="F927" s="0" t="s">
        <v>47</v>
      </c>
      <c r="G927" s="0" t="s">
        <v>93</v>
      </c>
      <c r="H927" s="0" t="s">
        <v>94</v>
      </c>
      <c r="I927" s="0" t="s">
        <v>80</v>
      </c>
      <c r="J927" s="0" t="s">
        <v>81</v>
      </c>
      <c r="K927" s="0" t="s">
        <v>56</v>
      </c>
      <c r="L927" s="0" t="s">
        <v>57</v>
      </c>
      <c r="M927" s="0" t="s">
        <v>50</v>
      </c>
      <c r="N927" s="0" t="n">
        <v>553</v>
      </c>
      <c r="O927" s="0" t="n">
        <v>60</v>
      </c>
      <c r="P927" s="0" t="n">
        <v>41</v>
      </c>
      <c r="Q927" s="5" t="str">
        <f aca="false">IF($D927&lt;&gt;"","["&amp;$E927&amp;"]"&amp;"|"&amp;SUBSTITUTE(SUBSTITUTE($I927,CHAR(61),""),CHAR(34),"")&amp;"|"&amp;$K927&amp;"|"&amp;$G927&amp;"|"&amp;IF($G927="TX_CURR_SUBNAT.R","CY2020Q4",$M927),"")</f>
        <v>[zTaMbxvQtJ6]|45-49|Female|DIAGNOSED_SUBNAT.T_1|CY2021Q3</v>
      </c>
    </row>
    <row r="928" customFormat="false" ht="15" hidden="false" customHeight="false" outlineLevel="0" collapsed="false">
      <c r="D928" s="0" t="s">
        <v>111</v>
      </c>
      <c r="E928" s="0" t="s">
        <v>112</v>
      </c>
      <c r="F928" s="0" t="s">
        <v>47</v>
      </c>
      <c r="G928" s="0" t="s">
        <v>93</v>
      </c>
      <c r="H928" s="0" t="s">
        <v>94</v>
      </c>
      <c r="I928" s="0" t="s">
        <v>80</v>
      </c>
      <c r="J928" s="0" t="s">
        <v>81</v>
      </c>
      <c r="K928" s="0" t="s">
        <v>58</v>
      </c>
      <c r="L928" s="0" t="s">
        <v>59</v>
      </c>
      <c r="M928" s="0" t="s">
        <v>50</v>
      </c>
      <c r="N928" s="0" t="n">
        <v>383</v>
      </c>
      <c r="O928" s="0" t="n">
        <v>11</v>
      </c>
      <c r="P928" s="0" t="n">
        <v>26</v>
      </c>
      <c r="Q928" s="5" t="str">
        <f aca="false">IF($D928&lt;&gt;"","["&amp;$E928&amp;"]"&amp;"|"&amp;SUBSTITUTE(SUBSTITUTE($I928,CHAR(61),""),CHAR(34),"")&amp;"|"&amp;$K928&amp;"|"&amp;$G928&amp;"|"&amp;IF($G928="TX_CURR_SUBNAT.R","CY2020Q4",$M928),"")</f>
        <v>[zTaMbxvQtJ6]|45-49|Male|DIAGNOSED_SUBNAT.T_1|CY2021Q3</v>
      </c>
    </row>
    <row r="929" customFormat="false" ht="15" hidden="false" customHeight="false" outlineLevel="0" collapsed="false">
      <c r="D929" s="0" t="s">
        <v>111</v>
      </c>
      <c r="E929" s="0" t="s">
        <v>112</v>
      </c>
      <c r="F929" s="0" t="s">
        <v>47</v>
      </c>
      <c r="G929" s="0" t="s">
        <v>93</v>
      </c>
      <c r="H929" s="0" t="s">
        <v>94</v>
      </c>
      <c r="I929" s="0" t="s">
        <v>83</v>
      </c>
      <c r="J929" s="0" t="s">
        <v>84</v>
      </c>
      <c r="K929" s="0" t="s">
        <v>56</v>
      </c>
      <c r="L929" s="0" t="s">
        <v>57</v>
      </c>
      <c r="M929" s="0" t="s">
        <v>50</v>
      </c>
      <c r="N929" s="0" t="n">
        <v>37</v>
      </c>
      <c r="O929" s="0" t="n">
        <v>49</v>
      </c>
      <c r="P929" s="0" t="n">
        <v>35</v>
      </c>
      <c r="Q929" s="5" t="str">
        <f aca="false">IF($D929&lt;&gt;"","["&amp;$E929&amp;"]"&amp;"|"&amp;SUBSTITUTE(SUBSTITUTE($I929,CHAR(61),""),CHAR(34),"")&amp;"|"&amp;$K929&amp;"|"&amp;$G929&amp;"|"&amp;IF($G929="TX_CURR_SUBNAT.R","CY2020Q4",$M929),"")</f>
        <v>[zTaMbxvQtJ6]|05-09|Female|DIAGNOSED_SUBNAT.T_1|CY2021Q3</v>
      </c>
    </row>
    <row r="930" customFormat="false" ht="15" hidden="false" customHeight="false" outlineLevel="0" collapsed="false">
      <c r="D930" s="0" t="s">
        <v>111</v>
      </c>
      <c r="E930" s="0" t="s">
        <v>112</v>
      </c>
      <c r="F930" s="0" t="s">
        <v>47</v>
      </c>
      <c r="G930" s="0" t="s">
        <v>93</v>
      </c>
      <c r="H930" s="0" t="s">
        <v>94</v>
      </c>
      <c r="I930" s="0" t="s">
        <v>83</v>
      </c>
      <c r="J930" s="0" t="s">
        <v>84</v>
      </c>
      <c r="K930" s="0" t="s">
        <v>58</v>
      </c>
      <c r="L930" s="0" t="s">
        <v>59</v>
      </c>
      <c r="M930" s="0" t="s">
        <v>50</v>
      </c>
      <c r="N930" s="0" t="n">
        <v>38</v>
      </c>
      <c r="O930" s="0" t="n">
        <v>23</v>
      </c>
      <c r="P930" s="0" t="n">
        <v>25</v>
      </c>
      <c r="Q930" s="5" t="str">
        <f aca="false">IF($D930&lt;&gt;"","["&amp;$E930&amp;"]"&amp;"|"&amp;SUBSTITUTE(SUBSTITUTE($I930,CHAR(61),""),CHAR(34),"")&amp;"|"&amp;$K930&amp;"|"&amp;$G930&amp;"|"&amp;IF($G930="TX_CURR_SUBNAT.R","CY2020Q4",$M930),"")</f>
        <v>[zTaMbxvQtJ6]|05-09|Male|DIAGNOSED_SUBNAT.T_1|CY2021Q3</v>
      </c>
    </row>
    <row r="931" customFormat="false" ht="15" hidden="false" customHeight="false" outlineLevel="0" collapsed="false">
      <c r="D931" s="0" t="s">
        <v>111</v>
      </c>
      <c r="E931" s="0" t="s">
        <v>112</v>
      </c>
      <c r="F931" s="0" t="s">
        <v>47</v>
      </c>
      <c r="G931" s="0" t="s">
        <v>93</v>
      </c>
      <c r="H931" s="0" t="s">
        <v>94</v>
      </c>
      <c r="I931" s="53" t="s">
        <v>86</v>
      </c>
      <c r="J931" s="0" t="s">
        <v>87</v>
      </c>
      <c r="K931" s="0" t="s">
        <v>56</v>
      </c>
      <c r="L931" s="0" t="s">
        <v>57</v>
      </c>
      <c r="M931" s="0" t="s">
        <v>50</v>
      </c>
      <c r="N931" s="0" t="n">
        <v>1368</v>
      </c>
      <c r="O931" s="0" t="n">
        <v>30</v>
      </c>
      <c r="P931" s="0" t="n">
        <v>40</v>
      </c>
      <c r="Q931" s="5" t="str">
        <f aca="false">IF($D931&lt;&gt;"","["&amp;$E931&amp;"]"&amp;"|"&amp;SUBSTITUTE(SUBSTITUTE($I931,CHAR(61),""),CHAR(34),"")&amp;"|"&amp;$K931&amp;"|"&amp;$G931&amp;"|"&amp;IF($G931="TX_CURR_SUBNAT.R","CY2020Q4",$M931),"")</f>
        <v>[zTaMbxvQtJ6]|50+|Female|DIAGNOSED_SUBNAT.T_1|CY2021Q3</v>
      </c>
    </row>
    <row r="932" customFormat="false" ht="15" hidden="false" customHeight="false" outlineLevel="0" collapsed="false">
      <c r="D932" s="0" t="s">
        <v>111</v>
      </c>
      <c r="E932" s="0" t="s">
        <v>112</v>
      </c>
      <c r="F932" s="0" t="s">
        <v>47</v>
      </c>
      <c r="G932" s="0" t="s">
        <v>93</v>
      </c>
      <c r="H932" s="0" t="s">
        <v>94</v>
      </c>
      <c r="I932" s="53" t="s">
        <v>86</v>
      </c>
      <c r="J932" s="0" t="s">
        <v>87</v>
      </c>
      <c r="K932" s="0" t="s">
        <v>58</v>
      </c>
      <c r="L932" s="0" t="s">
        <v>59</v>
      </c>
      <c r="M932" s="0" t="s">
        <v>50</v>
      </c>
      <c r="N932" s="0" t="n">
        <v>954</v>
      </c>
      <c r="O932" s="0" t="n">
        <v>34</v>
      </c>
      <c r="P932" s="0" t="n">
        <v>24</v>
      </c>
      <c r="Q932" s="5" t="str">
        <f aca="false">IF($D932&lt;&gt;"","["&amp;$E932&amp;"]"&amp;"|"&amp;SUBSTITUTE(SUBSTITUTE($I932,CHAR(61),""),CHAR(34),"")&amp;"|"&amp;$K932&amp;"|"&amp;$G932&amp;"|"&amp;IF($G932="TX_CURR_SUBNAT.R","CY2020Q4",$M932),"")</f>
        <v>[zTaMbxvQtJ6]|50+|Male|DIAGNOSED_SUBNAT.T_1|CY2021Q3</v>
      </c>
    </row>
    <row r="933" customFormat="false" ht="15" hidden="false" customHeight="false" outlineLevel="0" collapsed="false">
      <c r="D933" s="0" t="s">
        <v>111</v>
      </c>
      <c r="E933" s="0" t="s">
        <v>112</v>
      </c>
      <c r="F933" s="0" t="s">
        <v>47</v>
      </c>
      <c r="G933" s="0" t="s">
        <v>93</v>
      </c>
      <c r="H933" s="0" t="s">
        <v>94</v>
      </c>
      <c r="I933" s="0" t="s">
        <v>89</v>
      </c>
      <c r="J933" s="0" t="s">
        <v>90</v>
      </c>
      <c r="K933" s="0" t="s">
        <v>56</v>
      </c>
      <c r="L933" s="0" t="s">
        <v>57</v>
      </c>
      <c r="M933" s="0" t="s">
        <v>50</v>
      </c>
      <c r="N933" s="0" t="n">
        <v>2</v>
      </c>
      <c r="O933" s="0" t="n">
        <v>19</v>
      </c>
      <c r="P933" s="0" t="n">
        <v>28</v>
      </c>
      <c r="Q933" s="5" t="str">
        <f aca="false">IF($D933&lt;&gt;"","["&amp;$E933&amp;"]"&amp;"|"&amp;SUBSTITUTE(SUBSTITUTE($I933,CHAR(61),""),CHAR(34),"")&amp;"|"&amp;$K933&amp;"|"&amp;$G933&amp;"|"&amp;IF($G933="TX_CURR_SUBNAT.R","CY2020Q4",$M933),"")</f>
        <v>[zTaMbxvQtJ6]|&lt;01|Female|DIAGNOSED_SUBNAT.T_1|CY2021Q3</v>
      </c>
    </row>
    <row r="934" customFormat="false" ht="15" hidden="false" customHeight="false" outlineLevel="0" collapsed="false">
      <c r="D934" s="0" t="s">
        <v>111</v>
      </c>
      <c r="E934" s="0" t="s">
        <v>112</v>
      </c>
      <c r="F934" s="0" t="s">
        <v>47</v>
      </c>
      <c r="G934" s="0" t="s">
        <v>93</v>
      </c>
      <c r="H934" s="0" t="s">
        <v>94</v>
      </c>
      <c r="I934" s="0" t="s">
        <v>89</v>
      </c>
      <c r="J934" s="0" t="s">
        <v>90</v>
      </c>
      <c r="K934" s="0" t="s">
        <v>58</v>
      </c>
      <c r="L934" s="0" t="s">
        <v>59</v>
      </c>
      <c r="M934" s="0" t="s">
        <v>50</v>
      </c>
      <c r="N934" s="0" t="n">
        <v>2</v>
      </c>
      <c r="O934" s="0" t="n">
        <v>10</v>
      </c>
      <c r="P934" s="0" t="n">
        <v>45</v>
      </c>
      <c r="Q934" s="5" t="str">
        <f aca="false">IF($D934&lt;&gt;"","["&amp;$E934&amp;"]"&amp;"|"&amp;SUBSTITUTE(SUBSTITUTE($I934,CHAR(61),""),CHAR(34),"")&amp;"|"&amp;$K934&amp;"|"&amp;$G934&amp;"|"&amp;IF($G934="TX_CURR_SUBNAT.R","CY2020Q4",$M934),"")</f>
        <v>[zTaMbxvQtJ6]|&lt;01|Male|DIAGNOSED_SUBNAT.T_1|CY2021Q3</v>
      </c>
    </row>
    <row r="935" customFormat="false" ht="15" hidden="false" customHeight="false" outlineLevel="0" collapsed="false">
      <c r="D935" s="0" t="s">
        <v>111</v>
      </c>
      <c r="E935" s="0" t="s">
        <v>112</v>
      </c>
      <c r="F935" s="0" t="s">
        <v>47</v>
      </c>
      <c r="G935" s="0" t="s">
        <v>95</v>
      </c>
      <c r="H935" s="0" t="s">
        <v>96</v>
      </c>
      <c r="I935" s="0" t="s">
        <v>54</v>
      </c>
      <c r="J935" s="0" t="s">
        <v>55</v>
      </c>
      <c r="K935" s="0" t="s">
        <v>56</v>
      </c>
      <c r="L935" s="0" t="s">
        <v>57</v>
      </c>
      <c r="M935" s="0" t="s">
        <v>50</v>
      </c>
      <c r="N935" s="0" t="n">
        <v>6</v>
      </c>
      <c r="O935" s="0" t="n">
        <v>14</v>
      </c>
      <c r="P935" s="0" t="n">
        <v>49</v>
      </c>
      <c r="Q935" s="5" t="str">
        <f aca="false">IF($D935&lt;&gt;"","["&amp;$E935&amp;"]"&amp;"|"&amp;SUBSTITUTE(SUBSTITUTE($I935,CHAR(61),""),CHAR(34),"")&amp;"|"&amp;$K935&amp;"|"&amp;$G935&amp;"|"&amp;IF($G935="TX_CURR_SUBNAT.R","CY2020Q4",$M935),"")</f>
        <v>[zTaMbxvQtJ6]|01-04|Female|VL_SUPPRESSED.T_1|CY2021Q3</v>
      </c>
    </row>
    <row r="936" customFormat="false" ht="15" hidden="false" customHeight="false" outlineLevel="0" collapsed="false">
      <c r="D936" s="0" t="s">
        <v>111</v>
      </c>
      <c r="E936" s="0" t="s">
        <v>112</v>
      </c>
      <c r="F936" s="0" t="s">
        <v>47</v>
      </c>
      <c r="G936" s="0" t="s">
        <v>95</v>
      </c>
      <c r="H936" s="0" t="s">
        <v>96</v>
      </c>
      <c r="I936" s="0" t="s">
        <v>54</v>
      </c>
      <c r="J936" s="0" t="s">
        <v>55</v>
      </c>
      <c r="K936" s="0" t="s">
        <v>58</v>
      </c>
      <c r="L936" s="0" t="s">
        <v>59</v>
      </c>
      <c r="M936" s="0" t="s">
        <v>50</v>
      </c>
      <c r="N936" s="0" t="n">
        <v>7</v>
      </c>
      <c r="O936" s="0" t="n">
        <v>31</v>
      </c>
      <c r="P936" s="0" t="n">
        <v>9</v>
      </c>
      <c r="Q936" s="5" t="str">
        <f aca="false">IF($D936&lt;&gt;"","["&amp;$E936&amp;"]"&amp;"|"&amp;SUBSTITUTE(SUBSTITUTE($I936,CHAR(61),""),CHAR(34),"")&amp;"|"&amp;$K936&amp;"|"&amp;$G936&amp;"|"&amp;IF($G936="TX_CURR_SUBNAT.R","CY2020Q4",$M936),"")</f>
        <v>[zTaMbxvQtJ6]|01-04|Male|VL_SUPPRESSED.T_1|CY2021Q3</v>
      </c>
    </row>
    <row r="937" customFormat="false" ht="15" hidden="false" customHeight="false" outlineLevel="0" collapsed="false">
      <c r="D937" s="0" t="s">
        <v>111</v>
      </c>
      <c r="E937" s="0" t="s">
        <v>112</v>
      </c>
      <c r="F937" s="0" t="s">
        <v>47</v>
      </c>
      <c r="G937" s="0" t="s">
        <v>95</v>
      </c>
      <c r="H937" s="0" t="s">
        <v>96</v>
      </c>
      <c r="I937" s="0" t="s">
        <v>61</v>
      </c>
      <c r="J937" s="0" t="s">
        <v>62</v>
      </c>
      <c r="K937" s="0" t="s">
        <v>56</v>
      </c>
      <c r="L937" s="0" t="s">
        <v>57</v>
      </c>
      <c r="M937" s="0" t="s">
        <v>50</v>
      </c>
      <c r="N937" s="0" t="n">
        <v>107</v>
      </c>
      <c r="O937" s="0" t="n">
        <v>35</v>
      </c>
      <c r="P937" s="0" t="n">
        <v>31</v>
      </c>
      <c r="Q937" s="5" t="str">
        <f aca="false">IF($D937&lt;&gt;"","["&amp;$E937&amp;"]"&amp;"|"&amp;SUBSTITUTE(SUBSTITUTE($I937,CHAR(61),""),CHAR(34),"")&amp;"|"&amp;$K937&amp;"|"&amp;$G937&amp;"|"&amp;IF($G937="TX_CURR_SUBNAT.R","CY2020Q4",$M937),"")</f>
        <v>[zTaMbxvQtJ6]|10-14|Female|VL_SUPPRESSED.T_1|CY2021Q3</v>
      </c>
    </row>
    <row r="938" customFormat="false" ht="15" hidden="false" customHeight="false" outlineLevel="0" collapsed="false">
      <c r="D938" s="0" t="s">
        <v>111</v>
      </c>
      <c r="E938" s="0" t="s">
        <v>112</v>
      </c>
      <c r="F938" s="0" t="s">
        <v>47</v>
      </c>
      <c r="G938" s="0" t="s">
        <v>95</v>
      </c>
      <c r="H938" s="0" t="s">
        <v>96</v>
      </c>
      <c r="I938" s="0" t="s">
        <v>61</v>
      </c>
      <c r="J938" s="0" t="s">
        <v>62</v>
      </c>
      <c r="K938" s="0" t="s">
        <v>58</v>
      </c>
      <c r="L938" s="0" t="s">
        <v>59</v>
      </c>
      <c r="M938" s="0" t="s">
        <v>50</v>
      </c>
      <c r="N938" s="0" t="n">
        <v>85</v>
      </c>
      <c r="O938" s="0" t="n">
        <v>42</v>
      </c>
      <c r="P938" s="0" t="n">
        <v>20</v>
      </c>
      <c r="Q938" s="5" t="str">
        <f aca="false">IF($D938&lt;&gt;"","["&amp;$E938&amp;"]"&amp;"|"&amp;SUBSTITUTE(SUBSTITUTE($I938,CHAR(61),""),CHAR(34),"")&amp;"|"&amp;$K938&amp;"|"&amp;$G938&amp;"|"&amp;IF($G938="TX_CURR_SUBNAT.R","CY2020Q4",$M938),"")</f>
        <v>[zTaMbxvQtJ6]|10-14|Male|VL_SUPPRESSED.T_1|CY2021Q3</v>
      </c>
    </row>
    <row r="939" customFormat="false" ht="15" hidden="false" customHeight="false" outlineLevel="0" collapsed="false">
      <c r="D939" s="0" t="s">
        <v>111</v>
      </c>
      <c r="E939" s="0" t="s">
        <v>112</v>
      </c>
      <c r="F939" s="0" t="s">
        <v>47</v>
      </c>
      <c r="G939" s="0" t="s">
        <v>95</v>
      </c>
      <c r="H939" s="0" t="s">
        <v>96</v>
      </c>
      <c r="I939" s="0" t="s">
        <v>63</v>
      </c>
      <c r="J939" s="0" t="s">
        <v>64</v>
      </c>
      <c r="K939" s="0" t="s">
        <v>56</v>
      </c>
      <c r="L939" s="0" t="s">
        <v>57</v>
      </c>
      <c r="M939" s="0" t="s">
        <v>50</v>
      </c>
      <c r="N939" s="0" t="n">
        <v>106</v>
      </c>
      <c r="O939" s="0" t="n">
        <v>25</v>
      </c>
      <c r="P939" s="0" t="n">
        <v>11</v>
      </c>
      <c r="Q939" s="5" t="str">
        <f aca="false">IF($D939&lt;&gt;"","["&amp;$E939&amp;"]"&amp;"|"&amp;SUBSTITUTE(SUBSTITUTE($I939,CHAR(61),""),CHAR(34),"")&amp;"|"&amp;$K939&amp;"|"&amp;$G939&amp;"|"&amp;IF($G939="TX_CURR_SUBNAT.R","CY2020Q4",$M939),"")</f>
        <v>[zTaMbxvQtJ6]|15-19|Female|VL_SUPPRESSED.T_1|CY2021Q3</v>
      </c>
    </row>
    <row r="940" customFormat="false" ht="15" hidden="false" customHeight="false" outlineLevel="0" collapsed="false">
      <c r="D940" s="0" t="s">
        <v>111</v>
      </c>
      <c r="E940" s="0" t="s">
        <v>112</v>
      </c>
      <c r="F940" s="0" t="s">
        <v>47</v>
      </c>
      <c r="G940" s="0" t="s">
        <v>95</v>
      </c>
      <c r="H940" s="0" t="s">
        <v>96</v>
      </c>
      <c r="I940" s="0" t="s">
        <v>63</v>
      </c>
      <c r="J940" s="0" t="s">
        <v>64</v>
      </c>
      <c r="K940" s="0" t="s">
        <v>58</v>
      </c>
      <c r="L940" s="0" t="s">
        <v>59</v>
      </c>
      <c r="M940" s="0" t="s">
        <v>50</v>
      </c>
      <c r="N940" s="0" t="n">
        <v>62</v>
      </c>
      <c r="O940" s="0" t="n">
        <v>55</v>
      </c>
      <c r="P940" s="0" t="n">
        <v>17</v>
      </c>
      <c r="Q940" s="5" t="str">
        <f aca="false">IF($D940&lt;&gt;"","["&amp;$E940&amp;"]"&amp;"|"&amp;SUBSTITUTE(SUBSTITUTE($I940,CHAR(61),""),CHAR(34),"")&amp;"|"&amp;$K940&amp;"|"&amp;$G940&amp;"|"&amp;IF($G940="TX_CURR_SUBNAT.R","CY2020Q4",$M940),"")</f>
        <v>[zTaMbxvQtJ6]|15-19|Male|VL_SUPPRESSED.T_1|CY2021Q3</v>
      </c>
    </row>
    <row r="941" customFormat="false" ht="15" hidden="false" customHeight="false" outlineLevel="0" collapsed="false">
      <c r="D941" s="0" t="s">
        <v>111</v>
      </c>
      <c r="E941" s="0" t="s">
        <v>112</v>
      </c>
      <c r="F941" s="0" t="s">
        <v>47</v>
      </c>
      <c r="G941" s="0" t="s">
        <v>95</v>
      </c>
      <c r="H941" s="0" t="s">
        <v>96</v>
      </c>
      <c r="I941" s="0" t="s">
        <v>66</v>
      </c>
      <c r="J941" s="0" t="s">
        <v>67</v>
      </c>
      <c r="K941" s="0" t="s">
        <v>56</v>
      </c>
      <c r="L941" s="0" t="s">
        <v>57</v>
      </c>
      <c r="M941" s="0" t="s">
        <v>50</v>
      </c>
      <c r="N941" s="0" t="n">
        <v>184</v>
      </c>
      <c r="O941" s="0" t="n">
        <v>60</v>
      </c>
      <c r="P941" s="0" t="n">
        <v>38</v>
      </c>
      <c r="Q941" s="5" t="str">
        <f aca="false">IF($D941&lt;&gt;"","["&amp;$E941&amp;"]"&amp;"|"&amp;SUBSTITUTE(SUBSTITUTE($I941,CHAR(61),""),CHAR(34),"")&amp;"|"&amp;$K941&amp;"|"&amp;$G941&amp;"|"&amp;IF($G941="TX_CURR_SUBNAT.R","CY2020Q4",$M941),"")</f>
        <v>[zTaMbxvQtJ6]|20-24|Female|VL_SUPPRESSED.T_1|CY2021Q3</v>
      </c>
    </row>
    <row r="942" customFormat="false" ht="15" hidden="false" customHeight="false" outlineLevel="0" collapsed="false">
      <c r="D942" s="0" t="s">
        <v>111</v>
      </c>
      <c r="E942" s="0" t="s">
        <v>112</v>
      </c>
      <c r="F942" s="0" t="s">
        <v>47</v>
      </c>
      <c r="G942" s="0" t="s">
        <v>95</v>
      </c>
      <c r="H942" s="0" t="s">
        <v>96</v>
      </c>
      <c r="I942" s="0" t="s">
        <v>66</v>
      </c>
      <c r="J942" s="0" t="s">
        <v>67</v>
      </c>
      <c r="K942" s="0" t="s">
        <v>58</v>
      </c>
      <c r="L942" s="0" t="s">
        <v>59</v>
      </c>
      <c r="M942" s="0" t="s">
        <v>50</v>
      </c>
      <c r="N942" s="0" t="n">
        <v>22</v>
      </c>
      <c r="O942" s="0" t="n">
        <v>52</v>
      </c>
      <c r="P942" s="0" t="n">
        <v>5</v>
      </c>
      <c r="Q942" s="5" t="str">
        <f aca="false">IF($D942&lt;&gt;"","["&amp;$E942&amp;"]"&amp;"|"&amp;SUBSTITUTE(SUBSTITUTE($I942,CHAR(61),""),CHAR(34),"")&amp;"|"&amp;$K942&amp;"|"&amp;$G942&amp;"|"&amp;IF($G942="TX_CURR_SUBNAT.R","CY2020Q4",$M942),"")</f>
        <v>[zTaMbxvQtJ6]|20-24|Male|VL_SUPPRESSED.T_1|CY2021Q3</v>
      </c>
    </row>
    <row r="943" customFormat="false" ht="15" hidden="false" customHeight="false" outlineLevel="0" collapsed="false">
      <c r="D943" s="0" t="s">
        <v>111</v>
      </c>
      <c r="E943" s="0" t="s">
        <v>112</v>
      </c>
      <c r="F943" s="0" t="s">
        <v>47</v>
      </c>
      <c r="G943" s="0" t="s">
        <v>95</v>
      </c>
      <c r="H943" s="0" t="s">
        <v>96</v>
      </c>
      <c r="I943" s="0" t="s">
        <v>69</v>
      </c>
      <c r="J943" s="0" t="s">
        <v>70</v>
      </c>
      <c r="K943" s="0" t="s">
        <v>56</v>
      </c>
      <c r="L943" s="0" t="s">
        <v>57</v>
      </c>
      <c r="M943" s="0" t="s">
        <v>50</v>
      </c>
      <c r="N943" s="0" t="n">
        <v>367</v>
      </c>
      <c r="O943" s="0" t="n">
        <v>58</v>
      </c>
      <c r="P943" s="0" t="n">
        <v>22</v>
      </c>
      <c r="Q943" s="5" t="str">
        <f aca="false">IF($D943&lt;&gt;"","["&amp;$E943&amp;"]"&amp;"|"&amp;SUBSTITUTE(SUBSTITUTE($I943,CHAR(61),""),CHAR(34),"")&amp;"|"&amp;$K943&amp;"|"&amp;$G943&amp;"|"&amp;IF($G943="TX_CURR_SUBNAT.R","CY2020Q4",$M943),"")</f>
        <v>[zTaMbxvQtJ6]|25-29|Female|VL_SUPPRESSED.T_1|CY2021Q3</v>
      </c>
    </row>
    <row r="944" customFormat="false" ht="15" hidden="false" customHeight="false" outlineLevel="0" collapsed="false">
      <c r="D944" s="0" t="s">
        <v>111</v>
      </c>
      <c r="E944" s="0" t="s">
        <v>112</v>
      </c>
      <c r="F944" s="0" t="s">
        <v>47</v>
      </c>
      <c r="G944" s="0" t="s">
        <v>95</v>
      </c>
      <c r="H944" s="0" t="s">
        <v>96</v>
      </c>
      <c r="I944" s="0" t="s">
        <v>69</v>
      </c>
      <c r="J944" s="0" t="s">
        <v>70</v>
      </c>
      <c r="K944" s="0" t="s">
        <v>58</v>
      </c>
      <c r="L944" s="0" t="s">
        <v>59</v>
      </c>
      <c r="M944" s="0" t="s">
        <v>50</v>
      </c>
      <c r="N944" s="0" t="n">
        <v>51</v>
      </c>
      <c r="O944" s="0" t="n">
        <v>34</v>
      </c>
      <c r="P944" s="0" t="n">
        <v>21</v>
      </c>
      <c r="Q944" s="5" t="str">
        <f aca="false">IF($D944&lt;&gt;"","["&amp;$E944&amp;"]"&amp;"|"&amp;SUBSTITUTE(SUBSTITUTE($I944,CHAR(61),""),CHAR(34),"")&amp;"|"&amp;$K944&amp;"|"&amp;$G944&amp;"|"&amp;IF($G944="TX_CURR_SUBNAT.R","CY2020Q4",$M944),"")</f>
        <v>[zTaMbxvQtJ6]|25-29|Male|VL_SUPPRESSED.T_1|CY2021Q3</v>
      </c>
    </row>
    <row r="945" customFormat="false" ht="15" hidden="false" customHeight="false" outlineLevel="0" collapsed="false">
      <c r="D945" s="0" t="s">
        <v>111</v>
      </c>
      <c r="E945" s="0" t="s">
        <v>112</v>
      </c>
      <c r="F945" s="0" t="s">
        <v>47</v>
      </c>
      <c r="G945" s="0" t="s">
        <v>95</v>
      </c>
      <c r="H945" s="0" t="s">
        <v>96</v>
      </c>
      <c r="I945" s="0" t="s">
        <v>72</v>
      </c>
      <c r="J945" s="0" t="s">
        <v>73</v>
      </c>
      <c r="K945" s="0" t="s">
        <v>56</v>
      </c>
      <c r="L945" s="0" t="s">
        <v>57</v>
      </c>
      <c r="M945" s="0" t="s">
        <v>50</v>
      </c>
      <c r="N945" s="0" t="n">
        <v>523</v>
      </c>
      <c r="O945" s="0" t="n">
        <v>25</v>
      </c>
      <c r="P945" s="0" t="n">
        <v>46</v>
      </c>
      <c r="Q945" s="5" t="str">
        <f aca="false">IF($D945&lt;&gt;"","["&amp;$E945&amp;"]"&amp;"|"&amp;SUBSTITUTE(SUBSTITUTE($I945,CHAR(61),""),CHAR(34),"")&amp;"|"&amp;$K945&amp;"|"&amp;$G945&amp;"|"&amp;IF($G945="TX_CURR_SUBNAT.R","CY2020Q4",$M945),"")</f>
        <v>[zTaMbxvQtJ6]|30-34|Female|VL_SUPPRESSED.T_1|CY2021Q3</v>
      </c>
    </row>
    <row r="946" customFormat="false" ht="15" hidden="false" customHeight="false" outlineLevel="0" collapsed="false">
      <c r="D946" s="0" t="s">
        <v>111</v>
      </c>
      <c r="E946" s="0" t="s">
        <v>112</v>
      </c>
      <c r="F946" s="0" t="s">
        <v>47</v>
      </c>
      <c r="G946" s="0" t="s">
        <v>95</v>
      </c>
      <c r="H946" s="0" t="s">
        <v>96</v>
      </c>
      <c r="I946" s="0" t="s">
        <v>72</v>
      </c>
      <c r="J946" s="0" t="s">
        <v>73</v>
      </c>
      <c r="K946" s="0" t="s">
        <v>58</v>
      </c>
      <c r="L946" s="0" t="s">
        <v>59</v>
      </c>
      <c r="M946" s="0" t="s">
        <v>50</v>
      </c>
      <c r="N946" s="0" t="n">
        <v>173</v>
      </c>
      <c r="O946" s="0" t="n">
        <v>3</v>
      </c>
      <c r="P946" s="0" t="n">
        <v>32</v>
      </c>
      <c r="Q946" s="5" t="str">
        <f aca="false">IF($D946&lt;&gt;"","["&amp;$E946&amp;"]"&amp;"|"&amp;SUBSTITUTE(SUBSTITUTE($I946,CHAR(61),""),CHAR(34),"")&amp;"|"&amp;$K946&amp;"|"&amp;$G946&amp;"|"&amp;IF($G946="TX_CURR_SUBNAT.R","CY2020Q4",$M946),"")</f>
        <v>[zTaMbxvQtJ6]|30-34|Male|VL_SUPPRESSED.T_1|CY2021Q3</v>
      </c>
    </row>
    <row r="947" customFormat="false" ht="15" hidden="false" customHeight="false" outlineLevel="0" collapsed="false">
      <c r="D947" s="0" t="s">
        <v>111</v>
      </c>
      <c r="E947" s="0" t="s">
        <v>112</v>
      </c>
      <c r="F947" s="0" t="s">
        <v>47</v>
      </c>
      <c r="G947" s="0" t="s">
        <v>95</v>
      </c>
      <c r="H947" s="0" t="s">
        <v>96</v>
      </c>
      <c r="I947" s="0" t="s">
        <v>75</v>
      </c>
      <c r="J947" s="0" t="s">
        <v>76</v>
      </c>
      <c r="K947" s="0" t="s">
        <v>56</v>
      </c>
      <c r="L947" s="0" t="s">
        <v>57</v>
      </c>
      <c r="M947" s="0" t="s">
        <v>50</v>
      </c>
      <c r="N947" s="0" t="n">
        <v>546</v>
      </c>
      <c r="O947" s="0" t="n">
        <v>55</v>
      </c>
      <c r="P947" s="0" t="n">
        <v>36</v>
      </c>
      <c r="Q947" s="5" t="str">
        <f aca="false">IF($D947&lt;&gt;"","["&amp;$E947&amp;"]"&amp;"|"&amp;SUBSTITUTE(SUBSTITUTE($I947,CHAR(61),""),CHAR(34),"")&amp;"|"&amp;$K947&amp;"|"&amp;$G947&amp;"|"&amp;IF($G947="TX_CURR_SUBNAT.R","CY2020Q4",$M947),"")</f>
        <v>[zTaMbxvQtJ6]|35-39|Female|VL_SUPPRESSED.T_1|CY2021Q3</v>
      </c>
    </row>
    <row r="948" customFormat="false" ht="15" hidden="false" customHeight="false" outlineLevel="0" collapsed="false">
      <c r="D948" s="0" t="s">
        <v>111</v>
      </c>
      <c r="E948" s="0" t="s">
        <v>112</v>
      </c>
      <c r="F948" s="0" t="s">
        <v>47</v>
      </c>
      <c r="G948" s="0" t="s">
        <v>95</v>
      </c>
      <c r="H948" s="0" t="s">
        <v>96</v>
      </c>
      <c r="I948" s="0" t="s">
        <v>75</v>
      </c>
      <c r="J948" s="0" t="s">
        <v>76</v>
      </c>
      <c r="K948" s="0" t="s">
        <v>58</v>
      </c>
      <c r="L948" s="0" t="s">
        <v>59</v>
      </c>
      <c r="M948" s="0" t="s">
        <v>50</v>
      </c>
      <c r="N948" s="0" t="n">
        <v>256</v>
      </c>
      <c r="O948" s="0" t="n">
        <v>35</v>
      </c>
      <c r="P948" s="0" t="n">
        <v>48</v>
      </c>
      <c r="Q948" s="5" t="str">
        <f aca="false">IF($D948&lt;&gt;"","["&amp;$E948&amp;"]"&amp;"|"&amp;SUBSTITUTE(SUBSTITUTE($I948,CHAR(61),""),CHAR(34),"")&amp;"|"&amp;$K948&amp;"|"&amp;$G948&amp;"|"&amp;IF($G948="TX_CURR_SUBNAT.R","CY2020Q4",$M948),"")</f>
        <v>[zTaMbxvQtJ6]|35-39|Male|VL_SUPPRESSED.T_1|CY2021Q3</v>
      </c>
    </row>
    <row r="949" customFormat="false" ht="15" hidden="false" customHeight="false" outlineLevel="0" collapsed="false">
      <c r="D949" s="0" t="s">
        <v>111</v>
      </c>
      <c r="E949" s="0" t="s">
        <v>112</v>
      </c>
      <c r="F949" s="0" t="s">
        <v>47</v>
      </c>
      <c r="G949" s="0" t="s">
        <v>95</v>
      </c>
      <c r="H949" s="0" t="s">
        <v>96</v>
      </c>
      <c r="I949" s="0" t="s">
        <v>77</v>
      </c>
      <c r="J949" s="0" t="s">
        <v>78</v>
      </c>
      <c r="K949" s="0" t="s">
        <v>56</v>
      </c>
      <c r="L949" s="0" t="s">
        <v>57</v>
      </c>
      <c r="M949" s="0" t="s">
        <v>50</v>
      </c>
      <c r="N949" s="0" t="n">
        <v>469</v>
      </c>
      <c r="O949" s="0" t="n">
        <v>1</v>
      </c>
      <c r="P949" s="0" t="n">
        <v>15</v>
      </c>
      <c r="Q949" s="5" t="str">
        <f aca="false">IF($D949&lt;&gt;"","["&amp;$E949&amp;"]"&amp;"|"&amp;SUBSTITUTE(SUBSTITUTE($I949,CHAR(61),""),CHAR(34),"")&amp;"|"&amp;$K949&amp;"|"&amp;$G949&amp;"|"&amp;IF($G949="TX_CURR_SUBNAT.R","CY2020Q4",$M949),"")</f>
        <v>[zTaMbxvQtJ6]|40-44|Female|VL_SUPPRESSED.T_1|CY2021Q3</v>
      </c>
    </row>
    <row r="950" customFormat="false" ht="15" hidden="false" customHeight="false" outlineLevel="0" collapsed="false">
      <c r="D950" s="0" t="s">
        <v>111</v>
      </c>
      <c r="E950" s="0" t="s">
        <v>112</v>
      </c>
      <c r="F950" s="0" t="s">
        <v>47</v>
      </c>
      <c r="G950" s="0" t="s">
        <v>95</v>
      </c>
      <c r="H950" s="0" t="s">
        <v>96</v>
      </c>
      <c r="I950" s="0" t="s">
        <v>77</v>
      </c>
      <c r="J950" s="0" t="s">
        <v>78</v>
      </c>
      <c r="K950" s="0" t="s">
        <v>58</v>
      </c>
      <c r="L950" s="0" t="s">
        <v>59</v>
      </c>
      <c r="M950" s="0" t="s">
        <v>50</v>
      </c>
      <c r="N950" s="0" t="n">
        <v>265</v>
      </c>
      <c r="O950" s="0" t="n">
        <v>30</v>
      </c>
      <c r="P950" s="0" t="n">
        <v>9</v>
      </c>
      <c r="Q950" s="5" t="str">
        <f aca="false">IF($D950&lt;&gt;"","["&amp;$E950&amp;"]"&amp;"|"&amp;SUBSTITUTE(SUBSTITUTE($I950,CHAR(61),""),CHAR(34),"")&amp;"|"&amp;$K950&amp;"|"&amp;$G950&amp;"|"&amp;IF($G950="TX_CURR_SUBNAT.R","CY2020Q4",$M950),"")</f>
        <v>[zTaMbxvQtJ6]|40-44|Male|VL_SUPPRESSED.T_1|CY2021Q3</v>
      </c>
    </row>
    <row r="951" customFormat="false" ht="15" hidden="false" customHeight="false" outlineLevel="0" collapsed="false">
      <c r="D951" s="0" t="s">
        <v>111</v>
      </c>
      <c r="E951" s="0" t="s">
        <v>112</v>
      </c>
      <c r="F951" s="0" t="s">
        <v>47</v>
      </c>
      <c r="G951" s="0" t="s">
        <v>95</v>
      </c>
      <c r="H951" s="0" t="s">
        <v>96</v>
      </c>
      <c r="I951" s="0" t="s">
        <v>80</v>
      </c>
      <c r="J951" s="0" t="s">
        <v>81</v>
      </c>
      <c r="K951" s="0" t="s">
        <v>56</v>
      </c>
      <c r="L951" s="0" t="s">
        <v>57</v>
      </c>
      <c r="M951" s="0" t="s">
        <v>50</v>
      </c>
      <c r="N951" s="0" t="n">
        <v>434</v>
      </c>
      <c r="O951" s="0" t="n">
        <v>26</v>
      </c>
      <c r="P951" s="0" t="n">
        <v>45</v>
      </c>
      <c r="Q951" s="5" t="str">
        <f aca="false">IF($D951&lt;&gt;"","["&amp;$E951&amp;"]"&amp;"|"&amp;SUBSTITUTE(SUBSTITUTE($I951,CHAR(61),""),CHAR(34),"")&amp;"|"&amp;$K951&amp;"|"&amp;$G951&amp;"|"&amp;IF($G951="TX_CURR_SUBNAT.R","CY2020Q4",$M951),"")</f>
        <v>[zTaMbxvQtJ6]|45-49|Female|VL_SUPPRESSED.T_1|CY2021Q3</v>
      </c>
    </row>
    <row r="952" customFormat="false" ht="15" hidden="false" customHeight="false" outlineLevel="0" collapsed="false">
      <c r="D952" s="0" t="s">
        <v>111</v>
      </c>
      <c r="E952" s="0" t="s">
        <v>112</v>
      </c>
      <c r="F952" s="0" t="s">
        <v>47</v>
      </c>
      <c r="G952" s="0" t="s">
        <v>95</v>
      </c>
      <c r="H952" s="0" t="s">
        <v>96</v>
      </c>
      <c r="I952" s="0" t="s">
        <v>80</v>
      </c>
      <c r="J952" s="0" t="s">
        <v>81</v>
      </c>
      <c r="K952" s="0" t="s">
        <v>58</v>
      </c>
      <c r="L952" s="0" t="s">
        <v>59</v>
      </c>
      <c r="M952" s="0" t="s">
        <v>50</v>
      </c>
      <c r="N952" s="0" t="n">
        <v>231</v>
      </c>
      <c r="O952" s="0" t="n">
        <v>7</v>
      </c>
      <c r="P952" s="0" t="n">
        <v>40</v>
      </c>
      <c r="Q952" s="5" t="str">
        <f aca="false">IF($D952&lt;&gt;"","["&amp;$E952&amp;"]"&amp;"|"&amp;SUBSTITUTE(SUBSTITUTE($I952,CHAR(61),""),CHAR(34),"")&amp;"|"&amp;$K952&amp;"|"&amp;$G952&amp;"|"&amp;IF($G952="TX_CURR_SUBNAT.R","CY2020Q4",$M952),"")</f>
        <v>[zTaMbxvQtJ6]|45-49|Male|VL_SUPPRESSED.T_1|CY2021Q3</v>
      </c>
    </row>
    <row r="953" customFormat="false" ht="15" hidden="false" customHeight="false" outlineLevel="0" collapsed="false">
      <c r="D953" s="0" t="s">
        <v>111</v>
      </c>
      <c r="E953" s="0" t="s">
        <v>112</v>
      </c>
      <c r="F953" s="0" t="s">
        <v>47</v>
      </c>
      <c r="G953" s="0" t="s">
        <v>95</v>
      </c>
      <c r="H953" s="0" t="s">
        <v>96</v>
      </c>
      <c r="I953" s="0" t="s">
        <v>83</v>
      </c>
      <c r="J953" s="0" t="s">
        <v>84</v>
      </c>
      <c r="K953" s="0" t="s">
        <v>56</v>
      </c>
      <c r="L953" s="0" t="s">
        <v>57</v>
      </c>
      <c r="M953" s="0" t="s">
        <v>50</v>
      </c>
      <c r="N953" s="0" t="n">
        <v>54</v>
      </c>
      <c r="O953" s="0" t="n">
        <v>27</v>
      </c>
      <c r="P953" s="0" t="n">
        <v>33</v>
      </c>
      <c r="Q953" s="5" t="str">
        <f aca="false">IF($D953&lt;&gt;"","["&amp;$E953&amp;"]"&amp;"|"&amp;SUBSTITUTE(SUBSTITUTE($I953,CHAR(61),""),CHAR(34),"")&amp;"|"&amp;$K953&amp;"|"&amp;$G953&amp;"|"&amp;IF($G953="TX_CURR_SUBNAT.R","CY2020Q4",$M953),"")</f>
        <v>[zTaMbxvQtJ6]|05-09|Female|VL_SUPPRESSED.T_1|CY2021Q3</v>
      </c>
    </row>
    <row r="954" customFormat="false" ht="15" hidden="false" customHeight="false" outlineLevel="0" collapsed="false">
      <c r="D954" s="0" t="s">
        <v>111</v>
      </c>
      <c r="E954" s="0" t="s">
        <v>112</v>
      </c>
      <c r="F954" s="0" t="s">
        <v>47</v>
      </c>
      <c r="G954" s="0" t="s">
        <v>95</v>
      </c>
      <c r="H954" s="0" t="s">
        <v>96</v>
      </c>
      <c r="I954" s="0" t="s">
        <v>83</v>
      </c>
      <c r="J954" s="0" t="s">
        <v>84</v>
      </c>
      <c r="K954" s="0" t="s">
        <v>58</v>
      </c>
      <c r="L954" s="0" t="s">
        <v>59</v>
      </c>
      <c r="M954" s="0" t="s">
        <v>50</v>
      </c>
      <c r="N954" s="0" t="n">
        <v>35</v>
      </c>
      <c r="O954" s="0" t="n">
        <v>42</v>
      </c>
      <c r="P954" s="0" t="n">
        <v>50</v>
      </c>
      <c r="Q954" s="5" t="str">
        <f aca="false">IF($D954&lt;&gt;"","["&amp;$E954&amp;"]"&amp;"|"&amp;SUBSTITUTE(SUBSTITUTE($I954,CHAR(61),""),CHAR(34),"")&amp;"|"&amp;$K954&amp;"|"&amp;$G954&amp;"|"&amp;IF($G954="TX_CURR_SUBNAT.R","CY2020Q4",$M954),"")</f>
        <v>[zTaMbxvQtJ6]|05-09|Male|VL_SUPPRESSED.T_1|CY2021Q3</v>
      </c>
    </row>
    <row r="955" customFormat="false" ht="15" hidden="false" customHeight="false" outlineLevel="0" collapsed="false">
      <c r="D955" s="0" t="s">
        <v>111</v>
      </c>
      <c r="E955" s="0" t="s">
        <v>112</v>
      </c>
      <c r="F955" s="0" t="s">
        <v>47</v>
      </c>
      <c r="G955" s="0" t="s">
        <v>95</v>
      </c>
      <c r="H955" s="0" t="s">
        <v>96</v>
      </c>
      <c r="I955" s="53" t="s">
        <v>86</v>
      </c>
      <c r="J955" s="0" t="s">
        <v>87</v>
      </c>
      <c r="K955" s="0" t="s">
        <v>56</v>
      </c>
      <c r="L955" s="0" t="s">
        <v>57</v>
      </c>
      <c r="M955" s="0" t="s">
        <v>50</v>
      </c>
      <c r="N955" s="0" t="n">
        <v>1201</v>
      </c>
      <c r="O955" s="0" t="n">
        <v>52</v>
      </c>
      <c r="P955" s="0" t="n">
        <v>1</v>
      </c>
      <c r="Q955" s="5" t="str">
        <f aca="false">IF($D955&lt;&gt;"","["&amp;$E955&amp;"]"&amp;"|"&amp;SUBSTITUTE(SUBSTITUTE($I955,CHAR(61),""),CHAR(34),"")&amp;"|"&amp;$K955&amp;"|"&amp;$G955&amp;"|"&amp;IF($G955="TX_CURR_SUBNAT.R","CY2020Q4",$M955),"")</f>
        <v>[zTaMbxvQtJ6]|50+|Female|VL_SUPPRESSED.T_1|CY2021Q3</v>
      </c>
    </row>
    <row r="956" customFormat="false" ht="15" hidden="false" customHeight="false" outlineLevel="0" collapsed="false">
      <c r="D956" s="0" t="s">
        <v>111</v>
      </c>
      <c r="E956" s="0" t="s">
        <v>112</v>
      </c>
      <c r="F956" s="0" t="s">
        <v>47</v>
      </c>
      <c r="G956" s="0" t="s">
        <v>95</v>
      </c>
      <c r="H956" s="0" t="s">
        <v>96</v>
      </c>
      <c r="I956" s="53" t="s">
        <v>86</v>
      </c>
      <c r="J956" s="0" t="s">
        <v>87</v>
      </c>
      <c r="K956" s="0" t="s">
        <v>58</v>
      </c>
      <c r="L956" s="0" t="s">
        <v>59</v>
      </c>
      <c r="M956" s="0" t="s">
        <v>50</v>
      </c>
      <c r="N956" s="0" t="n">
        <v>722</v>
      </c>
      <c r="O956" s="0" t="n">
        <v>19</v>
      </c>
      <c r="P956" s="0" t="n">
        <v>19</v>
      </c>
      <c r="Q956" s="5" t="str">
        <f aca="false">IF($D956&lt;&gt;"","["&amp;$E956&amp;"]"&amp;"|"&amp;SUBSTITUTE(SUBSTITUTE($I956,CHAR(61),""),CHAR(34),"")&amp;"|"&amp;$K956&amp;"|"&amp;$G956&amp;"|"&amp;IF($G956="TX_CURR_SUBNAT.R","CY2020Q4",$M956),"")</f>
        <v>[zTaMbxvQtJ6]|50+|Male|VL_SUPPRESSED.T_1|CY2021Q3</v>
      </c>
    </row>
    <row r="957" customFormat="false" ht="15" hidden="false" customHeight="false" outlineLevel="0" collapsed="false">
      <c r="D957" s="0" t="s">
        <v>111</v>
      </c>
      <c r="E957" s="0" t="s">
        <v>112</v>
      </c>
      <c r="F957" s="0" t="s">
        <v>47</v>
      </c>
      <c r="G957" s="0" t="s">
        <v>97</v>
      </c>
      <c r="H957" s="0" t="s">
        <v>98</v>
      </c>
      <c r="I957" s="0" t="s">
        <v>54</v>
      </c>
      <c r="J957" s="0" t="s">
        <v>55</v>
      </c>
      <c r="K957" s="0" t="s">
        <v>56</v>
      </c>
      <c r="L957" s="0" t="s">
        <v>57</v>
      </c>
      <c r="M957" s="0" t="s">
        <v>50</v>
      </c>
      <c r="N957" s="0" t="n">
        <v>22</v>
      </c>
      <c r="O957" s="0" t="n">
        <v>24</v>
      </c>
      <c r="P957" s="0" t="n">
        <v>37</v>
      </c>
      <c r="Q957" s="5" t="str">
        <f aca="false">IF($D957&lt;&gt;"","["&amp;$E957&amp;"]"&amp;"|"&amp;SUBSTITUTE(SUBSTITUTE($I957,CHAR(61),""),CHAR(34),"")&amp;"|"&amp;$K957&amp;"|"&amp;$G957&amp;"|"&amp;IF($G957="TX_CURR_SUBNAT.R","CY2020Q4",$M957),"")</f>
        <v>[zTaMbxvQtJ6]|01-04|Female|PLHIV.T_1|CY2021Q3</v>
      </c>
    </row>
    <row r="958" customFormat="false" ht="15" hidden="false" customHeight="false" outlineLevel="0" collapsed="false">
      <c r="D958" s="0" t="s">
        <v>111</v>
      </c>
      <c r="E958" s="0" t="s">
        <v>112</v>
      </c>
      <c r="F958" s="0" t="s">
        <v>47</v>
      </c>
      <c r="G958" s="0" t="s">
        <v>97</v>
      </c>
      <c r="H958" s="0" t="s">
        <v>98</v>
      </c>
      <c r="I958" s="0" t="s">
        <v>54</v>
      </c>
      <c r="J958" s="0" t="s">
        <v>55</v>
      </c>
      <c r="K958" s="0" t="s">
        <v>58</v>
      </c>
      <c r="L958" s="0" t="s">
        <v>59</v>
      </c>
      <c r="M958" s="0" t="s">
        <v>50</v>
      </c>
      <c r="N958" s="0" t="n">
        <v>22</v>
      </c>
      <c r="O958" s="0" t="n">
        <v>41</v>
      </c>
      <c r="P958" s="0" t="n">
        <v>13</v>
      </c>
      <c r="Q958" s="5" t="str">
        <f aca="false">IF($D958&lt;&gt;"","["&amp;$E958&amp;"]"&amp;"|"&amp;SUBSTITUTE(SUBSTITUTE($I958,CHAR(61),""),CHAR(34),"")&amp;"|"&amp;$K958&amp;"|"&amp;$G958&amp;"|"&amp;IF($G958="TX_CURR_SUBNAT.R","CY2020Q4",$M958),"")</f>
        <v>[zTaMbxvQtJ6]|01-04|Male|PLHIV.T_1|CY2021Q3</v>
      </c>
    </row>
    <row r="959" customFormat="false" ht="15" hidden="false" customHeight="false" outlineLevel="0" collapsed="false">
      <c r="D959" s="0" t="s">
        <v>111</v>
      </c>
      <c r="E959" s="0" t="s">
        <v>112</v>
      </c>
      <c r="F959" s="0" t="s">
        <v>47</v>
      </c>
      <c r="G959" s="0" t="s">
        <v>97</v>
      </c>
      <c r="H959" s="0" t="s">
        <v>98</v>
      </c>
      <c r="I959" s="0" t="s">
        <v>61</v>
      </c>
      <c r="J959" s="0" t="s">
        <v>62</v>
      </c>
      <c r="K959" s="0" t="s">
        <v>56</v>
      </c>
      <c r="L959" s="0" t="s">
        <v>57</v>
      </c>
      <c r="M959" s="0" t="s">
        <v>50</v>
      </c>
      <c r="N959" s="0" t="n">
        <v>102</v>
      </c>
      <c r="O959" s="0" t="n">
        <v>57</v>
      </c>
      <c r="P959" s="0" t="n">
        <v>38</v>
      </c>
      <c r="Q959" s="5" t="str">
        <f aca="false">IF($D959&lt;&gt;"","["&amp;$E959&amp;"]"&amp;"|"&amp;SUBSTITUTE(SUBSTITUTE($I959,CHAR(61),""),CHAR(34),"")&amp;"|"&amp;$K959&amp;"|"&amp;$G959&amp;"|"&amp;IF($G959="TX_CURR_SUBNAT.R","CY2020Q4",$M959),"")</f>
        <v>[zTaMbxvQtJ6]|10-14|Female|PLHIV.T_1|CY2021Q3</v>
      </c>
    </row>
    <row r="960" customFormat="false" ht="15" hidden="false" customHeight="false" outlineLevel="0" collapsed="false">
      <c r="D960" s="0" t="s">
        <v>111</v>
      </c>
      <c r="E960" s="0" t="s">
        <v>112</v>
      </c>
      <c r="F960" s="0" t="s">
        <v>47</v>
      </c>
      <c r="G960" s="0" t="s">
        <v>97</v>
      </c>
      <c r="H960" s="0" t="s">
        <v>98</v>
      </c>
      <c r="I960" s="0" t="s">
        <v>61</v>
      </c>
      <c r="J960" s="0" t="s">
        <v>62</v>
      </c>
      <c r="K960" s="0" t="s">
        <v>58</v>
      </c>
      <c r="L960" s="0" t="s">
        <v>59</v>
      </c>
      <c r="M960" s="0" t="s">
        <v>50</v>
      </c>
      <c r="N960" s="0" t="n">
        <v>104</v>
      </c>
      <c r="O960" s="0" t="n">
        <v>39</v>
      </c>
      <c r="P960" s="0" t="n">
        <v>27</v>
      </c>
      <c r="Q960" s="5" t="str">
        <f aca="false">IF($D960&lt;&gt;"","["&amp;$E960&amp;"]"&amp;"|"&amp;SUBSTITUTE(SUBSTITUTE($I960,CHAR(61),""),CHAR(34),"")&amp;"|"&amp;$K960&amp;"|"&amp;$G960&amp;"|"&amp;IF($G960="TX_CURR_SUBNAT.R","CY2020Q4",$M960),"")</f>
        <v>[zTaMbxvQtJ6]|10-14|Male|PLHIV.T_1|CY2021Q3</v>
      </c>
    </row>
    <row r="961" customFormat="false" ht="15" hidden="false" customHeight="false" outlineLevel="0" collapsed="false">
      <c r="D961" s="0" t="s">
        <v>111</v>
      </c>
      <c r="E961" s="0" t="s">
        <v>112</v>
      </c>
      <c r="F961" s="0" t="s">
        <v>47</v>
      </c>
      <c r="G961" s="0" t="s">
        <v>97</v>
      </c>
      <c r="H961" s="0" t="s">
        <v>98</v>
      </c>
      <c r="I961" s="0" t="s">
        <v>63</v>
      </c>
      <c r="J961" s="0" t="s">
        <v>64</v>
      </c>
      <c r="K961" s="0" t="s">
        <v>56</v>
      </c>
      <c r="L961" s="0" t="s">
        <v>57</v>
      </c>
      <c r="M961" s="0" t="s">
        <v>50</v>
      </c>
      <c r="N961" s="0" t="n">
        <v>172</v>
      </c>
      <c r="O961" s="0" t="n">
        <v>49</v>
      </c>
      <c r="P961" s="0" t="n">
        <v>7</v>
      </c>
      <c r="Q961" s="5" t="str">
        <f aca="false">IF($D961&lt;&gt;"","["&amp;$E961&amp;"]"&amp;"|"&amp;SUBSTITUTE(SUBSTITUTE($I961,CHAR(61),""),CHAR(34),"")&amp;"|"&amp;$K961&amp;"|"&amp;$G961&amp;"|"&amp;IF($G961="TX_CURR_SUBNAT.R","CY2020Q4",$M961),"")</f>
        <v>[zTaMbxvQtJ6]|15-19|Female|PLHIV.T_1|CY2021Q3</v>
      </c>
    </row>
    <row r="962" customFormat="false" ht="15" hidden="false" customHeight="false" outlineLevel="0" collapsed="false">
      <c r="D962" s="0" t="s">
        <v>111</v>
      </c>
      <c r="E962" s="0" t="s">
        <v>112</v>
      </c>
      <c r="F962" s="0" t="s">
        <v>47</v>
      </c>
      <c r="G962" s="0" t="s">
        <v>97</v>
      </c>
      <c r="H962" s="0" t="s">
        <v>98</v>
      </c>
      <c r="I962" s="0" t="s">
        <v>63</v>
      </c>
      <c r="J962" s="0" t="s">
        <v>64</v>
      </c>
      <c r="K962" s="0" t="s">
        <v>58</v>
      </c>
      <c r="L962" s="0" t="s">
        <v>59</v>
      </c>
      <c r="M962" s="0" t="s">
        <v>50</v>
      </c>
      <c r="N962" s="0" t="n">
        <v>107</v>
      </c>
      <c r="O962" s="0" t="n">
        <v>48</v>
      </c>
      <c r="P962" s="0" t="n">
        <v>1</v>
      </c>
      <c r="Q962" s="5" t="str">
        <f aca="false">IF($D962&lt;&gt;"","["&amp;$E962&amp;"]"&amp;"|"&amp;SUBSTITUTE(SUBSTITUTE($I962,CHAR(61),""),CHAR(34),"")&amp;"|"&amp;$K962&amp;"|"&amp;$G962&amp;"|"&amp;IF($G962="TX_CURR_SUBNAT.R","CY2020Q4",$M962),"")</f>
        <v>[zTaMbxvQtJ6]|15-19|Male|PLHIV.T_1|CY2021Q3</v>
      </c>
    </row>
    <row r="963" customFormat="false" ht="15" hidden="false" customHeight="false" outlineLevel="0" collapsed="false">
      <c r="D963" s="0" t="s">
        <v>111</v>
      </c>
      <c r="E963" s="0" t="s">
        <v>112</v>
      </c>
      <c r="F963" s="0" t="s">
        <v>47</v>
      </c>
      <c r="G963" s="0" t="s">
        <v>97</v>
      </c>
      <c r="H963" s="0" t="s">
        <v>98</v>
      </c>
      <c r="I963" s="0" t="s">
        <v>66</v>
      </c>
      <c r="J963" s="0" t="s">
        <v>67</v>
      </c>
      <c r="K963" s="0" t="s">
        <v>56</v>
      </c>
      <c r="L963" s="0" t="s">
        <v>57</v>
      </c>
      <c r="M963" s="0" t="s">
        <v>50</v>
      </c>
      <c r="N963" s="0" t="n">
        <v>423</v>
      </c>
      <c r="O963" s="0" t="n">
        <v>18</v>
      </c>
      <c r="P963" s="0" t="n">
        <v>43</v>
      </c>
      <c r="Q963" s="5" t="str">
        <f aca="false">IF($D963&lt;&gt;"","["&amp;$E963&amp;"]"&amp;"|"&amp;SUBSTITUTE(SUBSTITUTE($I963,CHAR(61),""),CHAR(34),"")&amp;"|"&amp;$K963&amp;"|"&amp;$G963&amp;"|"&amp;IF($G963="TX_CURR_SUBNAT.R","CY2020Q4",$M963),"")</f>
        <v>[zTaMbxvQtJ6]|20-24|Female|PLHIV.T_1|CY2021Q3</v>
      </c>
    </row>
    <row r="964" customFormat="false" ht="15" hidden="false" customHeight="false" outlineLevel="0" collapsed="false">
      <c r="D964" s="0" t="s">
        <v>111</v>
      </c>
      <c r="E964" s="0" t="s">
        <v>112</v>
      </c>
      <c r="F964" s="0" t="s">
        <v>47</v>
      </c>
      <c r="G964" s="0" t="s">
        <v>97</v>
      </c>
      <c r="H964" s="0" t="s">
        <v>98</v>
      </c>
      <c r="I964" s="0" t="s">
        <v>66</v>
      </c>
      <c r="J964" s="0" t="s">
        <v>67</v>
      </c>
      <c r="K964" s="0" t="s">
        <v>58</v>
      </c>
      <c r="L964" s="0" t="s">
        <v>59</v>
      </c>
      <c r="M964" s="0" t="s">
        <v>50</v>
      </c>
      <c r="N964" s="0" t="n">
        <v>165</v>
      </c>
      <c r="O964" s="0" t="n">
        <v>23</v>
      </c>
      <c r="P964" s="0" t="n">
        <v>23</v>
      </c>
      <c r="Q964" s="5" t="str">
        <f aca="false">IF($D964&lt;&gt;"","["&amp;$E964&amp;"]"&amp;"|"&amp;SUBSTITUTE(SUBSTITUTE($I964,CHAR(61),""),CHAR(34),"")&amp;"|"&amp;$K964&amp;"|"&amp;$G964&amp;"|"&amp;IF($G964="TX_CURR_SUBNAT.R","CY2020Q4",$M964),"")</f>
        <v>[zTaMbxvQtJ6]|20-24|Male|PLHIV.T_1|CY2021Q3</v>
      </c>
    </row>
    <row r="965" customFormat="false" ht="15" hidden="false" customHeight="false" outlineLevel="0" collapsed="false">
      <c r="D965" s="0" t="s">
        <v>111</v>
      </c>
      <c r="E965" s="0" t="s">
        <v>112</v>
      </c>
      <c r="F965" s="0" t="s">
        <v>47</v>
      </c>
      <c r="G965" s="0" t="s">
        <v>97</v>
      </c>
      <c r="H965" s="0" t="s">
        <v>98</v>
      </c>
      <c r="I965" s="0" t="s">
        <v>69</v>
      </c>
      <c r="J965" s="0" t="s">
        <v>70</v>
      </c>
      <c r="K965" s="0" t="s">
        <v>56</v>
      </c>
      <c r="L965" s="0" t="s">
        <v>57</v>
      </c>
      <c r="M965" s="0" t="s">
        <v>50</v>
      </c>
      <c r="N965" s="0" t="n">
        <v>761</v>
      </c>
      <c r="O965" s="0" t="n">
        <v>7</v>
      </c>
      <c r="P965" s="0" t="n">
        <v>36</v>
      </c>
      <c r="Q965" s="5" t="str">
        <f aca="false">IF($D965&lt;&gt;"","["&amp;$E965&amp;"]"&amp;"|"&amp;SUBSTITUTE(SUBSTITUTE($I965,CHAR(61),""),CHAR(34),"")&amp;"|"&amp;$K965&amp;"|"&amp;$G965&amp;"|"&amp;IF($G965="TX_CURR_SUBNAT.R","CY2020Q4",$M965),"")</f>
        <v>[zTaMbxvQtJ6]|25-29|Female|PLHIV.T_1|CY2021Q3</v>
      </c>
    </row>
    <row r="966" customFormat="false" ht="15" hidden="false" customHeight="false" outlineLevel="0" collapsed="false">
      <c r="D966" s="0" t="s">
        <v>111</v>
      </c>
      <c r="E966" s="0" t="s">
        <v>112</v>
      </c>
      <c r="F966" s="0" t="s">
        <v>47</v>
      </c>
      <c r="G966" s="0" t="s">
        <v>97</v>
      </c>
      <c r="H966" s="0" t="s">
        <v>98</v>
      </c>
      <c r="I966" s="0" t="s">
        <v>69</v>
      </c>
      <c r="J966" s="0" t="s">
        <v>70</v>
      </c>
      <c r="K966" s="0" t="s">
        <v>58</v>
      </c>
      <c r="L966" s="0" t="s">
        <v>59</v>
      </c>
      <c r="M966" s="0" t="s">
        <v>50</v>
      </c>
      <c r="N966" s="0" t="n">
        <v>344</v>
      </c>
      <c r="O966" s="0" t="n">
        <v>44</v>
      </c>
      <c r="P966" s="0" t="n">
        <v>15</v>
      </c>
      <c r="Q966" s="5" t="str">
        <f aca="false">IF($D966&lt;&gt;"","["&amp;$E966&amp;"]"&amp;"|"&amp;SUBSTITUTE(SUBSTITUTE($I966,CHAR(61),""),CHAR(34),"")&amp;"|"&amp;$K966&amp;"|"&amp;$G966&amp;"|"&amp;IF($G966="TX_CURR_SUBNAT.R","CY2020Q4",$M966),"")</f>
        <v>[zTaMbxvQtJ6]|25-29|Male|PLHIV.T_1|CY2021Q3</v>
      </c>
    </row>
    <row r="967" customFormat="false" ht="15" hidden="false" customHeight="false" outlineLevel="0" collapsed="false">
      <c r="D967" s="0" t="s">
        <v>111</v>
      </c>
      <c r="E967" s="0" t="s">
        <v>112</v>
      </c>
      <c r="F967" s="0" t="s">
        <v>47</v>
      </c>
      <c r="G967" s="0" t="s">
        <v>97</v>
      </c>
      <c r="H967" s="0" t="s">
        <v>98</v>
      </c>
      <c r="I967" s="0" t="s">
        <v>72</v>
      </c>
      <c r="J967" s="0" t="s">
        <v>73</v>
      </c>
      <c r="K967" s="0" t="s">
        <v>56</v>
      </c>
      <c r="L967" s="0" t="s">
        <v>57</v>
      </c>
      <c r="M967" s="0" t="s">
        <v>50</v>
      </c>
      <c r="N967" s="0" t="n">
        <v>1062</v>
      </c>
      <c r="O967" s="0" t="n">
        <v>14</v>
      </c>
      <c r="P967" s="0" t="n">
        <v>37</v>
      </c>
      <c r="Q967" s="5" t="str">
        <f aca="false">IF($D967&lt;&gt;"","["&amp;$E967&amp;"]"&amp;"|"&amp;SUBSTITUTE(SUBSTITUTE($I967,CHAR(61),""),CHAR(34),"")&amp;"|"&amp;$K967&amp;"|"&amp;$G967&amp;"|"&amp;IF($G967="TX_CURR_SUBNAT.R","CY2020Q4",$M967),"")</f>
        <v>[zTaMbxvQtJ6]|30-34|Female|PLHIV.T_1|CY2021Q3</v>
      </c>
    </row>
    <row r="968" customFormat="false" ht="15" hidden="false" customHeight="false" outlineLevel="0" collapsed="false">
      <c r="D968" s="0" t="s">
        <v>111</v>
      </c>
      <c r="E968" s="0" t="s">
        <v>112</v>
      </c>
      <c r="F968" s="0" t="s">
        <v>47</v>
      </c>
      <c r="G968" s="0" t="s">
        <v>97</v>
      </c>
      <c r="H968" s="0" t="s">
        <v>98</v>
      </c>
      <c r="I968" s="0" t="s">
        <v>72</v>
      </c>
      <c r="J968" s="0" t="s">
        <v>73</v>
      </c>
      <c r="K968" s="0" t="s">
        <v>58</v>
      </c>
      <c r="L968" s="0" t="s">
        <v>59</v>
      </c>
      <c r="M968" s="0" t="s">
        <v>50</v>
      </c>
      <c r="N968" s="0" t="n">
        <v>618</v>
      </c>
      <c r="O968" s="0" t="n">
        <v>34</v>
      </c>
      <c r="P968" s="0" t="n">
        <v>35</v>
      </c>
      <c r="Q968" s="5" t="str">
        <f aca="false">IF($D968&lt;&gt;"","["&amp;$E968&amp;"]"&amp;"|"&amp;SUBSTITUTE(SUBSTITUTE($I968,CHAR(61),""),CHAR(34),"")&amp;"|"&amp;$K968&amp;"|"&amp;$G968&amp;"|"&amp;IF($G968="TX_CURR_SUBNAT.R","CY2020Q4",$M968),"")</f>
        <v>[zTaMbxvQtJ6]|30-34|Male|PLHIV.T_1|CY2021Q3</v>
      </c>
    </row>
    <row r="969" customFormat="false" ht="15" hidden="false" customHeight="false" outlineLevel="0" collapsed="false">
      <c r="D969" s="0" t="s">
        <v>111</v>
      </c>
      <c r="E969" s="0" t="s">
        <v>112</v>
      </c>
      <c r="F969" s="0" t="s">
        <v>47</v>
      </c>
      <c r="G969" s="0" t="s">
        <v>97</v>
      </c>
      <c r="H969" s="0" t="s">
        <v>98</v>
      </c>
      <c r="I969" s="0" t="s">
        <v>75</v>
      </c>
      <c r="J969" s="0" t="s">
        <v>76</v>
      </c>
      <c r="K969" s="0" t="s">
        <v>56</v>
      </c>
      <c r="L969" s="0" t="s">
        <v>57</v>
      </c>
      <c r="M969" s="0" t="s">
        <v>50</v>
      </c>
      <c r="N969" s="0" t="n">
        <v>993</v>
      </c>
      <c r="O969" s="0" t="n">
        <v>27</v>
      </c>
      <c r="P969" s="0" t="n">
        <v>30</v>
      </c>
      <c r="Q969" s="5" t="str">
        <f aca="false">IF($D969&lt;&gt;"","["&amp;$E969&amp;"]"&amp;"|"&amp;SUBSTITUTE(SUBSTITUTE($I969,CHAR(61),""),CHAR(34),"")&amp;"|"&amp;$K969&amp;"|"&amp;$G969&amp;"|"&amp;IF($G969="TX_CURR_SUBNAT.R","CY2020Q4",$M969),"")</f>
        <v>[zTaMbxvQtJ6]|35-39|Female|PLHIV.T_1|CY2021Q3</v>
      </c>
    </row>
    <row r="970" customFormat="false" ht="15" hidden="false" customHeight="false" outlineLevel="0" collapsed="false">
      <c r="D970" s="0" t="s">
        <v>111</v>
      </c>
      <c r="E970" s="0" t="s">
        <v>112</v>
      </c>
      <c r="F970" s="0" t="s">
        <v>47</v>
      </c>
      <c r="G970" s="0" t="s">
        <v>97</v>
      </c>
      <c r="H970" s="0" t="s">
        <v>98</v>
      </c>
      <c r="I970" s="0" t="s">
        <v>75</v>
      </c>
      <c r="J970" s="0" t="s">
        <v>76</v>
      </c>
      <c r="K970" s="0" t="s">
        <v>58</v>
      </c>
      <c r="L970" s="0" t="s">
        <v>59</v>
      </c>
      <c r="M970" s="0" t="s">
        <v>50</v>
      </c>
      <c r="N970" s="0" t="n">
        <v>747</v>
      </c>
      <c r="O970" s="0" t="n">
        <v>20</v>
      </c>
      <c r="P970" s="0" t="n">
        <v>5</v>
      </c>
      <c r="Q970" s="5" t="str">
        <f aca="false">IF($D970&lt;&gt;"","["&amp;$E970&amp;"]"&amp;"|"&amp;SUBSTITUTE(SUBSTITUTE($I970,CHAR(61),""),CHAR(34),"")&amp;"|"&amp;$K970&amp;"|"&amp;$G970&amp;"|"&amp;IF($G970="TX_CURR_SUBNAT.R","CY2020Q4",$M970),"")</f>
        <v>[zTaMbxvQtJ6]|35-39|Male|PLHIV.T_1|CY2021Q3</v>
      </c>
    </row>
    <row r="971" customFormat="false" ht="15" hidden="false" customHeight="false" outlineLevel="0" collapsed="false">
      <c r="D971" s="0" t="s">
        <v>111</v>
      </c>
      <c r="E971" s="0" t="s">
        <v>112</v>
      </c>
      <c r="F971" s="0" t="s">
        <v>47</v>
      </c>
      <c r="G971" s="0" t="s">
        <v>97</v>
      </c>
      <c r="H971" s="0" t="s">
        <v>98</v>
      </c>
      <c r="I971" s="0" t="s">
        <v>77</v>
      </c>
      <c r="J971" s="0" t="s">
        <v>78</v>
      </c>
      <c r="K971" s="0" t="s">
        <v>56</v>
      </c>
      <c r="L971" s="0" t="s">
        <v>57</v>
      </c>
      <c r="M971" s="0" t="s">
        <v>50</v>
      </c>
      <c r="N971" s="0" t="n">
        <v>768</v>
      </c>
      <c r="O971" s="0" t="n">
        <v>19</v>
      </c>
      <c r="P971" s="0" t="n">
        <v>50</v>
      </c>
      <c r="Q971" s="5" t="str">
        <f aca="false">IF($D971&lt;&gt;"","["&amp;$E971&amp;"]"&amp;"|"&amp;SUBSTITUTE(SUBSTITUTE($I971,CHAR(61),""),CHAR(34),"")&amp;"|"&amp;$K971&amp;"|"&amp;$G971&amp;"|"&amp;IF($G971="TX_CURR_SUBNAT.R","CY2020Q4",$M971),"")</f>
        <v>[zTaMbxvQtJ6]|40-44|Female|PLHIV.T_1|CY2021Q3</v>
      </c>
    </row>
    <row r="972" customFormat="false" ht="15" hidden="false" customHeight="false" outlineLevel="0" collapsed="false">
      <c r="D972" s="0" t="s">
        <v>111</v>
      </c>
      <c r="E972" s="0" t="s">
        <v>112</v>
      </c>
      <c r="F972" s="0" t="s">
        <v>47</v>
      </c>
      <c r="G972" s="0" t="s">
        <v>97</v>
      </c>
      <c r="H972" s="0" t="s">
        <v>98</v>
      </c>
      <c r="I972" s="0" t="s">
        <v>77</v>
      </c>
      <c r="J972" s="0" t="s">
        <v>78</v>
      </c>
      <c r="K972" s="0" t="s">
        <v>58</v>
      </c>
      <c r="L972" s="0" t="s">
        <v>59</v>
      </c>
      <c r="M972" s="0" t="s">
        <v>50</v>
      </c>
      <c r="N972" s="0" t="n">
        <v>641</v>
      </c>
      <c r="O972" s="0" t="n">
        <v>7</v>
      </c>
      <c r="P972" s="0" t="n">
        <v>27</v>
      </c>
      <c r="Q972" s="5" t="str">
        <f aca="false">IF($D972&lt;&gt;"","["&amp;$E972&amp;"]"&amp;"|"&amp;SUBSTITUTE(SUBSTITUTE($I972,CHAR(61),""),CHAR(34),"")&amp;"|"&amp;$K972&amp;"|"&amp;$G972&amp;"|"&amp;IF($G972="TX_CURR_SUBNAT.R","CY2020Q4",$M972),"")</f>
        <v>[zTaMbxvQtJ6]|40-44|Male|PLHIV.T_1|CY2021Q3</v>
      </c>
    </row>
    <row r="973" customFormat="false" ht="15" hidden="false" customHeight="false" outlineLevel="0" collapsed="false">
      <c r="D973" s="0" t="s">
        <v>111</v>
      </c>
      <c r="E973" s="0" t="s">
        <v>112</v>
      </c>
      <c r="F973" s="0" t="s">
        <v>47</v>
      </c>
      <c r="G973" s="0" t="s">
        <v>97</v>
      </c>
      <c r="H973" s="0" t="s">
        <v>98</v>
      </c>
      <c r="I973" s="0" t="s">
        <v>80</v>
      </c>
      <c r="J973" s="0" t="s">
        <v>81</v>
      </c>
      <c r="K973" s="0" t="s">
        <v>56</v>
      </c>
      <c r="L973" s="0" t="s">
        <v>57</v>
      </c>
      <c r="M973" s="0" t="s">
        <v>50</v>
      </c>
      <c r="N973" s="0" t="n">
        <v>576</v>
      </c>
      <c r="O973" s="0" t="n">
        <v>5</v>
      </c>
      <c r="P973" s="0" t="n">
        <v>12</v>
      </c>
      <c r="Q973" s="5" t="str">
        <f aca="false">IF($D973&lt;&gt;"","["&amp;$E973&amp;"]"&amp;"|"&amp;SUBSTITUTE(SUBSTITUTE($I973,CHAR(61),""),CHAR(34),"")&amp;"|"&amp;$K973&amp;"|"&amp;$G973&amp;"|"&amp;IF($G973="TX_CURR_SUBNAT.R","CY2020Q4",$M973),"")</f>
        <v>[zTaMbxvQtJ6]|45-49|Female|PLHIV.T_1|CY2021Q3</v>
      </c>
    </row>
    <row r="974" customFormat="false" ht="15" hidden="false" customHeight="false" outlineLevel="0" collapsed="false">
      <c r="D974" s="0" t="s">
        <v>111</v>
      </c>
      <c r="E974" s="0" t="s">
        <v>112</v>
      </c>
      <c r="F974" s="0" t="s">
        <v>47</v>
      </c>
      <c r="G974" s="0" t="s">
        <v>97</v>
      </c>
      <c r="H974" s="0" t="s">
        <v>98</v>
      </c>
      <c r="I974" s="0" t="s">
        <v>80</v>
      </c>
      <c r="J974" s="0" t="s">
        <v>81</v>
      </c>
      <c r="K974" s="0" t="s">
        <v>58</v>
      </c>
      <c r="L974" s="0" t="s">
        <v>59</v>
      </c>
      <c r="M974" s="0" t="s">
        <v>50</v>
      </c>
      <c r="N974" s="0" t="n">
        <v>512</v>
      </c>
      <c r="O974" s="0" t="n">
        <v>48</v>
      </c>
      <c r="P974" s="0" t="n">
        <v>25</v>
      </c>
      <c r="Q974" s="5" t="str">
        <f aca="false">IF($D974&lt;&gt;"","["&amp;$E974&amp;"]"&amp;"|"&amp;SUBSTITUTE(SUBSTITUTE($I974,CHAR(61),""),CHAR(34),"")&amp;"|"&amp;$K974&amp;"|"&amp;$G974&amp;"|"&amp;IF($G974="TX_CURR_SUBNAT.R","CY2020Q4",$M974),"")</f>
        <v>[zTaMbxvQtJ6]|45-49|Male|PLHIV.T_1|CY2021Q3</v>
      </c>
    </row>
    <row r="975" customFormat="false" ht="15" hidden="false" customHeight="false" outlineLevel="0" collapsed="false">
      <c r="D975" s="0" t="s">
        <v>111</v>
      </c>
      <c r="E975" s="0" t="s">
        <v>112</v>
      </c>
      <c r="F975" s="0" t="s">
        <v>47</v>
      </c>
      <c r="G975" s="0" t="s">
        <v>97</v>
      </c>
      <c r="H975" s="0" t="s">
        <v>98</v>
      </c>
      <c r="I975" s="0" t="s">
        <v>83</v>
      </c>
      <c r="J975" s="0" t="s">
        <v>84</v>
      </c>
      <c r="K975" s="0" t="s">
        <v>56</v>
      </c>
      <c r="L975" s="0" t="s">
        <v>57</v>
      </c>
      <c r="M975" s="0" t="s">
        <v>50</v>
      </c>
      <c r="N975" s="0" t="n">
        <v>63</v>
      </c>
      <c r="O975" s="0" t="n">
        <v>48</v>
      </c>
      <c r="P975" s="0" t="n">
        <v>6</v>
      </c>
      <c r="Q975" s="5" t="str">
        <f aca="false">IF($D975&lt;&gt;"","["&amp;$E975&amp;"]"&amp;"|"&amp;SUBSTITUTE(SUBSTITUTE($I975,CHAR(61),""),CHAR(34),"")&amp;"|"&amp;$K975&amp;"|"&amp;$G975&amp;"|"&amp;IF($G975="TX_CURR_SUBNAT.R","CY2020Q4",$M975),"")</f>
        <v>[zTaMbxvQtJ6]|05-09|Female|PLHIV.T_1|CY2021Q3</v>
      </c>
    </row>
    <row r="976" customFormat="false" ht="15" hidden="false" customHeight="false" outlineLevel="0" collapsed="false">
      <c r="D976" s="0" t="s">
        <v>111</v>
      </c>
      <c r="E976" s="0" t="s">
        <v>112</v>
      </c>
      <c r="F976" s="0" t="s">
        <v>47</v>
      </c>
      <c r="G976" s="0" t="s">
        <v>97</v>
      </c>
      <c r="H976" s="0" t="s">
        <v>98</v>
      </c>
      <c r="I976" s="0" t="s">
        <v>83</v>
      </c>
      <c r="J976" s="0" t="s">
        <v>84</v>
      </c>
      <c r="K976" s="0" t="s">
        <v>58</v>
      </c>
      <c r="L976" s="0" t="s">
        <v>59</v>
      </c>
      <c r="M976" s="0" t="s">
        <v>50</v>
      </c>
      <c r="N976" s="0" t="n">
        <v>61</v>
      </c>
      <c r="O976" s="0" t="n">
        <v>24</v>
      </c>
      <c r="P976" s="0" t="n">
        <v>39</v>
      </c>
      <c r="Q976" s="5" t="str">
        <f aca="false">IF($D976&lt;&gt;"","["&amp;$E976&amp;"]"&amp;"|"&amp;SUBSTITUTE(SUBSTITUTE($I976,CHAR(61),""),CHAR(34),"")&amp;"|"&amp;$K976&amp;"|"&amp;$G976&amp;"|"&amp;IF($G976="TX_CURR_SUBNAT.R","CY2020Q4",$M976),"")</f>
        <v>[zTaMbxvQtJ6]|05-09|Male|PLHIV.T_1|CY2021Q3</v>
      </c>
    </row>
    <row r="977" customFormat="false" ht="15" hidden="false" customHeight="false" outlineLevel="0" collapsed="false">
      <c r="D977" s="0" t="s">
        <v>111</v>
      </c>
      <c r="E977" s="0" t="s">
        <v>112</v>
      </c>
      <c r="F977" s="0" t="s">
        <v>47</v>
      </c>
      <c r="G977" s="0" t="s">
        <v>97</v>
      </c>
      <c r="H977" s="0" t="s">
        <v>98</v>
      </c>
      <c r="I977" s="53" t="s">
        <v>86</v>
      </c>
      <c r="J977" s="0" t="s">
        <v>87</v>
      </c>
      <c r="K977" s="0" t="s">
        <v>56</v>
      </c>
      <c r="L977" s="0" t="s">
        <v>57</v>
      </c>
      <c r="M977" s="0" t="s">
        <v>50</v>
      </c>
      <c r="N977" s="0" t="n">
        <v>1738</v>
      </c>
      <c r="O977" s="0" t="n">
        <v>37</v>
      </c>
      <c r="P977" s="0" t="n">
        <v>20</v>
      </c>
      <c r="Q977" s="5" t="str">
        <f aca="false">IF($D977&lt;&gt;"","["&amp;$E977&amp;"]"&amp;"|"&amp;SUBSTITUTE(SUBSTITUTE($I977,CHAR(61),""),CHAR(34),"")&amp;"|"&amp;$K977&amp;"|"&amp;$G977&amp;"|"&amp;IF($G977="TX_CURR_SUBNAT.R","CY2020Q4",$M977),"")</f>
        <v>[zTaMbxvQtJ6]|50+|Female|PLHIV.T_1|CY2021Q3</v>
      </c>
    </row>
    <row r="978" customFormat="false" ht="15" hidden="false" customHeight="false" outlineLevel="0" collapsed="false">
      <c r="D978" s="0" t="s">
        <v>111</v>
      </c>
      <c r="E978" s="0" t="s">
        <v>112</v>
      </c>
      <c r="F978" s="0" t="s">
        <v>47</v>
      </c>
      <c r="G978" s="0" t="s">
        <v>97</v>
      </c>
      <c r="H978" s="0" t="s">
        <v>98</v>
      </c>
      <c r="I978" s="53" t="s">
        <v>86</v>
      </c>
      <c r="J978" s="0" t="s">
        <v>87</v>
      </c>
      <c r="K978" s="0" t="s">
        <v>58</v>
      </c>
      <c r="L978" s="0" t="s">
        <v>59</v>
      </c>
      <c r="M978" s="0" t="s">
        <v>50</v>
      </c>
      <c r="N978" s="0" t="n">
        <v>1295</v>
      </c>
      <c r="O978" s="0" t="n">
        <v>39</v>
      </c>
      <c r="P978" s="0" t="n">
        <v>27</v>
      </c>
      <c r="Q978" s="5" t="str">
        <f aca="false">IF($D978&lt;&gt;"","["&amp;$E978&amp;"]"&amp;"|"&amp;SUBSTITUTE(SUBSTITUTE($I978,CHAR(61),""),CHAR(34),"")&amp;"|"&amp;$K978&amp;"|"&amp;$G978&amp;"|"&amp;IF($G978="TX_CURR_SUBNAT.R","CY2020Q4",$M978),"")</f>
        <v>[zTaMbxvQtJ6]|50+|Male|PLHIV.T_1|CY2021Q3</v>
      </c>
    </row>
    <row r="979" customFormat="false" ht="15" hidden="false" customHeight="false" outlineLevel="0" collapsed="false">
      <c r="D979" s="0" t="s">
        <v>111</v>
      </c>
      <c r="E979" s="0" t="s">
        <v>112</v>
      </c>
      <c r="F979" s="0" t="s">
        <v>47</v>
      </c>
      <c r="G979" s="0" t="s">
        <v>97</v>
      </c>
      <c r="H979" s="0" t="s">
        <v>98</v>
      </c>
      <c r="I979" s="0" t="s">
        <v>89</v>
      </c>
      <c r="J979" s="0" t="s">
        <v>90</v>
      </c>
      <c r="K979" s="0" t="s">
        <v>56</v>
      </c>
      <c r="L979" s="0" t="s">
        <v>57</v>
      </c>
      <c r="M979" s="0" t="s">
        <v>50</v>
      </c>
      <c r="N979" s="0" t="n">
        <v>5</v>
      </c>
      <c r="O979" s="0" t="n">
        <v>11</v>
      </c>
      <c r="P979" s="0" t="n">
        <v>19</v>
      </c>
      <c r="Q979" s="5" t="str">
        <f aca="false">IF($D979&lt;&gt;"","["&amp;$E979&amp;"]"&amp;"|"&amp;SUBSTITUTE(SUBSTITUTE($I979,CHAR(61),""),CHAR(34),"")&amp;"|"&amp;$K979&amp;"|"&amp;$G979&amp;"|"&amp;IF($G979="TX_CURR_SUBNAT.R","CY2020Q4",$M979),"")</f>
        <v>[zTaMbxvQtJ6]|&lt;01|Female|PLHIV.T_1|CY2021Q3</v>
      </c>
    </row>
    <row r="980" customFormat="false" ht="15" hidden="false" customHeight="false" outlineLevel="0" collapsed="false">
      <c r="D980" s="0" t="s">
        <v>111</v>
      </c>
      <c r="E980" s="0" t="s">
        <v>112</v>
      </c>
      <c r="F980" s="0" t="s">
        <v>47</v>
      </c>
      <c r="G980" s="0" t="s">
        <v>97</v>
      </c>
      <c r="H980" s="0" t="s">
        <v>98</v>
      </c>
      <c r="I980" s="0" t="s">
        <v>89</v>
      </c>
      <c r="J980" s="0" t="s">
        <v>90</v>
      </c>
      <c r="K980" s="0" t="s">
        <v>58</v>
      </c>
      <c r="L980" s="0" t="s">
        <v>59</v>
      </c>
      <c r="M980" s="0" t="s">
        <v>50</v>
      </c>
      <c r="N980" s="0" t="n">
        <v>5</v>
      </c>
      <c r="O980" s="0" t="n">
        <v>21</v>
      </c>
      <c r="P980" s="0" t="n">
        <v>47</v>
      </c>
      <c r="Q980" s="5" t="str">
        <f aca="false">IF($D980&lt;&gt;"","["&amp;$E980&amp;"]"&amp;"|"&amp;SUBSTITUTE(SUBSTITUTE($I980,CHAR(61),""),CHAR(34),"")&amp;"|"&amp;$K980&amp;"|"&amp;$G980&amp;"|"&amp;IF($G980="TX_CURR_SUBNAT.R","CY2020Q4",$M980),"")</f>
        <v>[zTaMbxvQtJ6]|&lt;01|Male|PLHIV.T_1|CY2021Q3</v>
      </c>
    </row>
    <row r="981" customFormat="false" ht="15" hidden="false" customHeight="false" outlineLevel="0" collapsed="false">
      <c r="D981" s="0" t="s">
        <v>111</v>
      </c>
      <c r="E981" s="0" t="s">
        <v>112</v>
      </c>
      <c r="F981" s="0" t="s">
        <v>47</v>
      </c>
      <c r="G981" s="0" t="s">
        <v>99</v>
      </c>
      <c r="H981" s="0" t="s">
        <v>100</v>
      </c>
      <c r="I981" s="0" t="s">
        <v>54</v>
      </c>
      <c r="J981" s="0" t="s">
        <v>55</v>
      </c>
      <c r="K981" s="0" t="s">
        <v>56</v>
      </c>
      <c r="L981" s="0" t="s">
        <v>57</v>
      </c>
      <c r="M981" s="0" t="s">
        <v>50</v>
      </c>
      <c r="N981" s="0" t="n">
        <v>10</v>
      </c>
      <c r="O981" s="0" t="n">
        <v>47</v>
      </c>
      <c r="P981" s="0" t="n">
        <v>49</v>
      </c>
      <c r="Q981" s="5" t="str">
        <f aca="false">IF($D981&lt;&gt;"","["&amp;$E981&amp;"]"&amp;"|"&amp;SUBSTITUTE(SUBSTITUTE($I981,CHAR(61),""),CHAR(34),"")&amp;"|"&amp;$K981&amp;"|"&amp;$G981&amp;"|"&amp;IF($G981="TX_CURR_SUBNAT.R","CY2020Q4",$M981),"")</f>
        <v>[zTaMbxvQtJ6]|01-04|Female|TX_CURR_SUBNAT.T_1|CY2021Q3</v>
      </c>
    </row>
    <row r="982" customFormat="false" ht="15" hidden="false" customHeight="false" outlineLevel="0" collapsed="false">
      <c r="D982" s="0" t="s">
        <v>111</v>
      </c>
      <c r="E982" s="0" t="s">
        <v>112</v>
      </c>
      <c r="F982" s="0" t="s">
        <v>47</v>
      </c>
      <c r="G982" s="0" t="s">
        <v>99</v>
      </c>
      <c r="H982" s="0" t="s">
        <v>100</v>
      </c>
      <c r="I982" s="0" t="s">
        <v>54</v>
      </c>
      <c r="J982" s="0" t="s">
        <v>55</v>
      </c>
      <c r="K982" s="0" t="s">
        <v>58</v>
      </c>
      <c r="L982" s="0" t="s">
        <v>59</v>
      </c>
      <c r="M982" s="0" t="s">
        <v>50</v>
      </c>
      <c r="N982" s="0" t="n">
        <v>10</v>
      </c>
      <c r="O982" s="0" t="n">
        <v>40</v>
      </c>
      <c r="P982" s="0" t="n">
        <v>9</v>
      </c>
      <c r="Q982" s="5" t="str">
        <f aca="false">IF($D982&lt;&gt;"","["&amp;$E982&amp;"]"&amp;"|"&amp;SUBSTITUTE(SUBSTITUTE($I982,CHAR(61),""),CHAR(34),"")&amp;"|"&amp;$K982&amp;"|"&amp;$G982&amp;"|"&amp;IF($G982="TX_CURR_SUBNAT.R","CY2020Q4",$M982),"")</f>
        <v>[zTaMbxvQtJ6]|01-04|Male|TX_CURR_SUBNAT.T_1|CY2021Q3</v>
      </c>
    </row>
    <row r="983" customFormat="false" ht="15" hidden="false" customHeight="false" outlineLevel="0" collapsed="false">
      <c r="D983" s="0" t="s">
        <v>111</v>
      </c>
      <c r="E983" s="0" t="s">
        <v>112</v>
      </c>
      <c r="F983" s="0" t="s">
        <v>47</v>
      </c>
      <c r="G983" s="0" t="s">
        <v>99</v>
      </c>
      <c r="H983" s="0" t="s">
        <v>100</v>
      </c>
      <c r="I983" s="0" t="s">
        <v>61</v>
      </c>
      <c r="J983" s="0" t="s">
        <v>62</v>
      </c>
      <c r="K983" s="0" t="s">
        <v>56</v>
      </c>
      <c r="L983" s="0" t="s">
        <v>57</v>
      </c>
      <c r="M983" s="0" t="s">
        <v>50</v>
      </c>
      <c r="N983" s="0" t="n">
        <v>85</v>
      </c>
      <c r="O983" s="0" t="n">
        <v>51</v>
      </c>
      <c r="P983" s="0" t="n">
        <v>39</v>
      </c>
      <c r="Q983" s="5" t="str">
        <f aca="false">IF($D983&lt;&gt;"","["&amp;$E983&amp;"]"&amp;"|"&amp;SUBSTITUTE(SUBSTITUTE($I983,CHAR(61),""),CHAR(34),"")&amp;"|"&amp;$K983&amp;"|"&amp;$G983&amp;"|"&amp;IF($G983="TX_CURR_SUBNAT.R","CY2020Q4",$M983),"")</f>
        <v>[zTaMbxvQtJ6]|10-14|Female|TX_CURR_SUBNAT.T_1|CY2021Q3</v>
      </c>
    </row>
    <row r="984" customFormat="false" ht="15" hidden="false" customHeight="false" outlineLevel="0" collapsed="false">
      <c r="D984" s="0" t="s">
        <v>111</v>
      </c>
      <c r="E984" s="0" t="s">
        <v>112</v>
      </c>
      <c r="F984" s="0" t="s">
        <v>47</v>
      </c>
      <c r="G984" s="0" t="s">
        <v>99</v>
      </c>
      <c r="H984" s="0" t="s">
        <v>100</v>
      </c>
      <c r="I984" s="0" t="s">
        <v>61</v>
      </c>
      <c r="J984" s="0" t="s">
        <v>62</v>
      </c>
      <c r="K984" s="0" t="s">
        <v>58</v>
      </c>
      <c r="L984" s="0" t="s">
        <v>59</v>
      </c>
      <c r="M984" s="0" t="s">
        <v>50</v>
      </c>
      <c r="N984" s="0" t="n">
        <v>87</v>
      </c>
      <c r="O984" s="0" t="n">
        <v>12</v>
      </c>
      <c r="P984" s="0" t="n">
        <v>11</v>
      </c>
      <c r="Q984" s="5" t="str">
        <f aca="false">IF($D984&lt;&gt;"","["&amp;$E984&amp;"]"&amp;"|"&amp;SUBSTITUTE(SUBSTITUTE($I984,CHAR(61),""),CHAR(34),"")&amp;"|"&amp;$K984&amp;"|"&amp;$G984&amp;"|"&amp;IF($G984="TX_CURR_SUBNAT.R","CY2020Q4",$M984),"")</f>
        <v>[zTaMbxvQtJ6]|10-14|Male|TX_CURR_SUBNAT.T_1|CY2021Q3</v>
      </c>
    </row>
    <row r="985" customFormat="false" ht="15" hidden="false" customHeight="false" outlineLevel="0" collapsed="false">
      <c r="D985" s="0" t="s">
        <v>111</v>
      </c>
      <c r="E985" s="0" t="s">
        <v>112</v>
      </c>
      <c r="F985" s="0" t="s">
        <v>47</v>
      </c>
      <c r="G985" s="0" t="s">
        <v>99</v>
      </c>
      <c r="H985" s="0" t="s">
        <v>100</v>
      </c>
      <c r="I985" s="0" t="s">
        <v>63</v>
      </c>
      <c r="J985" s="0" t="s">
        <v>64</v>
      </c>
      <c r="K985" s="0" t="s">
        <v>56</v>
      </c>
      <c r="L985" s="0" t="s">
        <v>57</v>
      </c>
      <c r="M985" s="0" t="s">
        <v>50</v>
      </c>
      <c r="N985" s="0" t="n">
        <v>124</v>
      </c>
      <c r="O985" s="0" t="n">
        <v>33</v>
      </c>
      <c r="P985" s="0" t="n">
        <v>17</v>
      </c>
      <c r="Q985" s="5" t="str">
        <f aca="false">IF($D985&lt;&gt;"","["&amp;$E985&amp;"]"&amp;"|"&amp;SUBSTITUTE(SUBSTITUTE($I985,CHAR(61),""),CHAR(34),"")&amp;"|"&amp;$K985&amp;"|"&amp;$G985&amp;"|"&amp;IF($G985="TX_CURR_SUBNAT.R","CY2020Q4",$M985),"")</f>
        <v>[zTaMbxvQtJ6]|15-19|Female|TX_CURR_SUBNAT.T_1|CY2021Q3</v>
      </c>
    </row>
    <row r="986" customFormat="false" ht="15" hidden="false" customHeight="false" outlineLevel="0" collapsed="false">
      <c r="D986" s="0" t="s">
        <v>111</v>
      </c>
      <c r="E986" s="0" t="s">
        <v>112</v>
      </c>
      <c r="F986" s="0" t="s">
        <v>47</v>
      </c>
      <c r="G986" s="0" t="s">
        <v>99</v>
      </c>
      <c r="H986" s="0" t="s">
        <v>100</v>
      </c>
      <c r="I986" s="0" t="s">
        <v>63</v>
      </c>
      <c r="J986" s="0" t="s">
        <v>64</v>
      </c>
      <c r="K986" s="0" t="s">
        <v>58</v>
      </c>
      <c r="L986" s="0" t="s">
        <v>59</v>
      </c>
      <c r="M986" s="0" t="s">
        <v>50</v>
      </c>
      <c r="N986" s="0" t="n">
        <v>96</v>
      </c>
      <c r="O986" s="0" t="n">
        <v>13</v>
      </c>
      <c r="P986" s="0" t="n">
        <v>28</v>
      </c>
      <c r="Q986" s="5" t="str">
        <f aca="false">IF($D986&lt;&gt;"","["&amp;$E986&amp;"]"&amp;"|"&amp;SUBSTITUTE(SUBSTITUTE($I986,CHAR(61),""),CHAR(34),"")&amp;"|"&amp;$K986&amp;"|"&amp;$G986&amp;"|"&amp;IF($G986="TX_CURR_SUBNAT.R","CY2020Q4",$M986),"")</f>
        <v>[zTaMbxvQtJ6]|15-19|Male|TX_CURR_SUBNAT.T_1|CY2021Q3</v>
      </c>
    </row>
    <row r="987" customFormat="false" ht="15" hidden="false" customHeight="false" outlineLevel="0" collapsed="false">
      <c r="D987" s="0" t="s">
        <v>111</v>
      </c>
      <c r="E987" s="0" t="s">
        <v>112</v>
      </c>
      <c r="F987" s="0" t="s">
        <v>47</v>
      </c>
      <c r="G987" s="0" t="s">
        <v>99</v>
      </c>
      <c r="H987" s="0" t="s">
        <v>100</v>
      </c>
      <c r="I987" s="0" t="s">
        <v>66</v>
      </c>
      <c r="J987" s="0" t="s">
        <v>67</v>
      </c>
      <c r="K987" s="0" t="s">
        <v>56</v>
      </c>
      <c r="L987" s="0" t="s">
        <v>57</v>
      </c>
      <c r="M987" s="0" t="s">
        <v>50</v>
      </c>
      <c r="N987" s="0" t="n">
        <v>248</v>
      </c>
      <c r="O987" s="0" t="n">
        <v>34</v>
      </c>
      <c r="P987" s="0" t="n">
        <v>48</v>
      </c>
      <c r="Q987" s="5" t="str">
        <f aca="false">IF($D987&lt;&gt;"","["&amp;$E987&amp;"]"&amp;"|"&amp;SUBSTITUTE(SUBSTITUTE($I987,CHAR(61),""),CHAR(34),"")&amp;"|"&amp;$K987&amp;"|"&amp;$G987&amp;"|"&amp;IF($G987="TX_CURR_SUBNAT.R","CY2020Q4",$M987),"")</f>
        <v>[zTaMbxvQtJ6]|20-24|Female|TX_CURR_SUBNAT.T_1|CY2021Q3</v>
      </c>
    </row>
    <row r="988" customFormat="false" ht="15" hidden="false" customHeight="false" outlineLevel="0" collapsed="false">
      <c r="D988" s="0" t="s">
        <v>111</v>
      </c>
      <c r="E988" s="0" t="s">
        <v>112</v>
      </c>
      <c r="F988" s="0" t="s">
        <v>47</v>
      </c>
      <c r="G988" s="0" t="s">
        <v>99</v>
      </c>
      <c r="H988" s="0" t="s">
        <v>100</v>
      </c>
      <c r="I988" s="0" t="s">
        <v>66</v>
      </c>
      <c r="J988" s="0" t="s">
        <v>67</v>
      </c>
      <c r="K988" s="0" t="s">
        <v>58</v>
      </c>
      <c r="L988" s="0" t="s">
        <v>59</v>
      </c>
      <c r="M988" s="0" t="s">
        <v>50</v>
      </c>
      <c r="N988" s="0" t="n">
        <v>85</v>
      </c>
      <c r="O988" s="0" t="n">
        <v>19</v>
      </c>
      <c r="P988" s="0" t="n">
        <v>46</v>
      </c>
      <c r="Q988" s="5" t="str">
        <f aca="false">IF($D988&lt;&gt;"","["&amp;$E988&amp;"]"&amp;"|"&amp;SUBSTITUTE(SUBSTITUTE($I988,CHAR(61),""),CHAR(34),"")&amp;"|"&amp;$K988&amp;"|"&amp;$G988&amp;"|"&amp;IF($G988="TX_CURR_SUBNAT.R","CY2020Q4",$M988),"")</f>
        <v>[zTaMbxvQtJ6]|20-24|Male|TX_CURR_SUBNAT.T_1|CY2021Q3</v>
      </c>
    </row>
    <row r="989" customFormat="false" ht="15" hidden="false" customHeight="false" outlineLevel="0" collapsed="false">
      <c r="D989" s="0" t="s">
        <v>111</v>
      </c>
      <c r="E989" s="0" t="s">
        <v>112</v>
      </c>
      <c r="F989" s="0" t="s">
        <v>47</v>
      </c>
      <c r="G989" s="0" t="s">
        <v>99</v>
      </c>
      <c r="H989" s="0" t="s">
        <v>100</v>
      </c>
      <c r="I989" s="0" t="s">
        <v>69</v>
      </c>
      <c r="J989" s="0" t="s">
        <v>70</v>
      </c>
      <c r="K989" s="0" t="s">
        <v>56</v>
      </c>
      <c r="L989" s="0" t="s">
        <v>57</v>
      </c>
      <c r="M989" s="0" t="s">
        <v>50</v>
      </c>
      <c r="N989" s="0" t="n">
        <v>424</v>
      </c>
      <c r="O989" s="0" t="n">
        <v>26</v>
      </c>
      <c r="P989" s="0" t="n">
        <v>21</v>
      </c>
      <c r="Q989" s="5" t="str">
        <f aca="false">IF($D989&lt;&gt;"","["&amp;$E989&amp;"]"&amp;"|"&amp;SUBSTITUTE(SUBSTITUTE($I989,CHAR(61),""),CHAR(34),"")&amp;"|"&amp;$K989&amp;"|"&amp;$G989&amp;"|"&amp;IF($G989="TX_CURR_SUBNAT.R","CY2020Q4",$M989),"")</f>
        <v>[zTaMbxvQtJ6]|25-29|Female|TX_CURR_SUBNAT.T_1|CY2021Q3</v>
      </c>
    </row>
    <row r="990" customFormat="false" ht="15" hidden="false" customHeight="false" outlineLevel="0" collapsed="false">
      <c r="D990" s="0" t="s">
        <v>111</v>
      </c>
      <c r="E990" s="0" t="s">
        <v>112</v>
      </c>
      <c r="F990" s="0" t="s">
        <v>47</v>
      </c>
      <c r="G990" s="0" t="s">
        <v>99</v>
      </c>
      <c r="H990" s="0" t="s">
        <v>100</v>
      </c>
      <c r="I990" s="0" t="s">
        <v>69</v>
      </c>
      <c r="J990" s="0" t="s">
        <v>70</v>
      </c>
      <c r="K990" s="0" t="s">
        <v>58</v>
      </c>
      <c r="L990" s="0" t="s">
        <v>59</v>
      </c>
      <c r="M990" s="0" t="s">
        <v>50</v>
      </c>
      <c r="N990" s="0" t="n">
        <v>141</v>
      </c>
      <c r="O990" s="0" t="n">
        <v>48</v>
      </c>
      <c r="P990" s="0" t="n">
        <v>28</v>
      </c>
      <c r="Q990" s="5" t="str">
        <f aca="false">IF($D990&lt;&gt;"","["&amp;$E990&amp;"]"&amp;"|"&amp;SUBSTITUTE(SUBSTITUTE($I990,CHAR(61),""),CHAR(34),"")&amp;"|"&amp;$K990&amp;"|"&amp;$G990&amp;"|"&amp;IF($G990="TX_CURR_SUBNAT.R","CY2020Q4",$M990),"")</f>
        <v>[zTaMbxvQtJ6]|25-29|Male|TX_CURR_SUBNAT.T_1|CY2021Q3</v>
      </c>
    </row>
    <row r="991" customFormat="false" ht="15" hidden="false" customHeight="false" outlineLevel="0" collapsed="false">
      <c r="D991" s="0" t="s">
        <v>111</v>
      </c>
      <c r="E991" s="0" t="s">
        <v>112</v>
      </c>
      <c r="F991" s="0" t="s">
        <v>47</v>
      </c>
      <c r="G991" s="0" t="s">
        <v>99</v>
      </c>
      <c r="H991" s="0" t="s">
        <v>100</v>
      </c>
      <c r="I991" s="0" t="s">
        <v>72</v>
      </c>
      <c r="J991" s="0" t="s">
        <v>73</v>
      </c>
      <c r="K991" s="0" t="s">
        <v>56</v>
      </c>
      <c r="L991" s="0" t="s">
        <v>57</v>
      </c>
      <c r="M991" s="0" t="s">
        <v>50</v>
      </c>
      <c r="N991" s="0" t="n">
        <v>576</v>
      </c>
      <c r="O991" s="0" t="n">
        <v>6</v>
      </c>
      <c r="P991" s="0" t="n">
        <v>4</v>
      </c>
      <c r="Q991" s="5" t="str">
        <f aca="false">IF($D991&lt;&gt;"","["&amp;$E991&amp;"]"&amp;"|"&amp;SUBSTITUTE(SUBSTITUTE($I991,CHAR(61),""),CHAR(34),"")&amp;"|"&amp;$K991&amp;"|"&amp;$G991&amp;"|"&amp;IF($G991="TX_CURR_SUBNAT.R","CY2020Q4",$M991),"")</f>
        <v>[zTaMbxvQtJ6]|30-34|Female|TX_CURR_SUBNAT.T_1|CY2021Q3</v>
      </c>
    </row>
    <row r="992" customFormat="false" ht="15" hidden="false" customHeight="false" outlineLevel="0" collapsed="false">
      <c r="D992" s="0" t="s">
        <v>111</v>
      </c>
      <c r="E992" s="0" t="s">
        <v>112</v>
      </c>
      <c r="F992" s="0" t="s">
        <v>47</v>
      </c>
      <c r="G992" s="0" t="s">
        <v>99</v>
      </c>
      <c r="H992" s="0" t="s">
        <v>100</v>
      </c>
      <c r="I992" s="0" t="s">
        <v>72</v>
      </c>
      <c r="J992" s="0" t="s">
        <v>73</v>
      </c>
      <c r="K992" s="0" t="s">
        <v>58</v>
      </c>
      <c r="L992" s="0" t="s">
        <v>59</v>
      </c>
      <c r="M992" s="0" t="s">
        <v>50</v>
      </c>
      <c r="N992" s="0" t="n">
        <v>252</v>
      </c>
      <c r="O992" s="0" t="n">
        <v>9</v>
      </c>
      <c r="P992" s="0" t="n">
        <v>7</v>
      </c>
      <c r="Q992" s="5" t="str">
        <f aca="false">IF($D992&lt;&gt;"","["&amp;$E992&amp;"]"&amp;"|"&amp;SUBSTITUTE(SUBSTITUTE($I992,CHAR(61),""),CHAR(34),"")&amp;"|"&amp;$K992&amp;"|"&amp;$G992&amp;"|"&amp;IF($G992="TX_CURR_SUBNAT.R","CY2020Q4",$M992),"")</f>
        <v>[zTaMbxvQtJ6]|30-34|Male|TX_CURR_SUBNAT.T_1|CY2021Q3</v>
      </c>
    </row>
    <row r="993" customFormat="false" ht="15" hidden="false" customHeight="false" outlineLevel="0" collapsed="false">
      <c r="D993" s="0" t="s">
        <v>111</v>
      </c>
      <c r="E993" s="0" t="s">
        <v>112</v>
      </c>
      <c r="F993" s="0" t="s">
        <v>47</v>
      </c>
      <c r="G993" s="0" t="s">
        <v>99</v>
      </c>
      <c r="H993" s="0" t="s">
        <v>100</v>
      </c>
      <c r="I993" s="0" t="s">
        <v>75</v>
      </c>
      <c r="J993" s="0" t="s">
        <v>76</v>
      </c>
      <c r="K993" s="0" t="s">
        <v>56</v>
      </c>
      <c r="L993" s="0" t="s">
        <v>57</v>
      </c>
      <c r="M993" s="0" t="s">
        <v>50</v>
      </c>
      <c r="N993" s="0" t="n">
        <v>657</v>
      </c>
      <c r="O993" s="0" t="n">
        <v>12</v>
      </c>
      <c r="P993" s="0" t="n">
        <v>26</v>
      </c>
      <c r="Q993" s="5" t="str">
        <f aca="false">IF($D993&lt;&gt;"","["&amp;$E993&amp;"]"&amp;"|"&amp;SUBSTITUTE(SUBSTITUTE($I993,CHAR(61),""),CHAR(34),"")&amp;"|"&amp;$K993&amp;"|"&amp;$G993&amp;"|"&amp;IF($G993="TX_CURR_SUBNAT.R","CY2020Q4",$M993),"")</f>
        <v>[zTaMbxvQtJ6]|35-39|Female|TX_CURR_SUBNAT.T_1|CY2021Q3</v>
      </c>
    </row>
    <row r="994" customFormat="false" ht="15" hidden="false" customHeight="false" outlineLevel="0" collapsed="false">
      <c r="D994" s="0" t="s">
        <v>111</v>
      </c>
      <c r="E994" s="0" t="s">
        <v>112</v>
      </c>
      <c r="F994" s="0" t="s">
        <v>47</v>
      </c>
      <c r="G994" s="0" t="s">
        <v>99</v>
      </c>
      <c r="H994" s="0" t="s">
        <v>100</v>
      </c>
      <c r="I994" s="0" t="s">
        <v>75</v>
      </c>
      <c r="J994" s="0" t="s">
        <v>76</v>
      </c>
      <c r="K994" s="0" t="s">
        <v>58</v>
      </c>
      <c r="L994" s="0" t="s">
        <v>59</v>
      </c>
      <c r="M994" s="0" t="s">
        <v>50</v>
      </c>
      <c r="N994" s="0" t="n">
        <v>373</v>
      </c>
      <c r="O994" s="0" t="n">
        <v>54</v>
      </c>
      <c r="P994" s="0" t="n">
        <v>14</v>
      </c>
      <c r="Q994" s="5" t="str">
        <f aca="false">IF($D994&lt;&gt;"","["&amp;$E994&amp;"]"&amp;"|"&amp;SUBSTITUTE(SUBSTITUTE($I994,CHAR(61),""),CHAR(34),"")&amp;"|"&amp;$K994&amp;"|"&amp;$G994&amp;"|"&amp;IF($G994="TX_CURR_SUBNAT.R","CY2020Q4",$M994),"")</f>
        <v>[zTaMbxvQtJ6]|35-39|Male|TX_CURR_SUBNAT.T_1|CY2021Q3</v>
      </c>
    </row>
    <row r="995" customFormat="false" ht="15" hidden="false" customHeight="false" outlineLevel="0" collapsed="false">
      <c r="D995" s="0" t="s">
        <v>111</v>
      </c>
      <c r="E995" s="0" t="s">
        <v>112</v>
      </c>
      <c r="F995" s="0" t="s">
        <v>47</v>
      </c>
      <c r="G995" s="0" t="s">
        <v>99</v>
      </c>
      <c r="H995" s="0" t="s">
        <v>100</v>
      </c>
      <c r="I995" s="0" t="s">
        <v>77</v>
      </c>
      <c r="J995" s="0" t="s">
        <v>78</v>
      </c>
      <c r="K995" s="0" t="s">
        <v>56</v>
      </c>
      <c r="L995" s="0" t="s">
        <v>57</v>
      </c>
      <c r="M995" s="0" t="s">
        <v>50</v>
      </c>
      <c r="N995" s="0" t="n">
        <v>650</v>
      </c>
      <c r="O995" s="0" t="n">
        <v>20</v>
      </c>
      <c r="P995" s="0" t="n">
        <v>18</v>
      </c>
      <c r="Q995" s="5" t="str">
        <f aca="false">IF($D995&lt;&gt;"","["&amp;$E995&amp;"]"&amp;"|"&amp;SUBSTITUTE(SUBSTITUTE($I995,CHAR(61),""),CHAR(34),"")&amp;"|"&amp;$K995&amp;"|"&amp;$G995&amp;"|"&amp;IF($G995="TX_CURR_SUBNAT.R","CY2020Q4",$M995),"")</f>
        <v>[zTaMbxvQtJ6]|40-44|Female|TX_CURR_SUBNAT.T_1|CY2021Q3</v>
      </c>
    </row>
    <row r="996" customFormat="false" ht="15" hidden="false" customHeight="false" outlineLevel="0" collapsed="false">
      <c r="D996" s="0" t="s">
        <v>111</v>
      </c>
      <c r="E996" s="0" t="s">
        <v>112</v>
      </c>
      <c r="F996" s="0" t="s">
        <v>47</v>
      </c>
      <c r="G996" s="0" t="s">
        <v>99</v>
      </c>
      <c r="H996" s="0" t="s">
        <v>100</v>
      </c>
      <c r="I996" s="0" t="s">
        <v>77</v>
      </c>
      <c r="J996" s="0" t="s">
        <v>78</v>
      </c>
      <c r="K996" s="0" t="s">
        <v>58</v>
      </c>
      <c r="L996" s="0" t="s">
        <v>59</v>
      </c>
      <c r="M996" s="0" t="s">
        <v>50</v>
      </c>
      <c r="N996" s="0" t="n">
        <v>397</v>
      </c>
      <c r="O996" s="0" t="n">
        <v>52</v>
      </c>
      <c r="P996" s="0" t="n">
        <v>4</v>
      </c>
      <c r="Q996" s="5" t="str">
        <f aca="false">IF($D996&lt;&gt;"","["&amp;$E996&amp;"]"&amp;"|"&amp;SUBSTITUTE(SUBSTITUTE($I996,CHAR(61),""),CHAR(34),"")&amp;"|"&amp;$K996&amp;"|"&amp;$G996&amp;"|"&amp;IF($G996="TX_CURR_SUBNAT.R","CY2020Q4",$M996),"")</f>
        <v>[zTaMbxvQtJ6]|40-44|Male|TX_CURR_SUBNAT.T_1|CY2021Q3</v>
      </c>
    </row>
    <row r="997" customFormat="false" ht="15" hidden="false" customHeight="false" outlineLevel="0" collapsed="false">
      <c r="D997" s="0" t="s">
        <v>111</v>
      </c>
      <c r="E997" s="0" t="s">
        <v>112</v>
      </c>
      <c r="F997" s="0" t="s">
        <v>47</v>
      </c>
      <c r="G997" s="0" t="s">
        <v>99</v>
      </c>
      <c r="H997" s="0" t="s">
        <v>100</v>
      </c>
      <c r="I997" s="0" t="s">
        <v>80</v>
      </c>
      <c r="J997" s="0" t="s">
        <v>81</v>
      </c>
      <c r="K997" s="0" t="s">
        <v>56</v>
      </c>
      <c r="L997" s="0" t="s">
        <v>57</v>
      </c>
      <c r="M997" s="0" t="s">
        <v>50</v>
      </c>
      <c r="N997" s="0" t="n">
        <v>531</v>
      </c>
      <c r="O997" s="0" t="n">
        <v>46</v>
      </c>
      <c r="P997" s="0" t="n">
        <v>43</v>
      </c>
      <c r="Q997" s="5" t="str">
        <f aca="false">IF($D997&lt;&gt;"","["&amp;$E997&amp;"]"&amp;"|"&amp;SUBSTITUTE(SUBSTITUTE($I997,CHAR(61),""),CHAR(34),"")&amp;"|"&amp;$K997&amp;"|"&amp;$G997&amp;"|"&amp;IF($G997="TX_CURR_SUBNAT.R","CY2020Q4",$M997),"")</f>
        <v>[zTaMbxvQtJ6]|45-49|Female|TX_CURR_SUBNAT.T_1|CY2021Q3</v>
      </c>
    </row>
    <row r="998" customFormat="false" ht="15" hidden="false" customHeight="false" outlineLevel="0" collapsed="false">
      <c r="D998" s="0" t="s">
        <v>111</v>
      </c>
      <c r="E998" s="0" t="s">
        <v>112</v>
      </c>
      <c r="F998" s="0" t="s">
        <v>47</v>
      </c>
      <c r="G998" s="0" t="s">
        <v>99</v>
      </c>
      <c r="H998" s="0" t="s">
        <v>100</v>
      </c>
      <c r="I998" s="0" t="s">
        <v>80</v>
      </c>
      <c r="J998" s="0" t="s">
        <v>81</v>
      </c>
      <c r="K998" s="0" t="s">
        <v>58</v>
      </c>
      <c r="L998" s="0" t="s">
        <v>59</v>
      </c>
      <c r="M998" s="0" t="s">
        <v>50</v>
      </c>
      <c r="N998" s="0" t="n">
        <v>347</v>
      </c>
      <c r="O998" s="0" t="n">
        <v>33</v>
      </c>
      <c r="P998" s="0" t="n">
        <v>36</v>
      </c>
      <c r="Q998" s="5" t="str">
        <f aca="false">IF($D998&lt;&gt;"","["&amp;$E998&amp;"]"&amp;"|"&amp;SUBSTITUTE(SUBSTITUTE($I998,CHAR(61),""),CHAR(34),"")&amp;"|"&amp;$K998&amp;"|"&amp;$G998&amp;"|"&amp;IF($G998="TX_CURR_SUBNAT.R","CY2020Q4",$M998),"")</f>
        <v>[zTaMbxvQtJ6]|45-49|Male|TX_CURR_SUBNAT.T_1|CY2021Q3</v>
      </c>
    </row>
    <row r="999" customFormat="false" ht="15" hidden="false" customHeight="false" outlineLevel="0" collapsed="false">
      <c r="D999" s="0" t="s">
        <v>111</v>
      </c>
      <c r="E999" s="0" t="s">
        <v>112</v>
      </c>
      <c r="F999" s="0" t="s">
        <v>47</v>
      </c>
      <c r="G999" s="0" t="s">
        <v>99</v>
      </c>
      <c r="H999" s="0" t="s">
        <v>100</v>
      </c>
      <c r="I999" s="0" t="s">
        <v>83</v>
      </c>
      <c r="J999" s="0" t="s">
        <v>84</v>
      </c>
      <c r="K999" s="0" t="s">
        <v>56</v>
      </c>
      <c r="L999" s="0" t="s">
        <v>57</v>
      </c>
      <c r="M999" s="0" t="s">
        <v>50</v>
      </c>
      <c r="N999" s="0" t="n">
        <v>40</v>
      </c>
      <c r="O999" s="0" t="n">
        <v>36</v>
      </c>
      <c r="P999" s="0" t="n">
        <v>47</v>
      </c>
      <c r="Q999" s="5" t="str">
        <f aca="false">IF($D999&lt;&gt;"","["&amp;$E999&amp;"]"&amp;"|"&amp;SUBSTITUTE(SUBSTITUTE($I999,CHAR(61),""),CHAR(34),"")&amp;"|"&amp;$K999&amp;"|"&amp;$G999&amp;"|"&amp;IF($G999="TX_CURR_SUBNAT.R","CY2020Q4",$M999),"")</f>
        <v>[zTaMbxvQtJ6]|05-09|Female|TX_CURR_SUBNAT.T_1|CY2021Q3</v>
      </c>
    </row>
    <row r="1000" customFormat="false" ht="15" hidden="false" customHeight="false" outlineLevel="0" collapsed="false">
      <c r="D1000" s="0" t="s">
        <v>111</v>
      </c>
      <c r="E1000" s="0" t="s">
        <v>112</v>
      </c>
      <c r="F1000" s="0" t="s">
        <v>47</v>
      </c>
      <c r="G1000" s="0" t="s">
        <v>99</v>
      </c>
      <c r="H1000" s="0" t="s">
        <v>100</v>
      </c>
      <c r="I1000" s="0" t="s">
        <v>83</v>
      </c>
      <c r="J1000" s="0" t="s">
        <v>84</v>
      </c>
      <c r="K1000" s="0" t="s">
        <v>58</v>
      </c>
      <c r="L1000" s="0" t="s">
        <v>59</v>
      </c>
      <c r="M1000" s="0" t="s">
        <v>50</v>
      </c>
      <c r="N1000" s="0" t="n">
        <v>40</v>
      </c>
      <c r="O1000" s="0" t="n">
        <v>41</v>
      </c>
      <c r="P1000" s="0" t="n">
        <v>45</v>
      </c>
      <c r="Q1000" s="5" t="str">
        <f aca="false">IF($D1000&lt;&gt;"","["&amp;$E1000&amp;"]"&amp;"|"&amp;SUBSTITUTE(SUBSTITUTE($I1000,CHAR(61),""),CHAR(34),"")&amp;"|"&amp;$K1000&amp;"|"&amp;$G1000&amp;"|"&amp;IF($G1000="TX_CURR_SUBNAT.R","CY2020Q4",$M1000),"")</f>
        <v>[zTaMbxvQtJ6]|05-09|Male|TX_CURR_SUBNAT.T_1|CY2021Q3</v>
      </c>
    </row>
    <row r="1001" customFormat="false" ht="15" hidden="false" customHeight="false" outlineLevel="0" collapsed="false">
      <c r="D1001" s="0" t="s">
        <v>111</v>
      </c>
      <c r="E1001" s="0" t="s">
        <v>112</v>
      </c>
      <c r="F1001" s="0" t="s">
        <v>47</v>
      </c>
      <c r="G1001" s="0" t="s">
        <v>99</v>
      </c>
      <c r="H1001" s="0" t="s">
        <v>100</v>
      </c>
      <c r="I1001" s="53" t="s">
        <v>86</v>
      </c>
      <c r="J1001" s="0" t="s">
        <v>87</v>
      </c>
      <c r="K1001" s="0" t="s">
        <v>56</v>
      </c>
      <c r="L1001" s="0" t="s">
        <v>57</v>
      </c>
      <c r="M1001" s="0" t="s">
        <v>50</v>
      </c>
      <c r="N1001" s="0" t="n">
        <v>1321</v>
      </c>
      <c r="O1001" s="0" t="n">
        <v>8</v>
      </c>
      <c r="P1001" s="0" t="n">
        <v>49</v>
      </c>
      <c r="Q1001" s="5" t="str">
        <f aca="false">IF($D1001&lt;&gt;"","["&amp;$E1001&amp;"]"&amp;"|"&amp;SUBSTITUTE(SUBSTITUTE($I1001,CHAR(61),""),CHAR(34),"")&amp;"|"&amp;$K1001&amp;"|"&amp;$G1001&amp;"|"&amp;IF($G1001="TX_CURR_SUBNAT.R","CY2020Q4",$M1001),"")</f>
        <v>[zTaMbxvQtJ6]|50+|Female|TX_CURR_SUBNAT.T_1|CY2021Q3</v>
      </c>
    </row>
    <row r="1002" customFormat="false" ht="15" hidden="false" customHeight="false" outlineLevel="0" collapsed="false">
      <c r="D1002" s="0" t="s">
        <v>111</v>
      </c>
      <c r="E1002" s="0" t="s">
        <v>112</v>
      </c>
      <c r="F1002" s="0" t="s">
        <v>47</v>
      </c>
      <c r="G1002" s="0" t="s">
        <v>99</v>
      </c>
      <c r="H1002" s="0" t="s">
        <v>100</v>
      </c>
      <c r="I1002" s="53" t="s">
        <v>86</v>
      </c>
      <c r="J1002" s="0" t="s">
        <v>87</v>
      </c>
      <c r="K1002" s="0" t="s">
        <v>58</v>
      </c>
      <c r="L1002" s="0" t="s">
        <v>59</v>
      </c>
      <c r="M1002" s="0" t="s">
        <v>50</v>
      </c>
      <c r="N1002" s="0" t="n">
        <v>892</v>
      </c>
      <c r="O1002" s="0" t="n">
        <v>55</v>
      </c>
      <c r="P1002" s="0" t="n">
        <v>18</v>
      </c>
      <c r="Q1002" s="5" t="str">
        <f aca="false">IF($D1002&lt;&gt;"","["&amp;$E1002&amp;"]"&amp;"|"&amp;SUBSTITUTE(SUBSTITUTE($I1002,CHAR(61),""),CHAR(34),"")&amp;"|"&amp;$K1002&amp;"|"&amp;$G1002&amp;"|"&amp;IF($G1002="TX_CURR_SUBNAT.R","CY2020Q4",$M1002),"")</f>
        <v>[zTaMbxvQtJ6]|50+|Male|TX_CURR_SUBNAT.T_1|CY2021Q3</v>
      </c>
    </row>
    <row r="1003" customFormat="false" ht="15" hidden="false" customHeight="false" outlineLevel="0" collapsed="false">
      <c r="D1003" s="0" t="s">
        <v>111</v>
      </c>
      <c r="E1003" s="0" t="s">
        <v>112</v>
      </c>
      <c r="F1003" s="0" t="s">
        <v>47</v>
      </c>
      <c r="G1003" s="0" t="s">
        <v>99</v>
      </c>
      <c r="H1003" s="0" t="s">
        <v>100</v>
      </c>
      <c r="I1003" s="0" t="s">
        <v>89</v>
      </c>
      <c r="J1003" s="0" t="s">
        <v>90</v>
      </c>
      <c r="K1003" s="0" t="s">
        <v>56</v>
      </c>
      <c r="L1003" s="0" t="s">
        <v>57</v>
      </c>
      <c r="M1003" s="0" t="s">
        <v>50</v>
      </c>
      <c r="N1003" s="0" t="n">
        <v>2</v>
      </c>
      <c r="O1003" s="0" t="n">
        <v>41</v>
      </c>
      <c r="P1003" s="0" t="n">
        <v>19</v>
      </c>
      <c r="Q1003" s="5" t="str">
        <f aca="false">IF($D1003&lt;&gt;"","["&amp;$E1003&amp;"]"&amp;"|"&amp;SUBSTITUTE(SUBSTITUTE($I1003,CHAR(61),""),CHAR(34),"")&amp;"|"&amp;$K1003&amp;"|"&amp;$G1003&amp;"|"&amp;IF($G1003="TX_CURR_SUBNAT.R","CY2020Q4",$M1003),"")</f>
        <v>[zTaMbxvQtJ6]|&lt;01|Female|TX_CURR_SUBNAT.T_1|CY2021Q3</v>
      </c>
    </row>
    <row r="1004" customFormat="false" ht="15" hidden="false" customHeight="false" outlineLevel="0" collapsed="false">
      <c r="D1004" s="0" t="s">
        <v>111</v>
      </c>
      <c r="E1004" s="0" t="s">
        <v>112</v>
      </c>
      <c r="F1004" s="0" t="s">
        <v>47</v>
      </c>
      <c r="G1004" s="0" t="s">
        <v>99</v>
      </c>
      <c r="H1004" s="0" t="s">
        <v>100</v>
      </c>
      <c r="I1004" s="0" t="s">
        <v>89</v>
      </c>
      <c r="J1004" s="0" t="s">
        <v>90</v>
      </c>
      <c r="K1004" s="0" t="s">
        <v>58</v>
      </c>
      <c r="L1004" s="0" t="s">
        <v>59</v>
      </c>
      <c r="M1004" s="0" t="s">
        <v>50</v>
      </c>
      <c r="N1004" s="0" t="n">
        <v>2</v>
      </c>
      <c r="O1004" s="0" t="n">
        <v>10</v>
      </c>
      <c r="P1004" s="0" t="n">
        <v>30</v>
      </c>
      <c r="Q1004" s="5" t="str">
        <f aca="false">IF($D1004&lt;&gt;"","["&amp;$E1004&amp;"]"&amp;"|"&amp;SUBSTITUTE(SUBSTITUTE($I1004,CHAR(61),""),CHAR(34),"")&amp;"|"&amp;$K1004&amp;"|"&amp;$G1004&amp;"|"&amp;IF($G1004="TX_CURR_SUBNAT.R","CY2020Q4",$M1004),"")</f>
        <v>[zTaMbxvQtJ6]|&lt;01|Male|TX_CURR_SUBNAT.T_1|CY2021Q3</v>
      </c>
    </row>
    <row r="1005" customFormat="false" ht="15" hidden="false" customHeight="false" outlineLevel="0" collapsed="false">
      <c r="D1005" s="0" t="s">
        <v>113</v>
      </c>
      <c r="E1005" s="0" t="s">
        <v>114</v>
      </c>
      <c r="F1005" s="0" t="s">
        <v>47</v>
      </c>
      <c r="G1005" s="0" t="s">
        <v>52</v>
      </c>
      <c r="H1005" s="0" t="s">
        <v>53</v>
      </c>
      <c r="I1005" s="0" t="s">
        <v>54</v>
      </c>
      <c r="J1005" s="0" t="s">
        <v>55</v>
      </c>
      <c r="K1005" s="0" t="s">
        <v>56</v>
      </c>
      <c r="L1005" s="0" t="s">
        <v>57</v>
      </c>
      <c r="M1005" s="0" t="s">
        <v>50</v>
      </c>
      <c r="N1005" s="0" t="n">
        <v>4144</v>
      </c>
      <c r="O1005" s="0" t="n">
        <v>26</v>
      </c>
      <c r="P1005" s="0" t="n">
        <v>7</v>
      </c>
      <c r="Q1005" s="5" t="str">
        <f aca="false">IF($D1005&lt;&gt;"","["&amp;$E1005&amp;"]"&amp;"|"&amp;SUBSTITUTE(SUBSTITUTE($I1005,CHAR(61),""),CHAR(34),"")&amp;"|"&amp;$K1005&amp;"|"&amp;$G1005&amp;"|"&amp;IF($G1005="TX_CURR_SUBNAT.R","CY2020Q4",$M1005),"")</f>
        <v>[tjhYqc1MlVo]|01-04|Female|POP_EST.T_1|CY2021Q3</v>
      </c>
    </row>
    <row r="1006" customFormat="false" ht="15" hidden="false" customHeight="false" outlineLevel="0" collapsed="false">
      <c r="D1006" s="0" t="s">
        <v>113</v>
      </c>
      <c r="E1006" s="0" t="s">
        <v>114</v>
      </c>
      <c r="F1006" s="0" t="s">
        <v>47</v>
      </c>
      <c r="G1006" s="0" t="s">
        <v>52</v>
      </c>
      <c r="H1006" s="0" t="s">
        <v>53</v>
      </c>
      <c r="I1006" s="0" t="s">
        <v>54</v>
      </c>
      <c r="J1006" s="0" t="s">
        <v>55</v>
      </c>
      <c r="K1006" s="0" t="s">
        <v>58</v>
      </c>
      <c r="L1006" s="0" t="s">
        <v>59</v>
      </c>
      <c r="M1006" s="0" t="s">
        <v>50</v>
      </c>
      <c r="N1006" s="0" t="n">
        <v>4321</v>
      </c>
      <c r="O1006" s="0" t="n">
        <v>47</v>
      </c>
      <c r="P1006" s="0" t="n">
        <v>44</v>
      </c>
      <c r="Q1006" s="5" t="str">
        <f aca="false">IF($D1006&lt;&gt;"","["&amp;$E1006&amp;"]"&amp;"|"&amp;SUBSTITUTE(SUBSTITUTE($I1006,CHAR(61),""),CHAR(34),"")&amp;"|"&amp;$K1006&amp;"|"&amp;$G1006&amp;"|"&amp;IF($G1006="TX_CURR_SUBNAT.R","CY2020Q4",$M1006),"")</f>
        <v>[tjhYqc1MlVo]|01-04|Male|POP_EST.T_1|CY2021Q3</v>
      </c>
    </row>
    <row r="1007" customFormat="false" ht="15" hidden="false" customHeight="false" outlineLevel="0" collapsed="false">
      <c r="D1007" s="0" t="s">
        <v>113</v>
      </c>
      <c r="E1007" s="0" t="s">
        <v>114</v>
      </c>
      <c r="F1007" s="0" t="s">
        <v>47</v>
      </c>
      <c r="G1007" s="0" t="s">
        <v>52</v>
      </c>
      <c r="H1007" s="0" t="s">
        <v>53</v>
      </c>
      <c r="I1007" s="0" t="s">
        <v>61</v>
      </c>
      <c r="J1007" s="0" t="s">
        <v>62</v>
      </c>
      <c r="K1007" s="0" t="s">
        <v>56</v>
      </c>
      <c r="L1007" s="0" t="s">
        <v>57</v>
      </c>
      <c r="M1007" s="0" t="s">
        <v>50</v>
      </c>
      <c r="N1007" s="0" t="n">
        <v>6700</v>
      </c>
      <c r="O1007" s="0" t="n">
        <v>50</v>
      </c>
      <c r="P1007" s="0" t="n">
        <v>17</v>
      </c>
      <c r="Q1007" s="5" t="str">
        <f aca="false">IF($D1007&lt;&gt;"","["&amp;$E1007&amp;"]"&amp;"|"&amp;SUBSTITUTE(SUBSTITUTE($I1007,CHAR(61),""),CHAR(34),"")&amp;"|"&amp;$K1007&amp;"|"&amp;$G1007&amp;"|"&amp;IF($G1007="TX_CURR_SUBNAT.R","CY2020Q4",$M1007),"")</f>
        <v>[tjhYqc1MlVo]|10-14|Female|POP_EST.T_1|CY2021Q3</v>
      </c>
    </row>
    <row r="1008" customFormat="false" ht="15" hidden="false" customHeight="false" outlineLevel="0" collapsed="false">
      <c r="D1008" s="0" t="s">
        <v>113</v>
      </c>
      <c r="E1008" s="0" t="s">
        <v>114</v>
      </c>
      <c r="F1008" s="0" t="s">
        <v>47</v>
      </c>
      <c r="G1008" s="0" t="s">
        <v>52</v>
      </c>
      <c r="H1008" s="0" t="s">
        <v>53</v>
      </c>
      <c r="I1008" s="0" t="s">
        <v>61</v>
      </c>
      <c r="J1008" s="0" t="s">
        <v>62</v>
      </c>
      <c r="K1008" s="0" t="s">
        <v>58</v>
      </c>
      <c r="L1008" s="0" t="s">
        <v>59</v>
      </c>
      <c r="M1008" s="0" t="s">
        <v>50</v>
      </c>
      <c r="N1008" s="0" t="n">
        <v>6580</v>
      </c>
      <c r="O1008" s="0" t="n">
        <v>40</v>
      </c>
      <c r="P1008" s="0" t="n">
        <v>25</v>
      </c>
      <c r="Q1008" s="5" t="str">
        <f aca="false">IF($D1008&lt;&gt;"","["&amp;$E1008&amp;"]"&amp;"|"&amp;SUBSTITUTE(SUBSTITUTE($I1008,CHAR(61),""),CHAR(34),"")&amp;"|"&amp;$K1008&amp;"|"&amp;$G1008&amp;"|"&amp;IF($G1008="TX_CURR_SUBNAT.R","CY2020Q4",$M1008),"")</f>
        <v>[tjhYqc1MlVo]|10-14|Male|POP_EST.T_1|CY2021Q3</v>
      </c>
    </row>
    <row r="1009" customFormat="false" ht="15" hidden="false" customHeight="false" outlineLevel="0" collapsed="false">
      <c r="D1009" s="0" t="s">
        <v>113</v>
      </c>
      <c r="E1009" s="0" t="s">
        <v>114</v>
      </c>
      <c r="F1009" s="0" t="s">
        <v>47</v>
      </c>
      <c r="G1009" s="0" t="s">
        <v>52</v>
      </c>
      <c r="H1009" s="0" t="s">
        <v>53</v>
      </c>
      <c r="I1009" s="0" t="s">
        <v>63</v>
      </c>
      <c r="J1009" s="0" t="s">
        <v>64</v>
      </c>
      <c r="K1009" s="0" t="s">
        <v>56</v>
      </c>
      <c r="L1009" s="0" t="s">
        <v>57</v>
      </c>
      <c r="M1009" s="0" t="s">
        <v>50</v>
      </c>
      <c r="N1009" s="0" t="n">
        <v>5619</v>
      </c>
      <c r="O1009" s="0" t="n">
        <v>1</v>
      </c>
      <c r="P1009" s="0" t="n">
        <v>7</v>
      </c>
      <c r="Q1009" s="5" t="str">
        <f aca="false">IF($D1009&lt;&gt;"","["&amp;$E1009&amp;"]"&amp;"|"&amp;SUBSTITUTE(SUBSTITUTE($I1009,CHAR(61),""),CHAR(34),"")&amp;"|"&amp;$K1009&amp;"|"&amp;$G1009&amp;"|"&amp;IF($G1009="TX_CURR_SUBNAT.R","CY2020Q4",$M1009),"")</f>
        <v>[tjhYqc1MlVo]|15-19|Female|POP_EST.T_1|CY2021Q3</v>
      </c>
    </row>
    <row r="1010" customFormat="false" ht="15" hidden="false" customHeight="false" outlineLevel="0" collapsed="false">
      <c r="D1010" s="0" t="s">
        <v>113</v>
      </c>
      <c r="E1010" s="0" t="s">
        <v>114</v>
      </c>
      <c r="F1010" s="0" t="s">
        <v>47</v>
      </c>
      <c r="G1010" s="0" t="s">
        <v>52</v>
      </c>
      <c r="H1010" s="0" t="s">
        <v>53</v>
      </c>
      <c r="I1010" s="0" t="s">
        <v>63</v>
      </c>
      <c r="J1010" s="0" t="s">
        <v>64</v>
      </c>
      <c r="K1010" s="0" t="s">
        <v>58</v>
      </c>
      <c r="L1010" s="0" t="s">
        <v>59</v>
      </c>
      <c r="M1010" s="0" t="s">
        <v>50</v>
      </c>
      <c r="N1010" s="0" t="n">
        <v>5548</v>
      </c>
      <c r="O1010" s="0" t="n">
        <v>9</v>
      </c>
      <c r="P1010" s="0" t="n">
        <v>43</v>
      </c>
      <c r="Q1010" s="5" t="str">
        <f aca="false">IF($D1010&lt;&gt;"","["&amp;$E1010&amp;"]"&amp;"|"&amp;SUBSTITUTE(SUBSTITUTE($I1010,CHAR(61),""),CHAR(34),"")&amp;"|"&amp;$K1010&amp;"|"&amp;$G1010&amp;"|"&amp;IF($G1010="TX_CURR_SUBNAT.R","CY2020Q4",$M1010),"")</f>
        <v>[tjhYqc1MlVo]|15-19|Male|POP_EST.T_1|CY2021Q3</v>
      </c>
    </row>
    <row r="1011" customFormat="false" ht="15" hidden="false" customHeight="false" outlineLevel="0" collapsed="false">
      <c r="D1011" s="0" t="s">
        <v>113</v>
      </c>
      <c r="E1011" s="0" t="s">
        <v>114</v>
      </c>
      <c r="F1011" s="0" t="s">
        <v>47</v>
      </c>
      <c r="G1011" s="0" t="s">
        <v>52</v>
      </c>
      <c r="H1011" s="0" t="s">
        <v>53</v>
      </c>
      <c r="I1011" s="0" t="s">
        <v>66</v>
      </c>
      <c r="J1011" s="0" t="s">
        <v>67</v>
      </c>
      <c r="K1011" s="0" t="s">
        <v>56</v>
      </c>
      <c r="L1011" s="0" t="s">
        <v>57</v>
      </c>
      <c r="M1011" s="0" t="s">
        <v>50</v>
      </c>
      <c r="N1011" s="0" t="n">
        <v>4377</v>
      </c>
      <c r="O1011" s="0" t="n">
        <v>54</v>
      </c>
      <c r="P1011" s="0" t="n">
        <v>26</v>
      </c>
      <c r="Q1011" s="5" t="str">
        <f aca="false">IF($D1011&lt;&gt;"","["&amp;$E1011&amp;"]"&amp;"|"&amp;SUBSTITUTE(SUBSTITUTE($I1011,CHAR(61),""),CHAR(34),"")&amp;"|"&amp;$K1011&amp;"|"&amp;$G1011&amp;"|"&amp;IF($G1011="TX_CURR_SUBNAT.R","CY2020Q4",$M1011),"")</f>
        <v>[tjhYqc1MlVo]|20-24|Female|POP_EST.T_1|CY2021Q3</v>
      </c>
    </row>
    <row r="1012" customFormat="false" ht="15" hidden="false" customHeight="false" outlineLevel="0" collapsed="false">
      <c r="D1012" s="0" t="s">
        <v>113</v>
      </c>
      <c r="E1012" s="0" t="s">
        <v>114</v>
      </c>
      <c r="F1012" s="0" t="s">
        <v>47</v>
      </c>
      <c r="G1012" s="0" t="s">
        <v>52</v>
      </c>
      <c r="H1012" s="0" t="s">
        <v>53</v>
      </c>
      <c r="I1012" s="0" t="s">
        <v>66</v>
      </c>
      <c r="J1012" s="0" t="s">
        <v>67</v>
      </c>
      <c r="K1012" s="0" t="s">
        <v>58</v>
      </c>
      <c r="L1012" s="0" t="s">
        <v>59</v>
      </c>
      <c r="M1012" s="0" t="s">
        <v>50</v>
      </c>
      <c r="N1012" s="0" t="n">
        <v>4562</v>
      </c>
      <c r="O1012" s="0" t="n">
        <v>7</v>
      </c>
      <c r="P1012" s="0" t="n">
        <v>44</v>
      </c>
      <c r="Q1012" s="5" t="str">
        <f aca="false">IF($D1012&lt;&gt;"","["&amp;$E1012&amp;"]"&amp;"|"&amp;SUBSTITUTE(SUBSTITUTE($I1012,CHAR(61),""),CHAR(34),"")&amp;"|"&amp;$K1012&amp;"|"&amp;$G1012&amp;"|"&amp;IF($G1012="TX_CURR_SUBNAT.R","CY2020Q4",$M1012),"")</f>
        <v>[tjhYqc1MlVo]|20-24|Male|POP_EST.T_1|CY2021Q3</v>
      </c>
    </row>
    <row r="1013" customFormat="false" ht="15" hidden="false" customHeight="false" outlineLevel="0" collapsed="false">
      <c r="D1013" s="0" t="s">
        <v>113</v>
      </c>
      <c r="E1013" s="0" t="s">
        <v>114</v>
      </c>
      <c r="F1013" s="0" t="s">
        <v>47</v>
      </c>
      <c r="G1013" s="0" t="s">
        <v>52</v>
      </c>
      <c r="H1013" s="0" t="s">
        <v>53</v>
      </c>
      <c r="I1013" s="0" t="s">
        <v>69</v>
      </c>
      <c r="J1013" s="0" t="s">
        <v>70</v>
      </c>
      <c r="K1013" s="0" t="s">
        <v>56</v>
      </c>
      <c r="L1013" s="0" t="s">
        <v>57</v>
      </c>
      <c r="M1013" s="0" t="s">
        <v>50</v>
      </c>
      <c r="N1013" s="0" t="n">
        <v>3880</v>
      </c>
      <c r="O1013" s="0" t="n">
        <v>47</v>
      </c>
      <c r="P1013" s="0" t="n">
        <v>1</v>
      </c>
      <c r="Q1013" s="5" t="str">
        <f aca="false">IF($D1013&lt;&gt;"","["&amp;$E1013&amp;"]"&amp;"|"&amp;SUBSTITUTE(SUBSTITUTE($I1013,CHAR(61),""),CHAR(34),"")&amp;"|"&amp;$K1013&amp;"|"&amp;$G1013&amp;"|"&amp;IF($G1013="TX_CURR_SUBNAT.R","CY2020Q4",$M1013),"")</f>
        <v>[tjhYqc1MlVo]|25-29|Female|POP_EST.T_1|CY2021Q3</v>
      </c>
    </row>
    <row r="1014" customFormat="false" ht="15" hidden="false" customHeight="false" outlineLevel="0" collapsed="false">
      <c r="D1014" s="0" t="s">
        <v>113</v>
      </c>
      <c r="E1014" s="0" t="s">
        <v>114</v>
      </c>
      <c r="F1014" s="0" t="s">
        <v>47</v>
      </c>
      <c r="G1014" s="0" t="s">
        <v>52</v>
      </c>
      <c r="H1014" s="0" t="s">
        <v>53</v>
      </c>
      <c r="I1014" s="0" t="s">
        <v>69</v>
      </c>
      <c r="J1014" s="0" t="s">
        <v>70</v>
      </c>
      <c r="K1014" s="0" t="s">
        <v>58</v>
      </c>
      <c r="L1014" s="0" t="s">
        <v>59</v>
      </c>
      <c r="M1014" s="0" t="s">
        <v>50</v>
      </c>
      <c r="N1014" s="0" t="n">
        <v>4530</v>
      </c>
      <c r="O1014" s="0" t="n">
        <v>17</v>
      </c>
      <c r="P1014" s="0" t="n">
        <v>35</v>
      </c>
      <c r="Q1014" s="5" t="str">
        <f aca="false">IF($D1014&lt;&gt;"","["&amp;$E1014&amp;"]"&amp;"|"&amp;SUBSTITUTE(SUBSTITUTE($I1014,CHAR(61),""),CHAR(34),"")&amp;"|"&amp;$K1014&amp;"|"&amp;$G1014&amp;"|"&amp;IF($G1014="TX_CURR_SUBNAT.R","CY2020Q4",$M1014),"")</f>
        <v>[tjhYqc1MlVo]|25-29|Male|POP_EST.T_1|CY2021Q3</v>
      </c>
    </row>
    <row r="1015" customFormat="false" ht="15" hidden="false" customHeight="false" outlineLevel="0" collapsed="false">
      <c r="D1015" s="0" t="s">
        <v>113</v>
      </c>
      <c r="E1015" s="0" t="s">
        <v>114</v>
      </c>
      <c r="F1015" s="0" t="s">
        <v>47</v>
      </c>
      <c r="G1015" s="0" t="s">
        <v>52</v>
      </c>
      <c r="H1015" s="0" t="s">
        <v>53</v>
      </c>
      <c r="I1015" s="0" t="s">
        <v>72</v>
      </c>
      <c r="J1015" s="0" t="s">
        <v>73</v>
      </c>
      <c r="K1015" s="0" t="s">
        <v>56</v>
      </c>
      <c r="L1015" s="0" t="s">
        <v>57</v>
      </c>
      <c r="M1015" s="0" t="s">
        <v>50</v>
      </c>
      <c r="N1015" s="0" t="n">
        <v>3641</v>
      </c>
      <c r="O1015" s="0" t="n">
        <v>59</v>
      </c>
      <c r="P1015" s="0" t="n">
        <v>25</v>
      </c>
      <c r="Q1015" s="5" t="str">
        <f aca="false">IF($D1015&lt;&gt;"","["&amp;$E1015&amp;"]"&amp;"|"&amp;SUBSTITUTE(SUBSTITUTE($I1015,CHAR(61),""),CHAR(34),"")&amp;"|"&amp;$K1015&amp;"|"&amp;$G1015&amp;"|"&amp;IF($G1015="TX_CURR_SUBNAT.R","CY2020Q4",$M1015),"")</f>
        <v>[tjhYqc1MlVo]|30-34|Female|POP_EST.T_1|CY2021Q3</v>
      </c>
    </row>
    <row r="1016" customFormat="false" ht="15" hidden="false" customHeight="false" outlineLevel="0" collapsed="false">
      <c r="D1016" s="0" t="s">
        <v>113</v>
      </c>
      <c r="E1016" s="0" t="s">
        <v>114</v>
      </c>
      <c r="F1016" s="0" t="s">
        <v>47</v>
      </c>
      <c r="G1016" s="0" t="s">
        <v>52</v>
      </c>
      <c r="H1016" s="0" t="s">
        <v>53</v>
      </c>
      <c r="I1016" s="0" t="s">
        <v>72</v>
      </c>
      <c r="J1016" s="0" t="s">
        <v>73</v>
      </c>
      <c r="K1016" s="0" t="s">
        <v>58</v>
      </c>
      <c r="L1016" s="0" t="s">
        <v>59</v>
      </c>
      <c r="M1016" s="0" t="s">
        <v>50</v>
      </c>
      <c r="N1016" s="0" t="n">
        <v>4330</v>
      </c>
      <c r="O1016" s="0" t="n">
        <v>24</v>
      </c>
      <c r="P1016" s="0" t="n">
        <v>3</v>
      </c>
      <c r="Q1016" s="5" t="str">
        <f aca="false">IF($D1016&lt;&gt;"","["&amp;$E1016&amp;"]"&amp;"|"&amp;SUBSTITUTE(SUBSTITUTE($I1016,CHAR(61),""),CHAR(34),"")&amp;"|"&amp;$K1016&amp;"|"&amp;$G1016&amp;"|"&amp;IF($G1016="TX_CURR_SUBNAT.R","CY2020Q4",$M1016),"")</f>
        <v>[tjhYqc1MlVo]|30-34|Male|POP_EST.T_1|CY2021Q3</v>
      </c>
    </row>
    <row r="1017" customFormat="false" ht="15" hidden="false" customHeight="false" outlineLevel="0" collapsed="false">
      <c r="D1017" s="0" t="s">
        <v>113</v>
      </c>
      <c r="E1017" s="0" t="s">
        <v>114</v>
      </c>
      <c r="F1017" s="0" t="s">
        <v>47</v>
      </c>
      <c r="G1017" s="0" t="s">
        <v>52</v>
      </c>
      <c r="H1017" s="0" t="s">
        <v>53</v>
      </c>
      <c r="I1017" s="0" t="s">
        <v>75</v>
      </c>
      <c r="J1017" s="0" t="s">
        <v>76</v>
      </c>
      <c r="K1017" s="0" t="s">
        <v>56</v>
      </c>
      <c r="L1017" s="0" t="s">
        <v>57</v>
      </c>
      <c r="M1017" s="0" t="s">
        <v>50</v>
      </c>
      <c r="N1017" s="0" t="n">
        <v>2870</v>
      </c>
      <c r="O1017" s="0" t="n">
        <v>5</v>
      </c>
      <c r="P1017" s="0" t="n">
        <v>9</v>
      </c>
      <c r="Q1017" s="5" t="str">
        <f aca="false">IF($D1017&lt;&gt;"","["&amp;$E1017&amp;"]"&amp;"|"&amp;SUBSTITUTE(SUBSTITUTE($I1017,CHAR(61),""),CHAR(34),"")&amp;"|"&amp;$K1017&amp;"|"&amp;$G1017&amp;"|"&amp;IF($G1017="TX_CURR_SUBNAT.R","CY2020Q4",$M1017),"")</f>
        <v>[tjhYqc1MlVo]|35-39|Female|POP_EST.T_1|CY2021Q3</v>
      </c>
    </row>
    <row r="1018" customFormat="false" ht="15" hidden="false" customHeight="false" outlineLevel="0" collapsed="false">
      <c r="D1018" s="0" t="s">
        <v>113</v>
      </c>
      <c r="E1018" s="0" t="s">
        <v>114</v>
      </c>
      <c r="F1018" s="0" t="s">
        <v>47</v>
      </c>
      <c r="G1018" s="0" t="s">
        <v>52</v>
      </c>
      <c r="H1018" s="0" t="s">
        <v>53</v>
      </c>
      <c r="I1018" s="0" t="s">
        <v>75</v>
      </c>
      <c r="J1018" s="0" t="s">
        <v>76</v>
      </c>
      <c r="K1018" s="0" t="s">
        <v>58</v>
      </c>
      <c r="L1018" s="0" t="s">
        <v>59</v>
      </c>
      <c r="M1018" s="0" t="s">
        <v>50</v>
      </c>
      <c r="N1018" s="0" t="n">
        <v>3613</v>
      </c>
      <c r="O1018" s="0" t="n">
        <v>59</v>
      </c>
      <c r="P1018" s="0" t="n">
        <v>28</v>
      </c>
      <c r="Q1018" s="5" t="str">
        <f aca="false">IF($D1018&lt;&gt;"","["&amp;$E1018&amp;"]"&amp;"|"&amp;SUBSTITUTE(SUBSTITUTE($I1018,CHAR(61),""),CHAR(34),"")&amp;"|"&amp;$K1018&amp;"|"&amp;$G1018&amp;"|"&amp;IF($G1018="TX_CURR_SUBNAT.R","CY2020Q4",$M1018),"")</f>
        <v>[tjhYqc1MlVo]|35-39|Male|POP_EST.T_1|CY2021Q3</v>
      </c>
    </row>
    <row r="1019" customFormat="false" ht="15" hidden="false" customHeight="false" outlineLevel="0" collapsed="false">
      <c r="D1019" s="0" t="s">
        <v>113</v>
      </c>
      <c r="E1019" s="0" t="s">
        <v>114</v>
      </c>
      <c r="F1019" s="0" t="s">
        <v>47</v>
      </c>
      <c r="G1019" s="0" t="s">
        <v>52</v>
      </c>
      <c r="H1019" s="0" t="s">
        <v>53</v>
      </c>
      <c r="I1019" s="0" t="s">
        <v>77</v>
      </c>
      <c r="J1019" s="0" t="s">
        <v>78</v>
      </c>
      <c r="K1019" s="0" t="s">
        <v>56</v>
      </c>
      <c r="L1019" s="0" t="s">
        <v>57</v>
      </c>
      <c r="M1019" s="0" t="s">
        <v>50</v>
      </c>
      <c r="N1019" s="0" t="n">
        <v>2171</v>
      </c>
      <c r="O1019" s="0" t="n">
        <v>49</v>
      </c>
      <c r="P1019" s="0" t="n">
        <v>17</v>
      </c>
      <c r="Q1019" s="5" t="str">
        <f aca="false">IF($D1019&lt;&gt;"","["&amp;$E1019&amp;"]"&amp;"|"&amp;SUBSTITUTE(SUBSTITUTE($I1019,CHAR(61),""),CHAR(34),"")&amp;"|"&amp;$K1019&amp;"|"&amp;$G1019&amp;"|"&amp;IF($G1019="TX_CURR_SUBNAT.R","CY2020Q4",$M1019),"")</f>
        <v>[tjhYqc1MlVo]|40-44|Female|POP_EST.T_1|CY2021Q3</v>
      </c>
    </row>
    <row r="1020" customFormat="false" ht="15" hidden="false" customHeight="false" outlineLevel="0" collapsed="false">
      <c r="D1020" s="0" t="s">
        <v>113</v>
      </c>
      <c r="E1020" s="0" t="s">
        <v>114</v>
      </c>
      <c r="F1020" s="0" t="s">
        <v>47</v>
      </c>
      <c r="G1020" s="0" t="s">
        <v>52</v>
      </c>
      <c r="H1020" s="0" t="s">
        <v>53</v>
      </c>
      <c r="I1020" s="0" t="s">
        <v>77</v>
      </c>
      <c r="J1020" s="0" t="s">
        <v>78</v>
      </c>
      <c r="K1020" s="0" t="s">
        <v>58</v>
      </c>
      <c r="L1020" s="0" t="s">
        <v>59</v>
      </c>
      <c r="M1020" s="0" t="s">
        <v>50</v>
      </c>
      <c r="N1020" s="0" t="n">
        <v>2447</v>
      </c>
      <c r="O1020" s="0" t="n">
        <v>33</v>
      </c>
      <c r="P1020" s="0" t="n">
        <v>14</v>
      </c>
      <c r="Q1020" s="5" t="str">
        <f aca="false">IF($D1020&lt;&gt;"","["&amp;$E1020&amp;"]"&amp;"|"&amp;SUBSTITUTE(SUBSTITUTE($I1020,CHAR(61),""),CHAR(34),"")&amp;"|"&amp;$K1020&amp;"|"&amp;$G1020&amp;"|"&amp;IF($G1020="TX_CURR_SUBNAT.R","CY2020Q4",$M1020),"")</f>
        <v>[tjhYqc1MlVo]|40-44|Male|POP_EST.T_1|CY2021Q3</v>
      </c>
    </row>
    <row r="1021" customFormat="false" ht="15" hidden="false" customHeight="false" outlineLevel="0" collapsed="false">
      <c r="D1021" s="0" t="s">
        <v>113</v>
      </c>
      <c r="E1021" s="0" t="s">
        <v>114</v>
      </c>
      <c r="F1021" s="0" t="s">
        <v>47</v>
      </c>
      <c r="G1021" s="0" t="s">
        <v>52</v>
      </c>
      <c r="H1021" s="0" t="s">
        <v>53</v>
      </c>
      <c r="I1021" s="0" t="s">
        <v>80</v>
      </c>
      <c r="J1021" s="0" t="s">
        <v>81</v>
      </c>
      <c r="K1021" s="0" t="s">
        <v>56</v>
      </c>
      <c r="L1021" s="0" t="s">
        <v>57</v>
      </c>
      <c r="M1021" s="0" t="s">
        <v>50</v>
      </c>
      <c r="N1021" s="0" t="n">
        <v>1527</v>
      </c>
      <c r="O1021" s="0" t="n">
        <v>15</v>
      </c>
      <c r="P1021" s="0" t="n">
        <v>36</v>
      </c>
      <c r="Q1021" s="5" t="str">
        <f aca="false">IF($D1021&lt;&gt;"","["&amp;$E1021&amp;"]"&amp;"|"&amp;SUBSTITUTE(SUBSTITUTE($I1021,CHAR(61),""),CHAR(34),"")&amp;"|"&amp;$K1021&amp;"|"&amp;$G1021&amp;"|"&amp;IF($G1021="TX_CURR_SUBNAT.R","CY2020Q4",$M1021),"")</f>
        <v>[tjhYqc1MlVo]|45-49|Female|POP_EST.T_1|CY2021Q3</v>
      </c>
    </row>
    <row r="1022" customFormat="false" ht="15" hidden="false" customHeight="false" outlineLevel="0" collapsed="false">
      <c r="D1022" s="0" t="s">
        <v>113</v>
      </c>
      <c r="E1022" s="0" t="s">
        <v>114</v>
      </c>
      <c r="F1022" s="0" t="s">
        <v>47</v>
      </c>
      <c r="G1022" s="0" t="s">
        <v>52</v>
      </c>
      <c r="H1022" s="0" t="s">
        <v>53</v>
      </c>
      <c r="I1022" s="0" t="s">
        <v>80</v>
      </c>
      <c r="J1022" s="0" t="s">
        <v>81</v>
      </c>
      <c r="K1022" s="0" t="s">
        <v>58</v>
      </c>
      <c r="L1022" s="0" t="s">
        <v>59</v>
      </c>
      <c r="M1022" s="0" t="s">
        <v>50</v>
      </c>
      <c r="N1022" s="0" t="n">
        <v>1589</v>
      </c>
      <c r="O1022" s="0" t="n">
        <v>33</v>
      </c>
      <c r="P1022" s="0" t="n">
        <v>19</v>
      </c>
      <c r="Q1022" s="5" t="str">
        <f aca="false">IF($D1022&lt;&gt;"","["&amp;$E1022&amp;"]"&amp;"|"&amp;SUBSTITUTE(SUBSTITUTE($I1022,CHAR(61),""),CHAR(34),"")&amp;"|"&amp;$K1022&amp;"|"&amp;$G1022&amp;"|"&amp;IF($G1022="TX_CURR_SUBNAT.R","CY2020Q4",$M1022),"")</f>
        <v>[tjhYqc1MlVo]|45-49|Male|POP_EST.T_1|CY2021Q3</v>
      </c>
    </row>
    <row r="1023" customFormat="false" ht="15" hidden="false" customHeight="false" outlineLevel="0" collapsed="false">
      <c r="D1023" s="0" t="s">
        <v>113</v>
      </c>
      <c r="E1023" s="0" t="s">
        <v>114</v>
      </c>
      <c r="F1023" s="0" t="s">
        <v>47</v>
      </c>
      <c r="G1023" s="0" t="s">
        <v>52</v>
      </c>
      <c r="H1023" s="0" t="s">
        <v>53</v>
      </c>
      <c r="I1023" s="0" t="s">
        <v>83</v>
      </c>
      <c r="J1023" s="0" t="s">
        <v>84</v>
      </c>
      <c r="K1023" s="0" t="s">
        <v>56</v>
      </c>
      <c r="L1023" s="0" t="s">
        <v>57</v>
      </c>
      <c r="M1023" s="0" t="s">
        <v>50</v>
      </c>
      <c r="N1023" s="0" t="n">
        <v>6508</v>
      </c>
      <c r="O1023" s="0" t="n">
        <v>58</v>
      </c>
      <c r="P1023" s="0" t="n">
        <v>42</v>
      </c>
      <c r="Q1023" s="5" t="str">
        <f aca="false">IF($D1023&lt;&gt;"","["&amp;$E1023&amp;"]"&amp;"|"&amp;SUBSTITUTE(SUBSTITUTE($I1023,CHAR(61),""),CHAR(34),"")&amp;"|"&amp;$K1023&amp;"|"&amp;$G1023&amp;"|"&amp;IF($G1023="TX_CURR_SUBNAT.R","CY2020Q4",$M1023),"")</f>
        <v>[tjhYqc1MlVo]|05-09|Female|POP_EST.T_1|CY2021Q3</v>
      </c>
    </row>
    <row r="1024" customFormat="false" ht="15" hidden="false" customHeight="false" outlineLevel="0" collapsed="false">
      <c r="D1024" s="0" t="s">
        <v>113</v>
      </c>
      <c r="E1024" s="0" t="s">
        <v>114</v>
      </c>
      <c r="F1024" s="0" t="s">
        <v>47</v>
      </c>
      <c r="G1024" s="0" t="s">
        <v>52</v>
      </c>
      <c r="H1024" s="0" t="s">
        <v>53</v>
      </c>
      <c r="I1024" s="0" t="s">
        <v>83</v>
      </c>
      <c r="J1024" s="0" t="s">
        <v>84</v>
      </c>
      <c r="K1024" s="0" t="s">
        <v>58</v>
      </c>
      <c r="L1024" s="0" t="s">
        <v>59</v>
      </c>
      <c r="M1024" s="0" t="s">
        <v>50</v>
      </c>
      <c r="N1024" s="0" t="n">
        <v>6529</v>
      </c>
      <c r="O1024" s="0" t="n">
        <v>14</v>
      </c>
      <c r="P1024" s="0" t="n">
        <v>10</v>
      </c>
      <c r="Q1024" s="5" t="str">
        <f aca="false">IF($D1024&lt;&gt;"","["&amp;$E1024&amp;"]"&amp;"|"&amp;SUBSTITUTE(SUBSTITUTE($I1024,CHAR(61),""),CHAR(34),"")&amp;"|"&amp;$K1024&amp;"|"&amp;$G1024&amp;"|"&amp;IF($G1024="TX_CURR_SUBNAT.R","CY2020Q4",$M1024),"")</f>
        <v>[tjhYqc1MlVo]|05-09|Male|POP_EST.T_1|CY2021Q3</v>
      </c>
    </row>
    <row r="1025" customFormat="false" ht="15" hidden="false" customHeight="false" outlineLevel="0" collapsed="false">
      <c r="D1025" s="0" t="s">
        <v>113</v>
      </c>
      <c r="E1025" s="0" t="s">
        <v>114</v>
      </c>
      <c r="F1025" s="0" t="s">
        <v>47</v>
      </c>
      <c r="G1025" s="0" t="s">
        <v>52</v>
      </c>
      <c r="H1025" s="0" t="s">
        <v>53</v>
      </c>
      <c r="I1025" s="53" t="s">
        <v>86</v>
      </c>
      <c r="J1025" s="0" t="s">
        <v>87</v>
      </c>
      <c r="K1025" s="0" t="s">
        <v>56</v>
      </c>
      <c r="L1025" s="0" t="s">
        <v>57</v>
      </c>
      <c r="M1025" s="0" t="s">
        <v>50</v>
      </c>
      <c r="N1025" s="0" t="n">
        <v>8772</v>
      </c>
      <c r="O1025" s="0" t="n">
        <v>6</v>
      </c>
      <c r="P1025" s="0" t="n">
        <v>4</v>
      </c>
      <c r="Q1025" s="5" t="str">
        <f aca="false">IF($D1025&lt;&gt;"","["&amp;$E1025&amp;"]"&amp;"|"&amp;SUBSTITUTE(SUBSTITUTE($I1025,CHAR(61),""),CHAR(34),"")&amp;"|"&amp;$K1025&amp;"|"&amp;$G1025&amp;"|"&amp;IF($G1025="TX_CURR_SUBNAT.R","CY2020Q4",$M1025),"")</f>
        <v>[tjhYqc1MlVo]|50+|Female|POP_EST.T_1|CY2021Q3</v>
      </c>
    </row>
    <row r="1026" customFormat="false" ht="15" hidden="false" customHeight="false" outlineLevel="0" collapsed="false">
      <c r="D1026" s="0" t="s">
        <v>113</v>
      </c>
      <c r="E1026" s="0" t="s">
        <v>114</v>
      </c>
      <c r="F1026" s="0" t="s">
        <v>47</v>
      </c>
      <c r="G1026" s="0" t="s">
        <v>52</v>
      </c>
      <c r="H1026" s="0" t="s">
        <v>53</v>
      </c>
      <c r="I1026" s="53" t="s">
        <v>86</v>
      </c>
      <c r="J1026" s="0" t="s">
        <v>87</v>
      </c>
      <c r="K1026" s="0" t="s">
        <v>58</v>
      </c>
      <c r="L1026" s="0" t="s">
        <v>59</v>
      </c>
      <c r="M1026" s="0" t="s">
        <v>50</v>
      </c>
      <c r="N1026" s="0" t="n">
        <v>5763</v>
      </c>
      <c r="O1026" s="0" t="n">
        <v>12</v>
      </c>
      <c r="P1026" s="0" t="n">
        <v>44</v>
      </c>
      <c r="Q1026" s="5" t="str">
        <f aca="false">IF($D1026&lt;&gt;"","["&amp;$E1026&amp;"]"&amp;"|"&amp;SUBSTITUTE(SUBSTITUTE($I1026,CHAR(61),""),CHAR(34),"")&amp;"|"&amp;$K1026&amp;"|"&amp;$G1026&amp;"|"&amp;IF($G1026="TX_CURR_SUBNAT.R","CY2020Q4",$M1026),"")</f>
        <v>[tjhYqc1MlVo]|50+|Male|POP_EST.T_1|CY2021Q3</v>
      </c>
    </row>
    <row r="1027" customFormat="false" ht="15" hidden="false" customHeight="false" outlineLevel="0" collapsed="false">
      <c r="D1027" s="0" t="s">
        <v>113</v>
      </c>
      <c r="E1027" s="0" t="s">
        <v>114</v>
      </c>
      <c r="F1027" s="0" t="s">
        <v>47</v>
      </c>
      <c r="G1027" s="0" t="s">
        <v>52</v>
      </c>
      <c r="H1027" s="0" t="s">
        <v>53</v>
      </c>
      <c r="I1027" s="0" t="s">
        <v>89</v>
      </c>
      <c r="J1027" s="0" t="s">
        <v>90</v>
      </c>
      <c r="K1027" s="0" t="s">
        <v>56</v>
      </c>
      <c r="L1027" s="0" t="s">
        <v>57</v>
      </c>
      <c r="M1027" s="0" t="s">
        <v>50</v>
      </c>
      <c r="N1027" s="0" t="n">
        <v>892</v>
      </c>
      <c r="O1027" s="0" t="n">
        <v>2</v>
      </c>
      <c r="P1027" s="0" t="n">
        <v>7</v>
      </c>
      <c r="Q1027" s="5" t="str">
        <f aca="false">IF($D1027&lt;&gt;"","["&amp;$E1027&amp;"]"&amp;"|"&amp;SUBSTITUTE(SUBSTITUTE($I1027,CHAR(61),""),CHAR(34),"")&amp;"|"&amp;$K1027&amp;"|"&amp;$G1027&amp;"|"&amp;IF($G1027="TX_CURR_SUBNAT.R","CY2020Q4",$M1027),"")</f>
        <v>[tjhYqc1MlVo]|&lt;01|Female|POP_EST.T_1|CY2021Q3</v>
      </c>
    </row>
    <row r="1028" customFormat="false" ht="15" hidden="false" customHeight="false" outlineLevel="0" collapsed="false">
      <c r="D1028" s="0" t="s">
        <v>113</v>
      </c>
      <c r="E1028" s="0" t="s">
        <v>114</v>
      </c>
      <c r="F1028" s="0" t="s">
        <v>47</v>
      </c>
      <c r="G1028" s="0" t="s">
        <v>52</v>
      </c>
      <c r="H1028" s="0" t="s">
        <v>53</v>
      </c>
      <c r="I1028" s="0" t="s">
        <v>89</v>
      </c>
      <c r="J1028" s="0" t="s">
        <v>90</v>
      </c>
      <c r="K1028" s="0" t="s">
        <v>58</v>
      </c>
      <c r="L1028" s="0" t="s">
        <v>59</v>
      </c>
      <c r="M1028" s="0" t="s">
        <v>50</v>
      </c>
      <c r="N1028" s="0" t="n">
        <v>930</v>
      </c>
      <c r="O1028" s="0" t="n">
        <v>13</v>
      </c>
      <c r="P1028" s="0" t="n">
        <v>5</v>
      </c>
      <c r="Q1028" s="5" t="str">
        <f aca="false">IF($D1028&lt;&gt;"","["&amp;$E1028&amp;"]"&amp;"|"&amp;SUBSTITUTE(SUBSTITUTE($I1028,CHAR(61),""),CHAR(34),"")&amp;"|"&amp;$K1028&amp;"|"&amp;$G1028&amp;"|"&amp;IF($G1028="TX_CURR_SUBNAT.R","CY2020Q4",$M1028),"")</f>
        <v>[tjhYqc1MlVo]|&lt;01|Male|POP_EST.T_1|CY2021Q3</v>
      </c>
    </row>
    <row r="1029" customFormat="false" ht="15" hidden="false" customHeight="false" outlineLevel="0" collapsed="false">
      <c r="D1029" s="0" t="s">
        <v>113</v>
      </c>
      <c r="E1029" s="0" t="s">
        <v>114</v>
      </c>
      <c r="F1029" s="0" t="s">
        <v>47</v>
      </c>
      <c r="G1029" s="0" t="s">
        <v>91</v>
      </c>
      <c r="H1029" s="0" t="s">
        <v>92</v>
      </c>
      <c r="I1029" s="0" t="s">
        <v>54</v>
      </c>
      <c r="J1029" s="0" t="s">
        <v>55</v>
      </c>
      <c r="K1029" s="0" t="s">
        <v>56</v>
      </c>
      <c r="L1029" s="0" t="s">
        <v>57</v>
      </c>
      <c r="M1029" s="0" t="s">
        <v>50</v>
      </c>
      <c r="N1029" s="0" t="n">
        <v>0.0076408</v>
      </c>
      <c r="O1029" s="0" t="n">
        <v>43</v>
      </c>
      <c r="P1029" s="0" t="n">
        <v>9</v>
      </c>
      <c r="Q1029" s="5" t="str">
        <f aca="false">IF($D1029&lt;&gt;"","["&amp;$E1029&amp;"]"&amp;"|"&amp;SUBSTITUTE(SUBSTITUTE($I1029,CHAR(61),""),CHAR(34),"")&amp;"|"&amp;$K1029&amp;"|"&amp;$G1029&amp;"|"&amp;IF($G1029="TX_CURR_SUBNAT.R","CY2020Q4",$M1029),"")</f>
        <v>[tjhYqc1MlVo]|01-04|Female|HIV_PREV.T_1|CY2021Q3</v>
      </c>
    </row>
    <row r="1030" customFormat="false" ht="15" hidden="false" customHeight="false" outlineLevel="0" collapsed="false">
      <c r="D1030" s="0" t="s">
        <v>113</v>
      </c>
      <c r="E1030" s="0" t="s">
        <v>114</v>
      </c>
      <c r="F1030" s="0" t="s">
        <v>47</v>
      </c>
      <c r="G1030" s="0" t="s">
        <v>91</v>
      </c>
      <c r="H1030" s="0" t="s">
        <v>92</v>
      </c>
      <c r="I1030" s="0" t="s">
        <v>54</v>
      </c>
      <c r="J1030" s="0" t="s">
        <v>55</v>
      </c>
      <c r="K1030" s="0" t="s">
        <v>58</v>
      </c>
      <c r="L1030" s="0" t="s">
        <v>59</v>
      </c>
      <c r="M1030" s="0" t="s">
        <v>50</v>
      </c>
      <c r="N1030" s="0" t="n">
        <v>0.0074567</v>
      </c>
      <c r="O1030" s="0" t="n">
        <v>47</v>
      </c>
      <c r="P1030" s="0" t="n">
        <v>42</v>
      </c>
      <c r="Q1030" s="5" t="str">
        <f aca="false">IF($D1030&lt;&gt;"","["&amp;$E1030&amp;"]"&amp;"|"&amp;SUBSTITUTE(SUBSTITUTE($I1030,CHAR(61),""),CHAR(34),"")&amp;"|"&amp;$K1030&amp;"|"&amp;$G1030&amp;"|"&amp;IF($G1030="TX_CURR_SUBNAT.R","CY2020Q4",$M1030),"")</f>
        <v>[tjhYqc1MlVo]|01-04|Male|HIV_PREV.T_1|CY2021Q3</v>
      </c>
    </row>
    <row r="1031" customFormat="false" ht="15" hidden="false" customHeight="false" outlineLevel="0" collapsed="false">
      <c r="D1031" s="0" t="s">
        <v>113</v>
      </c>
      <c r="E1031" s="0" t="s">
        <v>114</v>
      </c>
      <c r="F1031" s="0" t="s">
        <v>47</v>
      </c>
      <c r="G1031" s="0" t="s">
        <v>91</v>
      </c>
      <c r="H1031" s="0" t="s">
        <v>92</v>
      </c>
      <c r="I1031" s="0" t="s">
        <v>61</v>
      </c>
      <c r="J1031" s="0" t="s">
        <v>62</v>
      </c>
      <c r="K1031" s="0" t="s">
        <v>56</v>
      </c>
      <c r="L1031" s="0" t="s">
        <v>57</v>
      </c>
      <c r="M1031" s="0" t="s">
        <v>50</v>
      </c>
      <c r="N1031" s="0" t="n">
        <v>0.0248856</v>
      </c>
      <c r="O1031" s="0" t="n">
        <v>43</v>
      </c>
      <c r="P1031" s="0" t="n">
        <v>49</v>
      </c>
      <c r="Q1031" s="5" t="str">
        <f aca="false">IF($D1031&lt;&gt;"","["&amp;$E1031&amp;"]"&amp;"|"&amp;SUBSTITUTE(SUBSTITUTE($I1031,CHAR(61),""),CHAR(34),"")&amp;"|"&amp;$K1031&amp;"|"&amp;$G1031&amp;"|"&amp;IF($G1031="TX_CURR_SUBNAT.R","CY2020Q4",$M1031),"")</f>
        <v>[tjhYqc1MlVo]|10-14|Female|HIV_PREV.T_1|CY2021Q3</v>
      </c>
    </row>
    <row r="1032" customFormat="false" ht="15" hidden="false" customHeight="false" outlineLevel="0" collapsed="false">
      <c r="D1032" s="0" t="s">
        <v>113</v>
      </c>
      <c r="E1032" s="0" t="s">
        <v>114</v>
      </c>
      <c r="F1032" s="0" t="s">
        <v>47</v>
      </c>
      <c r="G1032" s="0" t="s">
        <v>91</v>
      </c>
      <c r="H1032" s="0" t="s">
        <v>92</v>
      </c>
      <c r="I1032" s="0" t="s">
        <v>61</v>
      </c>
      <c r="J1032" s="0" t="s">
        <v>62</v>
      </c>
      <c r="K1032" s="0" t="s">
        <v>58</v>
      </c>
      <c r="L1032" s="0" t="s">
        <v>59</v>
      </c>
      <c r="M1032" s="0" t="s">
        <v>50</v>
      </c>
      <c r="N1032" s="0" t="n">
        <v>0.025959</v>
      </c>
      <c r="O1032" s="0" t="n">
        <v>54</v>
      </c>
      <c r="P1032" s="0" t="n">
        <v>14</v>
      </c>
      <c r="Q1032" s="5" t="str">
        <f aca="false">IF($D1032&lt;&gt;"","["&amp;$E1032&amp;"]"&amp;"|"&amp;SUBSTITUTE(SUBSTITUTE($I1032,CHAR(61),""),CHAR(34),"")&amp;"|"&amp;$K1032&amp;"|"&amp;$G1032&amp;"|"&amp;IF($G1032="TX_CURR_SUBNAT.R","CY2020Q4",$M1032),"")</f>
        <v>[tjhYqc1MlVo]|10-14|Male|HIV_PREV.T_1|CY2021Q3</v>
      </c>
    </row>
    <row r="1033" customFormat="false" ht="15" hidden="false" customHeight="false" outlineLevel="0" collapsed="false">
      <c r="D1033" s="0" t="s">
        <v>113</v>
      </c>
      <c r="E1033" s="0" t="s">
        <v>114</v>
      </c>
      <c r="F1033" s="0" t="s">
        <v>47</v>
      </c>
      <c r="G1033" s="0" t="s">
        <v>91</v>
      </c>
      <c r="H1033" s="0" t="s">
        <v>92</v>
      </c>
      <c r="I1033" s="0" t="s">
        <v>63</v>
      </c>
      <c r="J1033" s="0" t="s">
        <v>64</v>
      </c>
      <c r="K1033" s="0" t="s">
        <v>56</v>
      </c>
      <c r="L1033" s="0" t="s">
        <v>57</v>
      </c>
      <c r="M1033" s="0" t="s">
        <v>50</v>
      </c>
      <c r="N1033" s="0" t="n">
        <v>0.0486723</v>
      </c>
      <c r="O1033" s="0" t="n">
        <v>37</v>
      </c>
      <c r="P1033" s="0" t="n">
        <v>25</v>
      </c>
      <c r="Q1033" s="5" t="str">
        <f aca="false">IF($D1033&lt;&gt;"","["&amp;$E1033&amp;"]"&amp;"|"&amp;SUBSTITUTE(SUBSTITUTE($I1033,CHAR(61),""),CHAR(34),"")&amp;"|"&amp;$K1033&amp;"|"&amp;$G1033&amp;"|"&amp;IF($G1033="TX_CURR_SUBNAT.R","CY2020Q4",$M1033),"")</f>
        <v>[tjhYqc1MlVo]|15-19|Female|HIV_PREV.T_1|CY2021Q3</v>
      </c>
    </row>
    <row r="1034" customFormat="false" ht="15" hidden="false" customHeight="false" outlineLevel="0" collapsed="false">
      <c r="D1034" s="0" t="s">
        <v>113</v>
      </c>
      <c r="E1034" s="0" t="s">
        <v>114</v>
      </c>
      <c r="F1034" s="0" t="s">
        <v>47</v>
      </c>
      <c r="G1034" s="0" t="s">
        <v>91</v>
      </c>
      <c r="H1034" s="0" t="s">
        <v>92</v>
      </c>
      <c r="I1034" s="0" t="s">
        <v>63</v>
      </c>
      <c r="J1034" s="0" t="s">
        <v>64</v>
      </c>
      <c r="K1034" s="0" t="s">
        <v>58</v>
      </c>
      <c r="L1034" s="0" t="s">
        <v>59</v>
      </c>
      <c r="M1034" s="0" t="s">
        <v>50</v>
      </c>
      <c r="N1034" s="0" t="n">
        <v>0.0302121</v>
      </c>
      <c r="O1034" s="0" t="n">
        <v>28</v>
      </c>
      <c r="P1034" s="0" t="n">
        <v>21</v>
      </c>
      <c r="Q1034" s="5" t="str">
        <f aca="false">IF($D1034&lt;&gt;"","["&amp;$E1034&amp;"]"&amp;"|"&amp;SUBSTITUTE(SUBSTITUTE($I1034,CHAR(61),""),CHAR(34),"")&amp;"|"&amp;$K1034&amp;"|"&amp;$G1034&amp;"|"&amp;IF($G1034="TX_CURR_SUBNAT.R","CY2020Q4",$M1034),"")</f>
        <v>[tjhYqc1MlVo]|15-19|Male|HIV_PREV.T_1|CY2021Q3</v>
      </c>
    </row>
    <row r="1035" customFormat="false" ht="15" hidden="false" customHeight="false" outlineLevel="0" collapsed="false">
      <c r="D1035" s="0" t="s">
        <v>113</v>
      </c>
      <c r="E1035" s="0" t="s">
        <v>114</v>
      </c>
      <c r="F1035" s="0" t="s">
        <v>47</v>
      </c>
      <c r="G1035" s="0" t="s">
        <v>91</v>
      </c>
      <c r="H1035" s="0" t="s">
        <v>92</v>
      </c>
      <c r="I1035" s="0" t="s">
        <v>66</v>
      </c>
      <c r="J1035" s="0" t="s">
        <v>67</v>
      </c>
      <c r="K1035" s="0" t="s">
        <v>56</v>
      </c>
      <c r="L1035" s="0" t="s">
        <v>57</v>
      </c>
      <c r="M1035" s="0" t="s">
        <v>50</v>
      </c>
      <c r="N1035" s="0" t="n">
        <v>0.1453799</v>
      </c>
      <c r="O1035" s="0" t="n">
        <v>57</v>
      </c>
      <c r="P1035" s="0" t="n">
        <v>9</v>
      </c>
      <c r="Q1035" s="5" t="str">
        <f aca="false">IF($D1035&lt;&gt;"","["&amp;$E1035&amp;"]"&amp;"|"&amp;SUBSTITUTE(SUBSTITUTE($I1035,CHAR(61),""),CHAR(34),"")&amp;"|"&amp;$K1035&amp;"|"&amp;$G1035&amp;"|"&amp;IF($G1035="TX_CURR_SUBNAT.R","CY2020Q4",$M1035),"")</f>
        <v>[tjhYqc1MlVo]|20-24|Female|HIV_PREV.T_1|CY2021Q3</v>
      </c>
    </row>
    <row r="1036" customFormat="false" ht="15" hidden="false" customHeight="false" outlineLevel="0" collapsed="false">
      <c r="D1036" s="0" t="s">
        <v>113</v>
      </c>
      <c r="E1036" s="0" t="s">
        <v>114</v>
      </c>
      <c r="F1036" s="0" t="s">
        <v>47</v>
      </c>
      <c r="G1036" s="0" t="s">
        <v>91</v>
      </c>
      <c r="H1036" s="0" t="s">
        <v>92</v>
      </c>
      <c r="I1036" s="0" t="s">
        <v>66</v>
      </c>
      <c r="J1036" s="0" t="s">
        <v>67</v>
      </c>
      <c r="K1036" s="0" t="s">
        <v>58</v>
      </c>
      <c r="L1036" s="0" t="s">
        <v>59</v>
      </c>
      <c r="M1036" s="0" t="s">
        <v>50</v>
      </c>
      <c r="N1036" s="0" t="n">
        <v>0.0532271</v>
      </c>
      <c r="O1036" s="0" t="n">
        <v>55</v>
      </c>
      <c r="P1036" s="0" t="n">
        <v>22</v>
      </c>
      <c r="Q1036" s="5" t="str">
        <f aca="false">IF($D1036&lt;&gt;"","["&amp;$E1036&amp;"]"&amp;"|"&amp;SUBSTITUTE(SUBSTITUTE($I1036,CHAR(61),""),CHAR(34),"")&amp;"|"&amp;$K1036&amp;"|"&amp;$G1036&amp;"|"&amp;IF($G1036="TX_CURR_SUBNAT.R","CY2020Q4",$M1036),"")</f>
        <v>[tjhYqc1MlVo]|20-24|Male|HIV_PREV.T_1|CY2021Q3</v>
      </c>
    </row>
    <row r="1037" customFormat="false" ht="15" hidden="false" customHeight="false" outlineLevel="0" collapsed="false">
      <c r="D1037" s="0" t="s">
        <v>113</v>
      </c>
      <c r="E1037" s="0" t="s">
        <v>114</v>
      </c>
      <c r="F1037" s="0" t="s">
        <v>47</v>
      </c>
      <c r="G1037" s="0" t="s">
        <v>91</v>
      </c>
      <c r="H1037" s="0" t="s">
        <v>92</v>
      </c>
      <c r="I1037" s="0" t="s">
        <v>69</v>
      </c>
      <c r="J1037" s="0" t="s">
        <v>70</v>
      </c>
      <c r="K1037" s="0" t="s">
        <v>56</v>
      </c>
      <c r="L1037" s="0" t="s">
        <v>57</v>
      </c>
      <c r="M1037" s="0" t="s">
        <v>50</v>
      </c>
      <c r="N1037" s="0" t="n">
        <v>0.2670246</v>
      </c>
      <c r="O1037" s="0" t="n">
        <v>11</v>
      </c>
      <c r="P1037" s="0" t="n">
        <v>32</v>
      </c>
      <c r="Q1037" s="5" t="str">
        <f aca="false">IF($D1037&lt;&gt;"","["&amp;$E1037&amp;"]"&amp;"|"&amp;SUBSTITUTE(SUBSTITUTE($I1037,CHAR(61),""),CHAR(34),"")&amp;"|"&amp;$K1037&amp;"|"&amp;$G1037&amp;"|"&amp;IF($G1037="TX_CURR_SUBNAT.R","CY2020Q4",$M1037),"")</f>
        <v>[tjhYqc1MlVo]|25-29|Female|HIV_PREV.T_1|CY2021Q3</v>
      </c>
    </row>
    <row r="1038" customFormat="false" ht="15" hidden="false" customHeight="false" outlineLevel="0" collapsed="false">
      <c r="D1038" s="0" t="s">
        <v>113</v>
      </c>
      <c r="E1038" s="0" t="s">
        <v>114</v>
      </c>
      <c r="F1038" s="0" t="s">
        <v>47</v>
      </c>
      <c r="G1038" s="0" t="s">
        <v>91</v>
      </c>
      <c r="H1038" s="0" t="s">
        <v>92</v>
      </c>
      <c r="I1038" s="0" t="s">
        <v>69</v>
      </c>
      <c r="J1038" s="0" t="s">
        <v>70</v>
      </c>
      <c r="K1038" s="0" t="s">
        <v>58</v>
      </c>
      <c r="L1038" s="0" t="s">
        <v>59</v>
      </c>
      <c r="M1038" s="0" t="s">
        <v>50</v>
      </c>
      <c r="N1038" s="0" t="n">
        <v>0.1102954</v>
      </c>
      <c r="O1038" s="0" t="n">
        <v>27</v>
      </c>
      <c r="P1038" s="0" t="n">
        <v>4</v>
      </c>
      <c r="Q1038" s="5" t="str">
        <f aca="false">IF($D1038&lt;&gt;"","["&amp;$E1038&amp;"]"&amp;"|"&amp;SUBSTITUTE(SUBSTITUTE($I1038,CHAR(61),""),CHAR(34),"")&amp;"|"&amp;$K1038&amp;"|"&amp;$G1038&amp;"|"&amp;IF($G1038="TX_CURR_SUBNAT.R","CY2020Q4",$M1038),"")</f>
        <v>[tjhYqc1MlVo]|25-29|Male|HIV_PREV.T_1|CY2021Q3</v>
      </c>
    </row>
    <row r="1039" customFormat="false" ht="15" hidden="false" customHeight="false" outlineLevel="0" collapsed="false">
      <c r="D1039" s="0" t="s">
        <v>113</v>
      </c>
      <c r="E1039" s="0" t="s">
        <v>114</v>
      </c>
      <c r="F1039" s="0" t="s">
        <v>47</v>
      </c>
      <c r="G1039" s="0" t="s">
        <v>91</v>
      </c>
      <c r="H1039" s="0" t="s">
        <v>92</v>
      </c>
      <c r="I1039" s="0" t="s">
        <v>72</v>
      </c>
      <c r="J1039" s="0" t="s">
        <v>73</v>
      </c>
      <c r="K1039" s="0" t="s">
        <v>56</v>
      </c>
      <c r="L1039" s="0" t="s">
        <v>57</v>
      </c>
      <c r="M1039" s="0" t="s">
        <v>50</v>
      </c>
      <c r="N1039" s="0" t="n">
        <v>0.3698365</v>
      </c>
      <c r="O1039" s="0" t="n">
        <v>18</v>
      </c>
      <c r="P1039" s="0" t="n">
        <v>13</v>
      </c>
      <c r="Q1039" s="5" t="str">
        <f aca="false">IF($D1039&lt;&gt;"","["&amp;$E1039&amp;"]"&amp;"|"&amp;SUBSTITUTE(SUBSTITUTE($I1039,CHAR(61),""),CHAR(34),"")&amp;"|"&amp;$K1039&amp;"|"&amp;$G1039&amp;"|"&amp;IF($G1039="TX_CURR_SUBNAT.R","CY2020Q4",$M1039),"")</f>
        <v>[tjhYqc1MlVo]|30-34|Female|HIV_PREV.T_1|CY2021Q3</v>
      </c>
    </row>
    <row r="1040" customFormat="false" ht="15" hidden="false" customHeight="false" outlineLevel="0" collapsed="false">
      <c r="D1040" s="0" t="s">
        <v>113</v>
      </c>
      <c r="E1040" s="0" t="s">
        <v>114</v>
      </c>
      <c r="F1040" s="0" t="s">
        <v>47</v>
      </c>
      <c r="G1040" s="0" t="s">
        <v>91</v>
      </c>
      <c r="H1040" s="0" t="s">
        <v>92</v>
      </c>
      <c r="I1040" s="0" t="s">
        <v>72</v>
      </c>
      <c r="J1040" s="0" t="s">
        <v>73</v>
      </c>
      <c r="K1040" s="0" t="s">
        <v>58</v>
      </c>
      <c r="L1040" s="0" t="s">
        <v>59</v>
      </c>
      <c r="M1040" s="0" t="s">
        <v>50</v>
      </c>
      <c r="N1040" s="0" t="n">
        <v>0.2014917</v>
      </c>
      <c r="O1040" s="0" t="n">
        <v>46</v>
      </c>
      <c r="P1040" s="0" t="n">
        <v>8</v>
      </c>
      <c r="Q1040" s="5" t="str">
        <f aca="false">IF($D1040&lt;&gt;"","["&amp;$E1040&amp;"]"&amp;"|"&amp;SUBSTITUTE(SUBSTITUTE($I1040,CHAR(61),""),CHAR(34),"")&amp;"|"&amp;$K1040&amp;"|"&amp;$G1040&amp;"|"&amp;IF($G1040="TX_CURR_SUBNAT.R","CY2020Q4",$M1040),"")</f>
        <v>[tjhYqc1MlVo]|30-34|Male|HIV_PREV.T_1|CY2021Q3</v>
      </c>
    </row>
    <row r="1041" customFormat="false" ht="15" hidden="false" customHeight="false" outlineLevel="0" collapsed="false">
      <c r="D1041" s="0" t="s">
        <v>113</v>
      </c>
      <c r="E1041" s="0" t="s">
        <v>114</v>
      </c>
      <c r="F1041" s="0" t="s">
        <v>47</v>
      </c>
      <c r="G1041" s="0" t="s">
        <v>91</v>
      </c>
      <c r="H1041" s="0" t="s">
        <v>92</v>
      </c>
      <c r="I1041" s="0" t="s">
        <v>75</v>
      </c>
      <c r="J1041" s="0" t="s">
        <v>76</v>
      </c>
      <c r="K1041" s="0" t="s">
        <v>56</v>
      </c>
      <c r="L1041" s="0" t="s">
        <v>57</v>
      </c>
      <c r="M1041" s="0" t="s">
        <v>50</v>
      </c>
      <c r="N1041" s="0" t="n">
        <v>0.4449576</v>
      </c>
      <c r="O1041" s="0" t="n">
        <v>19</v>
      </c>
      <c r="P1041" s="0" t="n">
        <v>11</v>
      </c>
      <c r="Q1041" s="5" t="str">
        <f aca="false">IF($D1041&lt;&gt;"","["&amp;$E1041&amp;"]"&amp;"|"&amp;SUBSTITUTE(SUBSTITUTE($I1041,CHAR(61),""),CHAR(34),"")&amp;"|"&amp;$K1041&amp;"|"&amp;$G1041&amp;"|"&amp;IF($G1041="TX_CURR_SUBNAT.R","CY2020Q4",$M1041),"")</f>
        <v>[tjhYqc1MlVo]|35-39|Female|HIV_PREV.T_1|CY2021Q3</v>
      </c>
    </row>
    <row r="1042" customFormat="false" ht="15" hidden="false" customHeight="false" outlineLevel="0" collapsed="false">
      <c r="D1042" s="0" t="s">
        <v>113</v>
      </c>
      <c r="E1042" s="0" t="s">
        <v>114</v>
      </c>
      <c r="F1042" s="0" t="s">
        <v>47</v>
      </c>
      <c r="G1042" s="0" t="s">
        <v>91</v>
      </c>
      <c r="H1042" s="0" t="s">
        <v>92</v>
      </c>
      <c r="I1042" s="0" t="s">
        <v>75</v>
      </c>
      <c r="J1042" s="0" t="s">
        <v>76</v>
      </c>
      <c r="K1042" s="0" t="s">
        <v>58</v>
      </c>
      <c r="L1042" s="0" t="s">
        <v>59</v>
      </c>
      <c r="M1042" s="0" t="s">
        <v>50</v>
      </c>
      <c r="N1042" s="0" t="n">
        <v>0.2905777</v>
      </c>
      <c r="O1042" s="0" t="n">
        <v>16</v>
      </c>
      <c r="P1042" s="0" t="n">
        <v>4</v>
      </c>
      <c r="Q1042" s="5" t="str">
        <f aca="false">IF($D1042&lt;&gt;"","["&amp;$E1042&amp;"]"&amp;"|"&amp;SUBSTITUTE(SUBSTITUTE($I1042,CHAR(61),""),CHAR(34),"")&amp;"|"&amp;$K1042&amp;"|"&amp;$G1042&amp;"|"&amp;IF($G1042="TX_CURR_SUBNAT.R","CY2020Q4",$M1042),"")</f>
        <v>[tjhYqc1MlVo]|35-39|Male|HIV_PREV.T_1|CY2021Q3</v>
      </c>
    </row>
    <row r="1043" customFormat="false" ht="15" hidden="false" customHeight="false" outlineLevel="0" collapsed="false">
      <c r="D1043" s="0" t="s">
        <v>113</v>
      </c>
      <c r="E1043" s="0" t="s">
        <v>114</v>
      </c>
      <c r="F1043" s="0" t="s">
        <v>47</v>
      </c>
      <c r="G1043" s="0" t="s">
        <v>91</v>
      </c>
      <c r="H1043" s="0" t="s">
        <v>92</v>
      </c>
      <c r="I1043" s="0" t="s">
        <v>77</v>
      </c>
      <c r="J1043" s="0" t="s">
        <v>78</v>
      </c>
      <c r="K1043" s="0" t="s">
        <v>56</v>
      </c>
      <c r="L1043" s="0" t="s">
        <v>57</v>
      </c>
      <c r="M1043" s="0" t="s">
        <v>50</v>
      </c>
      <c r="N1043" s="0" t="n">
        <v>0.4846559</v>
      </c>
      <c r="O1043" s="0" t="n">
        <v>27</v>
      </c>
      <c r="P1043" s="0" t="n">
        <v>35</v>
      </c>
      <c r="Q1043" s="5" t="str">
        <f aca="false">IF($D1043&lt;&gt;"","["&amp;$E1043&amp;"]"&amp;"|"&amp;SUBSTITUTE(SUBSTITUTE($I1043,CHAR(61),""),CHAR(34),"")&amp;"|"&amp;$K1043&amp;"|"&amp;$G1043&amp;"|"&amp;IF($G1043="TX_CURR_SUBNAT.R","CY2020Q4",$M1043),"")</f>
        <v>[tjhYqc1MlVo]|40-44|Female|HIV_PREV.T_1|CY2021Q3</v>
      </c>
    </row>
    <row r="1044" customFormat="false" ht="15" hidden="false" customHeight="false" outlineLevel="0" collapsed="false">
      <c r="D1044" s="0" t="s">
        <v>113</v>
      </c>
      <c r="E1044" s="0" t="s">
        <v>114</v>
      </c>
      <c r="F1044" s="0" t="s">
        <v>47</v>
      </c>
      <c r="G1044" s="0" t="s">
        <v>91</v>
      </c>
      <c r="H1044" s="0" t="s">
        <v>92</v>
      </c>
      <c r="I1044" s="0" t="s">
        <v>77</v>
      </c>
      <c r="J1044" s="0" t="s">
        <v>78</v>
      </c>
      <c r="K1044" s="0" t="s">
        <v>58</v>
      </c>
      <c r="L1044" s="0" t="s">
        <v>59</v>
      </c>
      <c r="M1044" s="0" t="s">
        <v>50</v>
      </c>
      <c r="N1044" s="0" t="n">
        <v>0.3836516</v>
      </c>
      <c r="O1044" s="0" t="n">
        <v>19</v>
      </c>
      <c r="P1044" s="0" t="n">
        <v>14</v>
      </c>
      <c r="Q1044" s="5" t="str">
        <f aca="false">IF($D1044&lt;&gt;"","["&amp;$E1044&amp;"]"&amp;"|"&amp;SUBSTITUTE(SUBSTITUTE($I1044,CHAR(61),""),CHAR(34),"")&amp;"|"&amp;$K1044&amp;"|"&amp;$G1044&amp;"|"&amp;IF($G1044="TX_CURR_SUBNAT.R","CY2020Q4",$M1044),"")</f>
        <v>[tjhYqc1MlVo]|40-44|Male|HIV_PREV.T_1|CY2021Q3</v>
      </c>
    </row>
    <row r="1045" customFormat="false" ht="15" hidden="false" customHeight="false" outlineLevel="0" collapsed="false">
      <c r="D1045" s="0" t="s">
        <v>113</v>
      </c>
      <c r="E1045" s="0" t="s">
        <v>114</v>
      </c>
      <c r="F1045" s="0" t="s">
        <v>47</v>
      </c>
      <c r="G1045" s="0" t="s">
        <v>91</v>
      </c>
      <c r="H1045" s="0" t="s">
        <v>92</v>
      </c>
      <c r="I1045" s="0" t="s">
        <v>80</v>
      </c>
      <c r="J1045" s="0" t="s">
        <v>81</v>
      </c>
      <c r="K1045" s="0" t="s">
        <v>56</v>
      </c>
      <c r="L1045" s="0" t="s">
        <v>57</v>
      </c>
      <c r="M1045" s="0" t="s">
        <v>50</v>
      </c>
      <c r="N1045" s="0" t="n">
        <v>0.5153103</v>
      </c>
      <c r="O1045" s="0" t="n">
        <v>39</v>
      </c>
      <c r="P1045" s="0" t="n">
        <v>9</v>
      </c>
      <c r="Q1045" s="5" t="str">
        <f aca="false">IF($D1045&lt;&gt;"","["&amp;$E1045&amp;"]"&amp;"|"&amp;SUBSTITUTE(SUBSTITUTE($I1045,CHAR(61),""),CHAR(34),"")&amp;"|"&amp;$K1045&amp;"|"&amp;$G1045&amp;"|"&amp;IF($G1045="TX_CURR_SUBNAT.R","CY2020Q4",$M1045),"")</f>
        <v>[tjhYqc1MlVo]|45-49|Female|HIV_PREV.T_1|CY2021Q3</v>
      </c>
    </row>
    <row r="1046" customFormat="false" ht="15" hidden="false" customHeight="false" outlineLevel="0" collapsed="false">
      <c r="D1046" s="0" t="s">
        <v>113</v>
      </c>
      <c r="E1046" s="0" t="s">
        <v>114</v>
      </c>
      <c r="F1046" s="0" t="s">
        <v>47</v>
      </c>
      <c r="G1046" s="0" t="s">
        <v>91</v>
      </c>
      <c r="H1046" s="0" t="s">
        <v>92</v>
      </c>
      <c r="I1046" s="0" t="s">
        <v>80</v>
      </c>
      <c r="J1046" s="0" t="s">
        <v>81</v>
      </c>
      <c r="K1046" s="0" t="s">
        <v>58</v>
      </c>
      <c r="L1046" s="0" t="s">
        <v>59</v>
      </c>
      <c r="M1046" s="0" t="s">
        <v>50</v>
      </c>
      <c r="N1046" s="0" t="n">
        <v>0.473801</v>
      </c>
      <c r="O1046" s="0" t="n">
        <v>13</v>
      </c>
      <c r="P1046" s="0" t="n">
        <v>47</v>
      </c>
      <c r="Q1046" s="5" t="str">
        <f aca="false">IF($D1046&lt;&gt;"","["&amp;$E1046&amp;"]"&amp;"|"&amp;SUBSTITUTE(SUBSTITUTE($I1046,CHAR(61),""),CHAR(34),"")&amp;"|"&amp;$K1046&amp;"|"&amp;$G1046&amp;"|"&amp;IF($G1046="TX_CURR_SUBNAT.R","CY2020Q4",$M1046),"")</f>
        <v>[tjhYqc1MlVo]|45-49|Male|HIV_PREV.T_1|CY2021Q3</v>
      </c>
    </row>
    <row r="1047" customFormat="false" ht="15" hidden="false" customHeight="false" outlineLevel="0" collapsed="false">
      <c r="D1047" s="0" t="s">
        <v>113</v>
      </c>
      <c r="E1047" s="0" t="s">
        <v>114</v>
      </c>
      <c r="F1047" s="0" t="s">
        <v>47</v>
      </c>
      <c r="G1047" s="0" t="s">
        <v>91</v>
      </c>
      <c r="H1047" s="0" t="s">
        <v>92</v>
      </c>
      <c r="I1047" s="0" t="s">
        <v>83</v>
      </c>
      <c r="J1047" s="0" t="s">
        <v>84</v>
      </c>
      <c r="K1047" s="0" t="s">
        <v>56</v>
      </c>
      <c r="L1047" s="0" t="s">
        <v>57</v>
      </c>
      <c r="M1047" s="0" t="s">
        <v>50</v>
      </c>
      <c r="N1047" s="0" t="n">
        <v>0.0152005</v>
      </c>
      <c r="O1047" s="0" t="n">
        <v>60</v>
      </c>
      <c r="P1047" s="0" t="n">
        <v>2</v>
      </c>
      <c r="Q1047" s="5" t="str">
        <f aca="false">IF($D1047&lt;&gt;"","["&amp;$E1047&amp;"]"&amp;"|"&amp;SUBSTITUTE(SUBSTITUTE($I1047,CHAR(61),""),CHAR(34),"")&amp;"|"&amp;$K1047&amp;"|"&amp;$G1047&amp;"|"&amp;IF($G1047="TX_CURR_SUBNAT.R","CY2020Q4",$M1047),"")</f>
        <v>[tjhYqc1MlVo]|05-09|Female|HIV_PREV.T_1|CY2021Q3</v>
      </c>
    </row>
    <row r="1048" customFormat="false" ht="15" hidden="false" customHeight="false" outlineLevel="0" collapsed="false">
      <c r="D1048" s="0" t="s">
        <v>113</v>
      </c>
      <c r="E1048" s="0" t="s">
        <v>114</v>
      </c>
      <c r="F1048" s="0" t="s">
        <v>47</v>
      </c>
      <c r="G1048" s="0" t="s">
        <v>91</v>
      </c>
      <c r="H1048" s="0" t="s">
        <v>92</v>
      </c>
      <c r="I1048" s="0" t="s">
        <v>83</v>
      </c>
      <c r="J1048" s="0" t="s">
        <v>84</v>
      </c>
      <c r="K1048" s="0" t="s">
        <v>58</v>
      </c>
      <c r="L1048" s="0" t="s">
        <v>59</v>
      </c>
      <c r="M1048" s="0" t="s">
        <v>50</v>
      </c>
      <c r="N1048" s="0" t="n">
        <v>0.0149578</v>
      </c>
      <c r="O1048" s="0" t="n">
        <v>49</v>
      </c>
      <c r="P1048" s="0" t="n">
        <v>25</v>
      </c>
      <c r="Q1048" s="5" t="str">
        <f aca="false">IF($D1048&lt;&gt;"","["&amp;$E1048&amp;"]"&amp;"|"&amp;SUBSTITUTE(SUBSTITUTE($I1048,CHAR(61),""),CHAR(34),"")&amp;"|"&amp;$K1048&amp;"|"&amp;$G1048&amp;"|"&amp;IF($G1048="TX_CURR_SUBNAT.R","CY2020Q4",$M1048),"")</f>
        <v>[tjhYqc1MlVo]|05-09|Male|HIV_PREV.T_1|CY2021Q3</v>
      </c>
    </row>
    <row r="1049" customFormat="false" ht="15" hidden="false" customHeight="false" outlineLevel="0" collapsed="false">
      <c r="D1049" s="0" t="s">
        <v>113</v>
      </c>
      <c r="E1049" s="0" t="s">
        <v>114</v>
      </c>
      <c r="F1049" s="0" t="s">
        <v>47</v>
      </c>
      <c r="G1049" s="0" t="s">
        <v>91</v>
      </c>
      <c r="H1049" s="0" t="s">
        <v>92</v>
      </c>
      <c r="I1049" s="53" t="s">
        <v>86</v>
      </c>
      <c r="J1049" s="0" t="s">
        <v>87</v>
      </c>
      <c r="K1049" s="0" t="s">
        <v>56</v>
      </c>
      <c r="L1049" s="0" t="s">
        <v>57</v>
      </c>
      <c r="M1049" s="0" t="s">
        <v>50</v>
      </c>
      <c r="N1049" s="0" t="n">
        <v>0.2559903</v>
      </c>
      <c r="O1049" s="0" t="n">
        <v>47</v>
      </c>
      <c r="P1049" s="0" t="n">
        <v>19</v>
      </c>
      <c r="Q1049" s="5" t="str">
        <f aca="false">IF($D1049&lt;&gt;"","["&amp;$E1049&amp;"]"&amp;"|"&amp;SUBSTITUTE(SUBSTITUTE($I1049,CHAR(61),""),CHAR(34),"")&amp;"|"&amp;$K1049&amp;"|"&amp;$G1049&amp;"|"&amp;IF($G1049="TX_CURR_SUBNAT.R","CY2020Q4",$M1049),"")</f>
        <v>[tjhYqc1MlVo]|50+|Female|HIV_PREV.T_1|CY2021Q3</v>
      </c>
    </row>
    <row r="1050" customFormat="false" ht="15" hidden="false" customHeight="false" outlineLevel="0" collapsed="false">
      <c r="D1050" s="0" t="s">
        <v>113</v>
      </c>
      <c r="E1050" s="0" t="s">
        <v>114</v>
      </c>
      <c r="F1050" s="0" t="s">
        <v>47</v>
      </c>
      <c r="G1050" s="0" t="s">
        <v>91</v>
      </c>
      <c r="H1050" s="0" t="s">
        <v>92</v>
      </c>
      <c r="I1050" s="53" t="s">
        <v>86</v>
      </c>
      <c r="J1050" s="0" t="s">
        <v>87</v>
      </c>
      <c r="K1050" s="0" t="s">
        <v>58</v>
      </c>
      <c r="L1050" s="0" t="s">
        <v>59</v>
      </c>
      <c r="M1050" s="0" t="s">
        <v>50</v>
      </c>
      <c r="N1050" s="0" t="n">
        <v>0.2966236</v>
      </c>
      <c r="O1050" s="0" t="n">
        <v>6</v>
      </c>
      <c r="P1050" s="0" t="n">
        <v>23</v>
      </c>
      <c r="Q1050" s="5" t="str">
        <f aca="false">IF($D1050&lt;&gt;"","["&amp;$E1050&amp;"]"&amp;"|"&amp;SUBSTITUTE(SUBSTITUTE($I1050,CHAR(61),""),CHAR(34),"")&amp;"|"&amp;$K1050&amp;"|"&amp;$G1050&amp;"|"&amp;IF($G1050="TX_CURR_SUBNAT.R","CY2020Q4",$M1050),"")</f>
        <v>[tjhYqc1MlVo]|50+|Male|HIV_PREV.T_1|CY2021Q3</v>
      </c>
    </row>
    <row r="1051" customFormat="false" ht="15" hidden="false" customHeight="false" outlineLevel="0" collapsed="false">
      <c r="D1051" s="0" t="s">
        <v>113</v>
      </c>
      <c r="E1051" s="0" t="s">
        <v>114</v>
      </c>
      <c r="F1051" s="0" t="s">
        <v>47</v>
      </c>
      <c r="G1051" s="0" t="s">
        <v>91</v>
      </c>
      <c r="H1051" s="0" t="s">
        <v>92</v>
      </c>
      <c r="I1051" s="0" t="s">
        <v>89</v>
      </c>
      <c r="J1051" s="0" t="s">
        <v>90</v>
      </c>
      <c r="K1051" s="0" t="s">
        <v>56</v>
      </c>
      <c r="L1051" s="0" t="s">
        <v>57</v>
      </c>
      <c r="M1051" s="0" t="s">
        <v>50</v>
      </c>
      <c r="N1051" s="0" t="n">
        <v>0.0072252</v>
      </c>
      <c r="O1051" s="0" t="n">
        <v>37</v>
      </c>
      <c r="P1051" s="0" t="n">
        <v>48</v>
      </c>
      <c r="Q1051" s="5" t="str">
        <f aca="false">IF($D1051&lt;&gt;"","["&amp;$E1051&amp;"]"&amp;"|"&amp;SUBSTITUTE(SUBSTITUTE($I1051,CHAR(61),""),CHAR(34),"")&amp;"|"&amp;$K1051&amp;"|"&amp;$G1051&amp;"|"&amp;IF($G1051="TX_CURR_SUBNAT.R","CY2020Q4",$M1051),"")</f>
        <v>[tjhYqc1MlVo]|&lt;01|Female|HIV_PREV.T_1|CY2021Q3</v>
      </c>
    </row>
    <row r="1052" customFormat="false" ht="15" hidden="false" customHeight="false" outlineLevel="0" collapsed="false">
      <c r="D1052" s="0" t="s">
        <v>113</v>
      </c>
      <c r="E1052" s="0" t="s">
        <v>114</v>
      </c>
      <c r="F1052" s="0" t="s">
        <v>47</v>
      </c>
      <c r="G1052" s="0" t="s">
        <v>91</v>
      </c>
      <c r="H1052" s="0" t="s">
        <v>92</v>
      </c>
      <c r="I1052" s="0" t="s">
        <v>89</v>
      </c>
      <c r="J1052" s="0" t="s">
        <v>90</v>
      </c>
      <c r="K1052" s="0" t="s">
        <v>58</v>
      </c>
      <c r="L1052" s="0" t="s">
        <v>59</v>
      </c>
      <c r="M1052" s="0" t="s">
        <v>50</v>
      </c>
      <c r="N1052" s="0" t="n">
        <v>0.0070511</v>
      </c>
      <c r="O1052" s="0" t="n">
        <v>58</v>
      </c>
      <c r="P1052" s="0" t="n">
        <v>6</v>
      </c>
      <c r="Q1052" s="5" t="str">
        <f aca="false">IF($D1052&lt;&gt;"","["&amp;$E1052&amp;"]"&amp;"|"&amp;SUBSTITUTE(SUBSTITUTE($I1052,CHAR(61),""),CHAR(34),"")&amp;"|"&amp;$K1052&amp;"|"&amp;$G1052&amp;"|"&amp;IF($G1052="TX_CURR_SUBNAT.R","CY2020Q4",$M1052),"")</f>
        <v>[tjhYqc1MlVo]|&lt;01|Male|HIV_PREV.T_1|CY2021Q3</v>
      </c>
    </row>
    <row r="1053" customFormat="false" ht="15" hidden="false" customHeight="false" outlineLevel="0" collapsed="false">
      <c r="D1053" s="0" t="s">
        <v>113</v>
      </c>
      <c r="E1053" s="0" t="s">
        <v>114</v>
      </c>
      <c r="F1053" s="0" t="s">
        <v>47</v>
      </c>
      <c r="G1053" s="0" t="s">
        <v>93</v>
      </c>
      <c r="H1053" s="0" t="s">
        <v>94</v>
      </c>
      <c r="I1053" s="0" t="s">
        <v>54</v>
      </c>
      <c r="J1053" s="0" t="s">
        <v>55</v>
      </c>
      <c r="K1053" s="0" t="s">
        <v>56</v>
      </c>
      <c r="L1053" s="0" t="s">
        <v>57</v>
      </c>
      <c r="M1053" s="0" t="s">
        <v>50</v>
      </c>
      <c r="N1053" s="0" t="n">
        <v>12</v>
      </c>
      <c r="O1053" s="0" t="n">
        <v>30</v>
      </c>
      <c r="P1053" s="0" t="n">
        <v>6</v>
      </c>
      <c r="Q1053" s="5" t="str">
        <f aca="false">IF($D1053&lt;&gt;"","["&amp;$E1053&amp;"]"&amp;"|"&amp;SUBSTITUTE(SUBSTITUTE($I1053,CHAR(61),""),CHAR(34),"")&amp;"|"&amp;$K1053&amp;"|"&amp;$G1053&amp;"|"&amp;IF($G1053="TX_CURR_SUBNAT.R","CY2020Q4",$M1053),"")</f>
        <v>[tjhYqc1MlVo]|01-04|Female|DIAGNOSED_SUBNAT.T_1|CY2021Q3</v>
      </c>
    </row>
    <row r="1054" customFormat="false" ht="15" hidden="false" customHeight="false" outlineLevel="0" collapsed="false">
      <c r="D1054" s="0" t="s">
        <v>113</v>
      </c>
      <c r="E1054" s="0" t="s">
        <v>114</v>
      </c>
      <c r="F1054" s="0" t="s">
        <v>47</v>
      </c>
      <c r="G1054" s="0" t="s">
        <v>93</v>
      </c>
      <c r="H1054" s="0" t="s">
        <v>94</v>
      </c>
      <c r="I1054" s="0" t="s">
        <v>54</v>
      </c>
      <c r="J1054" s="0" t="s">
        <v>55</v>
      </c>
      <c r="K1054" s="0" t="s">
        <v>58</v>
      </c>
      <c r="L1054" s="0" t="s">
        <v>59</v>
      </c>
      <c r="M1054" s="0" t="s">
        <v>50</v>
      </c>
      <c r="N1054" s="0" t="n">
        <v>12</v>
      </c>
      <c r="O1054" s="0" t="n">
        <v>51</v>
      </c>
      <c r="P1054" s="0" t="n">
        <v>7</v>
      </c>
      <c r="Q1054" s="5" t="str">
        <f aca="false">IF($D1054&lt;&gt;"","["&amp;$E1054&amp;"]"&amp;"|"&amp;SUBSTITUTE(SUBSTITUTE($I1054,CHAR(61),""),CHAR(34),"")&amp;"|"&amp;$K1054&amp;"|"&amp;$G1054&amp;"|"&amp;IF($G1054="TX_CURR_SUBNAT.R","CY2020Q4",$M1054),"")</f>
        <v>[tjhYqc1MlVo]|01-04|Male|DIAGNOSED_SUBNAT.T_1|CY2021Q3</v>
      </c>
    </row>
    <row r="1055" customFormat="false" ht="15" hidden="false" customHeight="false" outlineLevel="0" collapsed="false">
      <c r="D1055" s="0" t="s">
        <v>113</v>
      </c>
      <c r="E1055" s="0" t="s">
        <v>114</v>
      </c>
      <c r="F1055" s="0" t="s">
        <v>47</v>
      </c>
      <c r="G1055" s="0" t="s">
        <v>93</v>
      </c>
      <c r="H1055" s="0" t="s">
        <v>94</v>
      </c>
      <c r="I1055" s="0" t="s">
        <v>61</v>
      </c>
      <c r="J1055" s="0" t="s">
        <v>62</v>
      </c>
      <c r="K1055" s="0" t="s">
        <v>56</v>
      </c>
      <c r="L1055" s="0" t="s">
        <v>57</v>
      </c>
      <c r="M1055" s="0" t="s">
        <v>50</v>
      </c>
      <c r="N1055" s="0" t="n">
        <v>108</v>
      </c>
      <c r="O1055" s="0" t="n">
        <v>12</v>
      </c>
      <c r="P1055" s="0" t="n">
        <v>34</v>
      </c>
      <c r="Q1055" s="5" t="str">
        <f aca="false">IF($D1055&lt;&gt;"","["&amp;$E1055&amp;"]"&amp;"|"&amp;SUBSTITUTE(SUBSTITUTE($I1055,CHAR(61),""),CHAR(34),"")&amp;"|"&amp;$K1055&amp;"|"&amp;$G1055&amp;"|"&amp;IF($G1055="TX_CURR_SUBNAT.R","CY2020Q4",$M1055),"")</f>
        <v>[tjhYqc1MlVo]|10-14|Female|DIAGNOSED_SUBNAT.T_1|CY2021Q3</v>
      </c>
    </row>
    <row r="1056" customFormat="false" ht="15" hidden="false" customHeight="false" outlineLevel="0" collapsed="false">
      <c r="D1056" s="0" t="s">
        <v>113</v>
      </c>
      <c r="E1056" s="0" t="s">
        <v>114</v>
      </c>
      <c r="F1056" s="0" t="s">
        <v>47</v>
      </c>
      <c r="G1056" s="0" t="s">
        <v>93</v>
      </c>
      <c r="H1056" s="0" t="s">
        <v>94</v>
      </c>
      <c r="I1056" s="0" t="s">
        <v>61</v>
      </c>
      <c r="J1056" s="0" t="s">
        <v>62</v>
      </c>
      <c r="K1056" s="0" t="s">
        <v>58</v>
      </c>
      <c r="L1056" s="0" t="s">
        <v>59</v>
      </c>
      <c r="M1056" s="0" t="s">
        <v>50</v>
      </c>
      <c r="N1056" s="0" t="n">
        <v>111</v>
      </c>
      <c r="O1056" s="0" t="n">
        <v>38</v>
      </c>
      <c r="P1056" s="0" t="n">
        <v>32</v>
      </c>
      <c r="Q1056" s="5" t="str">
        <f aca="false">IF($D1056&lt;&gt;"","["&amp;$E1056&amp;"]"&amp;"|"&amp;SUBSTITUTE(SUBSTITUTE($I1056,CHAR(61),""),CHAR(34),"")&amp;"|"&amp;$K1056&amp;"|"&amp;$G1056&amp;"|"&amp;IF($G1056="TX_CURR_SUBNAT.R","CY2020Q4",$M1056),"")</f>
        <v>[tjhYqc1MlVo]|10-14|Male|DIAGNOSED_SUBNAT.T_1|CY2021Q3</v>
      </c>
    </row>
    <row r="1057" customFormat="false" ht="15" hidden="false" customHeight="false" outlineLevel="0" collapsed="false">
      <c r="D1057" s="0" t="s">
        <v>113</v>
      </c>
      <c r="E1057" s="0" t="s">
        <v>114</v>
      </c>
      <c r="F1057" s="0" t="s">
        <v>47</v>
      </c>
      <c r="G1057" s="0" t="s">
        <v>93</v>
      </c>
      <c r="H1057" s="0" t="s">
        <v>94</v>
      </c>
      <c r="I1057" s="0" t="s">
        <v>63</v>
      </c>
      <c r="J1057" s="0" t="s">
        <v>64</v>
      </c>
      <c r="K1057" s="0" t="s">
        <v>56</v>
      </c>
      <c r="L1057" s="0" t="s">
        <v>57</v>
      </c>
      <c r="M1057" s="0" t="s">
        <v>50</v>
      </c>
      <c r="N1057" s="0" t="n">
        <v>207</v>
      </c>
      <c r="O1057" s="0" t="n">
        <v>10</v>
      </c>
      <c r="P1057" s="0" t="n">
        <v>2</v>
      </c>
      <c r="Q1057" s="5" t="str">
        <f aca="false">IF($D1057&lt;&gt;"","["&amp;$E1057&amp;"]"&amp;"|"&amp;SUBSTITUTE(SUBSTITUTE($I1057,CHAR(61),""),CHAR(34),"")&amp;"|"&amp;$K1057&amp;"|"&amp;$G1057&amp;"|"&amp;IF($G1057="TX_CURR_SUBNAT.R","CY2020Q4",$M1057),"")</f>
        <v>[tjhYqc1MlVo]|15-19|Female|DIAGNOSED_SUBNAT.T_1|CY2021Q3</v>
      </c>
    </row>
    <row r="1058" customFormat="false" ht="15" hidden="false" customHeight="false" outlineLevel="0" collapsed="false">
      <c r="D1058" s="0" t="s">
        <v>113</v>
      </c>
      <c r="E1058" s="0" t="s">
        <v>114</v>
      </c>
      <c r="F1058" s="0" t="s">
        <v>47</v>
      </c>
      <c r="G1058" s="0" t="s">
        <v>93</v>
      </c>
      <c r="H1058" s="0" t="s">
        <v>94</v>
      </c>
      <c r="I1058" s="0" t="s">
        <v>63</v>
      </c>
      <c r="J1058" s="0" t="s">
        <v>64</v>
      </c>
      <c r="K1058" s="0" t="s">
        <v>58</v>
      </c>
      <c r="L1058" s="0" t="s">
        <v>59</v>
      </c>
      <c r="M1058" s="0" t="s">
        <v>50</v>
      </c>
      <c r="N1058" s="0" t="n">
        <v>153</v>
      </c>
      <c r="O1058" s="0" t="n">
        <v>43</v>
      </c>
      <c r="P1058" s="0" t="n">
        <v>26</v>
      </c>
      <c r="Q1058" s="5" t="str">
        <f aca="false">IF($D1058&lt;&gt;"","["&amp;$E1058&amp;"]"&amp;"|"&amp;SUBSTITUTE(SUBSTITUTE($I1058,CHAR(61),""),CHAR(34),"")&amp;"|"&amp;$K1058&amp;"|"&amp;$G1058&amp;"|"&amp;IF($G1058="TX_CURR_SUBNAT.R","CY2020Q4",$M1058),"")</f>
        <v>[tjhYqc1MlVo]|15-19|Male|DIAGNOSED_SUBNAT.T_1|CY2021Q3</v>
      </c>
    </row>
    <row r="1059" customFormat="false" ht="15" hidden="false" customHeight="false" outlineLevel="0" collapsed="false">
      <c r="D1059" s="0" t="s">
        <v>113</v>
      </c>
      <c r="E1059" s="0" t="s">
        <v>114</v>
      </c>
      <c r="F1059" s="0" t="s">
        <v>47</v>
      </c>
      <c r="G1059" s="0" t="s">
        <v>93</v>
      </c>
      <c r="H1059" s="0" t="s">
        <v>94</v>
      </c>
      <c r="I1059" s="0" t="s">
        <v>66</v>
      </c>
      <c r="J1059" s="0" t="s">
        <v>67</v>
      </c>
      <c r="K1059" s="0" t="s">
        <v>56</v>
      </c>
      <c r="L1059" s="0" t="s">
        <v>57</v>
      </c>
      <c r="M1059" s="0" t="s">
        <v>50</v>
      </c>
      <c r="N1059" s="0" t="n">
        <v>460</v>
      </c>
      <c r="O1059" s="0" t="n">
        <v>30</v>
      </c>
      <c r="P1059" s="0" t="n">
        <v>21</v>
      </c>
      <c r="Q1059" s="5" t="str">
        <f aca="false">IF($D1059&lt;&gt;"","["&amp;$E1059&amp;"]"&amp;"|"&amp;SUBSTITUTE(SUBSTITUTE($I1059,CHAR(61),""),CHAR(34),"")&amp;"|"&amp;$K1059&amp;"|"&amp;$G1059&amp;"|"&amp;IF($G1059="TX_CURR_SUBNAT.R","CY2020Q4",$M1059),"")</f>
        <v>[tjhYqc1MlVo]|20-24|Female|DIAGNOSED_SUBNAT.T_1|CY2021Q3</v>
      </c>
    </row>
    <row r="1060" customFormat="false" ht="15" hidden="false" customHeight="false" outlineLevel="0" collapsed="false">
      <c r="D1060" s="0" t="s">
        <v>113</v>
      </c>
      <c r="E1060" s="0" t="s">
        <v>114</v>
      </c>
      <c r="F1060" s="0" t="s">
        <v>47</v>
      </c>
      <c r="G1060" s="0" t="s">
        <v>93</v>
      </c>
      <c r="H1060" s="0" t="s">
        <v>94</v>
      </c>
      <c r="I1060" s="0" t="s">
        <v>66</v>
      </c>
      <c r="J1060" s="0" t="s">
        <v>67</v>
      </c>
      <c r="K1060" s="0" t="s">
        <v>58</v>
      </c>
      <c r="L1060" s="0" t="s">
        <v>59</v>
      </c>
      <c r="M1060" s="0" t="s">
        <v>50</v>
      </c>
      <c r="N1060" s="0" t="n">
        <v>178</v>
      </c>
      <c r="O1060" s="0" t="n">
        <v>51</v>
      </c>
      <c r="P1060" s="0" t="n">
        <v>25</v>
      </c>
      <c r="Q1060" s="5" t="str">
        <f aca="false">IF($D1060&lt;&gt;"","["&amp;$E1060&amp;"]"&amp;"|"&amp;SUBSTITUTE(SUBSTITUTE($I1060,CHAR(61),""),CHAR(34),"")&amp;"|"&amp;$K1060&amp;"|"&amp;$G1060&amp;"|"&amp;IF($G1060="TX_CURR_SUBNAT.R","CY2020Q4",$M1060),"")</f>
        <v>[tjhYqc1MlVo]|20-24|Male|DIAGNOSED_SUBNAT.T_1|CY2021Q3</v>
      </c>
    </row>
    <row r="1061" customFormat="false" ht="15" hidden="false" customHeight="false" outlineLevel="0" collapsed="false">
      <c r="D1061" s="0" t="s">
        <v>113</v>
      </c>
      <c r="E1061" s="0" t="s">
        <v>114</v>
      </c>
      <c r="F1061" s="0" t="s">
        <v>47</v>
      </c>
      <c r="G1061" s="0" t="s">
        <v>93</v>
      </c>
      <c r="H1061" s="0" t="s">
        <v>94</v>
      </c>
      <c r="I1061" s="0" t="s">
        <v>69</v>
      </c>
      <c r="J1061" s="0" t="s">
        <v>70</v>
      </c>
      <c r="K1061" s="0" t="s">
        <v>56</v>
      </c>
      <c r="L1061" s="0" t="s">
        <v>57</v>
      </c>
      <c r="M1061" s="0" t="s">
        <v>50</v>
      </c>
      <c r="N1061" s="0" t="n">
        <v>732</v>
      </c>
      <c r="O1061" s="0" t="n">
        <v>47</v>
      </c>
      <c r="P1061" s="0" t="n">
        <v>22</v>
      </c>
      <c r="Q1061" s="5" t="str">
        <f aca="false">IF($D1061&lt;&gt;"","["&amp;$E1061&amp;"]"&amp;"|"&amp;SUBSTITUTE(SUBSTITUTE($I1061,CHAR(61),""),CHAR(34),"")&amp;"|"&amp;$K1061&amp;"|"&amp;$G1061&amp;"|"&amp;IF($G1061="TX_CURR_SUBNAT.R","CY2020Q4",$M1061),"")</f>
        <v>[tjhYqc1MlVo]|25-29|Female|DIAGNOSED_SUBNAT.T_1|CY2021Q3</v>
      </c>
    </row>
    <row r="1062" customFormat="false" ht="15" hidden="false" customHeight="false" outlineLevel="0" collapsed="false">
      <c r="D1062" s="0" t="s">
        <v>113</v>
      </c>
      <c r="E1062" s="0" t="s">
        <v>114</v>
      </c>
      <c r="F1062" s="0" t="s">
        <v>47</v>
      </c>
      <c r="G1062" s="0" t="s">
        <v>93</v>
      </c>
      <c r="H1062" s="0" t="s">
        <v>94</v>
      </c>
      <c r="I1062" s="0" t="s">
        <v>69</v>
      </c>
      <c r="J1062" s="0" t="s">
        <v>70</v>
      </c>
      <c r="K1062" s="0" t="s">
        <v>58</v>
      </c>
      <c r="L1062" s="0" t="s">
        <v>59</v>
      </c>
      <c r="M1062" s="0" t="s">
        <v>50</v>
      </c>
      <c r="N1062" s="0" t="n">
        <v>321</v>
      </c>
      <c r="O1062" s="0" t="n">
        <v>3</v>
      </c>
      <c r="P1062" s="0" t="n">
        <v>6</v>
      </c>
      <c r="Q1062" s="5" t="str">
        <f aca="false">IF($D1062&lt;&gt;"","["&amp;$E1062&amp;"]"&amp;"|"&amp;SUBSTITUTE(SUBSTITUTE($I1062,CHAR(61),""),CHAR(34),"")&amp;"|"&amp;$K1062&amp;"|"&amp;$G1062&amp;"|"&amp;IF($G1062="TX_CURR_SUBNAT.R","CY2020Q4",$M1062),"")</f>
        <v>[tjhYqc1MlVo]|25-29|Male|DIAGNOSED_SUBNAT.T_1|CY2021Q3</v>
      </c>
    </row>
    <row r="1063" customFormat="false" ht="15" hidden="false" customHeight="false" outlineLevel="0" collapsed="false">
      <c r="D1063" s="0" t="s">
        <v>113</v>
      </c>
      <c r="E1063" s="0" t="s">
        <v>114</v>
      </c>
      <c r="F1063" s="0" t="s">
        <v>47</v>
      </c>
      <c r="G1063" s="0" t="s">
        <v>93</v>
      </c>
      <c r="H1063" s="0" t="s">
        <v>94</v>
      </c>
      <c r="I1063" s="0" t="s">
        <v>72</v>
      </c>
      <c r="J1063" s="0" t="s">
        <v>73</v>
      </c>
      <c r="K1063" s="0" t="s">
        <v>56</v>
      </c>
      <c r="L1063" s="0" t="s">
        <v>57</v>
      </c>
      <c r="M1063" s="0" t="s">
        <v>50</v>
      </c>
      <c r="N1063" s="0" t="n">
        <v>894</v>
      </c>
      <c r="O1063" s="0" t="n">
        <v>1</v>
      </c>
      <c r="P1063" s="0" t="n">
        <v>44</v>
      </c>
      <c r="Q1063" s="5" t="str">
        <f aca="false">IF($D1063&lt;&gt;"","["&amp;$E1063&amp;"]"&amp;"|"&amp;SUBSTITUTE(SUBSTITUTE($I1063,CHAR(61),""),CHAR(34),"")&amp;"|"&amp;$K1063&amp;"|"&amp;$G1063&amp;"|"&amp;IF($G1063="TX_CURR_SUBNAT.R","CY2020Q4",$M1063),"")</f>
        <v>[tjhYqc1MlVo]|30-34|Female|DIAGNOSED_SUBNAT.T_1|CY2021Q3</v>
      </c>
    </row>
    <row r="1064" customFormat="false" ht="15" hidden="false" customHeight="false" outlineLevel="0" collapsed="false">
      <c r="D1064" s="0" t="s">
        <v>113</v>
      </c>
      <c r="E1064" s="0" t="s">
        <v>114</v>
      </c>
      <c r="F1064" s="0" t="s">
        <v>47</v>
      </c>
      <c r="G1064" s="0" t="s">
        <v>93</v>
      </c>
      <c r="H1064" s="0" t="s">
        <v>94</v>
      </c>
      <c r="I1064" s="0" t="s">
        <v>72</v>
      </c>
      <c r="J1064" s="0" t="s">
        <v>73</v>
      </c>
      <c r="K1064" s="0" t="s">
        <v>58</v>
      </c>
      <c r="L1064" s="0" t="s">
        <v>59</v>
      </c>
      <c r="M1064" s="0" t="s">
        <v>50</v>
      </c>
      <c r="N1064" s="0" t="n">
        <v>534</v>
      </c>
      <c r="O1064" s="0" t="n">
        <v>55</v>
      </c>
      <c r="P1064" s="0" t="n">
        <v>11</v>
      </c>
      <c r="Q1064" s="5" t="str">
        <f aca="false">IF($D1064&lt;&gt;"","["&amp;$E1064&amp;"]"&amp;"|"&amp;SUBSTITUTE(SUBSTITUTE($I1064,CHAR(61),""),CHAR(34),"")&amp;"|"&amp;$K1064&amp;"|"&amp;$G1064&amp;"|"&amp;IF($G1064="TX_CURR_SUBNAT.R","CY2020Q4",$M1064),"")</f>
        <v>[tjhYqc1MlVo]|30-34|Male|DIAGNOSED_SUBNAT.T_1|CY2021Q3</v>
      </c>
    </row>
    <row r="1065" customFormat="false" ht="15" hidden="false" customHeight="false" outlineLevel="0" collapsed="false">
      <c r="D1065" s="0" t="s">
        <v>113</v>
      </c>
      <c r="E1065" s="0" t="s">
        <v>114</v>
      </c>
      <c r="F1065" s="0" t="s">
        <v>47</v>
      </c>
      <c r="G1065" s="0" t="s">
        <v>93</v>
      </c>
      <c r="H1065" s="0" t="s">
        <v>94</v>
      </c>
      <c r="I1065" s="0" t="s">
        <v>75</v>
      </c>
      <c r="J1065" s="0" t="s">
        <v>76</v>
      </c>
      <c r="K1065" s="0" t="s">
        <v>56</v>
      </c>
      <c r="L1065" s="0" t="s">
        <v>57</v>
      </c>
      <c r="M1065" s="0" t="s">
        <v>50</v>
      </c>
      <c r="N1065" s="0" t="n">
        <v>980</v>
      </c>
      <c r="O1065" s="0" t="n">
        <v>37</v>
      </c>
      <c r="P1065" s="0" t="n">
        <v>19</v>
      </c>
      <c r="Q1065" s="5" t="str">
        <f aca="false">IF($D1065&lt;&gt;"","["&amp;$E1065&amp;"]"&amp;"|"&amp;SUBSTITUTE(SUBSTITUTE($I1065,CHAR(61),""),CHAR(34),"")&amp;"|"&amp;$K1065&amp;"|"&amp;$G1065&amp;"|"&amp;IF($G1065="TX_CURR_SUBNAT.R","CY2020Q4",$M1065),"")</f>
        <v>[tjhYqc1MlVo]|35-39|Female|DIAGNOSED_SUBNAT.T_1|CY2021Q3</v>
      </c>
    </row>
    <row r="1066" customFormat="false" ht="15" hidden="false" customHeight="false" outlineLevel="0" collapsed="false">
      <c r="D1066" s="0" t="s">
        <v>113</v>
      </c>
      <c r="E1066" s="0" t="s">
        <v>114</v>
      </c>
      <c r="F1066" s="0" t="s">
        <v>47</v>
      </c>
      <c r="G1066" s="0" t="s">
        <v>93</v>
      </c>
      <c r="H1066" s="0" t="s">
        <v>94</v>
      </c>
      <c r="I1066" s="0" t="s">
        <v>75</v>
      </c>
      <c r="J1066" s="0" t="s">
        <v>76</v>
      </c>
      <c r="K1066" s="0" t="s">
        <v>58</v>
      </c>
      <c r="L1066" s="0" t="s">
        <v>59</v>
      </c>
      <c r="M1066" s="0" t="s">
        <v>50</v>
      </c>
      <c r="N1066" s="0" t="n">
        <v>730</v>
      </c>
      <c r="O1066" s="0" t="n">
        <v>41</v>
      </c>
      <c r="P1066" s="0" t="n">
        <v>20</v>
      </c>
      <c r="Q1066" s="5" t="str">
        <f aca="false">IF($D1066&lt;&gt;"","["&amp;$E1066&amp;"]"&amp;"|"&amp;SUBSTITUTE(SUBSTITUTE($I1066,CHAR(61),""),CHAR(34),"")&amp;"|"&amp;$K1066&amp;"|"&amp;$G1066&amp;"|"&amp;IF($G1066="TX_CURR_SUBNAT.R","CY2020Q4",$M1066),"")</f>
        <v>[tjhYqc1MlVo]|35-39|Male|DIAGNOSED_SUBNAT.T_1|CY2021Q3</v>
      </c>
    </row>
    <row r="1067" customFormat="false" ht="15" hidden="false" customHeight="false" outlineLevel="0" collapsed="false">
      <c r="D1067" s="0" t="s">
        <v>113</v>
      </c>
      <c r="E1067" s="0" t="s">
        <v>114</v>
      </c>
      <c r="F1067" s="0" t="s">
        <v>47</v>
      </c>
      <c r="G1067" s="0" t="s">
        <v>93</v>
      </c>
      <c r="H1067" s="0" t="s">
        <v>94</v>
      </c>
      <c r="I1067" s="0" t="s">
        <v>77</v>
      </c>
      <c r="J1067" s="0" t="s">
        <v>78</v>
      </c>
      <c r="K1067" s="0" t="s">
        <v>56</v>
      </c>
      <c r="L1067" s="0" t="s">
        <v>57</v>
      </c>
      <c r="M1067" s="0" t="s">
        <v>50</v>
      </c>
      <c r="N1067" s="0" t="n">
        <v>974</v>
      </c>
      <c r="O1067" s="0" t="n">
        <v>37</v>
      </c>
      <c r="P1067" s="0" t="n">
        <v>42</v>
      </c>
      <c r="Q1067" s="5" t="str">
        <f aca="false">IF($D1067&lt;&gt;"","["&amp;$E1067&amp;"]"&amp;"|"&amp;SUBSTITUTE(SUBSTITUTE($I1067,CHAR(61),""),CHAR(34),"")&amp;"|"&amp;$K1067&amp;"|"&amp;$G1067&amp;"|"&amp;IF($G1067="TX_CURR_SUBNAT.R","CY2020Q4",$M1067),"")</f>
        <v>[tjhYqc1MlVo]|40-44|Female|DIAGNOSED_SUBNAT.T_1|CY2021Q3</v>
      </c>
    </row>
    <row r="1068" customFormat="false" ht="15" hidden="false" customHeight="false" outlineLevel="0" collapsed="false">
      <c r="D1068" s="0" t="s">
        <v>113</v>
      </c>
      <c r="E1068" s="0" t="s">
        <v>114</v>
      </c>
      <c r="F1068" s="0" t="s">
        <v>47</v>
      </c>
      <c r="G1068" s="0" t="s">
        <v>93</v>
      </c>
      <c r="H1068" s="0" t="s">
        <v>94</v>
      </c>
      <c r="I1068" s="0" t="s">
        <v>77</v>
      </c>
      <c r="J1068" s="0" t="s">
        <v>78</v>
      </c>
      <c r="K1068" s="0" t="s">
        <v>58</v>
      </c>
      <c r="L1068" s="0" t="s">
        <v>59</v>
      </c>
      <c r="M1068" s="0" t="s">
        <v>50</v>
      </c>
      <c r="N1068" s="0" t="n">
        <v>773</v>
      </c>
      <c r="O1068" s="0" t="n">
        <v>3</v>
      </c>
      <c r="P1068" s="0" t="n">
        <v>14</v>
      </c>
      <c r="Q1068" s="5" t="str">
        <f aca="false">IF($D1068&lt;&gt;"","["&amp;$E1068&amp;"]"&amp;"|"&amp;SUBSTITUTE(SUBSTITUTE($I1068,CHAR(61),""),CHAR(34),"")&amp;"|"&amp;$K1068&amp;"|"&amp;$G1068&amp;"|"&amp;IF($G1068="TX_CURR_SUBNAT.R","CY2020Q4",$M1068),"")</f>
        <v>[tjhYqc1MlVo]|40-44|Male|DIAGNOSED_SUBNAT.T_1|CY2021Q3</v>
      </c>
    </row>
    <row r="1069" customFormat="false" ht="15" hidden="false" customHeight="false" outlineLevel="0" collapsed="false">
      <c r="D1069" s="0" t="s">
        <v>113</v>
      </c>
      <c r="E1069" s="0" t="s">
        <v>114</v>
      </c>
      <c r="F1069" s="0" t="s">
        <v>47</v>
      </c>
      <c r="G1069" s="0" t="s">
        <v>93</v>
      </c>
      <c r="H1069" s="0" t="s">
        <v>94</v>
      </c>
      <c r="I1069" s="0" t="s">
        <v>80</v>
      </c>
      <c r="J1069" s="0" t="s">
        <v>81</v>
      </c>
      <c r="K1069" s="0" t="s">
        <v>56</v>
      </c>
      <c r="L1069" s="0" t="s">
        <v>57</v>
      </c>
      <c r="M1069" s="0" t="s">
        <v>50</v>
      </c>
      <c r="N1069" s="0" t="n">
        <v>762</v>
      </c>
      <c r="O1069" s="0" t="n">
        <v>46</v>
      </c>
      <c r="P1069" s="0" t="n">
        <v>45</v>
      </c>
      <c r="Q1069" s="5" t="str">
        <f aca="false">IF($D1069&lt;&gt;"","["&amp;$E1069&amp;"]"&amp;"|"&amp;SUBSTITUTE(SUBSTITUTE($I1069,CHAR(61),""),CHAR(34),"")&amp;"|"&amp;$K1069&amp;"|"&amp;$G1069&amp;"|"&amp;IF($G1069="TX_CURR_SUBNAT.R","CY2020Q4",$M1069),"")</f>
        <v>[tjhYqc1MlVo]|45-49|Female|DIAGNOSED_SUBNAT.T_1|CY2021Q3</v>
      </c>
    </row>
    <row r="1070" customFormat="false" ht="15" hidden="false" customHeight="false" outlineLevel="0" collapsed="false">
      <c r="D1070" s="0" t="s">
        <v>113</v>
      </c>
      <c r="E1070" s="0" t="s">
        <v>114</v>
      </c>
      <c r="F1070" s="0" t="s">
        <v>47</v>
      </c>
      <c r="G1070" s="0" t="s">
        <v>93</v>
      </c>
      <c r="H1070" s="0" t="s">
        <v>94</v>
      </c>
      <c r="I1070" s="0" t="s">
        <v>80</v>
      </c>
      <c r="J1070" s="0" t="s">
        <v>81</v>
      </c>
      <c r="K1070" s="0" t="s">
        <v>58</v>
      </c>
      <c r="L1070" s="0" t="s">
        <v>59</v>
      </c>
      <c r="M1070" s="0" t="s">
        <v>50</v>
      </c>
      <c r="N1070" s="0" t="n">
        <v>625</v>
      </c>
      <c r="O1070" s="0" t="n">
        <v>51</v>
      </c>
      <c r="P1070" s="0" t="n">
        <v>36</v>
      </c>
      <c r="Q1070" s="5" t="str">
        <f aca="false">IF($D1070&lt;&gt;"","["&amp;$E1070&amp;"]"&amp;"|"&amp;SUBSTITUTE(SUBSTITUTE($I1070,CHAR(61),""),CHAR(34),"")&amp;"|"&amp;$K1070&amp;"|"&amp;$G1070&amp;"|"&amp;IF($G1070="TX_CURR_SUBNAT.R","CY2020Q4",$M1070),"")</f>
        <v>[tjhYqc1MlVo]|45-49|Male|DIAGNOSED_SUBNAT.T_1|CY2021Q3</v>
      </c>
    </row>
    <row r="1071" customFormat="false" ht="15" hidden="false" customHeight="false" outlineLevel="0" collapsed="false">
      <c r="D1071" s="0" t="s">
        <v>113</v>
      </c>
      <c r="E1071" s="0" t="s">
        <v>114</v>
      </c>
      <c r="F1071" s="0" t="s">
        <v>47</v>
      </c>
      <c r="G1071" s="0" t="s">
        <v>93</v>
      </c>
      <c r="H1071" s="0" t="s">
        <v>94</v>
      </c>
      <c r="I1071" s="0" t="s">
        <v>83</v>
      </c>
      <c r="J1071" s="0" t="s">
        <v>84</v>
      </c>
      <c r="K1071" s="0" t="s">
        <v>56</v>
      </c>
      <c r="L1071" s="0" t="s">
        <v>57</v>
      </c>
      <c r="M1071" s="0" t="s">
        <v>50</v>
      </c>
      <c r="N1071" s="0" t="n">
        <v>53</v>
      </c>
      <c r="O1071" s="0" t="n">
        <v>6</v>
      </c>
      <c r="P1071" s="0" t="n">
        <v>31</v>
      </c>
      <c r="Q1071" s="5" t="str">
        <f aca="false">IF($D1071&lt;&gt;"","["&amp;$E1071&amp;"]"&amp;"|"&amp;SUBSTITUTE(SUBSTITUTE($I1071,CHAR(61),""),CHAR(34),"")&amp;"|"&amp;$K1071&amp;"|"&amp;$G1071&amp;"|"&amp;IF($G1071="TX_CURR_SUBNAT.R","CY2020Q4",$M1071),"")</f>
        <v>[tjhYqc1MlVo]|05-09|Female|DIAGNOSED_SUBNAT.T_1|CY2021Q3</v>
      </c>
    </row>
    <row r="1072" customFormat="false" ht="15" hidden="false" customHeight="false" outlineLevel="0" collapsed="false">
      <c r="D1072" s="0" t="s">
        <v>113</v>
      </c>
      <c r="E1072" s="0" t="s">
        <v>114</v>
      </c>
      <c r="F1072" s="0" t="s">
        <v>47</v>
      </c>
      <c r="G1072" s="0" t="s">
        <v>93</v>
      </c>
      <c r="H1072" s="0" t="s">
        <v>94</v>
      </c>
      <c r="I1072" s="0" t="s">
        <v>83</v>
      </c>
      <c r="J1072" s="0" t="s">
        <v>84</v>
      </c>
      <c r="K1072" s="0" t="s">
        <v>58</v>
      </c>
      <c r="L1072" s="0" t="s">
        <v>59</v>
      </c>
      <c r="M1072" s="0" t="s">
        <v>50</v>
      </c>
      <c r="N1072" s="0" t="n">
        <v>55</v>
      </c>
      <c r="O1072" s="0" t="n">
        <v>24</v>
      </c>
      <c r="P1072" s="0" t="n">
        <v>46</v>
      </c>
      <c r="Q1072" s="5" t="str">
        <f aca="false">IF($D1072&lt;&gt;"","["&amp;$E1072&amp;"]"&amp;"|"&amp;SUBSTITUTE(SUBSTITUTE($I1072,CHAR(61),""),CHAR(34),"")&amp;"|"&amp;$K1072&amp;"|"&amp;$G1072&amp;"|"&amp;IF($G1072="TX_CURR_SUBNAT.R","CY2020Q4",$M1072),"")</f>
        <v>[tjhYqc1MlVo]|05-09|Male|DIAGNOSED_SUBNAT.T_1|CY2021Q3</v>
      </c>
    </row>
    <row r="1073" customFormat="false" ht="15" hidden="false" customHeight="false" outlineLevel="0" collapsed="false">
      <c r="D1073" s="0" t="s">
        <v>113</v>
      </c>
      <c r="E1073" s="0" t="s">
        <v>114</v>
      </c>
      <c r="F1073" s="0" t="s">
        <v>47</v>
      </c>
      <c r="G1073" s="0" t="s">
        <v>93</v>
      </c>
      <c r="H1073" s="0" t="s">
        <v>94</v>
      </c>
      <c r="I1073" s="53" t="s">
        <v>86</v>
      </c>
      <c r="J1073" s="0" t="s">
        <v>87</v>
      </c>
      <c r="K1073" s="0" t="s">
        <v>56</v>
      </c>
      <c r="L1073" s="0" t="s">
        <v>57</v>
      </c>
      <c r="M1073" s="0" t="s">
        <v>50</v>
      </c>
      <c r="N1073" s="0" t="n">
        <v>1680</v>
      </c>
      <c r="O1073" s="0" t="n">
        <v>38</v>
      </c>
      <c r="P1073" s="0" t="n">
        <v>34</v>
      </c>
      <c r="Q1073" s="5" t="str">
        <f aca="false">IF($D1073&lt;&gt;"","["&amp;$E1073&amp;"]"&amp;"|"&amp;SUBSTITUTE(SUBSTITUTE($I1073,CHAR(61),""),CHAR(34),"")&amp;"|"&amp;$K1073&amp;"|"&amp;$G1073&amp;"|"&amp;IF($G1073="TX_CURR_SUBNAT.R","CY2020Q4",$M1073),"")</f>
        <v>[tjhYqc1MlVo]|50+|Female|DIAGNOSED_SUBNAT.T_1|CY2021Q3</v>
      </c>
    </row>
    <row r="1074" customFormat="false" ht="15" hidden="false" customHeight="false" outlineLevel="0" collapsed="false">
      <c r="D1074" s="0" t="s">
        <v>113</v>
      </c>
      <c r="E1074" s="0" t="s">
        <v>114</v>
      </c>
      <c r="F1074" s="0" t="s">
        <v>47</v>
      </c>
      <c r="G1074" s="0" t="s">
        <v>93</v>
      </c>
      <c r="H1074" s="0" t="s">
        <v>94</v>
      </c>
      <c r="I1074" s="53" t="s">
        <v>86</v>
      </c>
      <c r="J1074" s="0" t="s">
        <v>87</v>
      </c>
      <c r="K1074" s="0" t="s">
        <v>58</v>
      </c>
      <c r="L1074" s="0" t="s">
        <v>59</v>
      </c>
      <c r="M1074" s="0" t="s">
        <v>50</v>
      </c>
      <c r="N1074" s="0" t="n">
        <v>1243</v>
      </c>
      <c r="O1074" s="0" t="n">
        <v>59</v>
      </c>
      <c r="P1074" s="0" t="n">
        <v>7</v>
      </c>
      <c r="Q1074" s="5" t="str">
        <f aca="false">IF($D1074&lt;&gt;"","["&amp;$E1074&amp;"]"&amp;"|"&amp;SUBSTITUTE(SUBSTITUTE($I1074,CHAR(61),""),CHAR(34),"")&amp;"|"&amp;$K1074&amp;"|"&amp;$G1074&amp;"|"&amp;IF($G1074="TX_CURR_SUBNAT.R","CY2020Q4",$M1074),"")</f>
        <v>[tjhYqc1MlVo]|50+|Male|DIAGNOSED_SUBNAT.T_1|CY2021Q3</v>
      </c>
    </row>
    <row r="1075" customFormat="false" ht="15" hidden="false" customHeight="false" outlineLevel="0" collapsed="false">
      <c r="D1075" s="0" t="s">
        <v>113</v>
      </c>
      <c r="E1075" s="0" t="s">
        <v>114</v>
      </c>
      <c r="F1075" s="0" t="s">
        <v>47</v>
      </c>
      <c r="G1075" s="0" t="s">
        <v>93</v>
      </c>
      <c r="H1075" s="0" t="s">
        <v>94</v>
      </c>
      <c r="I1075" s="0" t="s">
        <v>89</v>
      </c>
      <c r="J1075" s="0" t="s">
        <v>90</v>
      </c>
      <c r="K1075" s="0" t="s">
        <v>56</v>
      </c>
      <c r="L1075" s="0" t="s">
        <v>57</v>
      </c>
      <c r="M1075" s="0" t="s">
        <v>50</v>
      </c>
      <c r="N1075" s="0" t="n">
        <v>3</v>
      </c>
      <c r="O1075" s="0" t="n">
        <v>33</v>
      </c>
      <c r="P1075" s="0" t="n">
        <v>33</v>
      </c>
      <c r="Q1075" s="5" t="str">
        <f aca="false">IF($D1075&lt;&gt;"","["&amp;$E1075&amp;"]"&amp;"|"&amp;SUBSTITUTE(SUBSTITUTE($I1075,CHAR(61),""),CHAR(34),"")&amp;"|"&amp;$K1075&amp;"|"&amp;$G1075&amp;"|"&amp;IF($G1075="TX_CURR_SUBNAT.R","CY2020Q4",$M1075),"")</f>
        <v>[tjhYqc1MlVo]|&lt;01|Female|DIAGNOSED_SUBNAT.T_1|CY2021Q3</v>
      </c>
    </row>
    <row r="1076" customFormat="false" ht="15" hidden="false" customHeight="false" outlineLevel="0" collapsed="false">
      <c r="D1076" s="0" t="s">
        <v>113</v>
      </c>
      <c r="E1076" s="0" t="s">
        <v>114</v>
      </c>
      <c r="F1076" s="0" t="s">
        <v>47</v>
      </c>
      <c r="G1076" s="0" t="s">
        <v>93</v>
      </c>
      <c r="H1076" s="0" t="s">
        <v>94</v>
      </c>
      <c r="I1076" s="0" t="s">
        <v>89</v>
      </c>
      <c r="J1076" s="0" t="s">
        <v>90</v>
      </c>
      <c r="K1076" s="0" t="s">
        <v>58</v>
      </c>
      <c r="L1076" s="0" t="s">
        <v>59</v>
      </c>
      <c r="M1076" s="0" t="s">
        <v>50</v>
      </c>
      <c r="N1076" s="0" t="n">
        <v>3</v>
      </c>
      <c r="O1076" s="0" t="n">
        <v>35</v>
      </c>
      <c r="P1076" s="0" t="n">
        <v>46</v>
      </c>
      <c r="Q1076" s="5" t="str">
        <f aca="false">IF($D1076&lt;&gt;"","["&amp;$E1076&amp;"]"&amp;"|"&amp;SUBSTITUTE(SUBSTITUTE($I1076,CHAR(61),""),CHAR(34),"")&amp;"|"&amp;$K1076&amp;"|"&amp;$G1076&amp;"|"&amp;IF($G1076="TX_CURR_SUBNAT.R","CY2020Q4",$M1076),"")</f>
        <v>[tjhYqc1MlVo]|&lt;01|Male|DIAGNOSED_SUBNAT.T_1|CY2021Q3</v>
      </c>
    </row>
    <row r="1077" customFormat="false" ht="15" hidden="false" customHeight="false" outlineLevel="0" collapsed="false">
      <c r="D1077" s="0" t="s">
        <v>113</v>
      </c>
      <c r="E1077" s="0" t="s">
        <v>114</v>
      </c>
      <c r="F1077" s="0" t="s">
        <v>47</v>
      </c>
      <c r="G1077" s="0" t="s">
        <v>95</v>
      </c>
      <c r="H1077" s="0" t="s">
        <v>96</v>
      </c>
      <c r="I1077" s="0" t="s">
        <v>54</v>
      </c>
      <c r="J1077" s="0" t="s">
        <v>55</v>
      </c>
      <c r="K1077" s="0" t="s">
        <v>56</v>
      </c>
      <c r="L1077" s="0" t="s">
        <v>57</v>
      </c>
      <c r="M1077" s="0" t="s">
        <v>50</v>
      </c>
      <c r="N1077" s="0" t="n">
        <v>11</v>
      </c>
      <c r="O1077" s="0" t="n">
        <v>19</v>
      </c>
      <c r="P1077" s="0" t="n">
        <v>47</v>
      </c>
      <c r="Q1077" s="5" t="str">
        <f aca="false">IF($D1077&lt;&gt;"","["&amp;$E1077&amp;"]"&amp;"|"&amp;SUBSTITUTE(SUBSTITUTE($I1077,CHAR(61),""),CHAR(34),"")&amp;"|"&amp;$K1077&amp;"|"&amp;$G1077&amp;"|"&amp;IF($G1077="TX_CURR_SUBNAT.R","CY2020Q4",$M1077),"")</f>
        <v>[tjhYqc1MlVo]|01-04|Female|VL_SUPPRESSED.T_1|CY2021Q3</v>
      </c>
    </row>
    <row r="1078" customFormat="false" ht="15" hidden="false" customHeight="false" outlineLevel="0" collapsed="false">
      <c r="D1078" s="0" t="s">
        <v>113</v>
      </c>
      <c r="E1078" s="0" t="s">
        <v>114</v>
      </c>
      <c r="F1078" s="0" t="s">
        <v>47</v>
      </c>
      <c r="G1078" s="0" t="s">
        <v>95</v>
      </c>
      <c r="H1078" s="0" t="s">
        <v>96</v>
      </c>
      <c r="I1078" s="0" t="s">
        <v>54</v>
      </c>
      <c r="J1078" s="0" t="s">
        <v>55</v>
      </c>
      <c r="K1078" s="0" t="s">
        <v>58</v>
      </c>
      <c r="L1078" s="0" t="s">
        <v>59</v>
      </c>
      <c r="M1078" s="0" t="s">
        <v>50</v>
      </c>
      <c r="N1078" s="0" t="n">
        <v>12</v>
      </c>
      <c r="O1078" s="0" t="n">
        <v>22</v>
      </c>
      <c r="P1078" s="0" t="n">
        <v>28</v>
      </c>
      <c r="Q1078" s="5" t="str">
        <f aca="false">IF($D1078&lt;&gt;"","["&amp;$E1078&amp;"]"&amp;"|"&amp;SUBSTITUTE(SUBSTITUTE($I1078,CHAR(61),""),CHAR(34),"")&amp;"|"&amp;$K1078&amp;"|"&amp;$G1078&amp;"|"&amp;IF($G1078="TX_CURR_SUBNAT.R","CY2020Q4",$M1078),"")</f>
        <v>[tjhYqc1MlVo]|01-04|Male|VL_SUPPRESSED.T_1|CY2021Q3</v>
      </c>
    </row>
    <row r="1079" customFormat="false" ht="15" hidden="false" customHeight="false" outlineLevel="0" collapsed="false">
      <c r="D1079" s="0" t="s">
        <v>113</v>
      </c>
      <c r="E1079" s="0" t="s">
        <v>114</v>
      </c>
      <c r="F1079" s="0" t="s">
        <v>47</v>
      </c>
      <c r="G1079" s="0" t="s">
        <v>95</v>
      </c>
      <c r="H1079" s="0" t="s">
        <v>96</v>
      </c>
      <c r="I1079" s="0" t="s">
        <v>61</v>
      </c>
      <c r="J1079" s="0" t="s">
        <v>62</v>
      </c>
      <c r="K1079" s="0" t="s">
        <v>56</v>
      </c>
      <c r="L1079" s="0" t="s">
        <v>57</v>
      </c>
      <c r="M1079" s="0" t="s">
        <v>50</v>
      </c>
      <c r="N1079" s="0" t="n">
        <v>94</v>
      </c>
      <c r="O1079" s="0" t="n">
        <v>49</v>
      </c>
      <c r="P1079" s="0" t="n">
        <v>14</v>
      </c>
      <c r="Q1079" s="5" t="str">
        <f aca="false">IF($D1079&lt;&gt;"","["&amp;$E1079&amp;"]"&amp;"|"&amp;SUBSTITUTE(SUBSTITUTE($I1079,CHAR(61),""),CHAR(34),"")&amp;"|"&amp;$K1079&amp;"|"&amp;$G1079&amp;"|"&amp;IF($G1079="TX_CURR_SUBNAT.R","CY2020Q4",$M1079),"")</f>
        <v>[tjhYqc1MlVo]|10-14|Female|VL_SUPPRESSED.T_1|CY2021Q3</v>
      </c>
    </row>
    <row r="1080" customFormat="false" ht="15" hidden="false" customHeight="false" outlineLevel="0" collapsed="false">
      <c r="D1080" s="0" t="s">
        <v>113</v>
      </c>
      <c r="E1080" s="0" t="s">
        <v>114</v>
      </c>
      <c r="F1080" s="0" t="s">
        <v>47</v>
      </c>
      <c r="G1080" s="0" t="s">
        <v>95</v>
      </c>
      <c r="H1080" s="0" t="s">
        <v>96</v>
      </c>
      <c r="I1080" s="0" t="s">
        <v>61</v>
      </c>
      <c r="J1080" s="0" t="s">
        <v>62</v>
      </c>
      <c r="K1080" s="0" t="s">
        <v>58</v>
      </c>
      <c r="L1080" s="0" t="s">
        <v>59</v>
      </c>
      <c r="M1080" s="0" t="s">
        <v>50</v>
      </c>
      <c r="N1080" s="0" t="n">
        <v>107</v>
      </c>
      <c r="O1080" s="0" t="n">
        <v>11</v>
      </c>
      <c r="P1080" s="0" t="n">
        <v>48</v>
      </c>
      <c r="Q1080" s="5" t="str">
        <f aca="false">IF($D1080&lt;&gt;"","["&amp;$E1080&amp;"]"&amp;"|"&amp;SUBSTITUTE(SUBSTITUTE($I1080,CHAR(61),""),CHAR(34),"")&amp;"|"&amp;$K1080&amp;"|"&amp;$G1080&amp;"|"&amp;IF($G1080="TX_CURR_SUBNAT.R","CY2020Q4",$M1080),"")</f>
        <v>[tjhYqc1MlVo]|10-14|Male|VL_SUPPRESSED.T_1|CY2021Q3</v>
      </c>
    </row>
    <row r="1081" customFormat="false" ht="15" hidden="false" customHeight="false" outlineLevel="0" collapsed="false">
      <c r="D1081" s="0" t="s">
        <v>113</v>
      </c>
      <c r="E1081" s="0" t="s">
        <v>114</v>
      </c>
      <c r="F1081" s="0" t="s">
        <v>47</v>
      </c>
      <c r="G1081" s="0" t="s">
        <v>95</v>
      </c>
      <c r="H1081" s="0" t="s">
        <v>96</v>
      </c>
      <c r="I1081" s="0" t="s">
        <v>63</v>
      </c>
      <c r="J1081" s="0" t="s">
        <v>64</v>
      </c>
      <c r="K1081" s="0" t="s">
        <v>56</v>
      </c>
      <c r="L1081" s="0" t="s">
        <v>57</v>
      </c>
      <c r="M1081" s="0" t="s">
        <v>50</v>
      </c>
      <c r="N1081" s="0" t="n">
        <v>96</v>
      </c>
      <c r="O1081" s="0" t="n">
        <v>7</v>
      </c>
      <c r="P1081" s="0" t="n">
        <v>27</v>
      </c>
      <c r="Q1081" s="5" t="str">
        <f aca="false">IF($D1081&lt;&gt;"","["&amp;$E1081&amp;"]"&amp;"|"&amp;SUBSTITUTE(SUBSTITUTE($I1081,CHAR(61),""),CHAR(34),"")&amp;"|"&amp;$K1081&amp;"|"&amp;$G1081&amp;"|"&amp;IF($G1081="TX_CURR_SUBNAT.R","CY2020Q4",$M1081),"")</f>
        <v>[tjhYqc1MlVo]|15-19|Female|VL_SUPPRESSED.T_1|CY2021Q3</v>
      </c>
    </row>
    <row r="1082" customFormat="false" ht="15" hidden="false" customHeight="false" outlineLevel="0" collapsed="false">
      <c r="D1082" s="0" t="s">
        <v>113</v>
      </c>
      <c r="E1082" s="0" t="s">
        <v>114</v>
      </c>
      <c r="F1082" s="0" t="s">
        <v>47</v>
      </c>
      <c r="G1082" s="0" t="s">
        <v>95</v>
      </c>
      <c r="H1082" s="0" t="s">
        <v>96</v>
      </c>
      <c r="I1082" s="0" t="s">
        <v>63</v>
      </c>
      <c r="J1082" s="0" t="s">
        <v>64</v>
      </c>
      <c r="K1082" s="0" t="s">
        <v>58</v>
      </c>
      <c r="L1082" s="0" t="s">
        <v>59</v>
      </c>
      <c r="M1082" s="0" t="s">
        <v>50</v>
      </c>
      <c r="N1082" s="0" t="n">
        <v>89</v>
      </c>
      <c r="O1082" s="0" t="n">
        <v>42</v>
      </c>
      <c r="P1082" s="0" t="n">
        <v>30</v>
      </c>
      <c r="Q1082" s="5" t="str">
        <f aca="false">IF($D1082&lt;&gt;"","["&amp;$E1082&amp;"]"&amp;"|"&amp;SUBSTITUTE(SUBSTITUTE($I1082,CHAR(61),""),CHAR(34),"")&amp;"|"&amp;$K1082&amp;"|"&amp;$G1082&amp;"|"&amp;IF($G1082="TX_CURR_SUBNAT.R","CY2020Q4",$M1082),"")</f>
        <v>[tjhYqc1MlVo]|15-19|Male|VL_SUPPRESSED.T_1|CY2021Q3</v>
      </c>
    </row>
    <row r="1083" customFormat="false" ht="15" hidden="false" customHeight="false" outlineLevel="0" collapsed="false">
      <c r="D1083" s="0" t="s">
        <v>113</v>
      </c>
      <c r="E1083" s="0" t="s">
        <v>114</v>
      </c>
      <c r="F1083" s="0" t="s">
        <v>47</v>
      </c>
      <c r="G1083" s="0" t="s">
        <v>95</v>
      </c>
      <c r="H1083" s="0" t="s">
        <v>96</v>
      </c>
      <c r="I1083" s="0" t="s">
        <v>66</v>
      </c>
      <c r="J1083" s="0" t="s">
        <v>67</v>
      </c>
      <c r="K1083" s="0" t="s">
        <v>56</v>
      </c>
      <c r="L1083" s="0" t="s">
        <v>57</v>
      </c>
      <c r="M1083" s="0" t="s">
        <v>50</v>
      </c>
      <c r="N1083" s="0" t="n">
        <v>172</v>
      </c>
      <c r="O1083" s="0" t="n">
        <v>48</v>
      </c>
      <c r="P1083" s="0" t="n">
        <v>44</v>
      </c>
      <c r="Q1083" s="5" t="str">
        <f aca="false">IF($D1083&lt;&gt;"","["&amp;$E1083&amp;"]"&amp;"|"&amp;SUBSTITUTE(SUBSTITUTE($I1083,CHAR(61),""),CHAR(34),"")&amp;"|"&amp;$K1083&amp;"|"&amp;$G1083&amp;"|"&amp;IF($G1083="TX_CURR_SUBNAT.R","CY2020Q4",$M1083),"")</f>
        <v>[tjhYqc1MlVo]|20-24|Female|VL_SUPPRESSED.T_1|CY2021Q3</v>
      </c>
    </row>
    <row r="1084" customFormat="false" ht="15" hidden="false" customHeight="false" outlineLevel="0" collapsed="false">
      <c r="D1084" s="0" t="s">
        <v>113</v>
      </c>
      <c r="E1084" s="0" t="s">
        <v>114</v>
      </c>
      <c r="F1084" s="0" t="s">
        <v>47</v>
      </c>
      <c r="G1084" s="0" t="s">
        <v>95</v>
      </c>
      <c r="H1084" s="0" t="s">
        <v>96</v>
      </c>
      <c r="I1084" s="0" t="s">
        <v>66</v>
      </c>
      <c r="J1084" s="0" t="s">
        <v>67</v>
      </c>
      <c r="K1084" s="0" t="s">
        <v>58</v>
      </c>
      <c r="L1084" s="0" t="s">
        <v>59</v>
      </c>
      <c r="M1084" s="0" t="s">
        <v>50</v>
      </c>
      <c r="N1084" s="0" t="n">
        <v>35</v>
      </c>
      <c r="O1084" s="0" t="n">
        <v>21</v>
      </c>
      <c r="P1084" s="0" t="n">
        <v>23</v>
      </c>
      <c r="Q1084" s="5" t="str">
        <f aca="false">IF($D1084&lt;&gt;"","["&amp;$E1084&amp;"]"&amp;"|"&amp;SUBSTITUTE(SUBSTITUTE($I1084,CHAR(61),""),CHAR(34),"")&amp;"|"&amp;$K1084&amp;"|"&amp;$G1084&amp;"|"&amp;IF($G1084="TX_CURR_SUBNAT.R","CY2020Q4",$M1084),"")</f>
        <v>[tjhYqc1MlVo]|20-24|Male|VL_SUPPRESSED.T_1|CY2021Q3</v>
      </c>
    </row>
    <row r="1085" customFormat="false" ht="15" hidden="false" customHeight="false" outlineLevel="0" collapsed="false">
      <c r="D1085" s="0" t="s">
        <v>113</v>
      </c>
      <c r="E1085" s="0" t="s">
        <v>114</v>
      </c>
      <c r="F1085" s="0" t="s">
        <v>47</v>
      </c>
      <c r="G1085" s="0" t="s">
        <v>95</v>
      </c>
      <c r="H1085" s="0" t="s">
        <v>96</v>
      </c>
      <c r="I1085" s="0" t="s">
        <v>69</v>
      </c>
      <c r="J1085" s="0" t="s">
        <v>70</v>
      </c>
      <c r="K1085" s="0" t="s">
        <v>56</v>
      </c>
      <c r="L1085" s="0" t="s">
        <v>57</v>
      </c>
      <c r="M1085" s="0" t="s">
        <v>50</v>
      </c>
      <c r="N1085" s="0" t="n">
        <v>328</v>
      </c>
      <c r="O1085" s="0" t="n">
        <v>57</v>
      </c>
      <c r="P1085" s="0" t="n">
        <v>31</v>
      </c>
      <c r="Q1085" s="5" t="str">
        <f aca="false">IF($D1085&lt;&gt;"","["&amp;$E1085&amp;"]"&amp;"|"&amp;SUBSTITUTE(SUBSTITUTE($I1085,CHAR(61),""),CHAR(34),"")&amp;"|"&amp;$K1085&amp;"|"&amp;$G1085&amp;"|"&amp;IF($G1085="TX_CURR_SUBNAT.R","CY2020Q4",$M1085),"")</f>
        <v>[tjhYqc1MlVo]|25-29|Female|VL_SUPPRESSED.T_1|CY2021Q3</v>
      </c>
    </row>
    <row r="1086" customFormat="false" ht="15" hidden="false" customHeight="false" outlineLevel="0" collapsed="false">
      <c r="D1086" s="0" t="s">
        <v>113</v>
      </c>
      <c r="E1086" s="0" t="s">
        <v>114</v>
      </c>
      <c r="F1086" s="0" t="s">
        <v>47</v>
      </c>
      <c r="G1086" s="0" t="s">
        <v>95</v>
      </c>
      <c r="H1086" s="0" t="s">
        <v>96</v>
      </c>
      <c r="I1086" s="0" t="s">
        <v>69</v>
      </c>
      <c r="J1086" s="0" t="s">
        <v>70</v>
      </c>
      <c r="K1086" s="0" t="s">
        <v>58</v>
      </c>
      <c r="L1086" s="0" t="s">
        <v>59</v>
      </c>
      <c r="M1086" s="0" t="s">
        <v>50</v>
      </c>
      <c r="N1086" s="0" t="n">
        <v>64</v>
      </c>
      <c r="O1086" s="0" t="n">
        <v>60</v>
      </c>
      <c r="P1086" s="0" t="n">
        <v>21</v>
      </c>
      <c r="Q1086" s="5" t="str">
        <f aca="false">IF($D1086&lt;&gt;"","["&amp;$E1086&amp;"]"&amp;"|"&amp;SUBSTITUTE(SUBSTITUTE($I1086,CHAR(61),""),CHAR(34),"")&amp;"|"&amp;$K1086&amp;"|"&amp;$G1086&amp;"|"&amp;IF($G1086="TX_CURR_SUBNAT.R","CY2020Q4",$M1086),"")</f>
        <v>[tjhYqc1MlVo]|25-29|Male|VL_SUPPRESSED.T_1|CY2021Q3</v>
      </c>
    </row>
    <row r="1087" customFormat="false" ht="15" hidden="false" customHeight="false" outlineLevel="0" collapsed="false">
      <c r="D1087" s="0" t="s">
        <v>113</v>
      </c>
      <c r="E1087" s="0" t="s">
        <v>114</v>
      </c>
      <c r="F1087" s="0" t="s">
        <v>47</v>
      </c>
      <c r="G1087" s="0" t="s">
        <v>95</v>
      </c>
      <c r="H1087" s="0" t="s">
        <v>96</v>
      </c>
      <c r="I1087" s="0" t="s">
        <v>72</v>
      </c>
      <c r="J1087" s="0" t="s">
        <v>73</v>
      </c>
      <c r="K1087" s="0" t="s">
        <v>56</v>
      </c>
      <c r="L1087" s="0" t="s">
        <v>57</v>
      </c>
      <c r="M1087" s="0" t="s">
        <v>50</v>
      </c>
      <c r="N1087" s="0" t="n">
        <v>499</v>
      </c>
      <c r="O1087" s="0" t="n">
        <v>3</v>
      </c>
      <c r="P1087" s="0" t="n">
        <v>34</v>
      </c>
      <c r="Q1087" s="5" t="str">
        <f aca="false">IF($D1087&lt;&gt;"","["&amp;$E1087&amp;"]"&amp;"|"&amp;SUBSTITUTE(SUBSTITUTE($I1087,CHAR(61),""),CHAR(34),"")&amp;"|"&amp;$K1087&amp;"|"&amp;$G1087&amp;"|"&amp;IF($G1087="TX_CURR_SUBNAT.R","CY2020Q4",$M1087),"")</f>
        <v>[tjhYqc1MlVo]|30-34|Female|VL_SUPPRESSED.T_1|CY2021Q3</v>
      </c>
    </row>
    <row r="1088" customFormat="false" ht="15" hidden="false" customHeight="false" outlineLevel="0" collapsed="false">
      <c r="D1088" s="0" t="s">
        <v>113</v>
      </c>
      <c r="E1088" s="0" t="s">
        <v>114</v>
      </c>
      <c r="F1088" s="0" t="s">
        <v>47</v>
      </c>
      <c r="G1088" s="0" t="s">
        <v>95</v>
      </c>
      <c r="H1088" s="0" t="s">
        <v>96</v>
      </c>
      <c r="I1088" s="0" t="s">
        <v>72</v>
      </c>
      <c r="J1088" s="0" t="s">
        <v>73</v>
      </c>
      <c r="K1088" s="0" t="s">
        <v>58</v>
      </c>
      <c r="L1088" s="0" t="s">
        <v>59</v>
      </c>
      <c r="M1088" s="0" t="s">
        <v>50</v>
      </c>
      <c r="N1088" s="0" t="n">
        <v>206</v>
      </c>
      <c r="O1088" s="0" t="n">
        <v>12</v>
      </c>
      <c r="P1088" s="0" t="n">
        <v>27</v>
      </c>
      <c r="Q1088" s="5" t="str">
        <f aca="false">IF($D1088&lt;&gt;"","["&amp;$E1088&amp;"]"&amp;"|"&amp;SUBSTITUTE(SUBSTITUTE($I1088,CHAR(61),""),CHAR(34),"")&amp;"|"&amp;$K1088&amp;"|"&amp;$G1088&amp;"|"&amp;IF($G1088="TX_CURR_SUBNAT.R","CY2020Q4",$M1088),"")</f>
        <v>[tjhYqc1MlVo]|30-34|Male|VL_SUPPRESSED.T_1|CY2021Q3</v>
      </c>
    </row>
    <row r="1089" customFormat="false" ht="15" hidden="false" customHeight="false" outlineLevel="0" collapsed="false">
      <c r="D1089" s="0" t="s">
        <v>113</v>
      </c>
      <c r="E1089" s="0" t="s">
        <v>114</v>
      </c>
      <c r="F1089" s="0" t="s">
        <v>47</v>
      </c>
      <c r="G1089" s="0" t="s">
        <v>95</v>
      </c>
      <c r="H1089" s="0" t="s">
        <v>96</v>
      </c>
      <c r="I1089" s="0" t="s">
        <v>75</v>
      </c>
      <c r="J1089" s="0" t="s">
        <v>76</v>
      </c>
      <c r="K1089" s="0" t="s">
        <v>56</v>
      </c>
      <c r="L1089" s="0" t="s">
        <v>57</v>
      </c>
      <c r="M1089" s="0" t="s">
        <v>50</v>
      </c>
      <c r="N1089" s="0" t="n">
        <v>585</v>
      </c>
      <c r="O1089" s="0" t="n">
        <v>53</v>
      </c>
      <c r="P1089" s="0" t="n">
        <v>37</v>
      </c>
      <c r="Q1089" s="5" t="str">
        <f aca="false">IF($D1089&lt;&gt;"","["&amp;$E1089&amp;"]"&amp;"|"&amp;SUBSTITUTE(SUBSTITUTE($I1089,CHAR(61),""),CHAR(34),"")&amp;"|"&amp;$K1089&amp;"|"&amp;$G1089&amp;"|"&amp;IF($G1089="TX_CURR_SUBNAT.R","CY2020Q4",$M1089),"")</f>
        <v>[tjhYqc1MlVo]|35-39|Female|VL_SUPPRESSED.T_1|CY2021Q3</v>
      </c>
    </row>
    <row r="1090" customFormat="false" ht="15" hidden="false" customHeight="false" outlineLevel="0" collapsed="false">
      <c r="D1090" s="0" t="s">
        <v>113</v>
      </c>
      <c r="E1090" s="0" t="s">
        <v>114</v>
      </c>
      <c r="F1090" s="0" t="s">
        <v>47</v>
      </c>
      <c r="G1090" s="0" t="s">
        <v>95</v>
      </c>
      <c r="H1090" s="0" t="s">
        <v>96</v>
      </c>
      <c r="I1090" s="0" t="s">
        <v>75</v>
      </c>
      <c r="J1090" s="0" t="s">
        <v>76</v>
      </c>
      <c r="K1090" s="0" t="s">
        <v>58</v>
      </c>
      <c r="L1090" s="0" t="s">
        <v>59</v>
      </c>
      <c r="M1090" s="0" t="s">
        <v>50</v>
      </c>
      <c r="N1090" s="0" t="n">
        <v>388</v>
      </c>
      <c r="O1090" s="0" t="n">
        <v>26</v>
      </c>
      <c r="P1090" s="0" t="n">
        <v>4</v>
      </c>
      <c r="Q1090" s="5" t="str">
        <f aca="false">IF($D1090&lt;&gt;"","["&amp;$E1090&amp;"]"&amp;"|"&amp;SUBSTITUTE(SUBSTITUTE($I1090,CHAR(61),""),CHAR(34),"")&amp;"|"&amp;$K1090&amp;"|"&amp;$G1090&amp;"|"&amp;IF($G1090="TX_CURR_SUBNAT.R","CY2020Q4",$M1090),"")</f>
        <v>[tjhYqc1MlVo]|35-39|Male|VL_SUPPRESSED.T_1|CY2021Q3</v>
      </c>
    </row>
    <row r="1091" customFormat="false" ht="15" hidden="false" customHeight="false" outlineLevel="0" collapsed="false">
      <c r="D1091" s="0" t="s">
        <v>113</v>
      </c>
      <c r="E1091" s="0" t="s">
        <v>114</v>
      </c>
      <c r="F1091" s="0" t="s">
        <v>47</v>
      </c>
      <c r="G1091" s="0" t="s">
        <v>95</v>
      </c>
      <c r="H1091" s="0" t="s">
        <v>96</v>
      </c>
      <c r="I1091" s="0" t="s">
        <v>77</v>
      </c>
      <c r="J1091" s="0" t="s">
        <v>78</v>
      </c>
      <c r="K1091" s="0" t="s">
        <v>56</v>
      </c>
      <c r="L1091" s="0" t="s">
        <v>57</v>
      </c>
      <c r="M1091" s="0" t="s">
        <v>50</v>
      </c>
      <c r="N1091" s="0" t="n">
        <v>602</v>
      </c>
      <c r="O1091" s="0" t="n">
        <v>46</v>
      </c>
      <c r="P1091" s="0" t="n">
        <v>27</v>
      </c>
      <c r="Q1091" s="5" t="str">
        <f aca="false">IF($D1091&lt;&gt;"","["&amp;$E1091&amp;"]"&amp;"|"&amp;SUBSTITUTE(SUBSTITUTE($I1091,CHAR(61),""),CHAR(34),"")&amp;"|"&amp;$K1091&amp;"|"&amp;$G1091&amp;"|"&amp;IF($G1091="TX_CURR_SUBNAT.R","CY2020Q4",$M1091),"")</f>
        <v>[tjhYqc1MlVo]|40-44|Female|VL_SUPPRESSED.T_1|CY2021Q3</v>
      </c>
    </row>
    <row r="1092" customFormat="false" ht="15" hidden="false" customHeight="false" outlineLevel="0" collapsed="false">
      <c r="D1092" s="0" t="s">
        <v>113</v>
      </c>
      <c r="E1092" s="0" t="s">
        <v>114</v>
      </c>
      <c r="F1092" s="0" t="s">
        <v>47</v>
      </c>
      <c r="G1092" s="0" t="s">
        <v>95</v>
      </c>
      <c r="H1092" s="0" t="s">
        <v>96</v>
      </c>
      <c r="I1092" s="0" t="s">
        <v>77</v>
      </c>
      <c r="J1092" s="0" t="s">
        <v>78</v>
      </c>
      <c r="K1092" s="0" t="s">
        <v>58</v>
      </c>
      <c r="L1092" s="0" t="s">
        <v>59</v>
      </c>
      <c r="M1092" s="0" t="s">
        <v>50</v>
      </c>
      <c r="N1092" s="0" t="n">
        <v>429</v>
      </c>
      <c r="O1092" s="0" t="n">
        <v>11</v>
      </c>
      <c r="P1092" s="0" t="n">
        <v>34</v>
      </c>
      <c r="Q1092" s="5" t="str">
        <f aca="false">IF($D1092&lt;&gt;"","["&amp;$E1092&amp;"]"&amp;"|"&amp;SUBSTITUTE(SUBSTITUTE($I1092,CHAR(61),""),CHAR(34),"")&amp;"|"&amp;$K1092&amp;"|"&amp;$G1092&amp;"|"&amp;IF($G1092="TX_CURR_SUBNAT.R","CY2020Q4",$M1092),"")</f>
        <v>[tjhYqc1MlVo]|40-44|Male|VL_SUPPRESSED.T_1|CY2021Q3</v>
      </c>
    </row>
    <row r="1093" customFormat="false" ht="15" hidden="false" customHeight="false" outlineLevel="0" collapsed="false">
      <c r="D1093" s="0" t="s">
        <v>113</v>
      </c>
      <c r="E1093" s="0" t="s">
        <v>114</v>
      </c>
      <c r="F1093" s="0" t="s">
        <v>47</v>
      </c>
      <c r="G1093" s="0" t="s">
        <v>95</v>
      </c>
      <c r="H1093" s="0" t="s">
        <v>96</v>
      </c>
      <c r="I1093" s="0" t="s">
        <v>80</v>
      </c>
      <c r="J1093" s="0" t="s">
        <v>81</v>
      </c>
      <c r="K1093" s="0" t="s">
        <v>56</v>
      </c>
      <c r="L1093" s="0" t="s">
        <v>57</v>
      </c>
      <c r="M1093" s="0" t="s">
        <v>50</v>
      </c>
      <c r="N1093" s="0" t="n">
        <v>535</v>
      </c>
      <c r="O1093" s="0" t="n">
        <v>16</v>
      </c>
      <c r="P1093" s="0" t="n">
        <v>44</v>
      </c>
      <c r="Q1093" s="5" t="str">
        <f aca="false">IF($D1093&lt;&gt;"","["&amp;$E1093&amp;"]"&amp;"|"&amp;SUBSTITUTE(SUBSTITUTE($I1093,CHAR(61),""),CHAR(34),"")&amp;"|"&amp;$K1093&amp;"|"&amp;$G1093&amp;"|"&amp;IF($G1093="TX_CURR_SUBNAT.R","CY2020Q4",$M1093),"")</f>
        <v>[tjhYqc1MlVo]|45-49|Female|VL_SUPPRESSED.T_1|CY2021Q3</v>
      </c>
    </row>
    <row r="1094" customFormat="false" ht="15" hidden="false" customHeight="false" outlineLevel="0" collapsed="false">
      <c r="D1094" s="0" t="s">
        <v>113</v>
      </c>
      <c r="E1094" s="0" t="s">
        <v>114</v>
      </c>
      <c r="F1094" s="0" t="s">
        <v>47</v>
      </c>
      <c r="G1094" s="0" t="s">
        <v>95</v>
      </c>
      <c r="H1094" s="0" t="s">
        <v>96</v>
      </c>
      <c r="I1094" s="0" t="s">
        <v>80</v>
      </c>
      <c r="J1094" s="0" t="s">
        <v>81</v>
      </c>
      <c r="K1094" s="0" t="s">
        <v>58</v>
      </c>
      <c r="L1094" s="0" t="s">
        <v>59</v>
      </c>
      <c r="M1094" s="0" t="s">
        <v>50</v>
      </c>
      <c r="N1094" s="0" t="n">
        <v>359</v>
      </c>
      <c r="O1094" s="0" t="n">
        <v>55</v>
      </c>
      <c r="P1094" s="0" t="n">
        <v>26</v>
      </c>
      <c r="Q1094" s="5" t="str">
        <f aca="false">IF($D1094&lt;&gt;"","["&amp;$E1094&amp;"]"&amp;"|"&amp;SUBSTITUTE(SUBSTITUTE($I1094,CHAR(61),""),CHAR(34),"")&amp;"|"&amp;$K1094&amp;"|"&amp;$G1094&amp;"|"&amp;IF($G1094="TX_CURR_SUBNAT.R","CY2020Q4",$M1094),"")</f>
        <v>[tjhYqc1MlVo]|45-49|Male|VL_SUPPRESSED.T_1|CY2021Q3</v>
      </c>
    </row>
    <row r="1095" customFormat="false" ht="15" hidden="false" customHeight="false" outlineLevel="0" collapsed="false">
      <c r="D1095" s="0" t="s">
        <v>113</v>
      </c>
      <c r="E1095" s="0" t="s">
        <v>114</v>
      </c>
      <c r="F1095" s="0" t="s">
        <v>47</v>
      </c>
      <c r="G1095" s="0" t="s">
        <v>95</v>
      </c>
      <c r="H1095" s="0" t="s">
        <v>96</v>
      </c>
      <c r="I1095" s="0" t="s">
        <v>83</v>
      </c>
      <c r="J1095" s="0" t="s">
        <v>84</v>
      </c>
      <c r="K1095" s="0" t="s">
        <v>56</v>
      </c>
      <c r="L1095" s="0" t="s">
        <v>57</v>
      </c>
      <c r="M1095" s="0" t="s">
        <v>50</v>
      </c>
      <c r="N1095" s="0" t="n">
        <v>59</v>
      </c>
      <c r="O1095" s="0" t="n">
        <v>56</v>
      </c>
      <c r="P1095" s="0" t="n">
        <v>50</v>
      </c>
      <c r="Q1095" s="5" t="str">
        <f aca="false">IF($D1095&lt;&gt;"","["&amp;$E1095&amp;"]"&amp;"|"&amp;SUBSTITUTE(SUBSTITUTE($I1095,CHAR(61),""),CHAR(34),"")&amp;"|"&amp;$K1095&amp;"|"&amp;$G1095&amp;"|"&amp;IF($G1095="TX_CURR_SUBNAT.R","CY2020Q4",$M1095),"")</f>
        <v>[tjhYqc1MlVo]|05-09|Female|VL_SUPPRESSED.T_1|CY2021Q3</v>
      </c>
    </row>
    <row r="1096" customFormat="false" ht="15" hidden="false" customHeight="false" outlineLevel="0" collapsed="false">
      <c r="D1096" s="0" t="s">
        <v>113</v>
      </c>
      <c r="E1096" s="0" t="s">
        <v>114</v>
      </c>
      <c r="F1096" s="0" t="s">
        <v>47</v>
      </c>
      <c r="G1096" s="0" t="s">
        <v>95</v>
      </c>
      <c r="H1096" s="0" t="s">
        <v>96</v>
      </c>
      <c r="I1096" s="0" t="s">
        <v>83</v>
      </c>
      <c r="J1096" s="0" t="s">
        <v>84</v>
      </c>
      <c r="K1096" s="0" t="s">
        <v>58</v>
      </c>
      <c r="L1096" s="0" t="s">
        <v>59</v>
      </c>
      <c r="M1096" s="0" t="s">
        <v>50</v>
      </c>
      <c r="N1096" s="0" t="n">
        <v>58</v>
      </c>
      <c r="O1096" s="0" t="n">
        <v>43</v>
      </c>
      <c r="P1096" s="0" t="n">
        <v>28</v>
      </c>
      <c r="Q1096" s="5" t="str">
        <f aca="false">IF($D1096&lt;&gt;"","["&amp;$E1096&amp;"]"&amp;"|"&amp;SUBSTITUTE(SUBSTITUTE($I1096,CHAR(61),""),CHAR(34),"")&amp;"|"&amp;$K1096&amp;"|"&amp;$G1096&amp;"|"&amp;IF($G1096="TX_CURR_SUBNAT.R","CY2020Q4",$M1096),"")</f>
        <v>[tjhYqc1MlVo]|05-09|Male|VL_SUPPRESSED.T_1|CY2021Q3</v>
      </c>
    </row>
    <row r="1097" customFormat="false" ht="15" hidden="false" customHeight="false" outlineLevel="0" collapsed="false">
      <c r="D1097" s="0" t="s">
        <v>113</v>
      </c>
      <c r="E1097" s="0" t="s">
        <v>114</v>
      </c>
      <c r="F1097" s="0" t="s">
        <v>47</v>
      </c>
      <c r="G1097" s="0" t="s">
        <v>95</v>
      </c>
      <c r="H1097" s="0" t="s">
        <v>96</v>
      </c>
      <c r="I1097" s="53" t="s">
        <v>86</v>
      </c>
      <c r="J1097" s="0" t="s">
        <v>87</v>
      </c>
      <c r="K1097" s="0" t="s">
        <v>56</v>
      </c>
      <c r="L1097" s="0" t="s">
        <v>57</v>
      </c>
      <c r="M1097" s="0" t="s">
        <v>50</v>
      </c>
      <c r="N1097" s="0" t="n">
        <v>1382</v>
      </c>
      <c r="O1097" s="0" t="n">
        <v>3</v>
      </c>
      <c r="P1097" s="0" t="n">
        <v>22</v>
      </c>
      <c r="Q1097" s="5" t="str">
        <f aca="false">IF($D1097&lt;&gt;"","["&amp;$E1097&amp;"]"&amp;"|"&amp;SUBSTITUTE(SUBSTITUTE($I1097,CHAR(61),""),CHAR(34),"")&amp;"|"&amp;$K1097&amp;"|"&amp;$G1097&amp;"|"&amp;IF($G1097="TX_CURR_SUBNAT.R","CY2020Q4",$M1097),"")</f>
        <v>[tjhYqc1MlVo]|50+|Female|VL_SUPPRESSED.T_1|CY2021Q3</v>
      </c>
    </row>
    <row r="1098" customFormat="false" ht="15" hidden="false" customHeight="false" outlineLevel="0" collapsed="false">
      <c r="D1098" s="0" t="s">
        <v>113</v>
      </c>
      <c r="E1098" s="0" t="s">
        <v>114</v>
      </c>
      <c r="F1098" s="0" t="s">
        <v>47</v>
      </c>
      <c r="G1098" s="0" t="s">
        <v>95</v>
      </c>
      <c r="H1098" s="0" t="s">
        <v>96</v>
      </c>
      <c r="I1098" s="53" t="s">
        <v>86</v>
      </c>
      <c r="J1098" s="0" t="s">
        <v>87</v>
      </c>
      <c r="K1098" s="0" t="s">
        <v>58</v>
      </c>
      <c r="L1098" s="0" t="s">
        <v>59</v>
      </c>
      <c r="M1098" s="0" t="s">
        <v>50</v>
      </c>
      <c r="N1098" s="0" t="n">
        <v>826</v>
      </c>
      <c r="O1098" s="0" t="n">
        <v>10</v>
      </c>
      <c r="P1098" s="0" t="n">
        <v>31</v>
      </c>
      <c r="Q1098" s="5" t="str">
        <f aca="false">IF($D1098&lt;&gt;"","["&amp;$E1098&amp;"]"&amp;"|"&amp;SUBSTITUTE(SUBSTITUTE($I1098,CHAR(61),""),CHAR(34),"")&amp;"|"&amp;$K1098&amp;"|"&amp;$G1098&amp;"|"&amp;IF($G1098="TX_CURR_SUBNAT.R","CY2020Q4",$M1098),"")</f>
        <v>[tjhYqc1MlVo]|50+|Male|VL_SUPPRESSED.T_1|CY2021Q3</v>
      </c>
    </row>
    <row r="1099" customFormat="false" ht="15" hidden="false" customHeight="false" outlineLevel="0" collapsed="false">
      <c r="D1099" s="0" t="s">
        <v>113</v>
      </c>
      <c r="E1099" s="0" t="s">
        <v>114</v>
      </c>
      <c r="F1099" s="0" t="s">
        <v>47</v>
      </c>
      <c r="G1099" s="0" t="s">
        <v>95</v>
      </c>
      <c r="H1099" s="0" t="s">
        <v>96</v>
      </c>
      <c r="I1099" s="0" t="s">
        <v>89</v>
      </c>
      <c r="J1099" s="0" t="s">
        <v>90</v>
      </c>
      <c r="K1099" s="0" t="s">
        <v>56</v>
      </c>
      <c r="L1099" s="0" t="s">
        <v>57</v>
      </c>
      <c r="M1099" s="0" t="s">
        <v>50</v>
      </c>
      <c r="N1099" s="0" t="n">
        <v>1</v>
      </c>
      <c r="O1099" s="0" t="n">
        <v>39</v>
      </c>
      <c r="P1099" s="0" t="n">
        <v>19</v>
      </c>
      <c r="Q1099" s="5" t="str">
        <f aca="false">IF($D1099&lt;&gt;"","["&amp;$E1099&amp;"]"&amp;"|"&amp;SUBSTITUTE(SUBSTITUTE($I1099,CHAR(61),""),CHAR(34),"")&amp;"|"&amp;$K1099&amp;"|"&amp;$G1099&amp;"|"&amp;IF($G1099="TX_CURR_SUBNAT.R","CY2020Q4",$M1099),"")</f>
        <v>[tjhYqc1MlVo]|&lt;01|Female|VL_SUPPRESSED.T_1|CY2021Q3</v>
      </c>
    </row>
    <row r="1100" customFormat="false" ht="15" hidden="false" customHeight="false" outlineLevel="0" collapsed="false">
      <c r="D1100" s="0" t="s">
        <v>113</v>
      </c>
      <c r="E1100" s="0" t="s">
        <v>114</v>
      </c>
      <c r="F1100" s="0" t="s">
        <v>47</v>
      </c>
      <c r="G1100" s="0" t="s">
        <v>97</v>
      </c>
      <c r="H1100" s="0" t="s">
        <v>98</v>
      </c>
      <c r="I1100" s="0" t="s">
        <v>54</v>
      </c>
      <c r="J1100" s="0" t="s">
        <v>55</v>
      </c>
      <c r="K1100" s="0" t="s">
        <v>56</v>
      </c>
      <c r="L1100" s="0" t="s">
        <v>57</v>
      </c>
      <c r="M1100" s="0" t="s">
        <v>50</v>
      </c>
      <c r="N1100" s="0" t="n">
        <v>32</v>
      </c>
      <c r="O1100" s="0" t="n">
        <v>26</v>
      </c>
      <c r="P1100" s="0" t="n">
        <v>50</v>
      </c>
      <c r="Q1100" s="5" t="str">
        <f aca="false">IF($D1100&lt;&gt;"","["&amp;$E1100&amp;"]"&amp;"|"&amp;SUBSTITUTE(SUBSTITUTE($I1100,CHAR(61),""),CHAR(34),"")&amp;"|"&amp;$K1100&amp;"|"&amp;$G1100&amp;"|"&amp;IF($G1100="TX_CURR_SUBNAT.R","CY2020Q4",$M1100),"")</f>
        <v>[tjhYqc1MlVo]|01-04|Female|PLHIV.T_1|CY2021Q3</v>
      </c>
    </row>
    <row r="1101" customFormat="false" ht="15" hidden="false" customHeight="false" outlineLevel="0" collapsed="false">
      <c r="D1101" s="0" t="s">
        <v>113</v>
      </c>
      <c r="E1101" s="0" t="s">
        <v>114</v>
      </c>
      <c r="F1101" s="0" t="s">
        <v>47</v>
      </c>
      <c r="G1101" s="0" t="s">
        <v>97</v>
      </c>
      <c r="H1101" s="0" t="s">
        <v>98</v>
      </c>
      <c r="I1101" s="0" t="s">
        <v>54</v>
      </c>
      <c r="J1101" s="0" t="s">
        <v>55</v>
      </c>
      <c r="K1101" s="0" t="s">
        <v>58</v>
      </c>
      <c r="L1101" s="0" t="s">
        <v>59</v>
      </c>
      <c r="M1101" s="0" t="s">
        <v>50</v>
      </c>
      <c r="N1101" s="0" t="n">
        <v>32</v>
      </c>
      <c r="O1101" s="0" t="n">
        <v>7</v>
      </c>
      <c r="P1101" s="0" t="n">
        <v>31</v>
      </c>
      <c r="Q1101" s="5" t="str">
        <f aca="false">IF($D1101&lt;&gt;"","["&amp;$E1101&amp;"]"&amp;"|"&amp;SUBSTITUTE(SUBSTITUTE($I1101,CHAR(61),""),CHAR(34),"")&amp;"|"&amp;$K1101&amp;"|"&amp;$G1101&amp;"|"&amp;IF($G1101="TX_CURR_SUBNAT.R","CY2020Q4",$M1101),"")</f>
        <v>[tjhYqc1MlVo]|01-04|Male|PLHIV.T_1|CY2021Q3</v>
      </c>
    </row>
    <row r="1102" customFormat="false" ht="15" hidden="false" customHeight="false" outlineLevel="0" collapsed="false">
      <c r="D1102" s="0" t="s">
        <v>113</v>
      </c>
      <c r="E1102" s="0" t="s">
        <v>114</v>
      </c>
      <c r="F1102" s="0" t="s">
        <v>47</v>
      </c>
      <c r="G1102" s="0" t="s">
        <v>97</v>
      </c>
      <c r="H1102" s="0" t="s">
        <v>98</v>
      </c>
      <c r="I1102" s="0" t="s">
        <v>61</v>
      </c>
      <c r="J1102" s="0" t="s">
        <v>62</v>
      </c>
      <c r="K1102" s="0" t="s">
        <v>56</v>
      </c>
      <c r="L1102" s="0" t="s">
        <v>57</v>
      </c>
      <c r="M1102" s="0" t="s">
        <v>50</v>
      </c>
      <c r="N1102" s="0" t="n">
        <v>167</v>
      </c>
      <c r="O1102" s="0" t="n">
        <v>26</v>
      </c>
      <c r="P1102" s="0" t="n">
        <v>43</v>
      </c>
      <c r="Q1102" s="5" t="str">
        <f aca="false">IF($D1102&lt;&gt;"","["&amp;$E1102&amp;"]"&amp;"|"&amp;SUBSTITUTE(SUBSTITUTE($I1102,CHAR(61),""),CHAR(34),"")&amp;"|"&amp;$K1102&amp;"|"&amp;$G1102&amp;"|"&amp;IF($G1102="TX_CURR_SUBNAT.R","CY2020Q4",$M1102),"")</f>
        <v>[tjhYqc1MlVo]|10-14|Female|PLHIV.T_1|CY2021Q3</v>
      </c>
    </row>
    <row r="1103" customFormat="false" ht="15" hidden="false" customHeight="false" outlineLevel="0" collapsed="false">
      <c r="D1103" s="0" t="s">
        <v>113</v>
      </c>
      <c r="E1103" s="0" t="s">
        <v>114</v>
      </c>
      <c r="F1103" s="0" t="s">
        <v>47</v>
      </c>
      <c r="G1103" s="0" t="s">
        <v>97</v>
      </c>
      <c r="H1103" s="0" t="s">
        <v>98</v>
      </c>
      <c r="I1103" s="0" t="s">
        <v>61</v>
      </c>
      <c r="J1103" s="0" t="s">
        <v>62</v>
      </c>
      <c r="K1103" s="0" t="s">
        <v>58</v>
      </c>
      <c r="L1103" s="0" t="s">
        <v>59</v>
      </c>
      <c r="M1103" s="0" t="s">
        <v>50</v>
      </c>
      <c r="N1103" s="0" t="n">
        <v>171</v>
      </c>
      <c r="O1103" s="0" t="n">
        <v>49</v>
      </c>
      <c r="P1103" s="0" t="n">
        <v>26</v>
      </c>
      <c r="Q1103" s="5" t="str">
        <f aca="false">IF($D1103&lt;&gt;"","["&amp;$E1103&amp;"]"&amp;"|"&amp;SUBSTITUTE(SUBSTITUTE($I1103,CHAR(61),""),CHAR(34),"")&amp;"|"&amp;$K1103&amp;"|"&amp;$G1103&amp;"|"&amp;IF($G1103="TX_CURR_SUBNAT.R","CY2020Q4",$M1103),"")</f>
        <v>[tjhYqc1MlVo]|10-14|Male|PLHIV.T_1|CY2021Q3</v>
      </c>
    </row>
    <row r="1104" customFormat="false" ht="15" hidden="false" customHeight="false" outlineLevel="0" collapsed="false">
      <c r="D1104" s="0" t="s">
        <v>113</v>
      </c>
      <c r="E1104" s="0" t="s">
        <v>114</v>
      </c>
      <c r="F1104" s="0" t="s">
        <v>47</v>
      </c>
      <c r="G1104" s="0" t="s">
        <v>97</v>
      </c>
      <c r="H1104" s="0" t="s">
        <v>98</v>
      </c>
      <c r="I1104" s="0" t="s">
        <v>63</v>
      </c>
      <c r="J1104" s="0" t="s">
        <v>64</v>
      </c>
      <c r="K1104" s="0" t="s">
        <v>56</v>
      </c>
      <c r="L1104" s="0" t="s">
        <v>57</v>
      </c>
      <c r="M1104" s="0" t="s">
        <v>50</v>
      </c>
      <c r="N1104" s="0" t="n">
        <v>273</v>
      </c>
      <c r="O1104" s="0" t="n">
        <v>47</v>
      </c>
      <c r="P1104" s="0" t="n">
        <v>42</v>
      </c>
      <c r="Q1104" s="5" t="str">
        <f aca="false">IF($D1104&lt;&gt;"","["&amp;$E1104&amp;"]"&amp;"|"&amp;SUBSTITUTE(SUBSTITUTE($I1104,CHAR(61),""),CHAR(34),"")&amp;"|"&amp;$K1104&amp;"|"&amp;$G1104&amp;"|"&amp;IF($G1104="TX_CURR_SUBNAT.R","CY2020Q4",$M1104),"")</f>
        <v>[tjhYqc1MlVo]|15-19|Female|PLHIV.T_1|CY2021Q3</v>
      </c>
    </row>
    <row r="1105" customFormat="false" ht="15" hidden="false" customHeight="false" outlineLevel="0" collapsed="false">
      <c r="D1105" s="0" t="s">
        <v>113</v>
      </c>
      <c r="E1105" s="0" t="s">
        <v>114</v>
      </c>
      <c r="F1105" s="0" t="s">
        <v>47</v>
      </c>
      <c r="G1105" s="0" t="s">
        <v>97</v>
      </c>
      <c r="H1105" s="0" t="s">
        <v>98</v>
      </c>
      <c r="I1105" s="0" t="s">
        <v>63</v>
      </c>
      <c r="J1105" s="0" t="s">
        <v>64</v>
      </c>
      <c r="K1105" s="0" t="s">
        <v>58</v>
      </c>
      <c r="L1105" s="0" t="s">
        <v>59</v>
      </c>
      <c r="M1105" s="0" t="s">
        <v>50</v>
      </c>
      <c r="N1105" s="0" t="n">
        <v>168</v>
      </c>
      <c r="O1105" s="0" t="n">
        <v>52</v>
      </c>
      <c r="P1105" s="0" t="n">
        <v>29</v>
      </c>
      <c r="Q1105" s="5" t="str">
        <f aca="false">IF($D1105&lt;&gt;"","["&amp;$E1105&amp;"]"&amp;"|"&amp;SUBSTITUTE(SUBSTITUTE($I1105,CHAR(61),""),CHAR(34),"")&amp;"|"&amp;$K1105&amp;"|"&amp;$G1105&amp;"|"&amp;IF($G1105="TX_CURR_SUBNAT.R","CY2020Q4",$M1105),"")</f>
        <v>[tjhYqc1MlVo]|15-19|Male|PLHIV.T_1|CY2021Q3</v>
      </c>
    </row>
    <row r="1106" customFormat="false" ht="15" hidden="false" customHeight="false" outlineLevel="0" collapsed="false">
      <c r="D1106" s="0" t="s">
        <v>113</v>
      </c>
      <c r="E1106" s="0" t="s">
        <v>114</v>
      </c>
      <c r="F1106" s="0" t="s">
        <v>47</v>
      </c>
      <c r="G1106" s="0" t="s">
        <v>97</v>
      </c>
      <c r="H1106" s="0" t="s">
        <v>98</v>
      </c>
      <c r="I1106" s="0" t="s">
        <v>66</v>
      </c>
      <c r="J1106" s="0" t="s">
        <v>67</v>
      </c>
      <c r="K1106" s="0" t="s">
        <v>56</v>
      </c>
      <c r="L1106" s="0" t="s">
        <v>57</v>
      </c>
      <c r="M1106" s="0" t="s">
        <v>50</v>
      </c>
      <c r="N1106" s="0" t="n">
        <v>636</v>
      </c>
      <c r="O1106" s="0" t="n">
        <v>57</v>
      </c>
      <c r="P1106" s="0" t="n">
        <v>50</v>
      </c>
      <c r="Q1106" s="5" t="str">
        <f aca="false">IF($D1106&lt;&gt;"","["&amp;$E1106&amp;"]"&amp;"|"&amp;SUBSTITUTE(SUBSTITUTE($I1106,CHAR(61),""),CHAR(34),"")&amp;"|"&amp;$K1106&amp;"|"&amp;$G1106&amp;"|"&amp;IF($G1106="TX_CURR_SUBNAT.R","CY2020Q4",$M1106),"")</f>
        <v>[tjhYqc1MlVo]|20-24|Female|PLHIV.T_1|CY2021Q3</v>
      </c>
    </row>
    <row r="1107" customFormat="false" ht="15" hidden="false" customHeight="false" outlineLevel="0" collapsed="false">
      <c r="D1107" s="0" t="s">
        <v>113</v>
      </c>
      <c r="E1107" s="0" t="s">
        <v>114</v>
      </c>
      <c r="F1107" s="0" t="s">
        <v>47</v>
      </c>
      <c r="G1107" s="0" t="s">
        <v>97</v>
      </c>
      <c r="H1107" s="0" t="s">
        <v>98</v>
      </c>
      <c r="I1107" s="0" t="s">
        <v>66</v>
      </c>
      <c r="J1107" s="0" t="s">
        <v>67</v>
      </c>
      <c r="K1107" s="0" t="s">
        <v>58</v>
      </c>
      <c r="L1107" s="0" t="s">
        <v>59</v>
      </c>
      <c r="M1107" s="0" t="s">
        <v>50</v>
      </c>
      <c r="N1107" s="0" t="n">
        <v>243</v>
      </c>
      <c r="O1107" s="0" t="n">
        <v>25</v>
      </c>
      <c r="P1107" s="0" t="n">
        <v>8</v>
      </c>
      <c r="Q1107" s="5" t="str">
        <f aca="false">IF($D1107&lt;&gt;"","["&amp;$E1107&amp;"]"&amp;"|"&amp;SUBSTITUTE(SUBSTITUTE($I1107,CHAR(61),""),CHAR(34),"")&amp;"|"&amp;$K1107&amp;"|"&amp;$G1107&amp;"|"&amp;IF($G1107="TX_CURR_SUBNAT.R","CY2020Q4",$M1107),"")</f>
        <v>[tjhYqc1MlVo]|20-24|Male|PLHIV.T_1|CY2021Q3</v>
      </c>
    </row>
    <row r="1108" customFormat="false" ht="15" hidden="false" customHeight="false" outlineLevel="0" collapsed="false">
      <c r="D1108" s="0" t="s">
        <v>113</v>
      </c>
      <c r="E1108" s="0" t="s">
        <v>114</v>
      </c>
      <c r="F1108" s="0" t="s">
        <v>47</v>
      </c>
      <c r="G1108" s="0" t="s">
        <v>97</v>
      </c>
      <c r="H1108" s="0" t="s">
        <v>98</v>
      </c>
      <c r="I1108" s="0" t="s">
        <v>69</v>
      </c>
      <c r="J1108" s="0" t="s">
        <v>70</v>
      </c>
      <c r="K1108" s="0" t="s">
        <v>56</v>
      </c>
      <c r="L1108" s="0" t="s">
        <v>57</v>
      </c>
      <c r="M1108" s="0" t="s">
        <v>50</v>
      </c>
      <c r="N1108" s="0" t="n">
        <v>1036</v>
      </c>
      <c r="O1108" s="0" t="n">
        <v>24</v>
      </c>
      <c r="P1108" s="0" t="n">
        <v>48</v>
      </c>
      <c r="Q1108" s="5" t="str">
        <f aca="false">IF($D1108&lt;&gt;"","["&amp;$E1108&amp;"]"&amp;"|"&amp;SUBSTITUTE(SUBSTITUTE($I1108,CHAR(61),""),CHAR(34),"")&amp;"|"&amp;$K1108&amp;"|"&amp;$G1108&amp;"|"&amp;IF($G1108="TX_CURR_SUBNAT.R","CY2020Q4",$M1108),"")</f>
        <v>[tjhYqc1MlVo]|25-29|Female|PLHIV.T_1|CY2021Q3</v>
      </c>
    </row>
    <row r="1109" customFormat="false" ht="15" hidden="false" customHeight="false" outlineLevel="0" collapsed="false">
      <c r="D1109" s="0" t="s">
        <v>113</v>
      </c>
      <c r="E1109" s="0" t="s">
        <v>114</v>
      </c>
      <c r="F1109" s="0" t="s">
        <v>47</v>
      </c>
      <c r="G1109" s="0" t="s">
        <v>97</v>
      </c>
      <c r="H1109" s="0" t="s">
        <v>98</v>
      </c>
      <c r="I1109" s="0" t="s">
        <v>69</v>
      </c>
      <c r="J1109" s="0" t="s">
        <v>70</v>
      </c>
      <c r="K1109" s="0" t="s">
        <v>58</v>
      </c>
      <c r="L1109" s="0" t="s">
        <v>59</v>
      </c>
      <c r="M1109" s="0" t="s">
        <v>50</v>
      </c>
      <c r="N1109" s="0" t="n">
        <v>500</v>
      </c>
      <c r="O1109" s="0" t="n">
        <v>20</v>
      </c>
      <c r="P1109" s="0" t="n">
        <v>22</v>
      </c>
      <c r="Q1109" s="5" t="str">
        <f aca="false">IF($D1109&lt;&gt;"","["&amp;$E1109&amp;"]"&amp;"|"&amp;SUBSTITUTE(SUBSTITUTE($I1109,CHAR(61),""),CHAR(34),"")&amp;"|"&amp;$K1109&amp;"|"&amp;$G1109&amp;"|"&amp;IF($G1109="TX_CURR_SUBNAT.R","CY2020Q4",$M1109),"")</f>
        <v>[tjhYqc1MlVo]|25-29|Male|PLHIV.T_1|CY2021Q3</v>
      </c>
    </row>
    <row r="1110" customFormat="false" ht="15" hidden="false" customHeight="false" outlineLevel="0" collapsed="false">
      <c r="D1110" s="0" t="s">
        <v>113</v>
      </c>
      <c r="E1110" s="0" t="s">
        <v>114</v>
      </c>
      <c r="F1110" s="0" t="s">
        <v>47</v>
      </c>
      <c r="G1110" s="0" t="s">
        <v>97</v>
      </c>
      <c r="H1110" s="0" t="s">
        <v>98</v>
      </c>
      <c r="I1110" s="0" t="s">
        <v>72</v>
      </c>
      <c r="J1110" s="0" t="s">
        <v>73</v>
      </c>
      <c r="K1110" s="0" t="s">
        <v>56</v>
      </c>
      <c r="L1110" s="0" t="s">
        <v>57</v>
      </c>
      <c r="M1110" s="0" t="s">
        <v>50</v>
      </c>
      <c r="N1110" s="0" t="n">
        <v>1346</v>
      </c>
      <c r="O1110" s="0" t="n">
        <v>15</v>
      </c>
      <c r="P1110" s="0" t="n">
        <v>32</v>
      </c>
      <c r="Q1110" s="5" t="str">
        <f aca="false">IF($D1110&lt;&gt;"","["&amp;$E1110&amp;"]"&amp;"|"&amp;SUBSTITUTE(SUBSTITUTE($I1110,CHAR(61),""),CHAR(34),"")&amp;"|"&amp;$K1110&amp;"|"&amp;$G1110&amp;"|"&amp;IF($G1110="TX_CURR_SUBNAT.R","CY2020Q4",$M1110),"")</f>
        <v>[tjhYqc1MlVo]|30-34|Female|PLHIV.T_1|CY2021Q3</v>
      </c>
    </row>
    <row r="1111" customFormat="false" ht="15" hidden="false" customHeight="false" outlineLevel="0" collapsed="false">
      <c r="D1111" s="0" t="s">
        <v>113</v>
      </c>
      <c r="E1111" s="0" t="s">
        <v>114</v>
      </c>
      <c r="F1111" s="0" t="s">
        <v>47</v>
      </c>
      <c r="G1111" s="0" t="s">
        <v>97</v>
      </c>
      <c r="H1111" s="0" t="s">
        <v>98</v>
      </c>
      <c r="I1111" s="0" t="s">
        <v>72</v>
      </c>
      <c r="J1111" s="0" t="s">
        <v>73</v>
      </c>
      <c r="K1111" s="0" t="s">
        <v>58</v>
      </c>
      <c r="L1111" s="0" t="s">
        <v>59</v>
      </c>
      <c r="M1111" s="0" t="s">
        <v>50</v>
      </c>
      <c r="N1111" s="0" t="n">
        <v>872</v>
      </c>
      <c r="O1111" s="0" t="n">
        <v>16</v>
      </c>
      <c r="P1111" s="0" t="n">
        <v>12</v>
      </c>
      <c r="Q1111" s="5" t="str">
        <f aca="false">IF($D1111&lt;&gt;"","["&amp;$E1111&amp;"]"&amp;"|"&amp;SUBSTITUTE(SUBSTITUTE($I1111,CHAR(61),""),CHAR(34),"")&amp;"|"&amp;$K1111&amp;"|"&amp;$G1111&amp;"|"&amp;IF($G1111="TX_CURR_SUBNAT.R","CY2020Q4",$M1111),"")</f>
        <v>[tjhYqc1MlVo]|30-34|Male|PLHIV.T_1|CY2021Q3</v>
      </c>
    </row>
    <row r="1112" customFormat="false" ht="15" hidden="false" customHeight="false" outlineLevel="0" collapsed="false">
      <c r="D1112" s="0" t="s">
        <v>113</v>
      </c>
      <c r="E1112" s="0" t="s">
        <v>114</v>
      </c>
      <c r="F1112" s="0" t="s">
        <v>47</v>
      </c>
      <c r="G1112" s="0" t="s">
        <v>97</v>
      </c>
      <c r="H1112" s="0" t="s">
        <v>98</v>
      </c>
      <c r="I1112" s="0" t="s">
        <v>75</v>
      </c>
      <c r="J1112" s="0" t="s">
        <v>76</v>
      </c>
      <c r="K1112" s="0" t="s">
        <v>56</v>
      </c>
      <c r="L1112" s="0" t="s">
        <v>57</v>
      </c>
      <c r="M1112" s="0" t="s">
        <v>50</v>
      </c>
      <c r="N1112" s="0" t="n">
        <v>1277</v>
      </c>
      <c r="O1112" s="0" t="n">
        <v>3</v>
      </c>
      <c r="P1112" s="0" t="n">
        <v>32</v>
      </c>
      <c r="Q1112" s="5" t="str">
        <f aca="false">IF($D1112&lt;&gt;"","["&amp;$E1112&amp;"]"&amp;"|"&amp;SUBSTITUTE(SUBSTITUTE($I1112,CHAR(61),""),CHAR(34),"")&amp;"|"&amp;$K1112&amp;"|"&amp;$G1112&amp;"|"&amp;IF($G1112="TX_CURR_SUBNAT.R","CY2020Q4",$M1112),"")</f>
        <v>[tjhYqc1MlVo]|35-39|Female|PLHIV.T_1|CY2021Q3</v>
      </c>
    </row>
    <row r="1113" customFormat="false" ht="15" hidden="false" customHeight="false" outlineLevel="0" collapsed="false">
      <c r="D1113" s="0" t="s">
        <v>113</v>
      </c>
      <c r="E1113" s="0" t="s">
        <v>114</v>
      </c>
      <c r="F1113" s="0" t="s">
        <v>47</v>
      </c>
      <c r="G1113" s="0" t="s">
        <v>97</v>
      </c>
      <c r="H1113" s="0" t="s">
        <v>98</v>
      </c>
      <c r="I1113" s="0" t="s">
        <v>75</v>
      </c>
      <c r="J1113" s="0" t="s">
        <v>76</v>
      </c>
      <c r="K1113" s="0" t="s">
        <v>58</v>
      </c>
      <c r="L1113" s="0" t="s">
        <v>59</v>
      </c>
      <c r="M1113" s="0" t="s">
        <v>50</v>
      </c>
      <c r="N1113" s="0" t="n">
        <v>1050</v>
      </c>
      <c r="O1113" s="0" t="n">
        <v>41</v>
      </c>
      <c r="P1113" s="0" t="n">
        <v>19</v>
      </c>
      <c r="Q1113" s="5" t="str">
        <f aca="false">IF($D1113&lt;&gt;"","["&amp;$E1113&amp;"]"&amp;"|"&amp;SUBSTITUTE(SUBSTITUTE($I1113,CHAR(61),""),CHAR(34),"")&amp;"|"&amp;$K1113&amp;"|"&amp;$G1113&amp;"|"&amp;IF($G1113="TX_CURR_SUBNAT.R","CY2020Q4",$M1113),"")</f>
        <v>[tjhYqc1MlVo]|35-39|Male|PLHIV.T_1|CY2021Q3</v>
      </c>
    </row>
    <row r="1114" customFormat="false" ht="15" hidden="false" customHeight="false" outlineLevel="0" collapsed="false">
      <c r="D1114" s="0" t="s">
        <v>113</v>
      </c>
      <c r="E1114" s="0" t="s">
        <v>114</v>
      </c>
      <c r="F1114" s="0" t="s">
        <v>47</v>
      </c>
      <c r="G1114" s="0" t="s">
        <v>97</v>
      </c>
      <c r="H1114" s="0" t="s">
        <v>98</v>
      </c>
      <c r="I1114" s="0" t="s">
        <v>77</v>
      </c>
      <c r="J1114" s="0" t="s">
        <v>78</v>
      </c>
      <c r="K1114" s="0" t="s">
        <v>56</v>
      </c>
      <c r="L1114" s="0" t="s">
        <v>57</v>
      </c>
      <c r="M1114" s="0" t="s">
        <v>50</v>
      </c>
      <c r="N1114" s="0" t="n">
        <v>1052</v>
      </c>
      <c r="O1114" s="0" t="n">
        <v>3</v>
      </c>
      <c r="P1114" s="0" t="n">
        <v>15</v>
      </c>
      <c r="Q1114" s="5" t="str">
        <f aca="false">IF($D1114&lt;&gt;"","["&amp;$E1114&amp;"]"&amp;"|"&amp;SUBSTITUTE(SUBSTITUTE($I1114,CHAR(61),""),CHAR(34),"")&amp;"|"&amp;$K1114&amp;"|"&amp;$G1114&amp;"|"&amp;IF($G1114="TX_CURR_SUBNAT.R","CY2020Q4",$M1114),"")</f>
        <v>[tjhYqc1MlVo]|40-44|Female|PLHIV.T_1|CY2021Q3</v>
      </c>
    </row>
    <row r="1115" customFormat="false" ht="15" hidden="false" customHeight="false" outlineLevel="0" collapsed="false">
      <c r="D1115" s="0" t="s">
        <v>113</v>
      </c>
      <c r="E1115" s="0" t="s">
        <v>114</v>
      </c>
      <c r="F1115" s="0" t="s">
        <v>47</v>
      </c>
      <c r="G1115" s="0" t="s">
        <v>97</v>
      </c>
      <c r="H1115" s="0" t="s">
        <v>98</v>
      </c>
      <c r="I1115" s="0" t="s">
        <v>77</v>
      </c>
      <c r="J1115" s="0" t="s">
        <v>78</v>
      </c>
      <c r="K1115" s="0" t="s">
        <v>58</v>
      </c>
      <c r="L1115" s="0" t="s">
        <v>59</v>
      </c>
      <c r="M1115" s="0" t="s">
        <v>50</v>
      </c>
      <c r="N1115" s="0" t="n">
        <v>939</v>
      </c>
      <c r="O1115" s="0" t="n">
        <v>2</v>
      </c>
      <c r="P1115" s="0" t="n">
        <v>3</v>
      </c>
      <c r="Q1115" s="5" t="str">
        <f aca="false">IF($D1115&lt;&gt;"","["&amp;$E1115&amp;"]"&amp;"|"&amp;SUBSTITUTE(SUBSTITUTE($I1115,CHAR(61),""),CHAR(34),"")&amp;"|"&amp;$K1115&amp;"|"&amp;$G1115&amp;"|"&amp;IF($G1115="TX_CURR_SUBNAT.R","CY2020Q4",$M1115),"")</f>
        <v>[tjhYqc1MlVo]|40-44|Male|PLHIV.T_1|CY2021Q3</v>
      </c>
    </row>
    <row r="1116" customFormat="false" ht="15" hidden="false" customHeight="false" outlineLevel="0" collapsed="false">
      <c r="D1116" s="0" t="s">
        <v>113</v>
      </c>
      <c r="E1116" s="0" t="s">
        <v>114</v>
      </c>
      <c r="F1116" s="0" t="s">
        <v>47</v>
      </c>
      <c r="G1116" s="0" t="s">
        <v>97</v>
      </c>
      <c r="H1116" s="0" t="s">
        <v>98</v>
      </c>
      <c r="I1116" s="0" t="s">
        <v>80</v>
      </c>
      <c r="J1116" s="0" t="s">
        <v>81</v>
      </c>
      <c r="K1116" s="0" t="s">
        <v>56</v>
      </c>
      <c r="L1116" s="0" t="s">
        <v>57</v>
      </c>
      <c r="M1116" s="0" t="s">
        <v>50</v>
      </c>
      <c r="N1116" s="0" t="n">
        <v>787</v>
      </c>
      <c r="O1116" s="0" t="n">
        <v>4</v>
      </c>
      <c r="P1116" s="0" t="n">
        <v>45</v>
      </c>
      <c r="Q1116" s="5" t="str">
        <f aca="false">IF($D1116&lt;&gt;"","["&amp;$E1116&amp;"]"&amp;"|"&amp;SUBSTITUTE(SUBSTITUTE($I1116,CHAR(61),""),CHAR(34),"")&amp;"|"&amp;$K1116&amp;"|"&amp;$G1116&amp;"|"&amp;IF($G1116="TX_CURR_SUBNAT.R","CY2020Q4",$M1116),"")</f>
        <v>[tjhYqc1MlVo]|45-49|Female|PLHIV.T_1|CY2021Q3</v>
      </c>
    </row>
    <row r="1117" customFormat="false" ht="15" hidden="false" customHeight="false" outlineLevel="0" collapsed="false">
      <c r="D1117" s="0" t="s">
        <v>113</v>
      </c>
      <c r="E1117" s="0" t="s">
        <v>114</v>
      </c>
      <c r="F1117" s="0" t="s">
        <v>47</v>
      </c>
      <c r="G1117" s="0" t="s">
        <v>97</v>
      </c>
      <c r="H1117" s="0" t="s">
        <v>98</v>
      </c>
      <c r="I1117" s="0" t="s">
        <v>80</v>
      </c>
      <c r="J1117" s="0" t="s">
        <v>81</v>
      </c>
      <c r="K1117" s="0" t="s">
        <v>58</v>
      </c>
      <c r="L1117" s="0" t="s">
        <v>59</v>
      </c>
      <c r="M1117" s="0" t="s">
        <v>50</v>
      </c>
      <c r="N1117" s="0" t="n">
        <v>753</v>
      </c>
      <c r="O1117" s="0" t="n">
        <v>53</v>
      </c>
      <c r="P1117" s="0" t="n">
        <v>43</v>
      </c>
      <c r="Q1117" s="5" t="str">
        <f aca="false">IF($D1117&lt;&gt;"","["&amp;$E1117&amp;"]"&amp;"|"&amp;SUBSTITUTE(SUBSTITUTE($I1117,CHAR(61),""),CHAR(34),"")&amp;"|"&amp;$K1117&amp;"|"&amp;$G1117&amp;"|"&amp;IF($G1117="TX_CURR_SUBNAT.R","CY2020Q4",$M1117),"")</f>
        <v>[tjhYqc1MlVo]|45-49|Male|PLHIV.T_1|CY2021Q3</v>
      </c>
    </row>
    <row r="1118" customFormat="false" ht="15" hidden="false" customHeight="false" outlineLevel="0" collapsed="false">
      <c r="D1118" s="0" t="s">
        <v>113</v>
      </c>
      <c r="E1118" s="0" t="s">
        <v>114</v>
      </c>
      <c r="F1118" s="0" t="s">
        <v>47</v>
      </c>
      <c r="G1118" s="0" t="s">
        <v>97</v>
      </c>
      <c r="H1118" s="0" t="s">
        <v>98</v>
      </c>
      <c r="I1118" s="0" t="s">
        <v>83</v>
      </c>
      <c r="J1118" s="0" t="s">
        <v>84</v>
      </c>
      <c r="K1118" s="0" t="s">
        <v>56</v>
      </c>
      <c r="L1118" s="0" t="s">
        <v>57</v>
      </c>
      <c r="M1118" s="0" t="s">
        <v>50</v>
      </c>
      <c r="N1118" s="0" t="n">
        <v>99</v>
      </c>
      <c r="O1118" s="0" t="n">
        <v>36</v>
      </c>
      <c r="P1118" s="0" t="n">
        <v>32</v>
      </c>
      <c r="Q1118" s="5" t="str">
        <f aca="false">IF($D1118&lt;&gt;"","["&amp;$E1118&amp;"]"&amp;"|"&amp;SUBSTITUTE(SUBSTITUTE($I1118,CHAR(61),""),CHAR(34),"")&amp;"|"&amp;$K1118&amp;"|"&amp;$G1118&amp;"|"&amp;IF($G1118="TX_CURR_SUBNAT.R","CY2020Q4",$M1118),"")</f>
        <v>[tjhYqc1MlVo]|05-09|Female|PLHIV.T_1|CY2021Q3</v>
      </c>
    </row>
    <row r="1119" customFormat="false" ht="15" hidden="false" customHeight="false" outlineLevel="0" collapsed="false">
      <c r="D1119" s="0" t="s">
        <v>113</v>
      </c>
      <c r="E1119" s="0" t="s">
        <v>114</v>
      </c>
      <c r="F1119" s="0" t="s">
        <v>47</v>
      </c>
      <c r="G1119" s="0" t="s">
        <v>97</v>
      </c>
      <c r="H1119" s="0" t="s">
        <v>98</v>
      </c>
      <c r="I1119" s="0" t="s">
        <v>83</v>
      </c>
      <c r="J1119" s="0" t="s">
        <v>84</v>
      </c>
      <c r="K1119" s="0" t="s">
        <v>58</v>
      </c>
      <c r="L1119" s="0" t="s">
        <v>59</v>
      </c>
      <c r="M1119" s="0" t="s">
        <v>50</v>
      </c>
      <c r="N1119" s="0" t="n">
        <v>98</v>
      </c>
      <c r="O1119" s="0" t="n">
        <v>18</v>
      </c>
      <c r="P1119" s="0" t="n">
        <v>26</v>
      </c>
      <c r="Q1119" s="5" t="str">
        <f aca="false">IF($D1119&lt;&gt;"","["&amp;$E1119&amp;"]"&amp;"|"&amp;SUBSTITUTE(SUBSTITUTE($I1119,CHAR(61),""),CHAR(34),"")&amp;"|"&amp;$K1119&amp;"|"&amp;$G1119&amp;"|"&amp;IF($G1119="TX_CURR_SUBNAT.R","CY2020Q4",$M1119),"")</f>
        <v>[tjhYqc1MlVo]|05-09|Male|PLHIV.T_1|CY2021Q3</v>
      </c>
    </row>
    <row r="1120" customFormat="false" ht="15" hidden="false" customHeight="false" outlineLevel="0" collapsed="false">
      <c r="D1120" s="0" t="s">
        <v>113</v>
      </c>
      <c r="E1120" s="0" t="s">
        <v>114</v>
      </c>
      <c r="F1120" s="0" t="s">
        <v>47</v>
      </c>
      <c r="G1120" s="0" t="s">
        <v>97</v>
      </c>
      <c r="H1120" s="0" t="s">
        <v>98</v>
      </c>
      <c r="I1120" s="53" t="s">
        <v>86</v>
      </c>
      <c r="J1120" s="0" t="s">
        <v>87</v>
      </c>
      <c r="K1120" s="0" t="s">
        <v>56</v>
      </c>
      <c r="L1120" s="0" t="s">
        <v>57</v>
      </c>
      <c r="M1120" s="0" t="s">
        <v>50</v>
      </c>
      <c r="N1120" s="0" t="n">
        <v>2246</v>
      </c>
      <c r="O1120" s="0" t="n">
        <v>19</v>
      </c>
      <c r="P1120" s="0" t="n">
        <v>7</v>
      </c>
      <c r="Q1120" s="5" t="str">
        <f aca="false">IF($D1120&lt;&gt;"","["&amp;$E1120&amp;"]"&amp;"|"&amp;SUBSTITUTE(SUBSTITUTE($I1120,CHAR(61),""),CHAR(34),"")&amp;"|"&amp;$K1120&amp;"|"&amp;$G1120&amp;"|"&amp;IF($G1120="TX_CURR_SUBNAT.R","CY2020Q4",$M1120),"")</f>
        <v>[tjhYqc1MlVo]|50+|Female|PLHIV.T_1|CY2021Q3</v>
      </c>
    </row>
    <row r="1121" customFormat="false" ht="15" hidden="false" customHeight="false" outlineLevel="0" collapsed="false">
      <c r="D1121" s="0" t="s">
        <v>113</v>
      </c>
      <c r="E1121" s="0" t="s">
        <v>114</v>
      </c>
      <c r="F1121" s="0" t="s">
        <v>47</v>
      </c>
      <c r="G1121" s="0" t="s">
        <v>97</v>
      </c>
      <c r="H1121" s="0" t="s">
        <v>98</v>
      </c>
      <c r="I1121" s="53" t="s">
        <v>86</v>
      </c>
      <c r="J1121" s="0" t="s">
        <v>87</v>
      </c>
      <c r="K1121" s="0" t="s">
        <v>58</v>
      </c>
      <c r="L1121" s="0" t="s">
        <v>59</v>
      </c>
      <c r="M1121" s="0" t="s">
        <v>50</v>
      </c>
      <c r="N1121" s="0" t="n">
        <v>1709</v>
      </c>
      <c r="O1121" s="0" t="n">
        <v>36</v>
      </c>
      <c r="P1121" s="0" t="n">
        <v>31</v>
      </c>
      <c r="Q1121" s="5" t="str">
        <f aca="false">IF($D1121&lt;&gt;"","["&amp;$E1121&amp;"]"&amp;"|"&amp;SUBSTITUTE(SUBSTITUTE($I1121,CHAR(61),""),CHAR(34),"")&amp;"|"&amp;$K1121&amp;"|"&amp;$G1121&amp;"|"&amp;IF($G1121="TX_CURR_SUBNAT.R","CY2020Q4",$M1121),"")</f>
        <v>[tjhYqc1MlVo]|50+|Male|PLHIV.T_1|CY2021Q3</v>
      </c>
    </row>
    <row r="1122" customFormat="false" ht="15" hidden="false" customHeight="false" outlineLevel="0" collapsed="false">
      <c r="D1122" s="0" t="s">
        <v>113</v>
      </c>
      <c r="E1122" s="0" t="s">
        <v>114</v>
      </c>
      <c r="F1122" s="0" t="s">
        <v>47</v>
      </c>
      <c r="G1122" s="0" t="s">
        <v>97</v>
      </c>
      <c r="H1122" s="0" t="s">
        <v>98</v>
      </c>
      <c r="I1122" s="0" t="s">
        <v>89</v>
      </c>
      <c r="J1122" s="0" t="s">
        <v>90</v>
      </c>
      <c r="K1122" s="0" t="s">
        <v>56</v>
      </c>
      <c r="L1122" s="0" t="s">
        <v>57</v>
      </c>
      <c r="M1122" s="0" t="s">
        <v>50</v>
      </c>
      <c r="N1122" s="0" t="n">
        <v>6</v>
      </c>
      <c r="O1122" s="0" t="n">
        <v>32</v>
      </c>
      <c r="P1122" s="0" t="n">
        <v>13</v>
      </c>
      <c r="Q1122" s="5" t="str">
        <f aca="false">IF($D1122&lt;&gt;"","["&amp;$E1122&amp;"]"&amp;"|"&amp;SUBSTITUTE(SUBSTITUTE($I1122,CHAR(61),""),CHAR(34),"")&amp;"|"&amp;$K1122&amp;"|"&amp;$G1122&amp;"|"&amp;IF($G1122="TX_CURR_SUBNAT.R","CY2020Q4",$M1122),"")</f>
        <v>[tjhYqc1MlVo]|&lt;01|Female|PLHIV.T_1|CY2021Q3</v>
      </c>
    </row>
    <row r="1123" customFormat="false" ht="15" hidden="false" customHeight="false" outlineLevel="0" collapsed="false">
      <c r="D1123" s="0" t="s">
        <v>113</v>
      </c>
      <c r="E1123" s="0" t="s">
        <v>114</v>
      </c>
      <c r="F1123" s="0" t="s">
        <v>47</v>
      </c>
      <c r="G1123" s="0" t="s">
        <v>97</v>
      </c>
      <c r="H1123" s="0" t="s">
        <v>98</v>
      </c>
      <c r="I1123" s="0" t="s">
        <v>89</v>
      </c>
      <c r="J1123" s="0" t="s">
        <v>90</v>
      </c>
      <c r="K1123" s="0" t="s">
        <v>58</v>
      </c>
      <c r="L1123" s="0" t="s">
        <v>59</v>
      </c>
      <c r="M1123" s="0" t="s">
        <v>50</v>
      </c>
      <c r="N1123" s="0" t="n">
        <v>7</v>
      </c>
      <c r="O1123" s="0" t="n">
        <v>38</v>
      </c>
      <c r="P1123" s="0" t="n">
        <v>11</v>
      </c>
      <c r="Q1123" s="5" t="str">
        <f aca="false">IF($D1123&lt;&gt;"","["&amp;$E1123&amp;"]"&amp;"|"&amp;SUBSTITUTE(SUBSTITUTE($I1123,CHAR(61),""),CHAR(34),"")&amp;"|"&amp;$K1123&amp;"|"&amp;$G1123&amp;"|"&amp;IF($G1123="TX_CURR_SUBNAT.R","CY2020Q4",$M1123),"")</f>
        <v>[tjhYqc1MlVo]|&lt;01|Male|PLHIV.T_1|CY2021Q3</v>
      </c>
    </row>
    <row r="1124" customFormat="false" ht="15" hidden="false" customHeight="false" outlineLevel="0" collapsed="false">
      <c r="D1124" s="0" t="s">
        <v>113</v>
      </c>
      <c r="E1124" s="0" t="s">
        <v>114</v>
      </c>
      <c r="F1124" s="0" t="s">
        <v>47</v>
      </c>
      <c r="G1124" s="0" t="s">
        <v>99</v>
      </c>
      <c r="H1124" s="0" t="s">
        <v>100</v>
      </c>
      <c r="I1124" s="0" t="s">
        <v>54</v>
      </c>
      <c r="J1124" s="0" t="s">
        <v>55</v>
      </c>
      <c r="K1124" s="0" t="s">
        <v>56</v>
      </c>
      <c r="L1124" s="0" t="s">
        <v>57</v>
      </c>
      <c r="M1124" s="0" t="s">
        <v>50</v>
      </c>
      <c r="N1124" s="0" t="n">
        <v>14</v>
      </c>
      <c r="O1124" s="0" t="n">
        <v>36</v>
      </c>
      <c r="P1124" s="0" t="n">
        <v>38</v>
      </c>
      <c r="Q1124" s="5" t="str">
        <f aca="false">IF($D1124&lt;&gt;"","["&amp;$E1124&amp;"]"&amp;"|"&amp;SUBSTITUTE(SUBSTITUTE($I1124,CHAR(61),""),CHAR(34),"")&amp;"|"&amp;$K1124&amp;"|"&amp;$G1124&amp;"|"&amp;IF($G1124="TX_CURR_SUBNAT.R","CY2020Q4",$M1124),"")</f>
        <v>[tjhYqc1MlVo]|01-04|Female|TX_CURR_SUBNAT.T_1|CY2021Q3</v>
      </c>
    </row>
    <row r="1125" customFormat="false" ht="15" hidden="false" customHeight="false" outlineLevel="0" collapsed="false">
      <c r="D1125" s="0" t="s">
        <v>113</v>
      </c>
      <c r="E1125" s="0" t="s">
        <v>114</v>
      </c>
      <c r="F1125" s="0" t="s">
        <v>47</v>
      </c>
      <c r="G1125" s="0" t="s">
        <v>99</v>
      </c>
      <c r="H1125" s="0" t="s">
        <v>100</v>
      </c>
      <c r="I1125" s="0" t="s">
        <v>54</v>
      </c>
      <c r="J1125" s="0" t="s">
        <v>55</v>
      </c>
      <c r="K1125" s="0" t="s">
        <v>58</v>
      </c>
      <c r="L1125" s="0" t="s">
        <v>59</v>
      </c>
      <c r="M1125" s="0" t="s">
        <v>50</v>
      </c>
      <c r="N1125" s="0" t="n">
        <v>15</v>
      </c>
      <c r="O1125" s="0" t="n">
        <v>1</v>
      </c>
      <c r="P1125" s="0" t="n">
        <v>43</v>
      </c>
      <c r="Q1125" s="5" t="str">
        <f aca="false">IF($D1125&lt;&gt;"","["&amp;$E1125&amp;"]"&amp;"|"&amp;SUBSTITUTE(SUBSTITUTE($I1125,CHAR(61),""),CHAR(34),"")&amp;"|"&amp;$K1125&amp;"|"&amp;$G1125&amp;"|"&amp;IF($G1125="TX_CURR_SUBNAT.R","CY2020Q4",$M1125),"")</f>
        <v>[tjhYqc1MlVo]|01-04|Male|TX_CURR_SUBNAT.T_1|CY2021Q3</v>
      </c>
    </row>
    <row r="1126" customFormat="false" ht="15" hidden="false" customHeight="false" outlineLevel="0" collapsed="false">
      <c r="D1126" s="0" t="s">
        <v>113</v>
      </c>
      <c r="E1126" s="0" t="s">
        <v>114</v>
      </c>
      <c r="F1126" s="0" t="s">
        <v>47</v>
      </c>
      <c r="G1126" s="0" t="s">
        <v>99</v>
      </c>
      <c r="H1126" s="0" t="s">
        <v>100</v>
      </c>
      <c r="I1126" s="0" t="s">
        <v>61</v>
      </c>
      <c r="J1126" s="0" t="s">
        <v>62</v>
      </c>
      <c r="K1126" s="0" t="s">
        <v>56</v>
      </c>
      <c r="L1126" s="0" t="s">
        <v>57</v>
      </c>
      <c r="M1126" s="0" t="s">
        <v>50</v>
      </c>
      <c r="N1126" s="0" t="n">
        <v>121</v>
      </c>
      <c r="O1126" s="0" t="n">
        <v>30</v>
      </c>
      <c r="P1126" s="0" t="n">
        <v>34</v>
      </c>
      <c r="Q1126" s="5" t="str">
        <f aca="false">IF($D1126&lt;&gt;"","["&amp;$E1126&amp;"]"&amp;"|"&amp;SUBSTITUTE(SUBSTITUTE($I1126,CHAR(61),""),CHAR(34),"")&amp;"|"&amp;$K1126&amp;"|"&amp;$G1126&amp;"|"&amp;IF($G1126="TX_CURR_SUBNAT.R","CY2020Q4",$M1126),"")</f>
        <v>[tjhYqc1MlVo]|10-14|Female|TX_CURR_SUBNAT.T_1|CY2021Q3</v>
      </c>
    </row>
    <row r="1127" customFormat="false" ht="15" hidden="false" customHeight="false" outlineLevel="0" collapsed="false">
      <c r="D1127" s="0" t="s">
        <v>113</v>
      </c>
      <c r="E1127" s="0" t="s">
        <v>114</v>
      </c>
      <c r="F1127" s="0" t="s">
        <v>47</v>
      </c>
      <c r="G1127" s="0" t="s">
        <v>99</v>
      </c>
      <c r="H1127" s="0" t="s">
        <v>100</v>
      </c>
      <c r="I1127" s="0" t="s">
        <v>61</v>
      </c>
      <c r="J1127" s="0" t="s">
        <v>62</v>
      </c>
      <c r="K1127" s="0" t="s">
        <v>58</v>
      </c>
      <c r="L1127" s="0" t="s">
        <v>59</v>
      </c>
      <c r="M1127" s="0" t="s">
        <v>50</v>
      </c>
      <c r="N1127" s="0" t="n">
        <v>125</v>
      </c>
      <c r="O1127" s="0" t="n">
        <v>11</v>
      </c>
      <c r="P1127" s="0" t="n">
        <v>44</v>
      </c>
      <c r="Q1127" s="5" t="str">
        <f aca="false">IF($D1127&lt;&gt;"","["&amp;$E1127&amp;"]"&amp;"|"&amp;SUBSTITUTE(SUBSTITUTE($I1127,CHAR(61),""),CHAR(34),"")&amp;"|"&amp;$K1127&amp;"|"&amp;$G1127&amp;"|"&amp;IF($G1127="TX_CURR_SUBNAT.R","CY2020Q4",$M1127),"")</f>
        <v>[tjhYqc1MlVo]|10-14|Male|TX_CURR_SUBNAT.T_1|CY2021Q3</v>
      </c>
    </row>
    <row r="1128" customFormat="false" ht="15" hidden="false" customHeight="false" outlineLevel="0" collapsed="false">
      <c r="D1128" s="0" t="s">
        <v>113</v>
      </c>
      <c r="E1128" s="0" t="s">
        <v>114</v>
      </c>
      <c r="F1128" s="0" t="s">
        <v>47</v>
      </c>
      <c r="G1128" s="0" t="s">
        <v>99</v>
      </c>
      <c r="H1128" s="0" t="s">
        <v>100</v>
      </c>
      <c r="I1128" s="0" t="s">
        <v>63</v>
      </c>
      <c r="J1128" s="0" t="s">
        <v>64</v>
      </c>
      <c r="K1128" s="0" t="s">
        <v>56</v>
      </c>
      <c r="L1128" s="0" t="s">
        <v>57</v>
      </c>
      <c r="M1128" s="0" t="s">
        <v>50</v>
      </c>
      <c r="N1128" s="0" t="n">
        <v>179</v>
      </c>
      <c r="O1128" s="0" t="n">
        <v>34</v>
      </c>
      <c r="P1128" s="0" t="n">
        <v>47</v>
      </c>
      <c r="Q1128" s="5" t="str">
        <f aca="false">IF($D1128&lt;&gt;"","["&amp;$E1128&amp;"]"&amp;"|"&amp;SUBSTITUTE(SUBSTITUTE($I1128,CHAR(61),""),CHAR(34),"")&amp;"|"&amp;$K1128&amp;"|"&amp;$G1128&amp;"|"&amp;IF($G1128="TX_CURR_SUBNAT.R","CY2020Q4",$M1128),"")</f>
        <v>[tjhYqc1MlVo]|15-19|Female|TX_CURR_SUBNAT.T_1|CY2021Q3</v>
      </c>
    </row>
    <row r="1129" customFormat="false" ht="15" hidden="false" customHeight="false" outlineLevel="0" collapsed="false">
      <c r="D1129" s="0" t="s">
        <v>113</v>
      </c>
      <c r="E1129" s="0" t="s">
        <v>114</v>
      </c>
      <c r="F1129" s="0" t="s">
        <v>47</v>
      </c>
      <c r="G1129" s="0" t="s">
        <v>99</v>
      </c>
      <c r="H1129" s="0" t="s">
        <v>100</v>
      </c>
      <c r="I1129" s="0" t="s">
        <v>63</v>
      </c>
      <c r="J1129" s="0" t="s">
        <v>64</v>
      </c>
      <c r="K1129" s="0" t="s">
        <v>58</v>
      </c>
      <c r="L1129" s="0" t="s">
        <v>59</v>
      </c>
      <c r="M1129" s="0" t="s">
        <v>50</v>
      </c>
      <c r="N1129" s="0" t="n">
        <v>135</v>
      </c>
      <c r="O1129" s="0" t="n">
        <v>5</v>
      </c>
      <c r="P1129" s="0" t="n">
        <v>18</v>
      </c>
      <c r="Q1129" s="5" t="str">
        <f aca="false">IF($D1129&lt;&gt;"","["&amp;$E1129&amp;"]"&amp;"|"&amp;SUBSTITUTE(SUBSTITUTE($I1129,CHAR(61),""),CHAR(34),"")&amp;"|"&amp;$K1129&amp;"|"&amp;$G1129&amp;"|"&amp;IF($G1129="TX_CURR_SUBNAT.R","CY2020Q4",$M1129),"")</f>
        <v>[tjhYqc1MlVo]|15-19|Male|TX_CURR_SUBNAT.T_1|CY2021Q3</v>
      </c>
    </row>
    <row r="1130" customFormat="false" ht="15" hidden="false" customHeight="false" outlineLevel="0" collapsed="false">
      <c r="D1130" s="0" t="s">
        <v>113</v>
      </c>
      <c r="E1130" s="0" t="s">
        <v>114</v>
      </c>
      <c r="F1130" s="0" t="s">
        <v>47</v>
      </c>
      <c r="G1130" s="0" t="s">
        <v>99</v>
      </c>
      <c r="H1130" s="0" t="s">
        <v>100</v>
      </c>
      <c r="I1130" s="0" t="s">
        <v>66</v>
      </c>
      <c r="J1130" s="0" t="s">
        <v>67</v>
      </c>
      <c r="K1130" s="0" t="s">
        <v>56</v>
      </c>
      <c r="L1130" s="0" t="s">
        <v>57</v>
      </c>
      <c r="M1130" s="0" t="s">
        <v>50</v>
      </c>
      <c r="N1130" s="0" t="n">
        <v>375</v>
      </c>
      <c r="O1130" s="0" t="n">
        <v>16</v>
      </c>
      <c r="P1130" s="0" t="n">
        <v>41</v>
      </c>
      <c r="Q1130" s="5" t="str">
        <f aca="false">IF($D1130&lt;&gt;"","["&amp;$E1130&amp;"]"&amp;"|"&amp;SUBSTITUTE(SUBSTITUTE($I1130,CHAR(61),""),CHAR(34),"")&amp;"|"&amp;$K1130&amp;"|"&amp;$G1130&amp;"|"&amp;IF($G1130="TX_CURR_SUBNAT.R","CY2020Q4",$M1130),"")</f>
        <v>[tjhYqc1MlVo]|20-24|Female|TX_CURR_SUBNAT.T_1|CY2021Q3</v>
      </c>
    </row>
    <row r="1131" customFormat="false" ht="15" hidden="false" customHeight="false" outlineLevel="0" collapsed="false">
      <c r="D1131" s="0" t="s">
        <v>113</v>
      </c>
      <c r="E1131" s="0" t="s">
        <v>114</v>
      </c>
      <c r="F1131" s="0" t="s">
        <v>47</v>
      </c>
      <c r="G1131" s="0" t="s">
        <v>99</v>
      </c>
      <c r="H1131" s="0" t="s">
        <v>100</v>
      </c>
      <c r="I1131" s="0" t="s">
        <v>66</v>
      </c>
      <c r="J1131" s="0" t="s">
        <v>67</v>
      </c>
      <c r="K1131" s="0" t="s">
        <v>58</v>
      </c>
      <c r="L1131" s="0" t="s">
        <v>59</v>
      </c>
      <c r="M1131" s="0" t="s">
        <v>50</v>
      </c>
      <c r="N1131" s="0" t="n">
        <v>129</v>
      </c>
      <c r="O1131" s="0" t="n">
        <v>3</v>
      </c>
      <c r="P1131" s="0" t="n">
        <v>39</v>
      </c>
      <c r="Q1131" s="5" t="str">
        <f aca="false">IF($D1131&lt;&gt;"","["&amp;$E1131&amp;"]"&amp;"|"&amp;SUBSTITUTE(SUBSTITUTE($I1131,CHAR(61),""),CHAR(34),"")&amp;"|"&amp;$K1131&amp;"|"&amp;$G1131&amp;"|"&amp;IF($G1131="TX_CURR_SUBNAT.R","CY2020Q4",$M1131),"")</f>
        <v>[tjhYqc1MlVo]|20-24|Male|TX_CURR_SUBNAT.T_1|CY2021Q3</v>
      </c>
    </row>
    <row r="1132" customFormat="false" ht="15" hidden="false" customHeight="false" outlineLevel="0" collapsed="false">
      <c r="D1132" s="0" t="s">
        <v>113</v>
      </c>
      <c r="E1132" s="0" t="s">
        <v>114</v>
      </c>
      <c r="F1132" s="0" t="s">
        <v>47</v>
      </c>
      <c r="G1132" s="0" t="s">
        <v>99</v>
      </c>
      <c r="H1132" s="0" t="s">
        <v>100</v>
      </c>
      <c r="I1132" s="0" t="s">
        <v>69</v>
      </c>
      <c r="J1132" s="0" t="s">
        <v>70</v>
      </c>
      <c r="K1132" s="0" t="s">
        <v>56</v>
      </c>
      <c r="L1132" s="0" t="s">
        <v>57</v>
      </c>
      <c r="M1132" s="0" t="s">
        <v>50</v>
      </c>
      <c r="N1132" s="0" t="n">
        <v>625</v>
      </c>
      <c r="O1132" s="0" t="n">
        <v>3</v>
      </c>
      <c r="P1132" s="0" t="n">
        <v>46</v>
      </c>
      <c r="Q1132" s="5" t="str">
        <f aca="false">IF($D1132&lt;&gt;"","["&amp;$E1132&amp;"]"&amp;"|"&amp;SUBSTITUTE(SUBSTITUTE($I1132,CHAR(61),""),CHAR(34),"")&amp;"|"&amp;$K1132&amp;"|"&amp;$G1132&amp;"|"&amp;IF($G1132="TX_CURR_SUBNAT.R","CY2020Q4",$M1132),"")</f>
        <v>[tjhYqc1MlVo]|25-29|Female|TX_CURR_SUBNAT.T_1|CY2021Q3</v>
      </c>
    </row>
    <row r="1133" customFormat="false" ht="15" hidden="false" customHeight="false" outlineLevel="0" collapsed="false">
      <c r="D1133" s="0" t="s">
        <v>113</v>
      </c>
      <c r="E1133" s="0" t="s">
        <v>114</v>
      </c>
      <c r="F1133" s="0" t="s">
        <v>47</v>
      </c>
      <c r="G1133" s="0" t="s">
        <v>99</v>
      </c>
      <c r="H1133" s="0" t="s">
        <v>100</v>
      </c>
      <c r="I1133" s="0" t="s">
        <v>69</v>
      </c>
      <c r="J1133" s="0" t="s">
        <v>70</v>
      </c>
      <c r="K1133" s="0" t="s">
        <v>58</v>
      </c>
      <c r="L1133" s="0" t="s">
        <v>59</v>
      </c>
      <c r="M1133" s="0" t="s">
        <v>50</v>
      </c>
      <c r="N1133" s="0" t="n">
        <v>236</v>
      </c>
      <c r="O1133" s="0" t="n">
        <v>25</v>
      </c>
      <c r="P1133" s="0" t="n">
        <v>46</v>
      </c>
      <c r="Q1133" s="5" t="str">
        <f aca="false">IF($D1133&lt;&gt;"","["&amp;$E1133&amp;"]"&amp;"|"&amp;SUBSTITUTE(SUBSTITUTE($I1133,CHAR(61),""),CHAR(34),"")&amp;"|"&amp;$K1133&amp;"|"&amp;$G1133&amp;"|"&amp;IF($G1133="TX_CURR_SUBNAT.R","CY2020Q4",$M1133),"")</f>
        <v>[tjhYqc1MlVo]|25-29|Male|TX_CURR_SUBNAT.T_1|CY2021Q3</v>
      </c>
    </row>
    <row r="1134" customFormat="false" ht="15" hidden="false" customHeight="false" outlineLevel="0" collapsed="false">
      <c r="D1134" s="0" t="s">
        <v>113</v>
      </c>
      <c r="E1134" s="0" t="s">
        <v>114</v>
      </c>
      <c r="F1134" s="0" t="s">
        <v>47</v>
      </c>
      <c r="G1134" s="0" t="s">
        <v>99</v>
      </c>
      <c r="H1134" s="0" t="s">
        <v>100</v>
      </c>
      <c r="I1134" s="0" t="s">
        <v>72</v>
      </c>
      <c r="J1134" s="0" t="s">
        <v>73</v>
      </c>
      <c r="K1134" s="0" t="s">
        <v>56</v>
      </c>
      <c r="L1134" s="0" t="s">
        <v>57</v>
      </c>
      <c r="M1134" s="0" t="s">
        <v>50</v>
      </c>
      <c r="N1134" s="0" t="n">
        <v>804</v>
      </c>
      <c r="O1134" s="0" t="n">
        <v>35</v>
      </c>
      <c r="P1134" s="0" t="n">
        <v>15</v>
      </c>
      <c r="Q1134" s="5" t="str">
        <f aca="false">IF($D1134&lt;&gt;"","["&amp;$E1134&amp;"]"&amp;"|"&amp;SUBSTITUTE(SUBSTITUTE($I1134,CHAR(61),""),CHAR(34),"")&amp;"|"&amp;$K1134&amp;"|"&amp;$G1134&amp;"|"&amp;IF($G1134="TX_CURR_SUBNAT.R","CY2020Q4",$M1134),"")</f>
        <v>[tjhYqc1MlVo]|30-34|Female|TX_CURR_SUBNAT.T_1|CY2021Q3</v>
      </c>
    </row>
    <row r="1135" customFormat="false" ht="15" hidden="false" customHeight="false" outlineLevel="0" collapsed="false">
      <c r="D1135" s="0" t="s">
        <v>113</v>
      </c>
      <c r="E1135" s="0" t="s">
        <v>114</v>
      </c>
      <c r="F1135" s="0" t="s">
        <v>47</v>
      </c>
      <c r="G1135" s="0" t="s">
        <v>99</v>
      </c>
      <c r="H1135" s="0" t="s">
        <v>100</v>
      </c>
      <c r="I1135" s="0" t="s">
        <v>72</v>
      </c>
      <c r="J1135" s="0" t="s">
        <v>73</v>
      </c>
      <c r="K1135" s="0" t="s">
        <v>58</v>
      </c>
      <c r="L1135" s="0" t="s">
        <v>59</v>
      </c>
      <c r="M1135" s="0" t="s">
        <v>50</v>
      </c>
      <c r="N1135" s="0" t="n">
        <v>421</v>
      </c>
      <c r="O1135" s="0" t="n">
        <v>55</v>
      </c>
      <c r="P1135" s="0" t="n">
        <v>13</v>
      </c>
      <c r="Q1135" s="5" t="str">
        <f aca="false">IF($D1135&lt;&gt;"","["&amp;$E1135&amp;"]"&amp;"|"&amp;SUBSTITUTE(SUBSTITUTE($I1135,CHAR(61),""),CHAR(34),"")&amp;"|"&amp;$K1135&amp;"|"&amp;$G1135&amp;"|"&amp;IF($G1135="TX_CURR_SUBNAT.R","CY2020Q4",$M1135),"")</f>
        <v>[tjhYqc1MlVo]|30-34|Male|TX_CURR_SUBNAT.T_1|CY2021Q3</v>
      </c>
    </row>
    <row r="1136" customFormat="false" ht="15" hidden="false" customHeight="false" outlineLevel="0" collapsed="false">
      <c r="D1136" s="0" t="s">
        <v>113</v>
      </c>
      <c r="E1136" s="0" t="s">
        <v>114</v>
      </c>
      <c r="F1136" s="0" t="s">
        <v>47</v>
      </c>
      <c r="G1136" s="0" t="s">
        <v>99</v>
      </c>
      <c r="H1136" s="0" t="s">
        <v>100</v>
      </c>
      <c r="I1136" s="0" t="s">
        <v>75</v>
      </c>
      <c r="J1136" s="0" t="s">
        <v>76</v>
      </c>
      <c r="K1136" s="0" t="s">
        <v>56</v>
      </c>
      <c r="L1136" s="0" t="s">
        <v>57</v>
      </c>
      <c r="M1136" s="0" t="s">
        <v>50</v>
      </c>
      <c r="N1136" s="0" t="n">
        <v>919</v>
      </c>
      <c r="O1136" s="0" t="n">
        <v>2</v>
      </c>
      <c r="P1136" s="0" t="n">
        <v>16</v>
      </c>
      <c r="Q1136" s="5" t="str">
        <f aca="false">IF($D1136&lt;&gt;"","["&amp;$E1136&amp;"]"&amp;"|"&amp;SUBSTITUTE(SUBSTITUTE($I1136,CHAR(61),""),CHAR(34),"")&amp;"|"&amp;$K1136&amp;"|"&amp;$G1136&amp;"|"&amp;IF($G1136="TX_CURR_SUBNAT.R","CY2020Q4",$M1136),"")</f>
        <v>[tjhYqc1MlVo]|35-39|Female|TX_CURR_SUBNAT.T_1|CY2021Q3</v>
      </c>
    </row>
    <row r="1137" customFormat="false" ht="15" hidden="false" customHeight="false" outlineLevel="0" collapsed="false">
      <c r="D1137" s="0" t="s">
        <v>113</v>
      </c>
      <c r="E1137" s="0" t="s">
        <v>114</v>
      </c>
      <c r="F1137" s="0" t="s">
        <v>47</v>
      </c>
      <c r="G1137" s="0" t="s">
        <v>99</v>
      </c>
      <c r="H1137" s="0" t="s">
        <v>100</v>
      </c>
      <c r="I1137" s="0" t="s">
        <v>75</v>
      </c>
      <c r="J1137" s="0" t="s">
        <v>76</v>
      </c>
      <c r="K1137" s="0" t="s">
        <v>58</v>
      </c>
      <c r="L1137" s="0" t="s">
        <v>59</v>
      </c>
      <c r="M1137" s="0" t="s">
        <v>50</v>
      </c>
      <c r="N1137" s="0" t="n">
        <v>609</v>
      </c>
      <c r="O1137" s="0" t="n">
        <v>34</v>
      </c>
      <c r="P1137" s="0" t="n">
        <v>25</v>
      </c>
      <c r="Q1137" s="5" t="str">
        <f aca="false">IF($D1137&lt;&gt;"","["&amp;$E1137&amp;"]"&amp;"|"&amp;SUBSTITUTE(SUBSTITUTE($I1137,CHAR(61),""),CHAR(34),"")&amp;"|"&amp;$K1137&amp;"|"&amp;$G1137&amp;"|"&amp;IF($G1137="TX_CURR_SUBNAT.R","CY2020Q4",$M1137),"")</f>
        <v>[tjhYqc1MlVo]|35-39|Male|TX_CURR_SUBNAT.T_1|CY2021Q3</v>
      </c>
    </row>
    <row r="1138" customFormat="false" ht="15" hidden="false" customHeight="false" outlineLevel="0" collapsed="false">
      <c r="D1138" s="0" t="s">
        <v>113</v>
      </c>
      <c r="E1138" s="0" t="s">
        <v>114</v>
      </c>
      <c r="F1138" s="0" t="s">
        <v>47</v>
      </c>
      <c r="G1138" s="0" t="s">
        <v>99</v>
      </c>
      <c r="H1138" s="0" t="s">
        <v>100</v>
      </c>
      <c r="I1138" s="0" t="s">
        <v>77</v>
      </c>
      <c r="J1138" s="0" t="s">
        <v>78</v>
      </c>
      <c r="K1138" s="0" t="s">
        <v>56</v>
      </c>
      <c r="L1138" s="0" t="s">
        <v>57</v>
      </c>
      <c r="M1138" s="0" t="s">
        <v>50</v>
      </c>
      <c r="N1138" s="0" t="n">
        <v>923</v>
      </c>
      <c r="O1138" s="0" t="n">
        <v>60</v>
      </c>
      <c r="P1138" s="0" t="n">
        <v>34</v>
      </c>
      <c r="Q1138" s="5" t="str">
        <f aca="false">IF($D1138&lt;&gt;"","["&amp;$E1138&amp;"]"&amp;"|"&amp;SUBSTITUTE(SUBSTITUTE($I1138,CHAR(61),""),CHAR(34),"")&amp;"|"&amp;$K1138&amp;"|"&amp;$G1138&amp;"|"&amp;IF($G1138="TX_CURR_SUBNAT.R","CY2020Q4",$M1138),"")</f>
        <v>[tjhYqc1MlVo]|40-44|Female|TX_CURR_SUBNAT.T_1|CY2021Q3</v>
      </c>
    </row>
    <row r="1139" customFormat="false" ht="15" hidden="false" customHeight="false" outlineLevel="0" collapsed="false">
      <c r="D1139" s="0" t="s">
        <v>113</v>
      </c>
      <c r="E1139" s="0" t="s">
        <v>114</v>
      </c>
      <c r="F1139" s="0" t="s">
        <v>47</v>
      </c>
      <c r="G1139" s="0" t="s">
        <v>99</v>
      </c>
      <c r="H1139" s="0" t="s">
        <v>100</v>
      </c>
      <c r="I1139" s="0" t="s">
        <v>77</v>
      </c>
      <c r="J1139" s="0" t="s">
        <v>78</v>
      </c>
      <c r="K1139" s="0" t="s">
        <v>58</v>
      </c>
      <c r="L1139" s="0" t="s">
        <v>59</v>
      </c>
      <c r="M1139" s="0" t="s">
        <v>50</v>
      </c>
      <c r="N1139" s="0" t="n">
        <v>666</v>
      </c>
      <c r="O1139" s="0" t="n">
        <v>39</v>
      </c>
      <c r="P1139" s="0" t="n">
        <v>50</v>
      </c>
      <c r="Q1139" s="5" t="str">
        <f aca="false">IF($D1139&lt;&gt;"","["&amp;$E1139&amp;"]"&amp;"|"&amp;SUBSTITUTE(SUBSTITUTE($I1139,CHAR(61),""),CHAR(34),"")&amp;"|"&amp;$K1139&amp;"|"&amp;$G1139&amp;"|"&amp;IF($G1139="TX_CURR_SUBNAT.R","CY2020Q4",$M1139),"")</f>
        <v>[tjhYqc1MlVo]|40-44|Male|TX_CURR_SUBNAT.T_1|CY2021Q3</v>
      </c>
    </row>
    <row r="1140" customFormat="false" ht="15" hidden="false" customHeight="false" outlineLevel="0" collapsed="false">
      <c r="D1140" s="0" t="s">
        <v>113</v>
      </c>
      <c r="E1140" s="0" t="s">
        <v>114</v>
      </c>
      <c r="F1140" s="0" t="s">
        <v>47</v>
      </c>
      <c r="G1140" s="0" t="s">
        <v>99</v>
      </c>
      <c r="H1140" s="0" t="s">
        <v>100</v>
      </c>
      <c r="I1140" s="0" t="s">
        <v>80</v>
      </c>
      <c r="J1140" s="0" t="s">
        <v>81</v>
      </c>
      <c r="K1140" s="0" t="s">
        <v>56</v>
      </c>
      <c r="L1140" s="0" t="s">
        <v>57</v>
      </c>
      <c r="M1140" s="0" t="s">
        <v>50</v>
      </c>
      <c r="N1140" s="0" t="n">
        <v>731</v>
      </c>
      <c r="O1140" s="0" t="n">
        <v>41</v>
      </c>
      <c r="P1140" s="0" t="n">
        <v>48</v>
      </c>
      <c r="Q1140" s="5" t="str">
        <f aca="false">IF($D1140&lt;&gt;"","["&amp;$E1140&amp;"]"&amp;"|"&amp;SUBSTITUTE(SUBSTITUTE($I1140,CHAR(61),""),CHAR(34),"")&amp;"|"&amp;$K1140&amp;"|"&amp;$G1140&amp;"|"&amp;IF($G1140="TX_CURR_SUBNAT.R","CY2020Q4",$M1140),"")</f>
        <v>[tjhYqc1MlVo]|45-49|Female|TX_CURR_SUBNAT.T_1|CY2021Q3</v>
      </c>
    </row>
    <row r="1141" customFormat="false" ht="15" hidden="false" customHeight="false" outlineLevel="0" collapsed="false">
      <c r="D1141" s="0" t="s">
        <v>113</v>
      </c>
      <c r="E1141" s="0" t="s">
        <v>114</v>
      </c>
      <c r="F1141" s="0" t="s">
        <v>47</v>
      </c>
      <c r="G1141" s="0" t="s">
        <v>99</v>
      </c>
      <c r="H1141" s="0" t="s">
        <v>100</v>
      </c>
      <c r="I1141" s="0" t="s">
        <v>80</v>
      </c>
      <c r="J1141" s="0" t="s">
        <v>81</v>
      </c>
      <c r="K1141" s="0" t="s">
        <v>58</v>
      </c>
      <c r="L1141" s="0" t="s">
        <v>59</v>
      </c>
      <c r="M1141" s="0" t="s">
        <v>50</v>
      </c>
      <c r="N1141" s="0" t="n">
        <v>560</v>
      </c>
      <c r="O1141" s="0" t="n">
        <v>49</v>
      </c>
      <c r="P1141" s="0" t="n">
        <v>37</v>
      </c>
      <c r="Q1141" s="5" t="str">
        <f aca="false">IF($D1141&lt;&gt;"","["&amp;$E1141&amp;"]"&amp;"|"&amp;SUBSTITUTE(SUBSTITUTE($I1141,CHAR(61),""),CHAR(34),"")&amp;"|"&amp;$K1141&amp;"|"&amp;$G1141&amp;"|"&amp;IF($G1141="TX_CURR_SUBNAT.R","CY2020Q4",$M1141),"")</f>
        <v>[tjhYqc1MlVo]|45-49|Male|TX_CURR_SUBNAT.T_1|CY2021Q3</v>
      </c>
    </row>
    <row r="1142" customFormat="false" ht="15" hidden="false" customHeight="false" outlineLevel="0" collapsed="false">
      <c r="D1142" s="0" t="s">
        <v>113</v>
      </c>
      <c r="E1142" s="0" t="s">
        <v>114</v>
      </c>
      <c r="F1142" s="0" t="s">
        <v>47</v>
      </c>
      <c r="G1142" s="0" t="s">
        <v>99</v>
      </c>
      <c r="H1142" s="0" t="s">
        <v>100</v>
      </c>
      <c r="I1142" s="0" t="s">
        <v>83</v>
      </c>
      <c r="J1142" s="0" t="s">
        <v>84</v>
      </c>
      <c r="K1142" s="0" t="s">
        <v>56</v>
      </c>
      <c r="L1142" s="0" t="s">
        <v>57</v>
      </c>
      <c r="M1142" s="0" t="s">
        <v>50</v>
      </c>
      <c r="N1142" s="0" t="n">
        <v>56</v>
      </c>
      <c r="O1142" s="0" t="n">
        <v>13</v>
      </c>
      <c r="P1142" s="0" t="n">
        <v>22</v>
      </c>
      <c r="Q1142" s="5" t="str">
        <f aca="false">IF($D1142&lt;&gt;"","["&amp;$E1142&amp;"]"&amp;"|"&amp;SUBSTITUTE(SUBSTITUTE($I1142,CHAR(61),""),CHAR(34),"")&amp;"|"&amp;$K1142&amp;"|"&amp;$G1142&amp;"|"&amp;IF($G1142="TX_CURR_SUBNAT.R","CY2020Q4",$M1142),"")</f>
        <v>[tjhYqc1MlVo]|05-09|Female|TX_CURR_SUBNAT.T_1|CY2021Q3</v>
      </c>
    </row>
    <row r="1143" customFormat="false" ht="15" hidden="false" customHeight="false" outlineLevel="0" collapsed="false">
      <c r="D1143" s="0" t="s">
        <v>113</v>
      </c>
      <c r="E1143" s="0" t="s">
        <v>114</v>
      </c>
      <c r="F1143" s="0" t="s">
        <v>47</v>
      </c>
      <c r="G1143" s="0" t="s">
        <v>99</v>
      </c>
      <c r="H1143" s="0" t="s">
        <v>100</v>
      </c>
      <c r="I1143" s="0" t="s">
        <v>83</v>
      </c>
      <c r="J1143" s="0" t="s">
        <v>84</v>
      </c>
      <c r="K1143" s="0" t="s">
        <v>58</v>
      </c>
      <c r="L1143" s="0" t="s">
        <v>59</v>
      </c>
      <c r="M1143" s="0" t="s">
        <v>50</v>
      </c>
      <c r="N1143" s="0" t="n">
        <v>58</v>
      </c>
      <c r="O1143" s="0" t="n">
        <v>1</v>
      </c>
      <c r="P1143" s="0" t="n">
        <v>30</v>
      </c>
      <c r="Q1143" s="5" t="str">
        <f aca="false">IF($D1143&lt;&gt;"","["&amp;$E1143&amp;"]"&amp;"|"&amp;SUBSTITUTE(SUBSTITUTE($I1143,CHAR(61),""),CHAR(34),"")&amp;"|"&amp;$K1143&amp;"|"&amp;$G1143&amp;"|"&amp;IF($G1143="TX_CURR_SUBNAT.R","CY2020Q4",$M1143),"")</f>
        <v>[tjhYqc1MlVo]|05-09|Male|TX_CURR_SUBNAT.T_1|CY2021Q3</v>
      </c>
    </row>
    <row r="1144" customFormat="false" ht="15" hidden="false" customHeight="false" outlineLevel="0" collapsed="false">
      <c r="D1144" s="0" t="s">
        <v>113</v>
      </c>
      <c r="E1144" s="0" t="s">
        <v>114</v>
      </c>
      <c r="F1144" s="0" t="s">
        <v>47</v>
      </c>
      <c r="G1144" s="0" t="s">
        <v>99</v>
      </c>
      <c r="H1144" s="0" t="s">
        <v>100</v>
      </c>
      <c r="I1144" s="53" t="s">
        <v>86</v>
      </c>
      <c r="J1144" s="0" t="s">
        <v>87</v>
      </c>
      <c r="K1144" s="0" t="s">
        <v>56</v>
      </c>
      <c r="L1144" s="0" t="s">
        <v>57</v>
      </c>
      <c r="M1144" s="0" t="s">
        <v>50</v>
      </c>
      <c r="N1144" s="0" t="n">
        <v>1626</v>
      </c>
      <c r="O1144" s="0" t="n">
        <v>25</v>
      </c>
      <c r="P1144" s="0" t="n">
        <v>39</v>
      </c>
      <c r="Q1144" s="5" t="str">
        <f aca="false">IF($D1144&lt;&gt;"","["&amp;$E1144&amp;"]"&amp;"|"&amp;SUBSTITUTE(SUBSTITUTE($I1144,CHAR(61),""),CHAR(34),"")&amp;"|"&amp;$K1144&amp;"|"&amp;$G1144&amp;"|"&amp;IF($G1144="TX_CURR_SUBNAT.R","CY2020Q4",$M1144),"")</f>
        <v>[tjhYqc1MlVo]|50+|Female|TX_CURR_SUBNAT.T_1|CY2021Q3</v>
      </c>
    </row>
    <row r="1145" customFormat="false" ht="15" hidden="false" customHeight="false" outlineLevel="0" collapsed="false">
      <c r="D1145" s="0" t="s">
        <v>113</v>
      </c>
      <c r="E1145" s="0" t="s">
        <v>114</v>
      </c>
      <c r="F1145" s="0" t="s">
        <v>47</v>
      </c>
      <c r="G1145" s="0" t="s">
        <v>99</v>
      </c>
      <c r="H1145" s="0" t="s">
        <v>100</v>
      </c>
      <c r="I1145" s="53" t="s">
        <v>86</v>
      </c>
      <c r="J1145" s="0" t="s">
        <v>87</v>
      </c>
      <c r="K1145" s="0" t="s">
        <v>58</v>
      </c>
      <c r="L1145" s="0" t="s">
        <v>59</v>
      </c>
      <c r="M1145" s="0" t="s">
        <v>50</v>
      </c>
      <c r="N1145" s="0" t="n">
        <v>1160</v>
      </c>
      <c r="O1145" s="0" t="n">
        <v>16</v>
      </c>
      <c r="P1145" s="0" t="n">
        <v>13</v>
      </c>
      <c r="Q1145" s="5" t="str">
        <f aca="false">IF($D1145&lt;&gt;"","["&amp;$E1145&amp;"]"&amp;"|"&amp;SUBSTITUTE(SUBSTITUTE($I1145,CHAR(61),""),CHAR(34),"")&amp;"|"&amp;$K1145&amp;"|"&amp;$G1145&amp;"|"&amp;IF($G1145="TX_CURR_SUBNAT.R","CY2020Q4",$M1145),"")</f>
        <v>[tjhYqc1MlVo]|50+|Male|TX_CURR_SUBNAT.T_1|CY2021Q3</v>
      </c>
    </row>
    <row r="1146" customFormat="false" ht="15" hidden="false" customHeight="false" outlineLevel="0" collapsed="false">
      <c r="D1146" s="0" t="s">
        <v>113</v>
      </c>
      <c r="E1146" s="0" t="s">
        <v>114</v>
      </c>
      <c r="F1146" s="0" t="s">
        <v>47</v>
      </c>
      <c r="G1146" s="0" t="s">
        <v>99</v>
      </c>
      <c r="H1146" s="0" t="s">
        <v>100</v>
      </c>
      <c r="I1146" s="0" t="s">
        <v>89</v>
      </c>
      <c r="J1146" s="0" t="s">
        <v>90</v>
      </c>
      <c r="K1146" s="0" t="s">
        <v>56</v>
      </c>
      <c r="L1146" s="0" t="s">
        <v>57</v>
      </c>
      <c r="M1146" s="0" t="s">
        <v>50</v>
      </c>
      <c r="N1146" s="0" t="n">
        <v>3</v>
      </c>
      <c r="O1146" s="0" t="n">
        <v>9</v>
      </c>
      <c r="P1146" s="0" t="n">
        <v>32</v>
      </c>
      <c r="Q1146" s="5" t="str">
        <f aca="false">IF($D1146&lt;&gt;"","["&amp;$E1146&amp;"]"&amp;"|"&amp;SUBSTITUTE(SUBSTITUTE($I1146,CHAR(61),""),CHAR(34),"")&amp;"|"&amp;$K1146&amp;"|"&amp;$G1146&amp;"|"&amp;IF($G1146="TX_CURR_SUBNAT.R","CY2020Q4",$M1146),"")</f>
        <v>[tjhYqc1MlVo]|&lt;01|Female|TX_CURR_SUBNAT.T_1|CY2021Q3</v>
      </c>
    </row>
    <row r="1147" customFormat="false" ht="15" hidden="false" customHeight="false" outlineLevel="0" collapsed="false">
      <c r="D1147" s="0" t="s">
        <v>113</v>
      </c>
      <c r="E1147" s="0" t="s">
        <v>114</v>
      </c>
      <c r="F1147" s="0" t="s">
        <v>47</v>
      </c>
      <c r="G1147" s="0" t="s">
        <v>99</v>
      </c>
      <c r="H1147" s="0" t="s">
        <v>100</v>
      </c>
      <c r="I1147" s="0" t="s">
        <v>89</v>
      </c>
      <c r="J1147" s="0" t="s">
        <v>90</v>
      </c>
      <c r="K1147" s="0" t="s">
        <v>58</v>
      </c>
      <c r="L1147" s="0" t="s">
        <v>59</v>
      </c>
      <c r="M1147" s="0" t="s">
        <v>50</v>
      </c>
      <c r="N1147" s="0" t="n">
        <v>3</v>
      </c>
      <c r="O1147" s="0" t="n">
        <v>38</v>
      </c>
      <c r="P1147" s="0" t="n">
        <v>11</v>
      </c>
      <c r="Q1147" s="5" t="str">
        <f aca="false">IF($D1147&lt;&gt;"","["&amp;$E1147&amp;"]"&amp;"|"&amp;SUBSTITUTE(SUBSTITUTE($I1147,CHAR(61),""),CHAR(34),"")&amp;"|"&amp;$K1147&amp;"|"&amp;$G1147&amp;"|"&amp;IF($G1147="TX_CURR_SUBNAT.R","CY2020Q4",$M1147),"")</f>
        <v>[tjhYqc1MlVo]|&lt;01|Male|TX_CURR_SUBNAT.T_1|CY2021Q3</v>
      </c>
    </row>
    <row r="1148" customFormat="false" ht="15" hidden="false" customHeight="false" outlineLevel="0" collapsed="false">
      <c r="D1148" s="0" t="s">
        <v>115</v>
      </c>
      <c r="E1148" s="0" t="s">
        <v>116</v>
      </c>
      <c r="F1148" s="0" t="s">
        <v>47</v>
      </c>
      <c r="G1148" s="0" t="s">
        <v>52</v>
      </c>
      <c r="H1148" s="0" t="s">
        <v>53</v>
      </c>
      <c r="I1148" s="0" t="s">
        <v>54</v>
      </c>
      <c r="J1148" s="0" t="s">
        <v>55</v>
      </c>
      <c r="K1148" s="0" t="s">
        <v>56</v>
      </c>
      <c r="L1148" s="0" t="s">
        <v>57</v>
      </c>
      <c r="M1148" s="0" t="s">
        <v>50</v>
      </c>
      <c r="N1148" s="0" t="n">
        <v>4893</v>
      </c>
      <c r="O1148" s="0" t="n">
        <v>59</v>
      </c>
      <c r="P1148" s="0" t="n">
        <v>6</v>
      </c>
      <c r="Q1148" s="5" t="str">
        <f aca="false">IF($D1148&lt;&gt;"","["&amp;$E1148&amp;"]"&amp;"|"&amp;SUBSTITUTE(SUBSTITUTE($I1148,CHAR(61),""),CHAR(34),"")&amp;"|"&amp;$K1148&amp;"|"&amp;$G1148&amp;"|"&amp;IF($G1148="TX_CURR_SUBNAT.R","CY2020Q4",$M1148),"")</f>
        <v>[mvPRqBFtVC0]|01-04|Female|POP_EST.T_1|CY2021Q3</v>
      </c>
    </row>
    <row r="1149" customFormat="false" ht="15" hidden="false" customHeight="false" outlineLevel="0" collapsed="false">
      <c r="D1149" s="0" t="s">
        <v>115</v>
      </c>
      <c r="E1149" s="0" t="s">
        <v>116</v>
      </c>
      <c r="F1149" s="0" t="s">
        <v>47</v>
      </c>
      <c r="G1149" s="0" t="s">
        <v>52</v>
      </c>
      <c r="H1149" s="0" t="s">
        <v>53</v>
      </c>
      <c r="I1149" s="0" t="s">
        <v>54</v>
      </c>
      <c r="J1149" s="0" t="s">
        <v>55</v>
      </c>
      <c r="K1149" s="0" t="s">
        <v>58</v>
      </c>
      <c r="L1149" s="0" t="s">
        <v>59</v>
      </c>
      <c r="M1149" s="0" t="s">
        <v>50</v>
      </c>
      <c r="N1149" s="0" t="n">
        <v>4843</v>
      </c>
      <c r="O1149" s="0" t="n">
        <v>52</v>
      </c>
      <c r="P1149" s="0" t="n">
        <v>43</v>
      </c>
      <c r="Q1149" s="5" t="str">
        <f aca="false">IF($D1149&lt;&gt;"","["&amp;$E1149&amp;"]"&amp;"|"&amp;SUBSTITUTE(SUBSTITUTE($I1149,CHAR(61),""),CHAR(34),"")&amp;"|"&amp;$K1149&amp;"|"&amp;$G1149&amp;"|"&amp;IF($G1149="TX_CURR_SUBNAT.R","CY2020Q4",$M1149),"")</f>
        <v>[mvPRqBFtVC0]|01-04|Male|POP_EST.T_1|CY2021Q3</v>
      </c>
    </row>
    <row r="1150" customFormat="false" ht="15" hidden="false" customHeight="false" outlineLevel="0" collapsed="false">
      <c r="D1150" s="0" t="s">
        <v>115</v>
      </c>
      <c r="E1150" s="0" t="s">
        <v>116</v>
      </c>
      <c r="F1150" s="0" t="s">
        <v>47</v>
      </c>
      <c r="G1150" s="0" t="s">
        <v>52</v>
      </c>
      <c r="H1150" s="0" t="s">
        <v>53</v>
      </c>
      <c r="I1150" s="0" t="s">
        <v>61</v>
      </c>
      <c r="J1150" s="0" t="s">
        <v>62</v>
      </c>
      <c r="K1150" s="0" t="s">
        <v>56</v>
      </c>
      <c r="L1150" s="0" t="s">
        <v>57</v>
      </c>
      <c r="M1150" s="0" t="s">
        <v>50</v>
      </c>
      <c r="N1150" s="0" t="n">
        <v>6499</v>
      </c>
      <c r="O1150" s="0" t="n">
        <v>25</v>
      </c>
      <c r="P1150" s="0" t="n">
        <v>5</v>
      </c>
      <c r="Q1150" s="5" t="str">
        <f aca="false">IF($D1150&lt;&gt;"","["&amp;$E1150&amp;"]"&amp;"|"&amp;SUBSTITUTE(SUBSTITUTE($I1150,CHAR(61),""),CHAR(34),"")&amp;"|"&amp;$K1150&amp;"|"&amp;$G1150&amp;"|"&amp;IF($G1150="TX_CURR_SUBNAT.R","CY2020Q4",$M1150),"")</f>
        <v>[mvPRqBFtVC0]|10-14|Female|POP_EST.T_1|CY2021Q3</v>
      </c>
    </row>
    <row r="1151" customFormat="false" ht="15" hidden="false" customHeight="false" outlineLevel="0" collapsed="false">
      <c r="D1151" s="0" t="s">
        <v>115</v>
      </c>
      <c r="E1151" s="0" t="s">
        <v>116</v>
      </c>
      <c r="F1151" s="0" t="s">
        <v>47</v>
      </c>
      <c r="G1151" s="0" t="s">
        <v>52</v>
      </c>
      <c r="H1151" s="0" t="s">
        <v>53</v>
      </c>
      <c r="I1151" s="0" t="s">
        <v>61</v>
      </c>
      <c r="J1151" s="0" t="s">
        <v>62</v>
      </c>
      <c r="K1151" s="0" t="s">
        <v>58</v>
      </c>
      <c r="L1151" s="0" t="s">
        <v>59</v>
      </c>
      <c r="M1151" s="0" t="s">
        <v>50</v>
      </c>
      <c r="N1151" s="0" t="n">
        <v>6251</v>
      </c>
      <c r="O1151" s="0" t="n">
        <v>3</v>
      </c>
      <c r="P1151" s="0" t="n">
        <v>23</v>
      </c>
      <c r="Q1151" s="5" t="str">
        <f aca="false">IF($D1151&lt;&gt;"","["&amp;$E1151&amp;"]"&amp;"|"&amp;SUBSTITUTE(SUBSTITUTE($I1151,CHAR(61),""),CHAR(34),"")&amp;"|"&amp;$K1151&amp;"|"&amp;$G1151&amp;"|"&amp;IF($G1151="TX_CURR_SUBNAT.R","CY2020Q4",$M1151),"")</f>
        <v>[mvPRqBFtVC0]|10-14|Male|POP_EST.T_1|CY2021Q3</v>
      </c>
    </row>
    <row r="1152" customFormat="false" ht="15" hidden="false" customHeight="false" outlineLevel="0" collapsed="false">
      <c r="D1152" s="0" t="s">
        <v>115</v>
      </c>
      <c r="E1152" s="0" t="s">
        <v>116</v>
      </c>
      <c r="F1152" s="0" t="s">
        <v>47</v>
      </c>
      <c r="G1152" s="0" t="s">
        <v>52</v>
      </c>
      <c r="H1152" s="0" t="s">
        <v>53</v>
      </c>
      <c r="I1152" s="0" t="s">
        <v>63</v>
      </c>
      <c r="J1152" s="0" t="s">
        <v>64</v>
      </c>
      <c r="K1152" s="0" t="s">
        <v>56</v>
      </c>
      <c r="L1152" s="0" t="s">
        <v>57</v>
      </c>
      <c r="M1152" s="0" t="s">
        <v>50</v>
      </c>
      <c r="N1152" s="0" t="n">
        <v>5631</v>
      </c>
      <c r="O1152" s="0" t="n">
        <v>58</v>
      </c>
      <c r="P1152" s="0" t="n">
        <v>4</v>
      </c>
      <c r="Q1152" s="5" t="str">
        <f aca="false">IF($D1152&lt;&gt;"","["&amp;$E1152&amp;"]"&amp;"|"&amp;SUBSTITUTE(SUBSTITUTE($I1152,CHAR(61),""),CHAR(34),"")&amp;"|"&amp;$K1152&amp;"|"&amp;$G1152&amp;"|"&amp;IF($G1152="TX_CURR_SUBNAT.R","CY2020Q4",$M1152),"")</f>
        <v>[mvPRqBFtVC0]|15-19|Female|POP_EST.T_1|CY2021Q3</v>
      </c>
    </row>
    <row r="1153" customFormat="false" ht="15" hidden="false" customHeight="false" outlineLevel="0" collapsed="false">
      <c r="D1153" s="0" t="s">
        <v>115</v>
      </c>
      <c r="E1153" s="0" t="s">
        <v>116</v>
      </c>
      <c r="F1153" s="0" t="s">
        <v>47</v>
      </c>
      <c r="G1153" s="0" t="s">
        <v>52</v>
      </c>
      <c r="H1153" s="0" t="s">
        <v>53</v>
      </c>
      <c r="I1153" s="0" t="s">
        <v>63</v>
      </c>
      <c r="J1153" s="0" t="s">
        <v>64</v>
      </c>
      <c r="K1153" s="0" t="s">
        <v>58</v>
      </c>
      <c r="L1153" s="0" t="s">
        <v>59</v>
      </c>
      <c r="M1153" s="0" t="s">
        <v>50</v>
      </c>
      <c r="N1153" s="0" t="n">
        <v>5380</v>
      </c>
      <c r="O1153" s="0" t="n">
        <v>56</v>
      </c>
      <c r="P1153" s="0" t="n">
        <v>24</v>
      </c>
      <c r="Q1153" s="5" t="str">
        <f aca="false">IF($D1153&lt;&gt;"","["&amp;$E1153&amp;"]"&amp;"|"&amp;SUBSTITUTE(SUBSTITUTE($I1153,CHAR(61),""),CHAR(34),"")&amp;"|"&amp;$K1153&amp;"|"&amp;$G1153&amp;"|"&amp;IF($G1153="TX_CURR_SUBNAT.R","CY2020Q4",$M1153),"")</f>
        <v>[mvPRqBFtVC0]|15-19|Male|POP_EST.T_1|CY2021Q3</v>
      </c>
    </row>
    <row r="1154" customFormat="false" ht="15" hidden="false" customHeight="false" outlineLevel="0" collapsed="false">
      <c r="D1154" s="0" t="s">
        <v>115</v>
      </c>
      <c r="E1154" s="0" t="s">
        <v>116</v>
      </c>
      <c r="F1154" s="0" t="s">
        <v>47</v>
      </c>
      <c r="G1154" s="0" t="s">
        <v>52</v>
      </c>
      <c r="H1154" s="0" t="s">
        <v>53</v>
      </c>
      <c r="I1154" s="0" t="s">
        <v>66</v>
      </c>
      <c r="J1154" s="0" t="s">
        <v>67</v>
      </c>
      <c r="K1154" s="0" t="s">
        <v>56</v>
      </c>
      <c r="L1154" s="0" t="s">
        <v>57</v>
      </c>
      <c r="M1154" s="0" t="s">
        <v>50</v>
      </c>
      <c r="N1154" s="0" t="n">
        <v>5471</v>
      </c>
      <c r="O1154" s="0" t="n">
        <v>32</v>
      </c>
      <c r="P1154" s="0" t="n">
        <v>26</v>
      </c>
      <c r="Q1154" s="5" t="str">
        <f aca="false">IF($D1154&lt;&gt;"","["&amp;$E1154&amp;"]"&amp;"|"&amp;SUBSTITUTE(SUBSTITUTE($I1154,CHAR(61),""),CHAR(34),"")&amp;"|"&amp;$K1154&amp;"|"&amp;$G1154&amp;"|"&amp;IF($G1154="TX_CURR_SUBNAT.R","CY2020Q4",$M1154),"")</f>
        <v>[mvPRqBFtVC0]|20-24|Female|POP_EST.T_1|CY2021Q3</v>
      </c>
    </row>
    <row r="1155" customFormat="false" ht="15" hidden="false" customHeight="false" outlineLevel="0" collapsed="false">
      <c r="D1155" s="0" t="s">
        <v>115</v>
      </c>
      <c r="E1155" s="0" t="s">
        <v>116</v>
      </c>
      <c r="F1155" s="0" t="s">
        <v>47</v>
      </c>
      <c r="G1155" s="0" t="s">
        <v>52</v>
      </c>
      <c r="H1155" s="0" t="s">
        <v>53</v>
      </c>
      <c r="I1155" s="0" t="s">
        <v>66</v>
      </c>
      <c r="J1155" s="0" t="s">
        <v>67</v>
      </c>
      <c r="K1155" s="0" t="s">
        <v>58</v>
      </c>
      <c r="L1155" s="0" t="s">
        <v>59</v>
      </c>
      <c r="M1155" s="0" t="s">
        <v>50</v>
      </c>
      <c r="N1155" s="0" t="n">
        <v>5220</v>
      </c>
      <c r="O1155" s="0" t="n">
        <v>33</v>
      </c>
      <c r="P1155" s="0" t="n">
        <v>43</v>
      </c>
      <c r="Q1155" s="5" t="str">
        <f aca="false">IF($D1155&lt;&gt;"","["&amp;$E1155&amp;"]"&amp;"|"&amp;SUBSTITUTE(SUBSTITUTE($I1155,CHAR(61),""),CHAR(34),"")&amp;"|"&amp;$K1155&amp;"|"&amp;$G1155&amp;"|"&amp;IF($G1155="TX_CURR_SUBNAT.R","CY2020Q4",$M1155),"")</f>
        <v>[mvPRqBFtVC0]|20-24|Male|POP_EST.T_1|CY2021Q3</v>
      </c>
    </row>
    <row r="1156" customFormat="false" ht="15" hidden="false" customHeight="false" outlineLevel="0" collapsed="false">
      <c r="D1156" s="0" t="s">
        <v>115</v>
      </c>
      <c r="E1156" s="0" t="s">
        <v>116</v>
      </c>
      <c r="F1156" s="0" t="s">
        <v>47</v>
      </c>
      <c r="G1156" s="0" t="s">
        <v>52</v>
      </c>
      <c r="H1156" s="0" t="s">
        <v>53</v>
      </c>
      <c r="I1156" s="0" t="s">
        <v>69</v>
      </c>
      <c r="J1156" s="0" t="s">
        <v>70</v>
      </c>
      <c r="K1156" s="0" t="s">
        <v>56</v>
      </c>
      <c r="L1156" s="0" t="s">
        <v>57</v>
      </c>
      <c r="M1156" s="0" t="s">
        <v>50</v>
      </c>
      <c r="N1156" s="0" t="n">
        <v>5563</v>
      </c>
      <c r="O1156" s="0" t="n">
        <v>2</v>
      </c>
      <c r="P1156" s="0" t="n">
        <v>42</v>
      </c>
      <c r="Q1156" s="5" t="str">
        <f aca="false">IF($D1156&lt;&gt;"","["&amp;$E1156&amp;"]"&amp;"|"&amp;SUBSTITUTE(SUBSTITUTE($I1156,CHAR(61),""),CHAR(34),"")&amp;"|"&amp;$K1156&amp;"|"&amp;$G1156&amp;"|"&amp;IF($G1156="TX_CURR_SUBNAT.R","CY2020Q4",$M1156),"")</f>
        <v>[mvPRqBFtVC0]|25-29|Female|POP_EST.T_1|CY2021Q3</v>
      </c>
    </row>
    <row r="1157" customFormat="false" ht="15" hidden="false" customHeight="false" outlineLevel="0" collapsed="false">
      <c r="D1157" s="0" t="s">
        <v>115</v>
      </c>
      <c r="E1157" s="0" t="s">
        <v>116</v>
      </c>
      <c r="F1157" s="0" t="s">
        <v>47</v>
      </c>
      <c r="G1157" s="0" t="s">
        <v>52</v>
      </c>
      <c r="H1157" s="0" t="s">
        <v>53</v>
      </c>
      <c r="I1157" s="0" t="s">
        <v>69</v>
      </c>
      <c r="J1157" s="0" t="s">
        <v>70</v>
      </c>
      <c r="K1157" s="0" t="s">
        <v>58</v>
      </c>
      <c r="L1157" s="0" t="s">
        <v>59</v>
      </c>
      <c r="M1157" s="0" t="s">
        <v>50</v>
      </c>
      <c r="N1157" s="0" t="n">
        <v>5869</v>
      </c>
      <c r="O1157" s="0" t="n">
        <v>34</v>
      </c>
      <c r="P1157" s="0" t="n">
        <v>36</v>
      </c>
      <c r="Q1157" s="5" t="str">
        <f aca="false">IF($D1157&lt;&gt;"","["&amp;$E1157&amp;"]"&amp;"|"&amp;SUBSTITUTE(SUBSTITUTE($I1157,CHAR(61),""),CHAR(34),"")&amp;"|"&amp;$K1157&amp;"|"&amp;$G1157&amp;"|"&amp;IF($G1157="TX_CURR_SUBNAT.R","CY2020Q4",$M1157),"")</f>
        <v>[mvPRqBFtVC0]|25-29|Male|POP_EST.T_1|CY2021Q3</v>
      </c>
    </row>
    <row r="1158" customFormat="false" ht="15" hidden="false" customHeight="false" outlineLevel="0" collapsed="false">
      <c r="D1158" s="0" t="s">
        <v>115</v>
      </c>
      <c r="E1158" s="0" t="s">
        <v>116</v>
      </c>
      <c r="F1158" s="0" t="s">
        <v>47</v>
      </c>
      <c r="G1158" s="0" t="s">
        <v>52</v>
      </c>
      <c r="H1158" s="0" t="s">
        <v>53</v>
      </c>
      <c r="I1158" s="0" t="s">
        <v>72</v>
      </c>
      <c r="J1158" s="0" t="s">
        <v>73</v>
      </c>
      <c r="K1158" s="0" t="s">
        <v>56</v>
      </c>
      <c r="L1158" s="0" t="s">
        <v>57</v>
      </c>
      <c r="M1158" s="0" t="s">
        <v>50</v>
      </c>
      <c r="N1158" s="0" t="n">
        <v>5271</v>
      </c>
      <c r="O1158" s="0" t="n">
        <v>11</v>
      </c>
      <c r="P1158" s="0" t="n">
        <v>8</v>
      </c>
      <c r="Q1158" s="5" t="str">
        <f aca="false">IF($D1158&lt;&gt;"","["&amp;$E1158&amp;"]"&amp;"|"&amp;SUBSTITUTE(SUBSTITUTE($I1158,CHAR(61),""),CHAR(34),"")&amp;"|"&amp;$K1158&amp;"|"&amp;$G1158&amp;"|"&amp;IF($G1158="TX_CURR_SUBNAT.R","CY2020Q4",$M1158),"")</f>
        <v>[mvPRqBFtVC0]|30-34|Female|POP_EST.T_1|CY2021Q3</v>
      </c>
    </row>
    <row r="1159" customFormat="false" ht="15" hidden="false" customHeight="false" outlineLevel="0" collapsed="false">
      <c r="D1159" s="0" t="s">
        <v>115</v>
      </c>
      <c r="E1159" s="0" t="s">
        <v>116</v>
      </c>
      <c r="F1159" s="0" t="s">
        <v>47</v>
      </c>
      <c r="G1159" s="0" t="s">
        <v>52</v>
      </c>
      <c r="H1159" s="0" t="s">
        <v>53</v>
      </c>
      <c r="I1159" s="0" t="s">
        <v>72</v>
      </c>
      <c r="J1159" s="0" t="s">
        <v>73</v>
      </c>
      <c r="K1159" s="0" t="s">
        <v>58</v>
      </c>
      <c r="L1159" s="0" t="s">
        <v>59</v>
      </c>
      <c r="M1159" s="0" t="s">
        <v>50</v>
      </c>
      <c r="N1159" s="0" t="n">
        <v>5926</v>
      </c>
      <c r="O1159" s="0" t="n">
        <v>31</v>
      </c>
      <c r="P1159" s="0" t="n">
        <v>6</v>
      </c>
      <c r="Q1159" s="5" t="str">
        <f aca="false">IF($D1159&lt;&gt;"","["&amp;$E1159&amp;"]"&amp;"|"&amp;SUBSTITUTE(SUBSTITUTE($I1159,CHAR(61),""),CHAR(34),"")&amp;"|"&amp;$K1159&amp;"|"&amp;$G1159&amp;"|"&amp;IF($G1159="TX_CURR_SUBNAT.R","CY2020Q4",$M1159),"")</f>
        <v>[mvPRqBFtVC0]|30-34|Male|POP_EST.T_1|CY2021Q3</v>
      </c>
    </row>
    <row r="1160" customFormat="false" ht="15" hidden="false" customHeight="false" outlineLevel="0" collapsed="false">
      <c r="D1160" s="0" t="s">
        <v>115</v>
      </c>
      <c r="E1160" s="0" t="s">
        <v>116</v>
      </c>
      <c r="F1160" s="0" t="s">
        <v>47</v>
      </c>
      <c r="G1160" s="0" t="s">
        <v>52</v>
      </c>
      <c r="H1160" s="0" t="s">
        <v>53</v>
      </c>
      <c r="I1160" s="0" t="s">
        <v>75</v>
      </c>
      <c r="J1160" s="0" t="s">
        <v>76</v>
      </c>
      <c r="K1160" s="0" t="s">
        <v>56</v>
      </c>
      <c r="L1160" s="0" t="s">
        <v>57</v>
      </c>
      <c r="M1160" s="0" t="s">
        <v>50</v>
      </c>
      <c r="N1160" s="0" t="n">
        <v>3873</v>
      </c>
      <c r="O1160" s="0" t="n">
        <v>43</v>
      </c>
      <c r="P1160" s="0" t="n">
        <v>4</v>
      </c>
      <c r="Q1160" s="5" t="str">
        <f aca="false">IF($D1160&lt;&gt;"","["&amp;$E1160&amp;"]"&amp;"|"&amp;SUBSTITUTE(SUBSTITUTE($I1160,CHAR(61),""),CHAR(34),"")&amp;"|"&amp;$K1160&amp;"|"&amp;$G1160&amp;"|"&amp;IF($G1160="TX_CURR_SUBNAT.R","CY2020Q4",$M1160),"")</f>
        <v>[mvPRqBFtVC0]|35-39|Female|POP_EST.T_1|CY2021Q3</v>
      </c>
    </row>
    <row r="1161" customFormat="false" ht="15" hidden="false" customHeight="false" outlineLevel="0" collapsed="false">
      <c r="D1161" s="0" t="s">
        <v>115</v>
      </c>
      <c r="E1161" s="0" t="s">
        <v>116</v>
      </c>
      <c r="F1161" s="0" t="s">
        <v>47</v>
      </c>
      <c r="G1161" s="0" t="s">
        <v>52</v>
      </c>
      <c r="H1161" s="0" t="s">
        <v>53</v>
      </c>
      <c r="I1161" s="0" t="s">
        <v>75</v>
      </c>
      <c r="J1161" s="0" t="s">
        <v>76</v>
      </c>
      <c r="K1161" s="0" t="s">
        <v>58</v>
      </c>
      <c r="L1161" s="0" t="s">
        <v>59</v>
      </c>
      <c r="M1161" s="0" t="s">
        <v>50</v>
      </c>
      <c r="N1161" s="0" t="n">
        <v>4647</v>
      </c>
      <c r="O1161" s="0" t="n">
        <v>20</v>
      </c>
      <c r="P1161" s="0" t="n">
        <v>7</v>
      </c>
      <c r="Q1161" s="5" t="str">
        <f aca="false">IF($D1161&lt;&gt;"","["&amp;$E1161&amp;"]"&amp;"|"&amp;SUBSTITUTE(SUBSTITUTE($I1161,CHAR(61),""),CHAR(34),"")&amp;"|"&amp;$K1161&amp;"|"&amp;$G1161&amp;"|"&amp;IF($G1161="TX_CURR_SUBNAT.R","CY2020Q4",$M1161),"")</f>
        <v>[mvPRqBFtVC0]|35-39|Male|POP_EST.T_1|CY2021Q3</v>
      </c>
    </row>
    <row r="1162" customFormat="false" ht="15" hidden="false" customHeight="false" outlineLevel="0" collapsed="false">
      <c r="D1162" s="0" t="s">
        <v>115</v>
      </c>
      <c r="E1162" s="0" t="s">
        <v>116</v>
      </c>
      <c r="F1162" s="0" t="s">
        <v>47</v>
      </c>
      <c r="G1162" s="0" t="s">
        <v>52</v>
      </c>
      <c r="H1162" s="0" t="s">
        <v>53</v>
      </c>
      <c r="I1162" s="0" t="s">
        <v>77</v>
      </c>
      <c r="J1162" s="0" t="s">
        <v>78</v>
      </c>
      <c r="K1162" s="0" t="s">
        <v>56</v>
      </c>
      <c r="L1162" s="0" t="s">
        <v>57</v>
      </c>
      <c r="M1162" s="0" t="s">
        <v>50</v>
      </c>
      <c r="N1162" s="0" t="n">
        <v>2771</v>
      </c>
      <c r="O1162" s="0" t="n">
        <v>20</v>
      </c>
      <c r="P1162" s="0" t="n">
        <v>14</v>
      </c>
      <c r="Q1162" s="5" t="str">
        <f aca="false">IF($D1162&lt;&gt;"","["&amp;$E1162&amp;"]"&amp;"|"&amp;SUBSTITUTE(SUBSTITUTE($I1162,CHAR(61),""),CHAR(34),"")&amp;"|"&amp;$K1162&amp;"|"&amp;$G1162&amp;"|"&amp;IF($G1162="TX_CURR_SUBNAT.R","CY2020Q4",$M1162),"")</f>
        <v>[mvPRqBFtVC0]|40-44|Female|POP_EST.T_1|CY2021Q3</v>
      </c>
    </row>
    <row r="1163" customFormat="false" ht="15" hidden="false" customHeight="false" outlineLevel="0" collapsed="false">
      <c r="D1163" s="0" t="s">
        <v>115</v>
      </c>
      <c r="E1163" s="0" t="s">
        <v>116</v>
      </c>
      <c r="F1163" s="0" t="s">
        <v>47</v>
      </c>
      <c r="G1163" s="0" t="s">
        <v>52</v>
      </c>
      <c r="H1163" s="0" t="s">
        <v>53</v>
      </c>
      <c r="I1163" s="0" t="s">
        <v>77</v>
      </c>
      <c r="J1163" s="0" t="s">
        <v>78</v>
      </c>
      <c r="K1163" s="0" t="s">
        <v>58</v>
      </c>
      <c r="L1163" s="0" t="s">
        <v>59</v>
      </c>
      <c r="M1163" s="0" t="s">
        <v>50</v>
      </c>
      <c r="N1163" s="0" t="n">
        <v>3092</v>
      </c>
      <c r="O1163" s="0" t="n">
        <v>14</v>
      </c>
      <c r="P1163" s="0" t="n">
        <v>2</v>
      </c>
      <c r="Q1163" s="5" t="str">
        <f aca="false">IF($D1163&lt;&gt;"","["&amp;$E1163&amp;"]"&amp;"|"&amp;SUBSTITUTE(SUBSTITUTE($I1163,CHAR(61),""),CHAR(34),"")&amp;"|"&amp;$K1163&amp;"|"&amp;$G1163&amp;"|"&amp;IF($G1163="TX_CURR_SUBNAT.R","CY2020Q4",$M1163),"")</f>
        <v>[mvPRqBFtVC0]|40-44|Male|POP_EST.T_1|CY2021Q3</v>
      </c>
    </row>
    <row r="1164" customFormat="false" ht="15" hidden="false" customHeight="false" outlineLevel="0" collapsed="false">
      <c r="D1164" s="0" t="s">
        <v>115</v>
      </c>
      <c r="E1164" s="0" t="s">
        <v>116</v>
      </c>
      <c r="F1164" s="0" t="s">
        <v>47</v>
      </c>
      <c r="G1164" s="0" t="s">
        <v>52</v>
      </c>
      <c r="H1164" s="0" t="s">
        <v>53</v>
      </c>
      <c r="I1164" s="0" t="s">
        <v>80</v>
      </c>
      <c r="J1164" s="0" t="s">
        <v>81</v>
      </c>
      <c r="K1164" s="0" t="s">
        <v>56</v>
      </c>
      <c r="L1164" s="0" t="s">
        <v>57</v>
      </c>
      <c r="M1164" s="0" t="s">
        <v>50</v>
      </c>
      <c r="N1164" s="0" t="n">
        <v>2189</v>
      </c>
      <c r="O1164" s="0" t="n">
        <v>54</v>
      </c>
      <c r="P1164" s="0" t="n">
        <v>6</v>
      </c>
      <c r="Q1164" s="5" t="str">
        <f aca="false">IF($D1164&lt;&gt;"","["&amp;$E1164&amp;"]"&amp;"|"&amp;SUBSTITUTE(SUBSTITUTE($I1164,CHAR(61),""),CHAR(34),"")&amp;"|"&amp;$K1164&amp;"|"&amp;$G1164&amp;"|"&amp;IF($G1164="TX_CURR_SUBNAT.R","CY2020Q4",$M1164),"")</f>
        <v>[mvPRqBFtVC0]|45-49|Female|POP_EST.T_1|CY2021Q3</v>
      </c>
    </row>
    <row r="1165" customFormat="false" ht="15" hidden="false" customHeight="false" outlineLevel="0" collapsed="false">
      <c r="D1165" s="0" t="s">
        <v>115</v>
      </c>
      <c r="E1165" s="0" t="s">
        <v>116</v>
      </c>
      <c r="F1165" s="0" t="s">
        <v>47</v>
      </c>
      <c r="G1165" s="0" t="s">
        <v>52</v>
      </c>
      <c r="H1165" s="0" t="s">
        <v>53</v>
      </c>
      <c r="I1165" s="0" t="s">
        <v>80</v>
      </c>
      <c r="J1165" s="0" t="s">
        <v>81</v>
      </c>
      <c r="K1165" s="0" t="s">
        <v>58</v>
      </c>
      <c r="L1165" s="0" t="s">
        <v>59</v>
      </c>
      <c r="M1165" s="0" t="s">
        <v>50</v>
      </c>
      <c r="N1165" s="0" t="n">
        <v>2110</v>
      </c>
      <c r="O1165" s="0" t="n">
        <v>23</v>
      </c>
      <c r="P1165" s="0" t="n">
        <v>11</v>
      </c>
      <c r="Q1165" s="5" t="str">
        <f aca="false">IF($D1165&lt;&gt;"","["&amp;$E1165&amp;"]"&amp;"|"&amp;SUBSTITUTE(SUBSTITUTE($I1165,CHAR(61),""),CHAR(34),"")&amp;"|"&amp;$K1165&amp;"|"&amp;$G1165&amp;"|"&amp;IF($G1165="TX_CURR_SUBNAT.R","CY2020Q4",$M1165),"")</f>
        <v>[mvPRqBFtVC0]|45-49|Male|POP_EST.T_1|CY2021Q3</v>
      </c>
    </row>
    <row r="1166" customFormat="false" ht="15" hidden="false" customHeight="false" outlineLevel="0" collapsed="false">
      <c r="D1166" s="0" t="s">
        <v>115</v>
      </c>
      <c r="E1166" s="0" t="s">
        <v>116</v>
      </c>
      <c r="F1166" s="0" t="s">
        <v>47</v>
      </c>
      <c r="G1166" s="0" t="s">
        <v>52</v>
      </c>
      <c r="H1166" s="0" t="s">
        <v>53</v>
      </c>
      <c r="I1166" s="0" t="s">
        <v>83</v>
      </c>
      <c r="J1166" s="0" t="s">
        <v>84</v>
      </c>
      <c r="K1166" s="0" t="s">
        <v>56</v>
      </c>
      <c r="L1166" s="0" t="s">
        <v>57</v>
      </c>
      <c r="M1166" s="0" t="s">
        <v>50</v>
      </c>
      <c r="N1166" s="0" t="n">
        <v>7343</v>
      </c>
      <c r="O1166" s="0" t="n">
        <v>59</v>
      </c>
      <c r="P1166" s="0" t="n">
        <v>28</v>
      </c>
      <c r="Q1166" s="5" t="str">
        <f aca="false">IF($D1166&lt;&gt;"","["&amp;$E1166&amp;"]"&amp;"|"&amp;SUBSTITUTE(SUBSTITUTE($I1166,CHAR(61),""),CHAR(34),"")&amp;"|"&amp;$K1166&amp;"|"&amp;$G1166&amp;"|"&amp;IF($G1166="TX_CURR_SUBNAT.R","CY2020Q4",$M1166),"")</f>
        <v>[mvPRqBFtVC0]|05-09|Female|POP_EST.T_1|CY2021Q3</v>
      </c>
    </row>
    <row r="1167" customFormat="false" ht="15" hidden="false" customHeight="false" outlineLevel="0" collapsed="false">
      <c r="D1167" s="0" t="s">
        <v>115</v>
      </c>
      <c r="E1167" s="0" t="s">
        <v>116</v>
      </c>
      <c r="F1167" s="0" t="s">
        <v>47</v>
      </c>
      <c r="G1167" s="0" t="s">
        <v>52</v>
      </c>
      <c r="H1167" s="0" t="s">
        <v>53</v>
      </c>
      <c r="I1167" s="0" t="s">
        <v>83</v>
      </c>
      <c r="J1167" s="0" t="s">
        <v>84</v>
      </c>
      <c r="K1167" s="0" t="s">
        <v>58</v>
      </c>
      <c r="L1167" s="0" t="s">
        <v>59</v>
      </c>
      <c r="M1167" s="0" t="s">
        <v>50</v>
      </c>
      <c r="N1167" s="0" t="n">
        <v>6735</v>
      </c>
      <c r="O1167" s="0" t="n">
        <v>55</v>
      </c>
      <c r="P1167" s="0" t="n">
        <v>4</v>
      </c>
      <c r="Q1167" s="5" t="str">
        <f aca="false">IF($D1167&lt;&gt;"","["&amp;$E1167&amp;"]"&amp;"|"&amp;SUBSTITUTE(SUBSTITUTE($I1167,CHAR(61),""),CHAR(34),"")&amp;"|"&amp;$K1167&amp;"|"&amp;$G1167&amp;"|"&amp;IF($G1167="TX_CURR_SUBNAT.R","CY2020Q4",$M1167),"")</f>
        <v>[mvPRqBFtVC0]|05-09|Male|POP_EST.T_1|CY2021Q3</v>
      </c>
    </row>
    <row r="1168" customFormat="false" ht="15" hidden="false" customHeight="false" outlineLevel="0" collapsed="false">
      <c r="D1168" s="0" t="s">
        <v>115</v>
      </c>
      <c r="E1168" s="0" t="s">
        <v>116</v>
      </c>
      <c r="F1168" s="0" t="s">
        <v>47</v>
      </c>
      <c r="G1168" s="0" t="s">
        <v>52</v>
      </c>
      <c r="H1168" s="0" t="s">
        <v>53</v>
      </c>
      <c r="I1168" s="53" t="s">
        <v>86</v>
      </c>
      <c r="J1168" s="0" t="s">
        <v>87</v>
      </c>
      <c r="K1168" s="0" t="s">
        <v>56</v>
      </c>
      <c r="L1168" s="0" t="s">
        <v>57</v>
      </c>
      <c r="M1168" s="0" t="s">
        <v>50</v>
      </c>
      <c r="N1168" s="0" t="n">
        <v>11901</v>
      </c>
      <c r="O1168" s="0" t="n">
        <v>55</v>
      </c>
      <c r="P1168" s="0" t="n">
        <v>14</v>
      </c>
      <c r="Q1168" s="5" t="str">
        <f aca="false">IF($D1168&lt;&gt;"","["&amp;$E1168&amp;"]"&amp;"|"&amp;SUBSTITUTE(SUBSTITUTE($I1168,CHAR(61),""),CHAR(34),"")&amp;"|"&amp;$K1168&amp;"|"&amp;$G1168&amp;"|"&amp;IF($G1168="TX_CURR_SUBNAT.R","CY2020Q4",$M1168),"")</f>
        <v>[mvPRqBFtVC0]|50+|Female|POP_EST.T_1|CY2021Q3</v>
      </c>
    </row>
    <row r="1169" customFormat="false" ht="15" hidden="false" customHeight="false" outlineLevel="0" collapsed="false">
      <c r="D1169" s="0" t="s">
        <v>115</v>
      </c>
      <c r="E1169" s="0" t="s">
        <v>116</v>
      </c>
      <c r="F1169" s="0" t="s">
        <v>47</v>
      </c>
      <c r="G1169" s="0" t="s">
        <v>52</v>
      </c>
      <c r="H1169" s="0" t="s">
        <v>53</v>
      </c>
      <c r="I1169" s="53" t="s">
        <v>86</v>
      </c>
      <c r="J1169" s="0" t="s">
        <v>87</v>
      </c>
      <c r="K1169" s="0" t="s">
        <v>58</v>
      </c>
      <c r="L1169" s="0" t="s">
        <v>59</v>
      </c>
      <c r="M1169" s="0" t="s">
        <v>50</v>
      </c>
      <c r="N1169" s="0" t="n">
        <v>8083</v>
      </c>
      <c r="O1169" s="0" t="n">
        <v>25</v>
      </c>
      <c r="P1169" s="0" t="n">
        <v>1</v>
      </c>
      <c r="Q1169" s="5" t="str">
        <f aca="false">IF($D1169&lt;&gt;"","["&amp;$E1169&amp;"]"&amp;"|"&amp;SUBSTITUTE(SUBSTITUTE($I1169,CHAR(61),""),CHAR(34),"")&amp;"|"&amp;$K1169&amp;"|"&amp;$G1169&amp;"|"&amp;IF($G1169="TX_CURR_SUBNAT.R","CY2020Q4",$M1169),"")</f>
        <v>[mvPRqBFtVC0]|50+|Male|POP_EST.T_1|CY2021Q3</v>
      </c>
    </row>
    <row r="1170" customFormat="false" ht="15" hidden="false" customHeight="false" outlineLevel="0" collapsed="false">
      <c r="D1170" s="0" t="s">
        <v>115</v>
      </c>
      <c r="E1170" s="0" t="s">
        <v>116</v>
      </c>
      <c r="F1170" s="0" t="s">
        <v>47</v>
      </c>
      <c r="G1170" s="0" t="s">
        <v>52</v>
      </c>
      <c r="H1170" s="0" t="s">
        <v>53</v>
      </c>
      <c r="I1170" s="0" t="s">
        <v>89</v>
      </c>
      <c r="J1170" s="0" t="s">
        <v>90</v>
      </c>
      <c r="K1170" s="0" t="s">
        <v>56</v>
      </c>
      <c r="L1170" s="0" t="s">
        <v>57</v>
      </c>
      <c r="M1170" s="0" t="s">
        <v>50</v>
      </c>
      <c r="N1170" s="0" t="n">
        <v>1053</v>
      </c>
      <c r="O1170" s="0" t="n">
        <v>32</v>
      </c>
      <c r="P1170" s="0" t="n">
        <v>2</v>
      </c>
      <c r="Q1170" s="5" t="str">
        <f aca="false">IF($D1170&lt;&gt;"","["&amp;$E1170&amp;"]"&amp;"|"&amp;SUBSTITUTE(SUBSTITUTE($I1170,CHAR(61),""),CHAR(34),"")&amp;"|"&amp;$K1170&amp;"|"&amp;$G1170&amp;"|"&amp;IF($G1170="TX_CURR_SUBNAT.R","CY2020Q4",$M1170),"")</f>
        <v>[mvPRqBFtVC0]|&lt;01|Female|POP_EST.T_1|CY2021Q3</v>
      </c>
    </row>
    <row r="1171" customFormat="false" ht="15" hidden="false" customHeight="false" outlineLevel="0" collapsed="false">
      <c r="D1171" s="0" t="s">
        <v>115</v>
      </c>
      <c r="E1171" s="0" t="s">
        <v>116</v>
      </c>
      <c r="F1171" s="0" t="s">
        <v>47</v>
      </c>
      <c r="G1171" s="0" t="s">
        <v>52</v>
      </c>
      <c r="H1171" s="0" t="s">
        <v>53</v>
      </c>
      <c r="I1171" s="0" t="s">
        <v>89</v>
      </c>
      <c r="J1171" s="0" t="s">
        <v>90</v>
      </c>
      <c r="K1171" s="0" t="s">
        <v>58</v>
      </c>
      <c r="L1171" s="0" t="s">
        <v>59</v>
      </c>
      <c r="M1171" s="0" t="s">
        <v>50</v>
      </c>
      <c r="N1171" s="0" t="n">
        <v>1042</v>
      </c>
      <c r="O1171" s="0" t="n">
        <v>2</v>
      </c>
      <c r="P1171" s="0" t="n">
        <v>35</v>
      </c>
      <c r="Q1171" s="5" t="str">
        <f aca="false">IF($D1171&lt;&gt;"","["&amp;$E1171&amp;"]"&amp;"|"&amp;SUBSTITUTE(SUBSTITUTE($I1171,CHAR(61),""),CHAR(34),"")&amp;"|"&amp;$K1171&amp;"|"&amp;$G1171&amp;"|"&amp;IF($G1171="TX_CURR_SUBNAT.R","CY2020Q4",$M1171),"")</f>
        <v>[mvPRqBFtVC0]|&lt;01|Male|POP_EST.T_1|CY2021Q3</v>
      </c>
    </row>
    <row r="1172" customFormat="false" ht="15" hidden="false" customHeight="false" outlineLevel="0" collapsed="false">
      <c r="D1172" s="0" t="s">
        <v>115</v>
      </c>
      <c r="E1172" s="0" t="s">
        <v>116</v>
      </c>
      <c r="F1172" s="0" t="s">
        <v>47</v>
      </c>
      <c r="G1172" s="0" t="s">
        <v>91</v>
      </c>
      <c r="H1172" s="0" t="s">
        <v>92</v>
      </c>
      <c r="I1172" s="0" t="s">
        <v>54</v>
      </c>
      <c r="J1172" s="0" t="s">
        <v>55</v>
      </c>
      <c r="K1172" s="0" t="s">
        <v>56</v>
      </c>
      <c r="L1172" s="0" t="s">
        <v>57</v>
      </c>
      <c r="M1172" s="0" t="s">
        <v>50</v>
      </c>
      <c r="N1172" s="0" t="n">
        <v>0.0059658</v>
      </c>
      <c r="O1172" s="0" t="n">
        <v>27</v>
      </c>
      <c r="P1172" s="0" t="n">
        <v>17</v>
      </c>
      <c r="Q1172" s="5" t="str">
        <f aca="false">IF($D1172&lt;&gt;"","["&amp;$E1172&amp;"]"&amp;"|"&amp;SUBSTITUTE(SUBSTITUTE($I1172,CHAR(61),""),CHAR(34),"")&amp;"|"&amp;$K1172&amp;"|"&amp;$G1172&amp;"|"&amp;IF($G1172="TX_CURR_SUBNAT.R","CY2020Q4",$M1172),"")</f>
        <v>[mvPRqBFtVC0]|01-04|Female|HIV_PREV.T_1|CY2021Q3</v>
      </c>
    </row>
    <row r="1173" customFormat="false" ht="15" hidden="false" customHeight="false" outlineLevel="0" collapsed="false">
      <c r="D1173" s="0" t="s">
        <v>115</v>
      </c>
      <c r="E1173" s="0" t="s">
        <v>116</v>
      </c>
      <c r="F1173" s="0" t="s">
        <v>47</v>
      </c>
      <c r="G1173" s="0" t="s">
        <v>91</v>
      </c>
      <c r="H1173" s="0" t="s">
        <v>92</v>
      </c>
      <c r="I1173" s="0" t="s">
        <v>54</v>
      </c>
      <c r="J1173" s="0" t="s">
        <v>55</v>
      </c>
      <c r="K1173" s="0" t="s">
        <v>58</v>
      </c>
      <c r="L1173" s="0" t="s">
        <v>59</v>
      </c>
      <c r="M1173" s="0" t="s">
        <v>50</v>
      </c>
      <c r="N1173" s="0" t="n">
        <v>0.0060739</v>
      </c>
      <c r="O1173" s="0" t="n">
        <v>24</v>
      </c>
      <c r="P1173" s="0" t="n">
        <v>15</v>
      </c>
      <c r="Q1173" s="5" t="str">
        <f aca="false">IF($D1173&lt;&gt;"","["&amp;$E1173&amp;"]"&amp;"|"&amp;SUBSTITUTE(SUBSTITUTE($I1173,CHAR(61),""),CHAR(34),"")&amp;"|"&amp;$K1173&amp;"|"&amp;$G1173&amp;"|"&amp;IF($G1173="TX_CURR_SUBNAT.R","CY2020Q4",$M1173),"")</f>
        <v>[mvPRqBFtVC0]|01-04|Male|HIV_PREV.T_1|CY2021Q3</v>
      </c>
    </row>
    <row r="1174" customFormat="false" ht="15" hidden="false" customHeight="false" outlineLevel="0" collapsed="false">
      <c r="D1174" s="0" t="s">
        <v>115</v>
      </c>
      <c r="E1174" s="0" t="s">
        <v>116</v>
      </c>
      <c r="F1174" s="0" t="s">
        <v>47</v>
      </c>
      <c r="G1174" s="0" t="s">
        <v>91</v>
      </c>
      <c r="H1174" s="0" t="s">
        <v>92</v>
      </c>
      <c r="I1174" s="0" t="s">
        <v>61</v>
      </c>
      <c r="J1174" s="0" t="s">
        <v>62</v>
      </c>
      <c r="K1174" s="0" t="s">
        <v>56</v>
      </c>
      <c r="L1174" s="0" t="s">
        <v>57</v>
      </c>
      <c r="M1174" s="0" t="s">
        <v>50</v>
      </c>
      <c r="N1174" s="0" t="n">
        <v>0.018798</v>
      </c>
      <c r="O1174" s="0" t="n">
        <v>49</v>
      </c>
      <c r="P1174" s="0" t="n">
        <v>12</v>
      </c>
      <c r="Q1174" s="5" t="str">
        <f aca="false">IF($D1174&lt;&gt;"","["&amp;$E1174&amp;"]"&amp;"|"&amp;SUBSTITUTE(SUBSTITUTE($I1174,CHAR(61),""),CHAR(34),"")&amp;"|"&amp;$K1174&amp;"|"&amp;$G1174&amp;"|"&amp;IF($G1174="TX_CURR_SUBNAT.R","CY2020Q4",$M1174),"")</f>
        <v>[mvPRqBFtVC0]|10-14|Female|HIV_PREV.T_1|CY2021Q3</v>
      </c>
    </row>
    <row r="1175" customFormat="false" ht="15" hidden="false" customHeight="false" outlineLevel="0" collapsed="false">
      <c r="D1175" s="0" t="s">
        <v>115</v>
      </c>
      <c r="E1175" s="0" t="s">
        <v>116</v>
      </c>
      <c r="F1175" s="0" t="s">
        <v>47</v>
      </c>
      <c r="G1175" s="0" t="s">
        <v>91</v>
      </c>
      <c r="H1175" s="0" t="s">
        <v>92</v>
      </c>
      <c r="I1175" s="0" t="s">
        <v>61</v>
      </c>
      <c r="J1175" s="0" t="s">
        <v>62</v>
      </c>
      <c r="K1175" s="0" t="s">
        <v>58</v>
      </c>
      <c r="L1175" s="0" t="s">
        <v>59</v>
      </c>
      <c r="M1175" s="0" t="s">
        <v>50</v>
      </c>
      <c r="N1175" s="0" t="n">
        <v>0.0190615</v>
      </c>
      <c r="O1175" s="0" t="n">
        <v>54</v>
      </c>
      <c r="P1175" s="0" t="n">
        <v>6</v>
      </c>
      <c r="Q1175" s="5" t="str">
        <f aca="false">IF($D1175&lt;&gt;"","["&amp;$E1175&amp;"]"&amp;"|"&amp;SUBSTITUTE(SUBSTITUTE($I1175,CHAR(61),""),CHAR(34),"")&amp;"|"&amp;$K1175&amp;"|"&amp;$G1175&amp;"|"&amp;IF($G1175="TX_CURR_SUBNAT.R","CY2020Q4",$M1175),"")</f>
        <v>[mvPRqBFtVC0]|10-14|Male|HIV_PREV.T_1|CY2021Q3</v>
      </c>
    </row>
    <row r="1176" customFormat="false" ht="15" hidden="false" customHeight="false" outlineLevel="0" collapsed="false">
      <c r="D1176" s="0" t="s">
        <v>115</v>
      </c>
      <c r="E1176" s="0" t="s">
        <v>116</v>
      </c>
      <c r="F1176" s="0" t="s">
        <v>47</v>
      </c>
      <c r="G1176" s="0" t="s">
        <v>91</v>
      </c>
      <c r="H1176" s="0" t="s">
        <v>92</v>
      </c>
      <c r="I1176" s="0" t="s">
        <v>63</v>
      </c>
      <c r="J1176" s="0" t="s">
        <v>64</v>
      </c>
      <c r="K1176" s="0" t="s">
        <v>56</v>
      </c>
      <c r="L1176" s="0" t="s">
        <v>57</v>
      </c>
      <c r="M1176" s="0" t="s">
        <v>50</v>
      </c>
      <c r="N1176" s="0" t="n">
        <v>0.0368598</v>
      </c>
      <c r="O1176" s="0" t="n">
        <v>11</v>
      </c>
      <c r="P1176" s="0" t="n">
        <v>18</v>
      </c>
      <c r="Q1176" s="5" t="str">
        <f aca="false">IF($D1176&lt;&gt;"","["&amp;$E1176&amp;"]"&amp;"|"&amp;SUBSTITUTE(SUBSTITUTE($I1176,CHAR(61),""),CHAR(34),"")&amp;"|"&amp;$K1176&amp;"|"&amp;$G1176&amp;"|"&amp;IF($G1176="TX_CURR_SUBNAT.R","CY2020Q4",$M1176),"")</f>
        <v>[mvPRqBFtVC0]|15-19|Female|HIV_PREV.T_1|CY2021Q3</v>
      </c>
    </row>
    <row r="1177" customFormat="false" ht="15" hidden="false" customHeight="false" outlineLevel="0" collapsed="false">
      <c r="D1177" s="0" t="s">
        <v>115</v>
      </c>
      <c r="E1177" s="0" t="s">
        <v>116</v>
      </c>
      <c r="F1177" s="0" t="s">
        <v>47</v>
      </c>
      <c r="G1177" s="0" t="s">
        <v>91</v>
      </c>
      <c r="H1177" s="0" t="s">
        <v>92</v>
      </c>
      <c r="I1177" s="0" t="s">
        <v>63</v>
      </c>
      <c r="J1177" s="0" t="s">
        <v>64</v>
      </c>
      <c r="K1177" s="0" t="s">
        <v>58</v>
      </c>
      <c r="L1177" s="0" t="s">
        <v>59</v>
      </c>
      <c r="M1177" s="0" t="s">
        <v>50</v>
      </c>
      <c r="N1177" s="0" t="n">
        <v>0.0217786</v>
      </c>
      <c r="O1177" s="0" t="n">
        <v>21</v>
      </c>
      <c r="P1177" s="0" t="n">
        <v>41</v>
      </c>
      <c r="Q1177" s="5" t="str">
        <f aca="false">IF($D1177&lt;&gt;"","["&amp;$E1177&amp;"]"&amp;"|"&amp;SUBSTITUTE(SUBSTITUTE($I1177,CHAR(61),""),CHAR(34),"")&amp;"|"&amp;$K1177&amp;"|"&amp;$G1177&amp;"|"&amp;IF($G1177="TX_CURR_SUBNAT.R","CY2020Q4",$M1177),"")</f>
        <v>[mvPRqBFtVC0]|15-19|Male|HIV_PREV.T_1|CY2021Q3</v>
      </c>
    </row>
    <row r="1178" customFormat="false" ht="15" hidden="false" customHeight="false" outlineLevel="0" collapsed="false">
      <c r="D1178" s="0" t="s">
        <v>115</v>
      </c>
      <c r="E1178" s="0" t="s">
        <v>116</v>
      </c>
      <c r="F1178" s="0" t="s">
        <v>47</v>
      </c>
      <c r="G1178" s="0" t="s">
        <v>91</v>
      </c>
      <c r="H1178" s="0" t="s">
        <v>92</v>
      </c>
      <c r="I1178" s="0" t="s">
        <v>66</v>
      </c>
      <c r="J1178" s="0" t="s">
        <v>67</v>
      </c>
      <c r="K1178" s="0" t="s">
        <v>56</v>
      </c>
      <c r="L1178" s="0" t="s">
        <v>57</v>
      </c>
      <c r="M1178" s="0" t="s">
        <v>50</v>
      </c>
      <c r="N1178" s="0" t="n">
        <v>0.1004954</v>
      </c>
      <c r="O1178" s="0" t="n">
        <v>25</v>
      </c>
      <c r="P1178" s="0" t="n">
        <v>2</v>
      </c>
      <c r="Q1178" s="5" t="str">
        <f aca="false">IF($D1178&lt;&gt;"","["&amp;$E1178&amp;"]"&amp;"|"&amp;SUBSTITUTE(SUBSTITUTE($I1178,CHAR(61),""),CHAR(34),"")&amp;"|"&amp;$K1178&amp;"|"&amp;$G1178&amp;"|"&amp;IF($G1178="TX_CURR_SUBNAT.R","CY2020Q4",$M1178),"")</f>
        <v>[mvPRqBFtVC0]|20-24|Female|HIV_PREV.T_1|CY2021Q3</v>
      </c>
    </row>
    <row r="1179" customFormat="false" ht="15" hidden="false" customHeight="false" outlineLevel="0" collapsed="false">
      <c r="D1179" s="0" t="s">
        <v>115</v>
      </c>
      <c r="E1179" s="0" t="s">
        <v>116</v>
      </c>
      <c r="F1179" s="0" t="s">
        <v>47</v>
      </c>
      <c r="G1179" s="0" t="s">
        <v>91</v>
      </c>
      <c r="H1179" s="0" t="s">
        <v>92</v>
      </c>
      <c r="I1179" s="0" t="s">
        <v>66</v>
      </c>
      <c r="J1179" s="0" t="s">
        <v>67</v>
      </c>
      <c r="K1179" s="0" t="s">
        <v>58</v>
      </c>
      <c r="L1179" s="0" t="s">
        <v>59</v>
      </c>
      <c r="M1179" s="0" t="s">
        <v>50</v>
      </c>
      <c r="N1179" s="0" t="n">
        <v>0.0374637</v>
      </c>
      <c r="O1179" s="0" t="n">
        <v>46</v>
      </c>
      <c r="P1179" s="0" t="n">
        <v>26</v>
      </c>
      <c r="Q1179" s="5" t="str">
        <f aca="false">IF($D1179&lt;&gt;"","["&amp;$E1179&amp;"]"&amp;"|"&amp;SUBSTITUTE(SUBSTITUTE($I1179,CHAR(61),""),CHAR(34),"")&amp;"|"&amp;$K1179&amp;"|"&amp;$G1179&amp;"|"&amp;IF($G1179="TX_CURR_SUBNAT.R","CY2020Q4",$M1179),"")</f>
        <v>[mvPRqBFtVC0]|20-24|Male|HIV_PREV.T_1|CY2021Q3</v>
      </c>
    </row>
    <row r="1180" customFormat="false" ht="15" hidden="false" customHeight="false" outlineLevel="0" collapsed="false">
      <c r="D1180" s="0" t="s">
        <v>115</v>
      </c>
      <c r="E1180" s="0" t="s">
        <v>116</v>
      </c>
      <c r="F1180" s="0" t="s">
        <v>47</v>
      </c>
      <c r="G1180" s="0" t="s">
        <v>91</v>
      </c>
      <c r="H1180" s="0" t="s">
        <v>92</v>
      </c>
      <c r="I1180" s="0" t="s">
        <v>69</v>
      </c>
      <c r="J1180" s="0" t="s">
        <v>70</v>
      </c>
      <c r="K1180" s="0" t="s">
        <v>56</v>
      </c>
      <c r="L1180" s="0" t="s">
        <v>57</v>
      </c>
      <c r="M1180" s="0" t="s">
        <v>50</v>
      </c>
      <c r="N1180" s="0" t="n">
        <v>0.1869784</v>
      </c>
      <c r="O1180" s="0" t="n">
        <v>23</v>
      </c>
      <c r="P1180" s="0" t="n">
        <v>9</v>
      </c>
      <c r="Q1180" s="5" t="str">
        <f aca="false">IF($D1180&lt;&gt;"","["&amp;$E1180&amp;"]"&amp;"|"&amp;SUBSTITUTE(SUBSTITUTE($I1180,CHAR(61),""),CHAR(34),"")&amp;"|"&amp;$K1180&amp;"|"&amp;$G1180&amp;"|"&amp;IF($G1180="TX_CURR_SUBNAT.R","CY2020Q4",$M1180),"")</f>
        <v>[mvPRqBFtVC0]|25-29|Female|HIV_PREV.T_1|CY2021Q3</v>
      </c>
    </row>
    <row r="1181" customFormat="false" ht="15" hidden="false" customHeight="false" outlineLevel="0" collapsed="false">
      <c r="D1181" s="0" t="s">
        <v>115</v>
      </c>
      <c r="E1181" s="0" t="s">
        <v>116</v>
      </c>
      <c r="F1181" s="0" t="s">
        <v>47</v>
      </c>
      <c r="G1181" s="0" t="s">
        <v>91</v>
      </c>
      <c r="H1181" s="0" t="s">
        <v>92</v>
      </c>
      <c r="I1181" s="0" t="s">
        <v>69</v>
      </c>
      <c r="J1181" s="0" t="s">
        <v>70</v>
      </c>
      <c r="K1181" s="0" t="s">
        <v>58</v>
      </c>
      <c r="L1181" s="0" t="s">
        <v>59</v>
      </c>
      <c r="M1181" s="0" t="s">
        <v>50</v>
      </c>
      <c r="N1181" s="0" t="n">
        <v>0.0777876</v>
      </c>
      <c r="O1181" s="0" t="n">
        <v>29</v>
      </c>
      <c r="P1181" s="0" t="n">
        <v>12</v>
      </c>
      <c r="Q1181" s="5" t="str">
        <f aca="false">IF($D1181&lt;&gt;"","["&amp;$E1181&amp;"]"&amp;"|"&amp;SUBSTITUTE(SUBSTITUTE($I1181,CHAR(61),""),CHAR(34),"")&amp;"|"&amp;$K1181&amp;"|"&amp;$G1181&amp;"|"&amp;IF($G1181="TX_CURR_SUBNAT.R","CY2020Q4",$M1181),"")</f>
        <v>[mvPRqBFtVC0]|25-29|Male|HIV_PREV.T_1|CY2021Q3</v>
      </c>
    </row>
    <row r="1182" customFormat="false" ht="15" hidden="false" customHeight="false" outlineLevel="0" collapsed="false">
      <c r="D1182" s="0" t="s">
        <v>115</v>
      </c>
      <c r="E1182" s="0" t="s">
        <v>116</v>
      </c>
      <c r="F1182" s="0" t="s">
        <v>47</v>
      </c>
      <c r="G1182" s="0" t="s">
        <v>91</v>
      </c>
      <c r="H1182" s="0" t="s">
        <v>92</v>
      </c>
      <c r="I1182" s="0" t="s">
        <v>72</v>
      </c>
      <c r="J1182" s="0" t="s">
        <v>73</v>
      </c>
      <c r="K1182" s="0" t="s">
        <v>56</v>
      </c>
      <c r="L1182" s="0" t="s">
        <v>57</v>
      </c>
      <c r="M1182" s="0" t="s">
        <v>50</v>
      </c>
      <c r="N1182" s="0" t="n">
        <v>0.280281</v>
      </c>
      <c r="O1182" s="0" t="n">
        <v>44</v>
      </c>
      <c r="P1182" s="0" t="n">
        <v>19</v>
      </c>
      <c r="Q1182" s="5" t="str">
        <f aca="false">IF($D1182&lt;&gt;"","["&amp;$E1182&amp;"]"&amp;"|"&amp;SUBSTITUTE(SUBSTITUTE($I1182,CHAR(61),""),CHAR(34),"")&amp;"|"&amp;$K1182&amp;"|"&amp;$G1182&amp;"|"&amp;IF($G1182="TX_CURR_SUBNAT.R","CY2020Q4",$M1182),"")</f>
        <v>[mvPRqBFtVC0]|30-34|Female|HIV_PREV.T_1|CY2021Q3</v>
      </c>
    </row>
    <row r="1183" customFormat="false" ht="15" hidden="false" customHeight="false" outlineLevel="0" collapsed="false">
      <c r="D1183" s="0" t="s">
        <v>115</v>
      </c>
      <c r="E1183" s="0" t="s">
        <v>116</v>
      </c>
      <c r="F1183" s="0" t="s">
        <v>47</v>
      </c>
      <c r="G1183" s="0" t="s">
        <v>91</v>
      </c>
      <c r="H1183" s="0" t="s">
        <v>92</v>
      </c>
      <c r="I1183" s="0" t="s">
        <v>72</v>
      </c>
      <c r="J1183" s="0" t="s">
        <v>73</v>
      </c>
      <c r="K1183" s="0" t="s">
        <v>58</v>
      </c>
      <c r="L1183" s="0" t="s">
        <v>59</v>
      </c>
      <c r="M1183" s="0" t="s">
        <v>50</v>
      </c>
      <c r="N1183" s="0" t="n">
        <v>0.1454341</v>
      </c>
      <c r="O1183" s="0" t="n">
        <v>9</v>
      </c>
      <c r="P1183" s="0" t="n">
        <v>41</v>
      </c>
      <c r="Q1183" s="5" t="str">
        <f aca="false">IF($D1183&lt;&gt;"","["&amp;$E1183&amp;"]"&amp;"|"&amp;SUBSTITUTE(SUBSTITUTE($I1183,CHAR(61),""),CHAR(34),"")&amp;"|"&amp;$K1183&amp;"|"&amp;$G1183&amp;"|"&amp;IF($G1183="TX_CURR_SUBNAT.R","CY2020Q4",$M1183),"")</f>
        <v>[mvPRqBFtVC0]|30-34|Male|HIV_PREV.T_1|CY2021Q3</v>
      </c>
    </row>
    <row r="1184" customFormat="false" ht="15" hidden="false" customHeight="false" outlineLevel="0" collapsed="false">
      <c r="D1184" s="0" t="s">
        <v>115</v>
      </c>
      <c r="E1184" s="0" t="s">
        <v>116</v>
      </c>
      <c r="F1184" s="0" t="s">
        <v>47</v>
      </c>
      <c r="G1184" s="0" t="s">
        <v>91</v>
      </c>
      <c r="H1184" s="0" t="s">
        <v>92</v>
      </c>
      <c r="I1184" s="0" t="s">
        <v>75</v>
      </c>
      <c r="J1184" s="0" t="s">
        <v>76</v>
      </c>
      <c r="K1184" s="0" t="s">
        <v>56</v>
      </c>
      <c r="L1184" s="0" t="s">
        <v>57</v>
      </c>
      <c r="M1184" s="0" t="s">
        <v>50</v>
      </c>
      <c r="N1184" s="0" t="n">
        <v>0.3690977</v>
      </c>
      <c r="O1184" s="0" t="n">
        <v>17</v>
      </c>
      <c r="P1184" s="0" t="n">
        <v>41</v>
      </c>
      <c r="Q1184" s="5" t="str">
        <f aca="false">IF($D1184&lt;&gt;"","["&amp;$E1184&amp;"]"&amp;"|"&amp;SUBSTITUTE(SUBSTITUTE($I1184,CHAR(61),""),CHAR(34),"")&amp;"|"&amp;$K1184&amp;"|"&amp;$G1184&amp;"|"&amp;IF($G1184="TX_CURR_SUBNAT.R","CY2020Q4",$M1184),"")</f>
        <v>[mvPRqBFtVC0]|35-39|Female|HIV_PREV.T_1|CY2021Q3</v>
      </c>
    </row>
    <row r="1185" customFormat="false" ht="15" hidden="false" customHeight="false" outlineLevel="0" collapsed="false">
      <c r="D1185" s="0" t="s">
        <v>115</v>
      </c>
      <c r="E1185" s="0" t="s">
        <v>116</v>
      </c>
      <c r="F1185" s="0" t="s">
        <v>47</v>
      </c>
      <c r="G1185" s="0" t="s">
        <v>91</v>
      </c>
      <c r="H1185" s="0" t="s">
        <v>92</v>
      </c>
      <c r="I1185" s="0" t="s">
        <v>75</v>
      </c>
      <c r="J1185" s="0" t="s">
        <v>76</v>
      </c>
      <c r="K1185" s="0" t="s">
        <v>58</v>
      </c>
      <c r="L1185" s="0" t="s">
        <v>59</v>
      </c>
      <c r="M1185" s="0" t="s">
        <v>50</v>
      </c>
      <c r="N1185" s="0" t="n">
        <v>0.2294854</v>
      </c>
      <c r="O1185" s="0" t="n">
        <v>10</v>
      </c>
      <c r="P1185" s="0" t="n">
        <v>11</v>
      </c>
      <c r="Q1185" s="5" t="str">
        <f aca="false">IF($D1185&lt;&gt;"","["&amp;$E1185&amp;"]"&amp;"|"&amp;SUBSTITUTE(SUBSTITUTE($I1185,CHAR(61),""),CHAR(34),"")&amp;"|"&amp;$K1185&amp;"|"&amp;$G1185&amp;"|"&amp;IF($G1185="TX_CURR_SUBNAT.R","CY2020Q4",$M1185),"")</f>
        <v>[mvPRqBFtVC0]|35-39|Male|HIV_PREV.T_1|CY2021Q3</v>
      </c>
    </row>
    <row r="1186" customFormat="false" ht="15" hidden="false" customHeight="false" outlineLevel="0" collapsed="false">
      <c r="D1186" s="0" t="s">
        <v>115</v>
      </c>
      <c r="E1186" s="0" t="s">
        <v>116</v>
      </c>
      <c r="F1186" s="0" t="s">
        <v>47</v>
      </c>
      <c r="G1186" s="0" t="s">
        <v>91</v>
      </c>
      <c r="H1186" s="0" t="s">
        <v>92</v>
      </c>
      <c r="I1186" s="0" t="s">
        <v>77</v>
      </c>
      <c r="J1186" s="0" t="s">
        <v>78</v>
      </c>
      <c r="K1186" s="0" t="s">
        <v>56</v>
      </c>
      <c r="L1186" s="0" t="s">
        <v>57</v>
      </c>
      <c r="M1186" s="0" t="s">
        <v>50</v>
      </c>
      <c r="N1186" s="0" t="n">
        <v>0.4136882</v>
      </c>
      <c r="O1186" s="0" t="n">
        <v>6</v>
      </c>
      <c r="P1186" s="0" t="n">
        <v>25</v>
      </c>
      <c r="Q1186" s="5" t="str">
        <f aca="false">IF($D1186&lt;&gt;"","["&amp;$E1186&amp;"]"&amp;"|"&amp;SUBSTITUTE(SUBSTITUTE($I1186,CHAR(61),""),CHAR(34),"")&amp;"|"&amp;$K1186&amp;"|"&amp;$G1186&amp;"|"&amp;IF($G1186="TX_CURR_SUBNAT.R","CY2020Q4",$M1186),"")</f>
        <v>[mvPRqBFtVC0]|40-44|Female|HIV_PREV.T_1|CY2021Q3</v>
      </c>
    </row>
    <row r="1187" customFormat="false" ht="15" hidden="false" customHeight="false" outlineLevel="0" collapsed="false">
      <c r="D1187" s="0" t="s">
        <v>115</v>
      </c>
      <c r="E1187" s="0" t="s">
        <v>116</v>
      </c>
      <c r="F1187" s="0" t="s">
        <v>47</v>
      </c>
      <c r="G1187" s="0" t="s">
        <v>91</v>
      </c>
      <c r="H1187" s="0" t="s">
        <v>92</v>
      </c>
      <c r="I1187" s="0" t="s">
        <v>77</v>
      </c>
      <c r="J1187" s="0" t="s">
        <v>78</v>
      </c>
      <c r="K1187" s="0" t="s">
        <v>58</v>
      </c>
      <c r="L1187" s="0" t="s">
        <v>59</v>
      </c>
      <c r="M1187" s="0" t="s">
        <v>50</v>
      </c>
      <c r="N1187" s="0" t="n">
        <v>0.3100917</v>
      </c>
      <c r="O1187" s="0" t="n">
        <v>6</v>
      </c>
      <c r="P1187" s="0" t="n">
        <v>34</v>
      </c>
      <c r="Q1187" s="5" t="str">
        <f aca="false">IF($D1187&lt;&gt;"","["&amp;$E1187&amp;"]"&amp;"|"&amp;SUBSTITUTE(SUBSTITUTE($I1187,CHAR(61),""),CHAR(34),"")&amp;"|"&amp;$K1187&amp;"|"&amp;$G1187&amp;"|"&amp;IF($G1187="TX_CURR_SUBNAT.R","CY2020Q4",$M1187),"")</f>
        <v>[mvPRqBFtVC0]|40-44|Male|HIV_PREV.T_1|CY2021Q3</v>
      </c>
    </row>
    <row r="1188" customFormat="false" ht="15" hidden="false" customHeight="false" outlineLevel="0" collapsed="false">
      <c r="D1188" s="0" t="s">
        <v>115</v>
      </c>
      <c r="E1188" s="0" t="s">
        <v>116</v>
      </c>
      <c r="F1188" s="0" t="s">
        <v>47</v>
      </c>
      <c r="G1188" s="0" t="s">
        <v>91</v>
      </c>
      <c r="H1188" s="0" t="s">
        <v>92</v>
      </c>
      <c r="I1188" s="0" t="s">
        <v>80</v>
      </c>
      <c r="J1188" s="0" t="s">
        <v>81</v>
      </c>
      <c r="K1188" s="0" t="s">
        <v>56</v>
      </c>
      <c r="L1188" s="0" t="s">
        <v>57</v>
      </c>
      <c r="M1188" s="0" t="s">
        <v>50</v>
      </c>
      <c r="N1188" s="0" t="n">
        <v>0.3916664</v>
      </c>
      <c r="O1188" s="0" t="n">
        <v>45</v>
      </c>
      <c r="P1188" s="0" t="n">
        <v>50</v>
      </c>
      <c r="Q1188" s="5" t="str">
        <f aca="false">IF($D1188&lt;&gt;"","["&amp;$E1188&amp;"]"&amp;"|"&amp;SUBSTITUTE(SUBSTITUTE($I1188,CHAR(61),""),CHAR(34),"")&amp;"|"&amp;$K1188&amp;"|"&amp;$G1188&amp;"|"&amp;IF($G1188="TX_CURR_SUBNAT.R","CY2020Q4",$M1188),"")</f>
        <v>[mvPRqBFtVC0]|45-49|Female|HIV_PREV.T_1|CY2021Q3</v>
      </c>
    </row>
    <row r="1189" customFormat="false" ht="15" hidden="false" customHeight="false" outlineLevel="0" collapsed="false">
      <c r="D1189" s="0" t="s">
        <v>115</v>
      </c>
      <c r="E1189" s="0" t="s">
        <v>116</v>
      </c>
      <c r="F1189" s="0" t="s">
        <v>47</v>
      </c>
      <c r="G1189" s="0" t="s">
        <v>91</v>
      </c>
      <c r="H1189" s="0" t="s">
        <v>92</v>
      </c>
      <c r="I1189" s="0" t="s">
        <v>80</v>
      </c>
      <c r="J1189" s="0" t="s">
        <v>81</v>
      </c>
      <c r="K1189" s="0" t="s">
        <v>58</v>
      </c>
      <c r="L1189" s="0" t="s">
        <v>59</v>
      </c>
      <c r="M1189" s="0" t="s">
        <v>50</v>
      </c>
      <c r="N1189" s="0" t="n">
        <v>0.3730022</v>
      </c>
      <c r="O1189" s="0" t="n">
        <v>7</v>
      </c>
      <c r="P1189" s="0" t="n">
        <v>46</v>
      </c>
      <c r="Q1189" s="5" t="str">
        <f aca="false">IF($D1189&lt;&gt;"","["&amp;$E1189&amp;"]"&amp;"|"&amp;SUBSTITUTE(SUBSTITUTE($I1189,CHAR(61),""),CHAR(34),"")&amp;"|"&amp;$K1189&amp;"|"&amp;$G1189&amp;"|"&amp;IF($G1189="TX_CURR_SUBNAT.R","CY2020Q4",$M1189),"")</f>
        <v>[mvPRqBFtVC0]|45-49|Male|HIV_PREV.T_1|CY2021Q3</v>
      </c>
    </row>
    <row r="1190" customFormat="false" ht="15" hidden="false" customHeight="false" outlineLevel="0" collapsed="false">
      <c r="D1190" s="0" t="s">
        <v>115</v>
      </c>
      <c r="E1190" s="0" t="s">
        <v>116</v>
      </c>
      <c r="F1190" s="0" t="s">
        <v>47</v>
      </c>
      <c r="G1190" s="0" t="s">
        <v>91</v>
      </c>
      <c r="H1190" s="0" t="s">
        <v>92</v>
      </c>
      <c r="I1190" s="0" t="s">
        <v>83</v>
      </c>
      <c r="J1190" s="0" t="s">
        <v>84</v>
      </c>
      <c r="K1190" s="0" t="s">
        <v>56</v>
      </c>
      <c r="L1190" s="0" t="s">
        <v>57</v>
      </c>
      <c r="M1190" s="0" t="s">
        <v>50</v>
      </c>
      <c r="N1190" s="0" t="n">
        <v>0.0105866</v>
      </c>
      <c r="O1190" s="0" t="n">
        <v>32</v>
      </c>
      <c r="P1190" s="0" t="n">
        <v>20</v>
      </c>
      <c r="Q1190" s="5" t="str">
        <f aca="false">IF($D1190&lt;&gt;"","["&amp;$E1190&amp;"]"&amp;"|"&amp;SUBSTITUTE(SUBSTITUTE($I1190,CHAR(61),""),CHAR(34),"")&amp;"|"&amp;$K1190&amp;"|"&amp;$G1190&amp;"|"&amp;IF($G1190="TX_CURR_SUBNAT.R","CY2020Q4",$M1190),"")</f>
        <v>[mvPRqBFtVC0]|05-09|Female|HIV_PREV.T_1|CY2021Q3</v>
      </c>
    </row>
    <row r="1191" customFormat="false" ht="15" hidden="false" customHeight="false" outlineLevel="0" collapsed="false">
      <c r="D1191" s="0" t="s">
        <v>115</v>
      </c>
      <c r="E1191" s="0" t="s">
        <v>116</v>
      </c>
      <c r="F1191" s="0" t="s">
        <v>47</v>
      </c>
      <c r="G1191" s="0" t="s">
        <v>91</v>
      </c>
      <c r="H1191" s="0" t="s">
        <v>92</v>
      </c>
      <c r="I1191" s="0" t="s">
        <v>83</v>
      </c>
      <c r="J1191" s="0" t="s">
        <v>84</v>
      </c>
      <c r="K1191" s="0" t="s">
        <v>58</v>
      </c>
      <c r="L1191" s="0" t="s">
        <v>59</v>
      </c>
      <c r="M1191" s="0" t="s">
        <v>50</v>
      </c>
      <c r="N1191" s="0" t="n">
        <v>0.0108088</v>
      </c>
      <c r="O1191" s="0" t="n">
        <v>44</v>
      </c>
      <c r="P1191" s="0" t="n">
        <v>6</v>
      </c>
      <c r="Q1191" s="5" t="str">
        <f aca="false">IF($D1191&lt;&gt;"","["&amp;$E1191&amp;"]"&amp;"|"&amp;SUBSTITUTE(SUBSTITUTE($I1191,CHAR(61),""),CHAR(34),"")&amp;"|"&amp;$K1191&amp;"|"&amp;$G1191&amp;"|"&amp;IF($G1191="TX_CURR_SUBNAT.R","CY2020Q4",$M1191),"")</f>
        <v>[mvPRqBFtVC0]|05-09|Male|HIV_PREV.T_1|CY2021Q3</v>
      </c>
    </row>
    <row r="1192" customFormat="false" ht="15" hidden="false" customHeight="false" outlineLevel="0" collapsed="false">
      <c r="D1192" s="0" t="s">
        <v>115</v>
      </c>
      <c r="E1192" s="0" t="s">
        <v>116</v>
      </c>
      <c r="F1192" s="0" t="s">
        <v>47</v>
      </c>
      <c r="G1192" s="0" t="s">
        <v>91</v>
      </c>
      <c r="H1192" s="0" t="s">
        <v>92</v>
      </c>
      <c r="I1192" s="53" t="s">
        <v>86</v>
      </c>
      <c r="J1192" s="0" t="s">
        <v>87</v>
      </c>
      <c r="K1192" s="0" t="s">
        <v>56</v>
      </c>
      <c r="L1192" s="0" t="s">
        <v>57</v>
      </c>
      <c r="M1192" s="0" t="s">
        <v>50</v>
      </c>
      <c r="N1192" s="0" t="n">
        <v>0.2026606</v>
      </c>
      <c r="O1192" s="0" t="n">
        <v>9</v>
      </c>
      <c r="P1192" s="0" t="n">
        <v>12</v>
      </c>
      <c r="Q1192" s="5" t="str">
        <f aca="false">IF($D1192&lt;&gt;"","["&amp;$E1192&amp;"]"&amp;"|"&amp;SUBSTITUTE(SUBSTITUTE($I1192,CHAR(61),""),CHAR(34),"")&amp;"|"&amp;$K1192&amp;"|"&amp;$G1192&amp;"|"&amp;IF($G1192="TX_CURR_SUBNAT.R","CY2020Q4",$M1192),"")</f>
        <v>[mvPRqBFtVC0]|50+|Female|HIV_PREV.T_1|CY2021Q3</v>
      </c>
    </row>
    <row r="1193" customFormat="false" ht="15" hidden="false" customHeight="false" outlineLevel="0" collapsed="false">
      <c r="D1193" s="0" t="s">
        <v>115</v>
      </c>
      <c r="E1193" s="0" t="s">
        <v>116</v>
      </c>
      <c r="F1193" s="0" t="s">
        <v>47</v>
      </c>
      <c r="G1193" s="0" t="s">
        <v>91</v>
      </c>
      <c r="H1193" s="0" t="s">
        <v>92</v>
      </c>
      <c r="I1193" s="53" t="s">
        <v>86</v>
      </c>
      <c r="J1193" s="0" t="s">
        <v>87</v>
      </c>
      <c r="K1193" s="0" t="s">
        <v>58</v>
      </c>
      <c r="L1193" s="0" t="s">
        <v>59</v>
      </c>
      <c r="M1193" s="0" t="s">
        <v>50</v>
      </c>
      <c r="N1193" s="0" t="n">
        <v>0.2304829</v>
      </c>
      <c r="O1193" s="0" t="n">
        <v>10</v>
      </c>
      <c r="P1193" s="0" t="n">
        <v>4</v>
      </c>
      <c r="Q1193" s="5" t="str">
        <f aca="false">IF($D1193&lt;&gt;"","["&amp;$E1193&amp;"]"&amp;"|"&amp;SUBSTITUTE(SUBSTITUTE($I1193,CHAR(61),""),CHAR(34),"")&amp;"|"&amp;$K1193&amp;"|"&amp;$G1193&amp;"|"&amp;IF($G1193="TX_CURR_SUBNAT.R","CY2020Q4",$M1193),"")</f>
        <v>[mvPRqBFtVC0]|50+|Male|HIV_PREV.T_1|CY2021Q3</v>
      </c>
    </row>
    <row r="1194" customFormat="false" ht="15" hidden="false" customHeight="false" outlineLevel="0" collapsed="false">
      <c r="D1194" s="0" t="s">
        <v>115</v>
      </c>
      <c r="E1194" s="0" t="s">
        <v>116</v>
      </c>
      <c r="F1194" s="0" t="s">
        <v>47</v>
      </c>
      <c r="G1194" s="0" t="s">
        <v>91</v>
      </c>
      <c r="H1194" s="0" t="s">
        <v>92</v>
      </c>
      <c r="I1194" s="0" t="s">
        <v>89</v>
      </c>
      <c r="J1194" s="0" t="s">
        <v>90</v>
      </c>
      <c r="K1194" s="0" t="s">
        <v>56</v>
      </c>
      <c r="L1194" s="0" t="s">
        <v>57</v>
      </c>
      <c r="M1194" s="0" t="s">
        <v>50</v>
      </c>
      <c r="N1194" s="0" t="n">
        <v>0.0056413</v>
      </c>
      <c r="O1194" s="0" t="n">
        <v>17</v>
      </c>
      <c r="P1194" s="0" t="n">
        <v>30</v>
      </c>
      <c r="Q1194" s="5" t="str">
        <f aca="false">IF($D1194&lt;&gt;"","["&amp;$E1194&amp;"]"&amp;"|"&amp;SUBSTITUTE(SUBSTITUTE($I1194,CHAR(61),""),CHAR(34),"")&amp;"|"&amp;$K1194&amp;"|"&amp;$G1194&amp;"|"&amp;IF($G1194="TX_CURR_SUBNAT.R","CY2020Q4",$M1194),"")</f>
        <v>[mvPRqBFtVC0]|&lt;01|Female|HIV_PREV.T_1|CY2021Q3</v>
      </c>
    </row>
    <row r="1195" customFormat="false" ht="15" hidden="false" customHeight="false" outlineLevel="0" collapsed="false">
      <c r="D1195" s="0" t="s">
        <v>115</v>
      </c>
      <c r="E1195" s="0" t="s">
        <v>116</v>
      </c>
      <c r="F1195" s="0" t="s">
        <v>47</v>
      </c>
      <c r="G1195" s="0" t="s">
        <v>91</v>
      </c>
      <c r="H1195" s="0" t="s">
        <v>92</v>
      </c>
      <c r="I1195" s="0" t="s">
        <v>89</v>
      </c>
      <c r="J1195" s="0" t="s">
        <v>90</v>
      </c>
      <c r="K1195" s="0" t="s">
        <v>58</v>
      </c>
      <c r="L1195" s="0" t="s">
        <v>59</v>
      </c>
      <c r="M1195" s="0" t="s">
        <v>50</v>
      </c>
      <c r="N1195" s="0" t="n">
        <v>0.0057435</v>
      </c>
      <c r="O1195" s="0" t="n">
        <v>9</v>
      </c>
      <c r="P1195" s="0" t="n">
        <v>21</v>
      </c>
      <c r="Q1195" s="5" t="str">
        <f aca="false">IF($D1195&lt;&gt;"","["&amp;$E1195&amp;"]"&amp;"|"&amp;SUBSTITUTE(SUBSTITUTE($I1195,CHAR(61),""),CHAR(34),"")&amp;"|"&amp;$K1195&amp;"|"&amp;$G1195&amp;"|"&amp;IF($G1195="TX_CURR_SUBNAT.R","CY2020Q4",$M1195),"")</f>
        <v>[mvPRqBFtVC0]|&lt;01|Male|HIV_PREV.T_1|CY2021Q3</v>
      </c>
    </row>
    <row r="1196" customFormat="false" ht="15" hidden="false" customHeight="false" outlineLevel="0" collapsed="false">
      <c r="D1196" s="0" t="s">
        <v>115</v>
      </c>
      <c r="E1196" s="0" t="s">
        <v>116</v>
      </c>
      <c r="F1196" s="0" t="s">
        <v>47</v>
      </c>
      <c r="G1196" s="0" t="s">
        <v>93</v>
      </c>
      <c r="H1196" s="0" t="s">
        <v>94</v>
      </c>
      <c r="I1196" s="0" t="s">
        <v>54</v>
      </c>
      <c r="J1196" s="0" t="s">
        <v>55</v>
      </c>
      <c r="K1196" s="0" t="s">
        <v>56</v>
      </c>
      <c r="L1196" s="0" t="s">
        <v>57</v>
      </c>
      <c r="M1196" s="0" t="s">
        <v>50</v>
      </c>
      <c r="N1196" s="0" t="n">
        <v>13</v>
      </c>
      <c r="O1196" s="0" t="n">
        <v>57</v>
      </c>
      <c r="P1196" s="0" t="n">
        <v>34</v>
      </c>
      <c r="Q1196" s="5" t="str">
        <f aca="false">IF($D1196&lt;&gt;"","["&amp;$E1196&amp;"]"&amp;"|"&amp;SUBSTITUTE(SUBSTITUTE($I1196,CHAR(61),""),CHAR(34),"")&amp;"|"&amp;$K1196&amp;"|"&amp;$G1196&amp;"|"&amp;IF($G1196="TX_CURR_SUBNAT.R","CY2020Q4",$M1196),"")</f>
        <v>[mvPRqBFtVC0]|01-04|Female|DIAGNOSED_SUBNAT.T_1|CY2021Q3</v>
      </c>
    </row>
    <row r="1197" customFormat="false" ht="15" hidden="false" customHeight="false" outlineLevel="0" collapsed="false">
      <c r="D1197" s="0" t="s">
        <v>115</v>
      </c>
      <c r="E1197" s="0" t="s">
        <v>116</v>
      </c>
      <c r="F1197" s="0" t="s">
        <v>47</v>
      </c>
      <c r="G1197" s="0" t="s">
        <v>93</v>
      </c>
      <c r="H1197" s="0" t="s">
        <v>94</v>
      </c>
      <c r="I1197" s="0" t="s">
        <v>54</v>
      </c>
      <c r="J1197" s="0" t="s">
        <v>55</v>
      </c>
      <c r="K1197" s="0" t="s">
        <v>58</v>
      </c>
      <c r="L1197" s="0" t="s">
        <v>59</v>
      </c>
      <c r="M1197" s="0" t="s">
        <v>50</v>
      </c>
      <c r="N1197" s="0" t="n">
        <v>13</v>
      </c>
      <c r="O1197" s="0" t="n">
        <v>26</v>
      </c>
      <c r="P1197" s="0" t="n">
        <v>19</v>
      </c>
      <c r="Q1197" s="5" t="str">
        <f aca="false">IF($D1197&lt;&gt;"","["&amp;$E1197&amp;"]"&amp;"|"&amp;SUBSTITUTE(SUBSTITUTE($I1197,CHAR(61),""),CHAR(34),"")&amp;"|"&amp;$K1197&amp;"|"&amp;$G1197&amp;"|"&amp;IF($G1197="TX_CURR_SUBNAT.R","CY2020Q4",$M1197),"")</f>
        <v>[mvPRqBFtVC0]|01-04|Male|DIAGNOSED_SUBNAT.T_1|CY2021Q3</v>
      </c>
    </row>
    <row r="1198" customFormat="false" ht="15" hidden="false" customHeight="false" outlineLevel="0" collapsed="false">
      <c r="D1198" s="0" t="s">
        <v>115</v>
      </c>
      <c r="E1198" s="0" t="s">
        <v>116</v>
      </c>
      <c r="F1198" s="0" t="s">
        <v>47</v>
      </c>
      <c r="G1198" s="0" t="s">
        <v>93</v>
      </c>
      <c r="H1198" s="0" t="s">
        <v>94</v>
      </c>
      <c r="I1198" s="0" t="s">
        <v>61</v>
      </c>
      <c r="J1198" s="0" t="s">
        <v>62</v>
      </c>
      <c r="K1198" s="0" t="s">
        <v>56</v>
      </c>
      <c r="L1198" s="0" t="s">
        <v>57</v>
      </c>
      <c r="M1198" s="0" t="s">
        <v>50</v>
      </c>
      <c r="N1198" s="0" t="n">
        <v>94</v>
      </c>
      <c r="O1198" s="0" t="n">
        <v>23</v>
      </c>
      <c r="P1198" s="0" t="n">
        <v>11</v>
      </c>
      <c r="Q1198" s="5" t="str">
        <f aca="false">IF($D1198&lt;&gt;"","["&amp;$E1198&amp;"]"&amp;"|"&amp;SUBSTITUTE(SUBSTITUTE($I1198,CHAR(61),""),CHAR(34),"")&amp;"|"&amp;$K1198&amp;"|"&amp;$G1198&amp;"|"&amp;IF($G1198="TX_CURR_SUBNAT.R","CY2020Q4",$M1198),"")</f>
        <v>[mvPRqBFtVC0]|10-14|Female|DIAGNOSED_SUBNAT.T_1|CY2021Q3</v>
      </c>
    </row>
    <row r="1199" customFormat="false" ht="15" hidden="false" customHeight="false" outlineLevel="0" collapsed="false">
      <c r="D1199" s="0" t="s">
        <v>115</v>
      </c>
      <c r="E1199" s="0" t="s">
        <v>116</v>
      </c>
      <c r="F1199" s="0" t="s">
        <v>47</v>
      </c>
      <c r="G1199" s="0" t="s">
        <v>93</v>
      </c>
      <c r="H1199" s="0" t="s">
        <v>94</v>
      </c>
      <c r="I1199" s="0" t="s">
        <v>61</v>
      </c>
      <c r="J1199" s="0" t="s">
        <v>62</v>
      </c>
      <c r="K1199" s="0" t="s">
        <v>58</v>
      </c>
      <c r="L1199" s="0" t="s">
        <v>59</v>
      </c>
      <c r="M1199" s="0" t="s">
        <v>50</v>
      </c>
      <c r="N1199" s="0" t="n">
        <v>93</v>
      </c>
      <c r="O1199" s="0" t="n">
        <v>58</v>
      </c>
      <c r="P1199" s="0" t="n">
        <v>21</v>
      </c>
      <c r="Q1199" s="5" t="str">
        <f aca="false">IF($D1199&lt;&gt;"","["&amp;$E1199&amp;"]"&amp;"|"&amp;SUBSTITUTE(SUBSTITUTE($I1199,CHAR(61),""),CHAR(34),"")&amp;"|"&amp;$K1199&amp;"|"&amp;$G1199&amp;"|"&amp;IF($G1199="TX_CURR_SUBNAT.R","CY2020Q4",$M1199),"")</f>
        <v>[mvPRqBFtVC0]|10-14|Male|DIAGNOSED_SUBNAT.T_1|CY2021Q3</v>
      </c>
    </row>
    <row r="1200" customFormat="false" ht="15" hidden="false" customHeight="false" outlineLevel="0" collapsed="false">
      <c r="D1200" s="0" t="s">
        <v>115</v>
      </c>
      <c r="E1200" s="0" t="s">
        <v>116</v>
      </c>
      <c r="F1200" s="0" t="s">
        <v>47</v>
      </c>
      <c r="G1200" s="0" t="s">
        <v>93</v>
      </c>
      <c r="H1200" s="0" t="s">
        <v>94</v>
      </c>
      <c r="I1200" s="0" t="s">
        <v>63</v>
      </c>
      <c r="J1200" s="0" t="s">
        <v>64</v>
      </c>
      <c r="K1200" s="0" t="s">
        <v>56</v>
      </c>
      <c r="L1200" s="0" t="s">
        <v>57</v>
      </c>
      <c r="M1200" s="0" t="s">
        <v>50</v>
      </c>
      <c r="N1200" s="0" t="n">
        <v>182</v>
      </c>
      <c r="O1200" s="0" t="n">
        <v>11</v>
      </c>
      <c r="P1200" s="0" t="n">
        <v>42</v>
      </c>
      <c r="Q1200" s="5" t="str">
        <f aca="false">IF($D1200&lt;&gt;"","["&amp;$E1200&amp;"]"&amp;"|"&amp;SUBSTITUTE(SUBSTITUTE($I1200,CHAR(61),""),CHAR(34),"")&amp;"|"&amp;$K1200&amp;"|"&amp;$G1200&amp;"|"&amp;IF($G1200="TX_CURR_SUBNAT.R","CY2020Q4",$M1200),"")</f>
        <v>[mvPRqBFtVC0]|15-19|Female|DIAGNOSED_SUBNAT.T_1|CY2021Q3</v>
      </c>
    </row>
    <row r="1201" customFormat="false" ht="15" hidden="false" customHeight="false" outlineLevel="0" collapsed="false">
      <c r="D1201" s="0" t="s">
        <v>115</v>
      </c>
      <c r="E1201" s="0" t="s">
        <v>116</v>
      </c>
      <c r="F1201" s="0" t="s">
        <v>47</v>
      </c>
      <c r="G1201" s="0" t="s">
        <v>93</v>
      </c>
      <c r="H1201" s="0" t="s">
        <v>94</v>
      </c>
      <c r="I1201" s="0" t="s">
        <v>63</v>
      </c>
      <c r="J1201" s="0" t="s">
        <v>64</v>
      </c>
      <c r="K1201" s="0" t="s">
        <v>58</v>
      </c>
      <c r="L1201" s="0" t="s">
        <v>59</v>
      </c>
      <c r="M1201" s="0" t="s">
        <v>50</v>
      </c>
      <c r="N1201" s="0" t="n">
        <v>127</v>
      </c>
      <c r="O1201" s="0" t="n">
        <v>16</v>
      </c>
      <c r="P1201" s="0" t="n">
        <v>22</v>
      </c>
      <c r="Q1201" s="5" t="str">
        <f aca="false">IF($D1201&lt;&gt;"","["&amp;$E1201&amp;"]"&amp;"|"&amp;SUBSTITUTE(SUBSTITUTE($I1201,CHAR(61),""),CHAR(34),"")&amp;"|"&amp;$K1201&amp;"|"&amp;$G1201&amp;"|"&amp;IF($G1201="TX_CURR_SUBNAT.R","CY2020Q4",$M1201),"")</f>
        <v>[mvPRqBFtVC0]|15-19|Male|DIAGNOSED_SUBNAT.T_1|CY2021Q3</v>
      </c>
    </row>
    <row r="1202" customFormat="false" ht="15" hidden="false" customHeight="false" outlineLevel="0" collapsed="false">
      <c r="D1202" s="0" t="s">
        <v>115</v>
      </c>
      <c r="E1202" s="0" t="s">
        <v>116</v>
      </c>
      <c r="F1202" s="0" t="s">
        <v>47</v>
      </c>
      <c r="G1202" s="0" t="s">
        <v>93</v>
      </c>
      <c r="H1202" s="0" t="s">
        <v>94</v>
      </c>
      <c r="I1202" s="0" t="s">
        <v>66</v>
      </c>
      <c r="J1202" s="0" t="s">
        <v>67</v>
      </c>
      <c r="K1202" s="0" t="s">
        <v>56</v>
      </c>
      <c r="L1202" s="0" t="s">
        <v>57</v>
      </c>
      <c r="M1202" s="0" t="s">
        <v>50</v>
      </c>
      <c r="N1202" s="0" t="n">
        <v>450</v>
      </c>
      <c r="O1202" s="0" t="n">
        <v>39</v>
      </c>
      <c r="P1202" s="0" t="n">
        <v>47</v>
      </c>
      <c r="Q1202" s="5" t="str">
        <f aca="false">IF($D1202&lt;&gt;"","["&amp;$E1202&amp;"]"&amp;"|"&amp;SUBSTITUTE(SUBSTITUTE($I1202,CHAR(61),""),CHAR(34),"")&amp;"|"&amp;$K1202&amp;"|"&amp;$G1202&amp;"|"&amp;IF($G1202="TX_CURR_SUBNAT.R","CY2020Q4",$M1202),"")</f>
        <v>[mvPRqBFtVC0]|20-24|Female|DIAGNOSED_SUBNAT.T_1|CY2021Q3</v>
      </c>
    </row>
    <row r="1203" customFormat="false" ht="15" hidden="false" customHeight="false" outlineLevel="0" collapsed="false">
      <c r="D1203" s="0" t="s">
        <v>115</v>
      </c>
      <c r="E1203" s="0" t="s">
        <v>116</v>
      </c>
      <c r="F1203" s="0" t="s">
        <v>47</v>
      </c>
      <c r="G1203" s="0" t="s">
        <v>93</v>
      </c>
      <c r="H1203" s="0" t="s">
        <v>94</v>
      </c>
      <c r="I1203" s="0" t="s">
        <v>66</v>
      </c>
      <c r="J1203" s="0" t="s">
        <v>67</v>
      </c>
      <c r="K1203" s="0" t="s">
        <v>58</v>
      </c>
      <c r="L1203" s="0" t="s">
        <v>59</v>
      </c>
      <c r="M1203" s="0" t="s">
        <v>50</v>
      </c>
      <c r="N1203" s="0" t="n">
        <v>162</v>
      </c>
      <c r="O1203" s="0" t="n">
        <v>56</v>
      </c>
      <c r="P1203" s="0" t="n">
        <v>10</v>
      </c>
      <c r="Q1203" s="5" t="str">
        <f aca="false">IF($D1203&lt;&gt;"","["&amp;$E1203&amp;"]"&amp;"|"&amp;SUBSTITUTE(SUBSTITUTE($I1203,CHAR(61),""),CHAR(34),"")&amp;"|"&amp;$K1203&amp;"|"&amp;$G1203&amp;"|"&amp;IF($G1203="TX_CURR_SUBNAT.R","CY2020Q4",$M1203),"")</f>
        <v>[mvPRqBFtVC0]|20-24|Male|DIAGNOSED_SUBNAT.T_1|CY2021Q3</v>
      </c>
    </row>
    <row r="1204" customFormat="false" ht="15" hidden="false" customHeight="false" outlineLevel="0" collapsed="false">
      <c r="D1204" s="0" t="s">
        <v>115</v>
      </c>
      <c r="E1204" s="0" t="s">
        <v>116</v>
      </c>
      <c r="F1204" s="0" t="s">
        <v>47</v>
      </c>
      <c r="G1204" s="0" t="s">
        <v>93</v>
      </c>
      <c r="H1204" s="0" t="s">
        <v>94</v>
      </c>
      <c r="I1204" s="0" t="s">
        <v>69</v>
      </c>
      <c r="J1204" s="0" t="s">
        <v>70</v>
      </c>
      <c r="K1204" s="0" t="s">
        <v>56</v>
      </c>
      <c r="L1204" s="0" t="s">
        <v>57</v>
      </c>
      <c r="M1204" s="0" t="s">
        <v>50</v>
      </c>
      <c r="N1204" s="0" t="n">
        <v>808</v>
      </c>
      <c r="O1204" s="0" t="n">
        <v>31</v>
      </c>
      <c r="P1204" s="0" t="n">
        <v>5</v>
      </c>
      <c r="Q1204" s="5" t="str">
        <f aca="false">IF($D1204&lt;&gt;"","["&amp;$E1204&amp;"]"&amp;"|"&amp;SUBSTITUTE(SUBSTITUTE($I1204,CHAR(61),""),CHAR(34),"")&amp;"|"&amp;$K1204&amp;"|"&amp;$G1204&amp;"|"&amp;IF($G1204="TX_CURR_SUBNAT.R","CY2020Q4",$M1204),"")</f>
        <v>[mvPRqBFtVC0]|25-29|Female|DIAGNOSED_SUBNAT.T_1|CY2021Q3</v>
      </c>
    </row>
    <row r="1205" customFormat="false" ht="15" hidden="false" customHeight="false" outlineLevel="0" collapsed="false">
      <c r="D1205" s="0" t="s">
        <v>115</v>
      </c>
      <c r="E1205" s="0" t="s">
        <v>116</v>
      </c>
      <c r="F1205" s="0" t="s">
        <v>47</v>
      </c>
      <c r="G1205" s="0" t="s">
        <v>93</v>
      </c>
      <c r="H1205" s="0" t="s">
        <v>94</v>
      </c>
      <c r="I1205" s="0" t="s">
        <v>69</v>
      </c>
      <c r="J1205" s="0" t="s">
        <v>70</v>
      </c>
      <c r="K1205" s="0" t="s">
        <v>58</v>
      </c>
      <c r="L1205" s="0" t="s">
        <v>59</v>
      </c>
      <c r="M1205" s="0" t="s">
        <v>50</v>
      </c>
      <c r="N1205" s="0" t="n">
        <v>313</v>
      </c>
      <c r="O1205" s="0" t="n">
        <v>46</v>
      </c>
      <c r="P1205" s="0" t="n">
        <v>5</v>
      </c>
      <c r="Q1205" s="5" t="str">
        <f aca="false">IF($D1205&lt;&gt;"","["&amp;$E1205&amp;"]"&amp;"|"&amp;SUBSTITUTE(SUBSTITUTE($I1205,CHAR(61),""),CHAR(34),"")&amp;"|"&amp;$K1205&amp;"|"&amp;$G1205&amp;"|"&amp;IF($G1205="TX_CURR_SUBNAT.R","CY2020Q4",$M1205),"")</f>
        <v>[mvPRqBFtVC0]|25-29|Male|DIAGNOSED_SUBNAT.T_1|CY2021Q3</v>
      </c>
    </row>
    <row r="1206" customFormat="false" ht="15" hidden="false" customHeight="false" outlineLevel="0" collapsed="false">
      <c r="D1206" s="0" t="s">
        <v>115</v>
      </c>
      <c r="E1206" s="0" t="s">
        <v>116</v>
      </c>
      <c r="F1206" s="0" t="s">
        <v>47</v>
      </c>
      <c r="G1206" s="0" t="s">
        <v>93</v>
      </c>
      <c r="H1206" s="0" t="s">
        <v>94</v>
      </c>
      <c r="I1206" s="0" t="s">
        <v>72</v>
      </c>
      <c r="J1206" s="0" t="s">
        <v>73</v>
      </c>
      <c r="K1206" s="0" t="s">
        <v>56</v>
      </c>
      <c r="L1206" s="0" t="s">
        <v>57</v>
      </c>
      <c r="M1206" s="0" t="s">
        <v>50</v>
      </c>
      <c r="N1206" s="0" t="n">
        <v>1059</v>
      </c>
      <c r="O1206" s="0" t="n">
        <v>55</v>
      </c>
      <c r="P1206" s="0" t="n">
        <v>14</v>
      </c>
      <c r="Q1206" s="5" t="str">
        <f aca="false">IF($D1206&lt;&gt;"","["&amp;$E1206&amp;"]"&amp;"|"&amp;SUBSTITUTE(SUBSTITUTE($I1206,CHAR(61),""),CHAR(34),"")&amp;"|"&amp;$K1206&amp;"|"&amp;$G1206&amp;"|"&amp;IF($G1206="TX_CURR_SUBNAT.R","CY2020Q4",$M1206),"")</f>
        <v>[mvPRqBFtVC0]|30-34|Female|DIAGNOSED_SUBNAT.T_1|CY2021Q3</v>
      </c>
    </row>
    <row r="1207" customFormat="false" ht="15" hidden="false" customHeight="false" outlineLevel="0" collapsed="false">
      <c r="D1207" s="0" t="s">
        <v>115</v>
      </c>
      <c r="E1207" s="0" t="s">
        <v>116</v>
      </c>
      <c r="F1207" s="0" t="s">
        <v>47</v>
      </c>
      <c r="G1207" s="0" t="s">
        <v>93</v>
      </c>
      <c r="H1207" s="0" t="s">
        <v>94</v>
      </c>
      <c r="I1207" s="0" t="s">
        <v>72</v>
      </c>
      <c r="J1207" s="0" t="s">
        <v>73</v>
      </c>
      <c r="K1207" s="0" t="s">
        <v>58</v>
      </c>
      <c r="L1207" s="0" t="s">
        <v>59</v>
      </c>
      <c r="M1207" s="0" t="s">
        <v>50</v>
      </c>
      <c r="N1207" s="0" t="n">
        <v>540</v>
      </c>
      <c r="O1207" s="0" t="n">
        <v>51</v>
      </c>
      <c r="P1207" s="0" t="n">
        <v>18</v>
      </c>
      <c r="Q1207" s="5" t="str">
        <f aca="false">IF($D1207&lt;&gt;"","["&amp;$E1207&amp;"]"&amp;"|"&amp;SUBSTITUTE(SUBSTITUTE($I1207,CHAR(61),""),CHAR(34),"")&amp;"|"&amp;$K1207&amp;"|"&amp;$G1207&amp;"|"&amp;IF($G1207="TX_CURR_SUBNAT.R","CY2020Q4",$M1207),"")</f>
        <v>[mvPRqBFtVC0]|30-34|Male|DIAGNOSED_SUBNAT.T_1|CY2021Q3</v>
      </c>
    </row>
    <row r="1208" customFormat="false" ht="15" hidden="false" customHeight="false" outlineLevel="0" collapsed="false">
      <c r="D1208" s="0" t="s">
        <v>115</v>
      </c>
      <c r="E1208" s="0" t="s">
        <v>116</v>
      </c>
      <c r="F1208" s="0" t="s">
        <v>47</v>
      </c>
      <c r="G1208" s="0" t="s">
        <v>93</v>
      </c>
      <c r="H1208" s="0" t="s">
        <v>94</v>
      </c>
      <c r="I1208" s="0" t="s">
        <v>75</v>
      </c>
      <c r="J1208" s="0" t="s">
        <v>76</v>
      </c>
      <c r="K1208" s="0" t="s">
        <v>56</v>
      </c>
      <c r="L1208" s="0" t="s">
        <v>57</v>
      </c>
      <c r="M1208" s="0" t="s">
        <v>50</v>
      </c>
      <c r="N1208" s="0" t="n">
        <v>1172</v>
      </c>
      <c r="O1208" s="0" t="n">
        <v>42</v>
      </c>
      <c r="P1208" s="0" t="n">
        <v>6</v>
      </c>
      <c r="Q1208" s="5" t="str">
        <f aca="false">IF($D1208&lt;&gt;"","["&amp;$E1208&amp;"]"&amp;"|"&amp;SUBSTITUTE(SUBSTITUTE($I1208,CHAR(61),""),CHAR(34),"")&amp;"|"&amp;$K1208&amp;"|"&amp;$G1208&amp;"|"&amp;IF($G1208="TX_CURR_SUBNAT.R","CY2020Q4",$M1208),"")</f>
        <v>[mvPRqBFtVC0]|35-39|Female|DIAGNOSED_SUBNAT.T_1|CY2021Q3</v>
      </c>
    </row>
    <row r="1209" customFormat="false" ht="15" hidden="false" customHeight="false" outlineLevel="0" collapsed="false">
      <c r="D1209" s="0" t="s">
        <v>115</v>
      </c>
      <c r="E1209" s="0" t="s">
        <v>116</v>
      </c>
      <c r="F1209" s="0" t="s">
        <v>47</v>
      </c>
      <c r="G1209" s="0" t="s">
        <v>93</v>
      </c>
      <c r="H1209" s="0" t="s">
        <v>94</v>
      </c>
      <c r="I1209" s="0" t="s">
        <v>75</v>
      </c>
      <c r="J1209" s="0" t="s">
        <v>76</v>
      </c>
      <c r="K1209" s="0" t="s">
        <v>58</v>
      </c>
      <c r="L1209" s="0" t="s">
        <v>59</v>
      </c>
      <c r="M1209" s="0" t="s">
        <v>50</v>
      </c>
      <c r="N1209" s="0" t="n">
        <v>746</v>
      </c>
      <c r="O1209" s="0" t="n">
        <v>9</v>
      </c>
      <c r="P1209" s="0" t="n">
        <v>47</v>
      </c>
      <c r="Q1209" s="5" t="str">
        <f aca="false">IF($D1209&lt;&gt;"","["&amp;$E1209&amp;"]"&amp;"|"&amp;SUBSTITUTE(SUBSTITUTE($I1209,CHAR(61),""),CHAR(34),"")&amp;"|"&amp;$K1209&amp;"|"&amp;$G1209&amp;"|"&amp;IF($G1209="TX_CURR_SUBNAT.R","CY2020Q4",$M1209),"")</f>
        <v>[mvPRqBFtVC0]|35-39|Male|DIAGNOSED_SUBNAT.T_1|CY2021Q3</v>
      </c>
    </row>
    <row r="1210" customFormat="false" ht="15" hidden="false" customHeight="false" outlineLevel="0" collapsed="false">
      <c r="D1210" s="0" t="s">
        <v>115</v>
      </c>
      <c r="E1210" s="0" t="s">
        <v>116</v>
      </c>
      <c r="F1210" s="0" t="s">
        <v>47</v>
      </c>
      <c r="G1210" s="0" t="s">
        <v>93</v>
      </c>
      <c r="H1210" s="0" t="s">
        <v>94</v>
      </c>
      <c r="I1210" s="0" t="s">
        <v>77</v>
      </c>
      <c r="J1210" s="0" t="s">
        <v>78</v>
      </c>
      <c r="K1210" s="0" t="s">
        <v>56</v>
      </c>
      <c r="L1210" s="0" t="s">
        <v>57</v>
      </c>
      <c r="M1210" s="0" t="s">
        <v>50</v>
      </c>
      <c r="N1210" s="0" t="n">
        <v>1133</v>
      </c>
      <c r="O1210" s="0" t="n">
        <v>17</v>
      </c>
      <c r="P1210" s="0" t="n">
        <v>45</v>
      </c>
      <c r="Q1210" s="5" t="str">
        <f aca="false">IF($D1210&lt;&gt;"","["&amp;$E1210&amp;"]"&amp;"|"&amp;SUBSTITUTE(SUBSTITUTE($I1210,CHAR(61),""),CHAR(34),"")&amp;"|"&amp;$K1210&amp;"|"&amp;$G1210&amp;"|"&amp;IF($G1210="TX_CURR_SUBNAT.R","CY2020Q4",$M1210),"")</f>
        <v>[mvPRqBFtVC0]|40-44|Female|DIAGNOSED_SUBNAT.T_1|CY2021Q3</v>
      </c>
    </row>
    <row r="1211" customFormat="false" ht="15" hidden="false" customHeight="false" outlineLevel="0" collapsed="false">
      <c r="D1211" s="0" t="s">
        <v>115</v>
      </c>
      <c r="E1211" s="0" t="s">
        <v>116</v>
      </c>
      <c r="F1211" s="0" t="s">
        <v>47</v>
      </c>
      <c r="G1211" s="0" t="s">
        <v>93</v>
      </c>
      <c r="H1211" s="0" t="s">
        <v>94</v>
      </c>
      <c r="I1211" s="0" t="s">
        <v>77</v>
      </c>
      <c r="J1211" s="0" t="s">
        <v>78</v>
      </c>
      <c r="K1211" s="0" t="s">
        <v>58</v>
      </c>
      <c r="L1211" s="0" t="s">
        <v>59</v>
      </c>
      <c r="M1211" s="0" t="s">
        <v>50</v>
      </c>
      <c r="N1211" s="0" t="n">
        <v>775</v>
      </c>
      <c r="O1211" s="0" t="n">
        <v>29</v>
      </c>
      <c r="P1211" s="0" t="n">
        <v>14</v>
      </c>
      <c r="Q1211" s="5" t="str">
        <f aca="false">IF($D1211&lt;&gt;"","["&amp;$E1211&amp;"]"&amp;"|"&amp;SUBSTITUTE(SUBSTITUTE($I1211,CHAR(61),""),CHAR(34),"")&amp;"|"&amp;$K1211&amp;"|"&amp;$G1211&amp;"|"&amp;IF($G1211="TX_CURR_SUBNAT.R","CY2020Q4",$M1211),"")</f>
        <v>[mvPRqBFtVC0]|40-44|Male|DIAGNOSED_SUBNAT.T_1|CY2021Q3</v>
      </c>
    </row>
    <row r="1212" customFormat="false" ht="15" hidden="false" customHeight="false" outlineLevel="0" collapsed="false">
      <c r="D1212" s="0" t="s">
        <v>115</v>
      </c>
      <c r="E1212" s="0" t="s">
        <v>116</v>
      </c>
      <c r="F1212" s="0" t="s">
        <v>47</v>
      </c>
      <c r="G1212" s="0" t="s">
        <v>93</v>
      </c>
      <c r="H1212" s="0" t="s">
        <v>94</v>
      </c>
      <c r="I1212" s="0" t="s">
        <v>80</v>
      </c>
      <c r="J1212" s="0" t="s">
        <v>81</v>
      </c>
      <c r="K1212" s="0" t="s">
        <v>56</v>
      </c>
      <c r="L1212" s="0" t="s">
        <v>57</v>
      </c>
      <c r="M1212" s="0" t="s">
        <v>50</v>
      </c>
      <c r="N1212" s="0" t="n">
        <v>882</v>
      </c>
      <c r="O1212" s="0" t="n">
        <v>48</v>
      </c>
      <c r="P1212" s="0" t="n">
        <v>17</v>
      </c>
      <c r="Q1212" s="5" t="str">
        <f aca="false">IF($D1212&lt;&gt;"","["&amp;$E1212&amp;"]"&amp;"|"&amp;SUBSTITUTE(SUBSTITUTE($I1212,CHAR(61),""),CHAR(34),"")&amp;"|"&amp;$K1212&amp;"|"&amp;$G1212&amp;"|"&amp;IF($G1212="TX_CURR_SUBNAT.R","CY2020Q4",$M1212),"")</f>
        <v>[mvPRqBFtVC0]|45-49|Female|DIAGNOSED_SUBNAT.T_1|CY2021Q3</v>
      </c>
    </row>
    <row r="1213" customFormat="false" ht="15" hidden="false" customHeight="false" outlineLevel="0" collapsed="false">
      <c r="D1213" s="0" t="s">
        <v>115</v>
      </c>
      <c r="E1213" s="0" t="s">
        <v>116</v>
      </c>
      <c r="F1213" s="0" t="s">
        <v>47</v>
      </c>
      <c r="G1213" s="0" t="s">
        <v>93</v>
      </c>
      <c r="H1213" s="0" t="s">
        <v>94</v>
      </c>
      <c r="I1213" s="0" t="s">
        <v>80</v>
      </c>
      <c r="J1213" s="0" t="s">
        <v>81</v>
      </c>
      <c r="K1213" s="0" t="s">
        <v>58</v>
      </c>
      <c r="L1213" s="0" t="s">
        <v>59</v>
      </c>
      <c r="M1213" s="0" t="s">
        <v>50</v>
      </c>
      <c r="N1213" s="0" t="n">
        <v>628</v>
      </c>
      <c r="O1213" s="0" t="n">
        <v>1</v>
      </c>
      <c r="P1213" s="0" t="n">
        <v>43</v>
      </c>
      <c r="Q1213" s="5" t="str">
        <f aca="false">IF($D1213&lt;&gt;"","["&amp;$E1213&amp;"]"&amp;"|"&amp;SUBSTITUTE(SUBSTITUTE($I1213,CHAR(61),""),CHAR(34),"")&amp;"|"&amp;$K1213&amp;"|"&amp;$G1213&amp;"|"&amp;IF($G1213="TX_CURR_SUBNAT.R","CY2020Q4",$M1213),"")</f>
        <v>[mvPRqBFtVC0]|45-49|Male|DIAGNOSED_SUBNAT.T_1|CY2021Q3</v>
      </c>
    </row>
    <row r="1214" customFormat="false" ht="15" hidden="false" customHeight="false" outlineLevel="0" collapsed="false">
      <c r="D1214" s="0" t="s">
        <v>115</v>
      </c>
      <c r="E1214" s="0" t="s">
        <v>116</v>
      </c>
      <c r="F1214" s="0" t="s">
        <v>47</v>
      </c>
      <c r="G1214" s="0" t="s">
        <v>93</v>
      </c>
      <c r="H1214" s="0" t="s">
        <v>94</v>
      </c>
      <c r="I1214" s="0" t="s">
        <v>83</v>
      </c>
      <c r="J1214" s="0" t="s">
        <v>84</v>
      </c>
      <c r="K1214" s="0" t="s">
        <v>56</v>
      </c>
      <c r="L1214" s="0" t="s">
        <v>57</v>
      </c>
      <c r="M1214" s="0" t="s">
        <v>50</v>
      </c>
      <c r="N1214" s="0" t="n">
        <v>49</v>
      </c>
      <c r="O1214" s="0" t="n">
        <v>5</v>
      </c>
      <c r="P1214" s="0" t="n">
        <v>36</v>
      </c>
      <c r="Q1214" s="5" t="str">
        <f aca="false">IF($D1214&lt;&gt;"","["&amp;$E1214&amp;"]"&amp;"|"&amp;SUBSTITUTE(SUBSTITUTE($I1214,CHAR(61),""),CHAR(34),"")&amp;"|"&amp;$K1214&amp;"|"&amp;$G1214&amp;"|"&amp;IF($G1214="TX_CURR_SUBNAT.R","CY2020Q4",$M1214),"")</f>
        <v>[mvPRqBFtVC0]|05-09|Female|DIAGNOSED_SUBNAT.T_1|CY2021Q3</v>
      </c>
    </row>
    <row r="1215" customFormat="false" ht="15" hidden="false" customHeight="false" outlineLevel="0" collapsed="false">
      <c r="D1215" s="0" t="s">
        <v>115</v>
      </c>
      <c r="E1215" s="0" t="s">
        <v>116</v>
      </c>
      <c r="F1215" s="0" t="s">
        <v>47</v>
      </c>
      <c r="G1215" s="0" t="s">
        <v>93</v>
      </c>
      <c r="H1215" s="0" t="s">
        <v>94</v>
      </c>
      <c r="I1215" s="0" t="s">
        <v>83</v>
      </c>
      <c r="J1215" s="0" t="s">
        <v>84</v>
      </c>
      <c r="K1215" s="0" t="s">
        <v>58</v>
      </c>
      <c r="L1215" s="0" t="s">
        <v>59</v>
      </c>
      <c r="M1215" s="0" t="s">
        <v>50</v>
      </c>
      <c r="N1215" s="0" t="n">
        <v>48</v>
      </c>
      <c r="O1215" s="0" t="n">
        <v>30</v>
      </c>
      <c r="P1215" s="0" t="n">
        <v>39</v>
      </c>
      <c r="Q1215" s="5" t="str">
        <f aca="false">IF($D1215&lt;&gt;"","["&amp;$E1215&amp;"]"&amp;"|"&amp;SUBSTITUTE(SUBSTITUTE($I1215,CHAR(61),""),CHAR(34),"")&amp;"|"&amp;$K1215&amp;"|"&amp;$G1215&amp;"|"&amp;IF($G1215="TX_CURR_SUBNAT.R","CY2020Q4",$M1215),"")</f>
        <v>[mvPRqBFtVC0]|05-09|Male|DIAGNOSED_SUBNAT.T_1|CY2021Q3</v>
      </c>
    </row>
    <row r="1216" customFormat="false" ht="15" hidden="false" customHeight="false" outlineLevel="0" collapsed="false">
      <c r="D1216" s="0" t="s">
        <v>115</v>
      </c>
      <c r="E1216" s="0" t="s">
        <v>116</v>
      </c>
      <c r="F1216" s="0" t="s">
        <v>47</v>
      </c>
      <c r="G1216" s="0" t="s">
        <v>93</v>
      </c>
      <c r="H1216" s="0" t="s">
        <v>94</v>
      </c>
      <c r="I1216" s="53" t="s">
        <v>86</v>
      </c>
      <c r="J1216" s="0" t="s">
        <v>87</v>
      </c>
      <c r="K1216" s="0" t="s">
        <v>56</v>
      </c>
      <c r="L1216" s="0" t="s">
        <v>57</v>
      </c>
      <c r="M1216" s="0" t="s">
        <v>50</v>
      </c>
      <c r="N1216" s="0" t="n">
        <v>1974</v>
      </c>
      <c r="O1216" s="0" t="n">
        <v>12</v>
      </c>
      <c r="P1216" s="0" t="n">
        <v>25</v>
      </c>
      <c r="Q1216" s="5" t="str">
        <f aca="false">IF($D1216&lt;&gt;"","["&amp;$E1216&amp;"]"&amp;"|"&amp;SUBSTITUTE(SUBSTITUTE($I1216,CHAR(61),""),CHAR(34),"")&amp;"|"&amp;$K1216&amp;"|"&amp;$G1216&amp;"|"&amp;IF($G1216="TX_CURR_SUBNAT.R","CY2020Q4",$M1216),"")</f>
        <v>[mvPRqBFtVC0]|50+|Female|DIAGNOSED_SUBNAT.T_1|CY2021Q3</v>
      </c>
    </row>
    <row r="1217" customFormat="false" ht="15" hidden="false" customHeight="false" outlineLevel="0" collapsed="false">
      <c r="D1217" s="0" t="s">
        <v>115</v>
      </c>
      <c r="E1217" s="0" t="s">
        <v>116</v>
      </c>
      <c r="F1217" s="0" t="s">
        <v>47</v>
      </c>
      <c r="G1217" s="0" t="s">
        <v>93</v>
      </c>
      <c r="H1217" s="0" t="s">
        <v>94</v>
      </c>
      <c r="I1217" s="53" t="s">
        <v>86</v>
      </c>
      <c r="J1217" s="0" t="s">
        <v>87</v>
      </c>
      <c r="K1217" s="0" t="s">
        <v>58</v>
      </c>
      <c r="L1217" s="0" t="s">
        <v>59</v>
      </c>
      <c r="M1217" s="0" t="s">
        <v>50</v>
      </c>
      <c r="N1217" s="0" t="n">
        <v>1434</v>
      </c>
      <c r="O1217" s="0" t="n">
        <v>28</v>
      </c>
      <c r="P1217" s="0" t="n">
        <v>8</v>
      </c>
      <c r="Q1217" s="5" t="str">
        <f aca="false">IF($D1217&lt;&gt;"","["&amp;$E1217&amp;"]"&amp;"|"&amp;SUBSTITUTE(SUBSTITUTE($I1217,CHAR(61),""),CHAR(34),"")&amp;"|"&amp;$K1217&amp;"|"&amp;$G1217&amp;"|"&amp;IF($G1217="TX_CURR_SUBNAT.R","CY2020Q4",$M1217),"")</f>
        <v>[mvPRqBFtVC0]|50+|Male|DIAGNOSED_SUBNAT.T_1|CY2021Q3</v>
      </c>
    </row>
    <row r="1218" customFormat="false" ht="15" hidden="false" customHeight="false" outlineLevel="0" collapsed="false">
      <c r="D1218" s="0" t="s">
        <v>115</v>
      </c>
      <c r="E1218" s="0" t="s">
        <v>116</v>
      </c>
      <c r="F1218" s="0" t="s">
        <v>47</v>
      </c>
      <c r="G1218" s="0" t="s">
        <v>93</v>
      </c>
      <c r="H1218" s="0" t="s">
        <v>94</v>
      </c>
      <c r="I1218" s="0" t="s">
        <v>89</v>
      </c>
      <c r="J1218" s="0" t="s">
        <v>90</v>
      </c>
      <c r="K1218" s="0" t="s">
        <v>56</v>
      </c>
      <c r="L1218" s="0" t="s">
        <v>57</v>
      </c>
      <c r="M1218" s="0" t="s">
        <v>50</v>
      </c>
      <c r="N1218" s="0" t="n">
        <v>3</v>
      </c>
      <c r="O1218" s="0" t="n">
        <v>21</v>
      </c>
      <c r="P1218" s="0" t="n">
        <v>5</v>
      </c>
      <c r="Q1218" s="5" t="str">
        <f aca="false">IF($D1218&lt;&gt;"","["&amp;$E1218&amp;"]"&amp;"|"&amp;SUBSTITUTE(SUBSTITUTE($I1218,CHAR(61),""),CHAR(34),"")&amp;"|"&amp;$K1218&amp;"|"&amp;$G1218&amp;"|"&amp;IF($G1218="TX_CURR_SUBNAT.R","CY2020Q4",$M1218),"")</f>
        <v>[mvPRqBFtVC0]|&lt;01|Female|DIAGNOSED_SUBNAT.T_1|CY2021Q3</v>
      </c>
    </row>
    <row r="1219" customFormat="false" ht="15" hidden="false" customHeight="false" outlineLevel="0" collapsed="false">
      <c r="D1219" s="0" t="s">
        <v>115</v>
      </c>
      <c r="E1219" s="0" t="s">
        <v>116</v>
      </c>
      <c r="F1219" s="0" t="s">
        <v>47</v>
      </c>
      <c r="G1219" s="0" t="s">
        <v>93</v>
      </c>
      <c r="H1219" s="0" t="s">
        <v>94</v>
      </c>
      <c r="I1219" s="0" t="s">
        <v>89</v>
      </c>
      <c r="J1219" s="0" t="s">
        <v>90</v>
      </c>
      <c r="K1219" s="0" t="s">
        <v>58</v>
      </c>
      <c r="L1219" s="0" t="s">
        <v>59</v>
      </c>
      <c r="M1219" s="0" t="s">
        <v>50</v>
      </c>
      <c r="N1219" s="0" t="n">
        <v>3</v>
      </c>
      <c r="O1219" s="0" t="n">
        <v>52</v>
      </c>
      <c r="P1219" s="0" t="n">
        <v>19</v>
      </c>
      <c r="Q1219" s="5" t="str">
        <f aca="false">IF($D1219&lt;&gt;"","["&amp;$E1219&amp;"]"&amp;"|"&amp;SUBSTITUTE(SUBSTITUTE($I1219,CHAR(61),""),CHAR(34),"")&amp;"|"&amp;$K1219&amp;"|"&amp;$G1219&amp;"|"&amp;IF($G1219="TX_CURR_SUBNAT.R","CY2020Q4",$M1219),"")</f>
        <v>[mvPRqBFtVC0]|&lt;01|Male|DIAGNOSED_SUBNAT.T_1|CY2021Q3</v>
      </c>
    </row>
    <row r="1220" customFormat="false" ht="15" hidden="false" customHeight="false" outlineLevel="0" collapsed="false">
      <c r="D1220" s="0" t="s">
        <v>115</v>
      </c>
      <c r="E1220" s="0" t="s">
        <v>116</v>
      </c>
      <c r="F1220" s="0" t="s">
        <v>47</v>
      </c>
      <c r="G1220" s="0" t="s">
        <v>95</v>
      </c>
      <c r="H1220" s="0" t="s">
        <v>96</v>
      </c>
      <c r="I1220" s="0" t="s">
        <v>54</v>
      </c>
      <c r="J1220" s="0" t="s">
        <v>55</v>
      </c>
      <c r="K1220" s="0" t="s">
        <v>56</v>
      </c>
      <c r="L1220" s="0" t="s">
        <v>57</v>
      </c>
      <c r="M1220" s="0" t="s">
        <v>50</v>
      </c>
      <c r="N1220" s="0" t="n">
        <v>9</v>
      </c>
      <c r="O1220" s="0" t="n">
        <v>23</v>
      </c>
      <c r="P1220" s="0" t="n">
        <v>25</v>
      </c>
      <c r="Q1220" s="5" t="str">
        <f aca="false">IF($D1220&lt;&gt;"","["&amp;$E1220&amp;"]"&amp;"|"&amp;SUBSTITUTE(SUBSTITUTE($I1220,CHAR(61),""),CHAR(34),"")&amp;"|"&amp;$K1220&amp;"|"&amp;$G1220&amp;"|"&amp;IF($G1220="TX_CURR_SUBNAT.R","CY2020Q4",$M1220),"")</f>
        <v>[mvPRqBFtVC0]|01-04|Female|VL_SUPPRESSED.T_1|CY2021Q3</v>
      </c>
    </row>
    <row r="1221" customFormat="false" ht="15" hidden="false" customHeight="false" outlineLevel="0" collapsed="false">
      <c r="D1221" s="0" t="s">
        <v>115</v>
      </c>
      <c r="E1221" s="0" t="s">
        <v>116</v>
      </c>
      <c r="F1221" s="0" t="s">
        <v>47</v>
      </c>
      <c r="G1221" s="0" t="s">
        <v>95</v>
      </c>
      <c r="H1221" s="0" t="s">
        <v>96</v>
      </c>
      <c r="I1221" s="0" t="s">
        <v>54</v>
      </c>
      <c r="J1221" s="0" t="s">
        <v>55</v>
      </c>
      <c r="K1221" s="0" t="s">
        <v>58</v>
      </c>
      <c r="L1221" s="0" t="s">
        <v>59</v>
      </c>
      <c r="M1221" s="0" t="s">
        <v>50</v>
      </c>
      <c r="N1221" s="0" t="n">
        <v>15</v>
      </c>
      <c r="O1221" s="0" t="n">
        <v>20</v>
      </c>
      <c r="P1221" s="0" t="n">
        <v>43</v>
      </c>
      <c r="Q1221" s="5" t="str">
        <f aca="false">IF($D1221&lt;&gt;"","["&amp;$E1221&amp;"]"&amp;"|"&amp;SUBSTITUTE(SUBSTITUTE($I1221,CHAR(61),""),CHAR(34),"")&amp;"|"&amp;$K1221&amp;"|"&amp;$G1221&amp;"|"&amp;IF($G1221="TX_CURR_SUBNAT.R","CY2020Q4",$M1221),"")</f>
        <v>[mvPRqBFtVC0]|01-04|Male|VL_SUPPRESSED.T_1|CY2021Q3</v>
      </c>
    </row>
    <row r="1222" customFormat="false" ht="15" hidden="false" customHeight="false" outlineLevel="0" collapsed="false">
      <c r="D1222" s="0" t="s">
        <v>115</v>
      </c>
      <c r="E1222" s="0" t="s">
        <v>116</v>
      </c>
      <c r="F1222" s="0" t="s">
        <v>47</v>
      </c>
      <c r="G1222" s="0" t="s">
        <v>95</v>
      </c>
      <c r="H1222" s="0" t="s">
        <v>96</v>
      </c>
      <c r="I1222" s="0" t="s">
        <v>61</v>
      </c>
      <c r="J1222" s="0" t="s">
        <v>62</v>
      </c>
      <c r="K1222" s="0" t="s">
        <v>56</v>
      </c>
      <c r="L1222" s="0" t="s">
        <v>57</v>
      </c>
      <c r="M1222" s="0" t="s">
        <v>50</v>
      </c>
      <c r="N1222" s="0" t="n">
        <v>99</v>
      </c>
      <c r="O1222" s="0" t="n">
        <v>31</v>
      </c>
      <c r="P1222" s="0" t="n">
        <v>5</v>
      </c>
      <c r="Q1222" s="5" t="str">
        <f aca="false">IF($D1222&lt;&gt;"","["&amp;$E1222&amp;"]"&amp;"|"&amp;SUBSTITUTE(SUBSTITUTE($I1222,CHAR(61),""),CHAR(34),"")&amp;"|"&amp;$K1222&amp;"|"&amp;$G1222&amp;"|"&amp;IF($G1222="TX_CURR_SUBNAT.R","CY2020Q4",$M1222),"")</f>
        <v>[mvPRqBFtVC0]|10-14|Female|VL_SUPPRESSED.T_1|CY2021Q3</v>
      </c>
    </row>
    <row r="1223" customFormat="false" ht="15" hidden="false" customHeight="false" outlineLevel="0" collapsed="false">
      <c r="D1223" s="0" t="s">
        <v>115</v>
      </c>
      <c r="E1223" s="0" t="s">
        <v>116</v>
      </c>
      <c r="F1223" s="0" t="s">
        <v>47</v>
      </c>
      <c r="G1223" s="0" t="s">
        <v>95</v>
      </c>
      <c r="H1223" s="0" t="s">
        <v>96</v>
      </c>
      <c r="I1223" s="0" t="s">
        <v>61</v>
      </c>
      <c r="J1223" s="0" t="s">
        <v>62</v>
      </c>
      <c r="K1223" s="0" t="s">
        <v>58</v>
      </c>
      <c r="L1223" s="0" t="s">
        <v>59</v>
      </c>
      <c r="M1223" s="0" t="s">
        <v>50</v>
      </c>
      <c r="N1223" s="0" t="n">
        <v>94</v>
      </c>
      <c r="O1223" s="0" t="n">
        <v>31</v>
      </c>
      <c r="P1223" s="0" t="n">
        <v>26</v>
      </c>
      <c r="Q1223" s="5" t="str">
        <f aca="false">IF($D1223&lt;&gt;"","["&amp;$E1223&amp;"]"&amp;"|"&amp;SUBSTITUTE(SUBSTITUTE($I1223,CHAR(61),""),CHAR(34),"")&amp;"|"&amp;$K1223&amp;"|"&amp;$G1223&amp;"|"&amp;IF($G1223="TX_CURR_SUBNAT.R","CY2020Q4",$M1223),"")</f>
        <v>[mvPRqBFtVC0]|10-14|Male|VL_SUPPRESSED.T_1|CY2021Q3</v>
      </c>
    </row>
    <row r="1224" customFormat="false" ht="15" hidden="false" customHeight="false" outlineLevel="0" collapsed="false">
      <c r="D1224" s="0" t="s">
        <v>115</v>
      </c>
      <c r="E1224" s="0" t="s">
        <v>116</v>
      </c>
      <c r="F1224" s="0" t="s">
        <v>47</v>
      </c>
      <c r="G1224" s="0" t="s">
        <v>95</v>
      </c>
      <c r="H1224" s="0" t="s">
        <v>96</v>
      </c>
      <c r="I1224" s="0" t="s">
        <v>63</v>
      </c>
      <c r="J1224" s="0" t="s">
        <v>64</v>
      </c>
      <c r="K1224" s="0" t="s">
        <v>56</v>
      </c>
      <c r="L1224" s="0" t="s">
        <v>57</v>
      </c>
      <c r="M1224" s="0" t="s">
        <v>50</v>
      </c>
      <c r="N1224" s="0" t="n">
        <v>143</v>
      </c>
      <c r="O1224" s="0" t="n">
        <v>24</v>
      </c>
      <c r="P1224" s="0" t="n">
        <v>4</v>
      </c>
      <c r="Q1224" s="5" t="str">
        <f aca="false">IF($D1224&lt;&gt;"","["&amp;$E1224&amp;"]"&amp;"|"&amp;SUBSTITUTE(SUBSTITUTE($I1224,CHAR(61),""),CHAR(34),"")&amp;"|"&amp;$K1224&amp;"|"&amp;$G1224&amp;"|"&amp;IF($G1224="TX_CURR_SUBNAT.R","CY2020Q4",$M1224),"")</f>
        <v>[mvPRqBFtVC0]|15-19|Female|VL_SUPPRESSED.T_1|CY2021Q3</v>
      </c>
    </row>
    <row r="1225" customFormat="false" ht="15" hidden="false" customHeight="false" outlineLevel="0" collapsed="false">
      <c r="D1225" s="0" t="s">
        <v>115</v>
      </c>
      <c r="E1225" s="0" t="s">
        <v>116</v>
      </c>
      <c r="F1225" s="0" t="s">
        <v>47</v>
      </c>
      <c r="G1225" s="0" t="s">
        <v>95</v>
      </c>
      <c r="H1225" s="0" t="s">
        <v>96</v>
      </c>
      <c r="I1225" s="0" t="s">
        <v>63</v>
      </c>
      <c r="J1225" s="0" t="s">
        <v>64</v>
      </c>
      <c r="K1225" s="0" t="s">
        <v>58</v>
      </c>
      <c r="L1225" s="0" t="s">
        <v>59</v>
      </c>
      <c r="M1225" s="0" t="s">
        <v>50</v>
      </c>
      <c r="N1225" s="0" t="n">
        <v>127</v>
      </c>
      <c r="O1225" s="0" t="n">
        <v>34</v>
      </c>
      <c r="P1225" s="0" t="n">
        <v>31</v>
      </c>
      <c r="Q1225" s="5" t="str">
        <f aca="false">IF($D1225&lt;&gt;"","["&amp;$E1225&amp;"]"&amp;"|"&amp;SUBSTITUTE(SUBSTITUTE($I1225,CHAR(61),""),CHAR(34),"")&amp;"|"&amp;$K1225&amp;"|"&amp;$G1225&amp;"|"&amp;IF($G1225="TX_CURR_SUBNAT.R","CY2020Q4",$M1225),"")</f>
        <v>[mvPRqBFtVC0]|15-19|Male|VL_SUPPRESSED.T_1|CY2021Q3</v>
      </c>
    </row>
    <row r="1226" customFormat="false" ht="15" hidden="false" customHeight="false" outlineLevel="0" collapsed="false">
      <c r="D1226" s="0" t="s">
        <v>115</v>
      </c>
      <c r="E1226" s="0" t="s">
        <v>116</v>
      </c>
      <c r="F1226" s="0" t="s">
        <v>47</v>
      </c>
      <c r="G1226" s="0" t="s">
        <v>95</v>
      </c>
      <c r="H1226" s="0" t="s">
        <v>96</v>
      </c>
      <c r="I1226" s="0" t="s">
        <v>66</v>
      </c>
      <c r="J1226" s="0" t="s">
        <v>67</v>
      </c>
      <c r="K1226" s="0" t="s">
        <v>56</v>
      </c>
      <c r="L1226" s="0" t="s">
        <v>57</v>
      </c>
      <c r="M1226" s="0" t="s">
        <v>50</v>
      </c>
      <c r="N1226" s="0" t="n">
        <v>227</v>
      </c>
      <c r="O1226" s="0" t="n">
        <v>31</v>
      </c>
      <c r="P1226" s="0" t="n">
        <v>49</v>
      </c>
      <c r="Q1226" s="5" t="str">
        <f aca="false">IF($D1226&lt;&gt;"","["&amp;$E1226&amp;"]"&amp;"|"&amp;SUBSTITUTE(SUBSTITUTE($I1226,CHAR(61),""),CHAR(34),"")&amp;"|"&amp;$K1226&amp;"|"&amp;$G1226&amp;"|"&amp;IF($G1226="TX_CURR_SUBNAT.R","CY2020Q4",$M1226),"")</f>
        <v>[mvPRqBFtVC0]|20-24|Female|VL_SUPPRESSED.T_1|CY2021Q3</v>
      </c>
    </row>
    <row r="1227" customFormat="false" ht="15" hidden="false" customHeight="false" outlineLevel="0" collapsed="false">
      <c r="D1227" s="0" t="s">
        <v>115</v>
      </c>
      <c r="E1227" s="0" t="s">
        <v>116</v>
      </c>
      <c r="F1227" s="0" t="s">
        <v>47</v>
      </c>
      <c r="G1227" s="0" t="s">
        <v>95</v>
      </c>
      <c r="H1227" s="0" t="s">
        <v>96</v>
      </c>
      <c r="I1227" s="0" t="s">
        <v>66</v>
      </c>
      <c r="J1227" s="0" t="s">
        <v>67</v>
      </c>
      <c r="K1227" s="0" t="s">
        <v>58</v>
      </c>
      <c r="L1227" s="0" t="s">
        <v>59</v>
      </c>
      <c r="M1227" s="0" t="s">
        <v>50</v>
      </c>
      <c r="N1227" s="0" t="n">
        <v>52</v>
      </c>
      <c r="O1227" s="0" t="n">
        <v>39</v>
      </c>
      <c r="P1227" s="0" t="n">
        <v>29</v>
      </c>
      <c r="Q1227" s="5" t="str">
        <f aca="false">IF($D1227&lt;&gt;"","["&amp;$E1227&amp;"]"&amp;"|"&amp;SUBSTITUTE(SUBSTITUTE($I1227,CHAR(61),""),CHAR(34),"")&amp;"|"&amp;$K1227&amp;"|"&amp;$G1227&amp;"|"&amp;IF($G1227="TX_CURR_SUBNAT.R","CY2020Q4",$M1227),"")</f>
        <v>[mvPRqBFtVC0]|20-24|Male|VL_SUPPRESSED.T_1|CY2021Q3</v>
      </c>
    </row>
    <row r="1228" customFormat="false" ht="15" hidden="false" customHeight="false" outlineLevel="0" collapsed="false">
      <c r="D1228" s="0" t="s">
        <v>115</v>
      </c>
      <c r="E1228" s="0" t="s">
        <v>116</v>
      </c>
      <c r="F1228" s="0" t="s">
        <v>47</v>
      </c>
      <c r="G1228" s="0" t="s">
        <v>95</v>
      </c>
      <c r="H1228" s="0" t="s">
        <v>96</v>
      </c>
      <c r="I1228" s="0" t="s">
        <v>69</v>
      </c>
      <c r="J1228" s="0" t="s">
        <v>70</v>
      </c>
      <c r="K1228" s="0" t="s">
        <v>56</v>
      </c>
      <c r="L1228" s="0" t="s">
        <v>57</v>
      </c>
      <c r="M1228" s="0" t="s">
        <v>50</v>
      </c>
      <c r="N1228" s="0" t="n">
        <v>520</v>
      </c>
      <c r="O1228" s="0" t="n">
        <v>7</v>
      </c>
      <c r="P1228" s="0" t="n">
        <v>6</v>
      </c>
      <c r="Q1228" s="5" t="str">
        <f aca="false">IF($D1228&lt;&gt;"","["&amp;$E1228&amp;"]"&amp;"|"&amp;SUBSTITUTE(SUBSTITUTE($I1228,CHAR(61),""),CHAR(34),"")&amp;"|"&amp;$K1228&amp;"|"&amp;$G1228&amp;"|"&amp;IF($G1228="TX_CURR_SUBNAT.R","CY2020Q4",$M1228),"")</f>
        <v>[mvPRqBFtVC0]|25-29|Female|VL_SUPPRESSED.T_1|CY2021Q3</v>
      </c>
    </row>
    <row r="1229" customFormat="false" ht="15" hidden="false" customHeight="false" outlineLevel="0" collapsed="false">
      <c r="D1229" s="0" t="s">
        <v>115</v>
      </c>
      <c r="E1229" s="0" t="s">
        <v>116</v>
      </c>
      <c r="F1229" s="0" t="s">
        <v>47</v>
      </c>
      <c r="G1229" s="0" t="s">
        <v>95</v>
      </c>
      <c r="H1229" s="0" t="s">
        <v>96</v>
      </c>
      <c r="I1229" s="0" t="s">
        <v>69</v>
      </c>
      <c r="J1229" s="0" t="s">
        <v>70</v>
      </c>
      <c r="K1229" s="0" t="s">
        <v>58</v>
      </c>
      <c r="L1229" s="0" t="s">
        <v>59</v>
      </c>
      <c r="M1229" s="0" t="s">
        <v>50</v>
      </c>
      <c r="N1229" s="0" t="n">
        <v>91</v>
      </c>
      <c r="O1229" s="0" t="n">
        <v>6</v>
      </c>
      <c r="P1229" s="0" t="n">
        <v>10</v>
      </c>
      <c r="Q1229" s="5" t="str">
        <f aca="false">IF($D1229&lt;&gt;"","["&amp;$E1229&amp;"]"&amp;"|"&amp;SUBSTITUTE(SUBSTITUTE($I1229,CHAR(61),""),CHAR(34),"")&amp;"|"&amp;$K1229&amp;"|"&amp;$G1229&amp;"|"&amp;IF($G1229="TX_CURR_SUBNAT.R","CY2020Q4",$M1229),"")</f>
        <v>[mvPRqBFtVC0]|25-29|Male|VL_SUPPRESSED.T_1|CY2021Q3</v>
      </c>
    </row>
    <row r="1230" customFormat="false" ht="15" hidden="false" customHeight="false" outlineLevel="0" collapsed="false">
      <c r="D1230" s="0" t="s">
        <v>115</v>
      </c>
      <c r="E1230" s="0" t="s">
        <v>116</v>
      </c>
      <c r="F1230" s="0" t="s">
        <v>47</v>
      </c>
      <c r="G1230" s="0" t="s">
        <v>95</v>
      </c>
      <c r="H1230" s="0" t="s">
        <v>96</v>
      </c>
      <c r="I1230" s="0" t="s">
        <v>72</v>
      </c>
      <c r="J1230" s="0" t="s">
        <v>73</v>
      </c>
      <c r="K1230" s="0" t="s">
        <v>56</v>
      </c>
      <c r="L1230" s="0" t="s">
        <v>57</v>
      </c>
      <c r="M1230" s="0" t="s">
        <v>50</v>
      </c>
      <c r="N1230" s="0" t="n">
        <v>790</v>
      </c>
      <c r="O1230" s="0" t="n">
        <v>34</v>
      </c>
      <c r="P1230" s="0" t="n">
        <v>8</v>
      </c>
      <c r="Q1230" s="5" t="str">
        <f aca="false">IF($D1230&lt;&gt;"","["&amp;$E1230&amp;"]"&amp;"|"&amp;SUBSTITUTE(SUBSTITUTE($I1230,CHAR(61),""),CHAR(34),"")&amp;"|"&amp;$K1230&amp;"|"&amp;$G1230&amp;"|"&amp;IF($G1230="TX_CURR_SUBNAT.R","CY2020Q4",$M1230),"")</f>
        <v>[mvPRqBFtVC0]|30-34|Female|VL_SUPPRESSED.T_1|CY2021Q3</v>
      </c>
    </row>
    <row r="1231" customFormat="false" ht="15" hidden="false" customHeight="false" outlineLevel="0" collapsed="false">
      <c r="D1231" s="0" t="s">
        <v>115</v>
      </c>
      <c r="E1231" s="0" t="s">
        <v>116</v>
      </c>
      <c r="F1231" s="0" t="s">
        <v>47</v>
      </c>
      <c r="G1231" s="0" t="s">
        <v>95</v>
      </c>
      <c r="H1231" s="0" t="s">
        <v>96</v>
      </c>
      <c r="I1231" s="0" t="s">
        <v>72</v>
      </c>
      <c r="J1231" s="0" t="s">
        <v>73</v>
      </c>
      <c r="K1231" s="0" t="s">
        <v>58</v>
      </c>
      <c r="L1231" s="0" t="s">
        <v>59</v>
      </c>
      <c r="M1231" s="0" t="s">
        <v>50</v>
      </c>
      <c r="N1231" s="0" t="n">
        <v>245</v>
      </c>
      <c r="O1231" s="0" t="n">
        <v>37</v>
      </c>
      <c r="P1231" s="0" t="n">
        <v>2</v>
      </c>
      <c r="Q1231" s="5" t="str">
        <f aca="false">IF($D1231&lt;&gt;"","["&amp;$E1231&amp;"]"&amp;"|"&amp;SUBSTITUTE(SUBSTITUTE($I1231,CHAR(61),""),CHAR(34),"")&amp;"|"&amp;$K1231&amp;"|"&amp;$G1231&amp;"|"&amp;IF($G1231="TX_CURR_SUBNAT.R","CY2020Q4",$M1231),"")</f>
        <v>[mvPRqBFtVC0]|30-34|Male|VL_SUPPRESSED.T_1|CY2021Q3</v>
      </c>
    </row>
    <row r="1232" customFormat="false" ht="15" hidden="false" customHeight="false" outlineLevel="0" collapsed="false">
      <c r="D1232" s="0" t="s">
        <v>115</v>
      </c>
      <c r="E1232" s="0" t="s">
        <v>116</v>
      </c>
      <c r="F1232" s="0" t="s">
        <v>47</v>
      </c>
      <c r="G1232" s="0" t="s">
        <v>95</v>
      </c>
      <c r="H1232" s="0" t="s">
        <v>96</v>
      </c>
      <c r="I1232" s="0" t="s">
        <v>75</v>
      </c>
      <c r="J1232" s="0" t="s">
        <v>76</v>
      </c>
      <c r="K1232" s="0" t="s">
        <v>56</v>
      </c>
      <c r="L1232" s="0" t="s">
        <v>57</v>
      </c>
      <c r="M1232" s="0" t="s">
        <v>50</v>
      </c>
      <c r="N1232" s="0" t="n">
        <v>823</v>
      </c>
      <c r="O1232" s="0" t="n">
        <v>21</v>
      </c>
      <c r="P1232" s="0" t="n">
        <v>44</v>
      </c>
      <c r="Q1232" s="5" t="str">
        <f aca="false">IF($D1232&lt;&gt;"","["&amp;$E1232&amp;"]"&amp;"|"&amp;SUBSTITUTE(SUBSTITUTE($I1232,CHAR(61),""),CHAR(34),"")&amp;"|"&amp;$K1232&amp;"|"&amp;$G1232&amp;"|"&amp;IF($G1232="TX_CURR_SUBNAT.R","CY2020Q4",$M1232),"")</f>
        <v>[mvPRqBFtVC0]|35-39|Female|VL_SUPPRESSED.T_1|CY2021Q3</v>
      </c>
    </row>
    <row r="1233" customFormat="false" ht="15" hidden="false" customHeight="false" outlineLevel="0" collapsed="false">
      <c r="D1233" s="0" t="s">
        <v>115</v>
      </c>
      <c r="E1233" s="0" t="s">
        <v>116</v>
      </c>
      <c r="F1233" s="0" t="s">
        <v>47</v>
      </c>
      <c r="G1233" s="0" t="s">
        <v>95</v>
      </c>
      <c r="H1233" s="0" t="s">
        <v>96</v>
      </c>
      <c r="I1233" s="0" t="s">
        <v>75</v>
      </c>
      <c r="J1233" s="0" t="s">
        <v>76</v>
      </c>
      <c r="K1233" s="0" t="s">
        <v>58</v>
      </c>
      <c r="L1233" s="0" t="s">
        <v>59</v>
      </c>
      <c r="M1233" s="0" t="s">
        <v>50</v>
      </c>
      <c r="N1233" s="0" t="n">
        <v>446</v>
      </c>
      <c r="O1233" s="0" t="n">
        <v>27</v>
      </c>
      <c r="P1233" s="0" t="n">
        <v>48</v>
      </c>
      <c r="Q1233" s="5" t="str">
        <f aca="false">IF($D1233&lt;&gt;"","["&amp;$E1233&amp;"]"&amp;"|"&amp;SUBSTITUTE(SUBSTITUTE($I1233,CHAR(61),""),CHAR(34),"")&amp;"|"&amp;$K1233&amp;"|"&amp;$G1233&amp;"|"&amp;IF($G1233="TX_CURR_SUBNAT.R","CY2020Q4",$M1233),"")</f>
        <v>[mvPRqBFtVC0]|35-39|Male|VL_SUPPRESSED.T_1|CY2021Q3</v>
      </c>
    </row>
    <row r="1234" customFormat="false" ht="15" hidden="false" customHeight="false" outlineLevel="0" collapsed="false">
      <c r="D1234" s="0" t="s">
        <v>115</v>
      </c>
      <c r="E1234" s="0" t="s">
        <v>116</v>
      </c>
      <c r="F1234" s="0" t="s">
        <v>47</v>
      </c>
      <c r="G1234" s="0" t="s">
        <v>95</v>
      </c>
      <c r="H1234" s="0" t="s">
        <v>96</v>
      </c>
      <c r="I1234" s="0" t="s">
        <v>77</v>
      </c>
      <c r="J1234" s="0" t="s">
        <v>78</v>
      </c>
      <c r="K1234" s="0" t="s">
        <v>56</v>
      </c>
      <c r="L1234" s="0" t="s">
        <v>57</v>
      </c>
      <c r="M1234" s="0" t="s">
        <v>50</v>
      </c>
      <c r="N1234" s="0" t="n">
        <v>786</v>
      </c>
      <c r="O1234" s="0" t="n">
        <v>36</v>
      </c>
      <c r="P1234" s="0" t="n">
        <v>11</v>
      </c>
      <c r="Q1234" s="5" t="str">
        <f aca="false">IF($D1234&lt;&gt;"","["&amp;$E1234&amp;"]"&amp;"|"&amp;SUBSTITUTE(SUBSTITUTE($I1234,CHAR(61),""),CHAR(34),"")&amp;"|"&amp;$K1234&amp;"|"&amp;$G1234&amp;"|"&amp;IF($G1234="TX_CURR_SUBNAT.R","CY2020Q4",$M1234),"")</f>
        <v>[mvPRqBFtVC0]|40-44|Female|VL_SUPPRESSED.T_1|CY2021Q3</v>
      </c>
    </row>
    <row r="1235" customFormat="false" ht="15" hidden="false" customHeight="false" outlineLevel="0" collapsed="false">
      <c r="D1235" s="0" t="s">
        <v>115</v>
      </c>
      <c r="E1235" s="0" t="s">
        <v>116</v>
      </c>
      <c r="F1235" s="0" t="s">
        <v>47</v>
      </c>
      <c r="G1235" s="0" t="s">
        <v>95</v>
      </c>
      <c r="H1235" s="0" t="s">
        <v>96</v>
      </c>
      <c r="I1235" s="0" t="s">
        <v>77</v>
      </c>
      <c r="J1235" s="0" t="s">
        <v>78</v>
      </c>
      <c r="K1235" s="0" t="s">
        <v>58</v>
      </c>
      <c r="L1235" s="0" t="s">
        <v>59</v>
      </c>
      <c r="M1235" s="0" t="s">
        <v>50</v>
      </c>
      <c r="N1235" s="0" t="n">
        <v>510</v>
      </c>
      <c r="O1235" s="0" t="n">
        <v>58</v>
      </c>
      <c r="P1235" s="0" t="n">
        <v>37</v>
      </c>
      <c r="Q1235" s="5" t="str">
        <f aca="false">IF($D1235&lt;&gt;"","["&amp;$E1235&amp;"]"&amp;"|"&amp;SUBSTITUTE(SUBSTITUTE($I1235,CHAR(61),""),CHAR(34),"")&amp;"|"&amp;$K1235&amp;"|"&amp;$G1235&amp;"|"&amp;IF($G1235="TX_CURR_SUBNAT.R","CY2020Q4",$M1235),"")</f>
        <v>[mvPRqBFtVC0]|40-44|Male|VL_SUPPRESSED.T_1|CY2021Q3</v>
      </c>
    </row>
    <row r="1236" customFormat="false" ht="15" hidden="false" customHeight="false" outlineLevel="0" collapsed="false">
      <c r="D1236" s="0" t="s">
        <v>115</v>
      </c>
      <c r="E1236" s="0" t="s">
        <v>116</v>
      </c>
      <c r="F1236" s="0" t="s">
        <v>47</v>
      </c>
      <c r="G1236" s="0" t="s">
        <v>95</v>
      </c>
      <c r="H1236" s="0" t="s">
        <v>96</v>
      </c>
      <c r="I1236" s="0" t="s">
        <v>80</v>
      </c>
      <c r="J1236" s="0" t="s">
        <v>81</v>
      </c>
      <c r="K1236" s="0" t="s">
        <v>56</v>
      </c>
      <c r="L1236" s="0" t="s">
        <v>57</v>
      </c>
      <c r="M1236" s="0" t="s">
        <v>50</v>
      </c>
      <c r="N1236" s="0" t="n">
        <v>627</v>
      </c>
      <c r="O1236" s="0" t="n">
        <v>59</v>
      </c>
      <c r="P1236" s="0" t="n">
        <v>38</v>
      </c>
      <c r="Q1236" s="5" t="str">
        <f aca="false">IF($D1236&lt;&gt;"","["&amp;$E1236&amp;"]"&amp;"|"&amp;SUBSTITUTE(SUBSTITUTE($I1236,CHAR(61),""),CHAR(34),"")&amp;"|"&amp;$K1236&amp;"|"&amp;$G1236&amp;"|"&amp;IF($G1236="TX_CURR_SUBNAT.R","CY2020Q4",$M1236),"")</f>
        <v>[mvPRqBFtVC0]|45-49|Female|VL_SUPPRESSED.T_1|CY2021Q3</v>
      </c>
    </row>
    <row r="1237" customFormat="false" ht="15" hidden="false" customHeight="false" outlineLevel="0" collapsed="false">
      <c r="D1237" s="0" t="s">
        <v>115</v>
      </c>
      <c r="E1237" s="0" t="s">
        <v>116</v>
      </c>
      <c r="F1237" s="0" t="s">
        <v>47</v>
      </c>
      <c r="G1237" s="0" t="s">
        <v>95</v>
      </c>
      <c r="H1237" s="0" t="s">
        <v>96</v>
      </c>
      <c r="I1237" s="0" t="s">
        <v>80</v>
      </c>
      <c r="J1237" s="0" t="s">
        <v>81</v>
      </c>
      <c r="K1237" s="0" t="s">
        <v>58</v>
      </c>
      <c r="L1237" s="0" t="s">
        <v>59</v>
      </c>
      <c r="M1237" s="0" t="s">
        <v>50</v>
      </c>
      <c r="N1237" s="0" t="n">
        <v>480</v>
      </c>
      <c r="O1237" s="0" t="n">
        <v>42</v>
      </c>
      <c r="P1237" s="0" t="n">
        <v>8</v>
      </c>
      <c r="Q1237" s="5" t="str">
        <f aca="false">IF($D1237&lt;&gt;"","["&amp;$E1237&amp;"]"&amp;"|"&amp;SUBSTITUTE(SUBSTITUTE($I1237,CHAR(61),""),CHAR(34),"")&amp;"|"&amp;$K1237&amp;"|"&amp;$G1237&amp;"|"&amp;IF($G1237="TX_CURR_SUBNAT.R","CY2020Q4",$M1237),"")</f>
        <v>[mvPRqBFtVC0]|45-49|Male|VL_SUPPRESSED.T_1|CY2021Q3</v>
      </c>
    </row>
    <row r="1238" customFormat="false" ht="15" hidden="false" customHeight="false" outlineLevel="0" collapsed="false">
      <c r="D1238" s="0" t="s">
        <v>115</v>
      </c>
      <c r="E1238" s="0" t="s">
        <v>116</v>
      </c>
      <c r="F1238" s="0" t="s">
        <v>47</v>
      </c>
      <c r="G1238" s="0" t="s">
        <v>95</v>
      </c>
      <c r="H1238" s="0" t="s">
        <v>96</v>
      </c>
      <c r="I1238" s="0" t="s">
        <v>83</v>
      </c>
      <c r="J1238" s="0" t="s">
        <v>84</v>
      </c>
      <c r="K1238" s="0" t="s">
        <v>56</v>
      </c>
      <c r="L1238" s="0" t="s">
        <v>57</v>
      </c>
      <c r="M1238" s="0" t="s">
        <v>50</v>
      </c>
      <c r="N1238" s="0" t="n">
        <v>52</v>
      </c>
      <c r="O1238" s="0" t="n">
        <v>4</v>
      </c>
      <c r="P1238" s="0" t="n">
        <v>32</v>
      </c>
      <c r="Q1238" s="5" t="str">
        <f aca="false">IF($D1238&lt;&gt;"","["&amp;$E1238&amp;"]"&amp;"|"&amp;SUBSTITUTE(SUBSTITUTE($I1238,CHAR(61),""),CHAR(34),"")&amp;"|"&amp;$K1238&amp;"|"&amp;$G1238&amp;"|"&amp;IF($G1238="TX_CURR_SUBNAT.R","CY2020Q4",$M1238),"")</f>
        <v>[mvPRqBFtVC0]|05-09|Female|VL_SUPPRESSED.T_1|CY2021Q3</v>
      </c>
    </row>
    <row r="1239" customFormat="false" ht="15" hidden="false" customHeight="false" outlineLevel="0" collapsed="false">
      <c r="D1239" s="0" t="s">
        <v>115</v>
      </c>
      <c r="E1239" s="0" t="s">
        <v>116</v>
      </c>
      <c r="F1239" s="0" t="s">
        <v>47</v>
      </c>
      <c r="G1239" s="0" t="s">
        <v>95</v>
      </c>
      <c r="H1239" s="0" t="s">
        <v>96</v>
      </c>
      <c r="I1239" s="0" t="s">
        <v>83</v>
      </c>
      <c r="J1239" s="0" t="s">
        <v>84</v>
      </c>
      <c r="K1239" s="0" t="s">
        <v>58</v>
      </c>
      <c r="L1239" s="0" t="s">
        <v>59</v>
      </c>
      <c r="M1239" s="0" t="s">
        <v>50</v>
      </c>
      <c r="N1239" s="0" t="n">
        <v>49</v>
      </c>
      <c r="O1239" s="0" t="n">
        <v>25</v>
      </c>
      <c r="P1239" s="0" t="n">
        <v>18</v>
      </c>
      <c r="Q1239" s="5" t="str">
        <f aca="false">IF($D1239&lt;&gt;"","["&amp;$E1239&amp;"]"&amp;"|"&amp;SUBSTITUTE(SUBSTITUTE($I1239,CHAR(61),""),CHAR(34),"")&amp;"|"&amp;$K1239&amp;"|"&amp;$G1239&amp;"|"&amp;IF($G1239="TX_CURR_SUBNAT.R","CY2020Q4",$M1239),"")</f>
        <v>[mvPRqBFtVC0]|05-09|Male|VL_SUPPRESSED.T_1|CY2021Q3</v>
      </c>
    </row>
    <row r="1240" customFormat="false" ht="15" hidden="false" customHeight="false" outlineLevel="0" collapsed="false">
      <c r="D1240" s="0" t="s">
        <v>115</v>
      </c>
      <c r="E1240" s="0" t="s">
        <v>116</v>
      </c>
      <c r="F1240" s="0" t="s">
        <v>47</v>
      </c>
      <c r="G1240" s="0" t="s">
        <v>95</v>
      </c>
      <c r="H1240" s="0" t="s">
        <v>96</v>
      </c>
      <c r="I1240" s="53" t="s">
        <v>86</v>
      </c>
      <c r="J1240" s="0" t="s">
        <v>87</v>
      </c>
      <c r="K1240" s="0" t="s">
        <v>56</v>
      </c>
      <c r="L1240" s="0" t="s">
        <v>57</v>
      </c>
      <c r="M1240" s="0" t="s">
        <v>50</v>
      </c>
      <c r="N1240" s="0" t="n">
        <v>1928</v>
      </c>
      <c r="O1240" s="0" t="n">
        <v>23</v>
      </c>
      <c r="P1240" s="0" t="n">
        <v>39</v>
      </c>
      <c r="Q1240" s="5" t="str">
        <f aca="false">IF($D1240&lt;&gt;"","["&amp;$E1240&amp;"]"&amp;"|"&amp;SUBSTITUTE(SUBSTITUTE($I1240,CHAR(61),""),CHAR(34),"")&amp;"|"&amp;$K1240&amp;"|"&amp;$G1240&amp;"|"&amp;IF($G1240="TX_CURR_SUBNAT.R","CY2020Q4",$M1240),"")</f>
        <v>[mvPRqBFtVC0]|50+|Female|VL_SUPPRESSED.T_1|CY2021Q3</v>
      </c>
    </row>
    <row r="1241" customFormat="false" ht="15" hidden="false" customHeight="false" outlineLevel="0" collapsed="false">
      <c r="D1241" s="0" t="s">
        <v>115</v>
      </c>
      <c r="E1241" s="0" t="s">
        <v>116</v>
      </c>
      <c r="F1241" s="0" t="s">
        <v>47</v>
      </c>
      <c r="G1241" s="0" t="s">
        <v>95</v>
      </c>
      <c r="H1241" s="0" t="s">
        <v>96</v>
      </c>
      <c r="I1241" s="53" t="s">
        <v>86</v>
      </c>
      <c r="J1241" s="0" t="s">
        <v>87</v>
      </c>
      <c r="K1241" s="0" t="s">
        <v>58</v>
      </c>
      <c r="L1241" s="0" t="s">
        <v>59</v>
      </c>
      <c r="M1241" s="0" t="s">
        <v>50</v>
      </c>
      <c r="N1241" s="0" t="n">
        <v>1306</v>
      </c>
      <c r="O1241" s="0" t="n">
        <v>33</v>
      </c>
      <c r="P1241" s="0" t="n">
        <v>14</v>
      </c>
      <c r="Q1241" s="5" t="str">
        <f aca="false">IF($D1241&lt;&gt;"","["&amp;$E1241&amp;"]"&amp;"|"&amp;SUBSTITUTE(SUBSTITUTE($I1241,CHAR(61),""),CHAR(34),"")&amp;"|"&amp;$K1241&amp;"|"&amp;$G1241&amp;"|"&amp;IF($G1241="TX_CURR_SUBNAT.R","CY2020Q4",$M1241),"")</f>
        <v>[mvPRqBFtVC0]|50+|Male|VL_SUPPRESSED.T_1|CY2021Q3</v>
      </c>
    </row>
    <row r="1242" customFormat="false" ht="15" hidden="false" customHeight="false" outlineLevel="0" collapsed="false">
      <c r="D1242" s="0" t="s">
        <v>115</v>
      </c>
      <c r="E1242" s="0" t="s">
        <v>116</v>
      </c>
      <c r="F1242" s="0" t="s">
        <v>47</v>
      </c>
      <c r="G1242" s="0" t="s">
        <v>95</v>
      </c>
      <c r="H1242" s="0" t="s">
        <v>96</v>
      </c>
      <c r="I1242" s="0" t="s">
        <v>89</v>
      </c>
      <c r="J1242" s="0" t="s">
        <v>90</v>
      </c>
      <c r="K1242" s="0" t="s">
        <v>58</v>
      </c>
      <c r="L1242" s="0" t="s">
        <v>59</v>
      </c>
      <c r="M1242" s="0" t="s">
        <v>50</v>
      </c>
      <c r="N1242" s="0" t="n">
        <v>1</v>
      </c>
      <c r="O1242" s="0" t="n">
        <v>43</v>
      </c>
      <c r="P1242" s="0" t="n">
        <v>12</v>
      </c>
      <c r="Q1242" s="5" t="str">
        <f aca="false">IF($D1242&lt;&gt;"","["&amp;$E1242&amp;"]"&amp;"|"&amp;SUBSTITUTE(SUBSTITUTE($I1242,CHAR(61),""),CHAR(34),"")&amp;"|"&amp;$K1242&amp;"|"&amp;$G1242&amp;"|"&amp;IF($G1242="TX_CURR_SUBNAT.R","CY2020Q4",$M1242),"")</f>
        <v>[mvPRqBFtVC0]|&lt;01|Male|VL_SUPPRESSED.T_1|CY2021Q3</v>
      </c>
    </row>
    <row r="1243" customFormat="false" ht="15" hidden="false" customHeight="false" outlineLevel="0" collapsed="false">
      <c r="D1243" s="0" t="s">
        <v>115</v>
      </c>
      <c r="E1243" s="0" t="s">
        <v>116</v>
      </c>
      <c r="F1243" s="0" t="s">
        <v>47</v>
      </c>
      <c r="G1243" s="0" t="s">
        <v>97</v>
      </c>
      <c r="H1243" s="0" t="s">
        <v>98</v>
      </c>
      <c r="I1243" s="0" t="s">
        <v>54</v>
      </c>
      <c r="J1243" s="0" t="s">
        <v>55</v>
      </c>
      <c r="K1243" s="0" t="s">
        <v>56</v>
      </c>
      <c r="L1243" s="0" t="s">
        <v>57</v>
      </c>
      <c r="M1243" s="0" t="s">
        <v>50</v>
      </c>
      <c r="N1243" s="0" t="n">
        <v>29</v>
      </c>
      <c r="O1243" s="0" t="n">
        <v>28</v>
      </c>
      <c r="P1243" s="0" t="n">
        <v>2</v>
      </c>
      <c r="Q1243" s="5" t="str">
        <f aca="false">IF($D1243&lt;&gt;"","["&amp;$E1243&amp;"]"&amp;"|"&amp;SUBSTITUTE(SUBSTITUTE($I1243,CHAR(61),""),CHAR(34),"")&amp;"|"&amp;$K1243&amp;"|"&amp;$G1243&amp;"|"&amp;IF($G1243="TX_CURR_SUBNAT.R","CY2020Q4",$M1243),"")</f>
        <v>[mvPRqBFtVC0]|01-04|Female|PLHIV.T_1|CY2021Q3</v>
      </c>
    </row>
    <row r="1244" customFormat="false" ht="15" hidden="false" customHeight="false" outlineLevel="0" collapsed="false">
      <c r="D1244" s="0" t="s">
        <v>115</v>
      </c>
      <c r="E1244" s="0" t="s">
        <v>116</v>
      </c>
      <c r="F1244" s="0" t="s">
        <v>47</v>
      </c>
      <c r="G1244" s="0" t="s">
        <v>97</v>
      </c>
      <c r="H1244" s="0" t="s">
        <v>98</v>
      </c>
      <c r="I1244" s="0" t="s">
        <v>54</v>
      </c>
      <c r="J1244" s="0" t="s">
        <v>55</v>
      </c>
      <c r="K1244" s="0" t="s">
        <v>58</v>
      </c>
      <c r="L1244" s="0" t="s">
        <v>59</v>
      </c>
      <c r="M1244" s="0" t="s">
        <v>50</v>
      </c>
      <c r="N1244" s="0" t="n">
        <v>29</v>
      </c>
      <c r="O1244" s="0" t="n">
        <v>30</v>
      </c>
      <c r="P1244" s="0" t="n">
        <v>24</v>
      </c>
      <c r="Q1244" s="5" t="str">
        <f aca="false">IF($D1244&lt;&gt;"","["&amp;$E1244&amp;"]"&amp;"|"&amp;SUBSTITUTE(SUBSTITUTE($I1244,CHAR(61),""),CHAR(34),"")&amp;"|"&amp;$K1244&amp;"|"&amp;$G1244&amp;"|"&amp;IF($G1244="TX_CURR_SUBNAT.R","CY2020Q4",$M1244),"")</f>
        <v>[mvPRqBFtVC0]|01-04|Male|PLHIV.T_1|CY2021Q3</v>
      </c>
    </row>
    <row r="1245" customFormat="false" ht="15" hidden="false" customHeight="false" outlineLevel="0" collapsed="false">
      <c r="D1245" s="0" t="s">
        <v>115</v>
      </c>
      <c r="E1245" s="0" t="s">
        <v>116</v>
      </c>
      <c r="F1245" s="0" t="s">
        <v>47</v>
      </c>
      <c r="G1245" s="0" t="s">
        <v>97</v>
      </c>
      <c r="H1245" s="0" t="s">
        <v>98</v>
      </c>
      <c r="I1245" s="0" t="s">
        <v>61</v>
      </c>
      <c r="J1245" s="0" t="s">
        <v>62</v>
      </c>
      <c r="K1245" s="0" t="s">
        <v>56</v>
      </c>
      <c r="L1245" s="0" t="s">
        <v>57</v>
      </c>
      <c r="M1245" s="0" t="s">
        <v>50</v>
      </c>
      <c r="N1245" s="0" t="n">
        <v>122</v>
      </c>
      <c r="O1245" s="0" t="n">
        <v>39</v>
      </c>
      <c r="P1245" s="0" t="n">
        <v>44</v>
      </c>
      <c r="Q1245" s="5" t="str">
        <f aca="false">IF($D1245&lt;&gt;"","["&amp;$E1245&amp;"]"&amp;"|"&amp;SUBSTITUTE(SUBSTITUTE($I1245,CHAR(61),""),CHAR(34),"")&amp;"|"&amp;$K1245&amp;"|"&amp;$G1245&amp;"|"&amp;IF($G1245="TX_CURR_SUBNAT.R","CY2020Q4",$M1245),"")</f>
        <v>[mvPRqBFtVC0]|10-14|Female|PLHIV.T_1|CY2021Q3</v>
      </c>
    </row>
    <row r="1246" customFormat="false" ht="15" hidden="false" customHeight="false" outlineLevel="0" collapsed="false">
      <c r="D1246" s="0" t="s">
        <v>115</v>
      </c>
      <c r="E1246" s="0" t="s">
        <v>116</v>
      </c>
      <c r="F1246" s="0" t="s">
        <v>47</v>
      </c>
      <c r="G1246" s="0" t="s">
        <v>97</v>
      </c>
      <c r="H1246" s="0" t="s">
        <v>98</v>
      </c>
      <c r="I1246" s="0" t="s">
        <v>61</v>
      </c>
      <c r="J1246" s="0" t="s">
        <v>62</v>
      </c>
      <c r="K1246" s="0" t="s">
        <v>58</v>
      </c>
      <c r="L1246" s="0" t="s">
        <v>59</v>
      </c>
      <c r="M1246" s="0" t="s">
        <v>50</v>
      </c>
      <c r="N1246" s="0" t="n">
        <v>119</v>
      </c>
      <c r="O1246" s="0" t="n">
        <v>32</v>
      </c>
      <c r="P1246" s="0" t="n">
        <v>44</v>
      </c>
      <c r="Q1246" s="5" t="str">
        <f aca="false">IF($D1246&lt;&gt;"","["&amp;$E1246&amp;"]"&amp;"|"&amp;SUBSTITUTE(SUBSTITUTE($I1246,CHAR(61),""),CHAR(34),"")&amp;"|"&amp;$K1246&amp;"|"&amp;$G1246&amp;"|"&amp;IF($G1246="TX_CURR_SUBNAT.R","CY2020Q4",$M1246),"")</f>
        <v>[mvPRqBFtVC0]|10-14|Male|PLHIV.T_1|CY2021Q3</v>
      </c>
    </row>
    <row r="1247" customFormat="false" ht="15" hidden="false" customHeight="false" outlineLevel="0" collapsed="false">
      <c r="D1247" s="0" t="s">
        <v>115</v>
      </c>
      <c r="E1247" s="0" t="s">
        <v>116</v>
      </c>
      <c r="F1247" s="0" t="s">
        <v>47</v>
      </c>
      <c r="G1247" s="0" t="s">
        <v>97</v>
      </c>
      <c r="H1247" s="0" t="s">
        <v>98</v>
      </c>
      <c r="I1247" s="0" t="s">
        <v>63</v>
      </c>
      <c r="J1247" s="0" t="s">
        <v>64</v>
      </c>
      <c r="K1247" s="0" t="s">
        <v>56</v>
      </c>
      <c r="L1247" s="0" t="s">
        <v>57</v>
      </c>
      <c r="M1247" s="0" t="s">
        <v>50</v>
      </c>
      <c r="N1247" s="0" t="n">
        <v>208</v>
      </c>
      <c r="O1247" s="0" t="n">
        <v>11</v>
      </c>
      <c r="P1247" s="0" t="n">
        <v>1</v>
      </c>
      <c r="Q1247" s="5" t="str">
        <f aca="false">IF($D1247&lt;&gt;"","["&amp;$E1247&amp;"]"&amp;"|"&amp;SUBSTITUTE(SUBSTITUTE($I1247,CHAR(61),""),CHAR(34),"")&amp;"|"&amp;$K1247&amp;"|"&amp;$G1247&amp;"|"&amp;IF($G1247="TX_CURR_SUBNAT.R","CY2020Q4",$M1247),"")</f>
        <v>[mvPRqBFtVC0]|15-19|Female|PLHIV.T_1|CY2021Q3</v>
      </c>
    </row>
    <row r="1248" customFormat="false" ht="15" hidden="false" customHeight="false" outlineLevel="0" collapsed="false">
      <c r="D1248" s="0" t="s">
        <v>115</v>
      </c>
      <c r="E1248" s="0" t="s">
        <v>116</v>
      </c>
      <c r="F1248" s="0" t="s">
        <v>47</v>
      </c>
      <c r="G1248" s="0" t="s">
        <v>97</v>
      </c>
      <c r="H1248" s="0" t="s">
        <v>98</v>
      </c>
      <c r="I1248" s="0" t="s">
        <v>63</v>
      </c>
      <c r="J1248" s="0" t="s">
        <v>64</v>
      </c>
      <c r="K1248" s="0" t="s">
        <v>58</v>
      </c>
      <c r="L1248" s="0" t="s">
        <v>59</v>
      </c>
      <c r="M1248" s="0" t="s">
        <v>50</v>
      </c>
      <c r="N1248" s="0" t="n">
        <v>117</v>
      </c>
      <c r="O1248" s="0" t="n">
        <v>36</v>
      </c>
      <c r="P1248" s="0" t="n">
        <v>37</v>
      </c>
      <c r="Q1248" s="5" t="str">
        <f aca="false">IF($D1248&lt;&gt;"","["&amp;$E1248&amp;"]"&amp;"|"&amp;SUBSTITUTE(SUBSTITUTE($I1248,CHAR(61),""),CHAR(34),"")&amp;"|"&amp;$K1248&amp;"|"&amp;$G1248&amp;"|"&amp;IF($G1248="TX_CURR_SUBNAT.R","CY2020Q4",$M1248),"")</f>
        <v>[mvPRqBFtVC0]|15-19|Male|PLHIV.T_1|CY2021Q3</v>
      </c>
    </row>
    <row r="1249" customFormat="false" ht="15" hidden="false" customHeight="false" outlineLevel="0" collapsed="false">
      <c r="D1249" s="0" t="s">
        <v>115</v>
      </c>
      <c r="E1249" s="0" t="s">
        <v>116</v>
      </c>
      <c r="F1249" s="0" t="s">
        <v>47</v>
      </c>
      <c r="G1249" s="0" t="s">
        <v>97</v>
      </c>
      <c r="H1249" s="0" t="s">
        <v>98</v>
      </c>
      <c r="I1249" s="0" t="s">
        <v>66</v>
      </c>
      <c r="J1249" s="0" t="s">
        <v>67</v>
      </c>
      <c r="K1249" s="0" t="s">
        <v>56</v>
      </c>
      <c r="L1249" s="0" t="s">
        <v>57</v>
      </c>
      <c r="M1249" s="0" t="s">
        <v>50</v>
      </c>
      <c r="N1249" s="0" t="n">
        <v>550</v>
      </c>
      <c r="O1249" s="0" t="n">
        <v>52</v>
      </c>
      <c r="P1249" s="0" t="n">
        <v>15</v>
      </c>
      <c r="Q1249" s="5" t="str">
        <f aca="false">IF($D1249&lt;&gt;"","["&amp;$E1249&amp;"]"&amp;"|"&amp;SUBSTITUTE(SUBSTITUTE($I1249,CHAR(61),""),CHAR(34),"")&amp;"|"&amp;$K1249&amp;"|"&amp;$G1249&amp;"|"&amp;IF($G1249="TX_CURR_SUBNAT.R","CY2020Q4",$M1249),"")</f>
        <v>[mvPRqBFtVC0]|20-24|Female|PLHIV.T_1|CY2021Q3</v>
      </c>
    </row>
    <row r="1250" customFormat="false" ht="15" hidden="false" customHeight="false" outlineLevel="0" collapsed="false">
      <c r="D1250" s="0" t="s">
        <v>115</v>
      </c>
      <c r="E1250" s="0" t="s">
        <v>116</v>
      </c>
      <c r="F1250" s="0" t="s">
        <v>47</v>
      </c>
      <c r="G1250" s="0" t="s">
        <v>97</v>
      </c>
      <c r="H1250" s="0" t="s">
        <v>98</v>
      </c>
      <c r="I1250" s="0" t="s">
        <v>66</v>
      </c>
      <c r="J1250" s="0" t="s">
        <v>67</v>
      </c>
      <c r="K1250" s="0" t="s">
        <v>58</v>
      </c>
      <c r="L1250" s="0" t="s">
        <v>59</v>
      </c>
      <c r="M1250" s="0" t="s">
        <v>50</v>
      </c>
      <c r="N1250" s="0" t="n">
        <v>196</v>
      </c>
      <c r="O1250" s="0" t="n">
        <v>53</v>
      </c>
      <c r="P1250" s="0" t="n">
        <v>37</v>
      </c>
      <c r="Q1250" s="5" t="str">
        <f aca="false">IF($D1250&lt;&gt;"","["&amp;$E1250&amp;"]"&amp;"|"&amp;SUBSTITUTE(SUBSTITUTE($I1250,CHAR(61),""),CHAR(34),"")&amp;"|"&amp;$K1250&amp;"|"&amp;$G1250&amp;"|"&amp;IF($G1250="TX_CURR_SUBNAT.R","CY2020Q4",$M1250),"")</f>
        <v>[mvPRqBFtVC0]|20-24|Male|PLHIV.T_1|CY2021Q3</v>
      </c>
    </row>
    <row r="1251" customFormat="false" ht="15" hidden="false" customHeight="false" outlineLevel="0" collapsed="false">
      <c r="D1251" s="0" t="s">
        <v>115</v>
      </c>
      <c r="E1251" s="0" t="s">
        <v>116</v>
      </c>
      <c r="F1251" s="0" t="s">
        <v>47</v>
      </c>
      <c r="G1251" s="0" t="s">
        <v>97</v>
      </c>
      <c r="H1251" s="0" t="s">
        <v>98</v>
      </c>
      <c r="I1251" s="0" t="s">
        <v>69</v>
      </c>
      <c r="J1251" s="0" t="s">
        <v>70</v>
      </c>
      <c r="K1251" s="0" t="s">
        <v>56</v>
      </c>
      <c r="L1251" s="0" t="s">
        <v>57</v>
      </c>
      <c r="M1251" s="0" t="s">
        <v>50</v>
      </c>
      <c r="N1251" s="0" t="n">
        <v>1040</v>
      </c>
      <c r="O1251" s="0" t="n">
        <v>42</v>
      </c>
      <c r="P1251" s="0" t="n">
        <v>32</v>
      </c>
      <c r="Q1251" s="5" t="str">
        <f aca="false">IF($D1251&lt;&gt;"","["&amp;$E1251&amp;"]"&amp;"|"&amp;SUBSTITUTE(SUBSTITUTE($I1251,CHAR(61),""),CHAR(34),"")&amp;"|"&amp;$K1251&amp;"|"&amp;$G1251&amp;"|"&amp;IF($G1251="TX_CURR_SUBNAT.R","CY2020Q4",$M1251),"")</f>
        <v>[mvPRqBFtVC0]|25-29|Female|PLHIV.T_1|CY2021Q3</v>
      </c>
    </row>
    <row r="1252" customFormat="false" ht="15" hidden="false" customHeight="false" outlineLevel="0" collapsed="false">
      <c r="D1252" s="0" t="s">
        <v>115</v>
      </c>
      <c r="E1252" s="0" t="s">
        <v>116</v>
      </c>
      <c r="F1252" s="0" t="s">
        <v>47</v>
      </c>
      <c r="G1252" s="0" t="s">
        <v>97</v>
      </c>
      <c r="H1252" s="0" t="s">
        <v>98</v>
      </c>
      <c r="I1252" s="0" t="s">
        <v>69</v>
      </c>
      <c r="J1252" s="0" t="s">
        <v>70</v>
      </c>
      <c r="K1252" s="0" t="s">
        <v>58</v>
      </c>
      <c r="L1252" s="0" t="s">
        <v>59</v>
      </c>
      <c r="M1252" s="0" t="s">
        <v>50</v>
      </c>
      <c r="N1252" s="0" t="n">
        <v>457</v>
      </c>
      <c r="O1252" s="0" t="n">
        <v>56</v>
      </c>
      <c r="P1252" s="0" t="n">
        <v>15</v>
      </c>
      <c r="Q1252" s="5" t="str">
        <f aca="false">IF($D1252&lt;&gt;"","["&amp;$E1252&amp;"]"&amp;"|"&amp;SUBSTITUTE(SUBSTITUTE($I1252,CHAR(61),""),CHAR(34),"")&amp;"|"&amp;$K1252&amp;"|"&amp;$G1252&amp;"|"&amp;IF($G1252="TX_CURR_SUBNAT.R","CY2020Q4",$M1252),"")</f>
        <v>[mvPRqBFtVC0]|25-29|Male|PLHIV.T_1|CY2021Q3</v>
      </c>
    </row>
    <row r="1253" customFormat="false" ht="15" hidden="false" customHeight="false" outlineLevel="0" collapsed="false">
      <c r="D1253" s="0" t="s">
        <v>115</v>
      </c>
      <c r="E1253" s="0" t="s">
        <v>116</v>
      </c>
      <c r="F1253" s="0" t="s">
        <v>47</v>
      </c>
      <c r="G1253" s="0" t="s">
        <v>97</v>
      </c>
      <c r="H1253" s="0" t="s">
        <v>98</v>
      </c>
      <c r="I1253" s="0" t="s">
        <v>72</v>
      </c>
      <c r="J1253" s="0" t="s">
        <v>73</v>
      </c>
      <c r="K1253" s="0" t="s">
        <v>56</v>
      </c>
      <c r="L1253" s="0" t="s">
        <v>57</v>
      </c>
      <c r="M1253" s="0" t="s">
        <v>50</v>
      </c>
      <c r="N1253" s="0" t="n">
        <v>1477</v>
      </c>
      <c r="O1253" s="0" t="n">
        <v>13</v>
      </c>
      <c r="P1253" s="0" t="n">
        <v>34</v>
      </c>
      <c r="Q1253" s="5" t="str">
        <f aca="false">IF($D1253&lt;&gt;"","["&amp;$E1253&amp;"]"&amp;"|"&amp;SUBSTITUTE(SUBSTITUTE($I1253,CHAR(61),""),CHAR(34),"")&amp;"|"&amp;$K1253&amp;"|"&amp;$G1253&amp;"|"&amp;IF($G1253="TX_CURR_SUBNAT.R","CY2020Q4",$M1253),"")</f>
        <v>[mvPRqBFtVC0]|30-34|Female|PLHIV.T_1|CY2021Q3</v>
      </c>
    </row>
    <row r="1254" customFormat="false" ht="15" hidden="false" customHeight="false" outlineLevel="0" collapsed="false">
      <c r="D1254" s="0" t="s">
        <v>115</v>
      </c>
      <c r="E1254" s="0" t="s">
        <v>116</v>
      </c>
      <c r="F1254" s="0" t="s">
        <v>47</v>
      </c>
      <c r="G1254" s="0" t="s">
        <v>97</v>
      </c>
      <c r="H1254" s="0" t="s">
        <v>98</v>
      </c>
      <c r="I1254" s="0" t="s">
        <v>72</v>
      </c>
      <c r="J1254" s="0" t="s">
        <v>73</v>
      </c>
      <c r="K1254" s="0" t="s">
        <v>58</v>
      </c>
      <c r="L1254" s="0" t="s">
        <v>59</v>
      </c>
      <c r="M1254" s="0" t="s">
        <v>50</v>
      </c>
      <c r="N1254" s="0" t="n">
        <v>862</v>
      </c>
      <c r="O1254" s="0" t="n">
        <v>58</v>
      </c>
      <c r="P1254" s="0" t="n">
        <v>47</v>
      </c>
      <c r="Q1254" s="5" t="str">
        <f aca="false">IF($D1254&lt;&gt;"","["&amp;$E1254&amp;"]"&amp;"|"&amp;SUBSTITUTE(SUBSTITUTE($I1254,CHAR(61),""),CHAR(34),"")&amp;"|"&amp;$K1254&amp;"|"&amp;$G1254&amp;"|"&amp;IF($G1254="TX_CURR_SUBNAT.R","CY2020Q4",$M1254),"")</f>
        <v>[mvPRqBFtVC0]|30-34|Male|PLHIV.T_1|CY2021Q3</v>
      </c>
    </row>
    <row r="1255" customFormat="false" ht="15" hidden="false" customHeight="false" outlineLevel="0" collapsed="false">
      <c r="D1255" s="0" t="s">
        <v>115</v>
      </c>
      <c r="E1255" s="0" t="s">
        <v>116</v>
      </c>
      <c r="F1255" s="0" t="s">
        <v>47</v>
      </c>
      <c r="G1255" s="0" t="s">
        <v>97</v>
      </c>
      <c r="H1255" s="0" t="s">
        <v>98</v>
      </c>
      <c r="I1255" s="0" t="s">
        <v>75</v>
      </c>
      <c r="J1255" s="0" t="s">
        <v>76</v>
      </c>
      <c r="K1255" s="0" t="s">
        <v>56</v>
      </c>
      <c r="L1255" s="0" t="s">
        <v>57</v>
      </c>
      <c r="M1255" s="0" t="s">
        <v>50</v>
      </c>
      <c r="N1255" s="0" t="n">
        <v>1429</v>
      </c>
      <c r="O1255" s="0" t="n">
        <v>27</v>
      </c>
      <c r="P1255" s="0" t="n">
        <v>3</v>
      </c>
      <c r="Q1255" s="5" t="str">
        <f aca="false">IF($D1255&lt;&gt;"","["&amp;$E1255&amp;"]"&amp;"|"&amp;SUBSTITUTE(SUBSTITUTE($I1255,CHAR(61),""),CHAR(34),"")&amp;"|"&amp;$K1255&amp;"|"&amp;$G1255&amp;"|"&amp;IF($G1255="TX_CURR_SUBNAT.R","CY2020Q4",$M1255),"")</f>
        <v>[mvPRqBFtVC0]|35-39|Female|PLHIV.T_1|CY2021Q3</v>
      </c>
    </row>
    <row r="1256" customFormat="false" ht="15" hidden="false" customHeight="false" outlineLevel="0" collapsed="false">
      <c r="D1256" s="0" t="s">
        <v>115</v>
      </c>
      <c r="E1256" s="0" t="s">
        <v>116</v>
      </c>
      <c r="F1256" s="0" t="s">
        <v>47</v>
      </c>
      <c r="G1256" s="0" t="s">
        <v>97</v>
      </c>
      <c r="H1256" s="0" t="s">
        <v>98</v>
      </c>
      <c r="I1256" s="0" t="s">
        <v>75</v>
      </c>
      <c r="J1256" s="0" t="s">
        <v>76</v>
      </c>
      <c r="K1256" s="0" t="s">
        <v>58</v>
      </c>
      <c r="L1256" s="0" t="s">
        <v>59</v>
      </c>
      <c r="M1256" s="0" t="s">
        <v>50</v>
      </c>
      <c r="N1256" s="0" t="n">
        <v>1066</v>
      </c>
      <c r="O1256" s="0" t="n">
        <v>7</v>
      </c>
      <c r="P1256" s="0" t="n">
        <v>46</v>
      </c>
      <c r="Q1256" s="5" t="str">
        <f aca="false">IF($D1256&lt;&gt;"","["&amp;$E1256&amp;"]"&amp;"|"&amp;SUBSTITUTE(SUBSTITUTE($I1256,CHAR(61),""),CHAR(34),"")&amp;"|"&amp;$K1256&amp;"|"&amp;$G1256&amp;"|"&amp;IF($G1256="TX_CURR_SUBNAT.R","CY2020Q4",$M1256),"")</f>
        <v>[mvPRqBFtVC0]|35-39|Male|PLHIV.T_1|CY2021Q3</v>
      </c>
    </row>
    <row r="1257" customFormat="false" ht="15" hidden="false" customHeight="false" outlineLevel="0" collapsed="false">
      <c r="D1257" s="0" t="s">
        <v>115</v>
      </c>
      <c r="E1257" s="0" t="s">
        <v>116</v>
      </c>
      <c r="F1257" s="0" t="s">
        <v>47</v>
      </c>
      <c r="G1257" s="0" t="s">
        <v>97</v>
      </c>
      <c r="H1257" s="0" t="s">
        <v>98</v>
      </c>
      <c r="I1257" s="0" t="s">
        <v>77</v>
      </c>
      <c r="J1257" s="0" t="s">
        <v>78</v>
      </c>
      <c r="K1257" s="0" t="s">
        <v>56</v>
      </c>
      <c r="L1257" s="0" t="s">
        <v>57</v>
      </c>
      <c r="M1257" s="0" t="s">
        <v>50</v>
      </c>
      <c r="N1257" s="0" t="n">
        <v>1146</v>
      </c>
      <c r="O1257" s="0" t="n">
        <v>48</v>
      </c>
      <c r="P1257" s="0" t="n">
        <v>19</v>
      </c>
      <c r="Q1257" s="5" t="str">
        <f aca="false">IF($D1257&lt;&gt;"","["&amp;$E1257&amp;"]"&amp;"|"&amp;SUBSTITUTE(SUBSTITUTE($I1257,CHAR(61),""),CHAR(34),"")&amp;"|"&amp;$K1257&amp;"|"&amp;$G1257&amp;"|"&amp;IF($G1257="TX_CURR_SUBNAT.R","CY2020Q4",$M1257),"")</f>
        <v>[mvPRqBFtVC0]|40-44|Female|PLHIV.T_1|CY2021Q3</v>
      </c>
    </row>
    <row r="1258" customFormat="false" ht="15" hidden="false" customHeight="false" outlineLevel="0" collapsed="false">
      <c r="D1258" s="0" t="s">
        <v>115</v>
      </c>
      <c r="E1258" s="0" t="s">
        <v>116</v>
      </c>
      <c r="F1258" s="0" t="s">
        <v>47</v>
      </c>
      <c r="G1258" s="0" t="s">
        <v>97</v>
      </c>
      <c r="H1258" s="0" t="s">
        <v>98</v>
      </c>
      <c r="I1258" s="0" t="s">
        <v>77</v>
      </c>
      <c r="J1258" s="0" t="s">
        <v>78</v>
      </c>
      <c r="K1258" s="0" t="s">
        <v>58</v>
      </c>
      <c r="L1258" s="0" t="s">
        <v>59</v>
      </c>
      <c r="M1258" s="0" t="s">
        <v>50</v>
      </c>
      <c r="N1258" s="0" t="n">
        <v>959</v>
      </c>
      <c r="O1258" s="0" t="n">
        <v>35</v>
      </c>
      <c r="P1258" s="0" t="n">
        <v>35</v>
      </c>
      <c r="Q1258" s="5" t="str">
        <f aca="false">IF($D1258&lt;&gt;"","["&amp;$E1258&amp;"]"&amp;"|"&amp;SUBSTITUTE(SUBSTITUTE($I1258,CHAR(61),""),CHAR(34),"")&amp;"|"&amp;$K1258&amp;"|"&amp;$G1258&amp;"|"&amp;IF($G1258="TX_CURR_SUBNAT.R","CY2020Q4",$M1258),"")</f>
        <v>[mvPRqBFtVC0]|40-44|Male|PLHIV.T_1|CY2021Q3</v>
      </c>
    </row>
    <row r="1259" customFormat="false" ht="15" hidden="false" customHeight="false" outlineLevel="0" collapsed="false">
      <c r="D1259" s="0" t="s">
        <v>115</v>
      </c>
      <c r="E1259" s="0" t="s">
        <v>116</v>
      </c>
      <c r="F1259" s="0" t="s">
        <v>47</v>
      </c>
      <c r="G1259" s="0" t="s">
        <v>97</v>
      </c>
      <c r="H1259" s="0" t="s">
        <v>98</v>
      </c>
      <c r="I1259" s="0" t="s">
        <v>80</v>
      </c>
      <c r="J1259" s="0" t="s">
        <v>81</v>
      </c>
      <c r="K1259" s="0" t="s">
        <v>56</v>
      </c>
      <c r="L1259" s="0" t="s">
        <v>57</v>
      </c>
      <c r="M1259" s="0" t="s">
        <v>50</v>
      </c>
      <c r="N1259" s="0" t="n">
        <v>857</v>
      </c>
      <c r="O1259" s="0" t="n">
        <v>5</v>
      </c>
      <c r="P1259" s="0" t="n">
        <v>24</v>
      </c>
      <c r="Q1259" s="5" t="str">
        <f aca="false">IF($D1259&lt;&gt;"","["&amp;$E1259&amp;"]"&amp;"|"&amp;SUBSTITUTE(SUBSTITUTE($I1259,CHAR(61),""),CHAR(34),"")&amp;"|"&amp;$K1259&amp;"|"&amp;$G1259&amp;"|"&amp;IF($G1259="TX_CURR_SUBNAT.R","CY2020Q4",$M1259),"")</f>
        <v>[mvPRqBFtVC0]|45-49|Female|PLHIV.T_1|CY2021Q3</v>
      </c>
    </row>
    <row r="1260" customFormat="false" ht="15" hidden="false" customHeight="false" outlineLevel="0" collapsed="false">
      <c r="D1260" s="0" t="s">
        <v>115</v>
      </c>
      <c r="E1260" s="0" t="s">
        <v>116</v>
      </c>
      <c r="F1260" s="0" t="s">
        <v>47</v>
      </c>
      <c r="G1260" s="0" t="s">
        <v>97</v>
      </c>
      <c r="H1260" s="0" t="s">
        <v>98</v>
      </c>
      <c r="I1260" s="0" t="s">
        <v>80</v>
      </c>
      <c r="J1260" s="0" t="s">
        <v>81</v>
      </c>
      <c r="K1260" s="0" t="s">
        <v>58</v>
      </c>
      <c r="L1260" s="0" t="s">
        <v>59</v>
      </c>
      <c r="M1260" s="0" t="s">
        <v>50</v>
      </c>
      <c r="N1260" s="0" t="n">
        <v>787</v>
      </c>
      <c r="O1260" s="0" t="n">
        <v>21</v>
      </c>
      <c r="P1260" s="0" t="n">
        <v>45</v>
      </c>
      <c r="Q1260" s="5" t="str">
        <f aca="false">IF($D1260&lt;&gt;"","["&amp;$E1260&amp;"]"&amp;"|"&amp;SUBSTITUTE(SUBSTITUTE($I1260,CHAR(61),""),CHAR(34),"")&amp;"|"&amp;$K1260&amp;"|"&amp;$G1260&amp;"|"&amp;IF($G1260="TX_CURR_SUBNAT.R","CY2020Q4",$M1260),"")</f>
        <v>[mvPRqBFtVC0]|45-49|Male|PLHIV.T_1|CY2021Q3</v>
      </c>
    </row>
    <row r="1261" customFormat="false" ht="15" hidden="false" customHeight="false" outlineLevel="0" collapsed="false">
      <c r="D1261" s="0" t="s">
        <v>115</v>
      </c>
      <c r="E1261" s="0" t="s">
        <v>116</v>
      </c>
      <c r="F1261" s="0" t="s">
        <v>47</v>
      </c>
      <c r="G1261" s="0" t="s">
        <v>97</v>
      </c>
      <c r="H1261" s="0" t="s">
        <v>98</v>
      </c>
      <c r="I1261" s="0" t="s">
        <v>83</v>
      </c>
      <c r="J1261" s="0" t="s">
        <v>84</v>
      </c>
      <c r="K1261" s="0" t="s">
        <v>56</v>
      </c>
      <c r="L1261" s="0" t="s">
        <v>57</v>
      </c>
      <c r="M1261" s="0" t="s">
        <v>50</v>
      </c>
      <c r="N1261" s="0" t="n">
        <v>78</v>
      </c>
      <c r="O1261" s="0" t="n">
        <v>45</v>
      </c>
      <c r="P1261" s="0" t="n">
        <v>17</v>
      </c>
      <c r="Q1261" s="5" t="str">
        <f aca="false">IF($D1261&lt;&gt;"","["&amp;$E1261&amp;"]"&amp;"|"&amp;SUBSTITUTE(SUBSTITUTE($I1261,CHAR(61),""),CHAR(34),"")&amp;"|"&amp;$K1261&amp;"|"&amp;$G1261&amp;"|"&amp;IF($G1261="TX_CURR_SUBNAT.R","CY2020Q4",$M1261),"")</f>
        <v>[mvPRqBFtVC0]|05-09|Female|PLHIV.T_1|CY2021Q3</v>
      </c>
    </row>
    <row r="1262" customFormat="false" ht="15" hidden="false" customHeight="false" outlineLevel="0" collapsed="false">
      <c r="D1262" s="0" t="s">
        <v>115</v>
      </c>
      <c r="E1262" s="0" t="s">
        <v>116</v>
      </c>
      <c r="F1262" s="0" t="s">
        <v>47</v>
      </c>
      <c r="G1262" s="0" t="s">
        <v>97</v>
      </c>
      <c r="H1262" s="0" t="s">
        <v>98</v>
      </c>
      <c r="I1262" s="0" t="s">
        <v>83</v>
      </c>
      <c r="J1262" s="0" t="s">
        <v>84</v>
      </c>
      <c r="K1262" s="0" t="s">
        <v>58</v>
      </c>
      <c r="L1262" s="0" t="s">
        <v>59</v>
      </c>
      <c r="M1262" s="0" t="s">
        <v>50</v>
      </c>
      <c r="N1262" s="0" t="n">
        <v>73</v>
      </c>
      <c r="O1262" s="0" t="n">
        <v>35</v>
      </c>
      <c r="P1262" s="0" t="n">
        <v>35</v>
      </c>
      <c r="Q1262" s="5" t="str">
        <f aca="false">IF($D1262&lt;&gt;"","["&amp;$E1262&amp;"]"&amp;"|"&amp;SUBSTITUTE(SUBSTITUTE($I1262,CHAR(61),""),CHAR(34),"")&amp;"|"&amp;$K1262&amp;"|"&amp;$G1262&amp;"|"&amp;IF($G1262="TX_CURR_SUBNAT.R","CY2020Q4",$M1262),"")</f>
        <v>[mvPRqBFtVC0]|05-09|Male|PLHIV.T_1|CY2021Q3</v>
      </c>
    </row>
    <row r="1263" customFormat="false" ht="15" hidden="false" customHeight="false" outlineLevel="0" collapsed="false">
      <c r="D1263" s="0" t="s">
        <v>115</v>
      </c>
      <c r="E1263" s="0" t="s">
        <v>116</v>
      </c>
      <c r="F1263" s="0" t="s">
        <v>47</v>
      </c>
      <c r="G1263" s="0" t="s">
        <v>97</v>
      </c>
      <c r="H1263" s="0" t="s">
        <v>98</v>
      </c>
      <c r="I1263" s="53" t="s">
        <v>86</v>
      </c>
      <c r="J1263" s="0" t="s">
        <v>87</v>
      </c>
      <c r="K1263" s="0" t="s">
        <v>56</v>
      </c>
      <c r="L1263" s="0" t="s">
        <v>57</v>
      </c>
      <c r="M1263" s="0" t="s">
        <v>50</v>
      </c>
      <c r="N1263" s="0" t="n">
        <v>2412</v>
      </c>
      <c r="O1263" s="0" t="n">
        <v>9</v>
      </c>
      <c r="P1263" s="0" t="n">
        <v>10</v>
      </c>
      <c r="Q1263" s="5" t="str">
        <f aca="false">IF($D1263&lt;&gt;"","["&amp;$E1263&amp;"]"&amp;"|"&amp;SUBSTITUTE(SUBSTITUTE($I1263,CHAR(61),""),CHAR(34),"")&amp;"|"&amp;$K1263&amp;"|"&amp;$G1263&amp;"|"&amp;IF($G1263="TX_CURR_SUBNAT.R","CY2020Q4",$M1263),"")</f>
        <v>[mvPRqBFtVC0]|50+|Female|PLHIV.T_1|CY2021Q3</v>
      </c>
    </row>
    <row r="1264" customFormat="false" ht="15" hidden="false" customHeight="false" outlineLevel="0" collapsed="false">
      <c r="D1264" s="0" t="s">
        <v>115</v>
      </c>
      <c r="E1264" s="0" t="s">
        <v>116</v>
      </c>
      <c r="F1264" s="0" t="s">
        <v>47</v>
      </c>
      <c r="G1264" s="0" t="s">
        <v>97</v>
      </c>
      <c r="H1264" s="0" t="s">
        <v>98</v>
      </c>
      <c r="I1264" s="53" t="s">
        <v>86</v>
      </c>
      <c r="J1264" s="0" t="s">
        <v>87</v>
      </c>
      <c r="K1264" s="0" t="s">
        <v>58</v>
      </c>
      <c r="L1264" s="0" t="s">
        <v>59</v>
      </c>
      <c r="M1264" s="0" t="s">
        <v>50</v>
      </c>
      <c r="N1264" s="0" t="n">
        <v>1863</v>
      </c>
      <c r="O1264" s="0" t="n">
        <v>37</v>
      </c>
      <c r="P1264" s="0" t="n">
        <v>19</v>
      </c>
      <c r="Q1264" s="5" t="str">
        <f aca="false">IF($D1264&lt;&gt;"","["&amp;$E1264&amp;"]"&amp;"|"&amp;SUBSTITUTE(SUBSTITUTE($I1264,CHAR(61),""),CHAR(34),"")&amp;"|"&amp;$K1264&amp;"|"&amp;$G1264&amp;"|"&amp;IF($G1264="TX_CURR_SUBNAT.R","CY2020Q4",$M1264),"")</f>
        <v>[mvPRqBFtVC0]|50+|Male|PLHIV.T_1|CY2021Q3</v>
      </c>
    </row>
    <row r="1265" customFormat="false" ht="15" hidden="false" customHeight="false" outlineLevel="0" collapsed="false">
      <c r="D1265" s="0" t="s">
        <v>115</v>
      </c>
      <c r="E1265" s="0" t="s">
        <v>116</v>
      </c>
      <c r="F1265" s="0" t="s">
        <v>47</v>
      </c>
      <c r="G1265" s="0" t="s">
        <v>97</v>
      </c>
      <c r="H1265" s="0" t="s">
        <v>98</v>
      </c>
      <c r="I1265" s="0" t="s">
        <v>89</v>
      </c>
      <c r="J1265" s="0" t="s">
        <v>90</v>
      </c>
      <c r="K1265" s="0" t="s">
        <v>56</v>
      </c>
      <c r="L1265" s="0" t="s">
        <v>57</v>
      </c>
      <c r="M1265" s="0" t="s">
        <v>50</v>
      </c>
      <c r="N1265" s="0" t="n">
        <v>6</v>
      </c>
      <c r="O1265" s="0" t="n">
        <v>55</v>
      </c>
      <c r="P1265" s="0" t="n">
        <v>22</v>
      </c>
      <c r="Q1265" s="5" t="str">
        <f aca="false">IF($D1265&lt;&gt;"","["&amp;$E1265&amp;"]"&amp;"|"&amp;SUBSTITUTE(SUBSTITUTE($I1265,CHAR(61),""),CHAR(34),"")&amp;"|"&amp;$K1265&amp;"|"&amp;$G1265&amp;"|"&amp;IF($G1265="TX_CURR_SUBNAT.R","CY2020Q4",$M1265),"")</f>
        <v>[mvPRqBFtVC0]|&lt;01|Female|PLHIV.T_1|CY2021Q3</v>
      </c>
    </row>
    <row r="1266" customFormat="false" ht="15" hidden="false" customHeight="false" outlineLevel="0" collapsed="false">
      <c r="D1266" s="0" t="s">
        <v>115</v>
      </c>
      <c r="E1266" s="0" t="s">
        <v>116</v>
      </c>
      <c r="F1266" s="0" t="s">
        <v>47</v>
      </c>
      <c r="G1266" s="0" t="s">
        <v>97</v>
      </c>
      <c r="H1266" s="0" t="s">
        <v>98</v>
      </c>
      <c r="I1266" s="0" t="s">
        <v>89</v>
      </c>
      <c r="J1266" s="0" t="s">
        <v>90</v>
      </c>
      <c r="K1266" s="0" t="s">
        <v>58</v>
      </c>
      <c r="L1266" s="0" t="s">
        <v>59</v>
      </c>
      <c r="M1266" s="0" t="s">
        <v>50</v>
      </c>
      <c r="N1266" s="0" t="n">
        <v>6</v>
      </c>
      <c r="O1266" s="0" t="n">
        <v>55</v>
      </c>
      <c r="P1266" s="0" t="n">
        <v>14</v>
      </c>
      <c r="Q1266" s="5" t="str">
        <f aca="false">IF($D1266&lt;&gt;"","["&amp;$E1266&amp;"]"&amp;"|"&amp;SUBSTITUTE(SUBSTITUTE($I1266,CHAR(61),""),CHAR(34),"")&amp;"|"&amp;$K1266&amp;"|"&amp;$G1266&amp;"|"&amp;IF($G1266="TX_CURR_SUBNAT.R","CY2020Q4",$M1266),"")</f>
        <v>[mvPRqBFtVC0]|&lt;01|Male|PLHIV.T_1|CY2021Q3</v>
      </c>
    </row>
    <row r="1267" customFormat="false" ht="15" hidden="false" customHeight="false" outlineLevel="0" collapsed="false">
      <c r="D1267" s="0" t="s">
        <v>115</v>
      </c>
      <c r="E1267" s="0" t="s">
        <v>116</v>
      </c>
      <c r="F1267" s="0" t="s">
        <v>47</v>
      </c>
      <c r="G1267" s="0" t="s">
        <v>99</v>
      </c>
      <c r="H1267" s="0" t="s">
        <v>100</v>
      </c>
      <c r="I1267" s="0" t="s">
        <v>54</v>
      </c>
      <c r="J1267" s="0" t="s">
        <v>55</v>
      </c>
      <c r="K1267" s="0" t="s">
        <v>56</v>
      </c>
      <c r="L1267" s="0" t="s">
        <v>57</v>
      </c>
      <c r="M1267" s="0" t="s">
        <v>50</v>
      </c>
      <c r="N1267" s="0" t="n">
        <v>15</v>
      </c>
      <c r="O1267" s="0" t="n">
        <v>24</v>
      </c>
      <c r="P1267" s="0" t="n">
        <v>44</v>
      </c>
      <c r="Q1267" s="5" t="str">
        <f aca="false">IF($D1267&lt;&gt;"","["&amp;$E1267&amp;"]"&amp;"|"&amp;SUBSTITUTE(SUBSTITUTE($I1267,CHAR(61),""),CHAR(34),"")&amp;"|"&amp;$K1267&amp;"|"&amp;$G1267&amp;"|"&amp;IF($G1267="TX_CURR_SUBNAT.R","CY2020Q4",$M1267),"")</f>
        <v>[mvPRqBFtVC0]|01-04|Female|TX_CURR_SUBNAT.T_1|CY2021Q3</v>
      </c>
    </row>
    <row r="1268" customFormat="false" ht="15" hidden="false" customHeight="false" outlineLevel="0" collapsed="false">
      <c r="D1268" s="0" t="s">
        <v>115</v>
      </c>
      <c r="E1268" s="0" t="s">
        <v>116</v>
      </c>
      <c r="F1268" s="0" t="s">
        <v>47</v>
      </c>
      <c r="G1268" s="0" t="s">
        <v>99</v>
      </c>
      <c r="H1268" s="0" t="s">
        <v>100</v>
      </c>
      <c r="I1268" s="0" t="s">
        <v>54</v>
      </c>
      <c r="J1268" s="0" t="s">
        <v>55</v>
      </c>
      <c r="K1268" s="0" t="s">
        <v>58</v>
      </c>
      <c r="L1268" s="0" t="s">
        <v>59</v>
      </c>
      <c r="M1268" s="0" t="s">
        <v>50</v>
      </c>
      <c r="N1268" s="0" t="n">
        <v>16</v>
      </c>
      <c r="O1268" s="0" t="n">
        <v>35</v>
      </c>
      <c r="P1268" s="0" t="n">
        <v>27</v>
      </c>
      <c r="Q1268" s="5" t="str">
        <f aca="false">IF($D1268&lt;&gt;"","["&amp;$E1268&amp;"]"&amp;"|"&amp;SUBSTITUTE(SUBSTITUTE($I1268,CHAR(61),""),CHAR(34),"")&amp;"|"&amp;$K1268&amp;"|"&amp;$G1268&amp;"|"&amp;IF($G1268="TX_CURR_SUBNAT.R","CY2020Q4",$M1268),"")</f>
        <v>[mvPRqBFtVC0]|01-04|Male|TX_CURR_SUBNAT.T_1|CY2021Q3</v>
      </c>
    </row>
    <row r="1269" customFormat="false" ht="15" hidden="false" customHeight="false" outlineLevel="0" collapsed="false">
      <c r="D1269" s="0" t="s">
        <v>115</v>
      </c>
      <c r="E1269" s="0" t="s">
        <v>116</v>
      </c>
      <c r="F1269" s="0" t="s">
        <v>47</v>
      </c>
      <c r="G1269" s="0" t="s">
        <v>99</v>
      </c>
      <c r="H1269" s="0" t="s">
        <v>100</v>
      </c>
      <c r="I1269" s="0" t="s">
        <v>61</v>
      </c>
      <c r="J1269" s="0" t="s">
        <v>62</v>
      </c>
      <c r="K1269" s="0" t="s">
        <v>56</v>
      </c>
      <c r="L1269" s="0" t="s">
        <v>57</v>
      </c>
      <c r="M1269" s="0" t="s">
        <v>50</v>
      </c>
      <c r="N1269" s="0" t="n">
        <v>105</v>
      </c>
      <c r="O1269" s="0" t="n">
        <v>7</v>
      </c>
      <c r="P1269" s="0" t="n">
        <v>48</v>
      </c>
      <c r="Q1269" s="5" t="str">
        <f aca="false">IF($D1269&lt;&gt;"","["&amp;$E1269&amp;"]"&amp;"|"&amp;SUBSTITUTE(SUBSTITUTE($I1269,CHAR(61),""),CHAR(34),"")&amp;"|"&amp;$K1269&amp;"|"&amp;$G1269&amp;"|"&amp;IF($G1269="TX_CURR_SUBNAT.R","CY2020Q4",$M1269),"")</f>
        <v>[mvPRqBFtVC0]|10-14|Female|TX_CURR_SUBNAT.T_1|CY2021Q3</v>
      </c>
    </row>
    <row r="1270" customFormat="false" ht="15" hidden="false" customHeight="false" outlineLevel="0" collapsed="false">
      <c r="D1270" s="0" t="s">
        <v>115</v>
      </c>
      <c r="E1270" s="0" t="s">
        <v>116</v>
      </c>
      <c r="F1270" s="0" t="s">
        <v>47</v>
      </c>
      <c r="G1270" s="0" t="s">
        <v>99</v>
      </c>
      <c r="H1270" s="0" t="s">
        <v>100</v>
      </c>
      <c r="I1270" s="0" t="s">
        <v>61</v>
      </c>
      <c r="J1270" s="0" t="s">
        <v>62</v>
      </c>
      <c r="K1270" s="0" t="s">
        <v>58</v>
      </c>
      <c r="L1270" s="0" t="s">
        <v>59</v>
      </c>
      <c r="M1270" s="0" t="s">
        <v>50</v>
      </c>
      <c r="N1270" s="0" t="n">
        <v>104</v>
      </c>
      <c r="O1270" s="0" t="n">
        <v>3</v>
      </c>
      <c r="P1270" s="0" t="n">
        <v>10</v>
      </c>
      <c r="Q1270" s="5" t="str">
        <f aca="false">IF($D1270&lt;&gt;"","["&amp;$E1270&amp;"]"&amp;"|"&amp;SUBSTITUTE(SUBSTITUTE($I1270,CHAR(61),""),CHAR(34),"")&amp;"|"&amp;$K1270&amp;"|"&amp;$G1270&amp;"|"&amp;IF($G1270="TX_CURR_SUBNAT.R","CY2020Q4",$M1270),"")</f>
        <v>[mvPRqBFtVC0]|10-14|Male|TX_CURR_SUBNAT.T_1|CY2021Q3</v>
      </c>
    </row>
    <row r="1271" customFormat="false" ht="15" hidden="false" customHeight="false" outlineLevel="0" collapsed="false">
      <c r="D1271" s="0" t="s">
        <v>115</v>
      </c>
      <c r="E1271" s="0" t="s">
        <v>116</v>
      </c>
      <c r="F1271" s="0" t="s">
        <v>47</v>
      </c>
      <c r="G1271" s="0" t="s">
        <v>99</v>
      </c>
      <c r="H1271" s="0" t="s">
        <v>100</v>
      </c>
      <c r="I1271" s="0" t="s">
        <v>63</v>
      </c>
      <c r="J1271" s="0" t="s">
        <v>64</v>
      </c>
      <c r="K1271" s="0" t="s">
        <v>56</v>
      </c>
      <c r="L1271" s="0" t="s">
        <v>57</v>
      </c>
      <c r="M1271" s="0" t="s">
        <v>50</v>
      </c>
      <c r="N1271" s="0" t="n">
        <v>158</v>
      </c>
      <c r="O1271" s="0" t="n">
        <v>53</v>
      </c>
      <c r="P1271" s="0" t="n">
        <v>38</v>
      </c>
      <c r="Q1271" s="5" t="str">
        <f aca="false">IF($D1271&lt;&gt;"","["&amp;$E1271&amp;"]"&amp;"|"&amp;SUBSTITUTE(SUBSTITUTE($I1271,CHAR(61),""),CHAR(34),"")&amp;"|"&amp;$K1271&amp;"|"&amp;$G1271&amp;"|"&amp;IF($G1271="TX_CURR_SUBNAT.R","CY2020Q4",$M1271),"")</f>
        <v>[mvPRqBFtVC0]|15-19|Female|TX_CURR_SUBNAT.T_1|CY2021Q3</v>
      </c>
    </row>
    <row r="1272" customFormat="false" ht="15" hidden="false" customHeight="false" outlineLevel="0" collapsed="false">
      <c r="D1272" s="0" t="s">
        <v>115</v>
      </c>
      <c r="E1272" s="0" t="s">
        <v>116</v>
      </c>
      <c r="F1272" s="0" t="s">
        <v>47</v>
      </c>
      <c r="G1272" s="0" t="s">
        <v>99</v>
      </c>
      <c r="H1272" s="0" t="s">
        <v>100</v>
      </c>
      <c r="I1272" s="0" t="s">
        <v>63</v>
      </c>
      <c r="J1272" s="0" t="s">
        <v>64</v>
      </c>
      <c r="K1272" s="0" t="s">
        <v>58</v>
      </c>
      <c r="L1272" s="0" t="s">
        <v>59</v>
      </c>
      <c r="M1272" s="0" t="s">
        <v>50</v>
      </c>
      <c r="N1272" s="0" t="n">
        <v>113</v>
      </c>
      <c r="O1272" s="0" t="n">
        <v>15</v>
      </c>
      <c r="P1272" s="0" t="n">
        <v>45</v>
      </c>
      <c r="Q1272" s="5" t="str">
        <f aca="false">IF($D1272&lt;&gt;"","["&amp;$E1272&amp;"]"&amp;"|"&amp;SUBSTITUTE(SUBSTITUTE($I1272,CHAR(61),""),CHAR(34),"")&amp;"|"&amp;$K1272&amp;"|"&amp;$G1272&amp;"|"&amp;IF($G1272="TX_CURR_SUBNAT.R","CY2020Q4",$M1272),"")</f>
        <v>[mvPRqBFtVC0]|15-19|Male|TX_CURR_SUBNAT.T_1|CY2021Q3</v>
      </c>
    </row>
    <row r="1273" customFormat="false" ht="15" hidden="false" customHeight="false" outlineLevel="0" collapsed="false">
      <c r="D1273" s="0" t="s">
        <v>115</v>
      </c>
      <c r="E1273" s="0" t="s">
        <v>116</v>
      </c>
      <c r="F1273" s="0" t="s">
        <v>47</v>
      </c>
      <c r="G1273" s="0" t="s">
        <v>99</v>
      </c>
      <c r="H1273" s="0" t="s">
        <v>100</v>
      </c>
      <c r="I1273" s="0" t="s">
        <v>66</v>
      </c>
      <c r="J1273" s="0" t="s">
        <v>67</v>
      </c>
      <c r="K1273" s="0" t="s">
        <v>56</v>
      </c>
      <c r="L1273" s="0" t="s">
        <v>57</v>
      </c>
      <c r="M1273" s="0" t="s">
        <v>50</v>
      </c>
      <c r="N1273" s="0" t="n">
        <v>370</v>
      </c>
      <c r="O1273" s="0" t="n">
        <v>12</v>
      </c>
      <c r="P1273" s="0" t="n">
        <v>16</v>
      </c>
      <c r="Q1273" s="5" t="str">
        <f aca="false">IF($D1273&lt;&gt;"","["&amp;$E1273&amp;"]"&amp;"|"&amp;SUBSTITUTE(SUBSTITUTE($I1273,CHAR(61),""),CHAR(34),"")&amp;"|"&amp;$K1273&amp;"|"&amp;$G1273&amp;"|"&amp;IF($G1273="TX_CURR_SUBNAT.R","CY2020Q4",$M1273),"")</f>
        <v>[mvPRqBFtVC0]|20-24|Female|TX_CURR_SUBNAT.T_1|CY2021Q3</v>
      </c>
    </row>
    <row r="1274" customFormat="false" ht="15" hidden="false" customHeight="false" outlineLevel="0" collapsed="false">
      <c r="D1274" s="0" t="s">
        <v>115</v>
      </c>
      <c r="E1274" s="0" t="s">
        <v>116</v>
      </c>
      <c r="F1274" s="0" t="s">
        <v>47</v>
      </c>
      <c r="G1274" s="0" t="s">
        <v>99</v>
      </c>
      <c r="H1274" s="0" t="s">
        <v>100</v>
      </c>
      <c r="I1274" s="0" t="s">
        <v>66</v>
      </c>
      <c r="J1274" s="0" t="s">
        <v>67</v>
      </c>
      <c r="K1274" s="0" t="s">
        <v>58</v>
      </c>
      <c r="L1274" s="0" t="s">
        <v>59</v>
      </c>
      <c r="M1274" s="0" t="s">
        <v>50</v>
      </c>
      <c r="N1274" s="0" t="n">
        <v>118</v>
      </c>
      <c r="O1274" s="0" t="n">
        <v>12</v>
      </c>
      <c r="P1274" s="0" t="n">
        <v>45</v>
      </c>
      <c r="Q1274" s="5" t="str">
        <f aca="false">IF($D1274&lt;&gt;"","["&amp;$E1274&amp;"]"&amp;"|"&amp;SUBSTITUTE(SUBSTITUTE($I1274,CHAR(61),""),CHAR(34),"")&amp;"|"&amp;$K1274&amp;"|"&amp;$G1274&amp;"|"&amp;IF($G1274="TX_CURR_SUBNAT.R","CY2020Q4",$M1274),"")</f>
        <v>[mvPRqBFtVC0]|20-24|Male|TX_CURR_SUBNAT.T_1|CY2021Q3</v>
      </c>
    </row>
    <row r="1275" customFormat="false" ht="15" hidden="false" customHeight="false" outlineLevel="0" collapsed="false">
      <c r="D1275" s="0" t="s">
        <v>115</v>
      </c>
      <c r="E1275" s="0" t="s">
        <v>116</v>
      </c>
      <c r="F1275" s="0" t="s">
        <v>47</v>
      </c>
      <c r="G1275" s="0" t="s">
        <v>99</v>
      </c>
      <c r="H1275" s="0" t="s">
        <v>100</v>
      </c>
      <c r="I1275" s="0" t="s">
        <v>69</v>
      </c>
      <c r="J1275" s="0" t="s">
        <v>70</v>
      </c>
      <c r="K1275" s="0" t="s">
        <v>56</v>
      </c>
      <c r="L1275" s="0" t="s">
        <v>57</v>
      </c>
      <c r="M1275" s="0" t="s">
        <v>50</v>
      </c>
      <c r="N1275" s="0" t="n">
        <v>703</v>
      </c>
      <c r="O1275" s="0" t="n">
        <v>5</v>
      </c>
      <c r="P1275" s="0" t="n">
        <v>11</v>
      </c>
      <c r="Q1275" s="5" t="str">
        <f aca="false">IF($D1275&lt;&gt;"","["&amp;$E1275&amp;"]"&amp;"|"&amp;SUBSTITUTE(SUBSTITUTE($I1275,CHAR(61),""),CHAR(34),"")&amp;"|"&amp;$K1275&amp;"|"&amp;$G1275&amp;"|"&amp;IF($G1275="TX_CURR_SUBNAT.R","CY2020Q4",$M1275),"")</f>
        <v>[mvPRqBFtVC0]|25-29|Female|TX_CURR_SUBNAT.T_1|CY2021Q3</v>
      </c>
    </row>
    <row r="1276" customFormat="false" ht="15" hidden="false" customHeight="false" outlineLevel="0" collapsed="false">
      <c r="D1276" s="0" t="s">
        <v>115</v>
      </c>
      <c r="E1276" s="0" t="s">
        <v>116</v>
      </c>
      <c r="F1276" s="0" t="s">
        <v>47</v>
      </c>
      <c r="G1276" s="0" t="s">
        <v>99</v>
      </c>
      <c r="H1276" s="0" t="s">
        <v>100</v>
      </c>
      <c r="I1276" s="0" t="s">
        <v>69</v>
      </c>
      <c r="J1276" s="0" t="s">
        <v>70</v>
      </c>
      <c r="K1276" s="0" t="s">
        <v>58</v>
      </c>
      <c r="L1276" s="0" t="s">
        <v>59</v>
      </c>
      <c r="M1276" s="0" t="s">
        <v>50</v>
      </c>
      <c r="N1276" s="0" t="n">
        <v>232</v>
      </c>
      <c r="O1276" s="0" t="n">
        <v>44</v>
      </c>
      <c r="P1276" s="0" t="n">
        <v>19</v>
      </c>
      <c r="Q1276" s="5" t="str">
        <f aca="false">IF($D1276&lt;&gt;"","["&amp;$E1276&amp;"]"&amp;"|"&amp;SUBSTITUTE(SUBSTITUTE($I1276,CHAR(61),""),CHAR(34),"")&amp;"|"&amp;$K1276&amp;"|"&amp;$G1276&amp;"|"&amp;IF($G1276="TX_CURR_SUBNAT.R","CY2020Q4",$M1276),"")</f>
        <v>[mvPRqBFtVC0]|25-29|Male|TX_CURR_SUBNAT.T_1|CY2021Q3</v>
      </c>
    </row>
    <row r="1277" customFormat="false" ht="15" hidden="false" customHeight="false" outlineLevel="0" collapsed="false">
      <c r="D1277" s="0" t="s">
        <v>115</v>
      </c>
      <c r="E1277" s="0" t="s">
        <v>116</v>
      </c>
      <c r="F1277" s="0" t="s">
        <v>47</v>
      </c>
      <c r="G1277" s="0" t="s">
        <v>99</v>
      </c>
      <c r="H1277" s="0" t="s">
        <v>100</v>
      </c>
      <c r="I1277" s="0" t="s">
        <v>72</v>
      </c>
      <c r="J1277" s="0" t="s">
        <v>73</v>
      </c>
      <c r="K1277" s="0" t="s">
        <v>56</v>
      </c>
      <c r="L1277" s="0" t="s">
        <v>57</v>
      </c>
      <c r="M1277" s="0" t="s">
        <v>50</v>
      </c>
      <c r="N1277" s="0" t="n">
        <v>966</v>
      </c>
      <c r="O1277" s="0" t="n">
        <v>24</v>
      </c>
      <c r="P1277" s="0" t="n">
        <v>45</v>
      </c>
      <c r="Q1277" s="5" t="str">
        <f aca="false">IF($D1277&lt;&gt;"","["&amp;$E1277&amp;"]"&amp;"|"&amp;SUBSTITUTE(SUBSTITUTE($I1277,CHAR(61),""),CHAR(34),"")&amp;"|"&amp;$K1277&amp;"|"&amp;$G1277&amp;"|"&amp;IF($G1277="TX_CURR_SUBNAT.R","CY2020Q4",$M1277),"")</f>
        <v>[mvPRqBFtVC0]|30-34|Female|TX_CURR_SUBNAT.T_1|CY2021Q3</v>
      </c>
    </row>
    <row r="1278" customFormat="false" ht="15" hidden="false" customHeight="false" outlineLevel="0" collapsed="false">
      <c r="D1278" s="0" t="s">
        <v>115</v>
      </c>
      <c r="E1278" s="0" t="s">
        <v>116</v>
      </c>
      <c r="F1278" s="0" t="s">
        <v>47</v>
      </c>
      <c r="G1278" s="0" t="s">
        <v>99</v>
      </c>
      <c r="H1278" s="0" t="s">
        <v>100</v>
      </c>
      <c r="I1278" s="0" t="s">
        <v>72</v>
      </c>
      <c r="J1278" s="0" t="s">
        <v>73</v>
      </c>
      <c r="K1278" s="0" t="s">
        <v>58</v>
      </c>
      <c r="L1278" s="0" t="s">
        <v>59</v>
      </c>
      <c r="M1278" s="0" t="s">
        <v>50</v>
      </c>
      <c r="N1278" s="0" t="n">
        <v>428</v>
      </c>
      <c r="O1278" s="0" t="n">
        <v>46</v>
      </c>
      <c r="P1278" s="0" t="n">
        <v>30</v>
      </c>
      <c r="Q1278" s="5" t="str">
        <f aca="false">IF($D1278&lt;&gt;"","["&amp;$E1278&amp;"]"&amp;"|"&amp;SUBSTITUTE(SUBSTITUTE($I1278,CHAR(61),""),CHAR(34),"")&amp;"|"&amp;$K1278&amp;"|"&amp;$G1278&amp;"|"&amp;IF($G1278="TX_CURR_SUBNAT.R","CY2020Q4",$M1278),"")</f>
        <v>[mvPRqBFtVC0]|30-34|Male|TX_CURR_SUBNAT.T_1|CY2021Q3</v>
      </c>
    </row>
    <row r="1279" customFormat="false" ht="15" hidden="false" customHeight="false" outlineLevel="0" collapsed="false">
      <c r="D1279" s="0" t="s">
        <v>115</v>
      </c>
      <c r="E1279" s="0" t="s">
        <v>116</v>
      </c>
      <c r="F1279" s="0" t="s">
        <v>47</v>
      </c>
      <c r="G1279" s="0" t="s">
        <v>99</v>
      </c>
      <c r="H1279" s="0" t="s">
        <v>100</v>
      </c>
      <c r="I1279" s="0" t="s">
        <v>75</v>
      </c>
      <c r="J1279" s="0" t="s">
        <v>76</v>
      </c>
      <c r="K1279" s="0" t="s">
        <v>56</v>
      </c>
      <c r="L1279" s="0" t="s">
        <v>57</v>
      </c>
      <c r="M1279" s="0" t="s">
        <v>50</v>
      </c>
      <c r="N1279" s="0" t="n">
        <v>1104</v>
      </c>
      <c r="O1279" s="0" t="n">
        <v>42</v>
      </c>
      <c r="P1279" s="0" t="n">
        <v>13</v>
      </c>
      <c r="Q1279" s="5" t="str">
        <f aca="false">IF($D1279&lt;&gt;"","["&amp;$E1279&amp;"]"&amp;"|"&amp;SUBSTITUTE(SUBSTITUTE($I1279,CHAR(61),""),CHAR(34),"")&amp;"|"&amp;$K1279&amp;"|"&amp;$G1279&amp;"|"&amp;IF($G1279="TX_CURR_SUBNAT.R","CY2020Q4",$M1279),"")</f>
        <v>[mvPRqBFtVC0]|35-39|Female|TX_CURR_SUBNAT.T_1|CY2021Q3</v>
      </c>
    </row>
    <row r="1280" customFormat="false" ht="15" hidden="false" customHeight="false" outlineLevel="0" collapsed="false">
      <c r="D1280" s="0" t="s">
        <v>115</v>
      </c>
      <c r="E1280" s="0" t="s">
        <v>116</v>
      </c>
      <c r="F1280" s="0" t="s">
        <v>47</v>
      </c>
      <c r="G1280" s="0" t="s">
        <v>99</v>
      </c>
      <c r="H1280" s="0" t="s">
        <v>100</v>
      </c>
      <c r="I1280" s="0" t="s">
        <v>75</v>
      </c>
      <c r="J1280" s="0" t="s">
        <v>76</v>
      </c>
      <c r="K1280" s="0" t="s">
        <v>58</v>
      </c>
      <c r="L1280" s="0" t="s">
        <v>59</v>
      </c>
      <c r="M1280" s="0" t="s">
        <v>50</v>
      </c>
      <c r="N1280" s="0" t="n">
        <v>626</v>
      </c>
      <c r="O1280" s="0" t="n">
        <v>40</v>
      </c>
      <c r="P1280" s="0" t="n">
        <v>32</v>
      </c>
      <c r="Q1280" s="5" t="str">
        <f aca="false">IF($D1280&lt;&gt;"","["&amp;$E1280&amp;"]"&amp;"|"&amp;SUBSTITUTE(SUBSTITUTE($I1280,CHAR(61),""),CHAR(34),"")&amp;"|"&amp;$K1280&amp;"|"&amp;$G1280&amp;"|"&amp;IF($G1280="TX_CURR_SUBNAT.R","CY2020Q4",$M1280),"")</f>
        <v>[mvPRqBFtVC0]|35-39|Male|TX_CURR_SUBNAT.T_1|CY2021Q3</v>
      </c>
    </row>
    <row r="1281" customFormat="false" ht="15" hidden="false" customHeight="false" outlineLevel="0" collapsed="false">
      <c r="D1281" s="0" t="s">
        <v>115</v>
      </c>
      <c r="E1281" s="0" t="s">
        <v>116</v>
      </c>
      <c r="F1281" s="0" t="s">
        <v>47</v>
      </c>
      <c r="G1281" s="0" t="s">
        <v>99</v>
      </c>
      <c r="H1281" s="0" t="s">
        <v>100</v>
      </c>
      <c r="I1281" s="0" t="s">
        <v>77</v>
      </c>
      <c r="J1281" s="0" t="s">
        <v>78</v>
      </c>
      <c r="K1281" s="0" t="s">
        <v>56</v>
      </c>
      <c r="L1281" s="0" t="s">
        <v>57</v>
      </c>
      <c r="M1281" s="0" t="s">
        <v>50</v>
      </c>
      <c r="N1281" s="0" t="n">
        <v>1075</v>
      </c>
      <c r="O1281" s="0" t="n">
        <v>20</v>
      </c>
      <c r="P1281" s="0" t="n">
        <v>2</v>
      </c>
      <c r="Q1281" s="5" t="str">
        <f aca="false">IF($D1281&lt;&gt;"","["&amp;$E1281&amp;"]"&amp;"|"&amp;SUBSTITUTE(SUBSTITUTE($I1281,CHAR(61),""),CHAR(34),"")&amp;"|"&amp;$K1281&amp;"|"&amp;$G1281&amp;"|"&amp;IF($G1281="TX_CURR_SUBNAT.R","CY2020Q4",$M1281),"")</f>
        <v>[mvPRqBFtVC0]|40-44|Female|TX_CURR_SUBNAT.T_1|CY2021Q3</v>
      </c>
    </row>
    <row r="1282" customFormat="false" ht="15" hidden="false" customHeight="false" outlineLevel="0" collapsed="false">
      <c r="D1282" s="0" t="s">
        <v>115</v>
      </c>
      <c r="E1282" s="0" t="s">
        <v>116</v>
      </c>
      <c r="F1282" s="0" t="s">
        <v>47</v>
      </c>
      <c r="G1282" s="0" t="s">
        <v>99</v>
      </c>
      <c r="H1282" s="0" t="s">
        <v>100</v>
      </c>
      <c r="I1282" s="0" t="s">
        <v>77</v>
      </c>
      <c r="J1282" s="0" t="s">
        <v>78</v>
      </c>
      <c r="K1282" s="0" t="s">
        <v>58</v>
      </c>
      <c r="L1282" s="0" t="s">
        <v>59</v>
      </c>
      <c r="M1282" s="0" t="s">
        <v>50</v>
      </c>
      <c r="N1282" s="0" t="n">
        <v>669</v>
      </c>
      <c r="O1282" s="0" t="n">
        <v>10</v>
      </c>
      <c r="P1282" s="0" t="n">
        <v>44</v>
      </c>
      <c r="Q1282" s="5" t="str">
        <f aca="false">IF($D1282&lt;&gt;"","["&amp;$E1282&amp;"]"&amp;"|"&amp;SUBSTITUTE(SUBSTITUTE($I1282,CHAR(61),""),CHAR(34),"")&amp;"|"&amp;$K1282&amp;"|"&amp;$G1282&amp;"|"&amp;IF($G1282="TX_CURR_SUBNAT.R","CY2020Q4",$M1282),"")</f>
        <v>[mvPRqBFtVC0]|40-44|Male|TX_CURR_SUBNAT.T_1|CY2021Q3</v>
      </c>
    </row>
    <row r="1283" customFormat="false" ht="15" hidden="false" customHeight="false" outlineLevel="0" collapsed="false">
      <c r="D1283" s="0" t="s">
        <v>115</v>
      </c>
      <c r="E1283" s="0" t="s">
        <v>116</v>
      </c>
      <c r="F1283" s="0" t="s">
        <v>47</v>
      </c>
      <c r="G1283" s="0" t="s">
        <v>99</v>
      </c>
      <c r="H1283" s="0" t="s">
        <v>100</v>
      </c>
      <c r="I1283" s="0" t="s">
        <v>80</v>
      </c>
      <c r="J1283" s="0" t="s">
        <v>81</v>
      </c>
      <c r="K1283" s="0" t="s">
        <v>56</v>
      </c>
      <c r="L1283" s="0" t="s">
        <v>57</v>
      </c>
      <c r="M1283" s="0" t="s">
        <v>50</v>
      </c>
      <c r="N1283" s="0" t="n">
        <v>847</v>
      </c>
      <c r="O1283" s="0" t="n">
        <v>28</v>
      </c>
      <c r="P1283" s="0" t="n">
        <v>19</v>
      </c>
      <c r="Q1283" s="5" t="str">
        <f aca="false">IF($D1283&lt;&gt;"","["&amp;$E1283&amp;"]"&amp;"|"&amp;SUBSTITUTE(SUBSTITUTE($I1283,CHAR(61),""),CHAR(34),"")&amp;"|"&amp;$K1283&amp;"|"&amp;$G1283&amp;"|"&amp;IF($G1283="TX_CURR_SUBNAT.R","CY2020Q4",$M1283),"")</f>
        <v>[mvPRqBFtVC0]|45-49|Female|TX_CURR_SUBNAT.T_1|CY2021Q3</v>
      </c>
    </row>
    <row r="1284" customFormat="false" ht="15" hidden="false" customHeight="false" outlineLevel="0" collapsed="false">
      <c r="D1284" s="0" t="s">
        <v>115</v>
      </c>
      <c r="E1284" s="0" t="s">
        <v>116</v>
      </c>
      <c r="F1284" s="0" t="s">
        <v>47</v>
      </c>
      <c r="G1284" s="0" t="s">
        <v>99</v>
      </c>
      <c r="H1284" s="0" t="s">
        <v>100</v>
      </c>
      <c r="I1284" s="0" t="s">
        <v>80</v>
      </c>
      <c r="J1284" s="0" t="s">
        <v>81</v>
      </c>
      <c r="K1284" s="0" t="s">
        <v>58</v>
      </c>
      <c r="L1284" s="0" t="s">
        <v>59</v>
      </c>
      <c r="M1284" s="0" t="s">
        <v>50</v>
      </c>
      <c r="N1284" s="0" t="n">
        <v>569</v>
      </c>
      <c r="O1284" s="0" t="n">
        <v>21</v>
      </c>
      <c r="P1284" s="0" t="n">
        <v>13</v>
      </c>
      <c r="Q1284" s="5" t="str">
        <f aca="false">IF($D1284&lt;&gt;"","["&amp;$E1284&amp;"]"&amp;"|"&amp;SUBSTITUTE(SUBSTITUTE($I1284,CHAR(61),""),CHAR(34),"")&amp;"|"&amp;$K1284&amp;"|"&amp;$G1284&amp;"|"&amp;IF($G1284="TX_CURR_SUBNAT.R","CY2020Q4",$M1284),"")</f>
        <v>[mvPRqBFtVC0]|45-49|Male|TX_CURR_SUBNAT.T_1|CY2021Q3</v>
      </c>
    </row>
    <row r="1285" customFormat="false" ht="15" hidden="false" customHeight="false" outlineLevel="0" collapsed="false">
      <c r="D1285" s="0" t="s">
        <v>115</v>
      </c>
      <c r="E1285" s="0" t="s">
        <v>116</v>
      </c>
      <c r="F1285" s="0" t="s">
        <v>47</v>
      </c>
      <c r="G1285" s="0" t="s">
        <v>99</v>
      </c>
      <c r="H1285" s="0" t="s">
        <v>100</v>
      </c>
      <c r="I1285" s="0" t="s">
        <v>83</v>
      </c>
      <c r="J1285" s="0" t="s">
        <v>84</v>
      </c>
      <c r="K1285" s="0" t="s">
        <v>56</v>
      </c>
      <c r="L1285" s="0" t="s">
        <v>57</v>
      </c>
      <c r="M1285" s="0" t="s">
        <v>50</v>
      </c>
      <c r="N1285" s="0" t="n">
        <v>51</v>
      </c>
      <c r="O1285" s="0" t="n">
        <v>18</v>
      </c>
      <c r="P1285" s="0" t="n">
        <v>34</v>
      </c>
      <c r="Q1285" s="5" t="str">
        <f aca="false">IF($D1285&lt;&gt;"","["&amp;$E1285&amp;"]"&amp;"|"&amp;SUBSTITUTE(SUBSTITUTE($I1285,CHAR(61),""),CHAR(34),"")&amp;"|"&amp;$K1285&amp;"|"&amp;$G1285&amp;"|"&amp;IF($G1285="TX_CURR_SUBNAT.R","CY2020Q4",$M1285),"")</f>
        <v>[mvPRqBFtVC0]|05-09|Female|TX_CURR_SUBNAT.T_1|CY2021Q3</v>
      </c>
    </row>
    <row r="1286" customFormat="false" ht="15" hidden="false" customHeight="false" outlineLevel="0" collapsed="false">
      <c r="D1286" s="0" t="s">
        <v>115</v>
      </c>
      <c r="E1286" s="0" t="s">
        <v>116</v>
      </c>
      <c r="F1286" s="0" t="s">
        <v>47</v>
      </c>
      <c r="G1286" s="0" t="s">
        <v>99</v>
      </c>
      <c r="H1286" s="0" t="s">
        <v>100</v>
      </c>
      <c r="I1286" s="0" t="s">
        <v>83</v>
      </c>
      <c r="J1286" s="0" t="s">
        <v>84</v>
      </c>
      <c r="K1286" s="0" t="s">
        <v>58</v>
      </c>
      <c r="L1286" s="0" t="s">
        <v>59</v>
      </c>
      <c r="M1286" s="0" t="s">
        <v>50</v>
      </c>
      <c r="N1286" s="0" t="n">
        <v>51</v>
      </c>
      <c r="O1286" s="0" t="n">
        <v>7</v>
      </c>
      <c r="P1286" s="0" t="n">
        <v>42</v>
      </c>
      <c r="Q1286" s="5" t="str">
        <f aca="false">IF($D1286&lt;&gt;"","["&amp;$E1286&amp;"]"&amp;"|"&amp;SUBSTITUTE(SUBSTITUTE($I1286,CHAR(61),""),CHAR(34),"")&amp;"|"&amp;$K1286&amp;"|"&amp;$G1286&amp;"|"&amp;IF($G1286="TX_CURR_SUBNAT.R","CY2020Q4",$M1286),"")</f>
        <v>[mvPRqBFtVC0]|05-09|Male|TX_CURR_SUBNAT.T_1|CY2021Q3</v>
      </c>
    </row>
    <row r="1287" customFormat="false" ht="15" hidden="false" customHeight="false" outlineLevel="0" collapsed="false">
      <c r="D1287" s="0" t="s">
        <v>115</v>
      </c>
      <c r="E1287" s="0" t="s">
        <v>116</v>
      </c>
      <c r="F1287" s="0" t="s">
        <v>47</v>
      </c>
      <c r="G1287" s="0" t="s">
        <v>99</v>
      </c>
      <c r="H1287" s="0" t="s">
        <v>100</v>
      </c>
      <c r="I1287" s="53" t="s">
        <v>86</v>
      </c>
      <c r="J1287" s="0" t="s">
        <v>87</v>
      </c>
      <c r="K1287" s="0" t="s">
        <v>56</v>
      </c>
      <c r="L1287" s="0" t="s">
        <v>57</v>
      </c>
      <c r="M1287" s="0" t="s">
        <v>50</v>
      </c>
      <c r="N1287" s="0" t="n">
        <v>1915</v>
      </c>
      <c r="O1287" s="0" t="n">
        <v>14</v>
      </c>
      <c r="P1287" s="0" t="n">
        <v>22</v>
      </c>
      <c r="Q1287" s="5" t="str">
        <f aca="false">IF($D1287&lt;&gt;"","["&amp;$E1287&amp;"]"&amp;"|"&amp;SUBSTITUTE(SUBSTITUTE($I1287,CHAR(61),""),CHAR(34),"")&amp;"|"&amp;$K1287&amp;"|"&amp;$G1287&amp;"|"&amp;IF($G1287="TX_CURR_SUBNAT.R","CY2020Q4",$M1287),"")</f>
        <v>[mvPRqBFtVC0]|50+|Female|TX_CURR_SUBNAT.T_1|CY2021Q3</v>
      </c>
    </row>
    <row r="1288" customFormat="false" ht="15" hidden="false" customHeight="false" outlineLevel="0" collapsed="false">
      <c r="D1288" s="0" t="s">
        <v>115</v>
      </c>
      <c r="E1288" s="0" t="s">
        <v>116</v>
      </c>
      <c r="F1288" s="0" t="s">
        <v>47</v>
      </c>
      <c r="G1288" s="0" t="s">
        <v>99</v>
      </c>
      <c r="H1288" s="0" t="s">
        <v>100</v>
      </c>
      <c r="I1288" s="53" t="s">
        <v>86</v>
      </c>
      <c r="J1288" s="0" t="s">
        <v>87</v>
      </c>
      <c r="K1288" s="0" t="s">
        <v>58</v>
      </c>
      <c r="L1288" s="0" t="s">
        <v>59</v>
      </c>
      <c r="M1288" s="0" t="s">
        <v>50</v>
      </c>
      <c r="N1288" s="0" t="n">
        <v>1347</v>
      </c>
      <c r="O1288" s="0" t="n">
        <v>38</v>
      </c>
      <c r="P1288" s="0" t="n">
        <v>20</v>
      </c>
      <c r="Q1288" s="5" t="str">
        <f aca="false">IF($D1288&lt;&gt;"","["&amp;$E1288&amp;"]"&amp;"|"&amp;SUBSTITUTE(SUBSTITUTE($I1288,CHAR(61),""),CHAR(34),"")&amp;"|"&amp;$K1288&amp;"|"&amp;$G1288&amp;"|"&amp;IF($G1288="TX_CURR_SUBNAT.R","CY2020Q4",$M1288),"")</f>
        <v>[mvPRqBFtVC0]|50+|Male|TX_CURR_SUBNAT.T_1|CY2021Q3</v>
      </c>
    </row>
    <row r="1289" customFormat="false" ht="15" hidden="false" customHeight="false" outlineLevel="0" collapsed="false">
      <c r="D1289" s="0" t="s">
        <v>115</v>
      </c>
      <c r="E1289" s="0" t="s">
        <v>116</v>
      </c>
      <c r="F1289" s="0" t="s">
        <v>47</v>
      </c>
      <c r="G1289" s="0" t="s">
        <v>99</v>
      </c>
      <c r="H1289" s="0" t="s">
        <v>100</v>
      </c>
      <c r="I1289" s="0" t="s">
        <v>89</v>
      </c>
      <c r="J1289" s="0" t="s">
        <v>90</v>
      </c>
      <c r="K1289" s="0" t="s">
        <v>56</v>
      </c>
      <c r="L1289" s="0" t="s">
        <v>57</v>
      </c>
      <c r="M1289" s="0" t="s">
        <v>50</v>
      </c>
      <c r="N1289" s="0" t="n">
        <v>3</v>
      </c>
      <c r="O1289" s="0" t="n">
        <v>32</v>
      </c>
      <c r="P1289" s="0" t="n">
        <v>28</v>
      </c>
      <c r="Q1289" s="5" t="str">
        <f aca="false">IF($D1289&lt;&gt;"","["&amp;$E1289&amp;"]"&amp;"|"&amp;SUBSTITUTE(SUBSTITUTE($I1289,CHAR(61),""),CHAR(34),"")&amp;"|"&amp;$K1289&amp;"|"&amp;$G1289&amp;"|"&amp;IF($G1289="TX_CURR_SUBNAT.R","CY2020Q4",$M1289),"")</f>
        <v>[mvPRqBFtVC0]|&lt;01|Female|TX_CURR_SUBNAT.T_1|CY2021Q3</v>
      </c>
    </row>
    <row r="1290" customFormat="false" ht="15" hidden="false" customHeight="false" outlineLevel="0" collapsed="false">
      <c r="D1290" s="0" t="s">
        <v>115</v>
      </c>
      <c r="E1290" s="0" t="s">
        <v>116</v>
      </c>
      <c r="F1290" s="0" t="s">
        <v>47</v>
      </c>
      <c r="G1290" s="0" t="s">
        <v>99</v>
      </c>
      <c r="H1290" s="0" t="s">
        <v>100</v>
      </c>
      <c r="I1290" s="0" t="s">
        <v>89</v>
      </c>
      <c r="J1290" s="0" t="s">
        <v>90</v>
      </c>
      <c r="K1290" s="0" t="s">
        <v>58</v>
      </c>
      <c r="L1290" s="0" t="s">
        <v>59</v>
      </c>
      <c r="M1290" s="0" t="s">
        <v>50</v>
      </c>
      <c r="N1290" s="0" t="n">
        <v>3</v>
      </c>
      <c r="O1290" s="0" t="n">
        <v>16</v>
      </c>
      <c r="P1290" s="0" t="n">
        <v>18</v>
      </c>
      <c r="Q1290" s="5" t="str">
        <f aca="false">IF($D1290&lt;&gt;"","["&amp;$E1290&amp;"]"&amp;"|"&amp;SUBSTITUTE(SUBSTITUTE($I1290,CHAR(61),""),CHAR(34),"")&amp;"|"&amp;$K1290&amp;"|"&amp;$G1290&amp;"|"&amp;IF($G1290="TX_CURR_SUBNAT.R","CY2020Q4",$M1290),"")</f>
        <v>[mvPRqBFtVC0]|&lt;01|Male|TX_CURR_SUBNAT.T_1|CY2021Q3</v>
      </c>
    </row>
    <row r="1291" customFormat="false" ht="15" hidden="false" customHeight="false" outlineLevel="0" collapsed="false">
      <c r="D1291" s="0" t="s">
        <v>117</v>
      </c>
      <c r="E1291" s="0" t="s">
        <v>118</v>
      </c>
      <c r="F1291" s="0" t="s">
        <v>47</v>
      </c>
      <c r="G1291" s="0" t="s">
        <v>52</v>
      </c>
      <c r="H1291" s="0" t="s">
        <v>53</v>
      </c>
      <c r="I1291" s="0" t="s">
        <v>54</v>
      </c>
      <c r="J1291" s="0" t="s">
        <v>55</v>
      </c>
      <c r="K1291" s="0" t="s">
        <v>56</v>
      </c>
      <c r="L1291" s="0" t="s">
        <v>57</v>
      </c>
      <c r="M1291" s="0" t="s">
        <v>50</v>
      </c>
      <c r="N1291" s="0" t="n">
        <v>4483</v>
      </c>
      <c r="O1291" s="0" t="n">
        <v>5</v>
      </c>
      <c r="P1291" s="0" t="n">
        <v>35</v>
      </c>
      <c r="Q1291" s="5" t="str">
        <f aca="false">IF($D1291&lt;&gt;"","["&amp;$E1291&amp;"]"&amp;"|"&amp;SUBSTITUTE(SUBSTITUTE($I1291,CHAR(61),""),CHAR(34),"")&amp;"|"&amp;$K1291&amp;"|"&amp;$G1291&amp;"|"&amp;IF($G1291="TX_CURR_SUBNAT.R","CY2020Q4",$M1291),"")</f>
        <v>[HuwCoDZG0FY]|01-04|Female|POP_EST.T_1|CY2021Q3</v>
      </c>
    </row>
    <row r="1292" customFormat="false" ht="15" hidden="false" customHeight="false" outlineLevel="0" collapsed="false">
      <c r="D1292" s="0" t="s">
        <v>117</v>
      </c>
      <c r="E1292" s="0" t="s">
        <v>118</v>
      </c>
      <c r="F1292" s="0" t="s">
        <v>47</v>
      </c>
      <c r="G1292" s="0" t="s">
        <v>52</v>
      </c>
      <c r="H1292" s="0" t="s">
        <v>53</v>
      </c>
      <c r="I1292" s="0" t="s">
        <v>54</v>
      </c>
      <c r="J1292" s="0" t="s">
        <v>55</v>
      </c>
      <c r="K1292" s="0" t="s">
        <v>58</v>
      </c>
      <c r="L1292" s="0" t="s">
        <v>59</v>
      </c>
      <c r="M1292" s="0" t="s">
        <v>50</v>
      </c>
      <c r="N1292" s="0" t="n">
        <v>4566</v>
      </c>
      <c r="O1292" s="0" t="n">
        <v>39</v>
      </c>
      <c r="P1292" s="0" t="n">
        <v>40</v>
      </c>
      <c r="Q1292" s="5" t="str">
        <f aca="false">IF($D1292&lt;&gt;"","["&amp;$E1292&amp;"]"&amp;"|"&amp;SUBSTITUTE(SUBSTITUTE($I1292,CHAR(61),""),CHAR(34),"")&amp;"|"&amp;$K1292&amp;"|"&amp;$G1292&amp;"|"&amp;IF($G1292="TX_CURR_SUBNAT.R","CY2020Q4",$M1292),"")</f>
        <v>[HuwCoDZG0FY]|01-04|Male|POP_EST.T_1|CY2021Q3</v>
      </c>
    </row>
    <row r="1293" customFormat="false" ht="15" hidden="false" customHeight="false" outlineLevel="0" collapsed="false">
      <c r="D1293" s="0" t="s">
        <v>117</v>
      </c>
      <c r="E1293" s="0" t="s">
        <v>118</v>
      </c>
      <c r="F1293" s="0" t="s">
        <v>47</v>
      </c>
      <c r="G1293" s="0" t="s">
        <v>52</v>
      </c>
      <c r="H1293" s="0" t="s">
        <v>53</v>
      </c>
      <c r="I1293" s="0" t="s">
        <v>61</v>
      </c>
      <c r="J1293" s="0" t="s">
        <v>62</v>
      </c>
      <c r="K1293" s="0" t="s">
        <v>56</v>
      </c>
      <c r="L1293" s="0" t="s">
        <v>57</v>
      </c>
      <c r="M1293" s="0" t="s">
        <v>50</v>
      </c>
      <c r="N1293" s="0" t="n">
        <v>6107</v>
      </c>
      <c r="O1293" s="0" t="n">
        <v>3</v>
      </c>
      <c r="P1293" s="0" t="n">
        <v>15</v>
      </c>
      <c r="Q1293" s="5" t="str">
        <f aca="false">IF($D1293&lt;&gt;"","["&amp;$E1293&amp;"]"&amp;"|"&amp;SUBSTITUTE(SUBSTITUTE($I1293,CHAR(61),""),CHAR(34),"")&amp;"|"&amp;$K1293&amp;"|"&amp;$G1293&amp;"|"&amp;IF($G1293="TX_CURR_SUBNAT.R","CY2020Q4",$M1293),"")</f>
        <v>[HuwCoDZG0FY]|10-14|Female|POP_EST.T_1|CY2021Q3</v>
      </c>
    </row>
    <row r="1294" customFormat="false" ht="15" hidden="false" customHeight="false" outlineLevel="0" collapsed="false">
      <c r="D1294" s="0" t="s">
        <v>117</v>
      </c>
      <c r="E1294" s="0" t="s">
        <v>118</v>
      </c>
      <c r="F1294" s="0" t="s">
        <v>47</v>
      </c>
      <c r="G1294" s="0" t="s">
        <v>52</v>
      </c>
      <c r="H1294" s="0" t="s">
        <v>53</v>
      </c>
      <c r="I1294" s="0" t="s">
        <v>61</v>
      </c>
      <c r="J1294" s="0" t="s">
        <v>62</v>
      </c>
      <c r="K1294" s="0" t="s">
        <v>58</v>
      </c>
      <c r="L1294" s="0" t="s">
        <v>59</v>
      </c>
      <c r="M1294" s="0" t="s">
        <v>50</v>
      </c>
      <c r="N1294" s="0" t="n">
        <v>6372</v>
      </c>
      <c r="O1294" s="0" t="n">
        <v>31</v>
      </c>
      <c r="P1294" s="0" t="n">
        <v>1</v>
      </c>
      <c r="Q1294" s="5" t="str">
        <f aca="false">IF($D1294&lt;&gt;"","["&amp;$E1294&amp;"]"&amp;"|"&amp;SUBSTITUTE(SUBSTITUTE($I1294,CHAR(61),""),CHAR(34),"")&amp;"|"&amp;$K1294&amp;"|"&amp;$G1294&amp;"|"&amp;IF($G1294="TX_CURR_SUBNAT.R","CY2020Q4",$M1294),"")</f>
        <v>[HuwCoDZG0FY]|10-14|Male|POP_EST.T_1|CY2021Q3</v>
      </c>
    </row>
    <row r="1295" customFormat="false" ht="15" hidden="false" customHeight="false" outlineLevel="0" collapsed="false">
      <c r="D1295" s="0" t="s">
        <v>117</v>
      </c>
      <c r="E1295" s="0" t="s">
        <v>118</v>
      </c>
      <c r="F1295" s="0" t="s">
        <v>47</v>
      </c>
      <c r="G1295" s="0" t="s">
        <v>52</v>
      </c>
      <c r="H1295" s="0" t="s">
        <v>53</v>
      </c>
      <c r="I1295" s="0" t="s">
        <v>63</v>
      </c>
      <c r="J1295" s="0" t="s">
        <v>64</v>
      </c>
      <c r="K1295" s="0" t="s">
        <v>56</v>
      </c>
      <c r="L1295" s="0" t="s">
        <v>57</v>
      </c>
      <c r="M1295" s="0" t="s">
        <v>50</v>
      </c>
      <c r="N1295" s="0" t="n">
        <v>5488</v>
      </c>
      <c r="O1295" s="0" t="n">
        <v>38</v>
      </c>
      <c r="P1295" s="0" t="n">
        <v>2</v>
      </c>
      <c r="Q1295" s="5" t="str">
        <f aca="false">IF($D1295&lt;&gt;"","["&amp;$E1295&amp;"]"&amp;"|"&amp;SUBSTITUTE(SUBSTITUTE($I1295,CHAR(61),""),CHAR(34),"")&amp;"|"&amp;$K1295&amp;"|"&amp;$G1295&amp;"|"&amp;IF($G1295="TX_CURR_SUBNAT.R","CY2020Q4",$M1295),"")</f>
        <v>[HuwCoDZG0FY]|15-19|Female|POP_EST.T_1|CY2021Q3</v>
      </c>
    </row>
    <row r="1296" customFormat="false" ht="15" hidden="false" customHeight="false" outlineLevel="0" collapsed="false">
      <c r="D1296" s="0" t="s">
        <v>117</v>
      </c>
      <c r="E1296" s="0" t="s">
        <v>118</v>
      </c>
      <c r="F1296" s="0" t="s">
        <v>47</v>
      </c>
      <c r="G1296" s="0" t="s">
        <v>52</v>
      </c>
      <c r="H1296" s="0" t="s">
        <v>53</v>
      </c>
      <c r="I1296" s="0" t="s">
        <v>63</v>
      </c>
      <c r="J1296" s="0" t="s">
        <v>64</v>
      </c>
      <c r="K1296" s="0" t="s">
        <v>58</v>
      </c>
      <c r="L1296" s="0" t="s">
        <v>59</v>
      </c>
      <c r="M1296" s="0" t="s">
        <v>50</v>
      </c>
      <c r="N1296" s="0" t="n">
        <v>5995</v>
      </c>
      <c r="O1296" s="0" t="n">
        <v>8</v>
      </c>
      <c r="P1296" s="0" t="n">
        <v>50</v>
      </c>
      <c r="Q1296" s="5" t="str">
        <f aca="false">IF($D1296&lt;&gt;"","["&amp;$E1296&amp;"]"&amp;"|"&amp;SUBSTITUTE(SUBSTITUTE($I1296,CHAR(61),""),CHAR(34),"")&amp;"|"&amp;$K1296&amp;"|"&amp;$G1296&amp;"|"&amp;IF($G1296="TX_CURR_SUBNAT.R","CY2020Q4",$M1296),"")</f>
        <v>[HuwCoDZG0FY]|15-19|Male|POP_EST.T_1|CY2021Q3</v>
      </c>
    </row>
    <row r="1297" customFormat="false" ht="15" hidden="false" customHeight="false" outlineLevel="0" collapsed="false">
      <c r="D1297" s="0" t="s">
        <v>117</v>
      </c>
      <c r="E1297" s="0" t="s">
        <v>118</v>
      </c>
      <c r="F1297" s="0" t="s">
        <v>47</v>
      </c>
      <c r="G1297" s="0" t="s">
        <v>52</v>
      </c>
      <c r="H1297" s="0" t="s">
        <v>53</v>
      </c>
      <c r="I1297" s="0" t="s">
        <v>66</v>
      </c>
      <c r="J1297" s="0" t="s">
        <v>67</v>
      </c>
      <c r="K1297" s="0" t="s">
        <v>56</v>
      </c>
      <c r="L1297" s="0" t="s">
        <v>57</v>
      </c>
      <c r="M1297" s="0" t="s">
        <v>50</v>
      </c>
      <c r="N1297" s="0" t="n">
        <v>5322</v>
      </c>
      <c r="O1297" s="0" t="n">
        <v>56</v>
      </c>
      <c r="P1297" s="0" t="n">
        <v>1</v>
      </c>
      <c r="Q1297" s="5" t="str">
        <f aca="false">IF($D1297&lt;&gt;"","["&amp;$E1297&amp;"]"&amp;"|"&amp;SUBSTITUTE(SUBSTITUTE($I1297,CHAR(61),""),CHAR(34),"")&amp;"|"&amp;$K1297&amp;"|"&amp;$G1297&amp;"|"&amp;IF($G1297="TX_CURR_SUBNAT.R","CY2020Q4",$M1297),"")</f>
        <v>[HuwCoDZG0FY]|20-24|Female|POP_EST.T_1|CY2021Q3</v>
      </c>
    </row>
    <row r="1298" customFormat="false" ht="15" hidden="false" customHeight="false" outlineLevel="0" collapsed="false">
      <c r="D1298" s="0" t="s">
        <v>117</v>
      </c>
      <c r="E1298" s="0" t="s">
        <v>118</v>
      </c>
      <c r="F1298" s="0" t="s">
        <v>47</v>
      </c>
      <c r="G1298" s="0" t="s">
        <v>52</v>
      </c>
      <c r="H1298" s="0" t="s">
        <v>53</v>
      </c>
      <c r="I1298" s="0" t="s">
        <v>66</v>
      </c>
      <c r="J1298" s="0" t="s">
        <v>67</v>
      </c>
      <c r="K1298" s="0" t="s">
        <v>58</v>
      </c>
      <c r="L1298" s="0" t="s">
        <v>59</v>
      </c>
      <c r="M1298" s="0" t="s">
        <v>50</v>
      </c>
      <c r="N1298" s="0" t="n">
        <v>5494</v>
      </c>
      <c r="O1298" s="0" t="n">
        <v>9</v>
      </c>
      <c r="P1298" s="0" t="n">
        <v>36</v>
      </c>
      <c r="Q1298" s="5" t="str">
        <f aca="false">IF($D1298&lt;&gt;"","["&amp;$E1298&amp;"]"&amp;"|"&amp;SUBSTITUTE(SUBSTITUTE($I1298,CHAR(61),""),CHAR(34),"")&amp;"|"&amp;$K1298&amp;"|"&amp;$G1298&amp;"|"&amp;IF($G1298="TX_CURR_SUBNAT.R","CY2020Q4",$M1298),"")</f>
        <v>[HuwCoDZG0FY]|20-24|Male|POP_EST.T_1|CY2021Q3</v>
      </c>
    </row>
    <row r="1299" customFormat="false" ht="15" hidden="false" customHeight="false" outlineLevel="0" collapsed="false">
      <c r="D1299" s="0" t="s">
        <v>117</v>
      </c>
      <c r="E1299" s="0" t="s">
        <v>118</v>
      </c>
      <c r="F1299" s="0" t="s">
        <v>47</v>
      </c>
      <c r="G1299" s="0" t="s">
        <v>52</v>
      </c>
      <c r="H1299" s="0" t="s">
        <v>53</v>
      </c>
      <c r="I1299" s="0" t="s">
        <v>69</v>
      </c>
      <c r="J1299" s="0" t="s">
        <v>70</v>
      </c>
      <c r="K1299" s="0" t="s">
        <v>56</v>
      </c>
      <c r="L1299" s="0" t="s">
        <v>57</v>
      </c>
      <c r="M1299" s="0" t="s">
        <v>50</v>
      </c>
      <c r="N1299" s="0" t="n">
        <v>5152</v>
      </c>
      <c r="O1299" s="0" t="n">
        <v>35</v>
      </c>
      <c r="P1299" s="0" t="n">
        <v>42</v>
      </c>
      <c r="Q1299" s="5" t="str">
        <f aca="false">IF($D1299&lt;&gt;"","["&amp;$E1299&amp;"]"&amp;"|"&amp;SUBSTITUTE(SUBSTITUTE($I1299,CHAR(61),""),CHAR(34),"")&amp;"|"&amp;$K1299&amp;"|"&amp;$G1299&amp;"|"&amp;IF($G1299="TX_CURR_SUBNAT.R","CY2020Q4",$M1299),"")</f>
        <v>[HuwCoDZG0FY]|25-29|Female|POP_EST.T_1|CY2021Q3</v>
      </c>
    </row>
    <row r="1300" customFormat="false" ht="15" hidden="false" customHeight="false" outlineLevel="0" collapsed="false">
      <c r="D1300" s="0" t="s">
        <v>117</v>
      </c>
      <c r="E1300" s="0" t="s">
        <v>118</v>
      </c>
      <c r="F1300" s="0" t="s">
        <v>47</v>
      </c>
      <c r="G1300" s="0" t="s">
        <v>52</v>
      </c>
      <c r="H1300" s="0" t="s">
        <v>53</v>
      </c>
      <c r="I1300" s="0" t="s">
        <v>69</v>
      </c>
      <c r="J1300" s="0" t="s">
        <v>70</v>
      </c>
      <c r="K1300" s="0" t="s">
        <v>58</v>
      </c>
      <c r="L1300" s="0" t="s">
        <v>59</v>
      </c>
      <c r="M1300" s="0" t="s">
        <v>50</v>
      </c>
      <c r="N1300" s="0" t="n">
        <v>5755</v>
      </c>
      <c r="O1300" s="0" t="n">
        <v>24</v>
      </c>
      <c r="P1300" s="0" t="n">
        <v>30</v>
      </c>
      <c r="Q1300" s="5" t="str">
        <f aca="false">IF($D1300&lt;&gt;"","["&amp;$E1300&amp;"]"&amp;"|"&amp;SUBSTITUTE(SUBSTITUTE($I1300,CHAR(61),""),CHAR(34),"")&amp;"|"&amp;$K1300&amp;"|"&amp;$G1300&amp;"|"&amp;IF($G1300="TX_CURR_SUBNAT.R","CY2020Q4",$M1300),"")</f>
        <v>[HuwCoDZG0FY]|25-29|Male|POP_EST.T_1|CY2021Q3</v>
      </c>
    </row>
    <row r="1301" customFormat="false" ht="15" hidden="false" customHeight="false" outlineLevel="0" collapsed="false">
      <c r="D1301" s="0" t="s">
        <v>117</v>
      </c>
      <c r="E1301" s="0" t="s">
        <v>118</v>
      </c>
      <c r="F1301" s="0" t="s">
        <v>47</v>
      </c>
      <c r="G1301" s="0" t="s">
        <v>52</v>
      </c>
      <c r="H1301" s="0" t="s">
        <v>53</v>
      </c>
      <c r="I1301" s="0" t="s">
        <v>72</v>
      </c>
      <c r="J1301" s="0" t="s">
        <v>73</v>
      </c>
      <c r="K1301" s="0" t="s">
        <v>56</v>
      </c>
      <c r="L1301" s="0" t="s">
        <v>57</v>
      </c>
      <c r="M1301" s="0" t="s">
        <v>50</v>
      </c>
      <c r="N1301" s="0" t="n">
        <v>4504</v>
      </c>
      <c r="O1301" s="0" t="n">
        <v>54</v>
      </c>
      <c r="P1301" s="0" t="n">
        <v>20</v>
      </c>
      <c r="Q1301" s="5" t="str">
        <f aca="false">IF($D1301&lt;&gt;"","["&amp;$E1301&amp;"]"&amp;"|"&amp;SUBSTITUTE(SUBSTITUTE($I1301,CHAR(61),""),CHAR(34),"")&amp;"|"&amp;$K1301&amp;"|"&amp;$G1301&amp;"|"&amp;IF($G1301="TX_CURR_SUBNAT.R","CY2020Q4",$M1301),"")</f>
        <v>[HuwCoDZG0FY]|30-34|Female|POP_EST.T_1|CY2021Q3</v>
      </c>
    </row>
    <row r="1302" customFormat="false" ht="15" hidden="false" customHeight="false" outlineLevel="0" collapsed="false">
      <c r="D1302" s="0" t="s">
        <v>117</v>
      </c>
      <c r="E1302" s="0" t="s">
        <v>118</v>
      </c>
      <c r="F1302" s="0" t="s">
        <v>47</v>
      </c>
      <c r="G1302" s="0" t="s">
        <v>52</v>
      </c>
      <c r="H1302" s="0" t="s">
        <v>53</v>
      </c>
      <c r="I1302" s="0" t="s">
        <v>72</v>
      </c>
      <c r="J1302" s="0" t="s">
        <v>73</v>
      </c>
      <c r="K1302" s="0" t="s">
        <v>58</v>
      </c>
      <c r="L1302" s="0" t="s">
        <v>59</v>
      </c>
      <c r="M1302" s="0" t="s">
        <v>50</v>
      </c>
      <c r="N1302" s="0" t="n">
        <v>5415</v>
      </c>
      <c r="O1302" s="0" t="n">
        <v>6</v>
      </c>
      <c r="P1302" s="0" t="n">
        <v>48</v>
      </c>
      <c r="Q1302" s="5" t="str">
        <f aca="false">IF($D1302&lt;&gt;"","["&amp;$E1302&amp;"]"&amp;"|"&amp;SUBSTITUTE(SUBSTITUTE($I1302,CHAR(61),""),CHAR(34),"")&amp;"|"&amp;$K1302&amp;"|"&amp;$G1302&amp;"|"&amp;IF($G1302="TX_CURR_SUBNAT.R","CY2020Q4",$M1302),"")</f>
        <v>[HuwCoDZG0FY]|30-34|Male|POP_EST.T_1|CY2021Q3</v>
      </c>
    </row>
    <row r="1303" customFormat="false" ht="15" hidden="false" customHeight="false" outlineLevel="0" collapsed="false">
      <c r="D1303" s="0" t="s">
        <v>117</v>
      </c>
      <c r="E1303" s="0" t="s">
        <v>118</v>
      </c>
      <c r="F1303" s="0" t="s">
        <v>47</v>
      </c>
      <c r="G1303" s="0" t="s">
        <v>52</v>
      </c>
      <c r="H1303" s="0" t="s">
        <v>53</v>
      </c>
      <c r="I1303" s="0" t="s">
        <v>75</v>
      </c>
      <c r="J1303" s="0" t="s">
        <v>76</v>
      </c>
      <c r="K1303" s="0" t="s">
        <v>56</v>
      </c>
      <c r="L1303" s="0" t="s">
        <v>57</v>
      </c>
      <c r="M1303" s="0" t="s">
        <v>50</v>
      </c>
      <c r="N1303" s="0" t="n">
        <v>3061</v>
      </c>
      <c r="O1303" s="0" t="n">
        <v>9</v>
      </c>
      <c r="P1303" s="0" t="n">
        <v>37</v>
      </c>
      <c r="Q1303" s="5" t="str">
        <f aca="false">IF($D1303&lt;&gt;"","["&amp;$E1303&amp;"]"&amp;"|"&amp;SUBSTITUTE(SUBSTITUTE($I1303,CHAR(61),""),CHAR(34),"")&amp;"|"&amp;$K1303&amp;"|"&amp;$G1303&amp;"|"&amp;IF($G1303="TX_CURR_SUBNAT.R","CY2020Q4",$M1303),"")</f>
        <v>[HuwCoDZG0FY]|35-39|Female|POP_EST.T_1|CY2021Q3</v>
      </c>
    </row>
    <row r="1304" customFormat="false" ht="15" hidden="false" customHeight="false" outlineLevel="0" collapsed="false">
      <c r="D1304" s="0" t="s">
        <v>117</v>
      </c>
      <c r="E1304" s="0" t="s">
        <v>118</v>
      </c>
      <c r="F1304" s="0" t="s">
        <v>47</v>
      </c>
      <c r="G1304" s="0" t="s">
        <v>52</v>
      </c>
      <c r="H1304" s="0" t="s">
        <v>53</v>
      </c>
      <c r="I1304" s="0" t="s">
        <v>75</v>
      </c>
      <c r="J1304" s="0" t="s">
        <v>76</v>
      </c>
      <c r="K1304" s="0" t="s">
        <v>58</v>
      </c>
      <c r="L1304" s="0" t="s">
        <v>59</v>
      </c>
      <c r="M1304" s="0" t="s">
        <v>50</v>
      </c>
      <c r="N1304" s="0" t="n">
        <v>3830</v>
      </c>
      <c r="O1304" s="0" t="n">
        <v>32</v>
      </c>
      <c r="P1304" s="0" t="n">
        <v>40</v>
      </c>
      <c r="Q1304" s="5" t="str">
        <f aca="false">IF($D1304&lt;&gt;"","["&amp;$E1304&amp;"]"&amp;"|"&amp;SUBSTITUTE(SUBSTITUTE($I1304,CHAR(61),""),CHAR(34),"")&amp;"|"&amp;$K1304&amp;"|"&amp;$G1304&amp;"|"&amp;IF($G1304="TX_CURR_SUBNAT.R","CY2020Q4",$M1304),"")</f>
        <v>[HuwCoDZG0FY]|35-39|Male|POP_EST.T_1|CY2021Q3</v>
      </c>
    </row>
    <row r="1305" customFormat="false" ht="15" hidden="false" customHeight="false" outlineLevel="0" collapsed="false">
      <c r="D1305" s="0" t="s">
        <v>117</v>
      </c>
      <c r="E1305" s="0" t="s">
        <v>118</v>
      </c>
      <c r="F1305" s="0" t="s">
        <v>47</v>
      </c>
      <c r="G1305" s="0" t="s">
        <v>52</v>
      </c>
      <c r="H1305" s="0" t="s">
        <v>53</v>
      </c>
      <c r="I1305" s="0" t="s">
        <v>77</v>
      </c>
      <c r="J1305" s="0" t="s">
        <v>78</v>
      </c>
      <c r="K1305" s="0" t="s">
        <v>56</v>
      </c>
      <c r="L1305" s="0" t="s">
        <v>57</v>
      </c>
      <c r="M1305" s="0" t="s">
        <v>50</v>
      </c>
      <c r="N1305" s="0" t="n">
        <v>2225</v>
      </c>
      <c r="O1305" s="0" t="n">
        <v>34</v>
      </c>
      <c r="P1305" s="0" t="n">
        <v>27</v>
      </c>
      <c r="Q1305" s="5" t="str">
        <f aca="false">IF($D1305&lt;&gt;"","["&amp;$E1305&amp;"]"&amp;"|"&amp;SUBSTITUTE(SUBSTITUTE($I1305,CHAR(61),""),CHAR(34),"")&amp;"|"&amp;$K1305&amp;"|"&amp;$G1305&amp;"|"&amp;IF($G1305="TX_CURR_SUBNAT.R","CY2020Q4",$M1305),"")</f>
        <v>[HuwCoDZG0FY]|40-44|Female|POP_EST.T_1|CY2021Q3</v>
      </c>
    </row>
    <row r="1306" customFormat="false" ht="15" hidden="false" customHeight="false" outlineLevel="0" collapsed="false">
      <c r="D1306" s="0" t="s">
        <v>117</v>
      </c>
      <c r="E1306" s="0" t="s">
        <v>118</v>
      </c>
      <c r="F1306" s="0" t="s">
        <v>47</v>
      </c>
      <c r="G1306" s="0" t="s">
        <v>52</v>
      </c>
      <c r="H1306" s="0" t="s">
        <v>53</v>
      </c>
      <c r="I1306" s="0" t="s">
        <v>77</v>
      </c>
      <c r="J1306" s="0" t="s">
        <v>78</v>
      </c>
      <c r="K1306" s="0" t="s">
        <v>58</v>
      </c>
      <c r="L1306" s="0" t="s">
        <v>59</v>
      </c>
      <c r="M1306" s="0" t="s">
        <v>50</v>
      </c>
      <c r="N1306" s="0" t="n">
        <v>2490</v>
      </c>
      <c r="O1306" s="0" t="n">
        <v>27</v>
      </c>
      <c r="P1306" s="0" t="n">
        <v>21</v>
      </c>
      <c r="Q1306" s="5" t="str">
        <f aca="false">IF($D1306&lt;&gt;"","["&amp;$E1306&amp;"]"&amp;"|"&amp;SUBSTITUTE(SUBSTITUTE($I1306,CHAR(61),""),CHAR(34),"")&amp;"|"&amp;$K1306&amp;"|"&amp;$G1306&amp;"|"&amp;IF($G1306="TX_CURR_SUBNAT.R","CY2020Q4",$M1306),"")</f>
        <v>[HuwCoDZG0FY]|40-44|Male|POP_EST.T_1|CY2021Q3</v>
      </c>
    </row>
    <row r="1307" customFormat="false" ht="15" hidden="false" customHeight="false" outlineLevel="0" collapsed="false">
      <c r="D1307" s="0" t="s">
        <v>117</v>
      </c>
      <c r="E1307" s="0" t="s">
        <v>118</v>
      </c>
      <c r="F1307" s="0" t="s">
        <v>47</v>
      </c>
      <c r="G1307" s="0" t="s">
        <v>52</v>
      </c>
      <c r="H1307" s="0" t="s">
        <v>53</v>
      </c>
      <c r="I1307" s="0" t="s">
        <v>80</v>
      </c>
      <c r="J1307" s="0" t="s">
        <v>81</v>
      </c>
      <c r="K1307" s="0" t="s">
        <v>56</v>
      </c>
      <c r="L1307" s="0" t="s">
        <v>57</v>
      </c>
      <c r="M1307" s="0" t="s">
        <v>50</v>
      </c>
      <c r="N1307" s="0" t="n">
        <v>1837</v>
      </c>
      <c r="O1307" s="0" t="n">
        <v>48</v>
      </c>
      <c r="P1307" s="0" t="n">
        <v>15</v>
      </c>
      <c r="Q1307" s="5" t="str">
        <f aca="false">IF($D1307&lt;&gt;"","["&amp;$E1307&amp;"]"&amp;"|"&amp;SUBSTITUTE(SUBSTITUTE($I1307,CHAR(61),""),CHAR(34),"")&amp;"|"&amp;$K1307&amp;"|"&amp;$G1307&amp;"|"&amp;IF($G1307="TX_CURR_SUBNAT.R","CY2020Q4",$M1307),"")</f>
        <v>[HuwCoDZG0FY]|45-49|Female|POP_EST.T_1|CY2021Q3</v>
      </c>
    </row>
    <row r="1308" customFormat="false" ht="15" hidden="false" customHeight="false" outlineLevel="0" collapsed="false">
      <c r="D1308" s="0" t="s">
        <v>117</v>
      </c>
      <c r="E1308" s="0" t="s">
        <v>118</v>
      </c>
      <c r="F1308" s="0" t="s">
        <v>47</v>
      </c>
      <c r="G1308" s="0" t="s">
        <v>52</v>
      </c>
      <c r="H1308" s="0" t="s">
        <v>53</v>
      </c>
      <c r="I1308" s="0" t="s">
        <v>80</v>
      </c>
      <c r="J1308" s="0" t="s">
        <v>81</v>
      </c>
      <c r="K1308" s="0" t="s">
        <v>58</v>
      </c>
      <c r="L1308" s="0" t="s">
        <v>59</v>
      </c>
      <c r="M1308" s="0" t="s">
        <v>50</v>
      </c>
      <c r="N1308" s="0" t="n">
        <v>1782</v>
      </c>
      <c r="O1308" s="0" t="n">
        <v>42</v>
      </c>
      <c r="P1308" s="0" t="n">
        <v>34</v>
      </c>
      <c r="Q1308" s="5" t="str">
        <f aca="false">IF($D1308&lt;&gt;"","["&amp;$E1308&amp;"]"&amp;"|"&amp;SUBSTITUTE(SUBSTITUTE($I1308,CHAR(61),""),CHAR(34),"")&amp;"|"&amp;$K1308&amp;"|"&amp;$G1308&amp;"|"&amp;IF($G1308="TX_CURR_SUBNAT.R","CY2020Q4",$M1308),"")</f>
        <v>[HuwCoDZG0FY]|45-49|Male|POP_EST.T_1|CY2021Q3</v>
      </c>
    </row>
    <row r="1309" customFormat="false" ht="15" hidden="false" customHeight="false" outlineLevel="0" collapsed="false">
      <c r="D1309" s="0" t="s">
        <v>117</v>
      </c>
      <c r="E1309" s="0" t="s">
        <v>118</v>
      </c>
      <c r="F1309" s="0" t="s">
        <v>47</v>
      </c>
      <c r="G1309" s="0" t="s">
        <v>52</v>
      </c>
      <c r="H1309" s="0" t="s">
        <v>53</v>
      </c>
      <c r="I1309" s="0" t="s">
        <v>83</v>
      </c>
      <c r="J1309" s="0" t="s">
        <v>84</v>
      </c>
      <c r="K1309" s="0" t="s">
        <v>56</v>
      </c>
      <c r="L1309" s="0" t="s">
        <v>57</v>
      </c>
      <c r="M1309" s="0" t="s">
        <v>50</v>
      </c>
      <c r="N1309" s="0" t="n">
        <v>6433</v>
      </c>
      <c r="O1309" s="0" t="n">
        <v>31</v>
      </c>
      <c r="P1309" s="0" t="n">
        <v>2</v>
      </c>
      <c r="Q1309" s="5" t="str">
        <f aca="false">IF($D1309&lt;&gt;"","["&amp;$E1309&amp;"]"&amp;"|"&amp;SUBSTITUTE(SUBSTITUTE($I1309,CHAR(61),""),CHAR(34),"")&amp;"|"&amp;$K1309&amp;"|"&amp;$G1309&amp;"|"&amp;IF($G1309="TX_CURR_SUBNAT.R","CY2020Q4",$M1309),"")</f>
        <v>[HuwCoDZG0FY]|05-09|Female|POP_EST.T_1|CY2021Q3</v>
      </c>
    </row>
    <row r="1310" customFormat="false" ht="15" hidden="false" customHeight="false" outlineLevel="0" collapsed="false">
      <c r="D1310" s="0" t="s">
        <v>117</v>
      </c>
      <c r="E1310" s="0" t="s">
        <v>118</v>
      </c>
      <c r="F1310" s="0" t="s">
        <v>47</v>
      </c>
      <c r="G1310" s="0" t="s">
        <v>52</v>
      </c>
      <c r="H1310" s="0" t="s">
        <v>53</v>
      </c>
      <c r="I1310" s="0" t="s">
        <v>83</v>
      </c>
      <c r="J1310" s="0" t="s">
        <v>84</v>
      </c>
      <c r="K1310" s="0" t="s">
        <v>58</v>
      </c>
      <c r="L1310" s="0" t="s">
        <v>59</v>
      </c>
      <c r="M1310" s="0" t="s">
        <v>50</v>
      </c>
      <c r="N1310" s="0" t="n">
        <v>6248</v>
      </c>
      <c r="O1310" s="0" t="n">
        <v>42</v>
      </c>
      <c r="P1310" s="0" t="n">
        <v>7</v>
      </c>
      <c r="Q1310" s="5" t="str">
        <f aca="false">IF($D1310&lt;&gt;"","["&amp;$E1310&amp;"]"&amp;"|"&amp;SUBSTITUTE(SUBSTITUTE($I1310,CHAR(61),""),CHAR(34),"")&amp;"|"&amp;$K1310&amp;"|"&amp;$G1310&amp;"|"&amp;IF($G1310="TX_CURR_SUBNAT.R","CY2020Q4",$M1310),"")</f>
        <v>[HuwCoDZG0FY]|05-09|Male|POP_EST.T_1|CY2021Q3</v>
      </c>
    </row>
    <row r="1311" customFormat="false" ht="15" hidden="false" customHeight="false" outlineLevel="0" collapsed="false">
      <c r="D1311" s="0" t="s">
        <v>117</v>
      </c>
      <c r="E1311" s="0" t="s">
        <v>118</v>
      </c>
      <c r="F1311" s="0" t="s">
        <v>47</v>
      </c>
      <c r="G1311" s="0" t="s">
        <v>52</v>
      </c>
      <c r="H1311" s="0" t="s">
        <v>53</v>
      </c>
      <c r="I1311" s="53" t="s">
        <v>86</v>
      </c>
      <c r="J1311" s="0" t="s">
        <v>87</v>
      </c>
      <c r="K1311" s="0" t="s">
        <v>56</v>
      </c>
      <c r="L1311" s="0" t="s">
        <v>57</v>
      </c>
      <c r="M1311" s="0" t="s">
        <v>50</v>
      </c>
      <c r="N1311" s="0" t="n">
        <v>11665</v>
      </c>
      <c r="O1311" s="0" t="n">
        <v>8</v>
      </c>
      <c r="P1311" s="0" t="n">
        <v>30</v>
      </c>
      <c r="Q1311" s="5" t="str">
        <f aca="false">IF($D1311&lt;&gt;"","["&amp;$E1311&amp;"]"&amp;"|"&amp;SUBSTITUTE(SUBSTITUTE($I1311,CHAR(61),""),CHAR(34),"")&amp;"|"&amp;$K1311&amp;"|"&amp;$G1311&amp;"|"&amp;IF($G1311="TX_CURR_SUBNAT.R","CY2020Q4",$M1311),"")</f>
        <v>[HuwCoDZG0FY]|50+|Female|POP_EST.T_1|CY2021Q3</v>
      </c>
    </row>
    <row r="1312" customFormat="false" ht="15" hidden="false" customHeight="false" outlineLevel="0" collapsed="false">
      <c r="D1312" s="0" t="s">
        <v>117</v>
      </c>
      <c r="E1312" s="0" t="s">
        <v>118</v>
      </c>
      <c r="F1312" s="0" t="s">
        <v>47</v>
      </c>
      <c r="G1312" s="0" t="s">
        <v>52</v>
      </c>
      <c r="H1312" s="0" t="s">
        <v>53</v>
      </c>
      <c r="I1312" s="53" t="s">
        <v>86</v>
      </c>
      <c r="J1312" s="0" t="s">
        <v>87</v>
      </c>
      <c r="K1312" s="0" t="s">
        <v>58</v>
      </c>
      <c r="L1312" s="0" t="s">
        <v>59</v>
      </c>
      <c r="M1312" s="0" t="s">
        <v>50</v>
      </c>
      <c r="N1312" s="0" t="n">
        <v>7161</v>
      </c>
      <c r="O1312" s="0" t="n">
        <v>41</v>
      </c>
      <c r="P1312" s="0" t="n">
        <v>31</v>
      </c>
      <c r="Q1312" s="5" t="str">
        <f aca="false">IF($D1312&lt;&gt;"","["&amp;$E1312&amp;"]"&amp;"|"&amp;SUBSTITUTE(SUBSTITUTE($I1312,CHAR(61),""),CHAR(34),"")&amp;"|"&amp;$K1312&amp;"|"&amp;$G1312&amp;"|"&amp;IF($G1312="TX_CURR_SUBNAT.R","CY2020Q4",$M1312),"")</f>
        <v>[HuwCoDZG0FY]|50+|Male|POP_EST.T_1|CY2021Q3</v>
      </c>
    </row>
    <row r="1313" customFormat="false" ht="15" hidden="false" customHeight="false" outlineLevel="0" collapsed="false">
      <c r="D1313" s="0" t="s">
        <v>117</v>
      </c>
      <c r="E1313" s="0" t="s">
        <v>118</v>
      </c>
      <c r="F1313" s="0" t="s">
        <v>47</v>
      </c>
      <c r="G1313" s="0" t="s">
        <v>52</v>
      </c>
      <c r="H1313" s="0" t="s">
        <v>53</v>
      </c>
      <c r="I1313" s="0" t="s">
        <v>89</v>
      </c>
      <c r="J1313" s="0" t="s">
        <v>90</v>
      </c>
      <c r="K1313" s="0" t="s">
        <v>56</v>
      </c>
      <c r="L1313" s="0" t="s">
        <v>57</v>
      </c>
      <c r="M1313" s="0" t="s">
        <v>50</v>
      </c>
      <c r="N1313" s="0" t="n">
        <v>965</v>
      </c>
      <c r="O1313" s="0" t="n">
        <v>42</v>
      </c>
      <c r="P1313" s="0" t="n">
        <v>2</v>
      </c>
      <c r="Q1313" s="5" t="str">
        <f aca="false">IF($D1313&lt;&gt;"","["&amp;$E1313&amp;"]"&amp;"|"&amp;SUBSTITUTE(SUBSTITUTE($I1313,CHAR(61),""),CHAR(34),"")&amp;"|"&amp;$K1313&amp;"|"&amp;$G1313&amp;"|"&amp;IF($G1313="TX_CURR_SUBNAT.R","CY2020Q4",$M1313),"")</f>
        <v>[HuwCoDZG0FY]|&lt;01|Female|POP_EST.T_1|CY2021Q3</v>
      </c>
    </row>
    <row r="1314" customFormat="false" ht="15" hidden="false" customHeight="false" outlineLevel="0" collapsed="false">
      <c r="D1314" s="0" t="s">
        <v>117</v>
      </c>
      <c r="E1314" s="0" t="s">
        <v>118</v>
      </c>
      <c r="F1314" s="0" t="s">
        <v>47</v>
      </c>
      <c r="G1314" s="0" t="s">
        <v>52</v>
      </c>
      <c r="H1314" s="0" t="s">
        <v>53</v>
      </c>
      <c r="I1314" s="0" t="s">
        <v>89</v>
      </c>
      <c r="J1314" s="0" t="s">
        <v>90</v>
      </c>
      <c r="K1314" s="0" t="s">
        <v>58</v>
      </c>
      <c r="L1314" s="0" t="s">
        <v>59</v>
      </c>
      <c r="M1314" s="0" t="s">
        <v>50</v>
      </c>
      <c r="N1314" s="0" t="n">
        <v>983</v>
      </c>
      <c r="O1314" s="0" t="n">
        <v>47</v>
      </c>
      <c r="P1314" s="0" t="n">
        <v>48</v>
      </c>
      <c r="Q1314" s="5" t="str">
        <f aca="false">IF($D1314&lt;&gt;"","["&amp;$E1314&amp;"]"&amp;"|"&amp;SUBSTITUTE(SUBSTITUTE($I1314,CHAR(61),""),CHAR(34),"")&amp;"|"&amp;$K1314&amp;"|"&amp;$G1314&amp;"|"&amp;IF($G1314="TX_CURR_SUBNAT.R","CY2020Q4",$M1314),"")</f>
        <v>[HuwCoDZG0FY]|&lt;01|Male|POP_EST.T_1|CY2021Q3</v>
      </c>
    </row>
    <row r="1315" customFormat="false" ht="15" hidden="false" customHeight="false" outlineLevel="0" collapsed="false">
      <c r="D1315" s="0" t="s">
        <v>117</v>
      </c>
      <c r="E1315" s="0" t="s">
        <v>118</v>
      </c>
      <c r="F1315" s="0" t="s">
        <v>47</v>
      </c>
      <c r="G1315" s="0" t="s">
        <v>91</v>
      </c>
      <c r="H1315" s="0" t="s">
        <v>92</v>
      </c>
      <c r="I1315" s="0" t="s">
        <v>54</v>
      </c>
      <c r="J1315" s="0" t="s">
        <v>55</v>
      </c>
      <c r="K1315" s="0" t="s">
        <v>56</v>
      </c>
      <c r="L1315" s="0" t="s">
        <v>57</v>
      </c>
      <c r="M1315" s="0" t="s">
        <v>50</v>
      </c>
      <c r="N1315" s="0" t="n">
        <v>0.0080735</v>
      </c>
      <c r="O1315" s="0" t="n">
        <v>48</v>
      </c>
      <c r="P1315" s="0" t="n">
        <v>44</v>
      </c>
      <c r="Q1315" s="5" t="str">
        <f aca="false">IF($D1315&lt;&gt;"","["&amp;$E1315&amp;"]"&amp;"|"&amp;SUBSTITUTE(SUBSTITUTE($I1315,CHAR(61),""),CHAR(34),"")&amp;"|"&amp;$K1315&amp;"|"&amp;$G1315&amp;"|"&amp;IF($G1315="TX_CURR_SUBNAT.R","CY2020Q4",$M1315),"")</f>
        <v>[HuwCoDZG0FY]|01-04|Female|HIV_PREV.T_1|CY2021Q3</v>
      </c>
    </row>
    <row r="1316" customFormat="false" ht="15" hidden="false" customHeight="false" outlineLevel="0" collapsed="false">
      <c r="D1316" s="0" t="s">
        <v>117</v>
      </c>
      <c r="E1316" s="0" t="s">
        <v>118</v>
      </c>
      <c r="F1316" s="0" t="s">
        <v>47</v>
      </c>
      <c r="G1316" s="0" t="s">
        <v>91</v>
      </c>
      <c r="H1316" s="0" t="s">
        <v>92</v>
      </c>
      <c r="I1316" s="0" t="s">
        <v>54</v>
      </c>
      <c r="J1316" s="0" t="s">
        <v>55</v>
      </c>
      <c r="K1316" s="0" t="s">
        <v>58</v>
      </c>
      <c r="L1316" s="0" t="s">
        <v>59</v>
      </c>
      <c r="M1316" s="0" t="s">
        <v>50</v>
      </c>
      <c r="N1316" s="0" t="n">
        <v>0.0080428</v>
      </c>
      <c r="O1316" s="0" t="n">
        <v>7</v>
      </c>
      <c r="P1316" s="0" t="n">
        <v>3</v>
      </c>
      <c r="Q1316" s="5" t="str">
        <f aca="false">IF($D1316&lt;&gt;"","["&amp;$E1316&amp;"]"&amp;"|"&amp;SUBSTITUTE(SUBSTITUTE($I1316,CHAR(61),""),CHAR(34),"")&amp;"|"&amp;$K1316&amp;"|"&amp;$G1316&amp;"|"&amp;IF($G1316="TX_CURR_SUBNAT.R","CY2020Q4",$M1316),"")</f>
        <v>[HuwCoDZG0FY]|01-04|Male|HIV_PREV.T_1|CY2021Q3</v>
      </c>
    </row>
    <row r="1317" customFormat="false" ht="15" hidden="false" customHeight="false" outlineLevel="0" collapsed="false">
      <c r="D1317" s="0" t="s">
        <v>117</v>
      </c>
      <c r="E1317" s="0" t="s">
        <v>118</v>
      </c>
      <c r="F1317" s="0" t="s">
        <v>47</v>
      </c>
      <c r="G1317" s="0" t="s">
        <v>91</v>
      </c>
      <c r="H1317" s="0" t="s">
        <v>92</v>
      </c>
      <c r="I1317" s="0" t="s">
        <v>61</v>
      </c>
      <c r="J1317" s="0" t="s">
        <v>62</v>
      </c>
      <c r="K1317" s="0" t="s">
        <v>56</v>
      </c>
      <c r="L1317" s="0" t="s">
        <v>57</v>
      </c>
      <c r="M1317" s="0" t="s">
        <v>50</v>
      </c>
      <c r="N1317" s="0" t="n">
        <v>0.0274561</v>
      </c>
      <c r="O1317" s="0" t="n">
        <v>11</v>
      </c>
      <c r="P1317" s="0" t="n">
        <v>1</v>
      </c>
      <c r="Q1317" s="5" t="str">
        <f aca="false">IF($D1317&lt;&gt;"","["&amp;$E1317&amp;"]"&amp;"|"&amp;SUBSTITUTE(SUBSTITUTE($I1317,CHAR(61),""),CHAR(34),"")&amp;"|"&amp;$K1317&amp;"|"&amp;$G1317&amp;"|"&amp;IF($G1317="TX_CURR_SUBNAT.R","CY2020Q4",$M1317),"")</f>
        <v>[HuwCoDZG0FY]|10-14|Female|HIV_PREV.T_1|CY2021Q3</v>
      </c>
    </row>
    <row r="1318" customFormat="false" ht="15" hidden="false" customHeight="false" outlineLevel="0" collapsed="false">
      <c r="D1318" s="0" t="s">
        <v>117</v>
      </c>
      <c r="E1318" s="0" t="s">
        <v>118</v>
      </c>
      <c r="F1318" s="0" t="s">
        <v>47</v>
      </c>
      <c r="G1318" s="0" t="s">
        <v>91</v>
      </c>
      <c r="H1318" s="0" t="s">
        <v>92</v>
      </c>
      <c r="I1318" s="0" t="s">
        <v>61</v>
      </c>
      <c r="J1318" s="0" t="s">
        <v>62</v>
      </c>
      <c r="K1318" s="0" t="s">
        <v>58</v>
      </c>
      <c r="L1318" s="0" t="s">
        <v>59</v>
      </c>
      <c r="M1318" s="0" t="s">
        <v>50</v>
      </c>
      <c r="N1318" s="0" t="n">
        <v>0.027139</v>
      </c>
      <c r="O1318" s="0" t="n">
        <v>54</v>
      </c>
      <c r="P1318" s="0" t="n">
        <v>22</v>
      </c>
      <c r="Q1318" s="5" t="str">
        <f aca="false">IF($D1318&lt;&gt;"","["&amp;$E1318&amp;"]"&amp;"|"&amp;SUBSTITUTE(SUBSTITUTE($I1318,CHAR(61),""),CHAR(34),"")&amp;"|"&amp;$K1318&amp;"|"&amp;$G1318&amp;"|"&amp;IF($G1318="TX_CURR_SUBNAT.R","CY2020Q4",$M1318),"")</f>
        <v>[HuwCoDZG0FY]|10-14|Male|HIV_PREV.T_1|CY2021Q3</v>
      </c>
    </row>
    <row r="1319" customFormat="false" ht="15" hidden="false" customHeight="false" outlineLevel="0" collapsed="false">
      <c r="D1319" s="0" t="s">
        <v>117</v>
      </c>
      <c r="E1319" s="0" t="s">
        <v>118</v>
      </c>
      <c r="F1319" s="0" t="s">
        <v>47</v>
      </c>
      <c r="G1319" s="0" t="s">
        <v>91</v>
      </c>
      <c r="H1319" s="0" t="s">
        <v>92</v>
      </c>
      <c r="I1319" s="0" t="s">
        <v>63</v>
      </c>
      <c r="J1319" s="0" t="s">
        <v>64</v>
      </c>
      <c r="K1319" s="0" t="s">
        <v>56</v>
      </c>
      <c r="L1319" s="0" t="s">
        <v>57</v>
      </c>
      <c r="M1319" s="0" t="s">
        <v>50</v>
      </c>
      <c r="N1319" s="0" t="n">
        <v>0.0510084</v>
      </c>
      <c r="O1319" s="0" t="n">
        <v>25</v>
      </c>
      <c r="P1319" s="0" t="n">
        <v>22</v>
      </c>
      <c r="Q1319" s="5" t="str">
        <f aca="false">IF($D1319&lt;&gt;"","["&amp;$E1319&amp;"]"&amp;"|"&amp;SUBSTITUTE(SUBSTITUTE($I1319,CHAR(61),""),CHAR(34),"")&amp;"|"&amp;$K1319&amp;"|"&amp;$G1319&amp;"|"&amp;IF($G1319="TX_CURR_SUBNAT.R","CY2020Q4",$M1319),"")</f>
        <v>[HuwCoDZG0FY]|15-19|Female|HIV_PREV.T_1|CY2021Q3</v>
      </c>
    </row>
    <row r="1320" customFormat="false" ht="15" hidden="false" customHeight="false" outlineLevel="0" collapsed="false">
      <c r="D1320" s="0" t="s">
        <v>117</v>
      </c>
      <c r="E1320" s="0" t="s">
        <v>118</v>
      </c>
      <c r="F1320" s="0" t="s">
        <v>47</v>
      </c>
      <c r="G1320" s="0" t="s">
        <v>91</v>
      </c>
      <c r="H1320" s="0" t="s">
        <v>92</v>
      </c>
      <c r="I1320" s="0" t="s">
        <v>63</v>
      </c>
      <c r="J1320" s="0" t="s">
        <v>64</v>
      </c>
      <c r="K1320" s="0" t="s">
        <v>58</v>
      </c>
      <c r="L1320" s="0" t="s">
        <v>59</v>
      </c>
      <c r="M1320" s="0" t="s">
        <v>50</v>
      </c>
      <c r="N1320" s="0" t="n">
        <v>0.0296477</v>
      </c>
      <c r="O1320" s="0" t="n">
        <v>26</v>
      </c>
      <c r="P1320" s="0" t="n">
        <v>21</v>
      </c>
      <c r="Q1320" s="5" t="str">
        <f aca="false">IF($D1320&lt;&gt;"","["&amp;$E1320&amp;"]"&amp;"|"&amp;SUBSTITUTE(SUBSTITUTE($I1320,CHAR(61),""),CHAR(34),"")&amp;"|"&amp;$K1320&amp;"|"&amp;$G1320&amp;"|"&amp;IF($G1320="TX_CURR_SUBNAT.R","CY2020Q4",$M1320),"")</f>
        <v>[HuwCoDZG0FY]|15-19|Male|HIV_PREV.T_1|CY2021Q3</v>
      </c>
    </row>
    <row r="1321" customFormat="false" ht="15" hidden="false" customHeight="false" outlineLevel="0" collapsed="false">
      <c r="D1321" s="0" t="s">
        <v>117</v>
      </c>
      <c r="E1321" s="0" t="s">
        <v>118</v>
      </c>
      <c r="F1321" s="0" t="s">
        <v>47</v>
      </c>
      <c r="G1321" s="0" t="s">
        <v>91</v>
      </c>
      <c r="H1321" s="0" t="s">
        <v>92</v>
      </c>
      <c r="I1321" s="0" t="s">
        <v>66</v>
      </c>
      <c r="J1321" s="0" t="s">
        <v>67</v>
      </c>
      <c r="K1321" s="0" t="s">
        <v>56</v>
      </c>
      <c r="L1321" s="0" t="s">
        <v>57</v>
      </c>
      <c r="M1321" s="0" t="s">
        <v>50</v>
      </c>
      <c r="N1321" s="0" t="n">
        <v>0.1369436</v>
      </c>
      <c r="O1321" s="0" t="n">
        <v>58</v>
      </c>
      <c r="P1321" s="0" t="n">
        <v>27</v>
      </c>
      <c r="Q1321" s="5" t="str">
        <f aca="false">IF($D1321&lt;&gt;"","["&amp;$E1321&amp;"]"&amp;"|"&amp;SUBSTITUTE(SUBSTITUTE($I1321,CHAR(61),""),CHAR(34),"")&amp;"|"&amp;$K1321&amp;"|"&amp;$G1321&amp;"|"&amp;IF($G1321="TX_CURR_SUBNAT.R","CY2020Q4",$M1321),"")</f>
        <v>[HuwCoDZG0FY]|20-24|Female|HIV_PREV.T_1|CY2021Q3</v>
      </c>
    </row>
    <row r="1322" customFormat="false" ht="15" hidden="false" customHeight="false" outlineLevel="0" collapsed="false">
      <c r="D1322" s="0" t="s">
        <v>117</v>
      </c>
      <c r="E1322" s="0" t="s">
        <v>118</v>
      </c>
      <c r="F1322" s="0" t="s">
        <v>47</v>
      </c>
      <c r="G1322" s="0" t="s">
        <v>91</v>
      </c>
      <c r="H1322" s="0" t="s">
        <v>92</v>
      </c>
      <c r="I1322" s="0" t="s">
        <v>66</v>
      </c>
      <c r="J1322" s="0" t="s">
        <v>67</v>
      </c>
      <c r="K1322" s="0" t="s">
        <v>58</v>
      </c>
      <c r="L1322" s="0" t="s">
        <v>59</v>
      </c>
      <c r="M1322" s="0" t="s">
        <v>50</v>
      </c>
      <c r="N1322" s="0" t="n">
        <v>0.0520713</v>
      </c>
      <c r="O1322" s="0" t="n">
        <v>9</v>
      </c>
      <c r="P1322" s="0" t="n">
        <v>9</v>
      </c>
      <c r="Q1322" s="5" t="str">
        <f aca="false">IF($D1322&lt;&gt;"","["&amp;$E1322&amp;"]"&amp;"|"&amp;SUBSTITUTE(SUBSTITUTE($I1322,CHAR(61),""),CHAR(34),"")&amp;"|"&amp;$K1322&amp;"|"&amp;$G1322&amp;"|"&amp;IF($G1322="TX_CURR_SUBNAT.R","CY2020Q4",$M1322),"")</f>
        <v>[HuwCoDZG0FY]|20-24|Male|HIV_PREV.T_1|CY2021Q3</v>
      </c>
    </row>
    <row r="1323" customFormat="false" ht="15" hidden="false" customHeight="false" outlineLevel="0" collapsed="false">
      <c r="D1323" s="0" t="s">
        <v>117</v>
      </c>
      <c r="E1323" s="0" t="s">
        <v>118</v>
      </c>
      <c r="F1323" s="0" t="s">
        <v>47</v>
      </c>
      <c r="G1323" s="0" t="s">
        <v>91</v>
      </c>
      <c r="H1323" s="0" t="s">
        <v>92</v>
      </c>
      <c r="I1323" s="0" t="s">
        <v>69</v>
      </c>
      <c r="J1323" s="0" t="s">
        <v>70</v>
      </c>
      <c r="K1323" s="0" t="s">
        <v>56</v>
      </c>
      <c r="L1323" s="0" t="s">
        <v>57</v>
      </c>
      <c r="M1323" s="0" t="s">
        <v>50</v>
      </c>
      <c r="N1323" s="0" t="n">
        <v>0.2544603</v>
      </c>
      <c r="O1323" s="0" t="n">
        <v>22</v>
      </c>
      <c r="P1323" s="0" t="n">
        <v>15</v>
      </c>
      <c r="Q1323" s="5" t="str">
        <f aca="false">IF($D1323&lt;&gt;"","["&amp;$E1323&amp;"]"&amp;"|"&amp;SUBSTITUTE(SUBSTITUTE($I1323,CHAR(61),""),CHAR(34),"")&amp;"|"&amp;$K1323&amp;"|"&amp;$G1323&amp;"|"&amp;IF($G1323="TX_CURR_SUBNAT.R","CY2020Q4",$M1323),"")</f>
        <v>[HuwCoDZG0FY]|25-29|Female|HIV_PREV.T_1|CY2021Q3</v>
      </c>
    </row>
    <row r="1324" customFormat="false" ht="15" hidden="false" customHeight="false" outlineLevel="0" collapsed="false">
      <c r="D1324" s="0" t="s">
        <v>117</v>
      </c>
      <c r="E1324" s="0" t="s">
        <v>118</v>
      </c>
      <c r="F1324" s="0" t="s">
        <v>47</v>
      </c>
      <c r="G1324" s="0" t="s">
        <v>91</v>
      </c>
      <c r="H1324" s="0" t="s">
        <v>92</v>
      </c>
      <c r="I1324" s="0" t="s">
        <v>69</v>
      </c>
      <c r="J1324" s="0" t="s">
        <v>70</v>
      </c>
      <c r="K1324" s="0" t="s">
        <v>58</v>
      </c>
      <c r="L1324" s="0" t="s">
        <v>59</v>
      </c>
      <c r="M1324" s="0" t="s">
        <v>50</v>
      </c>
      <c r="N1324" s="0" t="n">
        <v>0.1085506</v>
      </c>
      <c r="O1324" s="0" t="n">
        <v>7</v>
      </c>
      <c r="P1324" s="0" t="n">
        <v>29</v>
      </c>
      <c r="Q1324" s="5" t="str">
        <f aca="false">IF($D1324&lt;&gt;"","["&amp;$E1324&amp;"]"&amp;"|"&amp;SUBSTITUTE(SUBSTITUTE($I1324,CHAR(61),""),CHAR(34),"")&amp;"|"&amp;$K1324&amp;"|"&amp;$G1324&amp;"|"&amp;IF($G1324="TX_CURR_SUBNAT.R","CY2020Q4",$M1324),"")</f>
        <v>[HuwCoDZG0FY]|25-29|Male|HIV_PREV.T_1|CY2021Q3</v>
      </c>
    </row>
    <row r="1325" customFormat="false" ht="15" hidden="false" customHeight="false" outlineLevel="0" collapsed="false">
      <c r="D1325" s="0" t="s">
        <v>117</v>
      </c>
      <c r="E1325" s="0" t="s">
        <v>118</v>
      </c>
      <c r="F1325" s="0" t="s">
        <v>47</v>
      </c>
      <c r="G1325" s="0" t="s">
        <v>91</v>
      </c>
      <c r="H1325" s="0" t="s">
        <v>92</v>
      </c>
      <c r="I1325" s="0" t="s">
        <v>72</v>
      </c>
      <c r="J1325" s="0" t="s">
        <v>73</v>
      </c>
      <c r="K1325" s="0" t="s">
        <v>56</v>
      </c>
      <c r="L1325" s="0" t="s">
        <v>57</v>
      </c>
      <c r="M1325" s="0" t="s">
        <v>50</v>
      </c>
      <c r="N1325" s="0" t="n">
        <v>0.3829206</v>
      </c>
      <c r="O1325" s="0" t="n">
        <v>57</v>
      </c>
      <c r="P1325" s="0" t="n">
        <v>13</v>
      </c>
      <c r="Q1325" s="5" t="str">
        <f aca="false">IF($D1325&lt;&gt;"","["&amp;$E1325&amp;"]"&amp;"|"&amp;SUBSTITUTE(SUBSTITUTE($I1325,CHAR(61),""),CHAR(34),"")&amp;"|"&amp;$K1325&amp;"|"&amp;$G1325&amp;"|"&amp;IF($G1325="TX_CURR_SUBNAT.R","CY2020Q4",$M1325),"")</f>
        <v>[HuwCoDZG0FY]|30-34|Female|HIV_PREV.T_1|CY2021Q3</v>
      </c>
    </row>
    <row r="1326" customFormat="false" ht="15" hidden="false" customHeight="false" outlineLevel="0" collapsed="false">
      <c r="D1326" s="0" t="s">
        <v>117</v>
      </c>
      <c r="E1326" s="0" t="s">
        <v>118</v>
      </c>
      <c r="F1326" s="0" t="s">
        <v>47</v>
      </c>
      <c r="G1326" s="0" t="s">
        <v>91</v>
      </c>
      <c r="H1326" s="0" t="s">
        <v>92</v>
      </c>
      <c r="I1326" s="0" t="s">
        <v>72</v>
      </c>
      <c r="J1326" s="0" t="s">
        <v>73</v>
      </c>
      <c r="K1326" s="0" t="s">
        <v>58</v>
      </c>
      <c r="L1326" s="0" t="s">
        <v>59</v>
      </c>
      <c r="M1326" s="0" t="s">
        <v>50</v>
      </c>
      <c r="N1326" s="0" t="n">
        <v>0.2025305</v>
      </c>
      <c r="O1326" s="0" t="n">
        <v>39</v>
      </c>
      <c r="P1326" s="0" t="n">
        <v>48</v>
      </c>
      <c r="Q1326" s="5" t="str">
        <f aca="false">IF($D1326&lt;&gt;"","["&amp;$E1326&amp;"]"&amp;"|"&amp;SUBSTITUTE(SUBSTITUTE($I1326,CHAR(61),""),CHAR(34),"")&amp;"|"&amp;$K1326&amp;"|"&amp;$G1326&amp;"|"&amp;IF($G1326="TX_CURR_SUBNAT.R","CY2020Q4",$M1326),"")</f>
        <v>[HuwCoDZG0FY]|30-34|Male|HIV_PREV.T_1|CY2021Q3</v>
      </c>
    </row>
    <row r="1327" customFormat="false" ht="15" hidden="false" customHeight="false" outlineLevel="0" collapsed="false">
      <c r="D1327" s="0" t="s">
        <v>117</v>
      </c>
      <c r="E1327" s="0" t="s">
        <v>118</v>
      </c>
      <c r="F1327" s="0" t="s">
        <v>47</v>
      </c>
      <c r="G1327" s="0" t="s">
        <v>91</v>
      </c>
      <c r="H1327" s="0" t="s">
        <v>92</v>
      </c>
      <c r="I1327" s="0" t="s">
        <v>75</v>
      </c>
      <c r="J1327" s="0" t="s">
        <v>76</v>
      </c>
      <c r="K1327" s="0" t="s">
        <v>56</v>
      </c>
      <c r="L1327" s="0" t="s">
        <v>57</v>
      </c>
      <c r="M1327" s="0" t="s">
        <v>50</v>
      </c>
      <c r="N1327" s="0" t="n">
        <v>0.5040283</v>
      </c>
      <c r="O1327" s="0" t="n">
        <v>13</v>
      </c>
      <c r="P1327" s="0" t="n">
        <v>27</v>
      </c>
      <c r="Q1327" s="5" t="str">
        <f aca="false">IF($D1327&lt;&gt;"","["&amp;$E1327&amp;"]"&amp;"|"&amp;SUBSTITUTE(SUBSTITUTE($I1327,CHAR(61),""),CHAR(34),"")&amp;"|"&amp;$K1327&amp;"|"&amp;$G1327&amp;"|"&amp;IF($G1327="TX_CURR_SUBNAT.R","CY2020Q4",$M1327),"")</f>
        <v>[HuwCoDZG0FY]|35-39|Female|HIV_PREV.T_1|CY2021Q3</v>
      </c>
    </row>
    <row r="1328" customFormat="false" ht="15" hidden="false" customHeight="false" outlineLevel="0" collapsed="false">
      <c r="D1328" s="0" t="s">
        <v>117</v>
      </c>
      <c r="E1328" s="0" t="s">
        <v>118</v>
      </c>
      <c r="F1328" s="0" t="s">
        <v>47</v>
      </c>
      <c r="G1328" s="0" t="s">
        <v>91</v>
      </c>
      <c r="H1328" s="0" t="s">
        <v>92</v>
      </c>
      <c r="I1328" s="0" t="s">
        <v>75</v>
      </c>
      <c r="J1328" s="0" t="s">
        <v>76</v>
      </c>
      <c r="K1328" s="0" t="s">
        <v>58</v>
      </c>
      <c r="L1328" s="0" t="s">
        <v>59</v>
      </c>
      <c r="M1328" s="0" t="s">
        <v>50</v>
      </c>
      <c r="N1328" s="0" t="n">
        <v>0.3259964</v>
      </c>
      <c r="O1328" s="0" t="n">
        <v>47</v>
      </c>
      <c r="P1328" s="0" t="n">
        <v>3</v>
      </c>
      <c r="Q1328" s="5" t="str">
        <f aca="false">IF($D1328&lt;&gt;"","["&amp;$E1328&amp;"]"&amp;"|"&amp;SUBSTITUTE(SUBSTITUTE($I1328,CHAR(61),""),CHAR(34),"")&amp;"|"&amp;$K1328&amp;"|"&amp;$G1328&amp;"|"&amp;IF($G1328="TX_CURR_SUBNAT.R","CY2020Q4",$M1328),"")</f>
        <v>[HuwCoDZG0FY]|35-39|Male|HIV_PREV.T_1|CY2021Q3</v>
      </c>
    </row>
    <row r="1329" customFormat="false" ht="15" hidden="false" customHeight="false" outlineLevel="0" collapsed="false">
      <c r="D1329" s="0" t="s">
        <v>117</v>
      </c>
      <c r="E1329" s="0" t="s">
        <v>118</v>
      </c>
      <c r="F1329" s="0" t="s">
        <v>47</v>
      </c>
      <c r="G1329" s="0" t="s">
        <v>91</v>
      </c>
      <c r="H1329" s="0" t="s">
        <v>92</v>
      </c>
      <c r="I1329" s="0" t="s">
        <v>77</v>
      </c>
      <c r="J1329" s="0" t="s">
        <v>78</v>
      </c>
      <c r="K1329" s="0" t="s">
        <v>56</v>
      </c>
      <c r="L1329" s="0" t="s">
        <v>57</v>
      </c>
      <c r="M1329" s="0" t="s">
        <v>50</v>
      </c>
      <c r="N1329" s="0" t="n">
        <v>0.5357978</v>
      </c>
      <c r="O1329" s="0" t="n">
        <v>56</v>
      </c>
      <c r="P1329" s="0" t="n">
        <v>11</v>
      </c>
      <c r="Q1329" s="5" t="str">
        <f aca="false">IF($D1329&lt;&gt;"","["&amp;$E1329&amp;"]"&amp;"|"&amp;SUBSTITUTE(SUBSTITUTE($I1329,CHAR(61),""),CHAR(34),"")&amp;"|"&amp;$K1329&amp;"|"&amp;$G1329&amp;"|"&amp;IF($G1329="TX_CURR_SUBNAT.R","CY2020Q4",$M1329),"")</f>
        <v>[HuwCoDZG0FY]|40-44|Female|HIV_PREV.T_1|CY2021Q3</v>
      </c>
    </row>
    <row r="1330" customFormat="false" ht="15" hidden="false" customHeight="false" outlineLevel="0" collapsed="false">
      <c r="D1330" s="0" t="s">
        <v>117</v>
      </c>
      <c r="E1330" s="0" t="s">
        <v>118</v>
      </c>
      <c r="F1330" s="0" t="s">
        <v>47</v>
      </c>
      <c r="G1330" s="0" t="s">
        <v>91</v>
      </c>
      <c r="H1330" s="0" t="s">
        <v>92</v>
      </c>
      <c r="I1330" s="0" t="s">
        <v>77</v>
      </c>
      <c r="J1330" s="0" t="s">
        <v>78</v>
      </c>
      <c r="K1330" s="0" t="s">
        <v>58</v>
      </c>
      <c r="L1330" s="0" t="s">
        <v>59</v>
      </c>
      <c r="M1330" s="0" t="s">
        <v>50</v>
      </c>
      <c r="N1330" s="0" t="n">
        <v>0.416006</v>
      </c>
      <c r="O1330" s="0" t="n">
        <v>54</v>
      </c>
      <c r="P1330" s="0" t="n">
        <v>36</v>
      </c>
      <c r="Q1330" s="5" t="str">
        <f aca="false">IF($D1330&lt;&gt;"","["&amp;$E1330&amp;"]"&amp;"|"&amp;SUBSTITUTE(SUBSTITUTE($I1330,CHAR(61),""),CHAR(34),"")&amp;"|"&amp;$K1330&amp;"|"&amp;$G1330&amp;"|"&amp;IF($G1330="TX_CURR_SUBNAT.R","CY2020Q4",$M1330),"")</f>
        <v>[HuwCoDZG0FY]|40-44|Male|HIV_PREV.T_1|CY2021Q3</v>
      </c>
    </row>
    <row r="1331" customFormat="false" ht="15" hidden="false" customHeight="false" outlineLevel="0" collapsed="false">
      <c r="D1331" s="0" t="s">
        <v>117</v>
      </c>
      <c r="E1331" s="0" t="s">
        <v>118</v>
      </c>
      <c r="F1331" s="0" t="s">
        <v>47</v>
      </c>
      <c r="G1331" s="0" t="s">
        <v>91</v>
      </c>
      <c r="H1331" s="0" t="s">
        <v>92</v>
      </c>
      <c r="I1331" s="0" t="s">
        <v>80</v>
      </c>
      <c r="J1331" s="0" t="s">
        <v>81</v>
      </c>
      <c r="K1331" s="0" t="s">
        <v>56</v>
      </c>
      <c r="L1331" s="0" t="s">
        <v>57</v>
      </c>
      <c r="M1331" s="0" t="s">
        <v>50</v>
      </c>
      <c r="N1331" s="0" t="n">
        <v>0.4994024</v>
      </c>
      <c r="O1331" s="0" t="n">
        <v>53</v>
      </c>
      <c r="P1331" s="0" t="n">
        <v>24</v>
      </c>
      <c r="Q1331" s="5" t="str">
        <f aca="false">IF($D1331&lt;&gt;"","["&amp;$E1331&amp;"]"&amp;"|"&amp;SUBSTITUTE(SUBSTITUTE($I1331,CHAR(61),""),CHAR(34),"")&amp;"|"&amp;$K1331&amp;"|"&amp;$G1331&amp;"|"&amp;IF($G1331="TX_CURR_SUBNAT.R","CY2020Q4",$M1331),"")</f>
        <v>[HuwCoDZG0FY]|45-49|Female|HIV_PREV.T_1|CY2021Q3</v>
      </c>
    </row>
    <row r="1332" customFormat="false" ht="15" hidden="false" customHeight="false" outlineLevel="0" collapsed="false">
      <c r="D1332" s="0" t="s">
        <v>117</v>
      </c>
      <c r="E1332" s="0" t="s">
        <v>118</v>
      </c>
      <c r="F1332" s="0" t="s">
        <v>47</v>
      </c>
      <c r="G1332" s="0" t="s">
        <v>91</v>
      </c>
      <c r="H1332" s="0" t="s">
        <v>92</v>
      </c>
      <c r="I1332" s="0" t="s">
        <v>80</v>
      </c>
      <c r="J1332" s="0" t="s">
        <v>81</v>
      </c>
      <c r="K1332" s="0" t="s">
        <v>58</v>
      </c>
      <c r="L1332" s="0" t="s">
        <v>59</v>
      </c>
      <c r="M1332" s="0" t="s">
        <v>50</v>
      </c>
      <c r="N1332" s="0" t="n">
        <v>0.4721665</v>
      </c>
      <c r="O1332" s="0" t="n">
        <v>7</v>
      </c>
      <c r="P1332" s="0" t="n">
        <v>45</v>
      </c>
      <c r="Q1332" s="5" t="str">
        <f aca="false">IF($D1332&lt;&gt;"","["&amp;$E1332&amp;"]"&amp;"|"&amp;SUBSTITUTE(SUBSTITUTE($I1332,CHAR(61),""),CHAR(34),"")&amp;"|"&amp;$K1332&amp;"|"&amp;$G1332&amp;"|"&amp;IF($G1332="TX_CURR_SUBNAT.R","CY2020Q4",$M1332),"")</f>
        <v>[HuwCoDZG0FY]|45-49|Male|HIV_PREV.T_1|CY2021Q3</v>
      </c>
    </row>
    <row r="1333" customFormat="false" ht="15" hidden="false" customHeight="false" outlineLevel="0" collapsed="false">
      <c r="D1333" s="0" t="s">
        <v>117</v>
      </c>
      <c r="E1333" s="0" t="s">
        <v>118</v>
      </c>
      <c r="F1333" s="0" t="s">
        <v>47</v>
      </c>
      <c r="G1333" s="0" t="s">
        <v>91</v>
      </c>
      <c r="H1333" s="0" t="s">
        <v>92</v>
      </c>
      <c r="I1333" s="0" t="s">
        <v>83</v>
      </c>
      <c r="J1333" s="0" t="s">
        <v>84</v>
      </c>
      <c r="K1333" s="0" t="s">
        <v>56</v>
      </c>
      <c r="L1333" s="0" t="s">
        <v>57</v>
      </c>
      <c r="M1333" s="0" t="s">
        <v>50</v>
      </c>
      <c r="N1333" s="0" t="n">
        <v>0.016256</v>
      </c>
      <c r="O1333" s="0" t="n">
        <v>20</v>
      </c>
      <c r="P1333" s="0" t="n">
        <v>26</v>
      </c>
      <c r="Q1333" s="5" t="str">
        <f aca="false">IF($D1333&lt;&gt;"","["&amp;$E1333&amp;"]"&amp;"|"&amp;SUBSTITUTE(SUBSTITUTE($I1333,CHAR(61),""),CHAR(34),"")&amp;"|"&amp;$K1333&amp;"|"&amp;$G1333&amp;"|"&amp;IF($G1333="TX_CURR_SUBNAT.R","CY2020Q4",$M1333),"")</f>
        <v>[HuwCoDZG0FY]|05-09|Female|HIV_PREV.T_1|CY2021Q3</v>
      </c>
    </row>
    <row r="1334" customFormat="false" ht="15" hidden="false" customHeight="false" outlineLevel="0" collapsed="false">
      <c r="D1334" s="0" t="s">
        <v>117</v>
      </c>
      <c r="E1334" s="0" t="s">
        <v>118</v>
      </c>
      <c r="F1334" s="0" t="s">
        <v>47</v>
      </c>
      <c r="G1334" s="0" t="s">
        <v>91</v>
      </c>
      <c r="H1334" s="0" t="s">
        <v>92</v>
      </c>
      <c r="I1334" s="0" t="s">
        <v>83</v>
      </c>
      <c r="J1334" s="0" t="s">
        <v>84</v>
      </c>
      <c r="K1334" s="0" t="s">
        <v>58</v>
      </c>
      <c r="L1334" s="0" t="s">
        <v>59</v>
      </c>
      <c r="M1334" s="0" t="s">
        <v>50</v>
      </c>
      <c r="N1334" s="0" t="n">
        <v>0.0162362</v>
      </c>
      <c r="O1334" s="0" t="n">
        <v>21</v>
      </c>
      <c r="P1334" s="0" t="n">
        <v>49</v>
      </c>
      <c r="Q1334" s="5" t="str">
        <f aca="false">IF($D1334&lt;&gt;"","["&amp;$E1334&amp;"]"&amp;"|"&amp;SUBSTITUTE(SUBSTITUTE($I1334,CHAR(61),""),CHAR(34),"")&amp;"|"&amp;$K1334&amp;"|"&amp;$G1334&amp;"|"&amp;IF($G1334="TX_CURR_SUBNAT.R","CY2020Q4",$M1334),"")</f>
        <v>[HuwCoDZG0FY]|05-09|Male|HIV_PREV.T_1|CY2021Q3</v>
      </c>
    </row>
    <row r="1335" customFormat="false" ht="15" hidden="false" customHeight="false" outlineLevel="0" collapsed="false">
      <c r="D1335" s="0" t="s">
        <v>117</v>
      </c>
      <c r="E1335" s="0" t="s">
        <v>118</v>
      </c>
      <c r="F1335" s="0" t="s">
        <v>47</v>
      </c>
      <c r="G1335" s="0" t="s">
        <v>91</v>
      </c>
      <c r="H1335" s="0" t="s">
        <v>92</v>
      </c>
      <c r="I1335" s="53" t="s">
        <v>86</v>
      </c>
      <c r="J1335" s="0" t="s">
        <v>87</v>
      </c>
      <c r="K1335" s="0" t="s">
        <v>56</v>
      </c>
      <c r="L1335" s="0" t="s">
        <v>57</v>
      </c>
      <c r="M1335" s="0" t="s">
        <v>50</v>
      </c>
      <c r="N1335" s="0" t="n">
        <v>0.2581027</v>
      </c>
      <c r="O1335" s="0" t="n">
        <v>17</v>
      </c>
      <c r="P1335" s="0" t="n">
        <v>46</v>
      </c>
      <c r="Q1335" s="5" t="str">
        <f aca="false">IF($D1335&lt;&gt;"","["&amp;$E1335&amp;"]"&amp;"|"&amp;SUBSTITUTE(SUBSTITUTE($I1335,CHAR(61),""),CHAR(34),"")&amp;"|"&amp;$K1335&amp;"|"&amp;$G1335&amp;"|"&amp;IF($G1335="TX_CURR_SUBNAT.R","CY2020Q4",$M1335),"")</f>
        <v>[HuwCoDZG0FY]|50+|Female|HIV_PREV.T_1|CY2021Q3</v>
      </c>
    </row>
    <row r="1336" customFormat="false" ht="15" hidden="false" customHeight="false" outlineLevel="0" collapsed="false">
      <c r="D1336" s="0" t="s">
        <v>117</v>
      </c>
      <c r="E1336" s="0" t="s">
        <v>118</v>
      </c>
      <c r="F1336" s="0" t="s">
        <v>47</v>
      </c>
      <c r="G1336" s="0" t="s">
        <v>91</v>
      </c>
      <c r="H1336" s="0" t="s">
        <v>92</v>
      </c>
      <c r="I1336" s="53" t="s">
        <v>86</v>
      </c>
      <c r="J1336" s="0" t="s">
        <v>87</v>
      </c>
      <c r="K1336" s="0" t="s">
        <v>58</v>
      </c>
      <c r="L1336" s="0" t="s">
        <v>59</v>
      </c>
      <c r="M1336" s="0" t="s">
        <v>50</v>
      </c>
      <c r="N1336" s="0" t="n">
        <v>0.3043469</v>
      </c>
      <c r="O1336" s="0" t="n">
        <v>24</v>
      </c>
      <c r="P1336" s="0" t="n">
        <v>10</v>
      </c>
      <c r="Q1336" s="5" t="str">
        <f aca="false">IF($D1336&lt;&gt;"","["&amp;$E1336&amp;"]"&amp;"|"&amp;SUBSTITUTE(SUBSTITUTE($I1336,CHAR(61),""),CHAR(34),"")&amp;"|"&amp;$K1336&amp;"|"&amp;$G1336&amp;"|"&amp;IF($G1336="TX_CURR_SUBNAT.R","CY2020Q4",$M1336),"")</f>
        <v>[HuwCoDZG0FY]|50+|Male|HIV_PREV.T_1|CY2021Q3</v>
      </c>
    </row>
    <row r="1337" customFormat="false" ht="15" hidden="false" customHeight="false" outlineLevel="0" collapsed="false">
      <c r="D1337" s="0" t="s">
        <v>117</v>
      </c>
      <c r="E1337" s="0" t="s">
        <v>118</v>
      </c>
      <c r="F1337" s="0" t="s">
        <v>47</v>
      </c>
      <c r="G1337" s="0" t="s">
        <v>91</v>
      </c>
      <c r="H1337" s="0" t="s">
        <v>92</v>
      </c>
      <c r="I1337" s="0" t="s">
        <v>89</v>
      </c>
      <c r="J1337" s="0" t="s">
        <v>90</v>
      </c>
      <c r="K1337" s="0" t="s">
        <v>56</v>
      </c>
      <c r="L1337" s="0" t="s">
        <v>57</v>
      </c>
      <c r="M1337" s="0" t="s">
        <v>50</v>
      </c>
      <c r="N1337" s="0" t="n">
        <v>0.0076344</v>
      </c>
      <c r="O1337" s="0" t="n">
        <v>12</v>
      </c>
      <c r="P1337" s="0" t="n">
        <v>11</v>
      </c>
      <c r="Q1337" s="5" t="str">
        <f aca="false">IF($D1337&lt;&gt;"","["&amp;$E1337&amp;"]"&amp;"|"&amp;SUBSTITUTE(SUBSTITUTE($I1337,CHAR(61),""),CHAR(34),"")&amp;"|"&amp;$K1337&amp;"|"&amp;$G1337&amp;"|"&amp;IF($G1337="TX_CURR_SUBNAT.R","CY2020Q4",$M1337),"")</f>
        <v>[HuwCoDZG0FY]|&lt;01|Female|HIV_PREV.T_1|CY2021Q3</v>
      </c>
    </row>
    <row r="1338" customFormat="false" ht="15" hidden="false" customHeight="false" outlineLevel="0" collapsed="false">
      <c r="D1338" s="0" t="s">
        <v>117</v>
      </c>
      <c r="E1338" s="0" t="s">
        <v>118</v>
      </c>
      <c r="F1338" s="0" t="s">
        <v>47</v>
      </c>
      <c r="G1338" s="0" t="s">
        <v>91</v>
      </c>
      <c r="H1338" s="0" t="s">
        <v>92</v>
      </c>
      <c r="I1338" s="0" t="s">
        <v>89</v>
      </c>
      <c r="J1338" s="0" t="s">
        <v>90</v>
      </c>
      <c r="K1338" s="0" t="s">
        <v>58</v>
      </c>
      <c r="L1338" s="0" t="s">
        <v>59</v>
      </c>
      <c r="M1338" s="0" t="s">
        <v>50</v>
      </c>
      <c r="N1338" s="0" t="n">
        <v>0.0076053</v>
      </c>
      <c r="O1338" s="0" t="n">
        <v>1</v>
      </c>
      <c r="P1338" s="0" t="n">
        <v>7</v>
      </c>
      <c r="Q1338" s="5" t="str">
        <f aca="false">IF($D1338&lt;&gt;"","["&amp;$E1338&amp;"]"&amp;"|"&amp;SUBSTITUTE(SUBSTITUTE($I1338,CHAR(61),""),CHAR(34),"")&amp;"|"&amp;$K1338&amp;"|"&amp;$G1338&amp;"|"&amp;IF($G1338="TX_CURR_SUBNAT.R","CY2020Q4",$M1338),"")</f>
        <v>[HuwCoDZG0FY]|&lt;01|Male|HIV_PREV.T_1|CY2021Q3</v>
      </c>
    </row>
    <row r="1339" customFormat="false" ht="15" hidden="false" customHeight="false" outlineLevel="0" collapsed="false">
      <c r="D1339" s="0" t="s">
        <v>117</v>
      </c>
      <c r="E1339" s="0" t="s">
        <v>118</v>
      </c>
      <c r="F1339" s="0" t="s">
        <v>47</v>
      </c>
      <c r="G1339" s="0" t="s">
        <v>93</v>
      </c>
      <c r="H1339" s="0" t="s">
        <v>94</v>
      </c>
      <c r="I1339" s="0" t="s">
        <v>54</v>
      </c>
      <c r="J1339" s="0" t="s">
        <v>55</v>
      </c>
      <c r="K1339" s="0" t="s">
        <v>56</v>
      </c>
      <c r="L1339" s="0" t="s">
        <v>57</v>
      </c>
      <c r="M1339" s="0" t="s">
        <v>50</v>
      </c>
      <c r="N1339" s="0" t="n">
        <v>12</v>
      </c>
      <c r="O1339" s="0" t="n">
        <v>5</v>
      </c>
      <c r="P1339" s="0" t="n">
        <v>4</v>
      </c>
      <c r="Q1339" s="5" t="str">
        <f aca="false">IF($D1339&lt;&gt;"","["&amp;$E1339&amp;"]"&amp;"|"&amp;SUBSTITUTE(SUBSTITUTE($I1339,CHAR(61),""),CHAR(34),"")&amp;"|"&amp;$K1339&amp;"|"&amp;$G1339&amp;"|"&amp;IF($G1339="TX_CURR_SUBNAT.R","CY2020Q4",$M1339),"")</f>
        <v>[HuwCoDZG0FY]|01-04|Female|DIAGNOSED_SUBNAT.T_1|CY2021Q3</v>
      </c>
    </row>
    <row r="1340" customFormat="false" ht="15" hidden="false" customHeight="false" outlineLevel="0" collapsed="false">
      <c r="D1340" s="0" t="s">
        <v>117</v>
      </c>
      <c r="E1340" s="0" t="s">
        <v>118</v>
      </c>
      <c r="F1340" s="0" t="s">
        <v>47</v>
      </c>
      <c r="G1340" s="0" t="s">
        <v>93</v>
      </c>
      <c r="H1340" s="0" t="s">
        <v>94</v>
      </c>
      <c r="I1340" s="0" t="s">
        <v>54</v>
      </c>
      <c r="J1340" s="0" t="s">
        <v>55</v>
      </c>
      <c r="K1340" s="0" t="s">
        <v>58</v>
      </c>
      <c r="L1340" s="0" t="s">
        <v>59</v>
      </c>
      <c r="M1340" s="0" t="s">
        <v>50</v>
      </c>
      <c r="N1340" s="0" t="n">
        <v>13</v>
      </c>
      <c r="O1340" s="0" t="n">
        <v>33</v>
      </c>
      <c r="P1340" s="0" t="n">
        <v>50</v>
      </c>
      <c r="Q1340" s="5" t="str">
        <f aca="false">IF($D1340&lt;&gt;"","["&amp;$E1340&amp;"]"&amp;"|"&amp;SUBSTITUTE(SUBSTITUTE($I1340,CHAR(61),""),CHAR(34),"")&amp;"|"&amp;$K1340&amp;"|"&amp;$G1340&amp;"|"&amp;IF($G1340="TX_CURR_SUBNAT.R","CY2020Q4",$M1340),"")</f>
        <v>[HuwCoDZG0FY]|01-04|Male|DIAGNOSED_SUBNAT.T_1|CY2021Q3</v>
      </c>
    </row>
    <row r="1341" customFormat="false" ht="15" hidden="false" customHeight="false" outlineLevel="0" collapsed="false">
      <c r="D1341" s="0" t="s">
        <v>117</v>
      </c>
      <c r="E1341" s="0" t="s">
        <v>118</v>
      </c>
      <c r="F1341" s="0" t="s">
        <v>47</v>
      </c>
      <c r="G1341" s="0" t="s">
        <v>93</v>
      </c>
      <c r="H1341" s="0" t="s">
        <v>94</v>
      </c>
      <c r="I1341" s="0" t="s">
        <v>61</v>
      </c>
      <c r="J1341" s="0" t="s">
        <v>62</v>
      </c>
      <c r="K1341" s="0" t="s">
        <v>56</v>
      </c>
      <c r="L1341" s="0" t="s">
        <v>57</v>
      </c>
      <c r="M1341" s="0" t="s">
        <v>50</v>
      </c>
      <c r="N1341" s="0" t="n">
        <v>109</v>
      </c>
      <c r="O1341" s="0" t="n">
        <v>18</v>
      </c>
      <c r="P1341" s="0" t="n">
        <v>22</v>
      </c>
      <c r="Q1341" s="5" t="str">
        <f aca="false">IF($D1341&lt;&gt;"","["&amp;$E1341&amp;"]"&amp;"|"&amp;SUBSTITUTE(SUBSTITUTE($I1341,CHAR(61),""),CHAR(34),"")&amp;"|"&amp;$K1341&amp;"|"&amp;$G1341&amp;"|"&amp;IF($G1341="TX_CURR_SUBNAT.R","CY2020Q4",$M1341),"")</f>
        <v>[HuwCoDZG0FY]|10-14|Female|DIAGNOSED_SUBNAT.T_1|CY2021Q3</v>
      </c>
    </row>
    <row r="1342" customFormat="false" ht="15" hidden="false" customHeight="false" outlineLevel="0" collapsed="false">
      <c r="D1342" s="0" t="s">
        <v>117</v>
      </c>
      <c r="E1342" s="0" t="s">
        <v>118</v>
      </c>
      <c r="F1342" s="0" t="s">
        <v>47</v>
      </c>
      <c r="G1342" s="0" t="s">
        <v>93</v>
      </c>
      <c r="H1342" s="0" t="s">
        <v>94</v>
      </c>
      <c r="I1342" s="0" t="s">
        <v>61</v>
      </c>
      <c r="J1342" s="0" t="s">
        <v>62</v>
      </c>
      <c r="K1342" s="0" t="s">
        <v>58</v>
      </c>
      <c r="L1342" s="0" t="s">
        <v>59</v>
      </c>
      <c r="M1342" s="0" t="s">
        <v>50</v>
      </c>
      <c r="N1342" s="0" t="n">
        <v>114</v>
      </c>
      <c r="O1342" s="0" t="n">
        <v>28</v>
      </c>
      <c r="P1342" s="0" t="n">
        <v>42</v>
      </c>
      <c r="Q1342" s="5" t="str">
        <f aca="false">IF($D1342&lt;&gt;"","["&amp;$E1342&amp;"]"&amp;"|"&amp;SUBSTITUTE(SUBSTITUTE($I1342,CHAR(61),""),CHAR(34),"")&amp;"|"&amp;$K1342&amp;"|"&amp;$G1342&amp;"|"&amp;IF($G1342="TX_CURR_SUBNAT.R","CY2020Q4",$M1342),"")</f>
        <v>[HuwCoDZG0FY]|10-14|Male|DIAGNOSED_SUBNAT.T_1|CY2021Q3</v>
      </c>
    </row>
    <row r="1343" customFormat="false" ht="15" hidden="false" customHeight="false" outlineLevel="0" collapsed="false">
      <c r="D1343" s="0" t="s">
        <v>117</v>
      </c>
      <c r="E1343" s="0" t="s">
        <v>118</v>
      </c>
      <c r="F1343" s="0" t="s">
        <v>47</v>
      </c>
      <c r="G1343" s="0" t="s">
        <v>93</v>
      </c>
      <c r="H1343" s="0" t="s">
        <v>94</v>
      </c>
      <c r="I1343" s="0" t="s">
        <v>63</v>
      </c>
      <c r="J1343" s="0" t="s">
        <v>64</v>
      </c>
      <c r="K1343" s="0" t="s">
        <v>56</v>
      </c>
      <c r="L1343" s="0" t="s">
        <v>57</v>
      </c>
      <c r="M1343" s="0" t="s">
        <v>50</v>
      </c>
      <c r="N1343" s="0" t="n">
        <v>206</v>
      </c>
      <c r="O1343" s="0" t="n">
        <v>21</v>
      </c>
      <c r="P1343" s="0" t="n">
        <v>39</v>
      </c>
      <c r="Q1343" s="5" t="str">
        <f aca="false">IF($D1343&lt;&gt;"","["&amp;$E1343&amp;"]"&amp;"|"&amp;SUBSTITUTE(SUBSTITUTE($I1343,CHAR(61),""),CHAR(34),"")&amp;"|"&amp;$K1343&amp;"|"&amp;$G1343&amp;"|"&amp;IF($G1343="TX_CURR_SUBNAT.R","CY2020Q4",$M1343),"")</f>
        <v>[HuwCoDZG0FY]|15-19|Female|DIAGNOSED_SUBNAT.T_1|CY2021Q3</v>
      </c>
    </row>
    <row r="1344" customFormat="false" ht="15" hidden="false" customHeight="false" outlineLevel="0" collapsed="false">
      <c r="D1344" s="0" t="s">
        <v>117</v>
      </c>
      <c r="E1344" s="0" t="s">
        <v>118</v>
      </c>
      <c r="F1344" s="0" t="s">
        <v>47</v>
      </c>
      <c r="G1344" s="0" t="s">
        <v>93</v>
      </c>
      <c r="H1344" s="0" t="s">
        <v>94</v>
      </c>
      <c r="I1344" s="0" t="s">
        <v>63</v>
      </c>
      <c r="J1344" s="0" t="s">
        <v>64</v>
      </c>
      <c r="K1344" s="0" t="s">
        <v>58</v>
      </c>
      <c r="L1344" s="0" t="s">
        <v>59</v>
      </c>
      <c r="M1344" s="0" t="s">
        <v>50</v>
      </c>
      <c r="N1344" s="0" t="n">
        <v>160</v>
      </c>
      <c r="O1344" s="0" t="n">
        <v>14</v>
      </c>
      <c r="P1344" s="0" t="n">
        <v>11</v>
      </c>
      <c r="Q1344" s="5" t="str">
        <f aca="false">IF($D1344&lt;&gt;"","["&amp;$E1344&amp;"]"&amp;"|"&amp;SUBSTITUTE(SUBSTITUTE($I1344,CHAR(61),""),CHAR(34),"")&amp;"|"&amp;$K1344&amp;"|"&amp;$G1344&amp;"|"&amp;IF($G1344="TX_CURR_SUBNAT.R","CY2020Q4",$M1344),"")</f>
        <v>[HuwCoDZG0FY]|15-19|Male|DIAGNOSED_SUBNAT.T_1|CY2021Q3</v>
      </c>
    </row>
    <row r="1345" customFormat="false" ht="15" hidden="false" customHeight="false" outlineLevel="0" collapsed="false">
      <c r="D1345" s="0" t="s">
        <v>117</v>
      </c>
      <c r="E1345" s="0" t="s">
        <v>118</v>
      </c>
      <c r="F1345" s="0" t="s">
        <v>47</v>
      </c>
      <c r="G1345" s="0" t="s">
        <v>93</v>
      </c>
      <c r="H1345" s="0" t="s">
        <v>94</v>
      </c>
      <c r="I1345" s="0" t="s">
        <v>66</v>
      </c>
      <c r="J1345" s="0" t="s">
        <v>67</v>
      </c>
      <c r="K1345" s="0" t="s">
        <v>56</v>
      </c>
      <c r="L1345" s="0" t="s">
        <v>57</v>
      </c>
      <c r="M1345" s="0" t="s">
        <v>50</v>
      </c>
      <c r="N1345" s="0" t="n">
        <v>464</v>
      </c>
      <c r="O1345" s="0" t="n">
        <v>48</v>
      </c>
      <c r="P1345" s="0" t="n">
        <v>27</v>
      </c>
      <c r="Q1345" s="5" t="str">
        <f aca="false">IF($D1345&lt;&gt;"","["&amp;$E1345&amp;"]"&amp;"|"&amp;SUBSTITUTE(SUBSTITUTE($I1345,CHAR(61),""),CHAR(34),"")&amp;"|"&amp;$K1345&amp;"|"&amp;$G1345&amp;"|"&amp;IF($G1345="TX_CURR_SUBNAT.R","CY2020Q4",$M1345),"")</f>
        <v>[HuwCoDZG0FY]|20-24|Female|DIAGNOSED_SUBNAT.T_1|CY2021Q3</v>
      </c>
    </row>
    <row r="1346" customFormat="false" ht="15" hidden="false" customHeight="false" outlineLevel="0" collapsed="false">
      <c r="D1346" s="0" t="s">
        <v>117</v>
      </c>
      <c r="E1346" s="0" t="s">
        <v>118</v>
      </c>
      <c r="F1346" s="0" t="s">
        <v>47</v>
      </c>
      <c r="G1346" s="0" t="s">
        <v>93</v>
      </c>
      <c r="H1346" s="0" t="s">
        <v>94</v>
      </c>
      <c r="I1346" s="0" t="s">
        <v>66</v>
      </c>
      <c r="J1346" s="0" t="s">
        <v>67</v>
      </c>
      <c r="K1346" s="0" t="s">
        <v>58</v>
      </c>
      <c r="L1346" s="0" t="s">
        <v>59</v>
      </c>
      <c r="M1346" s="0" t="s">
        <v>50</v>
      </c>
      <c r="N1346" s="0" t="n">
        <v>184</v>
      </c>
      <c r="O1346" s="0" t="n">
        <v>45</v>
      </c>
      <c r="P1346" s="0" t="n">
        <v>25</v>
      </c>
      <c r="Q1346" s="5" t="str">
        <f aca="false">IF($D1346&lt;&gt;"","["&amp;$E1346&amp;"]"&amp;"|"&amp;SUBSTITUTE(SUBSTITUTE($I1346,CHAR(61),""),CHAR(34),"")&amp;"|"&amp;$K1346&amp;"|"&amp;$G1346&amp;"|"&amp;IF($G1346="TX_CURR_SUBNAT.R","CY2020Q4",$M1346),"")</f>
        <v>[HuwCoDZG0FY]|20-24|Male|DIAGNOSED_SUBNAT.T_1|CY2021Q3</v>
      </c>
    </row>
    <row r="1347" customFormat="false" ht="15" hidden="false" customHeight="false" outlineLevel="0" collapsed="false">
      <c r="D1347" s="0" t="s">
        <v>117</v>
      </c>
      <c r="E1347" s="0" t="s">
        <v>118</v>
      </c>
      <c r="F1347" s="0" t="s">
        <v>47</v>
      </c>
      <c r="G1347" s="0" t="s">
        <v>93</v>
      </c>
      <c r="H1347" s="0" t="s">
        <v>94</v>
      </c>
      <c r="I1347" s="0" t="s">
        <v>69</v>
      </c>
      <c r="J1347" s="0" t="s">
        <v>70</v>
      </c>
      <c r="K1347" s="0" t="s">
        <v>56</v>
      </c>
      <c r="L1347" s="0" t="s">
        <v>57</v>
      </c>
      <c r="M1347" s="0" t="s">
        <v>50</v>
      </c>
      <c r="N1347" s="0" t="n">
        <v>750</v>
      </c>
      <c r="O1347" s="0" t="n">
        <v>34</v>
      </c>
      <c r="P1347" s="0" t="n">
        <v>9</v>
      </c>
      <c r="Q1347" s="5" t="str">
        <f aca="false">IF($D1347&lt;&gt;"","["&amp;$E1347&amp;"]"&amp;"|"&amp;SUBSTITUTE(SUBSTITUTE($I1347,CHAR(61),""),CHAR(34),"")&amp;"|"&amp;$K1347&amp;"|"&amp;$G1347&amp;"|"&amp;IF($G1347="TX_CURR_SUBNAT.R","CY2020Q4",$M1347),"")</f>
        <v>[HuwCoDZG0FY]|25-29|Female|DIAGNOSED_SUBNAT.T_1|CY2021Q3</v>
      </c>
    </row>
    <row r="1348" customFormat="false" ht="15" hidden="false" customHeight="false" outlineLevel="0" collapsed="false">
      <c r="D1348" s="0" t="s">
        <v>117</v>
      </c>
      <c r="E1348" s="0" t="s">
        <v>118</v>
      </c>
      <c r="F1348" s="0" t="s">
        <v>47</v>
      </c>
      <c r="G1348" s="0" t="s">
        <v>93</v>
      </c>
      <c r="H1348" s="0" t="s">
        <v>94</v>
      </c>
      <c r="I1348" s="0" t="s">
        <v>69</v>
      </c>
      <c r="J1348" s="0" t="s">
        <v>70</v>
      </c>
      <c r="K1348" s="0" t="s">
        <v>58</v>
      </c>
      <c r="L1348" s="0" t="s">
        <v>59</v>
      </c>
      <c r="M1348" s="0" t="s">
        <v>50</v>
      </c>
      <c r="N1348" s="0" t="n">
        <v>311</v>
      </c>
      <c r="O1348" s="0" t="n">
        <v>60</v>
      </c>
      <c r="P1348" s="0" t="n">
        <v>41</v>
      </c>
      <c r="Q1348" s="5" t="str">
        <f aca="false">IF($D1348&lt;&gt;"","["&amp;$E1348&amp;"]"&amp;"|"&amp;SUBSTITUTE(SUBSTITUTE($I1348,CHAR(61),""),CHAR(34),"")&amp;"|"&amp;$K1348&amp;"|"&amp;$G1348&amp;"|"&amp;IF($G1348="TX_CURR_SUBNAT.R","CY2020Q4",$M1348),"")</f>
        <v>[HuwCoDZG0FY]|25-29|Male|DIAGNOSED_SUBNAT.T_1|CY2021Q3</v>
      </c>
    </row>
    <row r="1349" customFormat="false" ht="15" hidden="false" customHeight="false" outlineLevel="0" collapsed="false">
      <c r="D1349" s="0" t="s">
        <v>117</v>
      </c>
      <c r="E1349" s="0" t="s">
        <v>118</v>
      </c>
      <c r="F1349" s="0" t="s">
        <v>47</v>
      </c>
      <c r="G1349" s="0" t="s">
        <v>93</v>
      </c>
      <c r="H1349" s="0" t="s">
        <v>94</v>
      </c>
      <c r="I1349" s="0" t="s">
        <v>72</v>
      </c>
      <c r="J1349" s="0" t="s">
        <v>73</v>
      </c>
      <c r="K1349" s="0" t="s">
        <v>56</v>
      </c>
      <c r="L1349" s="0" t="s">
        <v>57</v>
      </c>
      <c r="M1349" s="0" t="s">
        <v>50</v>
      </c>
      <c r="N1349" s="0" t="n">
        <v>912</v>
      </c>
      <c r="O1349" s="0" t="n">
        <v>7</v>
      </c>
      <c r="P1349" s="0" t="n">
        <v>2</v>
      </c>
      <c r="Q1349" s="5" t="str">
        <f aca="false">IF($D1349&lt;&gt;"","["&amp;$E1349&amp;"]"&amp;"|"&amp;SUBSTITUTE(SUBSTITUTE($I1349,CHAR(61),""),CHAR(34),"")&amp;"|"&amp;$K1349&amp;"|"&amp;$G1349&amp;"|"&amp;IF($G1349="TX_CURR_SUBNAT.R","CY2020Q4",$M1349),"")</f>
        <v>[HuwCoDZG0FY]|30-34|Female|DIAGNOSED_SUBNAT.T_1|CY2021Q3</v>
      </c>
    </row>
    <row r="1350" customFormat="false" ht="15" hidden="false" customHeight="false" outlineLevel="0" collapsed="false">
      <c r="D1350" s="0" t="s">
        <v>117</v>
      </c>
      <c r="E1350" s="0" t="s">
        <v>118</v>
      </c>
      <c r="F1350" s="0" t="s">
        <v>47</v>
      </c>
      <c r="G1350" s="0" t="s">
        <v>93</v>
      </c>
      <c r="H1350" s="0" t="s">
        <v>94</v>
      </c>
      <c r="I1350" s="0" t="s">
        <v>72</v>
      </c>
      <c r="J1350" s="0" t="s">
        <v>73</v>
      </c>
      <c r="K1350" s="0" t="s">
        <v>58</v>
      </c>
      <c r="L1350" s="0" t="s">
        <v>59</v>
      </c>
      <c r="M1350" s="0" t="s">
        <v>50</v>
      </c>
      <c r="N1350" s="0" t="n">
        <v>498</v>
      </c>
      <c r="O1350" s="0" t="n">
        <v>9</v>
      </c>
      <c r="P1350" s="0" t="n">
        <v>46</v>
      </c>
      <c r="Q1350" s="5" t="str">
        <f aca="false">IF($D1350&lt;&gt;"","["&amp;$E1350&amp;"]"&amp;"|"&amp;SUBSTITUTE(SUBSTITUTE($I1350,CHAR(61),""),CHAR(34),"")&amp;"|"&amp;$K1350&amp;"|"&amp;$G1350&amp;"|"&amp;IF($G1350="TX_CURR_SUBNAT.R","CY2020Q4",$M1350),"")</f>
        <v>[HuwCoDZG0FY]|30-34|Male|DIAGNOSED_SUBNAT.T_1|CY2021Q3</v>
      </c>
    </row>
    <row r="1351" customFormat="false" ht="15" hidden="false" customHeight="false" outlineLevel="0" collapsed="false">
      <c r="D1351" s="0" t="s">
        <v>117</v>
      </c>
      <c r="E1351" s="0" t="s">
        <v>118</v>
      </c>
      <c r="F1351" s="0" t="s">
        <v>47</v>
      </c>
      <c r="G1351" s="0" t="s">
        <v>93</v>
      </c>
      <c r="H1351" s="0" t="s">
        <v>94</v>
      </c>
      <c r="I1351" s="0" t="s">
        <v>75</v>
      </c>
      <c r="J1351" s="0" t="s">
        <v>76</v>
      </c>
      <c r="K1351" s="0" t="s">
        <v>56</v>
      </c>
      <c r="L1351" s="0" t="s">
        <v>57</v>
      </c>
      <c r="M1351" s="0" t="s">
        <v>50</v>
      </c>
      <c r="N1351" s="0" t="n">
        <v>964</v>
      </c>
      <c r="O1351" s="0" t="n">
        <v>49</v>
      </c>
      <c r="P1351" s="0" t="n">
        <v>24</v>
      </c>
      <c r="Q1351" s="5" t="str">
        <f aca="false">IF($D1351&lt;&gt;"","["&amp;$E1351&amp;"]"&amp;"|"&amp;SUBSTITUTE(SUBSTITUTE($I1351,CHAR(61),""),CHAR(34),"")&amp;"|"&amp;$K1351&amp;"|"&amp;$G1351&amp;"|"&amp;IF($G1351="TX_CURR_SUBNAT.R","CY2020Q4",$M1351),"")</f>
        <v>[HuwCoDZG0FY]|35-39|Female|DIAGNOSED_SUBNAT.T_1|CY2021Q3</v>
      </c>
    </row>
    <row r="1352" customFormat="false" ht="15" hidden="false" customHeight="false" outlineLevel="0" collapsed="false">
      <c r="D1352" s="0" t="s">
        <v>117</v>
      </c>
      <c r="E1352" s="0" t="s">
        <v>118</v>
      </c>
      <c r="F1352" s="0" t="s">
        <v>47</v>
      </c>
      <c r="G1352" s="0" t="s">
        <v>93</v>
      </c>
      <c r="H1352" s="0" t="s">
        <v>94</v>
      </c>
      <c r="I1352" s="0" t="s">
        <v>75</v>
      </c>
      <c r="J1352" s="0" t="s">
        <v>76</v>
      </c>
      <c r="K1352" s="0" t="s">
        <v>58</v>
      </c>
      <c r="L1352" s="0" t="s">
        <v>59</v>
      </c>
      <c r="M1352" s="0" t="s">
        <v>50</v>
      </c>
      <c r="N1352" s="0" t="n">
        <v>660</v>
      </c>
      <c r="O1352" s="0" t="n">
        <v>56</v>
      </c>
      <c r="P1352" s="0" t="n">
        <v>50</v>
      </c>
      <c r="Q1352" s="5" t="str">
        <f aca="false">IF($D1352&lt;&gt;"","["&amp;$E1352&amp;"]"&amp;"|"&amp;SUBSTITUTE(SUBSTITUTE($I1352,CHAR(61),""),CHAR(34),"")&amp;"|"&amp;$K1352&amp;"|"&amp;$G1352&amp;"|"&amp;IF($G1352="TX_CURR_SUBNAT.R","CY2020Q4",$M1352),"")</f>
        <v>[HuwCoDZG0FY]|35-39|Male|DIAGNOSED_SUBNAT.T_1|CY2021Q3</v>
      </c>
    </row>
    <row r="1353" customFormat="false" ht="15" hidden="false" customHeight="false" outlineLevel="0" collapsed="false">
      <c r="D1353" s="0" t="s">
        <v>117</v>
      </c>
      <c r="E1353" s="0" t="s">
        <v>118</v>
      </c>
      <c r="F1353" s="0" t="s">
        <v>47</v>
      </c>
      <c r="G1353" s="0" t="s">
        <v>93</v>
      </c>
      <c r="H1353" s="0" t="s">
        <v>94</v>
      </c>
      <c r="I1353" s="0" t="s">
        <v>77</v>
      </c>
      <c r="J1353" s="0" t="s">
        <v>78</v>
      </c>
      <c r="K1353" s="0" t="s">
        <v>56</v>
      </c>
      <c r="L1353" s="0" t="s">
        <v>57</v>
      </c>
      <c r="M1353" s="0" t="s">
        <v>50</v>
      </c>
      <c r="N1353" s="0" t="n">
        <v>955</v>
      </c>
      <c r="O1353" s="0" t="n">
        <v>16</v>
      </c>
      <c r="P1353" s="0" t="n">
        <v>2</v>
      </c>
      <c r="Q1353" s="5" t="str">
        <f aca="false">IF($D1353&lt;&gt;"","["&amp;$E1353&amp;"]"&amp;"|"&amp;SUBSTITUTE(SUBSTITUTE($I1353,CHAR(61),""),CHAR(34),"")&amp;"|"&amp;$K1353&amp;"|"&amp;$G1353&amp;"|"&amp;IF($G1353="TX_CURR_SUBNAT.R","CY2020Q4",$M1353),"")</f>
        <v>[HuwCoDZG0FY]|40-44|Female|DIAGNOSED_SUBNAT.T_1|CY2021Q3</v>
      </c>
    </row>
    <row r="1354" customFormat="false" ht="15" hidden="false" customHeight="false" outlineLevel="0" collapsed="false">
      <c r="D1354" s="0" t="s">
        <v>117</v>
      </c>
      <c r="E1354" s="0" t="s">
        <v>118</v>
      </c>
      <c r="F1354" s="0" t="s">
        <v>47</v>
      </c>
      <c r="G1354" s="0" t="s">
        <v>93</v>
      </c>
      <c r="H1354" s="0" t="s">
        <v>94</v>
      </c>
      <c r="I1354" s="0" t="s">
        <v>77</v>
      </c>
      <c r="J1354" s="0" t="s">
        <v>78</v>
      </c>
      <c r="K1354" s="0" t="s">
        <v>58</v>
      </c>
      <c r="L1354" s="0" t="s">
        <v>59</v>
      </c>
      <c r="M1354" s="0" t="s">
        <v>50</v>
      </c>
      <c r="N1354" s="0" t="n">
        <v>670</v>
      </c>
      <c r="O1354" s="0" t="n">
        <v>17</v>
      </c>
      <c r="P1354" s="0" t="n">
        <v>1</v>
      </c>
      <c r="Q1354" s="5" t="str">
        <f aca="false">IF($D1354&lt;&gt;"","["&amp;$E1354&amp;"]"&amp;"|"&amp;SUBSTITUTE(SUBSTITUTE($I1354,CHAR(61),""),CHAR(34),"")&amp;"|"&amp;$K1354&amp;"|"&amp;$G1354&amp;"|"&amp;IF($G1354="TX_CURR_SUBNAT.R","CY2020Q4",$M1354),"")</f>
        <v>[HuwCoDZG0FY]|40-44|Male|DIAGNOSED_SUBNAT.T_1|CY2021Q3</v>
      </c>
    </row>
    <row r="1355" customFormat="false" ht="15" hidden="false" customHeight="false" outlineLevel="0" collapsed="false">
      <c r="D1355" s="0" t="s">
        <v>117</v>
      </c>
      <c r="E1355" s="0" t="s">
        <v>118</v>
      </c>
      <c r="F1355" s="0" t="s">
        <v>47</v>
      </c>
      <c r="G1355" s="0" t="s">
        <v>93</v>
      </c>
      <c r="H1355" s="0" t="s">
        <v>94</v>
      </c>
      <c r="I1355" s="0" t="s">
        <v>80</v>
      </c>
      <c r="J1355" s="0" t="s">
        <v>81</v>
      </c>
      <c r="K1355" s="0" t="s">
        <v>56</v>
      </c>
      <c r="L1355" s="0" t="s">
        <v>57</v>
      </c>
      <c r="M1355" s="0" t="s">
        <v>50</v>
      </c>
      <c r="N1355" s="0" t="n">
        <v>818</v>
      </c>
      <c r="O1355" s="0" t="n">
        <v>55</v>
      </c>
      <c r="P1355" s="0" t="n">
        <v>20</v>
      </c>
      <c r="Q1355" s="5" t="str">
        <f aca="false">IF($D1355&lt;&gt;"","["&amp;$E1355&amp;"]"&amp;"|"&amp;SUBSTITUTE(SUBSTITUTE($I1355,CHAR(61),""),CHAR(34),"")&amp;"|"&amp;$K1355&amp;"|"&amp;$G1355&amp;"|"&amp;IF($G1355="TX_CURR_SUBNAT.R","CY2020Q4",$M1355),"")</f>
        <v>[HuwCoDZG0FY]|45-49|Female|DIAGNOSED_SUBNAT.T_1|CY2021Q3</v>
      </c>
    </row>
    <row r="1356" customFormat="false" ht="15" hidden="false" customHeight="false" outlineLevel="0" collapsed="false">
      <c r="D1356" s="0" t="s">
        <v>117</v>
      </c>
      <c r="E1356" s="0" t="s">
        <v>118</v>
      </c>
      <c r="F1356" s="0" t="s">
        <v>47</v>
      </c>
      <c r="G1356" s="0" t="s">
        <v>93</v>
      </c>
      <c r="H1356" s="0" t="s">
        <v>94</v>
      </c>
      <c r="I1356" s="0" t="s">
        <v>80</v>
      </c>
      <c r="J1356" s="0" t="s">
        <v>81</v>
      </c>
      <c r="K1356" s="0" t="s">
        <v>58</v>
      </c>
      <c r="L1356" s="0" t="s">
        <v>59</v>
      </c>
      <c r="M1356" s="0" t="s">
        <v>50</v>
      </c>
      <c r="N1356" s="0" t="n">
        <v>567</v>
      </c>
      <c r="O1356" s="0" t="n">
        <v>49</v>
      </c>
      <c r="P1356" s="0" t="n">
        <v>30</v>
      </c>
      <c r="Q1356" s="5" t="str">
        <f aca="false">IF($D1356&lt;&gt;"","["&amp;$E1356&amp;"]"&amp;"|"&amp;SUBSTITUTE(SUBSTITUTE($I1356,CHAR(61),""),CHAR(34),"")&amp;"|"&amp;$K1356&amp;"|"&amp;$G1356&amp;"|"&amp;IF($G1356="TX_CURR_SUBNAT.R","CY2020Q4",$M1356),"")</f>
        <v>[HuwCoDZG0FY]|45-49|Male|DIAGNOSED_SUBNAT.T_1|CY2021Q3</v>
      </c>
    </row>
    <row r="1357" customFormat="false" ht="15" hidden="false" customHeight="false" outlineLevel="0" collapsed="false">
      <c r="D1357" s="0" t="s">
        <v>117</v>
      </c>
      <c r="E1357" s="0" t="s">
        <v>118</v>
      </c>
      <c r="F1357" s="0" t="s">
        <v>47</v>
      </c>
      <c r="G1357" s="0" t="s">
        <v>93</v>
      </c>
      <c r="H1357" s="0" t="s">
        <v>94</v>
      </c>
      <c r="I1357" s="0" t="s">
        <v>83</v>
      </c>
      <c r="J1357" s="0" t="s">
        <v>84</v>
      </c>
      <c r="K1357" s="0" t="s">
        <v>56</v>
      </c>
      <c r="L1357" s="0" t="s">
        <v>57</v>
      </c>
      <c r="M1357" s="0" t="s">
        <v>50</v>
      </c>
      <c r="N1357" s="0" t="n">
        <v>54</v>
      </c>
      <c r="O1357" s="0" t="n">
        <v>41</v>
      </c>
      <c r="P1357" s="0" t="n">
        <v>49</v>
      </c>
      <c r="Q1357" s="5" t="str">
        <f aca="false">IF($D1357&lt;&gt;"","["&amp;$E1357&amp;"]"&amp;"|"&amp;SUBSTITUTE(SUBSTITUTE($I1357,CHAR(61),""),CHAR(34),"")&amp;"|"&amp;$K1357&amp;"|"&amp;$G1357&amp;"|"&amp;IF($G1357="TX_CURR_SUBNAT.R","CY2020Q4",$M1357),"")</f>
        <v>[HuwCoDZG0FY]|05-09|Female|DIAGNOSED_SUBNAT.T_1|CY2021Q3</v>
      </c>
    </row>
    <row r="1358" customFormat="false" ht="15" hidden="false" customHeight="false" outlineLevel="0" collapsed="false">
      <c r="D1358" s="0" t="s">
        <v>117</v>
      </c>
      <c r="E1358" s="0" t="s">
        <v>118</v>
      </c>
      <c r="F1358" s="0" t="s">
        <v>47</v>
      </c>
      <c r="G1358" s="0" t="s">
        <v>93</v>
      </c>
      <c r="H1358" s="0" t="s">
        <v>94</v>
      </c>
      <c r="I1358" s="0" t="s">
        <v>83</v>
      </c>
      <c r="J1358" s="0" t="s">
        <v>84</v>
      </c>
      <c r="K1358" s="0" t="s">
        <v>58</v>
      </c>
      <c r="L1358" s="0" t="s">
        <v>59</v>
      </c>
      <c r="M1358" s="0" t="s">
        <v>50</v>
      </c>
      <c r="N1358" s="0" t="n">
        <v>56</v>
      </c>
      <c r="O1358" s="0" t="n">
        <v>50</v>
      </c>
      <c r="P1358" s="0" t="n">
        <v>22</v>
      </c>
      <c r="Q1358" s="5" t="str">
        <f aca="false">IF($D1358&lt;&gt;"","["&amp;$E1358&amp;"]"&amp;"|"&amp;SUBSTITUTE(SUBSTITUTE($I1358,CHAR(61),""),CHAR(34),"")&amp;"|"&amp;$K1358&amp;"|"&amp;$G1358&amp;"|"&amp;IF($G1358="TX_CURR_SUBNAT.R","CY2020Q4",$M1358),"")</f>
        <v>[HuwCoDZG0FY]|05-09|Male|DIAGNOSED_SUBNAT.T_1|CY2021Q3</v>
      </c>
    </row>
    <row r="1359" customFormat="false" ht="15" hidden="false" customHeight="false" outlineLevel="0" collapsed="false">
      <c r="D1359" s="0" t="s">
        <v>117</v>
      </c>
      <c r="E1359" s="0" t="s">
        <v>118</v>
      </c>
      <c r="F1359" s="0" t="s">
        <v>47</v>
      </c>
      <c r="G1359" s="0" t="s">
        <v>93</v>
      </c>
      <c r="H1359" s="0" t="s">
        <v>94</v>
      </c>
      <c r="I1359" s="53" t="s">
        <v>86</v>
      </c>
      <c r="J1359" s="0" t="s">
        <v>87</v>
      </c>
      <c r="K1359" s="0" t="s">
        <v>56</v>
      </c>
      <c r="L1359" s="0" t="s">
        <v>57</v>
      </c>
      <c r="M1359" s="0" t="s">
        <v>50</v>
      </c>
      <c r="N1359" s="0" t="n">
        <v>2204</v>
      </c>
      <c r="O1359" s="0" t="n">
        <v>33</v>
      </c>
      <c r="P1359" s="0" t="n">
        <v>47</v>
      </c>
      <c r="Q1359" s="5" t="str">
        <f aca="false">IF($D1359&lt;&gt;"","["&amp;$E1359&amp;"]"&amp;"|"&amp;SUBSTITUTE(SUBSTITUTE($I1359,CHAR(61),""),CHAR(34),"")&amp;"|"&amp;$K1359&amp;"|"&amp;$G1359&amp;"|"&amp;IF($G1359="TX_CURR_SUBNAT.R","CY2020Q4",$M1359),"")</f>
        <v>[HuwCoDZG0FY]|50+|Female|DIAGNOSED_SUBNAT.T_1|CY2021Q3</v>
      </c>
    </row>
    <row r="1360" customFormat="false" ht="15" hidden="false" customHeight="false" outlineLevel="0" collapsed="false">
      <c r="D1360" s="0" t="s">
        <v>117</v>
      </c>
      <c r="E1360" s="0" t="s">
        <v>118</v>
      </c>
      <c r="F1360" s="0" t="s">
        <v>47</v>
      </c>
      <c r="G1360" s="0" t="s">
        <v>93</v>
      </c>
      <c r="H1360" s="0" t="s">
        <v>94</v>
      </c>
      <c r="I1360" s="53" t="s">
        <v>86</v>
      </c>
      <c r="J1360" s="0" t="s">
        <v>87</v>
      </c>
      <c r="K1360" s="0" t="s">
        <v>58</v>
      </c>
      <c r="L1360" s="0" t="s">
        <v>59</v>
      </c>
      <c r="M1360" s="0" t="s">
        <v>50</v>
      </c>
      <c r="N1360" s="0" t="n">
        <v>1457</v>
      </c>
      <c r="O1360" s="0" t="n">
        <v>5</v>
      </c>
      <c r="P1360" s="0" t="n">
        <v>33</v>
      </c>
      <c r="Q1360" s="5" t="str">
        <f aca="false">IF($D1360&lt;&gt;"","["&amp;$E1360&amp;"]"&amp;"|"&amp;SUBSTITUTE(SUBSTITUTE($I1360,CHAR(61),""),CHAR(34),"")&amp;"|"&amp;$K1360&amp;"|"&amp;$G1360&amp;"|"&amp;IF($G1360="TX_CURR_SUBNAT.R","CY2020Q4",$M1360),"")</f>
        <v>[HuwCoDZG0FY]|50+|Male|DIAGNOSED_SUBNAT.T_1|CY2021Q3</v>
      </c>
    </row>
    <row r="1361" customFormat="false" ht="15" hidden="false" customHeight="false" outlineLevel="0" collapsed="false">
      <c r="D1361" s="0" t="s">
        <v>117</v>
      </c>
      <c r="E1361" s="0" t="s">
        <v>118</v>
      </c>
      <c r="F1361" s="0" t="s">
        <v>47</v>
      </c>
      <c r="G1361" s="0" t="s">
        <v>93</v>
      </c>
      <c r="H1361" s="0" t="s">
        <v>94</v>
      </c>
      <c r="I1361" s="0" t="s">
        <v>89</v>
      </c>
      <c r="J1361" s="0" t="s">
        <v>90</v>
      </c>
      <c r="K1361" s="0" t="s">
        <v>56</v>
      </c>
      <c r="L1361" s="0" t="s">
        <v>57</v>
      </c>
      <c r="M1361" s="0" t="s">
        <v>50</v>
      </c>
      <c r="N1361" s="0" t="n">
        <v>3</v>
      </c>
      <c r="O1361" s="0" t="n">
        <v>56</v>
      </c>
      <c r="P1361" s="0" t="n">
        <v>31</v>
      </c>
      <c r="Q1361" s="5" t="str">
        <f aca="false">IF($D1361&lt;&gt;"","["&amp;$E1361&amp;"]"&amp;"|"&amp;SUBSTITUTE(SUBSTITUTE($I1361,CHAR(61),""),CHAR(34),"")&amp;"|"&amp;$K1361&amp;"|"&amp;$G1361&amp;"|"&amp;IF($G1361="TX_CURR_SUBNAT.R","CY2020Q4",$M1361),"")</f>
        <v>[HuwCoDZG0FY]|&lt;01|Female|DIAGNOSED_SUBNAT.T_1|CY2021Q3</v>
      </c>
    </row>
    <row r="1362" customFormat="false" ht="15" hidden="false" customHeight="false" outlineLevel="0" collapsed="false">
      <c r="D1362" s="0" t="s">
        <v>117</v>
      </c>
      <c r="E1362" s="0" t="s">
        <v>118</v>
      </c>
      <c r="F1362" s="0" t="s">
        <v>47</v>
      </c>
      <c r="G1362" s="0" t="s">
        <v>93</v>
      </c>
      <c r="H1362" s="0" t="s">
        <v>94</v>
      </c>
      <c r="I1362" s="0" t="s">
        <v>89</v>
      </c>
      <c r="J1362" s="0" t="s">
        <v>90</v>
      </c>
      <c r="K1362" s="0" t="s">
        <v>58</v>
      </c>
      <c r="L1362" s="0" t="s">
        <v>59</v>
      </c>
      <c r="M1362" s="0" t="s">
        <v>50</v>
      </c>
      <c r="N1362" s="0" t="n">
        <v>3</v>
      </c>
      <c r="O1362" s="0" t="n">
        <v>52</v>
      </c>
      <c r="P1362" s="0" t="n">
        <v>34</v>
      </c>
      <c r="Q1362" s="5" t="str">
        <f aca="false">IF($D1362&lt;&gt;"","["&amp;$E1362&amp;"]"&amp;"|"&amp;SUBSTITUTE(SUBSTITUTE($I1362,CHAR(61),""),CHAR(34),"")&amp;"|"&amp;$K1362&amp;"|"&amp;$G1362&amp;"|"&amp;IF($G1362="TX_CURR_SUBNAT.R","CY2020Q4",$M1362),"")</f>
        <v>[HuwCoDZG0FY]|&lt;01|Male|DIAGNOSED_SUBNAT.T_1|CY2021Q3</v>
      </c>
    </row>
    <row r="1363" customFormat="false" ht="15" hidden="false" customHeight="false" outlineLevel="0" collapsed="false">
      <c r="D1363" s="0" t="s">
        <v>117</v>
      </c>
      <c r="E1363" s="0" t="s">
        <v>118</v>
      </c>
      <c r="F1363" s="0" t="s">
        <v>47</v>
      </c>
      <c r="G1363" s="0" t="s">
        <v>95</v>
      </c>
      <c r="H1363" s="0" t="s">
        <v>96</v>
      </c>
      <c r="I1363" s="0" t="s">
        <v>54</v>
      </c>
      <c r="J1363" s="0" t="s">
        <v>55</v>
      </c>
      <c r="K1363" s="0" t="s">
        <v>56</v>
      </c>
      <c r="L1363" s="0" t="s">
        <v>57</v>
      </c>
      <c r="M1363" s="0" t="s">
        <v>50</v>
      </c>
      <c r="N1363" s="0" t="n">
        <v>9</v>
      </c>
      <c r="O1363" s="0" t="n">
        <v>59</v>
      </c>
      <c r="P1363" s="0" t="n">
        <v>21</v>
      </c>
      <c r="Q1363" s="5" t="str">
        <f aca="false">IF($D1363&lt;&gt;"","["&amp;$E1363&amp;"]"&amp;"|"&amp;SUBSTITUTE(SUBSTITUTE($I1363,CHAR(61),""),CHAR(34),"")&amp;"|"&amp;$K1363&amp;"|"&amp;$G1363&amp;"|"&amp;IF($G1363="TX_CURR_SUBNAT.R","CY2020Q4",$M1363),"")</f>
        <v>[HuwCoDZG0FY]|01-04|Female|VL_SUPPRESSED.T_1|CY2021Q3</v>
      </c>
    </row>
    <row r="1364" customFormat="false" ht="15" hidden="false" customHeight="false" outlineLevel="0" collapsed="false">
      <c r="D1364" s="0" t="s">
        <v>117</v>
      </c>
      <c r="E1364" s="0" t="s">
        <v>118</v>
      </c>
      <c r="F1364" s="0" t="s">
        <v>47</v>
      </c>
      <c r="G1364" s="0" t="s">
        <v>95</v>
      </c>
      <c r="H1364" s="0" t="s">
        <v>96</v>
      </c>
      <c r="I1364" s="0" t="s">
        <v>54</v>
      </c>
      <c r="J1364" s="0" t="s">
        <v>55</v>
      </c>
      <c r="K1364" s="0" t="s">
        <v>58</v>
      </c>
      <c r="L1364" s="0" t="s">
        <v>59</v>
      </c>
      <c r="M1364" s="0" t="s">
        <v>50</v>
      </c>
      <c r="N1364" s="0" t="n">
        <v>6</v>
      </c>
      <c r="O1364" s="0" t="n">
        <v>54</v>
      </c>
      <c r="P1364" s="0" t="n">
        <v>20</v>
      </c>
      <c r="Q1364" s="5" t="str">
        <f aca="false">IF($D1364&lt;&gt;"","["&amp;$E1364&amp;"]"&amp;"|"&amp;SUBSTITUTE(SUBSTITUTE($I1364,CHAR(61),""),CHAR(34),"")&amp;"|"&amp;$K1364&amp;"|"&amp;$G1364&amp;"|"&amp;IF($G1364="TX_CURR_SUBNAT.R","CY2020Q4",$M1364),"")</f>
        <v>[HuwCoDZG0FY]|01-04|Male|VL_SUPPRESSED.T_1|CY2021Q3</v>
      </c>
    </row>
    <row r="1365" customFormat="false" ht="15" hidden="false" customHeight="false" outlineLevel="0" collapsed="false">
      <c r="D1365" s="0" t="s">
        <v>117</v>
      </c>
      <c r="E1365" s="0" t="s">
        <v>118</v>
      </c>
      <c r="F1365" s="0" t="s">
        <v>47</v>
      </c>
      <c r="G1365" s="0" t="s">
        <v>95</v>
      </c>
      <c r="H1365" s="0" t="s">
        <v>96</v>
      </c>
      <c r="I1365" s="0" t="s">
        <v>61</v>
      </c>
      <c r="J1365" s="0" t="s">
        <v>62</v>
      </c>
      <c r="K1365" s="0" t="s">
        <v>56</v>
      </c>
      <c r="L1365" s="0" t="s">
        <v>57</v>
      </c>
      <c r="M1365" s="0" t="s">
        <v>50</v>
      </c>
      <c r="N1365" s="0" t="n">
        <v>59</v>
      </c>
      <c r="O1365" s="0" t="n">
        <v>60</v>
      </c>
      <c r="P1365" s="0" t="n">
        <v>35</v>
      </c>
      <c r="Q1365" s="5" t="str">
        <f aca="false">IF($D1365&lt;&gt;"","["&amp;$E1365&amp;"]"&amp;"|"&amp;SUBSTITUTE(SUBSTITUTE($I1365,CHAR(61),""),CHAR(34),"")&amp;"|"&amp;$K1365&amp;"|"&amp;$G1365&amp;"|"&amp;IF($G1365="TX_CURR_SUBNAT.R","CY2020Q4",$M1365),"")</f>
        <v>[HuwCoDZG0FY]|10-14|Female|VL_SUPPRESSED.T_1|CY2021Q3</v>
      </c>
    </row>
    <row r="1366" customFormat="false" ht="15" hidden="false" customHeight="false" outlineLevel="0" collapsed="false">
      <c r="D1366" s="0" t="s">
        <v>117</v>
      </c>
      <c r="E1366" s="0" t="s">
        <v>118</v>
      </c>
      <c r="F1366" s="0" t="s">
        <v>47</v>
      </c>
      <c r="G1366" s="0" t="s">
        <v>95</v>
      </c>
      <c r="H1366" s="0" t="s">
        <v>96</v>
      </c>
      <c r="I1366" s="0" t="s">
        <v>61</v>
      </c>
      <c r="J1366" s="0" t="s">
        <v>62</v>
      </c>
      <c r="K1366" s="0" t="s">
        <v>58</v>
      </c>
      <c r="L1366" s="0" t="s">
        <v>59</v>
      </c>
      <c r="M1366" s="0" t="s">
        <v>50</v>
      </c>
      <c r="N1366" s="0" t="n">
        <v>41</v>
      </c>
      <c r="O1366" s="0" t="n">
        <v>48</v>
      </c>
      <c r="P1366" s="0" t="n">
        <v>39</v>
      </c>
      <c r="Q1366" s="5" t="str">
        <f aca="false">IF($D1366&lt;&gt;"","["&amp;$E1366&amp;"]"&amp;"|"&amp;SUBSTITUTE(SUBSTITUTE($I1366,CHAR(61),""),CHAR(34),"")&amp;"|"&amp;$K1366&amp;"|"&amp;$G1366&amp;"|"&amp;IF($G1366="TX_CURR_SUBNAT.R","CY2020Q4",$M1366),"")</f>
        <v>[HuwCoDZG0FY]|10-14|Male|VL_SUPPRESSED.T_1|CY2021Q3</v>
      </c>
    </row>
    <row r="1367" customFormat="false" ht="15" hidden="false" customHeight="false" outlineLevel="0" collapsed="false">
      <c r="D1367" s="0" t="s">
        <v>117</v>
      </c>
      <c r="E1367" s="0" t="s">
        <v>118</v>
      </c>
      <c r="F1367" s="0" t="s">
        <v>47</v>
      </c>
      <c r="G1367" s="0" t="s">
        <v>95</v>
      </c>
      <c r="H1367" s="0" t="s">
        <v>96</v>
      </c>
      <c r="I1367" s="0" t="s">
        <v>63</v>
      </c>
      <c r="J1367" s="0" t="s">
        <v>64</v>
      </c>
      <c r="K1367" s="0" t="s">
        <v>56</v>
      </c>
      <c r="L1367" s="0" t="s">
        <v>57</v>
      </c>
      <c r="M1367" s="0" t="s">
        <v>50</v>
      </c>
      <c r="N1367" s="0" t="n">
        <v>96</v>
      </c>
      <c r="O1367" s="0" t="n">
        <v>46</v>
      </c>
      <c r="P1367" s="0" t="n">
        <v>3</v>
      </c>
      <c r="Q1367" s="5" t="str">
        <f aca="false">IF($D1367&lt;&gt;"","["&amp;$E1367&amp;"]"&amp;"|"&amp;SUBSTITUTE(SUBSTITUTE($I1367,CHAR(61),""),CHAR(34),"")&amp;"|"&amp;$K1367&amp;"|"&amp;$G1367&amp;"|"&amp;IF($G1367="TX_CURR_SUBNAT.R","CY2020Q4",$M1367),"")</f>
        <v>[HuwCoDZG0FY]|15-19|Female|VL_SUPPRESSED.T_1|CY2021Q3</v>
      </c>
    </row>
    <row r="1368" customFormat="false" ht="15" hidden="false" customHeight="false" outlineLevel="0" collapsed="false">
      <c r="D1368" s="0" t="s">
        <v>117</v>
      </c>
      <c r="E1368" s="0" t="s">
        <v>118</v>
      </c>
      <c r="F1368" s="0" t="s">
        <v>47</v>
      </c>
      <c r="G1368" s="0" t="s">
        <v>95</v>
      </c>
      <c r="H1368" s="0" t="s">
        <v>96</v>
      </c>
      <c r="I1368" s="0" t="s">
        <v>63</v>
      </c>
      <c r="J1368" s="0" t="s">
        <v>64</v>
      </c>
      <c r="K1368" s="0" t="s">
        <v>58</v>
      </c>
      <c r="L1368" s="0" t="s">
        <v>59</v>
      </c>
      <c r="M1368" s="0" t="s">
        <v>50</v>
      </c>
      <c r="N1368" s="0" t="n">
        <v>64</v>
      </c>
      <c r="O1368" s="0" t="n">
        <v>23</v>
      </c>
      <c r="P1368" s="0" t="n">
        <v>4</v>
      </c>
      <c r="Q1368" s="5" t="str">
        <f aca="false">IF($D1368&lt;&gt;"","["&amp;$E1368&amp;"]"&amp;"|"&amp;SUBSTITUTE(SUBSTITUTE($I1368,CHAR(61),""),CHAR(34),"")&amp;"|"&amp;$K1368&amp;"|"&amp;$G1368&amp;"|"&amp;IF($G1368="TX_CURR_SUBNAT.R","CY2020Q4",$M1368),"")</f>
        <v>[HuwCoDZG0FY]|15-19|Male|VL_SUPPRESSED.T_1|CY2021Q3</v>
      </c>
    </row>
    <row r="1369" customFormat="false" ht="15" hidden="false" customHeight="false" outlineLevel="0" collapsed="false">
      <c r="D1369" s="0" t="s">
        <v>117</v>
      </c>
      <c r="E1369" s="0" t="s">
        <v>118</v>
      </c>
      <c r="F1369" s="0" t="s">
        <v>47</v>
      </c>
      <c r="G1369" s="0" t="s">
        <v>95</v>
      </c>
      <c r="H1369" s="0" t="s">
        <v>96</v>
      </c>
      <c r="I1369" s="0" t="s">
        <v>66</v>
      </c>
      <c r="J1369" s="0" t="s">
        <v>67</v>
      </c>
      <c r="K1369" s="0" t="s">
        <v>56</v>
      </c>
      <c r="L1369" s="0" t="s">
        <v>57</v>
      </c>
      <c r="M1369" s="0" t="s">
        <v>50</v>
      </c>
      <c r="N1369" s="0" t="n">
        <v>215</v>
      </c>
      <c r="O1369" s="0" t="n">
        <v>46</v>
      </c>
      <c r="P1369" s="0" t="n">
        <v>35</v>
      </c>
      <c r="Q1369" s="5" t="str">
        <f aca="false">IF($D1369&lt;&gt;"","["&amp;$E1369&amp;"]"&amp;"|"&amp;SUBSTITUTE(SUBSTITUTE($I1369,CHAR(61),""),CHAR(34),"")&amp;"|"&amp;$K1369&amp;"|"&amp;$G1369&amp;"|"&amp;IF($G1369="TX_CURR_SUBNAT.R","CY2020Q4",$M1369),"")</f>
        <v>[HuwCoDZG0FY]|20-24|Female|VL_SUPPRESSED.T_1|CY2021Q3</v>
      </c>
    </row>
    <row r="1370" customFormat="false" ht="15" hidden="false" customHeight="false" outlineLevel="0" collapsed="false">
      <c r="D1370" s="0" t="s">
        <v>117</v>
      </c>
      <c r="E1370" s="0" t="s">
        <v>118</v>
      </c>
      <c r="F1370" s="0" t="s">
        <v>47</v>
      </c>
      <c r="G1370" s="0" t="s">
        <v>95</v>
      </c>
      <c r="H1370" s="0" t="s">
        <v>96</v>
      </c>
      <c r="I1370" s="0" t="s">
        <v>66</v>
      </c>
      <c r="J1370" s="0" t="s">
        <v>67</v>
      </c>
      <c r="K1370" s="0" t="s">
        <v>58</v>
      </c>
      <c r="L1370" s="0" t="s">
        <v>59</v>
      </c>
      <c r="M1370" s="0" t="s">
        <v>50</v>
      </c>
      <c r="N1370" s="0" t="n">
        <v>22</v>
      </c>
      <c r="O1370" s="0" t="n">
        <v>16</v>
      </c>
      <c r="P1370" s="0" t="n">
        <v>27</v>
      </c>
      <c r="Q1370" s="5" t="str">
        <f aca="false">IF($D1370&lt;&gt;"","["&amp;$E1370&amp;"]"&amp;"|"&amp;SUBSTITUTE(SUBSTITUTE($I1370,CHAR(61),""),CHAR(34),"")&amp;"|"&amp;$K1370&amp;"|"&amp;$G1370&amp;"|"&amp;IF($G1370="TX_CURR_SUBNAT.R","CY2020Q4",$M1370),"")</f>
        <v>[HuwCoDZG0FY]|20-24|Male|VL_SUPPRESSED.T_1|CY2021Q3</v>
      </c>
    </row>
    <row r="1371" customFormat="false" ht="15" hidden="false" customHeight="false" outlineLevel="0" collapsed="false">
      <c r="D1371" s="0" t="s">
        <v>117</v>
      </c>
      <c r="E1371" s="0" t="s">
        <v>118</v>
      </c>
      <c r="F1371" s="0" t="s">
        <v>47</v>
      </c>
      <c r="G1371" s="0" t="s">
        <v>95</v>
      </c>
      <c r="H1371" s="0" t="s">
        <v>96</v>
      </c>
      <c r="I1371" s="0" t="s">
        <v>69</v>
      </c>
      <c r="J1371" s="0" t="s">
        <v>70</v>
      </c>
      <c r="K1371" s="0" t="s">
        <v>56</v>
      </c>
      <c r="L1371" s="0" t="s">
        <v>57</v>
      </c>
      <c r="M1371" s="0" t="s">
        <v>50</v>
      </c>
      <c r="N1371" s="0" t="n">
        <v>389</v>
      </c>
      <c r="O1371" s="0" t="n">
        <v>21</v>
      </c>
      <c r="P1371" s="0" t="n">
        <v>10</v>
      </c>
      <c r="Q1371" s="5" t="str">
        <f aca="false">IF($D1371&lt;&gt;"","["&amp;$E1371&amp;"]"&amp;"|"&amp;SUBSTITUTE(SUBSTITUTE($I1371,CHAR(61),""),CHAR(34),"")&amp;"|"&amp;$K1371&amp;"|"&amp;$G1371&amp;"|"&amp;IF($G1371="TX_CURR_SUBNAT.R","CY2020Q4",$M1371),"")</f>
        <v>[HuwCoDZG0FY]|25-29|Female|VL_SUPPRESSED.T_1|CY2021Q3</v>
      </c>
    </row>
    <row r="1372" customFormat="false" ht="15" hidden="false" customHeight="false" outlineLevel="0" collapsed="false">
      <c r="D1372" s="0" t="s">
        <v>117</v>
      </c>
      <c r="E1372" s="0" t="s">
        <v>118</v>
      </c>
      <c r="F1372" s="0" t="s">
        <v>47</v>
      </c>
      <c r="G1372" s="0" t="s">
        <v>95</v>
      </c>
      <c r="H1372" s="0" t="s">
        <v>96</v>
      </c>
      <c r="I1372" s="0" t="s">
        <v>69</v>
      </c>
      <c r="J1372" s="0" t="s">
        <v>70</v>
      </c>
      <c r="K1372" s="0" t="s">
        <v>58</v>
      </c>
      <c r="L1372" s="0" t="s">
        <v>59</v>
      </c>
      <c r="M1372" s="0" t="s">
        <v>50</v>
      </c>
      <c r="N1372" s="0" t="n">
        <v>53</v>
      </c>
      <c r="O1372" s="0" t="n">
        <v>58</v>
      </c>
      <c r="P1372" s="0" t="n">
        <v>19</v>
      </c>
      <c r="Q1372" s="5" t="str">
        <f aca="false">IF($D1372&lt;&gt;"","["&amp;$E1372&amp;"]"&amp;"|"&amp;SUBSTITUTE(SUBSTITUTE($I1372,CHAR(61),""),CHAR(34),"")&amp;"|"&amp;$K1372&amp;"|"&amp;$G1372&amp;"|"&amp;IF($G1372="TX_CURR_SUBNAT.R","CY2020Q4",$M1372),"")</f>
        <v>[HuwCoDZG0FY]|25-29|Male|VL_SUPPRESSED.T_1|CY2021Q3</v>
      </c>
    </row>
    <row r="1373" customFormat="false" ht="15" hidden="false" customHeight="false" outlineLevel="0" collapsed="false">
      <c r="D1373" s="0" t="s">
        <v>117</v>
      </c>
      <c r="E1373" s="0" t="s">
        <v>118</v>
      </c>
      <c r="F1373" s="0" t="s">
        <v>47</v>
      </c>
      <c r="G1373" s="0" t="s">
        <v>95</v>
      </c>
      <c r="H1373" s="0" t="s">
        <v>96</v>
      </c>
      <c r="I1373" s="0" t="s">
        <v>72</v>
      </c>
      <c r="J1373" s="0" t="s">
        <v>73</v>
      </c>
      <c r="K1373" s="0" t="s">
        <v>56</v>
      </c>
      <c r="L1373" s="0" t="s">
        <v>57</v>
      </c>
      <c r="M1373" s="0" t="s">
        <v>50</v>
      </c>
      <c r="N1373" s="0" t="n">
        <v>583</v>
      </c>
      <c r="O1373" s="0" t="n">
        <v>58</v>
      </c>
      <c r="P1373" s="0" t="n">
        <v>31</v>
      </c>
      <c r="Q1373" s="5" t="str">
        <f aca="false">IF($D1373&lt;&gt;"","["&amp;$E1373&amp;"]"&amp;"|"&amp;SUBSTITUTE(SUBSTITUTE($I1373,CHAR(61),""),CHAR(34),"")&amp;"|"&amp;$K1373&amp;"|"&amp;$G1373&amp;"|"&amp;IF($G1373="TX_CURR_SUBNAT.R","CY2020Q4",$M1373),"")</f>
        <v>[HuwCoDZG0FY]|30-34|Female|VL_SUPPRESSED.T_1|CY2021Q3</v>
      </c>
    </row>
    <row r="1374" customFormat="false" ht="15" hidden="false" customHeight="false" outlineLevel="0" collapsed="false">
      <c r="D1374" s="0" t="s">
        <v>117</v>
      </c>
      <c r="E1374" s="0" t="s">
        <v>118</v>
      </c>
      <c r="F1374" s="0" t="s">
        <v>47</v>
      </c>
      <c r="G1374" s="0" t="s">
        <v>95</v>
      </c>
      <c r="H1374" s="0" t="s">
        <v>96</v>
      </c>
      <c r="I1374" s="0" t="s">
        <v>72</v>
      </c>
      <c r="J1374" s="0" t="s">
        <v>73</v>
      </c>
      <c r="K1374" s="0" t="s">
        <v>58</v>
      </c>
      <c r="L1374" s="0" t="s">
        <v>59</v>
      </c>
      <c r="M1374" s="0" t="s">
        <v>50</v>
      </c>
      <c r="N1374" s="0" t="n">
        <v>169</v>
      </c>
      <c r="O1374" s="0" t="n">
        <v>10</v>
      </c>
      <c r="P1374" s="0" t="n">
        <v>2</v>
      </c>
      <c r="Q1374" s="5" t="str">
        <f aca="false">IF($D1374&lt;&gt;"","["&amp;$E1374&amp;"]"&amp;"|"&amp;SUBSTITUTE(SUBSTITUTE($I1374,CHAR(61),""),CHAR(34),"")&amp;"|"&amp;$K1374&amp;"|"&amp;$G1374&amp;"|"&amp;IF($G1374="TX_CURR_SUBNAT.R","CY2020Q4",$M1374),"")</f>
        <v>[HuwCoDZG0FY]|30-34|Male|VL_SUPPRESSED.T_1|CY2021Q3</v>
      </c>
    </row>
    <row r="1375" customFormat="false" ht="15" hidden="false" customHeight="false" outlineLevel="0" collapsed="false">
      <c r="D1375" s="0" t="s">
        <v>117</v>
      </c>
      <c r="E1375" s="0" t="s">
        <v>118</v>
      </c>
      <c r="F1375" s="0" t="s">
        <v>47</v>
      </c>
      <c r="G1375" s="0" t="s">
        <v>95</v>
      </c>
      <c r="H1375" s="0" t="s">
        <v>96</v>
      </c>
      <c r="I1375" s="0" t="s">
        <v>75</v>
      </c>
      <c r="J1375" s="0" t="s">
        <v>76</v>
      </c>
      <c r="K1375" s="0" t="s">
        <v>56</v>
      </c>
      <c r="L1375" s="0" t="s">
        <v>57</v>
      </c>
      <c r="M1375" s="0" t="s">
        <v>50</v>
      </c>
      <c r="N1375" s="0" t="n">
        <v>621</v>
      </c>
      <c r="O1375" s="0" t="n">
        <v>56</v>
      </c>
      <c r="P1375" s="0" t="n">
        <v>39</v>
      </c>
      <c r="Q1375" s="5" t="str">
        <f aca="false">IF($D1375&lt;&gt;"","["&amp;$E1375&amp;"]"&amp;"|"&amp;SUBSTITUTE(SUBSTITUTE($I1375,CHAR(61),""),CHAR(34),"")&amp;"|"&amp;$K1375&amp;"|"&amp;$G1375&amp;"|"&amp;IF($G1375="TX_CURR_SUBNAT.R","CY2020Q4",$M1375),"")</f>
        <v>[HuwCoDZG0FY]|35-39|Female|VL_SUPPRESSED.T_1|CY2021Q3</v>
      </c>
    </row>
    <row r="1376" customFormat="false" ht="15" hidden="false" customHeight="false" outlineLevel="0" collapsed="false">
      <c r="D1376" s="0" t="s">
        <v>117</v>
      </c>
      <c r="E1376" s="0" t="s">
        <v>118</v>
      </c>
      <c r="F1376" s="0" t="s">
        <v>47</v>
      </c>
      <c r="G1376" s="0" t="s">
        <v>95</v>
      </c>
      <c r="H1376" s="0" t="s">
        <v>96</v>
      </c>
      <c r="I1376" s="0" t="s">
        <v>75</v>
      </c>
      <c r="J1376" s="0" t="s">
        <v>76</v>
      </c>
      <c r="K1376" s="0" t="s">
        <v>58</v>
      </c>
      <c r="L1376" s="0" t="s">
        <v>59</v>
      </c>
      <c r="M1376" s="0" t="s">
        <v>50</v>
      </c>
      <c r="N1376" s="0" t="n">
        <v>288</v>
      </c>
      <c r="O1376" s="0" t="n">
        <v>44</v>
      </c>
      <c r="P1376" s="0" t="n">
        <v>45</v>
      </c>
      <c r="Q1376" s="5" t="str">
        <f aca="false">IF($D1376&lt;&gt;"","["&amp;$E1376&amp;"]"&amp;"|"&amp;SUBSTITUTE(SUBSTITUTE($I1376,CHAR(61),""),CHAR(34),"")&amp;"|"&amp;$K1376&amp;"|"&amp;$G1376&amp;"|"&amp;IF($G1376="TX_CURR_SUBNAT.R","CY2020Q4",$M1376),"")</f>
        <v>[HuwCoDZG0FY]|35-39|Male|VL_SUPPRESSED.T_1|CY2021Q3</v>
      </c>
    </row>
    <row r="1377" customFormat="false" ht="15" hidden="false" customHeight="false" outlineLevel="0" collapsed="false">
      <c r="D1377" s="0" t="s">
        <v>117</v>
      </c>
      <c r="E1377" s="0" t="s">
        <v>118</v>
      </c>
      <c r="F1377" s="0" t="s">
        <v>47</v>
      </c>
      <c r="G1377" s="0" t="s">
        <v>95</v>
      </c>
      <c r="H1377" s="0" t="s">
        <v>96</v>
      </c>
      <c r="I1377" s="0" t="s">
        <v>77</v>
      </c>
      <c r="J1377" s="0" t="s">
        <v>78</v>
      </c>
      <c r="K1377" s="0" t="s">
        <v>56</v>
      </c>
      <c r="L1377" s="0" t="s">
        <v>57</v>
      </c>
      <c r="M1377" s="0" t="s">
        <v>50</v>
      </c>
      <c r="N1377" s="0" t="n">
        <v>548</v>
      </c>
      <c r="O1377" s="0" t="n">
        <v>30</v>
      </c>
      <c r="P1377" s="0" t="n">
        <v>16</v>
      </c>
      <c r="Q1377" s="5" t="str">
        <f aca="false">IF($D1377&lt;&gt;"","["&amp;$E1377&amp;"]"&amp;"|"&amp;SUBSTITUTE(SUBSTITUTE($I1377,CHAR(61),""),CHAR(34),"")&amp;"|"&amp;$K1377&amp;"|"&amp;$G1377&amp;"|"&amp;IF($G1377="TX_CURR_SUBNAT.R","CY2020Q4",$M1377),"")</f>
        <v>[HuwCoDZG0FY]|40-44|Female|VL_SUPPRESSED.T_1|CY2021Q3</v>
      </c>
    </row>
    <row r="1378" customFormat="false" ht="15" hidden="false" customHeight="false" outlineLevel="0" collapsed="false">
      <c r="D1378" s="0" t="s">
        <v>117</v>
      </c>
      <c r="E1378" s="0" t="s">
        <v>118</v>
      </c>
      <c r="F1378" s="0" t="s">
        <v>47</v>
      </c>
      <c r="G1378" s="0" t="s">
        <v>95</v>
      </c>
      <c r="H1378" s="0" t="s">
        <v>96</v>
      </c>
      <c r="I1378" s="0" t="s">
        <v>77</v>
      </c>
      <c r="J1378" s="0" t="s">
        <v>78</v>
      </c>
      <c r="K1378" s="0" t="s">
        <v>58</v>
      </c>
      <c r="L1378" s="0" t="s">
        <v>59</v>
      </c>
      <c r="M1378" s="0" t="s">
        <v>50</v>
      </c>
      <c r="N1378" s="0" t="n">
        <v>325</v>
      </c>
      <c r="O1378" s="0" t="n">
        <v>11</v>
      </c>
      <c r="P1378" s="0" t="n">
        <v>45</v>
      </c>
      <c r="Q1378" s="5" t="str">
        <f aca="false">IF($D1378&lt;&gt;"","["&amp;$E1378&amp;"]"&amp;"|"&amp;SUBSTITUTE(SUBSTITUTE($I1378,CHAR(61),""),CHAR(34),"")&amp;"|"&amp;$K1378&amp;"|"&amp;$G1378&amp;"|"&amp;IF($G1378="TX_CURR_SUBNAT.R","CY2020Q4",$M1378),"")</f>
        <v>[HuwCoDZG0FY]|40-44|Male|VL_SUPPRESSED.T_1|CY2021Q3</v>
      </c>
    </row>
    <row r="1379" customFormat="false" ht="15" hidden="false" customHeight="false" outlineLevel="0" collapsed="false">
      <c r="D1379" s="0" t="s">
        <v>117</v>
      </c>
      <c r="E1379" s="0" t="s">
        <v>118</v>
      </c>
      <c r="F1379" s="0" t="s">
        <v>47</v>
      </c>
      <c r="G1379" s="0" t="s">
        <v>95</v>
      </c>
      <c r="H1379" s="0" t="s">
        <v>96</v>
      </c>
      <c r="I1379" s="0" t="s">
        <v>80</v>
      </c>
      <c r="J1379" s="0" t="s">
        <v>81</v>
      </c>
      <c r="K1379" s="0" t="s">
        <v>56</v>
      </c>
      <c r="L1379" s="0" t="s">
        <v>57</v>
      </c>
      <c r="M1379" s="0" t="s">
        <v>50</v>
      </c>
      <c r="N1379" s="0" t="n">
        <v>470</v>
      </c>
      <c r="O1379" s="0" t="n">
        <v>17</v>
      </c>
      <c r="P1379" s="0" t="n">
        <v>23</v>
      </c>
      <c r="Q1379" s="5" t="str">
        <f aca="false">IF($D1379&lt;&gt;"","["&amp;$E1379&amp;"]"&amp;"|"&amp;SUBSTITUTE(SUBSTITUTE($I1379,CHAR(61),""),CHAR(34),"")&amp;"|"&amp;$K1379&amp;"|"&amp;$G1379&amp;"|"&amp;IF($G1379="TX_CURR_SUBNAT.R","CY2020Q4",$M1379),"")</f>
        <v>[HuwCoDZG0FY]|45-49|Female|VL_SUPPRESSED.T_1|CY2021Q3</v>
      </c>
    </row>
    <row r="1380" customFormat="false" ht="15" hidden="false" customHeight="false" outlineLevel="0" collapsed="false">
      <c r="D1380" s="0" t="s">
        <v>117</v>
      </c>
      <c r="E1380" s="0" t="s">
        <v>118</v>
      </c>
      <c r="F1380" s="0" t="s">
        <v>47</v>
      </c>
      <c r="G1380" s="0" t="s">
        <v>95</v>
      </c>
      <c r="H1380" s="0" t="s">
        <v>96</v>
      </c>
      <c r="I1380" s="0" t="s">
        <v>80</v>
      </c>
      <c r="J1380" s="0" t="s">
        <v>81</v>
      </c>
      <c r="K1380" s="0" t="s">
        <v>58</v>
      </c>
      <c r="L1380" s="0" t="s">
        <v>59</v>
      </c>
      <c r="M1380" s="0" t="s">
        <v>50</v>
      </c>
      <c r="N1380" s="0" t="n">
        <v>259</v>
      </c>
      <c r="O1380" s="0" t="n">
        <v>45</v>
      </c>
      <c r="P1380" s="0" t="n">
        <v>45</v>
      </c>
      <c r="Q1380" s="5" t="str">
        <f aca="false">IF($D1380&lt;&gt;"","["&amp;$E1380&amp;"]"&amp;"|"&amp;SUBSTITUTE(SUBSTITUTE($I1380,CHAR(61),""),CHAR(34),"")&amp;"|"&amp;$K1380&amp;"|"&amp;$G1380&amp;"|"&amp;IF($G1380="TX_CURR_SUBNAT.R","CY2020Q4",$M1380),"")</f>
        <v>[HuwCoDZG0FY]|45-49|Male|VL_SUPPRESSED.T_1|CY2021Q3</v>
      </c>
    </row>
    <row r="1381" customFormat="false" ht="15" hidden="false" customHeight="false" outlineLevel="0" collapsed="false">
      <c r="D1381" s="0" t="s">
        <v>117</v>
      </c>
      <c r="E1381" s="0" t="s">
        <v>118</v>
      </c>
      <c r="F1381" s="0" t="s">
        <v>47</v>
      </c>
      <c r="G1381" s="0" t="s">
        <v>95</v>
      </c>
      <c r="H1381" s="0" t="s">
        <v>96</v>
      </c>
      <c r="I1381" s="0" t="s">
        <v>83</v>
      </c>
      <c r="J1381" s="0" t="s">
        <v>84</v>
      </c>
      <c r="K1381" s="0" t="s">
        <v>56</v>
      </c>
      <c r="L1381" s="0" t="s">
        <v>57</v>
      </c>
      <c r="M1381" s="0" t="s">
        <v>50</v>
      </c>
      <c r="N1381" s="0" t="n">
        <v>42</v>
      </c>
      <c r="O1381" s="0" t="n">
        <v>7</v>
      </c>
      <c r="P1381" s="0" t="n">
        <v>49</v>
      </c>
      <c r="Q1381" s="5" t="str">
        <f aca="false">IF($D1381&lt;&gt;"","["&amp;$E1381&amp;"]"&amp;"|"&amp;SUBSTITUTE(SUBSTITUTE($I1381,CHAR(61),""),CHAR(34),"")&amp;"|"&amp;$K1381&amp;"|"&amp;$G1381&amp;"|"&amp;IF($G1381="TX_CURR_SUBNAT.R","CY2020Q4",$M1381),"")</f>
        <v>[HuwCoDZG0FY]|05-09|Female|VL_SUPPRESSED.T_1|CY2021Q3</v>
      </c>
    </row>
    <row r="1382" customFormat="false" ht="15" hidden="false" customHeight="false" outlineLevel="0" collapsed="false">
      <c r="D1382" s="0" t="s">
        <v>117</v>
      </c>
      <c r="E1382" s="0" t="s">
        <v>118</v>
      </c>
      <c r="F1382" s="0" t="s">
        <v>47</v>
      </c>
      <c r="G1382" s="0" t="s">
        <v>95</v>
      </c>
      <c r="H1382" s="0" t="s">
        <v>96</v>
      </c>
      <c r="I1382" s="0" t="s">
        <v>83</v>
      </c>
      <c r="J1382" s="0" t="s">
        <v>84</v>
      </c>
      <c r="K1382" s="0" t="s">
        <v>58</v>
      </c>
      <c r="L1382" s="0" t="s">
        <v>59</v>
      </c>
      <c r="M1382" s="0" t="s">
        <v>50</v>
      </c>
      <c r="N1382" s="0" t="n">
        <v>32</v>
      </c>
      <c r="O1382" s="0" t="n">
        <v>59</v>
      </c>
      <c r="P1382" s="0" t="n">
        <v>48</v>
      </c>
      <c r="Q1382" s="5" t="str">
        <f aca="false">IF($D1382&lt;&gt;"","["&amp;$E1382&amp;"]"&amp;"|"&amp;SUBSTITUTE(SUBSTITUTE($I1382,CHAR(61),""),CHAR(34),"")&amp;"|"&amp;$K1382&amp;"|"&amp;$G1382&amp;"|"&amp;IF($G1382="TX_CURR_SUBNAT.R","CY2020Q4",$M1382),"")</f>
        <v>[HuwCoDZG0FY]|05-09|Male|VL_SUPPRESSED.T_1|CY2021Q3</v>
      </c>
    </row>
    <row r="1383" customFormat="false" ht="15" hidden="false" customHeight="false" outlineLevel="0" collapsed="false">
      <c r="D1383" s="0" t="s">
        <v>117</v>
      </c>
      <c r="E1383" s="0" t="s">
        <v>118</v>
      </c>
      <c r="F1383" s="0" t="s">
        <v>47</v>
      </c>
      <c r="G1383" s="0" t="s">
        <v>95</v>
      </c>
      <c r="H1383" s="0" t="s">
        <v>96</v>
      </c>
      <c r="I1383" s="53" t="s">
        <v>86</v>
      </c>
      <c r="J1383" s="0" t="s">
        <v>87</v>
      </c>
      <c r="K1383" s="0" t="s">
        <v>56</v>
      </c>
      <c r="L1383" s="0" t="s">
        <v>57</v>
      </c>
      <c r="M1383" s="0" t="s">
        <v>50</v>
      </c>
      <c r="N1383" s="0" t="n">
        <v>1749</v>
      </c>
      <c r="O1383" s="0" t="n">
        <v>29</v>
      </c>
      <c r="P1383" s="0" t="n">
        <v>12</v>
      </c>
      <c r="Q1383" s="5" t="str">
        <f aca="false">IF($D1383&lt;&gt;"","["&amp;$E1383&amp;"]"&amp;"|"&amp;SUBSTITUTE(SUBSTITUTE($I1383,CHAR(61),""),CHAR(34),"")&amp;"|"&amp;$K1383&amp;"|"&amp;$G1383&amp;"|"&amp;IF($G1383="TX_CURR_SUBNAT.R","CY2020Q4",$M1383),"")</f>
        <v>[HuwCoDZG0FY]|50+|Female|VL_SUPPRESSED.T_1|CY2021Q3</v>
      </c>
    </row>
    <row r="1384" customFormat="false" ht="15" hidden="false" customHeight="false" outlineLevel="0" collapsed="false">
      <c r="D1384" s="0" t="s">
        <v>117</v>
      </c>
      <c r="E1384" s="0" t="s">
        <v>118</v>
      </c>
      <c r="F1384" s="0" t="s">
        <v>47</v>
      </c>
      <c r="G1384" s="0" t="s">
        <v>95</v>
      </c>
      <c r="H1384" s="0" t="s">
        <v>96</v>
      </c>
      <c r="I1384" s="53" t="s">
        <v>86</v>
      </c>
      <c r="J1384" s="0" t="s">
        <v>87</v>
      </c>
      <c r="K1384" s="0" t="s">
        <v>58</v>
      </c>
      <c r="L1384" s="0" t="s">
        <v>59</v>
      </c>
      <c r="M1384" s="0" t="s">
        <v>50</v>
      </c>
      <c r="N1384" s="0" t="n">
        <v>912</v>
      </c>
      <c r="O1384" s="0" t="n">
        <v>4</v>
      </c>
      <c r="P1384" s="0" t="n">
        <v>44</v>
      </c>
      <c r="Q1384" s="5" t="str">
        <f aca="false">IF($D1384&lt;&gt;"","["&amp;$E1384&amp;"]"&amp;"|"&amp;SUBSTITUTE(SUBSTITUTE($I1384,CHAR(61),""),CHAR(34),"")&amp;"|"&amp;$K1384&amp;"|"&amp;$G1384&amp;"|"&amp;IF($G1384="TX_CURR_SUBNAT.R","CY2020Q4",$M1384),"")</f>
        <v>[HuwCoDZG0FY]|50+|Male|VL_SUPPRESSED.T_1|CY2021Q3</v>
      </c>
    </row>
    <row r="1385" customFormat="false" ht="15" hidden="false" customHeight="false" outlineLevel="0" collapsed="false">
      <c r="D1385" s="0" t="s">
        <v>117</v>
      </c>
      <c r="E1385" s="0" t="s">
        <v>118</v>
      </c>
      <c r="F1385" s="0" t="s">
        <v>47</v>
      </c>
      <c r="G1385" s="0" t="s">
        <v>97</v>
      </c>
      <c r="H1385" s="0" t="s">
        <v>98</v>
      </c>
      <c r="I1385" s="0" t="s">
        <v>54</v>
      </c>
      <c r="J1385" s="0" t="s">
        <v>55</v>
      </c>
      <c r="K1385" s="0" t="s">
        <v>56</v>
      </c>
      <c r="L1385" s="0" t="s">
        <v>57</v>
      </c>
      <c r="M1385" s="0" t="s">
        <v>50</v>
      </c>
      <c r="N1385" s="0" t="n">
        <v>36</v>
      </c>
      <c r="O1385" s="0" t="n">
        <v>8</v>
      </c>
      <c r="P1385" s="0" t="n">
        <v>42</v>
      </c>
      <c r="Q1385" s="5" t="str">
        <f aca="false">IF($D1385&lt;&gt;"","["&amp;$E1385&amp;"]"&amp;"|"&amp;SUBSTITUTE(SUBSTITUTE($I1385,CHAR(61),""),CHAR(34),"")&amp;"|"&amp;$K1385&amp;"|"&amp;$G1385&amp;"|"&amp;IF($G1385="TX_CURR_SUBNAT.R","CY2020Q4",$M1385),"")</f>
        <v>[HuwCoDZG0FY]|01-04|Female|PLHIV.T_1|CY2021Q3</v>
      </c>
    </row>
    <row r="1386" customFormat="false" ht="15" hidden="false" customHeight="false" outlineLevel="0" collapsed="false">
      <c r="D1386" s="0" t="s">
        <v>117</v>
      </c>
      <c r="E1386" s="0" t="s">
        <v>118</v>
      </c>
      <c r="F1386" s="0" t="s">
        <v>47</v>
      </c>
      <c r="G1386" s="0" t="s">
        <v>97</v>
      </c>
      <c r="H1386" s="0" t="s">
        <v>98</v>
      </c>
      <c r="I1386" s="0" t="s">
        <v>54</v>
      </c>
      <c r="J1386" s="0" t="s">
        <v>55</v>
      </c>
      <c r="K1386" s="0" t="s">
        <v>58</v>
      </c>
      <c r="L1386" s="0" t="s">
        <v>59</v>
      </c>
      <c r="M1386" s="0" t="s">
        <v>50</v>
      </c>
      <c r="N1386" s="0" t="n">
        <v>37</v>
      </c>
      <c r="O1386" s="0" t="n">
        <v>57</v>
      </c>
      <c r="P1386" s="0" t="n">
        <v>34</v>
      </c>
      <c r="Q1386" s="5" t="str">
        <f aca="false">IF($D1386&lt;&gt;"","["&amp;$E1386&amp;"]"&amp;"|"&amp;SUBSTITUTE(SUBSTITUTE($I1386,CHAR(61),""),CHAR(34),"")&amp;"|"&amp;$K1386&amp;"|"&amp;$G1386&amp;"|"&amp;IF($G1386="TX_CURR_SUBNAT.R","CY2020Q4",$M1386),"")</f>
        <v>[HuwCoDZG0FY]|01-04|Male|PLHIV.T_1|CY2021Q3</v>
      </c>
    </row>
    <row r="1387" customFormat="false" ht="15" hidden="false" customHeight="false" outlineLevel="0" collapsed="false">
      <c r="D1387" s="0" t="s">
        <v>117</v>
      </c>
      <c r="E1387" s="0" t="s">
        <v>118</v>
      </c>
      <c r="F1387" s="0" t="s">
        <v>47</v>
      </c>
      <c r="G1387" s="0" t="s">
        <v>97</v>
      </c>
      <c r="H1387" s="0" t="s">
        <v>98</v>
      </c>
      <c r="I1387" s="0" t="s">
        <v>61</v>
      </c>
      <c r="J1387" s="0" t="s">
        <v>62</v>
      </c>
      <c r="K1387" s="0" t="s">
        <v>56</v>
      </c>
      <c r="L1387" s="0" t="s">
        <v>57</v>
      </c>
      <c r="M1387" s="0" t="s">
        <v>50</v>
      </c>
      <c r="N1387" s="0" t="n">
        <v>168</v>
      </c>
      <c r="O1387" s="0" t="n">
        <v>31</v>
      </c>
      <c r="P1387" s="0" t="n">
        <v>15</v>
      </c>
      <c r="Q1387" s="5" t="str">
        <f aca="false">IF($D1387&lt;&gt;"","["&amp;$E1387&amp;"]"&amp;"|"&amp;SUBSTITUTE(SUBSTITUTE($I1387,CHAR(61),""),CHAR(34),"")&amp;"|"&amp;$K1387&amp;"|"&amp;$G1387&amp;"|"&amp;IF($G1387="TX_CURR_SUBNAT.R","CY2020Q4",$M1387),"")</f>
        <v>[HuwCoDZG0FY]|10-14|Female|PLHIV.T_1|CY2021Q3</v>
      </c>
    </row>
    <row r="1388" customFormat="false" ht="15" hidden="false" customHeight="false" outlineLevel="0" collapsed="false">
      <c r="D1388" s="0" t="s">
        <v>117</v>
      </c>
      <c r="E1388" s="0" t="s">
        <v>118</v>
      </c>
      <c r="F1388" s="0" t="s">
        <v>47</v>
      </c>
      <c r="G1388" s="0" t="s">
        <v>97</v>
      </c>
      <c r="H1388" s="0" t="s">
        <v>98</v>
      </c>
      <c r="I1388" s="0" t="s">
        <v>61</v>
      </c>
      <c r="J1388" s="0" t="s">
        <v>62</v>
      </c>
      <c r="K1388" s="0" t="s">
        <v>58</v>
      </c>
      <c r="L1388" s="0" t="s">
        <v>59</v>
      </c>
      <c r="M1388" s="0" t="s">
        <v>50</v>
      </c>
      <c r="N1388" s="0" t="n">
        <v>173</v>
      </c>
      <c r="O1388" s="0" t="n">
        <v>14</v>
      </c>
      <c r="P1388" s="0" t="n">
        <v>7</v>
      </c>
      <c r="Q1388" s="5" t="str">
        <f aca="false">IF($D1388&lt;&gt;"","["&amp;$E1388&amp;"]"&amp;"|"&amp;SUBSTITUTE(SUBSTITUTE($I1388,CHAR(61),""),CHAR(34),"")&amp;"|"&amp;$K1388&amp;"|"&amp;$G1388&amp;"|"&amp;IF($G1388="TX_CURR_SUBNAT.R","CY2020Q4",$M1388),"")</f>
        <v>[HuwCoDZG0FY]|10-14|Male|PLHIV.T_1|CY2021Q3</v>
      </c>
    </row>
    <row r="1389" customFormat="false" ht="15" hidden="false" customHeight="false" outlineLevel="0" collapsed="false">
      <c r="D1389" s="0" t="s">
        <v>117</v>
      </c>
      <c r="E1389" s="0" t="s">
        <v>118</v>
      </c>
      <c r="F1389" s="0" t="s">
        <v>47</v>
      </c>
      <c r="G1389" s="0" t="s">
        <v>97</v>
      </c>
      <c r="H1389" s="0" t="s">
        <v>98</v>
      </c>
      <c r="I1389" s="0" t="s">
        <v>63</v>
      </c>
      <c r="J1389" s="0" t="s">
        <v>64</v>
      </c>
      <c r="K1389" s="0" t="s">
        <v>56</v>
      </c>
      <c r="L1389" s="0" t="s">
        <v>57</v>
      </c>
      <c r="M1389" s="0" t="s">
        <v>50</v>
      </c>
      <c r="N1389" s="0" t="n">
        <v>280</v>
      </c>
      <c r="O1389" s="0" t="n">
        <v>54</v>
      </c>
      <c r="P1389" s="0" t="n">
        <v>32</v>
      </c>
      <c r="Q1389" s="5" t="str">
        <f aca="false">IF($D1389&lt;&gt;"","["&amp;$E1389&amp;"]"&amp;"|"&amp;SUBSTITUTE(SUBSTITUTE($I1389,CHAR(61),""),CHAR(34),"")&amp;"|"&amp;$K1389&amp;"|"&amp;$G1389&amp;"|"&amp;IF($G1389="TX_CURR_SUBNAT.R","CY2020Q4",$M1389),"")</f>
        <v>[HuwCoDZG0FY]|15-19|Female|PLHIV.T_1|CY2021Q3</v>
      </c>
    </row>
    <row r="1390" customFormat="false" ht="15" hidden="false" customHeight="false" outlineLevel="0" collapsed="false">
      <c r="D1390" s="0" t="s">
        <v>117</v>
      </c>
      <c r="E1390" s="0" t="s">
        <v>118</v>
      </c>
      <c r="F1390" s="0" t="s">
        <v>47</v>
      </c>
      <c r="G1390" s="0" t="s">
        <v>97</v>
      </c>
      <c r="H1390" s="0" t="s">
        <v>98</v>
      </c>
      <c r="I1390" s="0" t="s">
        <v>63</v>
      </c>
      <c r="J1390" s="0" t="s">
        <v>64</v>
      </c>
      <c r="K1390" s="0" t="s">
        <v>58</v>
      </c>
      <c r="L1390" s="0" t="s">
        <v>59</v>
      </c>
      <c r="M1390" s="0" t="s">
        <v>50</v>
      </c>
      <c r="N1390" s="0" t="n">
        <v>178</v>
      </c>
      <c r="O1390" s="0" t="n">
        <v>3</v>
      </c>
      <c r="P1390" s="0" t="n">
        <v>30</v>
      </c>
      <c r="Q1390" s="5" t="str">
        <f aca="false">IF($D1390&lt;&gt;"","["&amp;$E1390&amp;"]"&amp;"|"&amp;SUBSTITUTE(SUBSTITUTE($I1390,CHAR(61),""),CHAR(34),"")&amp;"|"&amp;$K1390&amp;"|"&amp;$G1390&amp;"|"&amp;IF($G1390="TX_CURR_SUBNAT.R","CY2020Q4",$M1390),"")</f>
        <v>[HuwCoDZG0FY]|15-19|Male|PLHIV.T_1|CY2021Q3</v>
      </c>
    </row>
    <row r="1391" customFormat="false" ht="15" hidden="false" customHeight="false" outlineLevel="0" collapsed="false">
      <c r="D1391" s="0" t="s">
        <v>117</v>
      </c>
      <c r="E1391" s="0" t="s">
        <v>118</v>
      </c>
      <c r="F1391" s="0" t="s">
        <v>47</v>
      </c>
      <c r="G1391" s="0" t="s">
        <v>97</v>
      </c>
      <c r="H1391" s="0" t="s">
        <v>98</v>
      </c>
      <c r="I1391" s="0" t="s">
        <v>66</v>
      </c>
      <c r="J1391" s="0" t="s">
        <v>67</v>
      </c>
      <c r="K1391" s="0" t="s">
        <v>56</v>
      </c>
      <c r="L1391" s="0" t="s">
        <v>57</v>
      </c>
      <c r="M1391" s="0" t="s">
        <v>50</v>
      </c>
      <c r="N1391" s="0" t="n">
        <v>729</v>
      </c>
      <c r="O1391" s="0" t="n">
        <v>25</v>
      </c>
      <c r="P1391" s="0" t="n">
        <v>35</v>
      </c>
      <c r="Q1391" s="5" t="str">
        <f aca="false">IF($D1391&lt;&gt;"","["&amp;$E1391&amp;"]"&amp;"|"&amp;SUBSTITUTE(SUBSTITUTE($I1391,CHAR(61),""),CHAR(34),"")&amp;"|"&amp;$K1391&amp;"|"&amp;$G1391&amp;"|"&amp;IF($G1391="TX_CURR_SUBNAT.R","CY2020Q4",$M1391),"")</f>
        <v>[HuwCoDZG0FY]|20-24|Female|PLHIV.T_1|CY2021Q3</v>
      </c>
    </row>
    <row r="1392" customFormat="false" ht="15" hidden="false" customHeight="false" outlineLevel="0" collapsed="false">
      <c r="D1392" s="0" t="s">
        <v>117</v>
      </c>
      <c r="E1392" s="0" t="s">
        <v>118</v>
      </c>
      <c r="F1392" s="0" t="s">
        <v>47</v>
      </c>
      <c r="G1392" s="0" t="s">
        <v>97</v>
      </c>
      <c r="H1392" s="0" t="s">
        <v>98</v>
      </c>
      <c r="I1392" s="0" t="s">
        <v>66</v>
      </c>
      <c r="J1392" s="0" t="s">
        <v>67</v>
      </c>
      <c r="K1392" s="0" t="s">
        <v>58</v>
      </c>
      <c r="L1392" s="0" t="s">
        <v>59</v>
      </c>
      <c r="M1392" s="0" t="s">
        <v>50</v>
      </c>
      <c r="N1392" s="0" t="n">
        <v>286</v>
      </c>
      <c r="O1392" s="0" t="n">
        <v>25</v>
      </c>
      <c r="P1392" s="0" t="n">
        <v>34</v>
      </c>
      <c r="Q1392" s="5" t="str">
        <f aca="false">IF($D1392&lt;&gt;"","["&amp;$E1392&amp;"]"&amp;"|"&amp;SUBSTITUTE(SUBSTITUTE($I1392,CHAR(61),""),CHAR(34),"")&amp;"|"&amp;$K1392&amp;"|"&amp;$G1392&amp;"|"&amp;IF($G1392="TX_CURR_SUBNAT.R","CY2020Q4",$M1392),"")</f>
        <v>[HuwCoDZG0FY]|20-24|Male|PLHIV.T_1|CY2021Q3</v>
      </c>
    </row>
    <row r="1393" customFormat="false" ht="15" hidden="false" customHeight="false" outlineLevel="0" collapsed="false">
      <c r="D1393" s="0" t="s">
        <v>117</v>
      </c>
      <c r="E1393" s="0" t="s">
        <v>118</v>
      </c>
      <c r="F1393" s="0" t="s">
        <v>47</v>
      </c>
      <c r="G1393" s="0" t="s">
        <v>97</v>
      </c>
      <c r="H1393" s="0" t="s">
        <v>98</v>
      </c>
      <c r="I1393" s="0" t="s">
        <v>69</v>
      </c>
      <c r="J1393" s="0" t="s">
        <v>70</v>
      </c>
      <c r="K1393" s="0" t="s">
        <v>56</v>
      </c>
      <c r="L1393" s="0" t="s">
        <v>57</v>
      </c>
      <c r="M1393" s="0" t="s">
        <v>50</v>
      </c>
      <c r="N1393" s="0" t="n">
        <v>1311</v>
      </c>
      <c r="O1393" s="0" t="n">
        <v>38</v>
      </c>
      <c r="P1393" s="0" t="n">
        <v>24</v>
      </c>
      <c r="Q1393" s="5" t="str">
        <f aca="false">IF($D1393&lt;&gt;"","["&amp;$E1393&amp;"]"&amp;"|"&amp;SUBSTITUTE(SUBSTITUTE($I1393,CHAR(61),""),CHAR(34),"")&amp;"|"&amp;$K1393&amp;"|"&amp;$G1393&amp;"|"&amp;IF($G1393="TX_CURR_SUBNAT.R","CY2020Q4",$M1393),"")</f>
        <v>[HuwCoDZG0FY]|25-29|Female|PLHIV.T_1|CY2021Q3</v>
      </c>
    </row>
    <row r="1394" customFormat="false" ht="15" hidden="false" customHeight="false" outlineLevel="0" collapsed="false">
      <c r="D1394" s="0" t="s">
        <v>117</v>
      </c>
      <c r="E1394" s="0" t="s">
        <v>118</v>
      </c>
      <c r="F1394" s="0" t="s">
        <v>47</v>
      </c>
      <c r="G1394" s="0" t="s">
        <v>97</v>
      </c>
      <c r="H1394" s="0" t="s">
        <v>98</v>
      </c>
      <c r="I1394" s="0" t="s">
        <v>69</v>
      </c>
      <c r="J1394" s="0" t="s">
        <v>70</v>
      </c>
      <c r="K1394" s="0" t="s">
        <v>58</v>
      </c>
      <c r="L1394" s="0" t="s">
        <v>59</v>
      </c>
      <c r="M1394" s="0" t="s">
        <v>50</v>
      </c>
      <c r="N1394" s="0" t="n">
        <v>625</v>
      </c>
      <c r="O1394" s="0" t="n">
        <v>21</v>
      </c>
      <c r="P1394" s="0" t="n">
        <v>48</v>
      </c>
      <c r="Q1394" s="5" t="str">
        <f aca="false">IF($D1394&lt;&gt;"","["&amp;$E1394&amp;"]"&amp;"|"&amp;SUBSTITUTE(SUBSTITUTE($I1394,CHAR(61),""),CHAR(34),"")&amp;"|"&amp;$K1394&amp;"|"&amp;$G1394&amp;"|"&amp;IF($G1394="TX_CURR_SUBNAT.R","CY2020Q4",$M1394),"")</f>
        <v>[HuwCoDZG0FY]|25-29|Male|PLHIV.T_1|CY2021Q3</v>
      </c>
    </row>
    <row r="1395" customFormat="false" ht="15" hidden="false" customHeight="false" outlineLevel="0" collapsed="false">
      <c r="D1395" s="0" t="s">
        <v>117</v>
      </c>
      <c r="E1395" s="0" t="s">
        <v>118</v>
      </c>
      <c r="F1395" s="0" t="s">
        <v>47</v>
      </c>
      <c r="G1395" s="0" t="s">
        <v>97</v>
      </c>
      <c r="H1395" s="0" t="s">
        <v>98</v>
      </c>
      <c r="I1395" s="0" t="s">
        <v>72</v>
      </c>
      <c r="J1395" s="0" t="s">
        <v>73</v>
      </c>
      <c r="K1395" s="0" t="s">
        <v>56</v>
      </c>
      <c r="L1395" s="0" t="s">
        <v>57</v>
      </c>
      <c r="M1395" s="0" t="s">
        <v>50</v>
      </c>
      <c r="N1395" s="0" t="n">
        <v>1725</v>
      </c>
      <c r="O1395" s="0" t="n">
        <v>40</v>
      </c>
      <c r="P1395" s="0" t="n">
        <v>15</v>
      </c>
      <c r="Q1395" s="5" t="str">
        <f aca="false">IF($D1395&lt;&gt;"","["&amp;$E1395&amp;"]"&amp;"|"&amp;SUBSTITUTE(SUBSTITUTE($I1395,CHAR(61),""),CHAR(34),"")&amp;"|"&amp;$K1395&amp;"|"&amp;$G1395&amp;"|"&amp;IF($G1395="TX_CURR_SUBNAT.R","CY2020Q4",$M1395),"")</f>
        <v>[HuwCoDZG0FY]|30-34|Female|PLHIV.T_1|CY2021Q3</v>
      </c>
    </row>
    <row r="1396" customFormat="false" ht="15" hidden="false" customHeight="false" outlineLevel="0" collapsed="false">
      <c r="D1396" s="0" t="s">
        <v>117</v>
      </c>
      <c r="E1396" s="0" t="s">
        <v>118</v>
      </c>
      <c r="F1396" s="0" t="s">
        <v>47</v>
      </c>
      <c r="G1396" s="0" t="s">
        <v>97</v>
      </c>
      <c r="H1396" s="0" t="s">
        <v>98</v>
      </c>
      <c r="I1396" s="0" t="s">
        <v>72</v>
      </c>
      <c r="J1396" s="0" t="s">
        <v>73</v>
      </c>
      <c r="K1396" s="0" t="s">
        <v>58</v>
      </c>
      <c r="L1396" s="0" t="s">
        <v>59</v>
      </c>
      <c r="M1396" s="0" t="s">
        <v>50</v>
      </c>
      <c r="N1396" s="0" t="n">
        <v>1097</v>
      </c>
      <c r="O1396" s="0" t="n">
        <v>36</v>
      </c>
      <c r="P1396" s="0" t="n">
        <v>9</v>
      </c>
      <c r="Q1396" s="5" t="str">
        <f aca="false">IF($D1396&lt;&gt;"","["&amp;$E1396&amp;"]"&amp;"|"&amp;SUBSTITUTE(SUBSTITUTE($I1396,CHAR(61),""),CHAR(34),"")&amp;"|"&amp;$K1396&amp;"|"&amp;$G1396&amp;"|"&amp;IF($G1396="TX_CURR_SUBNAT.R","CY2020Q4",$M1396),"")</f>
        <v>[HuwCoDZG0FY]|30-34|Male|PLHIV.T_1|CY2021Q3</v>
      </c>
    </row>
    <row r="1397" customFormat="false" ht="15" hidden="false" customHeight="false" outlineLevel="0" collapsed="false">
      <c r="D1397" s="0" t="s">
        <v>117</v>
      </c>
      <c r="E1397" s="0" t="s">
        <v>118</v>
      </c>
      <c r="F1397" s="0" t="s">
        <v>47</v>
      </c>
      <c r="G1397" s="0" t="s">
        <v>97</v>
      </c>
      <c r="H1397" s="0" t="s">
        <v>98</v>
      </c>
      <c r="I1397" s="0" t="s">
        <v>75</v>
      </c>
      <c r="J1397" s="0" t="s">
        <v>76</v>
      </c>
      <c r="K1397" s="0" t="s">
        <v>56</v>
      </c>
      <c r="L1397" s="0" t="s">
        <v>57</v>
      </c>
      <c r="M1397" s="0" t="s">
        <v>50</v>
      </c>
      <c r="N1397" s="0" t="n">
        <v>1543</v>
      </c>
      <c r="O1397" s="0" t="n">
        <v>59</v>
      </c>
      <c r="P1397" s="0" t="n">
        <v>48</v>
      </c>
      <c r="Q1397" s="5" t="str">
        <f aca="false">IF($D1397&lt;&gt;"","["&amp;$E1397&amp;"]"&amp;"|"&amp;SUBSTITUTE(SUBSTITUTE($I1397,CHAR(61),""),CHAR(34),"")&amp;"|"&amp;$K1397&amp;"|"&amp;$G1397&amp;"|"&amp;IF($G1397="TX_CURR_SUBNAT.R","CY2020Q4",$M1397),"")</f>
        <v>[HuwCoDZG0FY]|35-39|Female|PLHIV.T_1|CY2021Q3</v>
      </c>
    </row>
    <row r="1398" customFormat="false" ht="15" hidden="false" customHeight="false" outlineLevel="0" collapsed="false">
      <c r="D1398" s="0" t="s">
        <v>117</v>
      </c>
      <c r="E1398" s="0" t="s">
        <v>118</v>
      </c>
      <c r="F1398" s="0" t="s">
        <v>47</v>
      </c>
      <c r="G1398" s="0" t="s">
        <v>97</v>
      </c>
      <c r="H1398" s="0" t="s">
        <v>98</v>
      </c>
      <c r="I1398" s="0" t="s">
        <v>75</v>
      </c>
      <c r="J1398" s="0" t="s">
        <v>76</v>
      </c>
      <c r="K1398" s="0" t="s">
        <v>58</v>
      </c>
      <c r="L1398" s="0" t="s">
        <v>59</v>
      </c>
      <c r="M1398" s="0" t="s">
        <v>50</v>
      </c>
      <c r="N1398" s="0" t="n">
        <v>1249</v>
      </c>
      <c r="O1398" s="0" t="n">
        <v>36</v>
      </c>
      <c r="P1398" s="0" t="n">
        <v>25</v>
      </c>
      <c r="Q1398" s="5" t="str">
        <f aca="false">IF($D1398&lt;&gt;"","["&amp;$E1398&amp;"]"&amp;"|"&amp;SUBSTITUTE(SUBSTITUTE($I1398,CHAR(61),""),CHAR(34),"")&amp;"|"&amp;$K1398&amp;"|"&amp;$G1398&amp;"|"&amp;IF($G1398="TX_CURR_SUBNAT.R","CY2020Q4",$M1398),"")</f>
        <v>[HuwCoDZG0FY]|35-39|Male|PLHIV.T_1|CY2021Q3</v>
      </c>
    </row>
    <row r="1399" customFormat="false" ht="15" hidden="false" customHeight="false" outlineLevel="0" collapsed="false">
      <c r="D1399" s="0" t="s">
        <v>117</v>
      </c>
      <c r="E1399" s="0" t="s">
        <v>118</v>
      </c>
      <c r="F1399" s="0" t="s">
        <v>47</v>
      </c>
      <c r="G1399" s="0" t="s">
        <v>97</v>
      </c>
      <c r="H1399" s="0" t="s">
        <v>98</v>
      </c>
      <c r="I1399" s="0" t="s">
        <v>77</v>
      </c>
      <c r="J1399" s="0" t="s">
        <v>78</v>
      </c>
      <c r="K1399" s="0" t="s">
        <v>56</v>
      </c>
      <c r="L1399" s="0" t="s">
        <v>57</v>
      </c>
      <c r="M1399" s="0" t="s">
        <v>50</v>
      </c>
      <c r="N1399" s="0" t="n">
        <v>1192</v>
      </c>
      <c r="O1399" s="0" t="n">
        <v>37</v>
      </c>
      <c r="P1399" s="0" t="n">
        <v>20</v>
      </c>
      <c r="Q1399" s="5" t="str">
        <f aca="false">IF($D1399&lt;&gt;"","["&amp;$E1399&amp;"]"&amp;"|"&amp;SUBSTITUTE(SUBSTITUTE($I1399,CHAR(61),""),CHAR(34),"")&amp;"|"&amp;$K1399&amp;"|"&amp;$G1399&amp;"|"&amp;IF($G1399="TX_CURR_SUBNAT.R","CY2020Q4",$M1399),"")</f>
        <v>[HuwCoDZG0FY]|40-44|Female|PLHIV.T_1|CY2021Q3</v>
      </c>
    </row>
    <row r="1400" customFormat="false" ht="15" hidden="false" customHeight="false" outlineLevel="0" collapsed="false">
      <c r="D1400" s="0" t="s">
        <v>117</v>
      </c>
      <c r="E1400" s="0" t="s">
        <v>118</v>
      </c>
      <c r="F1400" s="0" t="s">
        <v>47</v>
      </c>
      <c r="G1400" s="0" t="s">
        <v>97</v>
      </c>
      <c r="H1400" s="0" t="s">
        <v>98</v>
      </c>
      <c r="I1400" s="0" t="s">
        <v>77</v>
      </c>
      <c r="J1400" s="0" t="s">
        <v>78</v>
      </c>
      <c r="K1400" s="0" t="s">
        <v>58</v>
      </c>
      <c r="L1400" s="0" t="s">
        <v>59</v>
      </c>
      <c r="M1400" s="0" t="s">
        <v>50</v>
      </c>
      <c r="N1400" s="0" t="n">
        <v>1036</v>
      </c>
      <c r="O1400" s="0" t="n">
        <v>60</v>
      </c>
      <c r="P1400" s="0" t="n">
        <v>36</v>
      </c>
      <c r="Q1400" s="5" t="str">
        <f aca="false">IF($D1400&lt;&gt;"","["&amp;$E1400&amp;"]"&amp;"|"&amp;SUBSTITUTE(SUBSTITUTE($I1400,CHAR(61),""),CHAR(34),"")&amp;"|"&amp;$K1400&amp;"|"&amp;$G1400&amp;"|"&amp;IF($G1400="TX_CURR_SUBNAT.R","CY2020Q4",$M1400),"")</f>
        <v>[HuwCoDZG0FY]|40-44|Male|PLHIV.T_1|CY2021Q3</v>
      </c>
    </row>
    <row r="1401" customFormat="false" ht="15" hidden="false" customHeight="false" outlineLevel="0" collapsed="false">
      <c r="D1401" s="0" t="s">
        <v>117</v>
      </c>
      <c r="E1401" s="0" t="s">
        <v>118</v>
      </c>
      <c r="F1401" s="0" t="s">
        <v>47</v>
      </c>
      <c r="G1401" s="0" t="s">
        <v>97</v>
      </c>
      <c r="H1401" s="0" t="s">
        <v>98</v>
      </c>
      <c r="I1401" s="0" t="s">
        <v>80</v>
      </c>
      <c r="J1401" s="0" t="s">
        <v>81</v>
      </c>
      <c r="K1401" s="0" t="s">
        <v>56</v>
      </c>
      <c r="L1401" s="0" t="s">
        <v>57</v>
      </c>
      <c r="M1401" s="0" t="s">
        <v>50</v>
      </c>
      <c r="N1401" s="0" t="n">
        <v>917</v>
      </c>
      <c r="O1401" s="0" t="n">
        <v>24</v>
      </c>
      <c r="P1401" s="0" t="n">
        <v>43</v>
      </c>
      <c r="Q1401" s="5" t="str">
        <f aca="false">IF($D1401&lt;&gt;"","["&amp;$E1401&amp;"]"&amp;"|"&amp;SUBSTITUTE(SUBSTITUTE($I1401,CHAR(61),""),CHAR(34),"")&amp;"|"&amp;$K1401&amp;"|"&amp;$G1401&amp;"|"&amp;IF($G1401="TX_CURR_SUBNAT.R","CY2020Q4",$M1401),"")</f>
        <v>[HuwCoDZG0FY]|45-49|Female|PLHIV.T_1|CY2021Q3</v>
      </c>
    </row>
    <row r="1402" customFormat="false" ht="15" hidden="false" customHeight="false" outlineLevel="0" collapsed="false">
      <c r="D1402" s="0" t="s">
        <v>117</v>
      </c>
      <c r="E1402" s="0" t="s">
        <v>118</v>
      </c>
      <c r="F1402" s="0" t="s">
        <v>47</v>
      </c>
      <c r="G1402" s="0" t="s">
        <v>97</v>
      </c>
      <c r="H1402" s="0" t="s">
        <v>98</v>
      </c>
      <c r="I1402" s="0" t="s">
        <v>80</v>
      </c>
      <c r="J1402" s="0" t="s">
        <v>81</v>
      </c>
      <c r="K1402" s="0" t="s">
        <v>58</v>
      </c>
      <c r="L1402" s="0" t="s">
        <v>59</v>
      </c>
      <c r="M1402" s="0" t="s">
        <v>50</v>
      </c>
      <c r="N1402" s="0" t="n">
        <v>841</v>
      </c>
      <c r="O1402" s="0" t="n">
        <v>27</v>
      </c>
      <c r="P1402" s="0" t="n">
        <v>50</v>
      </c>
      <c r="Q1402" s="5" t="str">
        <f aca="false">IF($D1402&lt;&gt;"","["&amp;$E1402&amp;"]"&amp;"|"&amp;SUBSTITUTE(SUBSTITUTE($I1402,CHAR(61),""),CHAR(34),"")&amp;"|"&amp;$K1402&amp;"|"&amp;$G1402&amp;"|"&amp;IF($G1402="TX_CURR_SUBNAT.R","CY2020Q4",$M1402),"")</f>
        <v>[HuwCoDZG0FY]|45-49|Male|PLHIV.T_1|CY2021Q3</v>
      </c>
    </row>
    <row r="1403" customFormat="false" ht="15" hidden="false" customHeight="false" outlineLevel="0" collapsed="false">
      <c r="D1403" s="0" t="s">
        <v>117</v>
      </c>
      <c r="E1403" s="0" t="s">
        <v>118</v>
      </c>
      <c r="F1403" s="0" t="s">
        <v>47</v>
      </c>
      <c r="G1403" s="0" t="s">
        <v>97</v>
      </c>
      <c r="H1403" s="0" t="s">
        <v>98</v>
      </c>
      <c r="I1403" s="0" t="s">
        <v>83</v>
      </c>
      <c r="J1403" s="0" t="s">
        <v>84</v>
      </c>
      <c r="K1403" s="0" t="s">
        <v>56</v>
      </c>
      <c r="L1403" s="0" t="s">
        <v>57</v>
      </c>
      <c r="M1403" s="0" t="s">
        <v>50</v>
      </c>
      <c r="N1403" s="0" t="n">
        <v>105</v>
      </c>
      <c r="O1403" s="0" t="n">
        <v>8</v>
      </c>
      <c r="P1403" s="0" t="n">
        <v>42</v>
      </c>
      <c r="Q1403" s="5" t="str">
        <f aca="false">IF($D1403&lt;&gt;"","["&amp;$E1403&amp;"]"&amp;"|"&amp;SUBSTITUTE(SUBSTITUTE($I1403,CHAR(61),""),CHAR(34),"")&amp;"|"&amp;$K1403&amp;"|"&amp;$G1403&amp;"|"&amp;IF($G1403="TX_CURR_SUBNAT.R","CY2020Q4",$M1403),"")</f>
        <v>[HuwCoDZG0FY]|05-09|Female|PLHIV.T_1|CY2021Q3</v>
      </c>
    </row>
    <row r="1404" customFormat="false" ht="15" hidden="false" customHeight="false" outlineLevel="0" collapsed="false">
      <c r="D1404" s="0" t="s">
        <v>117</v>
      </c>
      <c r="E1404" s="0" t="s">
        <v>118</v>
      </c>
      <c r="F1404" s="0" t="s">
        <v>47</v>
      </c>
      <c r="G1404" s="0" t="s">
        <v>97</v>
      </c>
      <c r="H1404" s="0" t="s">
        <v>98</v>
      </c>
      <c r="I1404" s="0" t="s">
        <v>83</v>
      </c>
      <c r="J1404" s="0" t="s">
        <v>84</v>
      </c>
      <c r="K1404" s="0" t="s">
        <v>58</v>
      </c>
      <c r="L1404" s="0" t="s">
        <v>59</v>
      </c>
      <c r="M1404" s="0" t="s">
        <v>50</v>
      </c>
      <c r="N1404" s="0" t="n">
        <v>101</v>
      </c>
      <c r="O1404" s="0" t="n">
        <v>16</v>
      </c>
      <c r="P1404" s="0" t="n">
        <v>37</v>
      </c>
      <c r="Q1404" s="5" t="str">
        <f aca="false">IF($D1404&lt;&gt;"","["&amp;$E1404&amp;"]"&amp;"|"&amp;SUBSTITUTE(SUBSTITUTE($I1404,CHAR(61),""),CHAR(34),"")&amp;"|"&amp;$K1404&amp;"|"&amp;$G1404&amp;"|"&amp;IF($G1404="TX_CURR_SUBNAT.R","CY2020Q4",$M1404),"")</f>
        <v>[HuwCoDZG0FY]|05-09|Male|PLHIV.T_1|CY2021Q3</v>
      </c>
    </row>
    <row r="1405" customFormat="false" ht="15" hidden="false" customHeight="false" outlineLevel="0" collapsed="false">
      <c r="D1405" s="0" t="s">
        <v>117</v>
      </c>
      <c r="E1405" s="0" t="s">
        <v>118</v>
      </c>
      <c r="F1405" s="0" t="s">
        <v>47</v>
      </c>
      <c r="G1405" s="0" t="s">
        <v>97</v>
      </c>
      <c r="H1405" s="0" t="s">
        <v>98</v>
      </c>
      <c r="I1405" s="53" t="s">
        <v>86</v>
      </c>
      <c r="J1405" s="0" t="s">
        <v>87</v>
      </c>
      <c r="K1405" s="0" t="s">
        <v>56</v>
      </c>
      <c r="L1405" s="0" t="s">
        <v>57</v>
      </c>
      <c r="M1405" s="0" t="s">
        <v>50</v>
      </c>
      <c r="N1405" s="0" t="n">
        <v>3011</v>
      </c>
      <c r="O1405" s="0" t="n">
        <v>47</v>
      </c>
      <c r="P1405" s="0" t="n">
        <v>31</v>
      </c>
      <c r="Q1405" s="5" t="str">
        <f aca="false">IF($D1405&lt;&gt;"","["&amp;$E1405&amp;"]"&amp;"|"&amp;SUBSTITUTE(SUBSTITUTE($I1405,CHAR(61),""),CHAR(34),"")&amp;"|"&amp;$K1405&amp;"|"&amp;$G1405&amp;"|"&amp;IF($G1405="TX_CURR_SUBNAT.R","CY2020Q4",$M1405),"")</f>
        <v>[HuwCoDZG0FY]|50+|Female|PLHIV.T_1|CY2021Q3</v>
      </c>
    </row>
    <row r="1406" customFormat="false" ht="15" hidden="false" customHeight="false" outlineLevel="0" collapsed="false">
      <c r="D1406" s="0" t="s">
        <v>117</v>
      </c>
      <c r="E1406" s="0" t="s">
        <v>118</v>
      </c>
      <c r="F1406" s="0" t="s">
        <v>47</v>
      </c>
      <c r="G1406" s="0" t="s">
        <v>97</v>
      </c>
      <c r="H1406" s="0" t="s">
        <v>98</v>
      </c>
      <c r="I1406" s="53" t="s">
        <v>86</v>
      </c>
      <c r="J1406" s="0" t="s">
        <v>87</v>
      </c>
      <c r="K1406" s="0" t="s">
        <v>58</v>
      </c>
      <c r="L1406" s="0" t="s">
        <v>59</v>
      </c>
      <c r="M1406" s="0" t="s">
        <v>50</v>
      </c>
      <c r="N1406" s="0" t="n">
        <v>2180</v>
      </c>
      <c r="O1406" s="0" t="n">
        <v>6</v>
      </c>
      <c r="P1406" s="0" t="n">
        <v>38</v>
      </c>
      <c r="Q1406" s="5" t="str">
        <f aca="false">IF($D1406&lt;&gt;"","["&amp;$E1406&amp;"]"&amp;"|"&amp;SUBSTITUTE(SUBSTITUTE($I1406,CHAR(61),""),CHAR(34),"")&amp;"|"&amp;$K1406&amp;"|"&amp;$G1406&amp;"|"&amp;IF($G1406="TX_CURR_SUBNAT.R","CY2020Q4",$M1406),"")</f>
        <v>[HuwCoDZG0FY]|50+|Male|PLHIV.T_1|CY2021Q3</v>
      </c>
    </row>
    <row r="1407" customFormat="false" ht="15" hidden="false" customHeight="false" outlineLevel="0" collapsed="false">
      <c r="D1407" s="0" t="s">
        <v>117</v>
      </c>
      <c r="E1407" s="0" t="s">
        <v>118</v>
      </c>
      <c r="F1407" s="0" t="s">
        <v>47</v>
      </c>
      <c r="G1407" s="0" t="s">
        <v>97</v>
      </c>
      <c r="H1407" s="0" t="s">
        <v>98</v>
      </c>
      <c r="I1407" s="0" t="s">
        <v>89</v>
      </c>
      <c r="J1407" s="0" t="s">
        <v>90</v>
      </c>
      <c r="K1407" s="0" t="s">
        <v>56</v>
      </c>
      <c r="L1407" s="0" t="s">
        <v>57</v>
      </c>
      <c r="M1407" s="0" t="s">
        <v>50</v>
      </c>
      <c r="N1407" s="0" t="n">
        <v>7</v>
      </c>
      <c r="O1407" s="0" t="n">
        <v>19</v>
      </c>
      <c r="P1407" s="0" t="n">
        <v>27</v>
      </c>
      <c r="Q1407" s="5" t="str">
        <f aca="false">IF($D1407&lt;&gt;"","["&amp;$E1407&amp;"]"&amp;"|"&amp;SUBSTITUTE(SUBSTITUTE($I1407,CHAR(61),""),CHAR(34),"")&amp;"|"&amp;$K1407&amp;"|"&amp;$G1407&amp;"|"&amp;IF($G1407="TX_CURR_SUBNAT.R","CY2020Q4",$M1407),"")</f>
        <v>[HuwCoDZG0FY]|&lt;01|Female|PLHIV.T_1|CY2021Q3</v>
      </c>
    </row>
    <row r="1408" customFormat="false" ht="15" hidden="false" customHeight="false" outlineLevel="0" collapsed="false">
      <c r="D1408" s="0" t="s">
        <v>117</v>
      </c>
      <c r="E1408" s="0" t="s">
        <v>118</v>
      </c>
      <c r="F1408" s="0" t="s">
        <v>47</v>
      </c>
      <c r="G1408" s="0" t="s">
        <v>97</v>
      </c>
      <c r="H1408" s="0" t="s">
        <v>98</v>
      </c>
      <c r="I1408" s="0" t="s">
        <v>89</v>
      </c>
      <c r="J1408" s="0" t="s">
        <v>90</v>
      </c>
      <c r="K1408" s="0" t="s">
        <v>58</v>
      </c>
      <c r="L1408" s="0" t="s">
        <v>59</v>
      </c>
      <c r="M1408" s="0" t="s">
        <v>50</v>
      </c>
      <c r="N1408" s="0" t="n">
        <v>7</v>
      </c>
      <c r="O1408" s="0" t="n">
        <v>5</v>
      </c>
      <c r="P1408" s="0" t="n">
        <v>26</v>
      </c>
      <c r="Q1408" s="5" t="str">
        <f aca="false">IF($D1408&lt;&gt;"","["&amp;$E1408&amp;"]"&amp;"|"&amp;SUBSTITUTE(SUBSTITUTE($I1408,CHAR(61),""),CHAR(34),"")&amp;"|"&amp;$K1408&amp;"|"&amp;$G1408&amp;"|"&amp;IF($G1408="TX_CURR_SUBNAT.R","CY2020Q4",$M1408),"")</f>
        <v>[HuwCoDZG0FY]|&lt;01|Male|PLHIV.T_1|CY2021Q3</v>
      </c>
    </row>
    <row r="1409" customFormat="false" ht="15" hidden="false" customHeight="false" outlineLevel="0" collapsed="false">
      <c r="D1409" s="0" t="s">
        <v>117</v>
      </c>
      <c r="E1409" s="0" t="s">
        <v>118</v>
      </c>
      <c r="F1409" s="0" t="s">
        <v>47</v>
      </c>
      <c r="G1409" s="0" t="s">
        <v>99</v>
      </c>
      <c r="H1409" s="0" t="s">
        <v>100</v>
      </c>
      <c r="I1409" s="0" t="s">
        <v>54</v>
      </c>
      <c r="J1409" s="0" t="s">
        <v>55</v>
      </c>
      <c r="K1409" s="0" t="s">
        <v>56</v>
      </c>
      <c r="L1409" s="0" t="s">
        <v>57</v>
      </c>
      <c r="M1409" s="0" t="s">
        <v>50</v>
      </c>
      <c r="N1409" s="0" t="n">
        <v>15</v>
      </c>
      <c r="O1409" s="0" t="n">
        <v>12</v>
      </c>
      <c r="P1409" s="0" t="n">
        <v>38</v>
      </c>
      <c r="Q1409" s="5" t="str">
        <f aca="false">IF($D1409&lt;&gt;"","["&amp;$E1409&amp;"]"&amp;"|"&amp;SUBSTITUTE(SUBSTITUTE($I1409,CHAR(61),""),CHAR(34),"")&amp;"|"&amp;$K1409&amp;"|"&amp;$G1409&amp;"|"&amp;IF($G1409="TX_CURR_SUBNAT.R","CY2020Q4",$M1409),"")</f>
        <v>[HuwCoDZG0FY]|01-04|Female|TX_CURR_SUBNAT.T_1|CY2021Q3</v>
      </c>
    </row>
    <row r="1410" customFormat="false" ht="15" hidden="false" customHeight="false" outlineLevel="0" collapsed="false">
      <c r="D1410" s="0" t="s">
        <v>117</v>
      </c>
      <c r="E1410" s="0" t="s">
        <v>118</v>
      </c>
      <c r="F1410" s="0" t="s">
        <v>47</v>
      </c>
      <c r="G1410" s="0" t="s">
        <v>99</v>
      </c>
      <c r="H1410" s="0" t="s">
        <v>100</v>
      </c>
      <c r="I1410" s="0" t="s">
        <v>54</v>
      </c>
      <c r="J1410" s="0" t="s">
        <v>55</v>
      </c>
      <c r="K1410" s="0" t="s">
        <v>58</v>
      </c>
      <c r="L1410" s="0" t="s">
        <v>59</v>
      </c>
      <c r="M1410" s="0" t="s">
        <v>50</v>
      </c>
      <c r="N1410" s="0" t="n">
        <v>15</v>
      </c>
      <c r="O1410" s="0" t="n">
        <v>12</v>
      </c>
      <c r="P1410" s="0" t="n">
        <v>50</v>
      </c>
      <c r="Q1410" s="5" t="str">
        <f aca="false">IF($D1410&lt;&gt;"","["&amp;$E1410&amp;"]"&amp;"|"&amp;SUBSTITUTE(SUBSTITUTE($I1410,CHAR(61),""),CHAR(34),"")&amp;"|"&amp;$K1410&amp;"|"&amp;$G1410&amp;"|"&amp;IF($G1410="TX_CURR_SUBNAT.R","CY2020Q4",$M1410),"")</f>
        <v>[HuwCoDZG0FY]|01-04|Male|TX_CURR_SUBNAT.T_1|CY2021Q3</v>
      </c>
    </row>
    <row r="1411" customFormat="false" ht="15" hidden="false" customHeight="false" outlineLevel="0" collapsed="false">
      <c r="D1411" s="0" t="s">
        <v>117</v>
      </c>
      <c r="E1411" s="0" t="s">
        <v>118</v>
      </c>
      <c r="F1411" s="0" t="s">
        <v>47</v>
      </c>
      <c r="G1411" s="0" t="s">
        <v>99</v>
      </c>
      <c r="H1411" s="0" t="s">
        <v>100</v>
      </c>
      <c r="I1411" s="0" t="s">
        <v>61</v>
      </c>
      <c r="J1411" s="0" t="s">
        <v>62</v>
      </c>
      <c r="K1411" s="0" t="s">
        <v>56</v>
      </c>
      <c r="L1411" s="0" t="s">
        <v>57</v>
      </c>
      <c r="M1411" s="0" t="s">
        <v>50</v>
      </c>
      <c r="N1411" s="0" t="n">
        <v>123</v>
      </c>
      <c r="O1411" s="0" t="n">
        <v>5</v>
      </c>
      <c r="P1411" s="0" t="n">
        <v>25</v>
      </c>
      <c r="Q1411" s="5" t="str">
        <f aca="false">IF($D1411&lt;&gt;"","["&amp;$E1411&amp;"]"&amp;"|"&amp;SUBSTITUTE(SUBSTITUTE($I1411,CHAR(61),""),CHAR(34),"")&amp;"|"&amp;$K1411&amp;"|"&amp;$G1411&amp;"|"&amp;IF($G1411="TX_CURR_SUBNAT.R","CY2020Q4",$M1411),"")</f>
        <v>[HuwCoDZG0FY]|10-14|Female|TX_CURR_SUBNAT.T_1|CY2021Q3</v>
      </c>
    </row>
    <row r="1412" customFormat="false" ht="15" hidden="false" customHeight="false" outlineLevel="0" collapsed="false">
      <c r="D1412" s="0" t="s">
        <v>117</v>
      </c>
      <c r="E1412" s="0" t="s">
        <v>118</v>
      </c>
      <c r="F1412" s="0" t="s">
        <v>47</v>
      </c>
      <c r="G1412" s="0" t="s">
        <v>99</v>
      </c>
      <c r="H1412" s="0" t="s">
        <v>100</v>
      </c>
      <c r="I1412" s="0" t="s">
        <v>61</v>
      </c>
      <c r="J1412" s="0" t="s">
        <v>62</v>
      </c>
      <c r="K1412" s="0" t="s">
        <v>58</v>
      </c>
      <c r="L1412" s="0" t="s">
        <v>59</v>
      </c>
      <c r="M1412" s="0" t="s">
        <v>50</v>
      </c>
      <c r="N1412" s="0" t="n">
        <v>128</v>
      </c>
      <c r="O1412" s="0" t="n">
        <v>41</v>
      </c>
      <c r="P1412" s="0" t="n">
        <v>34</v>
      </c>
      <c r="Q1412" s="5" t="str">
        <f aca="false">IF($D1412&lt;&gt;"","["&amp;$E1412&amp;"]"&amp;"|"&amp;SUBSTITUTE(SUBSTITUTE($I1412,CHAR(61),""),CHAR(34),"")&amp;"|"&amp;$K1412&amp;"|"&amp;$G1412&amp;"|"&amp;IF($G1412="TX_CURR_SUBNAT.R","CY2020Q4",$M1412),"")</f>
        <v>[HuwCoDZG0FY]|10-14|Male|TX_CURR_SUBNAT.T_1|CY2021Q3</v>
      </c>
    </row>
    <row r="1413" customFormat="false" ht="15" hidden="false" customHeight="false" outlineLevel="0" collapsed="false">
      <c r="D1413" s="0" t="s">
        <v>117</v>
      </c>
      <c r="E1413" s="0" t="s">
        <v>118</v>
      </c>
      <c r="F1413" s="0" t="s">
        <v>47</v>
      </c>
      <c r="G1413" s="0" t="s">
        <v>99</v>
      </c>
      <c r="H1413" s="0" t="s">
        <v>100</v>
      </c>
      <c r="I1413" s="0" t="s">
        <v>63</v>
      </c>
      <c r="J1413" s="0" t="s">
        <v>64</v>
      </c>
      <c r="K1413" s="0" t="s">
        <v>56</v>
      </c>
      <c r="L1413" s="0" t="s">
        <v>57</v>
      </c>
      <c r="M1413" s="0" t="s">
        <v>50</v>
      </c>
      <c r="N1413" s="0" t="n">
        <v>178</v>
      </c>
      <c r="O1413" s="0" t="n">
        <v>46</v>
      </c>
      <c r="P1413" s="0" t="n">
        <v>8</v>
      </c>
      <c r="Q1413" s="5" t="str">
        <f aca="false">IF($D1413&lt;&gt;"","["&amp;$E1413&amp;"]"&amp;"|"&amp;SUBSTITUTE(SUBSTITUTE($I1413,CHAR(61),""),CHAR(34),"")&amp;"|"&amp;$K1413&amp;"|"&amp;$G1413&amp;"|"&amp;IF($G1413="TX_CURR_SUBNAT.R","CY2020Q4",$M1413),"")</f>
        <v>[HuwCoDZG0FY]|15-19|Female|TX_CURR_SUBNAT.T_1|CY2021Q3</v>
      </c>
    </row>
    <row r="1414" customFormat="false" ht="15" hidden="false" customHeight="false" outlineLevel="0" collapsed="false">
      <c r="D1414" s="0" t="s">
        <v>117</v>
      </c>
      <c r="E1414" s="0" t="s">
        <v>118</v>
      </c>
      <c r="F1414" s="0" t="s">
        <v>47</v>
      </c>
      <c r="G1414" s="0" t="s">
        <v>99</v>
      </c>
      <c r="H1414" s="0" t="s">
        <v>100</v>
      </c>
      <c r="I1414" s="0" t="s">
        <v>63</v>
      </c>
      <c r="J1414" s="0" t="s">
        <v>64</v>
      </c>
      <c r="K1414" s="0" t="s">
        <v>58</v>
      </c>
      <c r="L1414" s="0" t="s">
        <v>59</v>
      </c>
      <c r="M1414" s="0" t="s">
        <v>50</v>
      </c>
      <c r="N1414" s="0" t="n">
        <v>142</v>
      </c>
      <c r="O1414" s="0" t="n">
        <v>39</v>
      </c>
      <c r="P1414" s="0" t="n">
        <v>15</v>
      </c>
      <c r="Q1414" s="5" t="str">
        <f aca="false">IF($D1414&lt;&gt;"","["&amp;$E1414&amp;"]"&amp;"|"&amp;SUBSTITUTE(SUBSTITUTE($I1414,CHAR(61),""),CHAR(34),"")&amp;"|"&amp;$K1414&amp;"|"&amp;$G1414&amp;"|"&amp;IF($G1414="TX_CURR_SUBNAT.R","CY2020Q4",$M1414),"")</f>
        <v>[HuwCoDZG0FY]|15-19|Male|TX_CURR_SUBNAT.T_1|CY2021Q3</v>
      </c>
    </row>
    <row r="1415" customFormat="false" ht="15" hidden="false" customHeight="false" outlineLevel="0" collapsed="false">
      <c r="D1415" s="0" t="s">
        <v>117</v>
      </c>
      <c r="E1415" s="0" t="s">
        <v>118</v>
      </c>
      <c r="F1415" s="0" t="s">
        <v>47</v>
      </c>
      <c r="G1415" s="0" t="s">
        <v>99</v>
      </c>
      <c r="H1415" s="0" t="s">
        <v>100</v>
      </c>
      <c r="I1415" s="0" t="s">
        <v>66</v>
      </c>
      <c r="J1415" s="0" t="s">
        <v>67</v>
      </c>
      <c r="K1415" s="0" t="s">
        <v>56</v>
      </c>
      <c r="L1415" s="0" t="s">
        <v>57</v>
      </c>
      <c r="M1415" s="0" t="s">
        <v>50</v>
      </c>
      <c r="N1415" s="0" t="n">
        <v>375</v>
      </c>
      <c r="O1415" s="0" t="n">
        <v>10</v>
      </c>
      <c r="P1415" s="0" t="n">
        <v>37</v>
      </c>
      <c r="Q1415" s="5" t="str">
        <f aca="false">IF($D1415&lt;&gt;"","["&amp;$E1415&amp;"]"&amp;"|"&amp;SUBSTITUTE(SUBSTITUTE($I1415,CHAR(61),""),CHAR(34),"")&amp;"|"&amp;$K1415&amp;"|"&amp;$G1415&amp;"|"&amp;IF($G1415="TX_CURR_SUBNAT.R","CY2020Q4",$M1415),"")</f>
        <v>[HuwCoDZG0FY]|20-24|Female|TX_CURR_SUBNAT.T_1|CY2021Q3</v>
      </c>
    </row>
    <row r="1416" customFormat="false" ht="15" hidden="false" customHeight="false" outlineLevel="0" collapsed="false">
      <c r="D1416" s="0" t="s">
        <v>117</v>
      </c>
      <c r="E1416" s="0" t="s">
        <v>118</v>
      </c>
      <c r="F1416" s="0" t="s">
        <v>47</v>
      </c>
      <c r="G1416" s="0" t="s">
        <v>99</v>
      </c>
      <c r="H1416" s="0" t="s">
        <v>100</v>
      </c>
      <c r="I1416" s="0" t="s">
        <v>66</v>
      </c>
      <c r="J1416" s="0" t="s">
        <v>67</v>
      </c>
      <c r="K1416" s="0" t="s">
        <v>58</v>
      </c>
      <c r="L1416" s="0" t="s">
        <v>59</v>
      </c>
      <c r="M1416" s="0" t="s">
        <v>50</v>
      </c>
      <c r="N1416" s="0" t="n">
        <v>133</v>
      </c>
      <c r="O1416" s="0" t="n">
        <v>33</v>
      </c>
      <c r="P1416" s="0" t="n">
        <v>14</v>
      </c>
      <c r="Q1416" s="5" t="str">
        <f aca="false">IF($D1416&lt;&gt;"","["&amp;$E1416&amp;"]"&amp;"|"&amp;SUBSTITUTE(SUBSTITUTE($I1416,CHAR(61),""),CHAR(34),"")&amp;"|"&amp;$K1416&amp;"|"&amp;$G1416&amp;"|"&amp;IF($G1416="TX_CURR_SUBNAT.R","CY2020Q4",$M1416),"")</f>
        <v>[HuwCoDZG0FY]|20-24|Male|TX_CURR_SUBNAT.T_1|CY2021Q3</v>
      </c>
    </row>
    <row r="1417" customFormat="false" ht="15" hidden="false" customHeight="false" outlineLevel="0" collapsed="false">
      <c r="D1417" s="0" t="s">
        <v>117</v>
      </c>
      <c r="E1417" s="0" t="s">
        <v>118</v>
      </c>
      <c r="F1417" s="0" t="s">
        <v>47</v>
      </c>
      <c r="G1417" s="0" t="s">
        <v>99</v>
      </c>
      <c r="H1417" s="0" t="s">
        <v>100</v>
      </c>
      <c r="I1417" s="0" t="s">
        <v>69</v>
      </c>
      <c r="J1417" s="0" t="s">
        <v>70</v>
      </c>
      <c r="K1417" s="0" t="s">
        <v>56</v>
      </c>
      <c r="L1417" s="0" t="s">
        <v>57</v>
      </c>
      <c r="M1417" s="0" t="s">
        <v>50</v>
      </c>
      <c r="N1417" s="0" t="n">
        <v>638</v>
      </c>
      <c r="O1417" s="0" t="n">
        <v>4</v>
      </c>
      <c r="P1417" s="0" t="n">
        <v>49</v>
      </c>
      <c r="Q1417" s="5" t="str">
        <f aca="false">IF($D1417&lt;&gt;"","["&amp;$E1417&amp;"]"&amp;"|"&amp;SUBSTITUTE(SUBSTITUTE($I1417,CHAR(61),""),CHAR(34),"")&amp;"|"&amp;$K1417&amp;"|"&amp;$G1417&amp;"|"&amp;IF($G1417="TX_CURR_SUBNAT.R","CY2020Q4",$M1417),"")</f>
        <v>[HuwCoDZG0FY]|25-29|Female|TX_CURR_SUBNAT.T_1|CY2021Q3</v>
      </c>
    </row>
    <row r="1418" customFormat="false" ht="15" hidden="false" customHeight="false" outlineLevel="0" collapsed="false">
      <c r="D1418" s="0" t="s">
        <v>117</v>
      </c>
      <c r="E1418" s="0" t="s">
        <v>118</v>
      </c>
      <c r="F1418" s="0" t="s">
        <v>47</v>
      </c>
      <c r="G1418" s="0" t="s">
        <v>99</v>
      </c>
      <c r="H1418" s="0" t="s">
        <v>100</v>
      </c>
      <c r="I1418" s="0" t="s">
        <v>69</v>
      </c>
      <c r="J1418" s="0" t="s">
        <v>70</v>
      </c>
      <c r="K1418" s="0" t="s">
        <v>58</v>
      </c>
      <c r="L1418" s="0" t="s">
        <v>59</v>
      </c>
      <c r="M1418" s="0" t="s">
        <v>50</v>
      </c>
      <c r="N1418" s="0" t="n">
        <v>227</v>
      </c>
      <c r="O1418" s="0" t="n">
        <v>22</v>
      </c>
      <c r="P1418" s="0" t="n">
        <v>1</v>
      </c>
      <c r="Q1418" s="5" t="str">
        <f aca="false">IF($D1418&lt;&gt;"","["&amp;$E1418&amp;"]"&amp;"|"&amp;SUBSTITUTE(SUBSTITUTE($I1418,CHAR(61),""),CHAR(34),"")&amp;"|"&amp;$K1418&amp;"|"&amp;$G1418&amp;"|"&amp;IF($G1418="TX_CURR_SUBNAT.R","CY2020Q4",$M1418),"")</f>
        <v>[HuwCoDZG0FY]|25-29|Male|TX_CURR_SUBNAT.T_1|CY2021Q3</v>
      </c>
    </row>
    <row r="1419" customFormat="false" ht="15" hidden="false" customHeight="false" outlineLevel="0" collapsed="false">
      <c r="D1419" s="0" t="s">
        <v>117</v>
      </c>
      <c r="E1419" s="0" t="s">
        <v>118</v>
      </c>
      <c r="F1419" s="0" t="s">
        <v>47</v>
      </c>
      <c r="G1419" s="0" t="s">
        <v>99</v>
      </c>
      <c r="H1419" s="0" t="s">
        <v>100</v>
      </c>
      <c r="I1419" s="0" t="s">
        <v>72</v>
      </c>
      <c r="J1419" s="0" t="s">
        <v>73</v>
      </c>
      <c r="K1419" s="0" t="s">
        <v>56</v>
      </c>
      <c r="L1419" s="0" t="s">
        <v>57</v>
      </c>
      <c r="M1419" s="0" t="s">
        <v>50</v>
      </c>
      <c r="N1419" s="0" t="n">
        <v>812</v>
      </c>
      <c r="O1419" s="0" t="n">
        <v>37</v>
      </c>
      <c r="P1419" s="0" t="n">
        <v>31</v>
      </c>
      <c r="Q1419" s="5" t="str">
        <f aca="false">IF($D1419&lt;&gt;"","["&amp;$E1419&amp;"]"&amp;"|"&amp;SUBSTITUTE(SUBSTITUTE($I1419,CHAR(61),""),CHAR(34),"")&amp;"|"&amp;$K1419&amp;"|"&amp;$G1419&amp;"|"&amp;IF($G1419="TX_CURR_SUBNAT.R","CY2020Q4",$M1419),"")</f>
        <v>[HuwCoDZG0FY]|30-34|Female|TX_CURR_SUBNAT.T_1|CY2021Q3</v>
      </c>
    </row>
    <row r="1420" customFormat="false" ht="15" hidden="false" customHeight="false" outlineLevel="0" collapsed="false">
      <c r="D1420" s="0" t="s">
        <v>117</v>
      </c>
      <c r="E1420" s="0" t="s">
        <v>118</v>
      </c>
      <c r="F1420" s="0" t="s">
        <v>47</v>
      </c>
      <c r="G1420" s="0" t="s">
        <v>99</v>
      </c>
      <c r="H1420" s="0" t="s">
        <v>100</v>
      </c>
      <c r="I1420" s="0" t="s">
        <v>72</v>
      </c>
      <c r="J1420" s="0" t="s">
        <v>73</v>
      </c>
      <c r="K1420" s="0" t="s">
        <v>58</v>
      </c>
      <c r="L1420" s="0" t="s">
        <v>59</v>
      </c>
      <c r="M1420" s="0" t="s">
        <v>50</v>
      </c>
      <c r="N1420" s="0" t="n">
        <v>391</v>
      </c>
      <c r="O1420" s="0" t="n">
        <v>48</v>
      </c>
      <c r="P1420" s="0" t="n">
        <v>7</v>
      </c>
      <c r="Q1420" s="5" t="str">
        <f aca="false">IF($D1420&lt;&gt;"","["&amp;$E1420&amp;"]"&amp;"|"&amp;SUBSTITUTE(SUBSTITUTE($I1420,CHAR(61),""),CHAR(34),"")&amp;"|"&amp;$K1420&amp;"|"&amp;$G1420&amp;"|"&amp;IF($G1420="TX_CURR_SUBNAT.R","CY2020Q4",$M1420),"")</f>
        <v>[HuwCoDZG0FY]|30-34|Male|TX_CURR_SUBNAT.T_1|CY2021Q3</v>
      </c>
    </row>
    <row r="1421" customFormat="false" ht="15" hidden="false" customHeight="false" outlineLevel="0" collapsed="false">
      <c r="D1421" s="0" t="s">
        <v>117</v>
      </c>
      <c r="E1421" s="0" t="s">
        <v>118</v>
      </c>
      <c r="F1421" s="0" t="s">
        <v>47</v>
      </c>
      <c r="G1421" s="0" t="s">
        <v>99</v>
      </c>
      <c r="H1421" s="0" t="s">
        <v>100</v>
      </c>
      <c r="I1421" s="0" t="s">
        <v>75</v>
      </c>
      <c r="J1421" s="0" t="s">
        <v>76</v>
      </c>
      <c r="K1421" s="0" t="s">
        <v>56</v>
      </c>
      <c r="L1421" s="0" t="s">
        <v>57</v>
      </c>
      <c r="M1421" s="0" t="s">
        <v>50</v>
      </c>
      <c r="N1421" s="0" t="n">
        <v>893</v>
      </c>
      <c r="O1421" s="0" t="n">
        <v>14</v>
      </c>
      <c r="P1421" s="0" t="n">
        <v>7</v>
      </c>
      <c r="Q1421" s="5" t="str">
        <f aca="false">IF($D1421&lt;&gt;"","["&amp;$E1421&amp;"]"&amp;"|"&amp;SUBSTITUTE(SUBSTITUTE($I1421,CHAR(61),""),CHAR(34),"")&amp;"|"&amp;$K1421&amp;"|"&amp;$G1421&amp;"|"&amp;IF($G1421="TX_CURR_SUBNAT.R","CY2020Q4",$M1421),"")</f>
        <v>[HuwCoDZG0FY]|35-39|Female|TX_CURR_SUBNAT.T_1|CY2021Q3</v>
      </c>
    </row>
    <row r="1422" customFormat="false" ht="15" hidden="false" customHeight="false" outlineLevel="0" collapsed="false">
      <c r="D1422" s="0" t="s">
        <v>117</v>
      </c>
      <c r="E1422" s="0" t="s">
        <v>118</v>
      </c>
      <c r="F1422" s="0" t="s">
        <v>47</v>
      </c>
      <c r="G1422" s="0" t="s">
        <v>99</v>
      </c>
      <c r="H1422" s="0" t="s">
        <v>100</v>
      </c>
      <c r="I1422" s="0" t="s">
        <v>75</v>
      </c>
      <c r="J1422" s="0" t="s">
        <v>76</v>
      </c>
      <c r="K1422" s="0" t="s">
        <v>58</v>
      </c>
      <c r="L1422" s="0" t="s">
        <v>59</v>
      </c>
      <c r="M1422" s="0" t="s">
        <v>50</v>
      </c>
      <c r="N1422" s="0" t="n">
        <v>547</v>
      </c>
      <c r="O1422" s="0" t="n">
        <v>9</v>
      </c>
      <c r="P1422" s="0" t="n">
        <v>18</v>
      </c>
      <c r="Q1422" s="5" t="str">
        <f aca="false">IF($D1422&lt;&gt;"","["&amp;$E1422&amp;"]"&amp;"|"&amp;SUBSTITUTE(SUBSTITUTE($I1422,CHAR(61),""),CHAR(34),"")&amp;"|"&amp;$K1422&amp;"|"&amp;$G1422&amp;"|"&amp;IF($G1422="TX_CURR_SUBNAT.R","CY2020Q4",$M1422),"")</f>
        <v>[HuwCoDZG0FY]|35-39|Male|TX_CURR_SUBNAT.T_1|CY2021Q3</v>
      </c>
    </row>
    <row r="1423" customFormat="false" ht="15" hidden="false" customHeight="false" outlineLevel="0" collapsed="false">
      <c r="D1423" s="0" t="s">
        <v>117</v>
      </c>
      <c r="E1423" s="0" t="s">
        <v>118</v>
      </c>
      <c r="F1423" s="0" t="s">
        <v>47</v>
      </c>
      <c r="G1423" s="0" t="s">
        <v>99</v>
      </c>
      <c r="H1423" s="0" t="s">
        <v>100</v>
      </c>
      <c r="I1423" s="0" t="s">
        <v>77</v>
      </c>
      <c r="J1423" s="0" t="s">
        <v>78</v>
      </c>
      <c r="K1423" s="0" t="s">
        <v>56</v>
      </c>
      <c r="L1423" s="0" t="s">
        <v>57</v>
      </c>
      <c r="M1423" s="0" t="s">
        <v>50</v>
      </c>
      <c r="N1423" s="0" t="n">
        <v>904</v>
      </c>
      <c r="O1423" s="0" t="n">
        <v>60</v>
      </c>
      <c r="P1423" s="0" t="n">
        <v>8</v>
      </c>
      <c r="Q1423" s="5" t="str">
        <f aca="false">IF($D1423&lt;&gt;"","["&amp;$E1423&amp;"]"&amp;"|"&amp;SUBSTITUTE(SUBSTITUTE($I1423,CHAR(61),""),CHAR(34),"")&amp;"|"&amp;$K1423&amp;"|"&amp;$G1423&amp;"|"&amp;IF($G1423="TX_CURR_SUBNAT.R","CY2020Q4",$M1423),"")</f>
        <v>[HuwCoDZG0FY]|40-44|Female|TX_CURR_SUBNAT.T_1|CY2021Q3</v>
      </c>
    </row>
    <row r="1424" customFormat="false" ht="15" hidden="false" customHeight="false" outlineLevel="0" collapsed="false">
      <c r="D1424" s="0" t="s">
        <v>117</v>
      </c>
      <c r="E1424" s="0" t="s">
        <v>118</v>
      </c>
      <c r="F1424" s="0" t="s">
        <v>47</v>
      </c>
      <c r="G1424" s="0" t="s">
        <v>99</v>
      </c>
      <c r="H1424" s="0" t="s">
        <v>100</v>
      </c>
      <c r="I1424" s="0" t="s">
        <v>77</v>
      </c>
      <c r="J1424" s="0" t="s">
        <v>78</v>
      </c>
      <c r="K1424" s="0" t="s">
        <v>58</v>
      </c>
      <c r="L1424" s="0" t="s">
        <v>59</v>
      </c>
      <c r="M1424" s="0" t="s">
        <v>50</v>
      </c>
      <c r="N1424" s="0" t="n">
        <v>573</v>
      </c>
      <c r="O1424" s="0" t="n">
        <v>22</v>
      </c>
      <c r="P1424" s="0" t="n">
        <v>30</v>
      </c>
      <c r="Q1424" s="5" t="str">
        <f aca="false">IF($D1424&lt;&gt;"","["&amp;$E1424&amp;"]"&amp;"|"&amp;SUBSTITUTE(SUBSTITUTE($I1424,CHAR(61),""),CHAR(34),"")&amp;"|"&amp;$K1424&amp;"|"&amp;$G1424&amp;"|"&amp;IF($G1424="TX_CURR_SUBNAT.R","CY2020Q4",$M1424),"")</f>
        <v>[HuwCoDZG0FY]|40-44|Male|TX_CURR_SUBNAT.T_1|CY2021Q3</v>
      </c>
    </row>
    <row r="1425" customFormat="false" ht="15" hidden="false" customHeight="false" outlineLevel="0" collapsed="false">
      <c r="D1425" s="0" t="s">
        <v>117</v>
      </c>
      <c r="E1425" s="0" t="s">
        <v>118</v>
      </c>
      <c r="F1425" s="0" t="s">
        <v>47</v>
      </c>
      <c r="G1425" s="0" t="s">
        <v>99</v>
      </c>
      <c r="H1425" s="0" t="s">
        <v>100</v>
      </c>
      <c r="I1425" s="0" t="s">
        <v>80</v>
      </c>
      <c r="J1425" s="0" t="s">
        <v>81</v>
      </c>
      <c r="K1425" s="0" t="s">
        <v>56</v>
      </c>
      <c r="L1425" s="0" t="s">
        <v>57</v>
      </c>
      <c r="M1425" s="0" t="s">
        <v>50</v>
      </c>
      <c r="N1425" s="0" t="n">
        <v>783</v>
      </c>
      <c r="O1425" s="0" t="n">
        <v>60</v>
      </c>
      <c r="P1425" s="0" t="n">
        <v>32</v>
      </c>
      <c r="Q1425" s="5" t="str">
        <f aca="false">IF($D1425&lt;&gt;"","["&amp;$E1425&amp;"]"&amp;"|"&amp;SUBSTITUTE(SUBSTITUTE($I1425,CHAR(61),""),CHAR(34),"")&amp;"|"&amp;$K1425&amp;"|"&amp;$G1425&amp;"|"&amp;IF($G1425="TX_CURR_SUBNAT.R","CY2020Q4",$M1425),"")</f>
        <v>[HuwCoDZG0FY]|45-49|Female|TX_CURR_SUBNAT.T_1|CY2021Q3</v>
      </c>
    </row>
    <row r="1426" customFormat="false" ht="15" hidden="false" customHeight="false" outlineLevel="0" collapsed="false">
      <c r="D1426" s="0" t="s">
        <v>117</v>
      </c>
      <c r="E1426" s="0" t="s">
        <v>118</v>
      </c>
      <c r="F1426" s="0" t="s">
        <v>47</v>
      </c>
      <c r="G1426" s="0" t="s">
        <v>99</v>
      </c>
      <c r="H1426" s="0" t="s">
        <v>100</v>
      </c>
      <c r="I1426" s="0" t="s">
        <v>80</v>
      </c>
      <c r="J1426" s="0" t="s">
        <v>81</v>
      </c>
      <c r="K1426" s="0" t="s">
        <v>58</v>
      </c>
      <c r="L1426" s="0" t="s">
        <v>59</v>
      </c>
      <c r="M1426" s="0" t="s">
        <v>50</v>
      </c>
      <c r="N1426" s="0" t="n">
        <v>512</v>
      </c>
      <c r="O1426" s="0" t="n">
        <v>11</v>
      </c>
      <c r="P1426" s="0" t="n">
        <v>17</v>
      </c>
      <c r="Q1426" s="5" t="str">
        <f aca="false">IF($D1426&lt;&gt;"","["&amp;$E1426&amp;"]"&amp;"|"&amp;SUBSTITUTE(SUBSTITUTE($I1426,CHAR(61),""),CHAR(34),"")&amp;"|"&amp;$K1426&amp;"|"&amp;$G1426&amp;"|"&amp;IF($G1426="TX_CURR_SUBNAT.R","CY2020Q4",$M1426),"")</f>
        <v>[HuwCoDZG0FY]|45-49|Male|TX_CURR_SUBNAT.T_1|CY2021Q3</v>
      </c>
    </row>
    <row r="1427" customFormat="false" ht="15" hidden="false" customHeight="false" outlineLevel="0" collapsed="false">
      <c r="D1427" s="0" t="s">
        <v>117</v>
      </c>
      <c r="E1427" s="0" t="s">
        <v>118</v>
      </c>
      <c r="F1427" s="0" t="s">
        <v>47</v>
      </c>
      <c r="G1427" s="0" t="s">
        <v>99</v>
      </c>
      <c r="H1427" s="0" t="s">
        <v>100</v>
      </c>
      <c r="I1427" s="0" t="s">
        <v>83</v>
      </c>
      <c r="J1427" s="0" t="s">
        <v>84</v>
      </c>
      <c r="K1427" s="0" t="s">
        <v>56</v>
      </c>
      <c r="L1427" s="0" t="s">
        <v>57</v>
      </c>
      <c r="M1427" s="0" t="s">
        <v>50</v>
      </c>
      <c r="N1427" s="0" t="n">
        <v>58</v>
      </c>
      <c r="O1427" s="0" t="n">
        <v>42</v>
      </c>
      <c r="P1427" s="0" t="n">
        <v>13</v>
      </c>
      <c r="Q1427" s="5" t="str">
        <f aca="false">IF($D1427&lt;&gt;"","["&amp;$E1427&amp;"]"&amp;"|"&amp;SUBSTITUTE(SUBSTITUTE($I1427,CHAR(61),""),CHAR(34),"")&amp;"|"&amp;$K1427&amp;"|"&amp;$G1427&amp;"|"&amp;IF($G1427="TX_CURR_SUBNAT.R","CY2020Q4",$M1427),"")</f>
        <v>[HuwCoDZG0FY]|05-09|Female|TX_CURR_SUBNAT.T_1|CY2021Q3</v>
      </c>
    </row>
    <row r="1428" customFormat="false" ht="15" hidden="false" customHeight="false" outlineLevel="0" collapsed="false">
      <c r="D1428" s="0" t="s">
        <v>117</v>
      </c>
      <c r="E1428" s="0" t="s">
        <v>118</v>
      </c>
      <c r="F1428" s="0" t="s">
        <v>47</v>
      </c>
      <c r="G1428" s="0" t="s">
        <v>99</v>
      </c>
      <c r="H1428" s="0" t="s">
        <v>100</v>
      </c>
      <c r="I1428" s="0" t="s">
        <v>83</v>
      </c>
      <c r="J1428" s="0" t="s">
        <v>84</v>
      </c>
      <c r="K1428" s="0" t="s">
        <v>58</v>
      </c>
      <c r="L1428" s="0" t="s">
        <v>59</v>
      </c>
      <c r="M1428" s="0" t="s">
        <v>50</v>
      </c>
      <c r="N1428" s="0" t="n">
        <v>59</v>
      </c>
      <c r="O1428" s="0" t="n">
        <v>22</v>
      </c>
      <c r="P1428" s="0" t="n">
        <v>49</v>
      </c>
      <c r="Q1428" s="5" t="str">
        <f aca="false">IF($D1428&lt;&gt;"","["&amp;$E1428&amp;"]"&amp;"|"&amp;SUBSTITUTE(SUBSTITUTE($I1428,CHAR(61),""),CHAR(34),"")&amp;"|"&amp;$K1428&amp;"|"&amp;$G1428&amp;"|"&amp;IF($G1428="TX_CURR_SUBNAT.R","CY2020Q4",$M1428),"")</f>
        <v>[HuwCoDZG0FY]|05-09|Male|TX_CURR_SUBNAT.T_1|CY2021Q3</v>
      </c>
    </row>
    <row r="1429" customFormat="false" ht="15" hidden="false" customHeight="false" outlineLevel="0" collapsed="false">
      <c r="D1429" s="0" t="s">
        <v>117</v>
      </c>
      <c r="E1429" s="0" t="s">
        <v>118</v>
      </c>
      <c r="F1429" s="0" t="s">
        <v>47</v>
      </c>
      <c r="G1429" s="0" t="s">
        <v>99</v>
      </c>
      <c r="H1429" s="0" t="s">
        <v>100</v>
      </c>
      <c r="I1429" s="53" t="s">
        <v>86</v>
      </c>
      <c r="J1429" s="0" t="s">
        <v>87</v>
      </c>
      <c r="K1429" s="0" t="s">
        <v>56</v>
      </c>
      <c r="L1429" s="0" t="s">
        <v>57</v>
      </c>
      <c r="M1429" s="0" t="s">
        <v>50</v>
      </c>
      <c r="N1429" s="0" t="n">
        <v>2127</v>
      </c>
      <c r="O1429" s="0" t="n">
        <v>37</v>
      </c>
      <c r="P1429" s="0" t="n">
        <v>26</v>
      </c>
      <c r="Q1429" s="5" t="str">
        <f aca="false">IF($D1429&lt;&gt;"","["&amp;$E1429&amp;"]"&amp;"|"&amp;SUBSTITUTE(SUBSTITUTE($I1429,CHAR(61),""),CHAR(34),"")&amp;"|"&amp;$K1429&amp;"|"&amp;$G1429&amp;"|"&amp;IF($G1429="TX_CURR_SUBNAT.R","CY2020Q4",$M1429),"")</f>
        <v>[HuwCoDZG0FY]|50+|Female|TX_CURR_SUBNAT.T_1|CY2021Q3</v>
      </c>
    </row>
    <row r="1430" customFormat="false" ht="15" hidden="false" customHeight="false" outlineLevel="0" collapsed="false">
      <c r="D1430" s="0" t="s">
        <v>117</v>
      </c>
      <c r="E1430" s="0" t="s">
        <v>118</v>
      </c>
      <c r="F1430" s="0" t="s">
        <v>47</v>
      </c>
      <c r="G1430" s="0" t="s">
        <v>99</v>
      </c>
      <c r="H1430" s="0" t="s">
        <v>100</v>
      </c>
      <c r="I1430" s="53" t="s">
        <v>86</v>
      </c>
      <c r="J1430" s="0" t="s">
        <v>87</v>
      </c>
      <c r="K1430" s="0" t="s">
        <v>58</v>
      </c>
      <c r="L1430" s="0" t="s">
        <v>59</v>
      </c>
      <c r="M1430" s="0" t="s">
        <v>50</v>
      </c>
      <c r="N1430" s="0" t="n">
        <v>1363</v>
      </c>
      <c r="O1430" s="0" t="n">
        <v>48</v>
      </c>
      <c r="P1430" s="0" t="n">
        <v>43</v>
      </c>
      <c r="Q1430" s="5" t="str">
        <f aca="false">IF($D1430&lt;&gt;"","["&amp;$E1430&amp;"]"&amp;"|"&amp;SUBSTITUTE(SUBSTITUTE($I1430,CHAR(61),""),CHAR(34),"")&amp;"|"&amp;$K1430&amp;"|"&amp;$G1430&amp;"|"&amp;IF($G1430="TX_CURR_SUBNAT.R","CY2020Q4",$M1430),"")</f>
        <v>[HuwCoDZG0FY]|50+|Male|TX_CURR_SUBNAT.T_1|CY2021Q3</v>
      </c>
    </row>
    <row r="1431" customFormat="false" ht="15" hidden="false" customHeight="false" outlineLevel="0" collapsed="false">
      <c r="D1431" s="0" t="s">
        <v>117</v>
      </c>
      <c r="E1431" s="0" t="s">
        <v>118</v>
      </c>
      <c r="F1431" s="0" t="s">
        <v>47</v>
      </c>
      <c r="G1431" s="0" t="s">
        <v>99</v>
      </c>
      <c r="H1431" s="0" t="s">
        <v>100</v>
      </c>
      <c r="I1431" s="0" t="s">
        <v>89</v>
      </c>
      <c r="J1431" s="0" t="s">
        <v>90</v>
      </c>
      <c r="K1431" s="0" t="s">
        <v>56</v>
      </c>
      <c r="L1431" s="0" t="s">
        <v>57</v>
      </c>
      <c r="M1431" s="0" t="s">
        <v>50</v>
      </c>
      <c r="N1431" s="0" t="n">
        <v>3</v>
      </c>
      <c r="O1431" s="0" t="n">
        <v>53</v>
      </c>
      <c r="P1431" s="0" t="n">
        <v>29</v>
      </c>
      <c r="Q1431" s="5" t="str">
        <f aca="false">IF($D1431&lt;&gt;"","["&amp;$E1431&amp;"]"&amp;"|"&amp;SUBSTITUTE(SUBSTITUTE($I1431,CHAR(61),""),CHAR(34),"")&amp;"|"&amp;$K1431&amp;"|"&amp;$G1431&amp;"|"&amp;IF($G1431="TX_CURR_SUBNAT.R","CY2020Q4",$M1431),"")</f>
        <v>[HuwCoDZG0FY]|&lt;01|Female|TX_CURR_SUBNAT.T_1|CY2021Q3</v>
      </c>
    </row>
    <row r="1432" customFormat="false" ht="15" hidden="false" customHeight="false" outlineLevel="0" collapsed="false">
      <c r="D1432" s="0" t="s">
        <v>117</v>
      </c>
      <c r="E1432" s="0" t="s">
        <v>118</v>
      </c>
      <c r="F1432" s="0" t="s">
        <v>47</v>
      </c>
      <c r="G1432" s="0" t="s">
        <v>99</v>
      </c>
      <c r="H1432" s="0" t="s">
        <v>100</v>
      </c>
      <c r="I1432" s="0" t="s">
        <v>89</v>
      </c>
      <c r="J1432" s="0" t="s">
        <v>90</v>
      </c>
      <c r="K1432" s="0" t="s">
        <v>58</v>
      </c>
      <c r="L1432" s="0" t="s">
        <v>59</v>
      </c>
      <c r="M1432" s="0" t="s">
        <v>50</v>
      </c>
      <c r="N1432" s="0" t="n">
        <v>3</v>
      </c>
      <c r="O1432" s="0" t="n">
        <v>3</v>
      </c>
      <c r="P1432" s="0" t="n">
        <v>13</v>
      </c>
      <c r="Q1432" s="5" t="str">
        <f aca="false">IF($D1432&lt;&gt;"","["&amp;$E1432&amp;"]"&amp;"|"&amp;SUBSTITUTE(SUBSTITUTE($I1432,CHAR(61),""),CHAR(34),"")&amp;"|"&amp;$K1432&amp;"|"&amp;$G1432&amp;"|"&amp;IF($G1432="TX_CURR_SUBNAT.R","CY2020Q4",$M1432),"")</f>
        <v>[HuwCoDZG0FY]|&lt;01|Male|TX_CURR_SUBNAT.T_1|CY2021Q3</v>
      </c>
    </row>
  </sheetData>
  <mergeCells count="5">
    <mergeCell ref="B6:B7"/>
    <mergeCell ref="B11:B12"/>
    <mergeCell ref="B16:B17"/>
    <mergeCell ref="B19:B20"/>
    <mergeCell ref="B26:B2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4" topLeftCell="C17" activePane="bottomRight" state="frozen"/>
      <selection pane="topLeft" activeCell="A1" activeCellId="0" sqref="A1"/>
      <selection pane="topRight" activeCell="C1" activeCellId="0" sqref="C1"/>
      <selection pane="bottomLeft" activeCell="A17" activeCellId="0" sqref="A17"/>
      <selection pane="bottomRight" activeCell="C26" activeCellId="1" sqref="Q2:Q1432 C26"/>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4" min="3" style="0" width="13.16"/>
    <col collapsed="false" customWidth="true" hidden="false" outlineLevel="0" max="5" min="5" style="0" width="28"/>
    <col collapsed="false" customWidth="true" hidden="false" outlineLevel="0" max="1025" min="6" style="0" width="10.61"/>
  </cols>
  <sheetData>
    <row r="1" customFormat="false" ht="31" hidden="false" customHeight="true" outlineLevel="0" collapsed="false">
      <c r="A1" s="54" t="s">
        <v>119</v>
      </c>
      <c r="B1" s="54"/>
      <c r="C1" s="55" t="s">
        <v>119</v>
      </c>
      <c r="D1" s="55"/>
      <c r="E1" s="56"/>
    </row>
    <row r="2" customFormat="false" ht="19" hidden="false" customHeight="true" outlineLevel="0" collapsed="false">
      <c r="A2" s="57"/>
      <c r="B2" s="57"/>
      <c r="C2" s="58" t="s">
        <v>120</v>
      </c>
      <c r="D2" s="59" t="s">
        <v>121</v>
      </c>
      <c r="E2" s="60"/>
    </row>
    <row r="3" customFormat="false" ht="117" hidden="false" customHeight="true" outlineLevel="0" collapsed="false">
      <c r="A3" s="61"/>
      <c r="B3" s="61"/>
      <c r="C3" s="62" t="s">
        <v>122</v>
      </c>
      <c r="D3" s="63" t="s">
        <v>123</v>
      </c>
      <c r="E3" s="64" t="s">
        <v>124</v>
      </c>
    </row>
    <row r="4" customFormat="false" ht="15" hidden="false" customHeight="false" outlineLevel="0" collapsed="false">
      <c r="A4" s="65"/>
      <c r="B4" s="65" t="s">
        <v>125</v>
      </c>
      <c r="C4" s="66"/>
      <c r="D4" s="67"/>
      <c r="E4" s="68" t="str">
        <f aca="false">IF(COUNTIF(D$15:INDEX($D:$D,COUNTA($B:$B)+14-COUNTA($B$1:$B$14)),"")&gt;0,"BLANK PRIORITIZATIONS","")</f>
        <v/>
      </c>
    </row>
    <row r="5" customFormat="false" ht="12.8" hidden="false" customHeight="false" outlineLevel="0" collapsed="false">
      <c r="A5" s="69" t="s">
        <v>126</v>
      </c>
      <c r="B5" s="69" t="s">
        <v>126</v>
      </c>
      <c r="C5" s="66" t="s">
        <v>127</v>
      </c>
      <c r="D5" s="67" t="s">
        <v>127</v>
      </c>
      <c r="E5" s="0" t="s">
        <v>126</v>
      </c>
    </row>
    <row r="6" customFormat="false" ht="12.8" hidden="false" customHeight="false" outlineLevel="0" collapsed="false">
      <c r="A6" s="69" t="s">
        <v>128</v>
      </c>
      <c r="B6" s="69" t="s">
        <v>128</v>
      </c>
      <c r="C6" s="66" t="s">
        <v>129</v>
      </c>
      <c r="D6" s="67" t="s">
        <v>130</v>
      </c>
      <c r="E6" s="0" t="s">
        <v>131</v>
      </c>
    </row>
    <row r="7" customFormat="false" ht="12.8" hidden="false" customHeight="false" outlineLevel="0" collapsed="false">
      <c r="A7" s="69" t="s">
        <v>132</v>
      </c>
      <c r="B7" s="69" t="s">
        <v>132</v>
      </c>
      <c r="C7" s="66" t="s">
        <v>133</v>
      </c>
      <c r="D7" s="67" t="s">
        <v>133</v>
      </c>
      <c r="E7" s="0" t="s">
        <v>132</v>
      </c>
    </row>
    <row r="8" customFormat="false" ht="12.8" hidden="false" customHeight="false" outlineLevel="0" collapsed="false">
      <c r="C8" s="66" t="s">
        <v>134</v>
      </c>
      <c r="D8" s="67" t="s">
        <v>134</v>
      </c>
    </row>
    <row r="9" customFormat="false" ht="12.8" hidden="false" customHeight="false" outlineLevel="0" collapsed="false">
      <c r="C9" s="66"/>
      <c r="D9" s="67"/>
    </row>
    <row r="10" customFormat="false" ht="12.8" hidden="false" customHeight="false" outlineLevel="0" collapsed="false">
      <c r="C10" s="66"/>
      <c r="D10" s="67"/>
    </row>
    <row r="11" customFormat="false" ht="12.8" hidden="false" customHeight="false" outlineLevel="0" collapsed="false">
      <c r="C11" s="66"/>
      <c r="D11" s="67"/>
    </row>
    <row r="12" customFormat="false" ht="12.8" hidden="false" customHeight="false" outlineLevel="0" collapsed="false">
      <c r="C12" s="66"/>
      <c r="D12" s="67"/>
    </row>
    <row r="13" customFormat="false" ht="12.8" hidden="false" customHeight="false" outlineLevel="0" collapsed="false">
      <c r="C13" s="66"/>
      <c r="D13" s="67"/>
    </row>
    <row r="14" customFormat="false" ht="15" hidden="false" customHeight="false" outlineLevel="0" collapsed="false">
      <c r="A14" s="70" t="s">
        <v>135</v>
      </c>
      <c r="B14" s="70" t="s">
        <v>136</v>
      </c>
      <c r="C14" s="71" t="s">
        <v>137</v>
      </c>
      <c r="D14" s="71" t="s">
        <v>138</v>
      </c>
      <c r="E14" s="72" t="s">
        <v>139</v>
      </c>
    </row>
    <row r="15" customFormat="false" ht="15" hidden="false" customHeight="false" outlineLevel="0" collapsed="false">
      <c r="A15" s="0" t="s">
        <v>140</v>
      </c>
      <c r="B15" s="0" t="s">
        <v>141</v>
      </c>
      <c r="C15" s="73"/>
      <c r="D15" s="74" t="str">
        <f aca="false">IF(LEFT($B15,4)="_Mil","M",IF(SUM($C15)=0,"",$C15))</f>
        <v>M</v>
      </c>
      <c r="E15" s="66" t="str">
        <f aca="false">IF($D15=1,"Scale-up: Saturation",IF($D15=2,"Scale-up: Aggressive",IF($D15=4,"Sustained",IF($D15=5,"Centrally Supported",IF($D15=6,"Sustained:Commodities",IF($D15=7,"Attained",IF($D15=8,"Not PEPFAR Supported",IF($D15="M","Military",IF($D15="NA","Not a PSNU","INVALID")))))))))</f>
        <v>Military</v>
      </c>
    </row>
    <row r="16" customFormat="false" ht="15" hidden="false" customHeight="false" outlineLevel="0" collapsed="false">
      <c r="A16" s="0" t="s">
        <v>142</v>
      </c>
      <c r="B16" s="0" t="s">
        <v>109</v>
      </c>
      <c r="C16" s="73" t="n">
        <v>29</v>
      </c>
      <c r="D16" s="75" t="n">
        <f aca="false">IF(LEFT($B16,4)="_Mil","M",IF(SUM($C16)=0,"",$C16))</f>
        <v>29</v>
      </c>
      <c r="E16" s="66" t="str">
        <f aca="false">IF($D16=1,"Scale-up: Saturation",IF($D16=2,"Scale-up: Aggressive",IF($D16=4,"Sustained",IF($D16=5,"Centrally Supported",IF($D16=6,"Sustained:Commodities",IF($D16=7,"Attained",IF($D16=8,"Not PEPFAR Supported",IF($D16="M","Military",IF($D16="NA","Not a PSNU","INVALID")))))))))</f>
        <v>INVALID</v>
      </c>
    </row>
    <row r="17" customFormat="false" ht="15" hidden="false" customHeight="false" outlineLevel="0" collapsed="false">
      <c r="A17" s="0" t="s">
        <v>143</v>
      </c>
      <c r="B17" s="0" t="s">
        <v>115</v>
      </c>
      <c r="C17" s="73" t="n">
        <v>2</v>
      </c>
      <c r="D17" s="75" t="n">
        <v>2</v>
      </c>
      <c r="E17" s="66" t="str">
        <f aca="false">IF($D17=1,"Scale-up: Saturation",IF($D17=2,"Scale-up: Aggressive",IF($D17=4,"Sustained",IF($D17=5,"Centrally Supported",IF($D17=6,"Sustained:Commodities",IF($D17=7,"Attained",IF($D17=8,"Not PEPFAR Supported",IF($D17="M","Military",IF($D17="NA","Not a PSNU","INVALID")))))))))</f>
        <v>Scale-up: Aggressive</v>
      </c>
    </row>
    <row r="18" customFormat="false" ht="15" hidden="false" customHeight="false" outlineLevel="0" collapsed="false">
      <c r="A18" s="53" t="s">
        <v>144</v>
      </c>
      <c r="B18" s="53" t="s">
        <v>103</v>
      </c>
      <c r="C18" s="73" t="n">
        <v>2</v>
      </c>
      <c r="D18" s="75" t="n">
        <f aca="false">IF(LEFT($B18,4)="_Mil","M",IF(SUM($C18)=0,"",$C18))</f>
        <v>2</v>
      </c>
      <c r="E18" s="66" t="str">
        <f aca="false">IF($D18=1,"Scale-up: Saturation",IF($D18=2,"Scale-up: Aggressive",IF($D18=4,"Sustained",IF($D18=5,"Centrally Supported",IF($D18=6,"Sustained:Commodities",IF($D18=7,"Attained",IF($D18=8,"Not PEPFAR Supported",IF($D18="M","Military",IF($D18="NA","Not a PSNU","INVALID")))))))))</f>
        <v>Scale-up: Aggressive</v>
      </c>
    </row>
    <row r="19" customFormat="false" ht="15" hidden="false" customHeight="false" outlineLevel="0" collapsed="false">
      <c r="A19" s="0" t="s">
        <v>145</v>
      </c>
      <c r="B19" s="0" t="s">
        <v>107</v>
      </c>
      <c r="C19" s="73" t="n">
        <v>1</v>
      </c>
      <c r="D19" s="75" t="n">
        <f aca="false">IF(LEFT($B19,4)="_Mil","M",IF(SUM($C19)=0,"",$C19))</f>
        <v>1</v>
      </c>
      <c r="E19" s="0" t="str">
        <f aca="false">IF($D19=1,"Scale-up: Saturation",IF($D19=2,"Scale-up: Aggressive",IF($D19=4,"Sustained",IF($D19=5,"Centrally Supported",IF($D19=6,"Sustained:Commodities",IF($D19=7,"Attained",IF($D19=8,"Not PEPFAR Supported",IF($D19="M","Military",IF($D19="NA","Not a PSNU","INVALID")))))))))</f>
        <v>Scale-up: Saturation</v>
      </c>
    </row>
    <row r="20" customFormat="false" ht="15" hidden="false" customHeight="false" outlineLevel="0" collapsed="false">
      <c r="A20" s="0" t="s">
        <v>146</v>
      </c>
      <c r="B20" s="0" t="s">
        <v>45</v>
      </c>
      <c r="C20" s="73" t="n">
        <v>1</v>
      </c>
      <c r="D20" s="75" t="n">
        <v>1</v>
      </c>
      <c r="E20" s="0" t="str">
        <f aca="false">IF($D20=1,"Scale-up: Saturation",IF($D20=2,"Scale-up: Aggressive",IF($D20=4,"Sustained",IF($D20=5,"Centrally Supported",IF($D20=6,"Sustained:Commodities",IF($D20=7,"Attained",IF($D20=8,"Not PEPFAR Supported",IF($D20="M","Military",IF($D20="NA","Not a PSNU","INVALID")))))))))</f>
        <v>Scale-up: Saturation</v>
      </c>
    </row>
    <row r="21" customFormat="false" ht="15" hidden="false" customHeight="false" outlineLevel="0" collapsed="false">
      <c r="A21" s="0" t="s">
        <v>147</v>
      </c>
      <c r="B21" s="0" t="s">
        <v>105</v>
      </c>
      <c r="C21" s="73" t="n">
        <v>2</v>
      </c>
      <c r="D21" s="75" t="n">
        <v>2</v>
      </c>
      <c r="E21" s="0" t="str">
        <f aca="false">IF($D21=1,"Scale-up: Saturation",IF($D21=2,"Scale-up: Aggressive",IF($D21=4,"Sustained",IF($D21=5,"Centrally Supported",IF($D21=6,"Sustained:Commodities",IF($D21=7,"Attained",IF($D21=8,"Not PEPFAR Supported",IF($D21="M","Military",IF($D21="NA","Not a PSNU","INVALID")))))))))</f>
        <v>Scale-up: Aggressive</v>
      </c>
    </row>
    <row r="22" customFormat="false" ht="15" hidden="false" customHeight="false" outlineLevel="0" collapsed="false">
      <c r="A22" s="0" t="s">
        <v>148</v>
      </c>
      <c r="B22" s="0" t="s">
        <v>113</v>
      </c>
      <c r="C22" s="73" t="n">
        <v>4</v>
      </c>
      <c r="D22" s="75" t="n">
        <f aca="false">IF(LEFT($B22,4)="_Mil","M",IF(SUM($C22)=0,"",$C22))</f>
        <v>4</v>
      </c>
      <c r="E22" s="0" t="str">
        <f aca="false">IF($D22=1,"Scale-up: Saturation",IF($D22=2,"Scale-up: Aggressive",IF($D22=4,"Sustained",IF($D22=5,"Centrally Supported",IF($D22=6,"Sustained:Commodities",IF($D22=7,"Attained",IF($D22=8,"Not PEPFAR Supported",IF($D22="M","Military",IF($D22="NA","Not a PSNU","INVALID")))))))))</f>
        <v>Sustained</v>
      </c>
    </row>
    <row r="23" customFormat="false" ht="15" hidden="false" customHeight="false" outlineLevel="0" collapsed="false">
      <c r="A23" s="0" t="s">
        <v>149</v>
      </c>
      <c r="B23" s="0" t="s">
        <v>111</v>
      </c>
      <c r="C23" s="73" t="n">
        <v>4</v>
      </c>
      <c r="D23" s="75" t="n">
        <f aca="false">IF(LEFT($B23,4)="_Mil","M",IF(SUM($C23)=0,"",$C23))</f>
        <v>4</v>
      </c>
      <c r="E23" s="0" t="str">
        <f aca="false">IF($D23=1,"Scale-up: Saturation",IF($D23=2,"Scale-up: Aggressive",IF($D23=4,"Sustained",IF($D23=5,"Centrally Supported",IF($D23=6,"Sustained:Commodities",IF($D23=7,"Attained",IF($D23=8,"Not PEPFAR Supported",IF($D23="M","Military",IF($D23="NA","Not a PSNU","INVALID")))))))))</f>
        <v>Sustained</v>
      </c>
    </row>
    <row r="24" customFormat="false" ht="15" hidden="false" customHeight="false" outlineLevel="0" collapsed="false">
      <c r="A24" s="0" t="s">
        <v>150</v>
      </c>
      <c r="B24" s="0" t="s">
        <v>117</v>
      </c>
      <c r="C24" s="73" t="n">
        <v>6</v>
      </c>
      <c r="D24" s="75" t="n">
        <f aca="false">IF(LEFT($B24,4)="_Mil","M",IF(SUM($C24)=0,"",$C24))</f>
        <v>6</v>
      </c>
      <c r="E24" s="0" t="str">
        <f aca="false">IF($D24=1,"Scale-up: Saturation",IF($D24=2,"Scale-up: Aggressive",IF($D24=4,"Sustained",IF($D24=5,"Centrally Supported",IF($D24=6,"Sustained:Commodities",IF($D24=7,"Attained",IF($D24=8,"Not PEPFAR Supported",IF($D24="M","Military",IF($D24="NA","Not a PSNU","INVALID")))))))))</f>
        <v>Sustained:Commodities</v>
      </c>
    </row>
    <row r="25" customFormat="false" ht="15" hidden="false" customHeight="false" outlineLevel="0" collapsed="false">
      <c r="A25" s="0" t="s">
        <v>151</v>
      </c>
      <c r="B25" s="0" t="s">
        <v>101</v>
      </c>
      <c r="C25" s="73" t="n">
        <v>5</v>
      </c>
      <c r="D25" s="75" t="n">
        <f aca="false">IF(LEFT($B25,4)="_Mil","M",IF(SUM($C25)=0,"",$C25))</f>
        <v>5</v>
      </c>
      <c r="E25" s="0" t="str">
        <f aca="false">IF($D25=1,"Scale-up: Saturation",IF($D25=2,"Scale-up: Aggressive",IF($D25=4,"Sustained",IF($D25=5,"Centrally Supported",IF($D25=6,"Sustained:Commodities",IF($D25=7,"Attained",IF($D25=8,"Not PEPFAR Supported",IF($D25="M","Military",IF($D25="NA","Not a PSNU","INVALID")))))))))</f>
        <v>Centrally Supported</v>
      </c>
    </row>
  </sheetData>
  <conditionalFormatting sqref="E4">
    <cfRule type="containsText" priority="2" operator="containsText" aboveAverage="0" equalAverage="0" bottom="0" percent="0" rank="0" text="BLANK PRIORITIZATIONS" dxfId="0"/>
  </conditionalFormatting>
  <conditionalFormatting sqref="C1:D1048576">
    <cfRule type="expression" priority="3" aboveAverage="0" equalAverage="0" bottom="0" percent="0" rank="0" text="" dxfId="1">
      <formula>AND(ROW(C1)&gt;14,$B1&lt;&gt;"",C1&lt;&gt;1,C1&lt;&gt;2,C1&lt;&gt;4,C1&lt;&gt;5,C1&lt;&gt;6,C1&lt;&gt;7,C1&lt;&gt;8,C1&lt;&gt;"M",C1&lt;&gt;"NA")</formula>
    </cfRule>
  </conditionalFormatting>
  <conditionalFormatting sqref="D1:D1048576">
    <cfRule type="expression" priority="4" aboveAverage="0" equalAverage="0" bottom="0" percent="0" rank="0" text="" dxfId="2">
      <formula>AND(ROW($D1)&gt;14,$D1="",$B1&lt;&gt;"")</formula>
    </cfRule>
    <cfRule type="expression" priority="5" aboveAverage="0" equalAverage="0" bottom="0" percent="0" rank="0" text="" dxfId="3">
      <formula>AND(ROW($D1)&gt;14,$D1&lt;&gt;$C1,$B1&lt;&gt;"")</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T27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39"/>
    <col collapsed="false" customWidth="true" hidden="false" outlineLevel="0" max="6" min="6" style="0" width="13.16"/>
    <col collapsed="false" customWidth="true" hidden="false" outlineLevel="0" max="72" min="7" style="0" width="11.83"/>
    <col collapsed="false" customWidth="true" hidden="false" outlineLevel="0" max="1025" min="73" style="0" width="10.61"/>
  </cols>
  <sheetData>
    <row r="1" customFormat="false" ht="31" hidden="false" customHeight="true" outlineLevel="0" collapsed="false">
      <c r="A1" s="54" t="s">
        <v>152</v>
      </c>
      <c r="B1" s="54"/>
      <c r="C1" s="54"/>
      <c r="D1" s="54"/>
      <c r="E1" s="54"/>
      <c r="F1" s="76" t="s">
        <v>153</v>
      </c>
      <c r="G1" s="77"/>
      <c r="H1" s="76"/>
      <c r="I1" s="78"/>
      <c r="J1" s="77"/>
      <c r="K1" s="78"/>
      <c r="L1" s="76"/>
      <c r="M1" s="79"/>
      <c r="N1" s="76"/>
      <c r="O1" s="78"/>
      <c r="P1" s="76"/>
      <c r="Q1" s="78"/>
      <c r="R1" s="76"/>
      <c r="S1" s="79"/>
      <c r="T1" s="80" t="s">
        <v>154</v>
      </c>
      <c r="U1" s="76"/>
      <c r="V1" s="76"/>
      <c r="W1" s="76"/>
      <c r="X1" s="81"/>
      <c r="Y1" s="79"/>
      <c r="Z1" s="81"/>
      <c r="AA1" s="76"/>
      <c r="AB1" s="76"/>
      <c r="AC1" s="80" t="s">
        <v>26</v>
      </c>
      <c r="AD1" s="76"/>
      <c r="AE1" s="76"/>
      <c r="AF1" s="82" t="s">
        <v>25</v>
      </c>
      <c r="AG1" s="79"/>
      <c r="AH1" s="79"/>
      <c r="AI1" s="83"/>
      <c r="AJ1" s="83"/>
      <c r="AK1" s="83"/>
      <c r="AL1" s="83"/>
      <c r="AM1" s="76"/>
      <c r="AN1" s="82" t="s">
        <v>27</v>
      </c>
      <c r="AO1" s="81"/>
      <c r="AP1" s="76"/>
      <c r="AQ1" s="82" t="s">
        <v>28</v>
      </c>
      <c r="AR1" s="81"/>
      <c r="AS1" s="81"/>
      <c r="AT1" s="76"/>
      <c r="AU1" s="76"/>
      <c r="AV1" s="83"/>
      <c r="AW1" s="82" t="s">
        <v>155</v>
      </c>
      <c r="AX1" s="83"/>
      <c r="AY1" s="83"/>
      <c r="AZ1" s="83"/>
      <c r="BA1" s="79"/>
      <c r="BB1" s="79"/>
      <c r="BC1" s="79"/>
      <c r="BD1" s="76"/>
      <c r="BE1" s="76"/>
      <c r="BF1" s="76"/>
      <c r="BG1" s="76"/>
      <c r="BH1" s="76"/>
      <c r="BI1" s="76"/>
      <c r="BJ1" s="76"/>
      <c r="BK1" s="76"/>
      <c r="BL1" s="79"/>
      <c r="BM1" s="79"/>
      <c r="BN1" s="79"/>
      <c r="BO1" s="79"/>
      <c r="BP1" s="79"/>
      <c r="BQ1" s="79"/>
      <c r="BR1" s="79"/>
      <c r="BS1" s="82" t="s">
        <v>17</v>
      </c>
      <c r="BT1" s="76"/>
    </row>
    <row r="2" customFormat="false" ht="19" hidden="false" customHeight="true" outlineLevel="0" collapsed="false">
      <c r="A2" s="57"/>
      <c r="B2" s="57"/>
      <c r="C2" s="57"/>
      <c r="D2" s="57"/>
      <c r="E2" s="57"/>
      <c r="F2" s="84" t="s">
        <v>120</v>
      </c>
      <c r="G2" s="85"/>
      <c r="H2" s="84"/>
      <c r="I2" s="85"/>
      <c r="J2" s="86"/>
      <c r="K2" s="85"/>
      <c r="L2" s="84"/>
      <c r="M2" s="87"/>
      <c r="N2" s="84"/>
      <c r="O2" s="85"/>
      <c r="P2" s="84"/>
      <c r="Q2" s="85"/>
      <c r="R2" s="84"/>
      <c r="S2" s="87"/>
      <c r="T2" s="88" t="s">
        <v>120</v>
      </c>
      <c r="U2" s="89"/>
      <c r="V2" s="89"/>
      <c r="W2" s="89"/>
      <c r="X2" s="87" t="s">
        <v>156</v>
      </c>
      <c r="Y2" s="87"/>
      <c r="Z2" s="87"/>
      <c r="AA2" s="84" t="s">
        <v>121</v>
      </c>
      <c r="AB2" s="84"/>
      <c r="AC2" s="90" t="s">
        <v>121</v>
      </c>
      <c r="AD2" s="84"/>
      <c r="AE2" s="84"/>
      <c r="AF2" s="91" t="s">
        <v>156</v>
      </c>
      <c r="AG2" s="87"/>
      <c r="AH2" s="87"/>
      <c r="AI2" s="89"/>
      <c r="AJ2" s="89"/>
      <c r="AK2" s="89" t="s">
        <v>120</v>
      </c>
      <c r="AL2" s="89"/>
      <c r="AM2" s="84" t="s">
        <v>121</v>
      </c>
      <c r="AN2" s="91" t="s">
        <v>156</v>
      </c>
      <c r="AO2" s="87"/>
      <c r="AP2" s="84" t="s">
        <v>121</v>
      </c>
      <c r="AQ2" s="91" t="s">
        <v>156</v>
      </c>
      <c r="AR2" s="87"/>
      <c r="AS2" s="87"/>
      <c r="AT2" s="84" t="s">
        <v>121</v>
      </c>
      <c r="AU2" s="84"/>
      <c r="AV2" s="89" t="s">
        <v>120</v>
      </c>
      <c r="AW2" s="91" t="s">
        <v>156</v>
      </c>
      <c r="AX2" s="89"/>
      <c r="AY2" s="89"/>
      <c r="AZ2" s="89"/>
      <c r="BA2" s="87"/>
      <c r="BB2" s="87"/>
      <c r="BC2" s="87"/>
      <c r="BD2" s="84" t="s">
        <v>121</v>
      </c>
      <c r="BE2" s="84"/>
      <c r="BF2" s="84"/>
      <c r="BG2" s="84"/>
      <c r="BH2" s="84"/>
      <c r="BI2" s="84"/>
      <c r="BJ2" s="84"/>
      <c r="BK2" s="84"/>
      <c r="BL2" s="87" t="s">
        <v>157</v>
      </c>
      <c r="BM2" s="87"/>
      <c r="BN2" s="87"/>
      <c r="BO2" s="87"/>
      <c r="BP2" s="87"/>
      <c r="BQ2" s="87"/>
      <c r="BR2" s="87"/>
      <c r="BS2" s="91" t="s">
        <v>156</v>
      </c>
      <c r="BT2" s="84" t="s">
        <v>121</v>
      </c>
    </row>
    <row r="3" customFormat="false" ht="117" hidden="false" customHeight="true" outlineLevel="0" collapsed="false">
      <c r="A3" s="61"/>
      <c r="B3" s="61"/>
      <c r="C3" s="61"/>
      <c r="D3" s="61"/>
      <c r="E3" s="61"/>
      <c r="F3" s="92" t="s">
        <v>158</v>
      </c>
      <c r="G3" s="93" t="s">
        <v>159</v>
      </c>
      <c r="H3" s="92" t="s">
        <v>160</v>
      </c>
      <c r="I3" s="93" t="s">
        <v>161</v>
      </c>
      <c r="J3" s="94" t="s">
        <v>162</v>
      </c>
      <c r="K3" s="93" t="s">
        <v>163</v>
      </c>
      <c r="L3" s="92" t="s">
        <v>164</v>
      </c>
      <c r="M3" s="95" t="s">
        <v>165</v>
      </c>
      <c r="N3" s="92" t="s">
        <v>166</v>
      </c>
      <c r="O3" s="93" t="s">
        <v>167</v>
      </c>
      <c r="P3" s="92" t="s">
        <v>168</v>
      </c>
      <c r="Q3" s="93" t="s">
        <v>169</v>
      </c>
      <c r="R3" s="92" t="s">
        <v>170</v>
      </c>
      <c r="S3" s="95" t="s">
        <v>171</v>
      </c>
      <c r="T3" s="96" t="s">
        <v>172</v>
      </c>
      <c r="U3" s="97" t="s">
        <v>173</v>
      </c>
      <c r="V3" s="97" t="s">
        <v>174</v>
      </c>
      <c r="W3" s="97" t="s">
        <v>175</v>
      </c>
      <c r="X3" s="98" t="s">
        <v>176</v>
      </c>
      <c r="Y3" s="95" t="s">
        <v>177</v>
      </c>
      <c r="Z3" s="99" t="s">
        <v>178</v>
      </c>
      <c r="AA3" s="100" t="s">
        <v>179</v>
      </c>
      <c r="AB3" s="100" t="s">
        <v>180</v>
      </c>
      <c r="AC3" s="101" t="s">
        <v>181</v>
      </c>
      <c r="AD3" s="100" t="s">
        <v>182</v>
      </c>
      <c r="AE3" s="100" t="s">
        <v>183</v>
      </c>
      <c r="AF3" s="102" t="s">
        <v>184</v>
      </c>
      <c r="AG3" s="99" t="s">
        <v>185</v>
      </c>
      <c r="AH3" s="99" t="s">
        <v>186</v>
      </c>
      <c r="AI3" s="97" t="s">
        <v>187</v>
      </c>
      <c r="AJ3" s="97" t="s">
        <v>188</v>
      </c>
      <c r="AK3" s="97" t="s">
        <v>189</v>
      </c>
      <c r="AL3" s="97" t="s">
        <v>190</v>
      </c>
      <c r="AM3" s="100" t="s">
        <v>191</v>
      </c>
      <c r="AN3" s="102" t="s">
        <v>192</v>
      </c>
      <c r="AO3" s="99" t="s">
        <v>193</v>
      </c>
      <c r="AP3" s="100" t="s">
        <v>194</v>
      </c>
      <c r="AQ3" s="96" t="s">
        <v>195</v>
      </c>
      <c r="AR3" s="99" t="s">
        <v>196</v>
      </c>
      <c r="AS3" s="99" t="s">
        <v>197</v>
      </c>
      <c r="AT3" s="100" t="s">
        <v>194</v>
      </c>
      <c r="AU3" s="100" t="s">
        <v>198</v>
      </c>
      <c r="AV3" s="97" t="s">
        <v>199</v>
      </c>
      <c r="AW3" s="102" t="s">
        <v>200</v>
      </c>
      <c r="AX3" s="97" t="s">
        <v>201</v>
      </c>
      <c r="AY3" s="97" t="s">
        <v>202</v>
      </c>
      <c r="AZ3" s="97" t="s">
        <v>203</v>
      </c>
      <c r="BA3" s="99" t="s">
        <v>204</v>
      </c>
      <c r="BB3" s="103" t="s">
        <v>205</v>
      </c>
      <c r="BC3" s="99" t="s">
        <v>206</v>
      </c>
      <c r="BD3" s="100" t="s">
        <v>207</v>
      </c>
      <c r="BE3" s="104" t="s">
        <v>208</v>
      </c>
      <c r="BF3" s="104" t="s">
        <v>209</v>
      </c>
      <c r="BG3" s="104" t="s">
        <v>210</v>
      </c>
      <c r="BH3" s="104" t="s">
        <v>211</v>
      </c>
      <c r="BI3" s="104" t="s">
        <v>212</v>
      </c>
      <c r="BJ3" s="104" t="s">
        <v>213</v>
      </c>
      <c r="BK3" s="104" t="s">
        <v>214</v>
      </c>
      <c r="BL3" s="103" t="s">
        <v>215</v>
      </c>
      <c r="BM3" s="97" t="s">
        <v>216</v>
      </c>
      <c r="BN3" s="97" t="s">
        <v>217</v>
      </c>
      <c r="BO3" s="97" t="s">
        <v>218</v>
      </c>
      <c r="BP3" s="97" t="s">
        <v>219</v>
      </c>
      <c r="BQ3" s="97" t="s">
        <v>220</v>
      </c>
      <c r="BR3" s="97" t="s">
        <v>221</v>
      </c>
      <c r="BS3" s="102" t="s">
        <v>222</v>
      </c>
      <c r="BT3" s="100" t="s">
        <v>223</v>
      </c>
    </row>
    <row r="4" customFormat="false" ht="15" hidden="false" customHeight="false" outlineLevel="0" collapsed="false">
      <c r="A4" s="65"/>
      <c r="B4" s="65"/>
      <c r="C4" s="65"/>
      <c r="D4" s="65" t="s">
        <v>125</v>
      </c>
      <c r="E4" s="65"/>
      <c r="F4" s="105" t="n">
        <f aca="false">SUBTOTAL(109,F$15:INDEX(F:F,COUNTA($B:$B)+14-COUNTA($B$1:$B$14)))</f>
        <v>2063405</v>
      </c>
      <c r="G4" s="106"/>
      <c r="H4" s="105" t="n">
        <f aca="false">SUBTOTAL(109,H$15:INDEX(H:H,COUNTA($B:$B)+14-COUNTA($B$1:$B$14)))</f>
        <v>335440</v>
      </c>
      <c r="I4" s="106"/>
      <c r="J4" s="107"/>
      <c r="K4" s="106"/>
      <c r="L4" s="105" t="n">
        <f aca="false">SUBTOTAL(109,L$15:INDEX(L:L,COUNTA($B:$B)+14-COUNTA($B$1:$B$14)))</f>
        <v>263719</v>
      </c>
      <c r="M4" s="108" t="n">
        <f aca="false">IF(OR(SUM($H4)&lt;=0,SUM($L4)&lt;=0),"",SUM($L4)/SUM($H4))</f>
        <v>0.786188290007155</v>
      </c>
      <c r="N4" s="105" t="n">
        <f aca="false">SUBTOTAL(109,N$15:INDEX(N:N,COUNTA($B:$B)+14-COUNTA($B$1:$B$14)))</f>
        <v>0</v>
      </c>
      <c r="O4" s="106"/>
      <c r="P4" s="105" t="n">
        <f aca="false">SUBTOTAL(109,P$15:INDEX(P:P,COUNTA($B:$B)+14-COUNTA($B$1:$B$14)))</f>
        <v>238227</v>
      </c>
      <c r="Q4" s="106"/>
      <c r="R4" s="105" t="n">
        <f aca="false">SUBTOTAL(109,R$15:INDEX(R:R,COUNTA($B:$B)+14-COUNTA($B$1:$B$14)))</f>
        <v>0</v>
      </c>
      <c r="S4" s="108" t="str">
        <f aca="false">IF(OR(SUM($P4)&lt;=0,SUM($R4)&lt;=0),"",SUM($R4)/$P4)</f>
        <v/>
      </c>
      <c r="T4" s="109" t="n">
        <f aca="false">SUBTOTAL(109,T$15:INDEX(T:T,COUNTA($B:$B)+14-COUNTA($B$1:$B$14)))</f>
        <v>0</v>
      </c>
      <c r="U4" s="109" t="n">
        <f aca="false">SUBTOTAL(109,U$15:INDEX(U:U,COUNTA($B:$B)+14-COUNTA($B$1:$B$14)))</f>
        <v>0</v>
      </c>
      <c r="V4" s="109" t="n">
        <f aca="false">SUBTOTAL(109,V$15:INDEX(V:V,COUNTA($B:$B)+14-COUNTA($B$1:$B$14)))</f>
        <v>0</v>
      </c>
      <c r="W4" s="110"/>
      <c r="X4" s="108"/>
      <c r="Y4" s="108"/>
      <c r="Z4" s="108"/>
      <c r="AA4" s="109" t="n">
        <f aca="false">SUBTOTAL(109,AA$15:INDEX(AA:AA,COUNTA($B:$B)+14-COUNTA($B$1:$B$14)))</f>
        <v>304302</v>
      </c>
      <c r="AB4" s="109" t="n">
        <f aca="false">SUBTOTAL(109,AB$15:INDEX(AB:AB,COUNTA($B:$B)+14-COUNTA($B$1:$B$14)))</f>
        <v>65581</v>
      </c>
      <c r="AC4" s="111" t="n">
        <f aca="false">SUBTOTAL(109,AC$15:INDEX(AC:AC,COUNTA($B:$B)+14-COUNTA($B$1:$B$14)))</f>
        <v>200930</v>
      </c>
      <c r="AD4" s="105" t="n">
        <f aca="false">SUBTOTAL(109,AD$15:INDEX(AD:AD,COUNTA($B:$B)+14-COUNTA($B$1:$B$14)))</f>
        <v>206967</v>
      </c>
      <c r="AE4" s="105" t="n">
        <f aca="false">SUBTOTAL(109,AE$15:INDEX(AE:AE,COUNTA($B:$B)+14-COUNTA($B$1:$B$14)))</f>
        <v>212617</v>
      </c>
      <c r="AF4" s="112"/>
      <c r="AG4" s="113"/>
      <c r="AH4" s="113"/>
      <c r="AI4" s="109" t="n">
        <f aca="false">SUBTOTAL(109,AI$15:INDEX(AI:AI,COUNTA($B:$B)+14-COUNTA($B$1:$B$14)))</f>
        <v>0</v>
      </c>
      <c r="AJ4" s="109" t="n">
        <f aca="false">SUBTOTAL(109,AJ$15:INDEX(AJ:AJ,COUNTA($B:$B)+14-COUNTA($B$1:$B$14)))</f>
        <v>207075</v>
      </c>
      <c r="AK4" s="109" t="n">
        <f aca="false">SUBTOTAL(109,AK$15:INDEX(AK:AK,COUNTA($B:$B)+14-COUNTA($B$1:$B$14)))</f>
        <v>0</v>
      </c>
      <c r="AL4" s="109" t="n">
        <f aca="false">SUBTOTAL(109,AL$15:INDEX(AL:AL,COUNTA($B:$B)+14-COUNTA($B$1:$B$14)))</f>
        <v>0</v>
      </c>
      <c r="AM4" s="105" t="n">
        <f aca="false">SUBTOTAL(109,AM$15:INDEX(AM:AM,COUNTA($B:$B)+14-COUNTA($B$1:$B$14)))</f>
        <v>207089</v>
      </c>
      <c r="AN4" s="114"/>
      <c r="AO4" s="108"/>
      <c r="AP4" s="105" t="n">
        <f aca="false">SUBTOTAL(109,AP$15:INDEX(AP:AP,COUNTA($B:$B)+14-COUNTA($B$1:$B$14)))</f>
        <v>150633</v>
      </c>
      <c r="AQ4" s="114"/>
      <c r="AR4" s="108" t="n">
        <f aca="false">IF(SUM($AP$4)=0,"",$AT$4/$AP$4)</f>
        <v>0.950090617593754</v>
      </c>
      <c r="AS4" s="108"/>
      <c r="AT4" s="105" t="n">
        <f aca="false">SUBTOTAL(109,AT$15:INDEX(AT:AT,COUNTA($B:$B)+14-COUNTA($B$1:$B$14)))</f>
        <v>143115</v>
      </c>
      <c r="AU4" s="105" t="n">
        <f aca="false">SUBTOTAL(109,AU$15:INDEX(AU:AU,COUNTA($B:$B)+14-COUNTA($B$1:$B$14)))</f>
        <v>289093</v>
      </c>
      <c r="AV4" s="109" t="n">
        <f aca="false">SUBTOTAL(109,AV$15:INDEX(AV:AV,COUNTA($B:$B)+14-COUNTA($B$1:$B$14)))</f>
        <v>289093</v>
      </c>
      <c r="AW4" s="114"/>
      <c r="AX4" s="109" t="n">
        <f aca="false">SUBTOTAL(109,AX$15:INDEX(AX:AX,COUNTA($B:$B)+14-COUNTA($B$1:$B$14)))</f>
        <v>0</v>
      </c>
      <c r="AY4" s="109" t="n">
        <f aca="false">SUBTOTAL(109,AY$15:INDEX(AY:AY,COUNTA($B:$B)+14-COUNTA($B$1:$B$14)))</f>
        <v>207089</v>
      </c>
      <c r="AZ4" s="109"/>
      <c r="BA4" s="113"/>
      <c r="BB4" s="113"/>
      <c r="BC4" s="113"/>
      <c r="BD4" s="105" t="n">
        <f aca="false">SUBTOTAL(109,BD$15:INDEX(BD:BD,COUNTA($B:$B)+14-COUNTA($B$1:$B$14)))</f>
        <v>213654</v>
      </c>
      <c r="BE4" s="105" t="n">
        <f aca="false">SUBTOTAL(109,BE$15:INDEX(BE:BE,COUNTA($B:$B)+14-COUNTA($B$1:$B$14)))</f>
        <v>753</v>
      </c>
      <c r="BF4" s="105" t="n">
        <f aca="false">SUBTOTAL(109,BF$15:INDEX(BF:BF,COUNTA($B:$B)+14-COUNTA($B$1:$B$14)))</f>
        <v>-859556</v>
      </c>
      <c r="BG4" s="105" t="n">
        <f aca="false">SUBTOTAL(109,BG$15:INDEX(BG:BG,COUNTA($B:$B)+14-COUNTA($B$1:$B$14)))</f>
        <v>0</v>
      </c>
      <c r="BH4" s="105" t="n">
        <f aca="false">SUBTOTAL(109,BH$15:INDEX(BH:BH,COUNTA($B:$B)+14-COUNTA($B$1:$B$14)))</f>
        <v>0</v>
      </c>
      <c r="BI4" s="105" t="n">
        <f aca="false">SUBTOTAL(109,BI$15:INDEX(BI:BI,COUNTA($B:$B)+14-COUNTA($B$1:$B$14)))</f>
        <v>-17484</v>
      </c>
      <c r="BJ4" s="105" t="n">
        <f aca="false">SUBTOTAL(109,BJ$15:INDEX(BJ:BJ,COUNTA($B:$B)+14-COUNTA($B$1:$B$14)))</f>
        <v>211502</v>
      </c>
      <c r="BK4" s="105" t="n">
        <f aca="false">SUBTOTAL(109,BK$15:INDEX(BK:BK,COUNTA($B:$B)+14-COUNTA($B$1:$B$14)))</f>
        <v>2188957</v>
      </c>
      <c r="BL4" s="113"/>
      <c r="BM4" s="113"/>
      <c r="BN4" s="113"/>
      <c r="BO4" s="113"/>
      <c r="BP4" s="113"/>
      <c r="BQ4" s="113"/>
      <c r="BR4" s="113"/>
      <c r="BS4" s="112"/>
      <c r="BT4" s="105" t="n">
        <f aca="false">SUBTOTAL(109,BT$15:INDEX(BT:BT,COUNTA($B:$B)+14-COUNTA($B$1:$B$14)))</f>
        <v>553077</v>
      </c>
    </row>
    <row r="5" customFormat="false" ht="12.8" hidden="false" customHeight="false" outlineLevel="0" collapsed="false">
      <c r="A5" s="69" t="s">
        <v>126</v>
      </c>
      <c r="B5" s="69" t="s">
        <v>126</v>
      </c>
      <c r="C5" s="69" t="s">
        <v>126</v>
      </c>
      <c r="D5" s="69" t="s">
        <v>126</v>
      </c>
      <c r="E5" s="69" t="s">
        <v>126</v>
      </c>
      <c r="F5" s="115" t="s">
        <v>127</v>
      </c>
      <c r="G5" s="116" t="s">
        <v>126</v>
      </c>
      <c r="H5" s="115" t="s">
        <v>127</v>
      </c>
      <c r="I5" s="116" t="s">
        <v>126</v>
      </c>
      <c r="J5" s="117" t="s">
        <v>127</v>
      </c>
      <c r="K5" s="116" t="s">
        <v>126</v>
      </c>
      <c r="L5" s="115" t="s">
        <v>224</v>
      </c>
      <c r="M5" s="118" t="s">
        <v>126</v>
      </c>
      <c r="N5" s="115" t="s">
        <v>224</v>
      </c>
      <c r="O5" s="116" t="s">
        <v>126</v>
      </c>
      <c r="P5" s="115" t="s">
        <v>224</v>
      </c>
      <c r="Q5" s="116" t="s">
        <v>126</v>
      </c>
      <c r="R5" s="115" t="s">
        <v>224</v>
      </c>
      <c r="S5" s="118" t="s">
        <v>126</v>
      </c>
      <c r="T5" s="119" t="s">
        <v>225</v>
      </c>
      <c r="U5" s="73" t="s">
        <v>225</v>
      </c>
      <c r="V5" s="73" t="s">
        <v>126</v>
      </c>
      <c r="W5" s="73" t="s">
        <v>126</v>
      </c>
      <c r="X5" s="118" t="s">
        <v>126</v>
      </c>
      <c r="Y5" s="118" t="s">
        <v>126</v>
      </c>
      <c r="Z5" s="118" t="s">
        <v>126</v>
      </c>
      <c r="AA5" s="115" t="s">
        <v>224</v>
      </c>
      <c r="AB5" s="115" t="s">
        <v>126</v>
      </c>
      <c r="AC5" s="120" t="s">
        <v>126</v>
      </c>
      <c r="AD5" s="121" t="s">
        <v>126</v>
      </c>
      <c r="AE5" s="115" t="s">
        <v>225</v>
      </c>
      <c r="AF5" s="122" t="s">
        <v>126</v>
      </c>
      <c r="AG5" s="123" t="s">
        <v>126</v>
      </c>
      <c r="AH5" s="123" t="s">
        <v>126</v>
      </c>
      <c r="AI5" s="124" t="s">
        <v>126</v>
      </c>
      <c r="AJ5" s="124" t="s">
        <v>126</v>
      </c>
      <c r="AK5" s="124" t="s">
        <v>225</v>
      </c>
      <c r="AL5" s="124" t="s">
        <v>225</v>
      </c>
      <c r="AM5" s="115" t="s">
        <v>225</v>
      </c>
      <c r="AN5" s="125" t="s">
        <v>126</v>
      </c>
      <c r="AO5" s="118" t="s">
        <v>126</v>
      </c>
      <c r="AP5" s="115" t="s">
        <v>225</v>
      </c>
      <c r="AQ5" s="125" t="s">
        <v>126</v>
      </c>
      <c r="AR5" s="118" t="s">
        <v>126</v>
      </c>
      <c r="AS5" s="118" t="s">
        <v>126</v>
      </c>
      <c r="AT5" s="115" t="s">
        <v>225</v>
      </c>
      <c r="AU5" s="115" t="s">
        <v>224</v>
      </c>
      <c r="AV5" s="73" t="s">
        <v>126</v>
      </c>
      <c r="AW5" s="125" t="s">
        <v>126</v>
      </c>
      <c r="AX5" s="73" t="s">
        <v>126</v>
      </c>
      <c r="AY5" s="73" t="s">
        <v>126</v>
      </c>
      <c r="AZ5" s="73" t="s">
        <v>126</v>
      </c>
      <c r="BA5" s="118" t="s">
        <v>126</v>
      </c>
      <c r="BB5" s="118" t="s">
        <v>126</v>
      </c>
      <c r="BC5" s="118" t="s">
        <v>126</v>
      </c>
      <c r="BD5" s="115" t="s">
        <v>126</v>
      </c>
      <c r="BE5" s="115" t="s">
        <v>126</v>
      </c>
      <c r="BF5" s="115" t="s">
        <v>126</v>
      </c>
      <c r="BG5" s="115" t="s">
        <v>126</v>
      </c>
      <c r="BH5" s="115" t="s">
        <v>126</v>
      </c>
      <c r="BI5" s="115" t="s">
        <v>126</v>
      </c>
      <c r="BJ5" s="115" t="s">
        <v>126</v>
      </c>
      <c r="BK5" s="115" t="s">
        <v>126</v>
      </c>
      <c r="BL5" s="118" t="s">
        <v>126</v>
      </c>
      <c r="BM5" s="118" t="s">
        <v>126</v>
      </c>
      <c r="BN5" s="118" t="s">
        <v>126</v>
      </c>
      <c r="BO5" s="118" t="s">
        <v>126</v>
      </c>
      <c r="BP5" s="118" t="s">
        <v>126</v>
      </c>
      <c r="BQ5" s="118" t="s">
        <v>126</v>
      </c>
      <c r="BR5" s="118" t="s">
        <v>126</v>
      </c>
      <c r="BS5" s="125" t="s">
        <v>126</v>
      </c>
      <c r="BT5" s="115" t="s">
        <v>224</v>
      </c>
    </row>
    <row r="6" customFormat="false" ht="12.8" hidden="false" customHeight="false" outlineLevel="0" collapsed="false">
      <c r="A6" s="69" t="s">
        <v>128</v>
      </c>
      <c r="B6" s="69" t="s">
        <v>128</v>
      </c>
      <c r="C6" s="69" t="s">
        <v>128</v>
      </c>
      <c r="D6" s="69" t="s">
        <v>128</v>
      </c>
      <c r="E6" s="69" t="s">
        <v>128</v>
      </c>
      <c r="F6" s="115" t="s">
        <v>130</v>
      </c>
      <c r="G6" s="116" t="s">
        <v>131</v>
      </c>
      <c r="H6" s="115" t="s">
        <v>130</v>
      </c>
      <c r="I6" s="116" t="s">
        <v>131</v>
      </c>
      <c r="J6" s="117" t="s">
        <v>130</v>
      </c>
      <c r="K6" s="116" t="s">
        <v>131</v>
      </c>
      <c r="L6" s="115" t="s">
        <v>130</v>
      </c>
      <c r="M6" s="118" t="s">
        <v>131</v>
      </c>
      <c r="N6" s="115" t="s">
        <v>226</v>
      </c>
      <c r="O6" s="116" t="s">
        <v>131</v>
      </c>
      <c r="P6" s="115" t="s">
        <v>130</v>
      </c>
      <c r="Q6" s="116" t="s">
        <v>131</v>
      </c>
      <c r="R6" s="115" t="s">
        <v>130</v>
      </c>
      <c r="S6" s="118" t="s">
        <v>131</v>
      </c>
      <c r="T6" s="119" t="s">
        <v>129</v>
      </c>
      <c r="U6" s="73" t="s">
        <v>129</v>
      </c>
      <c r="V6" s="73" t="s">
        <v>131</v>
      </c>
      <c r="W6" s="73" t="s">
        <v>131</v>
      </c>
      <c r="X6" s="118" t="s">
        <v>227</v>
      </c>
      <c r="Y6" s="118" t="s">
        <v>131</v>
      </c>
      <c r="Z6" s="118" t="s">
        <v>227</v>
      </c>
      <c r="AA6" s="115" t="s">
        <v>130</v>
      </c>
      <c r="AB6" s="115" t="s">
        <v>131</v>
      </c>
      <c r="AC6" s="120" t="s">
        <v>131</v>
      </c>
      <c r="AD6" s="121" t="s">
        <v>131</v>
      </c>
      <c r="AE6" s="115" t="s">
        <v>130</v>
      </c>
      <c r="AF6" s="122" t="s">
        <v>227</v>
      </c>
      <c r="AG6" s="123" t="s">
        <v>227</v>
      </c>
      <c r="AH6" s="123" t="s">
        <v>227</v>
      </c>
      <c r="AI6" s="124" t="s">
        <v>131</v>
      </c>
      <c r="AJ6" s="124" t="s">
        <v>131</v>
      </c>
      <c r="AK6" s="124" t="s">
        <v>129</v>
      </c>
      <c r="AL6" s="124" t="s">
        <v>129</v>
      </c>
      <c r="AM6" s="115" t="s">
        <v>130</v>
      </c>
      <c r="AN6" s="125" t="s">
        <v>227</v>
      </c>
      <c r="AO6" s="118" t="s">
        <v>227</v>
      </c>
      <c r="AP6" s="115" t="s">
        <v>130</v>
      </c>
      <c r="AQ6" s="125" t="s">
        <v>228</v>
      </c>
      <c r="AR6" s="118" t="s">
        <v>227</v>
      </c>
      <c r="AS6" s="118" t="s">
        <v>227</v>
      </c>
      <c r="AT6" s="115" t="s">
        <v>130</v>
      </c>
      <c r="AU6" s="115" t="s">
        <v>130</v>
      </c>
      <c r="AV6" s="73" t="s">
        <v>131</v>
      </c>
      <c r="AW6" s="125" t="s">
        <v>227</v>
      </c>
      <c r="AX6" s="73" t="s">
        <v>131</v>
      </c>
      <c r="AY6" s="73" t="s">
        <v>131</v>
      </c>
      <c r="AZ6" s="73" t="s">
        <v>228</v>
      </c>
      <c r="BA6" s="118" t="s">
        <v>227</v>
      </c>
      <c r="BB6" s="118" t="s">
        <v>227</v>
      </c>
      <c r="BC6" s="118" t="s">
        <v>227</v>
      </c>
      <c r="BD6" s="115" t="s">
        <v>131</v>
      </c>
      <c r="BE6" s="115" t="s">
        <v>131</v>
      </c>
      <c r="BF6" s="115" t="s">
        <v>131</v>
      </c>
      <c r="BG6" s="115" t="s">
        <v>131</v>
      </c>
      <c r="BH6" s="115" t="s">
        <v>131</v>
      </c>
      <c r="BI6" s="115" t="s">
        <v>131</v>
      </c>
      <c r="BJ6" s="115" t="s">
        <v>131</v>
      </c>
      <c r="BK6" s="115" t="s">
        <v>131</v>
      </c>
      <c r="BL6" s="118" t="s">
        <v>131</v>
      </c>
      <c r="BM6" s="118" t="s">
        <v>131</v>
      </c>
      <c r="BN6" s="118" t="s">
        <v>131</v>
      </c>
      <c r="BO6" s="118" t="s">
        <v>131</v>
      </c>
      <c r="BP6" s="118" t="s">
        <v>131</v>
      </c>
      <c r="BQ6" s="118" t="s">
        <v>131</v>
      </c>
      <c r="BR6" s="118" t="s">
        <v>131</v>
      </c>
      <c r="BS6" s="125" t="s">
        <v>227</v>
      </c>
      <c r="BT6" s="115" t="s">
        <v>130</v>
      </c>
    </row>
    <row r="7" customFormat="false" ht="12.8" hidden="false" customHeight="false" outlineLevel="0" collapsed="false">
      <c r="A7" s="69" t="s">
        <v>132</v>
      </c>
      <c r="B7" s="69" t="s">
        <v>132</v>
      </c>
      <c r="C7" s="69" t="s">
        <v>132</v>
      </c>
      <c r="D7" s="69" t="s">
        <v>132</v>
      </c>
      <c r="E7" s="69" t="s">
        <v>132</v>
      </c>
      <c r="F7" s="115" t="s">
        <v>133</v>
      </c>
      <c r="G7" s="116" t="s">
        <v>229</v>
      </c>
      <c r="H7" s="115" t="s">
        <v>133</v>
      </c>
      <c r="I7" s="116" t="s">
        <v>229</v>
      </c>
      <c r="J7" s="117" t="s">
        <v>229</v>
      </c>
      <c r="K7" s="116" t="s">
        <v>229</v>
      </c>
      <c r="L7" s="115" t="s">
        <v>133</v>
      </c>
      <c r="M7" s="118" t="s">
        <v>229</v>
      </c>
      <c r="N7" s="115" t="s">
        <v>133</v>
      </c>
      <c r="O7" s="116" t="s">
        <v>229</v>
      </c>
      <c r="P7" s="115" t="s">
        <v>133</v>
      </c>
      <c r="Q7" s="116" t="s">
        <v>229</v>
      </c>
      <c r="R7" s="115" t="s">
        <v>133</v>
      </c>
      <c r="S7" s="118" t="s">
        <v>229</v>
      </c>
      <c r="T7" s="119" t="s">
        <v>133</v>
      </c>
      <c r="U7" s="73" t="s">
        <v>133</v>
      </c>
      <c r="V7" s="73" t="s">
        <v>133</v>
      </c>
      <c r="W7" s="73" t="s">
        <v>229</v>
      </c>
      <c r="X7" s="118" t="s">
        <v>229</v>
      </c>
      <c r="Y7" s="118" t="s">
        <v>229</v>
      </c>
      <c r="Z7" s="118" t="s">
        <v>229</v>
      </c>
      <c r="AA7" s="115" t="s">
        <v>133</v>
      </c>
      <c r="AB7" s="115" t="s">
        <v>133</v>
      </c>
      <c r="AC7" s="120" t="s">
        <v>133</v>
      </c>
      <c r="AD7" s="121" t="s">
        <v>133</v>
      </c>
      <c r="AE7" s="115" t="s">
        <v>133</v>
      </c>
      <c r="AF7" s="122" t="s">
        <v>229</v>
      </c>
      <c r="AG7" s="123" t="s">
        <v>229</v>
      </c>
      <c r="AH7" s="123" t="s">
        <v>229</v>
      </c>
      <c r="AI7" s="124" t="s">
        <v>133</v>
      </c>
      <c r="AJ7" s="124" t="s">
        <v>133</v>
      </c>
      <c r="AK7" s="124" t="s">
        <v>133</v>
      </c>
      <c r="AL7" s="124" t="s">
        <v>133</v>
      </c>
      <c r="AM7" s="115" t="s">
        <v>133</v>
      </c>
      <c r="AN7" s="125" t="s">
        <v>229</v>
      </c>
      <c r="AO7" s="118" t="s">
        <v>229</v>
      </c>
      <c r="AP7" s="115" t="s">
        <v>133</v>
      </c>
      <c r="AQ7" s="125" t="s">
        <v>229</v>
      </c>
      <c r="AR7" s="118" t="s">
        <v>229</v>
      </c>
      <c r="AS7" s="118" t="s">
        <v>229</v>
      </c>
      <c r="AT7" s="115" t="s">
        <v>133</v>
      </c>
      <c r="AU7" s="115" t="s">
        <v>133</v>
      </c>
      <c r="AV7" s="73" t="s">
        <v>133</v>
      </c>
      <c r="AW7" s="125" t="s">
        <v>229</v>
      </c>
      <c r="AX7" s="73" t="s">
        <v>133</v>
      </c>
      <c r="AY7" s="73" t="s">
        <v>133</v>
      </c>
      <c r="AZ7" s="73" t="s">
        <v>229</v>
      </c>
      <c r="BA7" s="118" t="s">
        <v>229</v>
      </c>
      <c r="BB7" s="118" t="s">
        <v>229</v>
      </c>
      <c r="BC7" s="118" t="s">
        <v>229</v>
      </c>
      <c r="BD7" s="115" t="s">
        <v>133</v>
      </c>
      <c r="BE7" s="115" t="s">
        <v>133</v>
      </c>
      <c r="BF7" s="115" t="s">
        <v>133</v>
      </c>
      <c r="BG7" s="115" t="s">
        <v>133</v>
      </c>
      <c r="BH7" s="115" t="s">
        <v>133</v>
      </c>
      <c r="BI7" s="115" t="s">
        <v>133</v>
      </c>
      <c r="BJ7" s="115" t="s">
        <v>133</v>
      </c>
      <c r="BK7" s="115" t="s">
        <v>133</v>
      </c>
      <c r="BL7" s="118" t="s">
        <v>229</v>
      </c>
      <c r="BM7" s="118" t="s">
        <v>229</v>
      </c>
      <c r="BN7" s="118" t="s">
        <v>229</v>
      </c>
      <c r="BO7" s="118" t="s">
        <v>229</v>
      </c>
      <c r="BP7" s="118" t="s">
        <v>229</v>
      </c>
      <c r="BQ7" s="118" t="s">
        <v>229</v>
      </c>
      <c r="BR7" s="118" t="s">
        <v>229</v>
      </c>
      <c r="BS7" s="125" t="s">
        <v>229</v>
      </c>
      <c r="BT7" s="115" t="s">
        <v>133</v>
      </c>
    </row>
    <row r="8" customFormat="false" ht="12.8" hidden="false" customHeight="false" outlineLevel="0" collapsed="false">
      <c r="F8" s="115" t="s">
        <v>53</v>
      </c>
      <c r="H8" s="115" t="s">
        <v>98</v>
      </c>
      <c r="J8" s="117" t="s">
        <v>92</v>
      </c>
      <c r="L8" s="115" t="s">
        <v>94</v>
      </c>
      <c r="N8" s="115" t="s">
        <v>230</v>
      </c>
      <c r="P8" s="115" t="s">
        <v>100</v>
      </c>
      <c r="R8" s="115" t="s">
        <v>96</v>
      </c>
      <c r="T8" s="119" t="s">
        <v>231</v>
      </c>
      <c r="U8" s="73" t="s">
        <v>232</v>
      </c>
      <c r="AA8" s="115" t="s">
        <v>100</v>
      </c>
      <c r="AB8" s="115"/>
      <c r="AE8" s="115" t="s">
        <v>232</v>
      </c>
      <c r="AK8" s="124" t="s">
        <v>233</v>
      </c>
      <c r="AL8" s="124" t="s">
        <v>234</v>
      </c>
      <c r="AM8" s="115" t="s">
        <v>234</v>
      </c>
      <c r="AP8" s="115" t="s">
        <v>235</v>
      </c>
      <c r="AT8" s="115" t="s">
        <v>236</v>
      </c>
      <c r="AU8" s="115" t="s">
        <v>96</v>
      </c>
      <c r="BF8" s="115"/>
      <c r="BH8" s="115"/>
      <c r="BI8" s="115"/>
      <c r="BJ8" s="115"/>
      <c r="BT8" s="115" t="s">
        <v>94</v>
      </c>
    </row>
    <row r="9" customFormat="false" ht="12.8" hidden="false" customHeight="false" outlineLevel="0" collapsed="false">
      <c r="T9" s="119" t="s">
        <v>237</v>
      </c>
      <c r="U9" s="73" t="s">
        <v>238</v>
      </c>
      <c r="AA9" s="115"/>
      <c r="AB9" s="115"/>
      <c r="AE9" s="115" t="s">
        <v>238</v>
      </c>
      <c r="AK9" s="124" t="s">
        <v>239</v>
      </c>
      <c r="AL9" s="124" t="s">
        <v>240</v>
      </c>
      <c r="AM9" s="115" t="s">
        <v>240</v>
      </c>
      <c r="AP9" s="115" t="s">
        <v>241</v>
      </c>
      <c r="AT9" s="115" t="s">
        <v>242</v>
      </c>
      <c r="BF9" s="115"/>
      <c r="BH9" s="115"/>
      <c r="BI9" s="115"/>
      <c r="BJ9" s="115"/>
      <c r="BT9" s="115"/>
    </row>
    <row r="10" customFormat="false" ht="12.8" hidden="false" customHeight="false" outlineLevel="0" collapsed="false">
      <c r="H10" s="115" t="s">
        <v>243</v>
      </c>
      <c r="L10" s="115" t="s">
        <v>243</v>
      </c>
      <c r="N10" s="115" t="s">
        <v>243</v>
      </c>
      <c r="P10" s="115" t="s">
        <v>243</v>
      </c>
      <c r="R10" s="115" t="s">
        <v>243</v>
      </c>
      <c r="T10" s="119" t="s">
        <v>243</v>
      </c>
      <c r="U10" s="73" t="s">
        <v>243</v>
      </c>
      <c r="AA10" s="115" t="s">
        <v>243</v>
      </c>
      <c r="AB10" s="115"/>
      <c r="AE10" s="115" t="s">
        <v>243</v>
      </c>
      <c r="AK10" s="124" t="s">
        <v>243</v>
      </c>
      <c r="AL10" s="124" t="s">
        <v>243</v>
      </c>
      <c r="AM10" s="115" t="s">
        <v>243</v>
      </c>
      <c r="AP10" s="115" t="s">
        <v>244</v>
      </c>
      <c r="AT10" s="115" t="s">
        <v>244</v>
      </c>
      <c r="AU10" s="115" t="s">
        <v>243</v>
      </c>
      <c r="BF10" s="115"/>
      <c r="BH10" s="115"/>
      <c r="BI10" s="115"/>
      <c r="BJ10" s="115"/>
      <c r="BT10" s="115" t="s">
        <v>243</v>
      </c>
    </row>
    <row r="11" customFormat="false" ht="12.8" hidden="false" customHeight="false" outlineLevel="0" collapsed="false">
      <c r="F11" s="115" t="s">
        <v>245</v>
      </c>
      <c r="G11" s="116" t="s">
        <v>245</v>
      </c>
      <c r="H11" s="115" t="s">
        <v>245</v>
      </c>
      <c r="I11" s="116" t="s">
        <v>245</v>
      </c>
      <c r="J11" s="117" t="s">
        <v>245</v>
      </c>
      <c r="K11" s="116" t="s">
        <v>245</v>
      </c>
      <c r="L11" s="115" t="s">
        <v>245</v>
      </c>
      <c r="M11" s="118" t="s">
        <v>245</v>
      </c>
      <c r="N11" s="115" t="s">
        <v>245</v>
      </c>
      <c r="O11" s="116" t="s">
        <v>245</v>
      </c>
      <c r="P11" s="115" t="s">
        <v>245</v>
      </c>
      <c r="Q11" s="116" t="s">
        <v>245</v>
      </c>
      <c r="R11" s="115" t="s">
        <v>245</v>
      </c>
      <c r="S11" s="118" t="s">
        <v>245</v>
      </c>
      <c r="T11" s="119" t="s">
        <v>245</v>
      </c>
      <c r="U11" s="73" t="s">
        <v>245</v>
      </c>
      <c r="V11" s="73" t="s">
        <v>245</v>
      </c>
      <c r="W11" s="73" t="s">
        <v>245</v>
      </c>
      <c r="X11" s="118" t="s">
        <v>245</v>
      </c>
      <c r="Y11" s="118" t="s">
        <v>245</v>
      </c>
      <c r="Z11" s="118" t="s">
        <v>245</v>
      </c>
      <c r="AA11" s="115" t="s">
        <v>245</v>
      </c>
      <c r="AB11" s="115" t="s">
        <v>245</v>
      </c>
      <c r="AC11" s="126" t="s">
        <v>89</v>
      </c>
      <c r="AD11" s="115" t="s">
        <v>245</v>
      </c>
      <c r="AE11" s="115" t="s">
        <v>245</v>
      </c>
      <c r="AF11" s="122" t="s">
        <v>246</v>
      </c>
      <c r="AG11" s="123" t="s">
        <v>245</v>
      </c>
      <c r="AH11" s="123" t="s">
        <v>245</v>
      </c>
      <c r="AI11" s="124" t="s">
        <v>245</v>
      </c>
      <c r="AJ11" s="124" t="s">
        <v>245</v>
      </c>
      <c r="AK11" s="124" t="s">
        <v>245</v>
      </c>
      <c r="AL11" s="124" t="s">
        <v>245</v>
      </c>
      <c r="AM11" s="115" t="s">
        <v>245</v>
      </c>
      <c r="AN11" s="125" t="s">
        <v>245</v>
      </c>
      <c r="AO11" s="118" t="s">
        <v>245</v>
      </c>
      <c r="AP11" s="115" t="s">
        <v>245</v>
      </c>
      <c r="AQ11" s="125" t="s">
        <v>245</v>
      </c>
      <c r="AR11" s="118" t="s">
        <v>245</v>
      </c>
      <c r="AS11" s="118" t="s">
        <v>245</v>
      </c>
      <c r="AT11" s="115" t="s">
        <v>245</v>
      </c>
      <c r="AU11" s="115" t="s">
        <v>245</v>
      </c>
      <c r="AV11" s="73" t="s">
        <v>245</v>
      </c>
      <c r="AW11" s="125" t="s">
        <v>245</v>
      </c>
      <c r="AX11" s="73" t="s">
        <v>245</v>
      </c>
      <c r="AY11" s="73" t="s">
        <v>245</v>
      </c>
      <c r="AZ11" s="73" t="s">
        <v>245</v>
      </c>
      <c r="BA11" s="118" t="s">
        <v>245</v>
      </c>
      <c r="BB11" s="118" t="s">
        <v>246</v>
      </c>
      <c r="BC11" s="118" t="s">
        <v>246</v>
      </c>
      <c r="BD11" s="115" t="s">
        <v>245</v>
      </c>
      <c r="BE11" s="115" t="s">
        <v>246</v>
      </c>
      <c r="BF11" s="115" t="s">
        <v>247</v>
      </c>
      <c r="BG11" s="115" t="s">
        <v>247</v>
      </c>
      <c r="BH11" s="115" t="s">
        <v>246</v>
      </c>
      <c r="BI11" s="115" t="s">
        <v>248</v>
      </c>
      <c r="BJ11" s="115" t="s">
        <v>89</v>
      </c>
      <c r="BK11" s="115" t="s">
        <v>245</v>
      </c>
      <c r="BL11" s="118" t="s">
        <v>246</v>
      </c>
      <c r="BM11" s="118" t="s">
        <v>247</v>
      </c>
      <c r="BN11" s="118" t="s">
        <v>247</v>
      </c>
      <c r="BO11" s="118" t="s">
        <v>246</v>
      </c>
      <c r="BP11" s="118" t="s">
        <v>248</v>
      </c>
      <c r="BQ11" s="118" t="s">
        <v>89</v>
      </c>
      <c r="BR11" s="118" t="s">
        <v>246</v>
      </c>
      <c r="BS11" s="125" t="s">
        <v>245</v>
      </c>
      <c r="BT11" s="115" t="s">
        <v>245</v>
      </c>
    </row>
    <row r="12" customFormat="false" ht="12.8" hidden="false" customHeight="false" outlineLevel="0" collapsed="false">
      <c r="F12" s="115" t="s">
        <v>249</v>
      </c>
      <c r="G12" s="116" t="s">
        <v>249</v>
      </c>
      <c r="H12" s="115" t="s">
        <v>249</v>
      </c>
      <c r="I12" s="116" t="s">
        <v>249</v>
      </c>
      <c r="J12" s="117" t="s">
        <v>249</v>
      </c>
      <c r="K12" s="116" t="s">
        <v>249</v>
      </c>
      <c r="L12" s="115" t="s">
        <v>249</v>
      </c>
      <c r="M12" s="118" t="s">
        <v>249</v>
      </c>
      <c r="N12" s="115" t="s">
        <v>249</v>
      </c>
      <c r="O12" s="116" t="s">
        <v>249</v>
      </c>
      <c r="P12" s="115" t="s">
        <v>249</v>
      </c>
      <c r="Q12" s="116" t="s">
        <v>249</v>
      </c>
      <c r="R12" s="115" t="s">
        <v>249</v>
      </c>
      <c r="S12" s="118" t="s">
        <v>249</v>
      </c>
      <c r="T12" s="119" t="s">
        <v>249</v>
      </c>
      <c r="U12" s="73" t="s">
        <v>249</v>
      </c>
      <c r="V12" s="73" t="s">
        <v>249</v>
      </c>
      <c r="W12" s="73" t="s">
        <v>249</v>
      </c>
      <c r="X12" s="118" t="s">
        <v>249</v>
      </c>
      <c r="Y12" s="118" t="s">
        <v>249</v>
      </c>
      <c r="Z12" s="118" t="s">
        <v>249</v>
      </c>
      <c r="AA12" s="115" t="s">
        <v>249</v>
      </c>
      <c r="AB12" s="115" t="s">
        <v>249</v>
      </c>
      <c r="AC12" s="126" t="s">
        <v>249</v>
      </c>
      <c r="AD12" s="115" t="s">
        <v>249</v>
      </c>
      <c r="AE12" s="115" t="s">
        <v>249</v>
      </c>
      <c r="AF12" s="122" t="s">
        <v>249</v>
      </c>
      <c r="AG12" s="123" t="s">
        <v>249</v>
      </c>
      <c r="AH12" s="123" t="s">
        <v>249</v>
      </c>
      <c r="AI12" s="124" t="s">
        <v>249</v>
      </c>
      <c r="AJ12" s="124" t="s">
        <v>249</v>
      </c>
      <c r="AK12" s="124" t="s">
        <v>249</v>
      </c>
      <c r="AL12" s="124" t="s">
        <v>249</v>
      </c>
      <c r="AM12" s="115" t="s">
        <v>249</v>
      </c>
      <c r="AN12" s="125" t="s">
        <v>249</v>
      </c>
      <c r="AO12" s="118" t="s">
        <v>249</v>
      </c>
      <c r="AP12" s="115" t="s">
        <v>249</v>
      </c>
      <c r="AQ12" s="125" t="s">
        <v>249</v>
      </c>
      <c r="AR12" s="118" t="s">
        <v>249</v>
      </c>
      <c r="AS12" s="118" t="s">
        <v>249</v>
      </c>
      <c r="AT12" s="115" t="s">
        <v>249</v>
      </c>
      <c r="AU12" s="115" t="s">
        <v>249</v>
      </c>
      <c r="AV12" s="73" t="s">
        <v>249</v>
      </c>
      <c r="AW12" s="125" t="s">
        <v>249</v>
      </c>
      <c r="AX12" s="73" t="s">
        <v>249</v>
      </c>
      <c r="AY12" s="73" t="s">
        <v>249</v>
      </c>
      <c r="AZ12" s="73" t="s">
        <v>249</v>
      </c>
      <c r="BA12" s="118" t="s">
        <v>249</v>
      </c>
      <c r="BB12" s="118" t="s">
        <v>249</v>
      </c>
      <c r="BC12" s="118" t="s">
        <v>249</v>
      </c>
      <c r="BD12" s="115" t="s">
        <v>249</v>
      </c>
      <c r="BE12" s="115" t="s">
        <v>249</v>
      </c>
      <c r="BF12" s="115" t="s">
        <v>250</v>
      </c>
      <c r="BG12" s="115" t="s">
        <v>250</v>
      </c>
      <c r="BH12" s="115" t="s">
        <v>249</v>
      </c>
      <c r="BI12" s="115" t="s">
        <v>251</v>
      </c>
      <c r="BJ12" s="115" t="s">
        <v>249</v>
      </c>
      <c r="BK12" s="115" t="s">
        <v>249</v>
      </c>
      <c r="BL12" s="118" t="s">
        <v>249</v>
      </c>
      <c r="BM12" s="118" t="s">
        <v>250</v>
      </c>
      <c r="BN12" s="118" t="s">
        <v>250</v>
      </c>
      <c r="BO12" s="118" t="s">
        <v>249</v>
      </c>
      <c r="BP12" s="118" t="s">
        <v>251</v>
      </c>
      <c r="BQ12" s="118" t="s">
        <v>249</v>
      </c>
      <c r="BR12" s="118" t="s">
        <v>249</v>
      </c>
      <c r="BS12" s="125" t="s">
        <v>249</v>
      </c>
      <c r="BT12" s="115" t="s">
        <v>249</v>
      </c>
    </row>
    <row r="13" customFormat="false" ht="12.8" hidden="false" customHeight="false" outlineLevel="0" collapsed="false">
      <c r="BF13" s="115"/>
      <c r="BH13" s="115"/>
      <c r="BI13" s="115"/>
      <c r="BJ13" s="115"/>
    </row>
    <row r="14" customFormat="false" ht="15" hidden="false" customHeight="false" outlineLevel="0" collapsed="false">
      <c r="A14" s="127" t="s">
        <v>135</v>
      </c>
      <c r="B14" s="127" t="s">
        <v>136</v>
      </c>
      <c r="C14" s="70" t="s">
        <v>252</v>
      </c>
      <c r="D14" s="70" t="s">
        <v>253</v>
      </c>
      <c r="E14" s="70" t="s">
        <v>42</v>
      </c>
      <c r="F14" s="128" t="s">
        <v>52</v>
      </c>
      <c r="G14" s="129" t="s">
        <v>254</v>
      </c>
      <c r="H14" s="128" t="s">
        <v>97</v>
      </c>
      <c r="I14" s="129" t="s">
        <v>255</v>
      </c>
      <c r="J14" s="130" t="s">
        <v>91</v>
      </c>
      <c r="K14" s="129" t="s">
        <v>256</v>
      </c>
      <c r="L14" s="128" t="s">
        <v>93</v>
      </c>
      <c r="M14" s="131" t="s">
        <v>257</v>
      </c>
      <c r="N14" s="128" t="s">
        <v>258</v>
      </c>
      <c r="O14" s="129" t="s">
        <v>259</v>
      </c>
      <c r="P14" s="128" t="s">
        <v>99</v>
      </c>
      <c r="Q14" s="129" t="s">
        <v>260</v>
      </c>
      <c r="R14" s="128" t="s">
        <v>95</v>
      </c>
      <c r="S14" s="131" t="s">
        <v>261</v>
      </c>
      <c r="T14" s="132" t="s">
        <v>262</v>
      </c>
      <c r="U14" s="133" t="s">
        <v>263</v>
      </c>
      <c r="V14" s="133" t="s">
        <v>264</v>
      </c>
      <c r="W14" s="134" t="s">
        <v>265</v>
      </c>
      <c r="X14" s="134" t="s">
        <v>266</v>
      </c>
      <c r="Y14" s="131" t="s">
        <v>267</v>
      </c>
      <c r="Z14" s="134" t="s">
        <v>268</v>
      </c>
      <c r="AA14" s="133" t="s">
        <v>269</v>
      </c>
      <c r="AB14" s="133" t="s">
        <v>270</v>
      </c>
      <c r="AC14" s="132" t="s">
        <v>271</v>
      </c>
      <c r="AD14" s="133" t="s">
        <v>272</v>
      </c>
      <c r="AE14" s="133" t="s">
        <v>273</v>
      </c>
      <c r="AF14" s="135" t="s">
        <v>274</v>
      </c>
      <c r="AG14" s="136" t="s">
        <v>275</v>
      </c>
      <c r="AH14" s="136" t="s">
        <v>276</v>
      </c>
      <c r="AI14" s="137" t="s">
        <v>277</v>
      </c>
      <c r="AJ14" s="137" t="s">
        <v>278</v>
      </c>
      <c r="AK14" s="137" t="s">
        <v>279</v>
      </c>
      <c r="AL14" s="137" t="s">
        <v>280</v>
      </c>
      <c r="AM14" s="133" t="s">
        <v>281</v>
      </c>
      <c r="AN14" s="138" t="s">
        <v>282</v>
      </c>
      <c r="AO14" s="134" t="s">
        <v>283</v>
      </c>
      <c r="AP14" s="133" t="s">
        <v>284</v>
      </c>
      <c r="AQ14" s="138" t="s">
        <v>285</v>
      </c>
      <c r="AR14" s="134" t="s">
        <v>286</v>
      </c>
      <c r="AS14" s="134" t="s">
        <v>287</v>
      </c>
      <c r="AT14" s="133" t="s">
        <v>288</v>
      </c>
      <c r="AU14" s="133" t="s">
        <v>289</v>
      </c>
      <c r="AV14" s="137" t="s">
        <v>290</v>
      </c>
      <c r="AW14" s="135" t="s">
        <v>291</v>
      </c>
      <c r="AX14" s="137" t="s">
        <v>292</v>
      </c>
      <c r="AY14" s="137" t="s">
        <v>293</v>
      </c>
      <c r="AZ14" s="137" t="s">
        <v>294</v>
      </c>
      <c r="BA14" s="136" t="s">
        <v>295</v>
      </c>
      <c r="BB14" s="136" t="s">
        <v>296</v>
      </c>
      <c r="BC14" s="136" t="s">
        <v>297</v>
      </c>
      <c r="BD14" s="133" t="s">
        <v>298</v>
      </c>
      <c r="BE14" s="133" t="s">
        <v>299</v>
      </c>
      <c r="BF14" s="72" t="s">
        <v>300</v>
      </c>
      <c r="BG14" s="72" t="s">
        <v>301</v>
      </c>
      <c r="BH14" s="131" t="s">
        <v>302</v>
      </c>
      <c r="BI14" s="131" t="s">
        <v>303</v>
      </c>
      <c r="BJ14" s="128" t="s">
        <v>304</v>
      </c>
      <c r="BK14" s="133" t="s">
        <v>305</v>
      </c>
      <c r="BL14" s="136" t="s">
        <v>306</v>
      </c>
      <c r="BM14" s="136" t="s">
        <v>307</v>
      </c>
      <c r="BN14" s="136" t="s">
        <v>308</v>
      </c>
      <c r="BO14" s="136" t="s">
        <v>309</v>
      </c>
      <c r="BP14" s="136" t="s">
        <v>310</v>
      </c>
      <c r="BQ14" s="136" t="s">
        <v>311</v>
      </c>
      <c r="BR14" s="136" t="s">
        <v>312</v>
      </c>
      <c r="BS14" s="135" t="s">
        <v>313</v>
      </c>
      <c r="BT14" s="133" t="s">
        <v>314</v>
      </c>
    </row>
    <row r="15" customFormat="false" ht="15" hidden="false" customHeight="false" outlineLevel="0" collapsed="false">
      <c r="A15" s="0" t="s">
        <v>140</v>
      </c>
      <c r="B15" s="0" t="s">
        <v>141</v>
      </c>
      <c r="C15" s="0" t="s">
        <v>89</v>
      </c>
      <c r="D15" s="0" t="s">
        <v>56</v>
      </c>
      <c r="E15" s="69" t="str">
        <f aca="false">B15&amp;"|"&amp;C15&amp;"|"&amp;D15</f>
        <v>_Military Lesotho [#Military] [dDOqoFnD5Be]|&lt;01|Female</v>
      </c>
      <c r="F15" s="115" t="str">
        <f aca="false">_xlfn.IFNA(ROUND(INDEX(Spectrum!$N:$N,MATCH(RIGHT($B15,13)&amp;"|"&amp;$C15&amp;"|"&amp;$D15&amp;"|"&amp;F$14&amp;"|"&amp;"CY2021Q3",Spectrum!$Q:$Q,0)),0),"")</f>
        <v/>
      </c>
      <c r="G15" s="123" t="str">
        <f aca="false">_xlfn.IFNA(INDEX(Spectrum!$P:$P,MATCH(RIGHT($B15,13)&amp;"|"&amp;$C15&amp;"|"&amp;$D15&amp;"|"&amp;F$14&amp;"|"&amp;"CY2021Q3",Spectrum!$Q:$Q,0)),"")</f>
        <v/>
      </c>
      <c r="H15" s="115" t="str">
        <f aca="false">_xlfn.IFNA(ROUND(INDEX(Spectrum!$N:$N,MATCH(RIGHT($B15,13)&amp;"|"&amp;$C15&amp;"|"&amp;$D15&amp;"|"&amp;H$14&amp;"|"&amp;"CY2021Q3",Spectrum!$Q:$Q,0)),0),"")</f>
        <v/>
      </c>
      <c r="I15" s="123" t="str">
        <f aca="false">_xlfn.IFNA(INDEX(Spectrum!$P:$P,MATCH(RIGHT($B15,13)&amp;"|"&amp;$C15&amp;"|"&amp;$D15&amp;"|"&amp;H$14&amp;"|"&amp;"CY2021Q3",Spectrum!$Q:$Q,0)),"")</f>
        <v/>
      </c>
      <c r="J15" s="117" t="str">
        <f aca="false">_xlfn.IFNA(INDEX(Spectrum!$N:$N,MATCH(RIGHT($B15,13)&amp;"|"&amp;$C15&amp;"|"&amp;$D15&amp;"|"&amp;J$14&amp;"|"&amp;"CY2021Q3",Spectrum!$Q:$Q,0)),"")</f>
        <v/>
      </c>
      <c r="K15" s="123" t="str">
        <f aca="false">_xlfn.IFNA(INDEX(Spectrum!$P:$P,MATCH(RIGHT($B15,13)&amp;"|"&amp;$C15&amp;"|"&amp;$D15&amp;"|"&amp;J$14&amp;"|"&amp;"CY2021Q3",Spectrum!$Q:$Q,0)),"")</f>
        <v/>
      </c>
      <c r="L15" s="115" t="str">
        <f aca="false">_xlfn.IFNA(ROUND(INDEX(Spectrum!$N:$N,MATCH(RIGHT($B15,13)&amp;"|"&amp;$C15&amp;"|"&amp;$D15&amp;"|"&amp;L$14&amp;"|"&amp;"CY2021Q3",Spectrum!$Q:$Q,0)),0),"")</f>
        <v/>
      </c>
      <c r="M15" s="118" t="str">
        <f aca="false">IF(OR(SUM($H15)&lt;=0,SUM($L15)&lt;=0),"",SUM($L15)/$H15)</f>
        <v/>
      </c>
      <c r="N15" s="115" t="str">
        <f aca="false">_xlfn.IFNA(ROUND(INDEX(Spectrum!$N:$N,MATCH(RIGHT($B15,13)&amp;"|"&amp;$C15&amp;"|"&amp;$D15&amp;"|"&amp;N$14&amp;"|"&amp;"CY2020Q4",Spectrum!$Q:$Q,0)),0),"")</f>
        <v/>
      </c>
      <c r="O15" s="123" t="str">
        <f aca="false">_xlfn.IFNA(INDEX(Spectrum!$P:$P,MATCH(RIGHT($B15,13)&amp;"|"&amp;$C15&amp;"|"&amp;$D15&amp;"|"&amp;N$14&amp;"|"&amp;"CY2020Q4",Spectrum!$Q:$Q,0)),"")</f>
        <v/>
      </c>
      <c r="P15" s="115" t="str">
        <f aca="false">_xlfn.IFNA(ROUND(INDEX(Spectrum!$N:$N,MATCH(RIGHT($B15,13)&amp;"|"&amp;$C15&amp;"|"&amp;$D15&amp;"|"&amp;P$14&amp;"|"&amp;"CY2021Q3",Spectrum!$Q:$Q,0)),0),"")</f>
        <v/>
      </c>
      <c r="Q15" s="123" t="str">
        <f aca="false">_xlfn.IFNA(INDEX(Spectrum!$P:$P,MATCH(RIGHT($B15,13)&amp;"|"&amp;$C15&amp;"|"&amp;$D15&amp;"|"&amp;P$14&amp;"|"&amp;"CY2021Q3",Spectrum!$Q:$Q,0)),"")</f>
        <v/>
      </c>
      <c r="R15" s="115"/>
      <c r="S15" s="118" t="str">
        <f aca="false">IF(OR(SUM($P15)&lt;=0,SUM($R15)&lt;=0),"",SUM($R15)/$P15)</f>
        <v/>
      </c>
      <c r="T15" s="139"/>
      <c r="U15" s="124"/>
      <c r="V15" s="124" t="str">
        <f aca="false">IF($U15-$T15=0,"",$U15-$T15)</f>
        <v/>
      </c>
      <c r="W15" s="123" t="str">
        <f aca="false">IF(LEFT($B15,4)="_Mil","",IFERROR(MIN(IF(SUM($N15)&lt;=0,SUM($U15)/SUM($P15),SUM($T15)/SUM($N15)),1),""))</f>
        <v/>
      </c>
      <c r="X15" s="123" t="str">
        <f aca="false">$W15</f>
        <v/>
      </c>
      <c r="Y15" s="118" t="str">
        <f aca="false">IFERROR(1/(1/INDEX(Spectrum!$N:$N,MATCH(RIGHT($B15,13)&amp;"|"&amp;$C15&amp;"|"&amp;$D15&amp;"|"&amp;Y$14&amp;"|"&amp;"CY2021Q3",Spectrum!$Q:$Q,0))),IF(SUM($H15)=0,"",MAX(SUM($P15),SUM($U15))/SUM($H15)))</f>
        <v/>
      </c>
      <c r="Z15" s="123" t="str">
        <f aca="false">IF(SUM($Y15)=0,"",MAX(SUM($Y15),90%))</f>
        <v/>
      </c>
      <c r="AA15" s="115" t="str">
        <f aca="false">IF(LEFT($B15,4)="_Mil","",ROUND(MAX(SUM($U15),SUM($P15))+IF(SUM($Z15)=0,0,MAX(SUM($Z15)-SUM($Y15),0)*SUM($H15)),0))</f>
        <v/>
      </c>
      <c r="AB15" s="115" t="str">
        <f aca="false">IF(SUM($AA15)=0,"",ROUND(MAX(SUM($AA15)-MAX(SUM($P15),SUM($U15)),0),0))</f>
        <v/>
      </c>
      <c r="AC15" s="126" t="n">
        <f aca="false">IF($C15="&lt;01",IFERROR(ROUND(INDEX(EID!$N:$N,MATCH($B15,EID!$B:$B,0))/2,0),""),"")</f>
        <v>939</v>
      </c>
      <c r="AD15" s="115" t="n">
        <f aca="false">IF($C15="&lt;01",IF(SUM($AC15)=0,"",ROUND(SUM($AC15)/$AG15,0)),IF(SUM($AB15)=0,"",ROUND(MAX($X15,0)*SUM($AB15),0)))</f>
        <v>958</v>
      </c>
      <c r="AE15" s="115" t="n">
        <f aca="false">IF(AND(SUM($AD15)=0,SUM($U15)=0),"",ROUND(IF($C15="&lt;01",0,SUM($U15))+SUM($AD15),0))</f>
        <v>958</v>
      </c>
      <c r="AF15" s="122" t="str">
        <f aca="false">IF($C15="&lt;01","",100%)</f>
        <v/>
      </c>
      <c r="AG15" s="123" t="n">
        <f aca="false">0.98</f>
        <v>0.98</v>
      </c>
      <c r="AH15" s="123" t="n">
        <f aca="false">0.98</f>
        <v>0.98</v>
      </c>
      <c r="AI15" s="124" t="str">
        <f aca="false">IF(OR($C15="&lt;01",SUM($U15)=0),"",ROUND(SUM($U15)*(1-$AH15),0))</f>
        <v/>
      </c>
      <c r="AJ15" s="124" t="n">
        <f aca="false">IF(AND(SUM($AE15)=0,SUM($U15)=0),"",IF($C15="&lt;01",SUM($AD15),SUM($AE15) - ROUND(SUM($U15)*$AH15,0)))</f>
        <v>958</v>
      </c>
      <c r="AK15" s="124"/>
      <c r="AL15" s="124"/>
      <c r="AM15" s="115" t="n">
        <f aca="false">IF(AND(SUM($AD15)=0,SUM($U15)=0),"",IF($C15="&lt;01",SUM($AD15),ROUND(ROUND(SUM($AJ15)*$AF15,0)/$AG15,0)))</f>
        <v>958</v>
      </c>
      <c r="AN15" s="123" t="n">
        <f aca="false">0.7</f>
        <v>0.7</v>
      </c>
      <c r="AO15" s="123" t="n">
        <f aca="false">1</f>
        <v>1</v>
      </c>
      <c r="AP15" s="115" t="n">
        <f aca="false">IF(AND(SUM($U15)=0,SUM($AM15)=0),"",ROUND((SUM($AM15)*$AN15+IF($C15="&lt;01",0,$U15))*$AO15,0))</f>
        <v>671</v>
      </c>
      <c r="AQ15" s="122"/>
      <c r="AR15" s="123" t="n">
        <f aca="false">0.95</f>
        <v>0.95</v>
      </c>
      <c r="AS15" s="123" t="n">
        <f aca="false">0.95</f>
        <v>0.95</v>
      </c>
      <c r="AT15" s="115" t="n">
        <f aca="false">IF(SUM($AP15)=0,"",ROUND(SUM($AP15)*$AR15,0))</f>
        <v>637</v>
      </c>
      <c r="AU15" s="115" t="str">
        <f aca="false">IF(LEFT($B15,4)="_Mil","",ROUND(SUM($AA15)*SUM($AS15),0))</f>
        <v/>
      </c>
      <c r="AV15" s="124" t="str">
        <f aca="false">IF(SUM($AU15)&lt;=0,"",MAX(SUM($AU15)-SUM($R15),0))</f>
        <v/>
      </c>
      <c r="AW15" s="122" t="n">
        <f aca="false">0</f>
        <v>0</v>
      </c>
      <c r="AX15" s="124" t="n">
        <f aca="false">IF(SUM($AM15)=0,"",ROUND(SUM($AM15)*SUM($AW15),0))</f>
        <v>0</v>
      </c>
      <c r="AY15" s="124" t="n">
        <f aca="false">IF(SUM($AM15)=0,"",SUM($AM15)-SUM($AX15))</f>
        <v>958</v>
      </c>
      <c r="AZ15" s="123"/>
      <c r="BA15" s="123" t="n">
        <f aca="false">0.95</f>
        <v>0.95</v>
      </c>
      <c r="BB15" s="123"/>
      <c r="BC15" s="123" t="str">
        <f aca="false">IF(OR(SUM($AM15)&lt;=0,$C15="&lt;01"),"",MAX(IF(OR(SUM($Y15)&lt;70%,LEFT($B15,4)="_Mil"),30%,IF(SUM($Y15)&gt;=80%,75%,50%)),SUM($BB15)))</f>
        <v/>
      </c>
      <c r="BD15" s="115" t="n">
        <f aca="false">IF($C15="&lt;01",IFERROR(ROUND(INDEX(EID!$M:$M,MATCH($B15,EID!$B:$B,0)),0)/2,""),IF(SUM($AY15)=0,"",ROUND(SUM($AY15)/SUM($BA15),0)))</f>
        <v>988</v>
      </c>
      <c r="BE15" s="115" t="str">
        <f aca="false">IF($C15="&lt;01","",IF(SUM($BD15)=0,"",ROUND(SUM($BD15)*SUM($BC15),0)))</f>
        <v/>
      </c>
      <c r="BF15" s="115" t="str">
        <f aca="false">_xlfn.IFNA(INDEX(PMTCT!$AE:$AE,MATCH($E15,PMTCT!$E:$E,0)),"")</f>
        <v/>
      </c>
      <c r="BG15" s="115" t="str">
        <f aca="false">_xlfn.IFNA(INDEX(PMTCT!$AU:$AU,MATCH($E15,PMTCT!$E:$E,0)),"")</f>
        <v/>
      </c>
      <c r="BH15" s="115" t="str">
        <f aca="false">_xlfn.IFNA(INDEX(TB!$Q:$Q,MATCH($E15,TB!$E:$E,0)),"")</f>
        <v/>
      </c>
      <c r="BI15" s="115" t="str">
        <f aca="false">_xlfn.IFNA(INDEX(VMMC!$AC:$AC,MATCH($E15,VMMC!$E:$E,0)),"")</f>
        <v/>
      </c>
      <c r="BJ15" s="115" t="n">
        <f aca="false">IF($C15="&lt;01",$BD15,"")</f>
        <v>988</v>
      </c>
      <c r="BK15" s="115" t="n">
        <f aca="false">IF(SUM($BD15)=0,"",($BD15)-SUM($BE15:$BJ15))</f>
        <v>0</v>
      </c>
      <c r="BL15" s="123" t="str">
        <f aca="false">IF(OR(SUM($BD15)=0,SUM($BE15)=0),"",SUM($BE15)/$BD15)</f>
        <v/>
      </c>
      <c r="BM15" s="123" t="str">
        <f aca="false">IF(OR(SUM($BD15)=0,SUM($BF15)=0),"",SUM($BF15)/$BD15)</f>
        <v/>
      </c>
      <c r="BN15" s="123" t="str">
        <f aca="false">IF(OR(SUM($BD15)=0,SUM($BG15)=0),"",SUM($BG15)/$BD15)</f>
        <v/>
      </c>
      <c r="BO15" s="123" t="str">
        <f aca="false">IF(OR(SUM($BD15)=0,SUM($BH15)=0),"",SUM($BH15)/$BD15)</f>
        <v/>
      </c>
      <c r="BP15" s="123" t="str">
        <f aca="false">IF(OR(SUM($BD15)=0,SUM($BI15)=0),"",SUM($BI15)/$BD15)</f>
        <v/>
      </c>
      <c r="BQ15" s="123" t="n">
        <f aca="false">IF(AND($C15="&lt;01",SUM($BJ15)&lt;&gt;0),$BJ15/SUM($BD15),"")</f>
        <v>1</v>
      </c>
      <c r="BR15" s="123" t="str">
        <f aca="false">IF(OR(SUM($BD15)=0,SUM($BK15)=0),"",SUM($BK15)/$BD15)</f>
        <v/>
      </c>
      <c r="BS15" s="122" t="str">
        <f aca="false">IF(SUM($X15)&lt;=0,"",$X15)</f>
        <v/>
      </c>
      <c r="BT15" s="115" t="str">
        <f aca="false">IF(LEFT($B15,4)="_Mil","",MAX(SUM($L15)+ROUND(SUM($BD15)/IF(SUM($BS15)&lt;=0,1,SUM($BS15)),0),0))</f>
        <v/>
      </c>
    </row>
    <row r="16" customFormat="false" ht="15" hidden="false" customHeight="false" outlineLevel="0" collapsed="false">
      <c r="A16" s="0" t="s">
        <v>140</v>
      </c>
      <c r="B16" s="0" t="s">
        <v>141</v>
      </c>
      <c r="C16" s="0" t="s">
        <v>89</v>
      </c>
      <c r="D16" s="0" t="s">
        <v>58</v>
      </c>
      <c r="E16" s="0" t="str">
        <f aca="false">B16&amp;"|"&amp;C16&amp;"|"&amp;D16</f>
        <v>_Military Lesotho [#Military] [dDOqoFnD5Be]|&lt;01|Male</v>
      </c>
      <c r="F16" s="115" t="str">
        <f aca="false">_xlfn.IFNA(ROUND(INDEX(Spectrum!$N:$N,MATCH(RIGHT($B16,13)&amp;"|"&amp;$C16&amp;"|"&amp;$D16&amp;"|"&amp;F$14&amp;"|"&amp;"CY2021Q3",Spectrum!$Q:$Q,0)),0),"")</f>
        <v/>
      </c>
      <c r="G16" s="123" t="str">
        <f aca="false">_xlfn.IFNA(INDEX(Spectrum!$P:$P,MATCH(RIGHT($B16,13)&amp;"|"&amp;$C16&amp;"|"&amp;$D16&amp;"|"&amp;F$14&amp;"|"&amp;"CY2021Q3",Spectrum!$Q:$Q,0)),"")</f>
        <v/>
      </c>
      <c r="H16" s="115" t="str">
        <f aca="false">_xlfn.IFNA(ROUND(INDEX(Spectrum!$N:$N,MATCH(RIGHT($B16,13)&amp;"|"&amp;$C16&amp;"|"&amp;$D16&amp;"|"&amp;H$14&amp;"|"&amp;"CY2021Q3",Spectrum!$Q:$Q,0)),0),"")</f>
        <v/>
      </c>
      <c r="I16" s="123" t="str">
        <f aca="false">_xlfn.IFNA(INDEX(Spectrum!$P:$P,MATCH(RIGHT($B16,13)&amp;"|"&amp;$C16&amp;"|"&amp;$D16&amp;"|"&amp;H$14&amp;"|"&amp;"CY2021Q3",Spectrum!$Q:$Q,0)),"")</f>
        <v/>
      </c>
      <c r="J16" s="117" t="str">
        <f aca="false">_xlfn.IFNA(INDEX(Spectrum!$N:$N,MATCH(RIGHT($B16,13)&amp;"|"&amp;$C16&amp;"|"&amp;$D16&amp;"|"&amp;J$14&amp;"|"&amp;"CY2021Q3",Spectrum!$Q:$Q,0)),"")</f>
        <v/>
      </c>
      <c r="K16" s="123" t="str">
        <f aca="false">_xlfn.IFNA(INDEX(Spectrum!$P:$P,MATCH(RIGHT($B16,13)&amp;"|"&amp;$C16&amp;"|"&amp;$D16&amp;"|"&amp;J$14&amp;"|"&amp;"CY2021Q3",Spectrum!$Q:$Q,0)),"")</f>
        <v/>
      </c>
      <c r="L16" s="115" t="str">
        <f aca="false">_xlfn.IFNA(ROUND(INDEX(Spectrum!$N:$N,MATCH(RIGHT($B16,13)&amp;"|"&amp;$C16&amp;"|"&amp;$D16&amp;"|"&amp;L$14&amp;"|"&amp;"CY2021Q3",Spectrum!$Q:$Q,0)),0),"")</f>
        <v/>
      </c>
      <c r="M16" s="123" t="str">
        <f aca="false">IF(OR(SUM($H16)&lt;=0,SUM($L16)&lt;=0),"",SUM($L16)/$H16)</f>
        <v/>
      </c>
      <c r="N16" s="115" t="str">
        <f aca="false">_xlfn.IFNA(ROUND(INDEX(Spectrum!$N:$N,MATCH(RIGHT($B16,13)&amp;"|"&amp;$C16&amp;"|"&amp;$D16&amp;"|"&amp;N$14&amp;"|"&amp;"CY2020Q4",Spectrum!$Q:$Q,0)),0),"")</f>
        <v/>
      </c>
      <c r="O16" s="123" t="str">
        <f aca="false">_xlfn.IFNA(INDEX(Spectrum!$P:$P,MATCH(RIGHT($B16,13)&amp;"|"&amp;$C16&amp;"|"&amp;$D16&amp;"|"&amp;N$14&amp;"|"&amp;"CY2020Q4",Spectrum!$Q:$Q,0)),"")</f>
        <v/>
      </c>
      <c r="P16" s="115" t="str">
        <f aca="false">_xlfn.IFNA(ROUND(INDEX(Spectrum!$N:$N,MATCH(RIGHT($B16,13)&amp;"|"&amp;$C16&amp;"|"&amp;$D16&amp;"|"&amp;P$14&amp;"|"&amp;"CY2021Q3",Spectrum!$Q:$Q,0)),0),"")</f>
        <v/>
      </c>
      <c r="Q16" s="123" t="str">
        <f aca="false">_xlfn.IFNA(INDEX(Spectrum!$P:$P,MATCH(RIGHT($B16,13)&amp;"|"&amp;$C16&amp;"|"&amp;$D16&amp;"|"&amp;P$14&amp;"|"&amp;"CY2021Q3",Spectrum!$Q:$Q,0)),"")</f>
        <v/>
      </c>
      <c r="R16" s="115"/>
      <c r="S16" s="123" t="str">
        <f aca="false">IF(OR(SUM($P16)&lt;=0,SUM($R16)&lt;=0),"",SUM($R16)/$P16)</f>
        <v/>
      </c>
      <c r="T16" s="139"/>
      <c r="U16" s="124"/>
      <c r="V16" s="124" t="str">
        <f aca="false">IF($U16-$T16=0,"",$U16-$T16)</f>
        <v/>
      </c>
      <c r="W16" s="123" t="str">
        <f aca="false">IF(LEFT($B16,4)="_Mil","",IFERROR(MIN(IF(SUM($N16)&lt;=0,SUM($U16)/SUM($P16),SUM($T16)/SUM($N16)),1),""))</f>
        <v/>
      </c>
      <c r="X16" s="123" t="str">
        <f aca="false">$W16</f>
        <v/>
      </c>
      <c r="Y16" s="123" t="str">
        <f aca="false">IFERROR(1/(1/INDEX(Spectrum!$N:$N,MATCH(RIGHT($B16,13)&amp;"|"&amp;$C16&amp;"|"&amp;$D16&amp;"|"&amp;Y$14&amp;"|"&amp;"CY2021Q3",Spectrum!$Q:$Q,0))),IF(SUM($H16)=0,"",MAX(SUM($P16),SUM($U16))/SUM($H16)))</f>
        <v/>
      </c>
      <c r="Z16" s="123" t="str">
        <f aca="false">IF(SUM($Y16)=0,"",MAX(SUM($Y16),90%))</f>
        <v/>
      </c>
      <c r="AA16" s="115" t="str">
        <f aca="false">IF(LEFT($B16,4)="_Mil","",ROUND(MAX(SUM($U16),SUM($P16))+IF(SUM($Z16)=0,0,MAX(SUM($Z16)-SUM($Y16),0)*SUM($H16)),0))</f>
        <v/>
      </c>
      <c r="AB16" s="115" t="str">
        <f aca="false">IF(SUM($AA16)=0,"",ROUND(MAX(SUM($AA16)-MAX(SUM($P16),SUM($U16)),0),0))</f>
        <v/>
      </c>
      <c r="AC16" s="126" t="n">
        <f aca="false">IF($C16="&lt;01",IFERROR(ROUND(INDEX(EID!$N:$N,MATCH($B16,EID!$B:$B,0))/2,0),""),"")</f>
        <v>939</v>
      </c>
      <c r="AD16" s="115" t="n">
        <f aca="false">IF($C16="&lt;01",IF(SUM($AC16)=0,"",ROUND(SUM($AC16)/$AG16,0)),IF(SUM($AB16)=0,"",ROUND(MAX($X16,0)*SUM($AB16),0)))</f>
        <v>958</v>
      </c>
      <c r="AE16" s="115" t="n">
        <f aca="false">IF(AND(SUM($AD16)=0,SUM($U16)=0),"",ROUND(IF($C16="&lt;01",0,SUM($U16))+SUM($AD16),0))</f>
        <v>958</v>
      </c>
      <c r="AF16" s="122" t="str">
        <f aca="false">IF($C16="&lt;01","",100%)</f>
        <v/>
      </c>
      <c r="AG16" s="123" t="n">
        <f aca="false">0.98</f>
        <v>0.98</v>
      </c>
      <c r="AH16" s="123" t="n">
        <f aca="false">0.98</f>
        <v>0.98</v>
      </c>
      <c r="AI16" s="124" t="str">
        <f aca="false">IF(OR($C16="&lt;01",SUM($U16)=0),"",ROUND(SUM($U16)*(1-$AH16),0))</f>
        <v/>
      </c>
      <c r="AJ16" s="124" t="n">
        <f aca="false">IF(AND(SUM($AE16)=0,SUM($U16)=0),"",IF($C16="&lt;01",SUM($AD16),SUM($AE16) - ROUND(SUM($U16)*$AH16,0)))</f>
        <v>958</v>
      </c>
      <c r="AK16" s="124"/>
      <c r="AL16" s="124"/>
      <c r="AM16" s="115" t="n">
        <f aca="false">IF(AND(SUM($AD16)=0,SUM($U16)=0),"",IF($C16="&lt;01",SUM($AD16),ROUND(ROUND(SUM($AJ16)*$AF16,0)/$AG16,0)))</f>
        <v>958</v>
      </c>
      <c r="AN16" s="122" t="n">
        <f aca="false">0.7</f>
        <v>0.7</v>
      </c>
      <c r="AO16" s="123" t="n">
        <f aca="false">1</f>
        <v>1</v>
      </c>
      <c r="AP16" s="115" t="n">
        <f aca="false">IF(AND(SUM($U16)=0,SUM($AM16)=0),"",ROUND((SUM($AM16)*$AN16+IF($C16="&lt;01",0,$U16))*$AO16,0))</f>
        <v>671</v>
      </c>
      <c r="AQ16" s="122"/>
      <c r="AR16" s="123" t="n">
        <f aca="false">0.95</f>
        <v>0.95</v>
      </c>
      <c r="AS16" s="123" t="n">
        <f aca="false">0.95</f>
        <v>0.95</v>
      </c>
      <c r="AT16" s="115" t="n">
        <f aca="false">IF(SUM($AP16)=0,"",ROUND(SUM($AP16)*$AR16,0))</f>
        <v>637</v>
      </c>
      <c r="AU16" s="115" t="str">
        <f aca="false">IF(LEFT($B16,4)="_Mil","",ROUND(SUM($AA16)*SUM($AS16),0))</f>
        <v/>
      </c>
      <c r="AV16" s="124" t="str">
        <f aca="false">IF(SUM($AU16)&lt;=0,"",MAX(SUM($AU16)-SUM($R16),0))</f>
        <v/>
      </c>
      <c r="AW16" s="122" t="n">
        <f aca="false">0</f>
        <v>0</v>
      </c>
      <c r="AX16" s="124" t="n">
        <f aca="false">IF(SUM($AM16)=0,"",ROUND(SUM($AM16)*SUM($AW16),0))</f>
        <v>0</v>
      </c>
      <c r="AY16" s="124" t="n">
        <f aca="false">IF(SUM($AM16)=0,"",SUM($AM16)-SUM($AX16))</f>
        <v>958</v>
      </c>
      <c r="AZ16" s="123"/>
      <c r="BA16" s="123" t="n">
        <f aca="false">0.95</f>
        <v>0.95</v>
      </c>
      <c r="BB16" s="123"/>
      <c r="BC16" s="123" t="str">
        <f aca="false">IF(OR(SUM($AM16)&lt;=0,$C16="&lt;01"),"",MAX(IF(OR(SUM($Y16)&lt;70%,LEFT($B16,4)="_Mil"),30%,IF(SUM($Y16)&gt;=80%,75%,50%)),SUM($BB16)))</f>
        <v/>
      </c>
      <c r="BD16" s="115" t="n">
        <f aca="false">IF($C16="&lt;01",IFERROR(ROUND(INDEX(EID!$M:$M,MATCH($B16,EID!$B:$B,0)),0)/2,""),IF(SUM($AY16)=0,"",ROUND(SUM($AY16)/SUM($BA16),0)))</f>
        <v>988</v>
      </c>
      <c r="BE16" s="115" t="str">
        <f aca="false">IF($C16="&lt;01","",IF(SUM($BD16)=0,"",ROUND(SUM($BD16)*SUM($BC16),0)))</f>
        <v/>
      </c>
      <c r="BF16" s="115" t="str">
        <f aca="false">_xlfn.IFNA(INDEX(PMTCT!$AE:$AE,MATCH($E16,PMTCT!$E:$E,0)),"")</f>
        <v/>
      </c>
      <c r="BG16" s="115" t="str">
        <f aca="false">_xlfn.IFNA(INDEX(PMTCT!$AU:$AU,MATCH($E16,PMTCT!$E:$E,0)),"")</f>
        <v/>
      </c>
      <c r="BH16" s="115" t="str">
        <f aca="false">_xlfn.IFNA(INDEX(TB!$Q:$Q,MATCH($E16,TB!$E:$E,0)),"")</f>
        <v/>
      </c>
      <c r="BI16" s="115" t="str">
        <f aca="false">_xlfn.IFNA(INDEX(VMMC!$AC:$AC,MATCH($E16,VMMC!$E:$E,0)),"")</f>
        <v/>
      </c>
      <c r="BJ16" s="115" t="n">
        <f aca="false">IF($C16="&lt;01",$BD16,"")</f>
        <v>988</v>
      </c>
      <c r="BK16" s="115" t="n">
        <f aca="false">IF(SUM($BD16)=0,"",($BD16)-SUM($BE16:$BJ16))</f>
        <v>0</v>
      </c>
      <c r="BL16" s="123" t="str">
        <f aca="false">IF(OR(SUM($BD16)=0,SUM($BE16)=0),"",SUM($BE16)/$BD16)</f>
        <v/>
      </c>
      <c r="BM16" s="123" t="str">
        <f aca="false">IF(OR(SUM($BD16)=0,SUM($BF16)=0),"",SUM($BF16)/$BD16)</f>
        <v/>
      </c>
      <c r="BN16" s="123" t="str">
        <f aca="false">IF(OR(SUM($BD16)=0,SUM($BG16)=0),"",SUM($BG16)/$BD16)</f>
        <v/>
      </c>
      <c r="BO16" s="123" t="str">
        <f aca="false">IF(OR(SUM($BD16)=0,SUM($BH16)=0),"",SUM($BH16)/$BD16)</f>
        <v/>
      </c>
      <c r="BP16" s="123" t="str">
        <f aca="false">IF(OR(SUM($BD16)=0,SUM($BI16)=0),"",SUM($BI16)/$BD16)</f>
        <v/>
      </c>
      <c r="BQ16" s="123" t="n">
        <f aca="false">IF(AND($C16="&lt;01",SUM($BJ16)&lt;&gt;0),$BJ16/SUM($BD16),"")</f>
        <v>1</v>
      </c>
      <c r="BR16" s="123" t="str">
        <f aca="false">IF(OR(SUM($BD16)=0,SUM($BK16)=0),"",SUM($BK16)/$BD16)</f>
        <v/>
      </c>
      <c r="BS16" s="122" t="str">
        <f aca="false">IF(SUM($X16)&lt;=0,"",$X16)</f>
        <v/>
      </c>
      <c r="BT16" s="115" t="str">
        <f aca="false">IF(LEFT($B16,4)="_Mil","",MAX(SUM($L16)+ROUND(SUM($BD16)/IF(SUM($BS16)&lt;=0,1,SUM($BS16)),0),0))</f>
        <v/>
      </c>
    </row>
    <row r="17" customFormat="false" ht="15" hidden="false" customHeight="false" outlineLevel="0" collapsed="false">
      <c r="A17" s="0" t="s">
        <v>140</v>
      </c>
      <c r="B17" s="0" t="s">
        <v>141</v>
      </c>
      <c r="C17" s="0" t="s">
        <v>54</v>
      </c>
      <c r="D17" s="0" t="s">
        <v>56</v>
      </c>
      <c r="E17" s="0" t="str">
        <f aca="false">B17&amp;"|"&amp;C17&amp;"|"&amp;D17</f>
        <v>_Military Lesotho [#Military] [dDOqoFnD5Be]|01-04|Female</v>
      </c>
      <c r="F17" s="115" t="str">
        <f aca="false">_xlfn.IFNA(ROUND(INDEX(Spectrum!$N:$N,MATCH(RIGHT($B17,13)&amp;"|"&amp;$C17&amp;"|"&amp;$D17&amp;"|"&amp;F$14&amp;"|"&amp;"CY2021Q3",Spectrum!$Q:$Q,0)),0),"")</f>
        <v/>
      </c>
      <c r="G17" s="123" t="str">
        <f aca="false">_xlfn.IFNA(INDEX(Spectrum!$P:$P,MATCH(RIGHT($B17,13)&amp;"|"&amp;$C17&amp;"|"&amp;$D17&amp;"|"&amp;F$14&amp;"|"&amp;"CY2021Q3",Spectrum!$Q:$Q,0)),"")</f>
        <v/>
      </c>
      <c r="H17" s="115" t="str">
        <f aca="false">_xlfn.IFNA(ROUND(INDEX(Spectrum!$N:$N,MATCH(RIGHT($B17,13)&amp;"|"&amp;$C17&amp;"|"&amp;$D17&amp;"|"&amp;H$14&amp;"|"&amp;"CY2021Q3",Spectrum!$Q:$Q,0)),0),"")</f>
        <v/>
      </c>
      <c r="I17" s="123" t="str">
        <f aca="false">_xlfn.IFNA(INDEX(Spectrum!$P:$P,MATCH(RIGHT($B17,13)&amp;"|"&amp;$C17&amp;"|"&amp;$D17&amp;"|"&amp;H$14&amp;"|"&amp;"CY2021Q3",Spectrum!$Q:$Q,0)),"")</f>
        <v/>
      </c>
      <c r="J17" s="117" t="str">
        <f aca="false">_xlfn.IFNA(INDEX(Spectrum!$N:$N,MATCH(RIGHT($B17,13)&amp;"|"&amp;$C17&amp;"|"&amp;$D17&amp;"|"&amp;J$14&amp;"|"&amp;"CY2021Q3",Spectrum!$Q:$Q,0)),"")</f>
        <v/>
      </c>
      <c r="K17" s="123" t="str">
        <f aca="false">_xlfn.IFNA(INDEX(Spectrum!$P:$P,MATCH(RIGHT($B17,13)&amp;"|"&amp;$C17&amp;"|"&amp;$D17&amp;"|"&amp;J$14&amp;"|"&amp;"CY2021Q3",Spectrum!$Q:$Q,0)),"")</f>
        <v/>
      </c>
      <c r="L17" s="115" t="str">
        <f aca="false">_xlfn.IFNA(ROUND(INDEX(Spectrum!$N:$N,MATCH(RIGHT($B17,13)&amp;"|"&amp;$C17&amp;"|"&amp;$D17&amp;"|"&amp;L$14&amp;"|"&amp;"CY2021Q3",Spectrum!$Q:$Q,0)),0),"")</f>
        <v/>
      </c>
      <c r="M17" s="123" t="str">
        <f aca="false">IF(OR(SUM($H17)&lt;=0,SUM($L17)&lt;=0),"",SUM($L17)/$H17)</f>
        <v/>
      </c>
      <c r="N17" s="115" t="str">
        <f aca="false">_xlfn.IFNA(ROUND(INDEX(Spectrum!$N:$N,MATCH(RIGHT($B17,13)&amp;"|"&amp;$C17&amp;"|"&amp;$D17&amp;"|"&amp;N$14&amp;"|"&amp;"CY2020Q4",Spectrum!$Q:$Q,0)),0),"")</f>
        <v/>
      </c>
      <c r="O17" s="123" t="str">
        <f aca="false">_xlfn.IFNA(INDEX(Spectrum!$P:$P,MATCH(RIGHT($B17,13)&amp;"|"&amp;$C17&amp;"|"&amp;$D17&amp;"|"&amp;N$14&amp;"|"&amp;"CY2020Q4",Spectrum!$Q:$Q,0)),"")</f>
        <v/>
      </c>
      <c r="P17" s="115" t="str">
        <f aca="false">_xlfn.IFNA(ROUND(INDEX(Spectrum!$N:$N,MATCH(RIGHT($B17,13)&amp;"|"&amp;$C17&amp;"|"&amp;$D17&amp;"|"&amp;P$14&amp;"|"&amp;"CY2021Q3",Spectrum!$Q:$Q,0)),0),"")</f>
        <v/>
      </c>
      <c r="Q17" s="123" t="str">
        <f aca="false">_xlfn.IFNA(INDEX(Spectrum!$P:$P,MATCH(RIGHT($B17,13)&amp;"|"&amp;$C17&amp;"|"&amp;$D17&amp;"|"&amp;P$14&amp;"|"&amp;"CY2021Q3",Spectrum!$Q:$Q,0)),"")</f>
        <v/>
      </c>
      <c r="R17" s="115"/>
      <c r="S17" s="123" t="str">
        <f aca="false">IF(OR(SUM($P17)&lt;=0,SUM($R17)&lt;=0),"",SUM($R17)/$P17)</f>
        <v/>
      </c>
      <c r="T17" s="139"/>
      <c r="U17" s="124"/>
      <c r="V17" s="124" t="str">
        <f aca="false">IF($U17-$T17=0,"",$U17-$T17)</f>
        <v/>
      </c>
      <c r="W17" s="123" t="str">
        <f aca="false">IF(LEFT($B17,4)="_Mil","",IFERROR(MIN(IF(SUM($N17)&lt;=0,SUM($U17)/SUM($P17),SUM($T17)/SUM($N17)),1),""))</f>
        <v/>
      </c>
      <c r="X17" s="123" t="str">
        <f aca="false">$W17</f>
        <v/>
      </c>
      <c r="Y17" s="123" t="str">
        <f aca="false">IFERROR(1/(1/INDEX(Spectrum!$N:$N,MATCH(RIGHT($B17,13)&amp;"|"&amp;$C17&amp;"|"&amp;$D17&amp;"|"&amp;Y$14&amp;"|"&amp;"CY2021Q3",Spectrum!$Q:$Q,0))),IF(SUM($H17)=0,"",MAX(SUM($P17),SUM($U17))/SUM($H17)))</f>
        <v/>
      </c>
      <c r="Z17" s="123" t="str">
        <f aca="false">IF(SUM($Y17)=0,"",MAX(SUM($Y17),90%))</f>
        <v/>
      </c>
      <c r="AA17" s="115" t="str">
        <f aca="false">IF(LEFT($B17,4)="_Mil","",ROUND(MAX(SUM($U17),SUM($P17))+IF(SUM($Z17)=0,0,MAX(SUM($Z17)-SUM($Y17),0)*SUM($H17)),0))</f>
        <v/>
      </c>
      <c r="AB17" s="115" t="str">
        <f aca="false">IF(SUM($AA17)=0,"",ROUND(MAX(SUM($AA17)-MAX(SUM($P17),SUM($U17)),0),0))</f>
        <v/>
      </c>
      <c r="AC17" s="126" t="str">
        <f aca="false">IF($C17="&lt;01",IFERROR(ROUND(INDEX(EID!$N:$N,MATCH($B17,EID!$B:$B,0))/2,0),""),"")</f>
        <v/>
      </c>
      <c r="AD17" s="115" t="str">
        <f aca="false">IF($C17="&lt;01",IF(SUM($AC17)=0,"",ROUND(SUM($AC17)/$AG17,0)),IF(SUM($AB17)=0,"",ROUND(MAX($X17,0)*SUM($AB17),0)))</f>
        <v/>
      </c>
      <c r="AE17" s="115" t="str">
        <f aca="false">IF(AND(SUM($AD17)=0,SUM($U17)=0),"",ROUND(IF($C17="&lt;01",0,SUM($U17))+SUM($AD17),0))</f>
        <v/>
      </c>
      <c r="AF17" s="122" t="n">
        <f aca="false">IF($C17="&lt;01","",100%)</f>
        <v>1</v>
      </c>
      <c r="AG17" s="123" t="n">
        <f aca="false">0.98</f>
        <v>0.98</v>
      </c>
      <c r="AH17" s="123" t="n">
        <f aca="false">0.98</f>
        <v>0.98</v>
      </c>
      <c r="AI17" s="124" t="str">
        <f aca="false">IF(OR($C17="&lt;01",SUM($U17)=0),"",ROUND(SUM($U17)*(1-$AH17),0))</f>
        <v/>
      </c>
      <c r="AJ17" s="124" t="str">
        <f aca="false">IF(AND(SUM($AE17)=0,SUM($U17)=0),"",IF($C17="&lt;01",SUM($AD17),SUM($AE17) - ROUND(SUM($U17)*$AH17,0)))</f>
        <v/>
      </c>
      <c r="AK17" s="124"/>
      <c r="AL17" s="124"/>
      <c r="AM17" s="115" t="str">
        <f aca="false">IF(AND(SUM($AD17)=0,SUM($U17)=0),"",IF($C17="&lt;01",SUM($AD17),ROUND(ROUND(SUM($AJ17)*$AF17,0)/$AG17,0)))</f>
        <v/>
      </c>
      <c r="AN17" s="122" t="n">
        <f aca="false">0.7</f>
        <v>0.7</v>
      </c>
      <c r="AO17" s="123" t="n">
        <f aca="false">1</f>
        <v>1</v>
      </c>
      <c r="AP17" s="115" t="str">
        <f aca="false">IF(AND(SUM($U17)=0,SUM($AM17)=0),"",ROUND((SUM($AM17)*$AN17+IF($C17="&lt;01",0,$U17))*$AO17,0))</f>
        <v/>
      </c>
      <c r="AQ17" s="122"/>
      <c r="AR17" s="123" t="n">
        <f aca="false">0.95</f>
        <v>0.95</v>
      </c>
      <c r="AS17" s="123" t="n">
        <f aca="false">0.95</f>
        <v>0.95</v>
      </c>
      <c r="AT17" s="115" t="str">
        <f aca="false">IF(SUM($AP17)=0,"",ROUND(SUM($AP17)*$AR17,0))</f>
        <v/>
      </c>
      <c r="AU17" s="115" t="str">
        <f aca="false">IF(LEFT($B17,4)="_Mil","",ROUND(SUM($AA17)*SUM($AS17),0))</f>
        <v/>
      </c>
      <c r="AV17" s="124" t="str">
        <f aca="false">IF(SUM($AU17)&lt;=0,"",MAX(SUM($AU17)-SUM($R17),0))</f>
        <v/>
      </c>
      <c r="AW17" s="122" t="n">
        <f aca="false">0</f>
        <v>0</v>
      </c>
      <c r="AX17" s="124" t="str">
        <f aca="false">IF(SUM($AM17)=0,"",ROUND(SUM($AM17)*SUM($AW17),0))</f>
        <v/>
      </c>
      <c r="AY17" s="124" t="str">
        <f aca="false">IF(SUM($AM17)=0,"",SUM($AM17)-SUM($AX17))</f>
        <v/>
      </c>
      <c r="AZ17" s="123"/>
      <c r="BA17" s="123" t="n">
        <f aca="false">0.95</f>
        <v>0.95</v>
      </c>
      <c r="BB17" s="123"/>
      <c r="BC17" s="123" t="str">
        <f aca="false">IF(OR(SUM($AM17)&lt;=0,$C17="&lt;01"),"",MAX(IF(OR(SUM($Y17)&lt;70%,LEFT($B17,4)="_Mil"),30%,IF(SUM($Y17)&gt;=80%,75%,50%)),SUM($BB17)))</f>
        <v/>
      </c>
      <c r="BD17" s="115" t="str">
        <f aca="false">IF($C17="&lt;01",IFERROR(ROUND(INDEX(EID!$M:$M,MATCH($B17,EID!$B:$B,0)),0)/2,""),IF(SUM($AY17)=0,"",ROUND(SUM($AY17)/SUM($BA17),0)))</f>
        <v/>
      </c>
      <c r="BE17" s="115" t="str">
        <f aca="false">IF($C17="&lt;01","",IF(SUM($BD17)=0,"",ROUND(SUM($BD17)*SUM($BC17),0)))</f>
        <v/>
      </c>
      <c r="BF17" s="115" t="str">
        <f aca="false">_xlfn.IFNA(INDEX(PMTCT!$AE:$AE,MATCH($E17,PMTCT!$E:$E,0)),"")</f>
        <v/>
      </c>
      <c r="BG17" s="115" t="str">
        <f aca="false">_xlfn.IFNA(INDEX(PMTCT!$AU:$AU,MATCH($E17,PMTCT!$E:$E,0)),"")</f>
        <v/>
      </c>
      <c r="BH17" s="115" t="str">
        <f aca="false">_xlfn.IFNA(INDEX(TB!$Q:$Q,MATCH($E17,TB!$E:$E,0)),"")</f>
        <v/>
      </c>
      <c r="BI17" s="115" t="str">
        <f aca="false">_xlfn.IFNA(INDEX(VMMC!$AC:$AC,MATCH($E17,VMMC!$E:$E,0)),"")</f>
        <v/>
      </c>
      <c r="BJ17" s="115" t="str">
        <f aca="false">IF($C17="&lt;01",$BD17,"")</f>
        <v/>
      </c>
      <c r="BK17" s="115" t="str">
        <f aca="false">IF(SUM($BD17)=0,"",($BD17)-SUM($BE17:$BJ17))</f>
        <v/>
      </c>
      <c r="BL17" s="123" t="str">
        <f aca="false">IF(OR(SUM($BD17)=0,SUM($BE17)=0),"",SUM($BE17)/$BD17)</f>
        <v/>
      </c>
      <c r="BM17" s="123" t="str">
        <f aca="false">IF(OR(SUM($BD17)=0,SUM($BF17)=0),"",SUM($BF17)/$BD17)</f>
        <v/>
      </c>
      <c r="BN17" s="123" t="str">
        <f aca="false">IF(OR(SUM($BD17)=0,SUM($BG17)=0),"",SUM($BG17)/$BD17)</f>
        <v/>
      </c>
      <c r="BO17" s="123" t="str">
        <f aca="false">IF(OR(SUM($BD17)=0,SUM($BH17)=0),"",SUM($BH17)/$BD17)</f>
        <v/>
      </c>
      <c r="BP17" s="123" t="str">
        <f aca="false">IF(OR(SUM($BD17)=0,SUM($BI17)=0),"",SUM($BI17)/$BD17)</f>
        <v/>
      </c>
      <c r="BQ17" s="123" t="str">
        <f aca="false">IF(AND($C17="&lt;01",SUM($BJ17)&lt;&gt;0),$BJ17/SUM($BD17),"")</f>
        <v/>
      </c>
      <c r="BR17" s="123" t="str">
        <f aca="false">IF(OR(SUM($BD17)=0,SUM($BK17)=0),"",SUM($BK17)/$BD17)</f>
        <v/>
      </c>
      <c r="BS17" s="122" t="str">
        <f aca="false">IF(SUM($X17)&lt;=0,"",$X17)</f>
        <v/>
      </c>
      <c r="BT17" s="115" t="str">
        <f aca="false">IF(LEFT($B17,4)="_Mil","",MAX(SUM($L17)+ROUND(SUM($BD17)/IF(SUM($BS17)&lt;=0,1,SUM($BS17)),0),0))</f>
        <v/>
      </c>
    </row>
    <row r="18" customFormat="false" ht="15" hidden="false" customHeight="false" outlineLevel="0" collapsed="false">
      <c r="A18" s="0" t="s">
        <v>140</v>
      </c>
      <c r="B18" s="0" t="s">
        <v>141</v>
      </c>
      <c r="C18" s="0" t="s">
        <v>54</v>
      </c>
      <c r="D18" s="0" t="s">
        <v>58</v>
      </c>
      <c r="E18" s="0" t="str">
        <f aca="false">B18&amp;"|"&amp;C18&amp;"|"&amp;D18</f>
        <v>_Military Lesotho [#Military] [dDOqoFnD5Be]|01-04|Male</v>
      </c>
      <c r="F18" s="115" t="str">
        <f aca="false">_xlfn.IFNA(ROUND(INDEX(Spectrum!$N:$N,MATCH(RIGHT($B18,13)&amp;"|"&amp;$C18&amp;"|"&amp;$D18&amp;"|"&amp;F$14&amp;"|"&amp;"CY2021Q3",Spectrum!$Q:$Q,0)),0),"")</f>
        <v/>
      </c>
      <c r="G18" s="123" t="str">
        <f aca="false">_xlfn.IFNA(INDEX(Spectrum!$P:$P,MATCH(RIGHT($B18,13)&amp;"|"&amp;$C18&amp;"|"&amp;$D18&amp;"|"&amp;F$14&amp;"|"&amp;"CY2021Q3",Spectrum!$Q:$Q,0)),"")</f>
        <v/>
      </c>
      <c r="H18" s="115" t="str">
        <f aca="false">_xlfn.IFNA(ROUND(INDEX(Spectrum!$N:$N,MATCH(RIGHT($B18,13)&amp;"|"&amp;$C18&amp;"|"&amp;$D18&amp;"|"&amp;H$14&amp;"|"&amp;"CY2021Q3",Spectrum!$Q:$Q,0)),0),"")</f>
        <v/>
      </c>
      <c r="I18" s="123" t="str">
        <f aca="false">_xlfn.IFNA(INDEX(Spectrum!$P:$P,MATCH(RIGHT($B18,13)&amp;"|"&amp;$C18&amp;"|"&amp;$D18&amp;"|"&amp;H$14&amp;"|"&amp;"CY2021Q3",Spectrum!$Q:$Q,0)),"")</f>
        <v/>
      </c>
      <c r="J18" s="117" t="str">
        <f aca="false">_xlfn.IFNA(INDEX(Spectrum!$N:$N,MATCH(RIGHT($B18,13)&amp;"|"&amp;$C18&amp;"|"&amp;$D18&amp;"|"&amp;J$14&amp;"|"&amp;"CY2021Q3",Spectrum!$Q:$Q,0)),"")</f>
        <v/>
      </c>
      <c r="K18" s="123" t="str">
        <f aca="false">_xlfn.IFNA(INDEX(Spectrum!$P:$P,MATCH(RIGHT($B18,13)&amp;"|"&amp;$C18&amp;"|"&amp;$D18&amp;"|"&amp;J$14&amp;"|"&amp;"CY2021Q3",Spectrum!$Q:$Q,0)),"")</f>
        <v/>
      </c>
      <c r="L18" s="115" t="str">
        <f aca="false">_xlfn.IFNA(ROUND(INDEX(Spectrum!$N:$N,MATCH(RIGHT($B18,13)&amp;"|"&amp;$C18&amp;"|"&amp;$D18&amp;"|"&amp;L$14&amp;"|"&amp;"CY2021Q3",Spectrum!$Q:$Q,0)),0),"")</f>
        <v/>
      </c>
      <c r="M18" s="123" t="str">
        <f aca="false">IF(OR(SUM($H18)&lt;=0,SUM($L18)&lt;=0),"",SUM($L18)/$H18)</f>
        <v/>
      </c>
      <c r="N18" s="115" t="str">
        <f aca="false">_xlfn.IFNA(ROUND(INDEX(Spectrum!$N:$N,MATCH(RIGHT($B18,13)&amp;"|"&amp;$C18&amp;"|"&amp;$D18&amp;"|"&amp;N$14&amp;"|"&amp;"CY2020Q4",Spectrum!$Q:$Q,0)),0),"")</f>
        <v/>
      </c>
      <c r="O18" s="123" t="str">
        <f aca="false">_xlfn.IFNA(INDEX(Spectrum!$P:$P,MATCH(RIGHT($B18,13)&amp;"|"&amp;$C18&amp;"|"&amp;$D18&amp;"|"&amp;N$14&amp;"|"&amp;"CY2020Q4",Spectrum!$Q:$Q,0)),"")</f>
        <v/>
      </c>
      <c r="P18" s="115" t="str">
        <f aca="false">_xlfn.IFNA(ROUND(INDEX(Spectrum!$N:$N,MATCH(RIGHT($B18,13)&amp;"|"&amp;$C18&amp;"|"&amp;$D18&amp;"|"&amp;P$14&amp;"|"&amp;"CY2021Q3",Spectrum!$Q:$Q,0)),0),"")</f>
        <v/>
      </c>
      <c r="Q18" s="123" t="str">
        <f aca="false">_xlfn.IFNA(INDEX(Spectrum!$P:$P,MATCH(RIGHT($B18,13)&amp;"|"&amp;$C18&amp;"|"&amp;$D18&amp;"|"&amp;P$14&amp;"|"&amp;"CY2021Q3",Spectrum!$Q:$Q,0)),"")</f>
        <v/>
      </c>
      <c r="R18" s="115"/>
      <c r="S18" s="123" t="str">
        <f aca="false">IF(OR(SUM($P18)&lt;=0,SUM($R18)&lt;=0),"",SUM($R18)/$P18)</f>
        <v/>
      </c>
      <c r="T18" s="139"/>
      <c r="U18" s="124"/>
      <c r="V18" s="124" t="str">
        <f aca="false">IF($U18-$T18=0,"",$U18-$T18)</f>
        <v/>
      </c>
      <c r="W18" s="123" t="str">
        <f aca="false">IF(LEFT($B18,4)="_Mil","",IFERROR(MIN(IF(SUM($N18)&lt;=0,SUM($U18)/SUM($P18),SUM($T18)/SUM($N18)),1),""))</f>
        <v/>
      </c>
      <c r="X18" s="123" t="str">
        <f aca="false">$W18</f>
        <v/>
      </c>
      <c r="Y18" s="123" t="str">
        <f aca="false">IFERROR(1/(1/INDEX(Spectrum!$N:$N,MATCH(RIGHT($B18,13)&amp;"|"&amp;$C18&amp;"|"&amp;$D18&amp;"|"&amp;Y$14&amp;"|"&amp;"CY2021Q3",Spectrum!$Q:$Q,0))),IF(SUM($H18)=0,"",MAX(SUM($P18),SUM($U18))/SUM($H18)))</f>
        <v/>
      </c>
      <c r="Z18" s="123" t="str">
        <f aca="false">IF(SUM($Y18)=0,"",MAX(SUM($Y18),90%))</f>
        <v/>
      </c>
      <c r="AA18" s="115" t="str">
        <f aca="false">IF(LEFT($B18,4)="_Mil","",ROUND(MAX(SUM($U18),SUM($P18))+IF(SUM($Z18)=0,0,MAX(SUM($Z18)-SUM($Y18),0)*SUM($H18)),0))</f>
        <v/>
      </c>
      <c r="AB18" s="115" t="str">
        <f aca="false">IF(SUM($AA18)=0,"",ROUND(MAX(SUM($AA18)-MAX(SUM($P18),SUM($U18)),0),0))</f>
        <v/>
      </c>
      <c r="AC18" s="126" t="str">
        <f aca="false">IF($C18="&lt;01",IFERROR(ROUND(INDEX(EID!$N:$N,MATCH($B18,EID!$B:$B,0))/2,0),""),"")</f>
        <v/>
      </c>
      <c r="AD18" s="115" t="str">
        <f aca="false">IF($C18="&lt;01",IF(SUM($AC18)=0,"",ROUND(SUM($AC18)/$AG18,0)),IF(SUM($AB18)=0,"",ROUND(MAX($X18,0)*SUM($AB18),0)))</f>
        <v/>
      </c>
      <c r="AE18" s="115" t="str">
        <f aca="false">IF(AND(SUM($AD18)=0,SUM($U18)=0),"",ROUND(IF($C18="&lt;01",0,SUM($U18))+SUM($AD18),0))</f>
        <v/>
      </c>
      <c r="AF18" s="122" t="n">
        <f aca="false">IF($C18="&lt;01","",100%)</f>
        <v>1</v>
      </c>
      <c r="AG18" s="123" t="n">
        <f aca="false">0.98</f>
        <v>0.98</v>
      </c>
      <c r="AH18" s="123" t="n">
        <f aca="false">0.98</f>
        <v>0.98</v>
      </c>
      <c r="AI18" s="124" t="str">
        <f aca="false">IF(OR($C18="&lt;01",SUM($U18)=0),"",ROUND(SUM($U18)*(1-$AH18),0))</f>
        <v/>
      </c>
      <c r="AJ18" s="124" t="str">
        <f aca="false">IF(AND(SUM($AE18)=0,SUM($U18)=0),"",IF($C18="&lt;01",SUM($AD18),SUM($AE18) - ROUND(SUM($U18)*$AH18,0)))</f>
        <v/>
      </c>
      <c r="AK18" s="124"/>
      <c r="AL18" s="124"/>
      <c r="AM18" s="115" t="str">
        <f aca="false">IF(AND(SUM($AD18)=0,SUM($U18)=0),"",IF($C18="&lt;01",SUM($AD18),ROUND(ROUND(SUM($AJ18)*$AF18,0)/$AG18,0)))</f>
        <v/>
      </c>
      <c r="AN18" s="122" t="n">
        <f aca="false">0.7</f>
        <v>0.7</v>
      </c>
      <c r="AO18" s="123" t="n">
        <f aca="false">1</f>
        <v>1</v>
      </c>
      <c r="AP18" s="115" t="str">
        <f aca="false">IF(AND(SUM($U18)=0,SUM($AM18)=0),"",ROUND((SUM($AM18)*$AN18+IF($C18="&lt;01",0,$U18))*$AO18,0))</f>
        <v/>
      </c>
      <c r="AQ18" s="122"/>
      <c r="AR18" s="123" t="n">
        <f aca="false">0.95</f>
        <v>0.95</v>
      </c>
      <c r="AS18" s="123" t="n">
        <f aca="false">0.95</f>
        <v>0.95</v>
      </c>
      <c r="AT18" s="115" t="str">
        <f aca="false">IF(SUM($AP18)=0,"",ROUND(SUM($AP18)*$AR18,0))</f>
        <v/>
      </c>
      <c r="AU18" s="115" t="str">
        <f aca="false">IF(LEFT($B18,4)="_Mil","",ROUND(SUM($AA18)*SUM($AS18),0))</f>
        <v/>
      </c>
      <c r="AV18" s="124" t="str">
        <f aca="false">IF(SUM($AU18)&lt;=0,"",MAX(SUM($AU18)-SUM($R18),0))</f>
        <v/>
      </c>
      <c r="AW18" s="122" t="n">
        <f aca="false">0</f>
        <v>0</v>
      </c>
      <c r="AX18" s="124" t="str">
        <f aca="false">IF(SUM($AM18)=0,"",ROUND(SUM($AM18)*SUM($AW18),0))</f>
        <v/>
      </c>
      <c r="AY18" s="124" t="str">
        <f aca="false">IF(SUM($AM18)=0,"",SUM($AM18)-SUM($AX18))</f>
        <v/>
      </c>
      <c r="AZ18" s="123"/>
      <c r="BA18" s="123" t="n">
        <f aca="false">0.95</f>
        <v>0.95</v>
      </c>
      <c r="BB18" s="123"/>
      <c r="BC18" s="123" t="str">
        <f aca="false">IF(OR(SUM($AM18)&lt;=0,$C18="&lt;01"),"",MAX(IF(OR(SUM($Y18)&lt;70%,LEFT($B18,4)="_Mil"),30%,IF(SUM($Y18)&gt;=80%,75%,50%)),SUM($BB18)))</f>
        <v/>
      </c>
      <c r="BD18" s="115" t="str">
        <f aca="false">IF($C18="&lt;01",IFERROR(ROUND(INDEX(EID!$M:$M,MATCH($B18,EID!$B:$B,0)),0)/2,""),IF(SUM($AY18)=0,"",ROUND(SUM($AY18)/SUM($BA18),0)))</f>
        <v/>
      </c>
      <c r="BE18" s="115" t="str">
        <f aca="false">IF($C18="&lt;01","",IF(SUM($BD18)=0,"",ROUND(SUM($BD18)*SUM($BC18),0)))</f>
        <v/>
      </c>
      <c r="BF18" s="115" t="str">
        <f aca="false">_xlfn.IFNA(INDEX(PMTCT!$AE:$AE,MATCH($E18,PMTCT!$E:$E,0)),"")</f>
        <v/>
      </c>
      <c r="BG18" s="115" t="str">
        <f aca="false">_xlfn.IFNA(INDEX(PMTCT!$AU:$AU,MATCH($E18,PMTCT!$E:$E,0)),"")</f>
        <v/>
      </c>
      <c r="BH18" s="115" t="str">
        <f aca="false">_xlfn.IFNA(INDEX(TB!$Q:$Q,MATCH($E18,TB!$E:$E,0)),"")</f>
        <v/>
      </c>
      <c r="BI18" s="115" t="str">
        <f aca="false">_xlfn.IFNA(INDEX(VMMC!$AC:$AC,MATCH($E18,VMMC!$E:$E,0)),"")</f>
        <v/>
      </c>
      <c r="BJ18" s="115" t="str">
        <f aca="false">IF($C18="&lt;01",$BD18,"")</f>
        <v/>
      </c>
      <c r="BK18" s="115" t="str">
        <f aca="false">IF(SUM($BD18)=0,"",($BD18)-SUM($BE18:$BJ18))</f>
        <v/>
      </c>
      <c r="BL18" s="123" t="str">
        <f aca="false">IF(OR(SUM($BD18)=0,SUM($BE18)=0),"",SUM($BE18)/$BD18)</f>
        <v/>
      </c>
      <c r="BM18" s="123" t="str">
        <f aca="false">IF(OR(SUM($BD18)=0,SUM($BF18)=0),"",SUM($BF18)/$BD18)</f>
        <v/>
      </c>
      <c r="BN18" s="123" t="str">
        <f aca="false">IF(OR(SUM($BD18)=0,SUM($BG18)=0),"",SUM($BG18)/$BD18)</f>
        <v/>
      </c>
      <c r="BO18" s="123" t="str">
        <f aca="false">IF(OR(SUM($BD18)=0,SUM($BH18)=0),"",SUM($BH18)/$BD18)</f>
        <v/>
      </c>
      <c r="BP18" s="123" t="str">
        <f aca="false">IF(OR(SUM($BD18)=0,SUM($BI18)=0),"",SUM($BI18)/$BD18)</f>
        <v/>
      </c>
      <c r="BQ18" s="123" t="str">
        <f aca="false">IF(AND($C18="&lt;01",SUM($BJ18)&lt;&gt;0),$BJ18/SUM($BD18),"")</f>
        <v/>
      </c>
      <c r="BR18" s="123" t="str">
        <f aca="false">IF(OR(SUM($BD18)=0,SUM($BK18)=0),"",SUM($BK18)/$BD18)</f>
        <v/>
      </c>
      <c r="BS18" s="122" t="str">
        <f aca="false">IF(SUM($X18)&lt;=0,"",$X18)</f>
        <v/>
      </c>
      <c r="BT18" s="115" t="str">
        <f aca="false">IF(LEFT($B18,4)="_Mil","",MAX(SUM($L18)+ROUND(SUM($BD18)/IF(SUM($BS18)&lt;=0,1,SUM($BS18)),0),0))</f>
        <v/>
      </c>
    </row>
    <row r="19" customFormat="false" ht="15" hidden="false" customHeight="false" outlineLevel="0" collapsed="false">
      <c r="A19" s="0" t="s">
        <v>140</v>
      </c>
      <c r="B19" s="0" t="s">
        <v>141</v>
      </c>
      <c r="C19" s="0" t="s">
        <v>83</v>
      </c>
      <c r="D19" s="0" t="s">
        <v>56</v>
      </c>
      <c r="E19" s="0" t="str">
        <f aca="false">B19&amp;"|"&amp;C19&amp;"|"&amp;D19</f>
        <v>_Military Lesotho [#Military] [dDOqoFnD5Be]|05-09|Female</v>
      </c>
      <c r="F19" s="115" t="str">
        <f aca="false">_xlfn.IFNA(ROUND(INDEX(Spectrum!$N:$N,MATCH(RIGHT($B19,13)&amp;"|"&amp;$C19&amp;"|"&amp;$D19&amp;"|"&amp;F$14&amp;"|"&amp;"CY2021Q3",Spectrum!$Q:$Q,0)),0),"")</f>
        <v/>
      </c>
      <c r="G19" s="123" t="str">
        <f aca="false">_xlfn.IFNA(INDEX(Spectrum!$P:$P,MATCH(RIGHT($B19,13)&amp;"|"&amp;$C19&amp;"|"&amp;$D19&amp;"|"&amp;F$14&amp;"|"&amp;"CY2021Q3",Spectrum!$Q:$Q,0)),"")</f>
        <v/>
      </c>
      <c r="H19" s="115" t="str">
        <f aca="false">_xlfn.IFNA(ROUND(INDEX(Spectrum!$N:$N,MATCH(RIGHT($B19,13)&amp;"|"&amp;$C19&amp;"|"&amp;$D19&amp;"|"&amp;H$14&amp;"|"&amp;"CY2021Q3",Spectrum!$Q:$Q,0)),0),"")</f>
        <v/>
      </c>
      <c r="I19" s="123" t="str">
        <f aca="false">_xlfn.IFNA(INDEX(Spectrum!$P:$P,MATCH(RIGHT($B19,13)&amp;"|"&amp;$C19&amp;"|"&amp;$D19&amp;"|"&amp;H$14&amp;"|"&amp;"CY2021Q3",Spectrum!$Q:$Q,0)),"")</f>
        <v/>
      </c>
      <c r="J19" s="117" t="str">
        <f aca="false">_xlfn.IFNA(INDEX(Spectrum!$N:$N,MATCH(RIGHT($B19,13)&amp;"|"&amp;$C19&amp;"|"&amp;$D19&amp;"|"&amp;J$14&amp;"|"&amp;"CY2021Q3",Spectrum!$Q:$Q,0)),"")</f>
        <v/>
      </c>
      <c r="K19" s="123" t="str">
        <f aca="false">_xlfn.IFNA(INDEX(Spectrum!$P:$P,MATCH(RIGHT($B19,13)&amp;"|"&amp;$C19&amp;"|"&amp;$D19&amp;"|"&amp;J$14&amp;"|"&amp;"CY2021Q3",Spectrum!$Q:$Q,0)),"")</f>
        <v/>
      </c>
      <c r="L19" s="115" t="str">
        <f aca="false">_xlfn.IFNA(ROUND(INDEX(Spectrum!$N:$N,MATCH(RIGHT($B19,13)&amp;"|"&amp;$C19&amp;"|"&amp;$D19&amp;"|"&amp;L$14&amp;"|"&amp;"CY2021Q3",Spectrum!$Q:$Q,0)),0),"")</f>
        <v/>
      </c>
      <c r="M19" s="123" t="str">
        <f aca="false">IF(OR(SUM($H19)&lt;=0,SUM($L19)&lt;=0),"",SUM($L19)/$H19)</f>
        <v/>
      </c>
      <c r="N19" s="115" t="str">
        <f aca="false">_xlfn.IFNA(ROUND(INDEX(Spectrum!$N:$N,MATCH(RIGHT($B19,13)&amp;"|"&amp;$C19&amp;"|"&amp;$D19&amp;"|"&amp;N$14&amp;"|"&amp;"CY2020Q4",Spectrum!$Q:$Q,0)),0),"")</f>
        <v/>
      </c>
      <c r="O19" s="123" t="str">
        <f aca="false">_xlfn.IFNA(INDEX(Spectrum!$P:$P,MATCH(RIGHT($B19,13)&amp;"|"&amp;$C19&amp;"|"&amp;$D19&amp;"|"&amp;N$14&amp;"|"&amp;"CY2020Q4",Spectrum!$Q:$Q,0)),"")</f>
        <v/>
      </c>
      <c r="P19" s="115" t="str">
        <f aca="false">_xlfn.IFNA(ROUND(INDEX(Spectrum!$N:$N,MATCH(RIGHT($B19,13)&amp;"|"&amp;$C19&amp;"|"&amp;$D19&amp;"|"&amp;P$14&amp;"|"&amp;"CY2021Q3",Spectrum!$Q:$Q,0)),0),"")</f>
        <v/>
      </c>
      <c r="Q19" s="123" t="str">
        <f aca="false">_xlfn.IFNA(INDEX(Spectrum!$P:$P,MATCH(RIGHT($B19,13)&amp;"|"&amp;$C19&amp;"|"&amp;$D19&amp;"|"&amp;P$14&amp;"|"&amp;"CY2021Q3",Spectrum!$Q:$Q,0)),"")</f>
        <v/>
      </c>
      <c r="R19" s="115"/>
      <c r="S19" s="123" t="str">
        <f aca="false">IF(OR(SUM($P19)&lt;=0,SUM($R19)&lt;=0),"",SUM($R19)/$P19)</f>
        <v/>
      </c>
      <c r="T19" s="139"/>
      <c r="U19" s="124"/>
      <c r="V19" s="124" t="str">
        <f aca="false">IF($U19-$T19=0,"",$U19-$T19)</f>
        <v/>
      </c>
      <c r="W19" s="123" t="str">
        <f aca="false">IF(LEFT($B19,4)="_Mil","",IFERROR(MIN(IF(SUM($N19)&lt;=0,SUM($U19)/SUM($P19),SUM($T19)/SUM($N19)),1),""))</f>
        <v/>
      </c>
      <c r="X19" s="123" t="str">
        <f aca="false">$W19</f>
        <v/>
      </c>
      <c r="Y19" s="123" t="str">
        <f aca="false">IFERROR(1/(1/INDEX(Spectrum!$N:$N,MATCH(RIGHT($B19,13)&amp;"|"&amp;$C19&amp;"|"&amp;$D19&amp;"|"&amp;Y$14&amp;"|"&amp;"CY2021Q3",Spectrum!$Q:$Q,0))),IF(SUM($H19)=0,"",MAX(SUM($P19),SUM($U19))/SUM($H19)))</f>
        <v/>
      </c>
      <c r="Z19" s="123" t="str">
        <f aca="false">IF(SUM($Y19)=0,"",MAX(SUM($Y19),90%))</f>
        <v/>
      </c>
      <c r="AA19" s="115" t="str">
        <f aca="false">IF(LEFT($B19,4)="_Mil","",ROUND(MAX(SUM($U19),SUM($P19))+IF(SUM($Z19)=0,0,MAX(SUM($Z19)-SUM($Y19),0)*SUM($H19)),0))</f>
        <v/>
      </c>
      <c r="AB19" s="115" t="str">
        <f aca="false">IF(SUM($AA19)=0,"",ROUND(MAX(SUM($AA19)-MAX(SUM($P19),SUM($U19)),0),0))</f>
        <v/>
      </c>
      <c r="AC19" s="126" t="str">
        <f aca="false">IF($C19="&lt;01",IFERROR(ROUND(INDEX(EID!$N:$N,MATCH($B19,EID!$B:$B,0))/2,0),""),"")</f>
        <v/>
      </c>
      <c r="AD19" s="115" t="str">
        <f aca="false">IF($C19="&lt;01",IF(SUM($AC19)=0,"",ROUND(SUM($AC19)/$AG19,0)),IF(SUM($AB19)=0,"",ROUND(MAX($X19,0)*SUM($AB19),0)))</f>
        <v/>
      </c>
      <c r="AE19" s="115" t="str">
        <f aca="false">IF(AND(SUM($AD19)=0,SUM($U19)=0),"",ROUND(IF($C19="&lt;01",0,SUM($U19))+SUM($AD19),0))</f>
        <v/>
      </c>
      <c r="AF19" s="122" t="n">
        <f aca="false">IF($C19="&lt;01","",100%)</f>
        <v>1</v>
      </c>
      <c r="AG19" s="123" t="n">
        <f aca="false">0.98</f>
        <v>0.98</v>
      </c>
      <c r="AH19" s="123" t="n">
        <f aca="false">0.98</f>
        <v>0.98</v>
      </c>
      <c r="AI19" s="124" t="str">
        <f aca="false">IF(OR($C19="&lt;01",SUM($U19)=0),"",ROUND(SUM($U19)*(1-$AH19),0))</f>
        <v/>
      </c>
      <c r="AJ19" s="124" t="str">
        <f aca="false">IF(AND(SUM($AE19)=0,SUM($U19)=0),"",IF($C19="&lt;01",SUM($AD19),SUM($AE19) - ROUND(SUM($U19)*$AH19,0)))</f>
        <v/>
      </c>
      <c r="AK19" s="124"/>
      <c r="AL19" s="124"/>
      <c r="AM19" s="115" t="str">
        <f aca="false">IF(AND(SUM($AD19)=0,SUM($U19)=0),"",IF($C19="&lt;01",SUM($AD19),ROUND(ROUND(SUM($AJ19)*$AF19,0)/$AG19,0)))</f>
        <v/>
      </c>
      <c r="AN19" s="122" t="n">
        <f aca="false">0.7</f>
        <v>0.7</v>
      </c>
      <c r="AO19" s="123" t="n">
        <f aca="false">1</f>
        <v>1</v>
      </c>
      <c r="AP19" s="115" t="str">
        <f aca="false">IF(AND(SUM($U19)=0,SUM($AM19)=0),"",ROUND((SUM($AM19)*$AN19+IF($C19="&lt;01",0,$U19))*$AO19,0))</f>
        <v/>
      </c>
      <c r="AQ19" s="122"/>
      <c r="AR19" s="123" t="n">
        <f aca="false">0.95</f>
        <v>0.95</v>
      </c>
      <c r="AS19" s="123" t="n">
        <f aca="false">0.95</f>
        <v>0.95</v>
      </c>
      <c r="AT19" s="115" t="str">
        <f aca="false">IF(SUM($AP19)=0,"",ROUND(SUM($AP19)*$AR19,0))</f>
        <v/>
      </c>
      <c r="AU19" s="115" t="str">
        <f aca="false">IF(LEFT($B19,4)="_Mil","",ROUND(SUM($AA19)*SUM($AS19),0))</f>
        <v/>
      </c>
      <c r="AV19" s="124" t="str">
        <f aca="false">IF(SUM($AU19)&lt;=0,"",MAX(SUM($AU19)-SUM($R19),0))</f>
        <v/>
      </c>
      <c r="AW19" s="122" t="n">
        <f aca="false">0</f>
        <v>0</v>
      </c>
      <c r="AX19" s="124" t="str">
        <f aca="false">IF(SUM($AM19)=0,"",ROUND(SUM($AM19)*SUM($AW19),0))</f>
        <v/>
      </c>
      <c r="AY19" s="124" t="str">
        <f aca="false">IF(SUM($AM19)=0,"",SUM($AM19)-SUM($AX19))</f>
        <v/>
      </c>
      <c r="AZ19" s="123"/>
      <c r="BA19" s="123" t="n">
        <f aca="false">0.95</f>
        <v>0.95</v>
      </c>
      <c r="BB19" s="123"/>
      <c r="BC19" s="123" t="str">
        <f aca="false">IF(OR(SUM($AM19)&lt;=0,$C19="&lt;01"),"",MAX(IF(OR(SUM($Y19)&lt;70%,LEFT($B19,4)="_Mil"),30%,IF(SUM($Y19)&gt;=80%,75%,50%)),SUM($BB19)))</f>
        <v/>
      </c>
      <c r="BD19" s="115" t="str">
        <f aca="false">IF($C19="&lt;01",IFERROR(ROUND(INDEX(EID!$M:$M,MATCH($B19,EID!$B:$B,0)),0)/2,""),IF(SUM($AY19)=0,"",ROUND(SUM($AY19)/SUM($BA19),0)))</f>
        <v/>
      </c>
      <c r="BE19" s="115" t="str">
        <f aca="false">IF($C19="&lt;01","",IF(SUM($BD19)=0,"",ROUND(SUM($BD19)*SUM($BC19),0)))</f>
        <v/>
      </c>
      <c r="BF19" s="115" t="str">
        <f aca="false">_xlfn.IFNA(INDEX(PMTCT!$AE:$AE,MATCH($E19,PMTCT!$E:$E,0)),"")</f>
        <v/>
      </c>
      <c r="BG19" s="115" t="str">
        <f aca="false">_xlfn.IFNA(INDEX(PMTCT!$AU:$AU,MATCH($E19,PMTCT!$E:$E,0)),"")</f>
        <v/>
      </c>
      <c r="BH19" s="115" t="str">
        <f aca="false">_xlfn.IFNA(INDEX(TB!$Q:$Q,MATCH($E19,TB!$E:$E,0)),"")</f>
        <v/>
      </c>
      <c r="BI19" s="115" t="str">
        <f aca="false">_xlfn.IFNA(INDEX(VMMC!$AC:$AC,MATCH($E19,VMMC!$E:$E,0)),"")</f>
        <v/>
      </c>
      <c r="BJ19" s="115" t="str">
        <f aca="false">IF($C19="&lt;01",$BD19,"")</f>
        <v/>
      </c>
      <c r="BK19" s="115" t="str">
        <f aca="false">IF(SUM($BD19)=0,"",($BD19)-SUM($BE19:$BJ19))</f>
        <v/>
      </c>
      <c r="BL19" s="123" t="str">
        <f aca="false">IF(OR(SUM($BD19)=0,SUM($BE19)=0),"",SUM($BE19)/$BD19)</f>
        <v/>
      </c>
      <c r="BM19" s="123" t="str">
        <f aca="false">IF(OR(SUM($BD19)=0,SUM($BF19)=0),"",SUM($BF19)/$BD19)</f>
        <v/>
      </c>
      <c r="BN19" s="123" t="str">
        <f aca="false">IF(OR(SUM($BD19)=0,SUM($BG19)=0),"",SUM($BG19)/$BD19)</f>
        <v/>
      </c>
      <c r="BO19" s="123" t="str">
        <f aca="false">IF(OR(SUM($BD19)=0,SUM($BH19)=0),"",SUM($BH19)/$BD19)</f>
        <v/>
      </c>
      <c r="BP19" s="123" t="str">
        <f aca="false">IF(OR(SUM($BD19)=0,SUM($BI19)=0),"",SUM($BI19)/$BD19)</f>
        <v/>
      </c>
      <c r="BQ19" s="123" t="str">
        <f aca="false">IF(AND($C19="&lt;01",SUM($BJ19)&lt;&gt;0),$BJ19/SUM($BD19),"")</f>
        <v/>
      </c>
      <c r="BR19" s="123" t="str">
        <f aca="false">IF(OR(SUM($BD19)=0,SUM($BK19)=0),"",SUM($BK19)/$BD19)</f>
        <v/>
      </c>
      <c r="BS19" s="122" t="str">
        <f aca="false">IF(SUM($X19)&lt;=0,"",$X19)</f>
        <v/>
      </c>
      <c r="BT19" s="115" t="str">
        <f aca="false">IF(LEFT($B19,4)="_Mil","",MAX(SUM($L19)+ROUND(SUM($BD19)/IF(SUM($BS19)&lt;=0,1,SUM($BS19)),0),0))</f>
        <v/>
      </c>
    </row>
    <row r="20" customFormat="false" ht="15" hidden="false" customHeight="false" outlineLevel="0" collapsed="false">
      <c r="A20" s="0" t="s">
        <v>140</v>
      </c>
      <c r="B20" s="0" t="s">
        <v>141</v>
      </c>
      <c r="C20" s="0" t="s">
        <v>83</v>
      </c>
      <c r="D20" s="0" t="s">
        <v>58</v>
      </c>
      <c r="E20" s="0" t="str">
        <f aca="false">B20&amp;"|"&amp;C20&amp;"|"&amp;D20</f>
        <v>_Military Lesotho [#Military] [dDOqoFnD5Be]|05-09|Male</v>
      </c>
      <c r="F20" s="115" t="str">
        <f aca="false">_xlfn.IFNA(ROUND(INDEX(Spectrum!$N:$N,MATCH(RIGHT($B20,13)&amp;"|"&amp;$C20&amp;"|"&amp;$D20&amp;"|"&amp;F$14&amp;"|"&amp;"CY2021Q3",Spectrum!$Q:$Q,0)),0),"")</f>
        <v/>
      </c>
      <c r="G20" s="123" t="str">
        <f aca="false">_xlfn.IFNA(INDEX(Spectrum!$P:$P,MATCH(RIGHT($B20,13)&amp;"|"&amp;$C20&amp;"|"&amp;$D20&amp;"|"&amp;F$14&amp;"|"&amp;"CY2021Q3",Spectrum!$Q:$Q,0)),"")</f>
        <v/>
      </c>
      <c r="H20" s="115" t="str">
        <f aca="false">_xlfn.IFNA(ROUND(INDEX(Spectrum!$N:$N,MATCH(RIGHT($B20,13)&amp;"|"&amp;$C20&amp;"|"&amp;$D20&amp;"|"&amp;H$14&amp;"|"&amp;"CY2021Q3",Spectrum!$Q:$Q,0)),0),"")</f>
        <v/>
      </c>
      <c r="I20" s="123" t="str">
        <f aca="false">_xlfn.IFNA(INDEX(Spectrum!$P:$P,MATCH(RIGHT($B20,13)&amp;"|"&amp;$C20&amp;"|"&amp;$D20&amp;"|"&amp;H$14&amp;"|"&amp;"CY2021Q3",Spectrum!$Q:$Q,0)),"")</f>
        <v/>
      </c>
      <c r="J20" s="117" t="str">
        <f aca="false">_xlfn.IFNA(INDEX(Spectrum!$N:$N,MATCH(RIGHT($B20,13)&amp;"|"&amp;$C20&amp;"|"&amp;$D20&amp;"|"&amp;J$14&amp;"|"&amp;"CY2021Q3",Spectrum!$Q:$Q,0)),"")</f>
        <v/>
      </c>
      <c r="K20" s="123" t="str">
        <f aca="false">_xlfn.IFNA(INDEX(Spectrum!$P:$P,MATCH(RIGHT($B20,13)&amp;"|"&amp;$C20&amp;"|"&amp;$D20&amp;"|"&amp;J$14&amp;"|"&amp;"CY2021Q3",Spectrum!$Q:$Q,0)),"")</f>
        <v/>
      </c>
      <c r="L20" s="115" t="str">
        <f aca="false">_xlfn.IFNA(ROUND(INDEX(Spectrum!$N:$N,MATCH(RIGHT($B20,13)&amp;"|"&amp;$C20&amp;"|"&amp;$D20&amp;"|"&amp;L$14&amp;"|"&amp;"CY2021Q3",Spectrum!$Q:$Q,0)),0),"")</f>
        <v/>
      </c>
      <c r="M20" s="123" t="str">
        <f aca="false">IF(OR(SUM($H20)&lt;=0,SUM($L20)&lt;=0),"",SUM($L20)/$H20)</f>
        <v/>
      </c>
      <c r="N20" s="115" t="str">
        <f aca="false">_xlfn.IFNA(ROUND(INDEX(Spectrum!$N:$N,MATCH(RIGHT($B20,13)&amp;"|"&amp;$C20&amp;"|"&amp;$D20&amp;"|"&amp;N$14&amp;"|"&amp;"CY2020Q4",Spectrum!$Q:$Q,0)),0),"")</f>
        <v/>
      </c>
      <c r="O20" s="123" t="str">
        <f aca="false">_xlfn.IFNA(INDEX(Spectrum!$P:$P,MATCH(RIGHT($B20,13)&amp;"|"&amp;$C20&amp;"|"&amp;$D20&amp;"|"&amp;N$14&amp;"|"&amp;"CY2020Q4",Spectrum!$Q:$Q,0)),"")</f>
        <v/>
      </c>
      <c r="P20" s="115" t="str">
        <f aca="false">_xlfn.IFNA(ROUND(INDEX(Spectrum!$N:$N,MATCH(RIGHT($B20,13)&amp;"|"&amp;$C20&amp;"|"&amp;$D20&amp;"|"&amp;P$14&amp;"|"&amp;"CY2021Q3",Spectrum!$Q:$Q,0)),0),"")</f>
        <v/>
      </c>
      <c r="Q20" s="123" t="str">
        <f aca="false">_xlfn.IFNA(INDEX(Spectrum!$P:$P,MATCH(RIGHT($B20,13)&amp;"|"&amp;$C20&amp;"|"&amp;$D20&amp;"|"&amp;P$14&amp;"|"&amp;"CY2021Q3",Spectrum!$Q:$Q,0)),"")</f>
        <v/>
      </c>
      <c r="R20" s="115"/>
      <c r="S20" s="123" t="str">
        <f aca="false">IF(OR(SUM($P20)&lt;=0,SUM($R20)&lt;=0),"",SUM($R20)/$P20)</f>
        <v/>
      </c>
      <c r="T20" s="139"/>
      <c r="U20" s="124"/>
      <c r="V20" s="124" t="str">
        <f aca="false">IF($U20-$T20=0,"",$U20-$T20)</f>
        <v/>
      </c>
      <c r="W20" s="123" t="str">
        <f aca="false">IF(LEFT($B20,4)="_Mil","",IFERROR(MIN(IF(SUM($N20)&lt;=0,SUM($U20)/SUM($P20),SUM($T20)/SUM($N20)),1),""))</f>
        <v/>
      </c>
      <c r="X20" s="123" t="str">
        <f aca="false">$W20</f>
        <v/>
      </c>
      <c r="Y20" s="123" t="str">
        <f aca="false">IFERROR(1/(1/INDEX(Spectrum!$N:$N,MATCH(RIGHT($B20,13)&amp;"|"&amp;$C20&amp;"|"&amp;$D20&amp;"|"&amp;Y$14&amp;"|"&amp;"CY2021Q3",Spectrum!$Q:$Q,0))),IF(SUM($H20)=0,"",MAX(SUM($P20),SUM($U20))/SUM($H20)))</f>
        <v/>
      </c>
      <c r="Z20" s="123" t="str">
        <f aca="false">IF(SUM($Y20)=0,"",MAX(SUM($Y20),90%))</f>
        <v/>
      </c>
      <c r="AA20" s="115" t="str">
        <f aca="false">IF(LEFT($B20,4)="_Mil","",ROUND(MAX(SUM($U20),SUM($P20))+IF(SUM($Z20)=0,0,MAX(SUM($Z20)-SUM($Y20),0)*SUM($H20)),0))</f>
        <v/>
      </c>
      <c r="AB20" s="115" t="str">
        <f aca="false">IF(SUM($AA20)=0,"",ROUND(MAX(SUM($AA20)-MAX(SUM($P20),SUM($U20)),0),0))</f>
        <v/>
      </c>
      <c r="AC20" s="126" t="str">
        <f aca="false">IF($C20="&lt;01",IFERROR(ROUND(INDEX(EID!$N:$N,MATCH($B20,EID!$B:$B,0))/2,0),""),"")</f>
        <v/>
      </c>
      <c r="AD20" s="115" t="str">
        <f aca="false">IF($C20="&lt;01",IF(SUM($AC20)=0,"",ROUND(SUM($AC20)/$AG20,0)),IF(SUM($AB20)=0,"",ROUND(MAX($X20,0)*SUM($AB20),0)))</f>
        <v/>
      </c>
      <c r="AE20" s="115" t="str">
        <f aca="false">IF(AND(SUM($AD20)=0,SUM($U20)=0),"",ROUND(IF($C20="&lt;01",0,SUM($U20))+SUM($AD20),0))</f>
        <v/>
      </c>
      <c r="AF20" s="122" t="n">
        <f aca="false">IF($C20="&lt;01","",100%)</f>
        <v>1</v>
      </c>
      <c r="AG20" s="123" t="n">
        <f aca="false">0.98</f>
        <v>0.98</v>
      </c>
      <c r="AH20" s="123" t="n">
        <f aca="false">0.98</f>
        <v>0.98</v>
      </c>
      <c r="AI20" s="124" t="str">
        <f aca="false">IF(OR($C20="&lt;01",SUM($U20)=0),"",ROUND(SUM($U20)*(1-$AH20),0))</f>
        <v/>
      </c>
      <c r="AJ20" s="124" t="str">
        <f aca="false">IF(AND(SUM($AE20)=0,SUM($U20)=0),"",IF($C20="&lt;01",SUM($AD20),SUM($AE20) - ROUND(SUM($U20)*$AH20,0)))</f>
        <v/>
      </c>
      <c r="AK20" s="124"/>
      <c r="AL20" s="124"/>
      <c r="AM20" s="115" t="str">
        <f aca="false">IF(AND(SUM($AD20)=0,SUM($U20)=0),"",IF($C20="&lt;01",SUM($AD20),ROUND(ROUND(SUM($AJ20)*$AF20,0)/$AG20,0)))</f>
        <v/>
      </c>
      <c r="AN20" s="122" t="n">
        <f aca="false">0.7</f>
        <v>0.7</v>
      </c>
      <c r="AO20" s="123" t="n">
        <f aca="false">1</f>
        <v>1</v>
      </c>
      <c r="AP20" s="115" t="str">
        <f aca="false">IF(AND(SUM($U20)=0,SUM($AM20)=0),"",ROUND((SUM($AM20)*$AN20+IF($C20="&lt;01",0,$U20))*$AO20,0))</f>
        <v/>
      </c>
      <c r="AQ20" s="122"/>
      <c r="AR20" s="123" t="n">
        <f aca="false">0.95</f>
        <v>0.95</v>
      </c>
      <c r="AS20" s="123" t="n">
        <f aca="false">0.95</f>
        <v>0.95</v>
      </c>
      <c r="AT20" s="115" t="str">
        <f aca="false">IF(SUM($AP20)=0,"",ROUND(SUM($AP20)*$AR20,0))</f>
        <v/>
      </c>
      <c r="AU20" s="115" t="str">
        <f aca="false">IF(LEFT($B20,4)="_Mil","",ROUND(SUM($AA20)*SUM($AS20),0))</f>
        <v/>
      </c>
      <c r="AV20" s="124" t="str">
        <f aca="false">IF(SUM($AU20)&lt;=0,"",MAX(SUM($AU20)-SUM($R20),0))</f>
        <v/>
      </c>
      <c r="AW20" s="122" t="n">
        <f aca="false">0</f>
        <v>0</v>
      </c>
      <c r="AX20" s="124" t="str">
        <f aca="false">IF(SUM($AM20)=0,"",ROUND(SUM($AM20)*SUM($AW20),0))</f>
        <v/>
      </c>
      <c r="AY20" s="124" t="str">
        <f aca="false">IF(SUM($AM20)=0,"",SUM($AM20)-SUM($AX20))</f>
        <v/>
      </c>
      <c r="AZ20" s="123"/>
      <c r="BA20" s="123" t="n">
        <f aca="false">0.95</f>
        <v>0.95</v>
      </c>
      <c r="BB20" s="123"/>
      <c r="BC20" s="123" t="str">
        <f aca="false">IF(OR(SUM($AM20)&lt;=0,$C20="&lt;01"),"",MAX(IF(OR(SUM($Y20)&lt;70%,LEFT($B20,4)="_Mil"),30%,IF(SUM($Y20)&gt;=80%,75%,50%)),SUM($BB20)))</f>
        <v/>
      </c>
      <c r="BD20" s="115" t="str">
        <f aca="false">IF($C20="&lt;01",IFERROR(ROUND(INDEX(EID!$M:$M,MATCH($B20,EID!$B:$B,0)),0)/2,""),IF(SUM($AY20)=0,"",ROUND(SUM($AY20)/SUM($BA20),0)))</f>
        <v/>
      </c>
      <c r="BE20" s="115" t="str">
        <f aca="false">IF($C20="&lt;01","",IF(SUM($BD20)=0,"",ROUND(SUM($BD20)*SUM($BC20),0)))</f>
        <v/>
      </c>
      <c r="BF20" s="115" t="str">
        <f aca="false">_xlfn.IFNA(INDEX(PMTCT!$AE:$AE,MATCH($E20,PMTCT!$E:$E,0)),"")</f>
        <v/>
      </c>
      <c r="BG20" s="115" t="str">
        <f aca="false">_xlfn.IFNA(INDEX(PMTCT!$AU:$AU,MATCH($E20,PMTCT!$E:$E,0)),"")</f>
        <v/>
      </c>
      <c r="BH20" s="115" t="str">
        <f aca="false">_xlfn.IFNA(INDEX(TB!$Q:$Q,MATCH($E20,TB!$E:$E,0)),"")</f>
        <v/>
      </c>
      <c r="BI20" s="115" t="str">
        <f aca="false">_xlfn.IFNA(INDEX(VMMC!$AC:$AC,MATCH($E20,VMMC!$E:$E,0)),"")</f>
        <v/>
      </c>
      <c r="BJ20" s="115" t="str">
        <f aca="false">IF($C20="&lt;01",$BD20,"")</f>
        <v/>
      </c>
      <c r="BK20" s="115" t="str">
        <f aca="false">IF(SUM($BD20)=0,"",($BD20)-SUM($BE20:$BJ20))</f>
        <v/>
      </c>
      <c r="BL20" s="123" t="str">
        <f aca="false">IF(OR(SUM($BD20)=0,SUM($BE20)=0),"",SUM($BE20)/$BD20)</f>
        <v/>
      </c>
      <c r="BM20" s="123" t="str">
        <f aca="false">IF(OR(SUM($BD20)=0,SUM($BF20)=0),"",SUM($BF20)/$BD20)</f>
        <v/>
      </c>
      <c r="BN20" s="123" t="str">
        <f aca="false">IF(OR(SUM($BD20)=0,SUM($BG20)=0),"",SUM($BG20)/$BD20)</f>
        <v/>
      </c>
      <c r="BO20" s="123" t="str">
        <f aca="false">IF(OR(SUM($BD20)=0,SUM($BH20)=0),"",SUM($BH20)/$BD20)</f>
        <v/>
      </c>
      <c r="BP20" s="123" t="str">
        <f aca="false">IF(OR(SUM($BD20)=0,SUM($BI20)=0),"",SUM($BI20)/$BD20)</f>
        <v/>
      </c>
      <c r="BQ20" s="123" t="str">
        <f aca="false">IF(AND($C20="&lt;01",SUM($BJ20)&lt;&gt;0),$BJ20/SUM($BD20),"")</f>
        <v/>
      </c>
      <c r="BR20" s="123" t="str">
        <f aca="false">IF(OR(SUM($BD20)=0,SUM($BK20)=0),"",SUM($BK20)/$BD20)</f>
        <v/>
      </c>
      <c r="BS20" s="122" t="str">
        <f aca="false">IF(SUM($X20)&lt;=0,"",$X20)</f>
        <v/>
      </c>
      <c r="BT20" s="115" t="str">
        <f aca="false">IF(LEFT($B20,4)="_Mil","",MAX(SUM($L20)+ROUND(SUM($BD20)/IF(SUM($BS20)&lt;=0,1,SUM($BS20)),0),0))</f>
        <v/>
      </c>
    </row>
    <row r="21" customFormat="false" ht="15" hidden="false" customHeight="false" outlineLevel="0" collapsed="false">
      <c r="A21" s="0" t="s">
        <v>140</v>
      </c>
      <c r="B21" s="0" t="s">
        <v>141</v>
      </c>
      <c r="C21" s="0" t="s">
        <v>61</v>
      </c>
      <c r="D21" s="0" t="s">
        <v>56</v>
      </c>
      <c r="E21" s="0" t="str">
        <f aca="false">B21&amp;"|"&amp;C21&amp;"|"&amp;D21</f>
        <v>_Military Lesotho [#Military] [dDOqoFnD5Be]|10-14|Female</v>
      </c>
      <c r="F21" s="115" t="str">
        <f aca="false">_xlfn.IFNA(ROUND(INDEX(Spectrum!$N:$N,MATCH(RIGHT($B21,13)&amp;"|"&amp;$C21&amp;"|"&amp;$D21&amp;"|"&amp;F$14&amp;"|"&amp;"CY2021Q3",Spectrum!$Q:$Q,0)),0),"")</f>
        <v/>
      </c>
      <c r="G21" s="123" t="str">
        <f aca="false">_xlfn.IFNA(INDEX(Spectrum!$P:$P,MATCH(RIGHT($B21,13)&amp;"|"&amp;$C21&amp;"|"&amp;$D21&amp;"|"&amp;F$14&amp;"|"&amp;"CY2021Q3",Spectrum!$Q:$Q,0)),"")</f>
        <v/>
      </c>
      <c r="H21" s="115" t="str">
        <f aca="false">_xlfn.IFNA(ROUND(INDEX(Spectrum!$N:$N,MATCH(RIGHT($B21,13)&amp;"|"&amp;$C21&amp;"|"&amp;$D21&amp;"|"&amp;H$14&amp;"|"&amp;"CY2021Q3",Spectrum!$Q:$Q,0)),0),"")</f>
        <v/>
      </c>
      <c r="I21" s="123" t="str">
        <f aca="false">_xlfn.IFNA(INDEX(Spectrum!$P:$P,MATCH(RIGHT($B21,13)&amp;"|"&amp;$C21&amp;"|"&amp;$D21&amp;"|"&amp;H$14&amp;"|"&amp;"CY2021Q3",Spectrum!$Q:$Q,0)),"")</f>
        <v/>
      </c>
      <c r="J21" s="117" t="str">
        <f aca="false">_xlfn.IFNA(INDEX(Spectrum!$N:$N,MATCH(RIGHT($B21,13)&amp;"|"&amp;$C21&amp;"|"&amp;$D21&amp;"|"&amp;J$14&amp;"|"&amp;"CY2021Q3",Spectrum!$Q:$Q,0)),"")</f>
        <v/>
      </c>
      <c r="K21" s="123" t="str">
        <f aca="false">_xlfn.IFNA(INDEX(Spectrum!$P:$P,MATCH(RIGHT($B21,13)&amp;"|"&amp;$C21&amp;"|"&amp;$D21&amp;"|"&amp;J$14&amp;"|"&amp;"CY2021Q3",Spectrum!$Q:$Q,0)),"")</f>
        <v/>
      </c>
      <c r="L21" s="115" t="str">
        <f aca="false">_xlfn.IFNA(ROUND(INDEX(Spectrum!$N:$N,MATCH(RIGHT($B21,13)&amp;"|"&amp;$C21&amp;"|"&amp;$D21&amp;"|"&amp;L$14&amp;"|"&amp;"CY2021Q3",Spectrum!$Q:$Q,0)),0),"")</f>
        <v/>
      </c>
      <c r="M21" s="123" t="str">
        <f aca="false">IF(OR(SUM($H21)&lt;=0,SUM($L21)&lt;=0),"",SUM($L21)/$H21)</f>
        <v/>
      </c>
      <c r="N21" s="115" t="str">
        <f aca="false">_xlfn.IFNA(ROUND(INDEX(Spectrum!$N:$N,MATCH(RIGHT($B21,13)&amp;"|"&amp;$C21&amp;"|"&amp;$D21&amp;"|"&amp;N$14&amp;"|"&amp;"CY2020Q4",Spectrum!$Q:$Q,0)),0),"")</f>
        <v/>
      </c>
      <c r="O21" s="123" t="str">
        <f aca="false">_xlfn.IFNA(INDEX(Spectrum!$P:$P,MATCH(RIGHT($B21,13)&amp;"|"&amp;$C21&amp;"|"&amp;$D21&amp;"|"&amp;N$14&amp;"|"&amp;"CY2020Q4",Spectrum!$Q:$Q,0)),"")</f>
        <v/>
      </c>
      <c r="P21" s="115" t="str">
        <f aca="false">_xlfn.IFNA(ROUND(INDEX(Spectrum!$N:$N,MATCH(RIGHT($B21,13)&amp;"|"&amp;$C21&amp;"|"&amp;$D21&amp;"|"&amp;P$14&amp;"|"&amp;"CY2021Q3",Spectrum!$Q:$Q,0)),0),"")</f>
        <v/>
      </c>
      <c r="Q21" s="123" t="str">
        <f aca="false">_xlfn.IFNA(INDEX(Spectrum!$P:$P,MATCH(RIGHT($B21,13)&amp;"|"&amp;$C21&amp;"|"&amp;$D21&amp;"|"&amp;P$14&amp;"|"&amp;"CY2021Q3",Spectrum!$Q:$Q,0)),"")</f>
        <v/>
      </c>
      <c r="R21" s="115"/>
      <c r="S21" s="123" t="str">
        <f aca="false">IF(OR(SUM($P21)&lt;=0,SUM($R21)&lt;=0),"",SUM($R21)/$P21)</f>
        <v/>
      </c>
      <c r="T21" s="139"/>
      <c r="U21" s="124"/>
      <c r="V21" s="124" t="str">
        <f aca="false">IF($U21-$T21=0,"",$U21-$T21)</f>
        <v/>
      </c>
      <c r="W21" s="123" t="str">
        <f aca="false">IF(LEFT($B21,4)="_Mil","",IFERROR(MIN(IF(SUM($N21)&lt;=0,SUM($U21)/SUM($P21),SUM($T21)/SUM($N21)),1),""))</f>
        <v/>
      </c>
      <c r="X21" s="123" t="str">
        <f aca="false">$W21</f>
        <v/>
      </c>
      <c r="Y21" s="123" t="str">
        <f aca="false">IFERROR(1/(1/INDEX(Spectrum!$N:$N,MATCH(RIGHT($B21,13)&amp;"|"&amp;$C21&amp;"|"&amp;$D21&amp;"|"&amp;Y$14&amp;"|"&amp;"CY2021Q3",Spectrum!$Q:$Q,0))),IF(SUM($H21)=0,"",MAX(SUM($P21),SUM($U21))/SUM($H21)))</f>
        <v/>
      </c>
      <c r="Z21" s="123" t="str">
        <f aca="false">IF(SUM($Y21)=0,"",MAX(SUM($Y21),90%))</f>
        <v/>
      </c>
      <c r="AA21" s="115" t="str">
        <f aca="false">IF(LEFT($B21,4)="_Mil","",ROUND(MAX(SUM($U21),SUM($P21))+IF(SUM($Z21)=0,0,MAX(SUM($Z21)-SUM($Y21),0)*SUM($H21)),0))</f>
        <v/>
      </c>
      <c r="AB21" s="115" t="str">
        <f aca="false">IF(SUM($AA21)=0,"",ROUND(MAX(SUM($AA21)-MAX(SUM($P21),SUM($U21)),0),0))</f>
        <v/>
      </c>
      <c r="AC21" s="126" t="str">
        <f aca="false">IF($C21="&lt;01",IFERROR(ROUND(INDEX(EID!$N:$N,MATCH($B21,EID!$B:$B,0))/2,0),""),"")</f>
        <v/>
      </c>
      <c r="AD21" s="115" t="str">
        <f aca="false">IF($C21="&lt;01",IF(SUM($AC21)=0,"",ROUND(SUM($AC21)/$AG21,0)),IF(SUM($AB21)=0,"",ROUND(MAX($X21,0)*SUM($AB21),0)))</f>
        <v/>
      </c>
      <c r="AE21" s="115" t="str">
        <f aca="false">IF(AND(SUM($AD21)=0,SUM($U21)=0),"",ROUND(IF($C21="&lt;01",0,SUM($U21))+SUM($AD21),0))</f>
        <v/>
      </c>
      <c r="AF21" s="122" t="n">
        <f aca="false">IF($C21="&lt;01","",100%)</f>
        <v>1</v>
      </c>
      <c r="AG21" s="123" t="n">
        <f aca="false">0.98</f>
        <v>0.98</v>
      </c>
      <c r="AH21" s="123" t="n">
        <f aca="false">0.98</f>
        <v>0.98</v>
      </c>
      <c r="AI21" s="124" t="str">
        <f aca="false">IF(OR($C21="&lt;01",SUM($U21)=0),"",ROUND(SUM($U21)*(1-$AH21),0))</f>
        <v/>
      </c>
      <c r="AJ21" s="124" t="str">
        <f aca="false">IF(AND(SUM($AE21)=0,SUM($U21)=0),"",IF($C21="&lt;01",SUM($AD21),SUM($AE21) - ROUND(SUM($U21)*$AH21,0)))</f>
        <v/>
      </c>
      <c r="AK21" s="124"/>
      <c r="AL21" s="124"/>
      <c r="AM21" s="115" t="str">
        <f aca="false">IF(AND(SUM($AD21)=0,SUM($U21)=0),"",IF($C21="&lt;01",SUM($AD21),ROUND(ROUND(SUM($AJ21)*$AF21,0)/$AG21,0)))</f>
        <v/>
      </c>
      <c r="AN21" s="122" t="n">
        <f aca="false">0.7</f>
        <v>0.7</v>
      </c>
      <c r="AO21" s="123" t="n">
        <f aca="false">1</f>
        <v>1</v>
      </c>
      <c r="AP21" s="115" t="str">
        <f aca="false">IF(AND(SUM($U21)=0,SUM($AM21)=0),"",ROUND((SUM($AM21)*$AN21+IF($C21="&lt;01",0,$U21))*$AO21,0))</f>
        <v/>
      </c>
      <c r="AQ21" s="122"/>
      <c r="AR21" s="123" t="n">
        <f aca="false">0.95</f>
        <v>0.95</v>
      </c>
      <c r="AS21" s="123" t="n">
        <f aca="false">0.95</f>
        <v>0.95</v>
      </c>
      <c r="AT21" s="115" t="str">
        <f aca="false">IF(SUM($AP21)=0,"",ROUND(SUM($AP21)*$AR21,0))</f>
        <v/>
      </c>
      <c r="AU21" s="115" t="str">
        <f aca="false">IF(LEFT($B21,4)="_Mil","",ROUND(SUM($AA21)*SUM($AS21),0))</f>
        <v/>
      </c>
      <c r="AV21" s="124" t="str">
        <f aca="false">IF(SUM($AU21)&lt;=0,"",MAX(SUM($AU21)-SUM($R21),0))</f>
        <v/>
      </c>
      <c r="AW21" s="122" t="n">
        <f aca="false">0</f>
        <v>0</v>
      </c>
      <c r="AX21" s="124" t="str">
        <f aca="false">IF(SUM($AM21)=0,"",ROUND(SUM($AM21)*SUM($AW21),0))</f>
        <v/>
      </c>
      <c r="AY21" s="124" t="str">
        <f aca="false">IF(SUM($AM21)=0,"",SUM($AM21)-SUM($AX21))</f>
        <v/>
      </c>
      <c r="AZ21" s="123"/>
      <c r="BA21" s="123" t="n">
        <f aca="false">0.95</f>
        <v>0.95</v>
      </c>
      <c r="BB21" s="123"/>
      <c r="BC21" s="123" t="str">
        <f aca="false">IF(OR(SUM($AM21)&lt;=0,$C21="&lt;01"),"",MAX(IF(OR(SUM($Y21)&lt;70%,LEFT($B21,4)="_Mil"),30%,IF(SUM($Y21)&gt;=80%,75%,50%)),SUM($BB21)))</f>
        <v/>
      </c>
      <c r="BD21" s="115" t="str">
        <f aca="false">IF($C21="&lt;01",IFERROR(ROUND(INDEX(EID!$M:$M,MATCH($B21,EID!$B:$B,0)),0)/2,""),IF(SUM($AY21)=0,"",ROUND(SUM($AY21)/SUM($BA21),0)))</f>
        <v/>
      </c>
      <c r="BE21" s="115" t="str">
        <f aca="false">IF($C21="&lt;01","",IF(SUM($BD21)=0,"",ROUND(SUM($BD21)*SUM($BC21),0)))</f>
        <v/>
      </c>
      <c r="BF21" s="115" t="str">
        <f aca="false">_xlfn.IFNA(INDEX(PMTCT!$AE:$AE,MATCH($E21,PMTCT!$E:$E,0)),"")</f>
        <v/>
      </c>
      <c r="BG21" s="115" t="str">
        <f aca="false">_xlfn.IFNA(INDEX(PMTCT!$AU:$AU,MATCH($E21,PMTCT!$E:$E,0)),"")</f>
        <v/>
      </c>
      <c r="BH21" s="115" t="str">
        <f aca="false">_xlfn.IFNA(INDEX(TB!$Q:$Q,MATCH($E21,TB!$E:$E,0)),"")</f>
        <v/>
      </c>
      <c r="BI21" s="115" t="str">
        <f aca="false">_xlfn.IFNA(INDEX(VMMC!$AC:$AC,MATCH($E21,VMMC!$E:$E,0)),"")</f>
        <v/>
      </c>
      <c r="BJ21" s="115" t="str">
        <f aca="false">IF($C21="&lt;01",$BD21,"")</f>
        <v/>
      </c>
      <c r="BK21" s="115" t="str">
        <f aca="false">IF(SUM($BD21)=0,"",($BD21)-SUM($BE21:$BJ21))</f>
        <v/>
      </c>
      <c r="BL21" s="123" t="str">
        <f aca="false">IF(OR(SUM($BD21)=0,SUM($BE21)=0),"",SUM($BE21)/$BD21)</f>
        <v/>
      </c>
      <c r="BM21" s="123" t="str">
        <f aca="false">IF(OR(SUM($BD21)=0,SUM($BF21)=0),"",SUM($BF21)/$BD21)</f>
        <v/>
      </c>
      <c r="BN21" s="123" t="str">
        <f aca="false">IF(OR(SUM($BD21)=0,SUM($BG21)=0),"",SUM($BG21)/$BD21)</f>
        <v/>
      </c>
      <c r="BO21" s="123" t="str">
        <f aca="false">IF(OR(SUM($BD21)=0,SUM($BH21)=0),"",SUM($BH21)/$BD21)</f>
        <v/>
      </c>
      <c r="BP21" s="123" t="str">
        <f aca="false">IF(OR(SUM($BD21)=0,SUM($BI21)=0),"",SUM($BI21)/$BD21)</f>
        <v/>
      </c>
      <c r="BQ21" s="123" t="str">
        <f aca="false">IF(AND($C21="&lt;01",SUM($BJ21)&lt;&gt;0),$BJ21/SUM($BD21),"")</f>
        <v/>
      </c>
      <c r="BR21" s="123" t="str">
        <f aca="false">IF(OR(SUM($BD21)=0,SUM($BK21)=0),"",SUM($BK21)/$BD21)</f>
        <v/>
      </c>
      <c r="BS21" s="122" t="str">
        <f aca="false">IF(SUM($X21)&lt;=0,"",$X21)</f>
        <v/>
      </c>
      <c r="BT21" s="115" t="str">
        <f aca="false">IF(LEFT($B21,4)="_Mil","",MAX(SUM($L21)+ROUND(SUM($BD21)/IF(SUM($BS21)&lt;=0,1,SUM($BS21)),0),0))</f>
        <v/>
      </c>
    </row>
    <row r="22" customFormat="false" ht="15" hidden="false" customHeight="false" outlineLevel="0" collapsed="false">
      <c r="A22" s="0" t="s">
        <v>140</v>
      </c>
      <c r="B22" s="0" t="s">
        <v>141</v>
      </c>
      <c r="C22" s="0" t="s">
        <v>61</v>
      </c>
      <c r="D22" s="0" t="s">
        <v>58</v>
      </c>
      <c r="E22" s="0" t="str">
        <f aca="false">B22&amp;"|"&amp;C22&amp;"|"&amp;D22</f>
        <v>_Military Lesotho [#Military] [dDOqoFnD5Be]|10-14|Male</v>
      </c>
      <c r="F22" s="115" t="str">
        <f aca="false">_xlfn.IFNA(ROUND(INDEX(Spectrum!$N:$N,MATCH(RIGHT($B22,13)&amp;"|"&amp;$C22&amp;"|"&amp;$D22&amp;"|"&amp;F$14&amp;"|"&amp;"CY2021Q3",Spectrum!$Q:$Q,0)),0),"")</f>
        <v/>
      </c>
      <c r="G22" s="123" t="str">
        <f aca="false">_xlfn.IFNA(INDEX(Spectrum!$P:$P,MATCH(RIGHT($B22,13)&amp;"|"&amp;$C22&amp;"|"&amp;$D22&amp;"|"&amp;F$14&amp;"|"&amp;"CY2021Q3",Spectrum!$Q:$Q,0)),"")</f>
        <v/>
      </c>
      <c r="H22" s="115" t="str">
        <f aca="false">_xlfn.IFNA(ROUND(INDEX(Spectrum!$N:$N,MATCH(RIGHT($B22,13)&amp;"|"&amp;$C22&amp;"|"&amp;$D22&amp;"|"&amp;H$14&amp;"|"&amp;"CY2021Q3",Spectrum!$Q:$Q,0)),0),"")</f>
        <v/>
      </c>
      <c r="I22" s="123" t="str">
        <f aca="false">_xlfn.IFNA(INDEX(Spectrum!$P:$P,MATCH(RIGHT($B22,13)&amp;"|"&amp;$C22&amp;"|"&amp;$D22&amp;"|"&amp;H$14&amp;"|"&amp;"CY2021Q3",Spectrum!$Q:$Q,0)),"")</f>
        <v/>
      </c>
      <c r="J22" s="117" t="str">
        <f aca="false">_xlfn.IFNA(INDEX(Spectrum!$N:$N,MATCH(RIGHT($B22,13)&amp;"|"&amp;$C22&amp;"|"&amp;$D22&amp;"|"&amp;J$14&amp;"|"&amp;"CY2021Q3",Spectrum!$Q:$Q,0)),"")</f>
        <v/>
      </c>
      <c r="K22" s="123" t="str">
        <f aca="false">_xlfn.IFNA(INDEX(Spectrum!$P:$P,MATCH(RIGHT($B22,13)&amp;"|"&amp;$C22&amp;"|"&amp;$D22&amp;"|"&amp;J$14&amp;"|"&amp;"CY2021Q3",Spectrum!$Q:$Q,0)),"")</f>
        <v/>
      </c>
      <c r="L22" s="115" t="str">
        <f aca="false">_xlfn.IFNA(ROUND(INDEX(Spectrum!$N:$N,MATCH(RIGHT($B22,13)&amp;"|"&amp;$C22&amp;"|"&amp;$D22&amp;"|"&amp;L$14&amp;"|"&amp;"CY2021Q3",Spectrum!$Q:$Q,0)),0),"")</f>
        <v/>
      </c>
      <c r="M22" s="123" t="str">
        <f aca="false">IF(OR(SUM($H22)&lt;=0,SUM($L22)&lt;=0),"",SUM($L22)/$H22)</f>
        <v/>
      </c>
      <c r="N22" s="115" t="str">
        <f aca="false">_xlfn.IFNA(ROUND(INDEX(Spectrum!$N:$N,MATCH(RIGHT($B22,13)&amp;"|"&amp;$C22&amp;"|"&amp;$D22&amp;"|"&amp;N$14&amp;"|"&amp;"CY2020Q4",Spectrum!$Q:$Q,0)),0),"")</f>
        <v/>
      </c>
      <c r="O22" s="123" t="str">
        <f aca="false">_xlfn.IFNA(INDEX(Spectrum!$P:$P,MATCH(RIGHT($B22,13)&amp;"|"&amp;$C22&amp;"|"&amp;$D22&amp;"|"&amp;N$14&amp;"|"&amp;"CY2020Q4",Spectrum!$Q:$Q,0)),"")</f>
        <v/>
      </c>
      <c r="P22" s="115" t="str">
        <f aca="false">_xlfn.IFNA(ROUND(INDEX(Spectrum!$N:$N,MATCH(RIGHT($B22,13)&amp;"|"&amp;$C22&amp;"|"&amp;$D22&amp;"|"&amp;P$14&amp;"|"&amp;"CY2021Q3",Spectrum!$Q:$Q,0)),0),"")</f>
        <v/>
      </c>
      <c r="Q22" s="123" t="str">
        <f aca="false">_xlfn.IFNA(INDEX(Spectrum!$P:$P,MATCH(RIGHT($B22,13)&amp;"|"&amp;$C22&amp;"|"&amp;$D22&amp;"|"&amp;P$14&amp;"|"&amp;"CY2021Q3",Spectrum!$Q:$Q,0)),"")</f>
        <v/>
      </c>
      <c r="R22" s="115"/>
      <c r="S22" s="123" t="str">
        <f aca="false">IF(OR(SUM($P22)&lt;=0,SUM($R22)&lt;=0),"",SUM($R22)/$P22)</f>
        <v/>
      </c>
      <c r="T22" s="139"/>
      <c r="U22" s="124"/>
      <c r="V22" s="124" t="str">
        <f aca="false">IF($U22-$T22=0,"",$U22-$T22)</f>
        <v/>
      </c>
      <c r="W22" s="123" t="str">
        <f aca="false">IF(LEFT($B22,4)="_Mil","",IFERROR(MIN(IF(SUM($N22)&lt;=0,SUM($U22)/SUM($P22),SUM($T22)/SUM($N22)),1),""))</f>
        <v/>
      </c>
      <c r="X22" s="123" t="str">
        <f aca="false">$W22</f>
        <v/>
      </c>
      <c r="Y22" s="123" t="str">
        <f aca="false">IFERROR(1/(1/INDEX(Spectrum!$N:$N,MATCH(RIGHT($B22,13)&amp;"|"&amp;$C22&amp;"|"&amp;$D22&amp;"|"&amp;Y$14&amp;"|"&amp;"CY2021Q3",Spectrum!$Q:$Q,0))),IF(SUM($H22)=0,"",MAX(SUM($P22),SUM($U22))/SUM($H22)))</f>
        <v/>
      </c>
      <c r="Z22" s="123" t="str">
        <f aca="false">IF(SUM($Y22)=0,"",MAX(SUM($Y22),90%))</f>
        <v/>
      </c>
      <c r="AA22" s="115" t="str">
        <f aca="false">IF(LEFT($B22,4)="_Mil","",ROUND(MAX(SUM($U22),SUM($P22))+IF(SUM($Z22)=0,0,MAX(SUM($Z22)-SUM($Y22),0)*SUM($H22)),0))</f>
        <v/>
      </c>
      <c r="AB22" s="115" t="str">
        <f aca="false">IF(SUM($AA22)=0,"",ROUND(MAX(SUM($AA22)-MAX(SUM($P22),SUM($U22)),0),0))</f>
        <v/>
      </c>
      <c r="AC22" s="126" t="str">
        <f aca="false">IF($C22="&lt;01",IFERROR(ROUND(INDEX(EID!$N:$N,MATCH($B22,EID!$B:$B,0))/2,0),""),"")</f>
        <v/>
      </c>
      <c r="AD22" s="115" t="str">
        <f aca="false">IF($C22="&lt;01",IF(SUM($AC22)=0,"",ROUND(SUM($AC22)/$AG22,0)),IF(SUM($AB22)=0,"",ROUND(MAX($X22,0)*SUM($AB22),0)))</f>
        <v/>
      </c>
      <c r="AE22" s="115" t="str">
        <f aca="false">IF(AND(SUM($AD22)=0,SUM($U22)=0),"",ROUND(IF($C22="&lt;01",0,SUM($U22))+SUM($AD22),0))</f>
        <v/>
      </c>
      <c r="AF22" s="122" t="n">
        <f aca="false">IF($C22="&lt;01","",100%)</f>
        <v>1</v>
      </c>
      <c r="AG22" s="123" t="n">
        <f aca="false">0.98</f>
        <v>0.98</v>
      </c>
      <c r="AH22" s="123" t="n">
        <f aca="false">0.98</f>
        <v>0.98</v>
      </c>
      <c r="AI22" s="124" t="str">
        <f aca="false">IF(OR($C22="&lt;01",SUM($U22)=0),"",ROUND(SUM($U22)*(1-$AH22),0))</f>
        <v/>
      </c>
      <c r="AJ22" s="124" t="str">
        <f aca="false">IF(AND(SUM($AE22)=0,SUM($U22)=0),"",IF($C22="&lt;01",SUM($AD22),SUM($AE22) - ROUND(SUM($U22)*$AH22,0)))</f>
        <v/>
      </c>
      <c r="AK22" s="124"/>
      <c r="AL22" s="124"/>
      <c r="AM22" s="115" t="str">
        <f aca="false">IF(AND(SUM($AD22)=0,SUM($U22)=0),"",IF($C22="&lt;01",SUM($AD22),ROUND(ROUND(SUM($AJ22)*$AF22,0)/$AG22,0)))</f>
        <v/>
      </c>
      <c r="AN22" s="122" t="n">
        <f aca="false">0.7</f>
        <v>0.7</v>
      </c>
      <c r="AO22" s="123" t="n">
        <f aca="false">1</f>
        <v>1</v>
      </c>
      <c r="AP22" s="115" t="str">
        <f aca="false">IF(AND(SUM($U22)=0,SUM($AM22)=0),"",ROUND((SUM($AM22)*$AN22+IF($C22="&lt;01",0,$U22))*$AO22,0))</f>
        <v/>
      </c>
      <c r="AQ22" s="122"/>
      <c r="AR22" s="123" t="n">
        <f aca="false">0.95</f>
        <v>0.95</v>
      </c>
      <c r="AS22" s="123" t="n">
        <f aca="false">0.95</f>
        <v>0.95</v>
      </c>
      <c r="AT22" s="115" t="str">
        <f aca="false">IF(SUM($AP22)=0,"",ROUND(SUM($AP22)*$AR22,0))</f>
        <v/>
      </c>
      <c r="AU22" s="115" t="str">
        <f aca="false">IF(LEFT($B22,4)="_Mil","",ROUND(SUM($AA22)*SUM($AS22),0))</f>
        <v/>
      </c>
      <c r="AV22" s="124" t="str">
        <f aca="false">IF(SUM($AU22)&lt;=0,"",MAX(SUM($AU22)-SUM($R22),0))</f>
        <v/>
      </c>
      <c r="AW22" s="122" t="n">
        <f aca="false">0</f>
        <v>0</v>
      </c>
      <c r="AX22" s="124" t="str">
        <f aca="false">IF(SUM($AM22)=0,"",ROUND(SUM($AM22)*SUM($AW22),0))</f>
        <v/>
      </c>
      <c r="AY22" s="124" t="str">
        <f aca="false">IF(SUM($AM22)=0,"",SUM($AM22)-SUM($AX22))</f>
        <v/>
      </c>
      <c r="AZ22" s="123"/>
      <c r="BA22" s="123" t="n">
        <f aca="false">0.95</f>
        <v>0.95</v>
      </c>
      <c r="BB22" s="123"/>
      <c r="BC22" s="123" t="str">
        <f aca="false">IF(OR(SUM($AM22)&lt;=0,$C22="&lt;01"),"",MAX(IF(OR(SUM($Y22)&lt;70%,LEFT($B22,4)="_Mil"),30%,IF(SUM($Y22)&gt;=80%,75%,50%)),SUM($BB22)))</f>
        <v/>
      </c>
      <c r="BD22" s="115" t="str">
        <f aca="false">IF($C22="&lt;01",IFERROR(ROUND(INDEX(EID!$M:$M,MATCH($B22,EID!$B:$B,0)),0)/2,""),IF(SUM($AY22)=0,"",ROUND(SUM($AY22)/SUM($BA22),0)))</f>
        <v/>
      </c>
      <c r="BE22" s="115" t="str">
        <f aca="false">IF($C22="&lt;01","",IF(SUM($BD22)=0,"",ROUND(SUM($BD22)*SUM($BC22),0)))</f>
        <v/>
      </c>
      <c r="BF22" s="115" t="str">
        <f aca="false">_xlfn.IFNA(INDEX(PMTCT!$AE:$AE,MATCH($E22,PMTCT!$E:$E,0)),"")</f>
        <v/>
      </c>
      <c r="BG22" s="115" t="str">
        <f aca="false">_xlfn.IFNA(INDEX(PMTCT!$AU:$AU,MATCH($E22,PMTCT!$E:$E,0)),"")</f>
        <v/>
      </c>
      <c r="BH22" s="115" t="str">
        <f aca="false">_xlfn.IFNA(INDEX(TB!$Q:$Q,MATCH($E22,TB!$E:$E,0)),"")</f>
        <v/>
      </c>
      <c r="BI22" s="115" t="str">
        <f aca="false">_xlfn.IFNA(INDEX(VMMC!$AC:$AC,MATCH($E22,VMMC!$E:$E,0)),"")</f>
        <v/>
      </c>
      <c r="BJ22" s="115" t="str">
        <f aca="false">IF($C22="&lt;01",$BD22,"")</f>
        <v/>
      </c>
      <c r="BK22" s="115" t="str">
        <f aca="false">IF(SUM($BD22)=0,"",($BD22)-SUM($BE22:$BJ22))</f>
        <v/>
      </c>
      <c r="BL22" s="123" t="str">
        <f aca="false">IF(OR(SUM($BD22)=0,SUM($BE22)=0),"",SUM($BE22)/$BD22)</f>
        <v/>
      </c>
      <c r="BM22" s="123" t="str">
        <f aca="false">IF(OR(SUM($BD22)=0,SUM($BF22)=0),"",SUM($BF22)/$BD22)</f>
        <v/>
      </c>
      <c r="BN22" s="123" t="str">
        <f aca="false">IF(OR(SUM($BD22)=0,SUM($BG22)=0),"",SUM($BG22)/$BD22)</f>
        <v/>
      </c>
      <c r="BO22" s="123" t="str">
        <f aca="false">IF(OR(SUM($BD22)=0,SUM($BH22)=0),"",SUM($BH22)/$BD22)</f>
        <v/>
      </c>
      <c r="BP22" s="123" t="str">
        <f aca="false">IF(OR(SUM($BD22)=0,SUM($BI22)=0),"",SUM($BI22)/$BD22)</f>
        <v/>
      </c>
      <c r="BQ22" s="123" t="str">
        <f aca="false">IF(AND($C22="&lt;01",SUM($BJ22)&lt;&gt;0),$BJ22/SUM($BD22),"")</f>
        <v/>
      </c>
      <c r="BR22" s="123" t="str">
        <f aca="false">IF(OR(SUM($BD22)=0,SUM($BK22)=0),"",SUM($BK22)/$BD22)</f>
        <v/>
      </c>
      <c r="BS22" s="122" t="str">
        <f aca="false">IF(SUM($X22)&lt;=0,"",$X22)</f>
        <v/>
      </c>
      <c r="BT22" s="115" t="str">
        <f aca="false">IF(LEFT($B22,4)="_Mil","",MAX(SUM($L22)+ROUND(SUM($BD22)/IF(SUM($BS22)&lt;=0,1,SUM($BS22)),0),0))</f>
        <v/>
      </c>
    </row>
    <row r="23" customFormat="false" ht="15" hidden="false" customHeight="false" outlineLevel="0" collapsed="false">
      <c r="A23" s="0" t="s">
        <v>140</v>
      </c>
      <c r="B23" s="0" t="s">
        <v>141</v>
      </c>
      <c r="C23" s="0" t="s">
        <v>63</v>
      </c>
      <c r="D23" s="0" t="s">
        <v>56</v>
      </c>
      <c r="E23" s="0" t="str">
        <f aca="false">B23&amp;"|"&amp;C23&amp;"|"&amp;D23</f>
        <v>_Military Lesotho [#Military] [dDOqoFnD5Be]|15-19|Female</v>
      </c>
      <c r="F23" s="115" t="str">
        <f aca="false">_xlfn.IFNA(ROUND(INDEX(Spectrum!$N:$N,MATCH(RIGHT($B23,13)&amp;"|"&amp;$C23&amp;"|"&amp;$D23&amp;"|"&amp;F$14&amp;"|"&amp;"CY2021Q3",Spectrum!$Q:$Q,0)),0),"")</f>
        <v/>
      </c>
      <c r="G23" s="123" t="str">
        <f aca="false">_xlfn.IFNA(INDEX(Spectrum!$P:$P,MATCH(RIGHT($B23,13)&amp;"|"&amp;$C23&amp;"|"&amp;$D23&amp;"|"&amp;F$14&amp;"|"&amp;"CY2021Q3",Spectrum!$Q:$Q,0)),"")</f>
        <v/>
      </c>
      <c r="H23" s="115" t="str">
        <f aca="false">_xlfn.IFNA(ROUND(INDEX(Spectrum!$N:$N,MATCH(RIGHT($B23,13)&amp;"|"&amp;$C23&amp;"|"&amp;$D23&amp;"|"&amp;H$14&amp;"|"&amp;"CY2021Q3",Spectrum!$Q:$Q,0)),0),"")</f>
        <v/>
      </c>
      <c r="I23" s="123" t="str">
        <f aca="false">_xlfn.IFNA(INDEX(Spectrum!$P:$P,MATCH(RIGHT($B23,13)&amp;"|"&amp;$C23&amp;"|"&amp;$D23&amp;"|"&amp;H$14&amp;"|"&amp;"CY2021Q3",Spectrum!$Q:$Q,0)),"")</f>
        <v/>
      </c>
      <c r="J23" s="117" t="str">
        <f aca="false">_xlfn.IFNA(INDEX(Spectrum!$N:$N,MATCH(RIGHT($B23,13)&amp;"|"&amp;$C23&amp;"|"&amp;$D23&amp;"|"&amp;J$14&amp;"|"&amp;"CY2021Q3",Spectrum!$Q:$Q,0)),"")</f>
        <v/>
      </c>
      <c r="K23" s="123" t="str">
        <f aca="false">_xlfn.IFNA(INDEX(Spectrum!$P:$P,MATCH(RIGHT($B23,13)&amp;"|"&amp;$C23&amp;"|"&amp;$D23&amp;"|"&amp;J$14&amp;"|"&amp;"CY2021Q3",Spectrum!$Q:$Q,0)),"")</f>
        <v/>
      </c>
      <c r="L23" s="115" t="str">
        <f aca="false">_xlfn.IFNA(ROUND(INDEX(Spectrum!$N:$N,MATCH(RIGHT($B23,13)&amp;"|"&amp;$C23&amp;"|"&amp;$D23&amp;"|"&amp;L$14&amp;"|"&amp;"CY2021Q3",Spectrum!$Q:$Q,0)),0),"")</f>
        <v/>
      </c>
      <c r="M23" s="123" t="str">
        <f aca="false">IF(OR(SUM($H23)&lt;=0,SUM($L23)&lt;=0),"",SUM($L23)/$H23)</f>
        <v/>
      </c>
      <c r="N23" s="115" t="str">
        <f aca="false">_xlfn.IFNA(ROUND(INDEX(Spectrum!$N:$N,MATCH(RIGHT($B23,13)&amp;"|"&amp;$C23&amp;"|"&amp;$D23&amp;"|"&amp;N$14&amp;"|"&amp;"CY2020Q4",Spectrum!$Q:$Q,0)),0),"")</f>
        <v/>
      </c>
      <c r="O23" s="123" t="str">
        <f aca="false">_xlfn.IFNA(INDEX(Spectrum!$P:$P,MATCH(RIGHT($B23,13)&amp;"|"&amp;$C23&amp;"|"&amp;$D23&amp;"|"&amp;N$14&amp;"|"&amp;"CY2020Q4",Spectrum!$Q:$Q,0)),"")</f>
        <v/>
      </c>
      <c r="P23" s="115" t="str">
        <f aca="false">_xlfn.IFNA(ROUND(INDEX(Spectrum!$N:$N,MATCH(RIGHT($B23,13)&amp;"|"&amp;$C23&amp;"|"&amp;$D23&amp;"|"&amp;P$14&amp;"|"&amp;"CY2021Q3",Spectrum!$Q:$Q,0)),0),"")</f>
        <v/>
      </c>
      <c r="Q23" s="123" t="str">
        <f aca="false">_xlfn.IFNA(INDEX(Spectrum!$P:$P,MATCH(RIGHT($B23,13)&amp;"|"&amp;$C23&amp;"|"&amp;$D23&amp;"|"&amp;P$14&amp;"|"&amp;"CY2021Q3",Spectrum!$Q:$Q,0)),"")</f>
        <v/>
      </c>
      <c r="R23" s="115"/>
      <c r="S23" s="123" t="str">
        <f aca="false">IF(OR(SUM($P23)&lt;=0,SUM($R23)&lt;=0),"",SUM($R23)/$P23)</f>
        <v/>
      </c>
      <c r="T23" s="139" t="n">
        <v>40</v>
      </c>
      <c r="U23" s="124" t="n">
        <v>40</v>
      </c>
      <c r="V23" s="124" t="str">
        <f aca="false">IF($U23-$T23=0,"",$U23-$T23)</f>
        <v/>
      </c>
      <c r="W23" s="123" t="str">
        <f aca="false">IF(LEFT($B23,4)="_Mil","",IFERROR(MIN(IF(SUM($N23)&lt;=0,SUM($U23)/SUM($P23),SUM($T23)/SUM($N23)),1),""))</f>
        <v/>
      </c>
      <c r="X23" s="123" t="str">
        <f aca="false">$W23</f>
        <v/>
      </c>
      <c r="Y23" s="123" t="str">
        <f aca="false">IFERROR(1/(1/INDEX(Spectrum!$N:$N,MATCH(RIGHT($B23,13)&amp;"|"&amp;$C23&amp;"|"&amp;$D23&amp;"|"&amp;Y$14&amp;"|"&amp;"CY2021Q3",Spectrum!$Q:$Q,0))),IF(SUM($H23)=0,"",MAX(SUM($P23),SUM($U23))/SUM($H23)))</f>
        <v/>
      </c>
      <c r="Z23" s="123" t="str">
        <f aca="false">IF(SUM($Y23)=0,"",MAX(SUM($Y23),90%))</f>
        <v/>
      </c>
      <c r="AA23" s="115" t="str">
        <f aca="false">IF(LEFT($B23,4)="_Mil","",ROUND(MAX(SUM($U23),SUM($P23))+IF(SUM($Z23)=0,0,MAX(SUM($Z23)-SUM($Y23),0)*SUM($H23)),0))</f>
        <v/>
      </c>
      <c r="AB23" s="115" t="str">
        <f aca="false">IF(SUM($AA23)=0,"",ROUND(MAX(SUM($AA23)-MAX(SUM($P23),SUM($U23)),0),0))</f>
        <v/>
      </c>
      <c r="AC23" s="126" t="str">
        <f aca="false">IF($C23="&lt;01",IFERROR(ROUND(INDEX(EID!$N:$N,MATCH($B23,EID!$B:$B,0))/2,0),""),"")</f>
        <v/>
      </c>
      <c r="AD23" s="115" t="str">
        <f aca="false">IF($C23="&lt;01",IF(SUM($AC23)=0,"",ROUND(SUM($AC23)/$AG23,0)),IF(SUM($AB23)=0,"",ROUND(MAX($X23,0)*SUM($AB23),0)))</f>
        <v/>
      </c>
      <c r="AE23" s="115" t="n">
        <f aca="false">IF(AND(SUM($AD23)=0,SUM($U23)=0),"",ROUND(IF($C23="&lt;01",0,SUM($U23))+SUM($AD23),0))</f>
        <v>40</v>
      </c>
      <c r="AF23" s="122" t="n">
        <f aca="false">IF($C23="&lt;01","",100%)</f>
        <v>1</v>
      </c>
      <c r="AG23" s="123" t="n">
        <f aca="false">0.98</f>
        <v>0.98</v>
      </c>
      <c r="AH23" s="123" t="n">
        <f aca="false">0.98</f>
        <v>0.98</v>
      </c>
      <c r="AI23" s="124" t="n">
        <f aca="false">IF(OR($C23="&lt;01",SUM($U23)=0),"",ROUND(SUM($U23)*(1-$AH23),0))</f>
        <v>1</v>
      </c>
      <c r="AJ23" s="124" t="n">
        <f aca="false">IF(AND(SUM($AE23)=0,SUM($U23)=0),"",IF($C23="&lt;01",SUM($AD23),SUM($AE23) - ROUND(SUM($U23)*$AH23,0)))</f>
        <v>1</v>
      </c>
      <c r="AK23" s="124" t="n">
        <v>17</v>
      </c>
      <c r="AL23" s="124"/>
      <c r="AM23" s="115" t="n">
        <f aca="false">IF(AND(SUM($AD23)=0,SUM($U23)=0),"",IF($C23="&lt;01",SUM($AD23),ROUND(ROUND(SUM($AJ23)*$AF23,0)/$AG23,0)))</f>
        <v>1</v>
      </c>
      <c r="AN23" s="122" t="n">
        <f aca="false">0.7</f>
        <v>0.7</v>
      </c>
      <c r="AO23" s="123" t="n">
        <f aca="false">1</f>
        <v>1</v>
      </c>
      <c r="AP23" s="115" t="n">
        <f aca="false">IF(AND(SUM($U23)=0,SUM($AM23)=0),"",ROUND((SUM($AM23)*$AN23+IF($C23="&lt;01",0,$U23))*$AO23,0))</f>
        <v>41</v>
      </c>
      <c r="AQ23" s="122" t="n">
        <v>32</v>
      </c>
      <c r="AR23" s="123" t="n">
        <f aca="false">0.95</f>
        <v>0.95</v>
      </c>
      <c r="AS23" s="123" t="n">
        <f aca="false">0.95</f>
        <v>0.95</v>
      </c>
      <c r="AT23" s="115" t="n">
        <f aca="false">IF(SUM($AP23)=0,"",ROUND(SUM($AP23)*$AR23,0))</f>
        <v>39</v>
      </c>
      <c r="AU23" s="115" t="str">
        <f aca="false">IF(LEFT($B23,4)="_Mil","",ROUND(SUM($AA23)*SUM($AS23),0))</f>
        <v/>
      </c>
      <c r="AV23" s="124" t="str">
        <f aca="false">IF(SUM($AU23)&lt;=0,"",MAX(SUM($AU23)-SUM($R23),0))</f>
        <v/>
      </c>
      <c r="AW23" s="122" t="n">
        <f aca="false">0</f>
        <v>0</v>
      </c>
      <c r="AX23" s="124" t="n">
        <f aca="false">IF(SUM($AM23)=0,"",ROUND(SUM($AM23)*SUM($AW23),0))</f>
        <v>0</v>
      </c>
      <c r="AY23" s="124" t="n">
        <f aca="false">IF(SUM($AM23)=0,"",SUM($AM23)-SUM($AX23))</f>
        <v>1</v>
      </c>
      <c r="AZ23" s="123"/>
      <c r="BA23" s="123" t="n">
        <f aca="false">0.95</f>
        <v>0.95</v>
      </c>
      <c r="BB23" s="123"/>
      <c r="BC23" s="123" t="n">
        <f aca="false">IF(OR(SUM($AM23)&lt;=0,$C23="&lt;01"),"",MAX(IF(OR(SUM($Y23)&lt;70%,LEFT($B23,4)="_Mil"),30%,IF(SUM($Y23)&gt;=80%,75%,50%)),SUM($BB23)))</f>
        <v>0.3</v>
      </c>
      <c r="BD23" s="115" t="n">
        <f aca="false">IF($C23="&lt;01",IFERROR(ROUND(INDEX(EID!$M:$M,MATCH($B23,EID!$B:$B,0)),0)/2,""),IF(SUM($AY23)=0,"",ROUND(SUM($AY23)/SUM($BA23),0)))</f>
        <v>1</v>
      </c>
      <c r="BE23" s="115" t="n">
        <f aca="false">IF($C23="&lt;01","",IF(SUM($BD23)=0,"",ROUND(SUM($BD23)*SUM($BC23),0)))</f>
        <v>0</v>
      </c>
      <c r="BF23" s="115" t="str">
        <f aca="false">_xlfn.IFNA(INDEX(PMTCT!$AE:$AE,MATCH($E23,PMTCT!$E:$E,0)),"")</f>
        <v/>
      </c>
      <c r="BG23" s="115" t="str">
        <f aca="false">_xlfn.IFNA(INDEX(PMTCT!$AU:$AU,MATCH($E23,PMTCT!$E:$E,0)),"")</f>
        <v/>
      </c>
      <c r="BH23" s="115" t="str">
        <f aca="false">_xlfn.IFNA(INDEX(TB!$Q:$Q,MATCH($E23,TB!$E:$E,0)),"")</f>
        <v/>
      </c>
      <c r="BI23" s="115" t="str">
        <f aca="false">_xlfn.IFNA(INDEX(VMMC!$AC:$AC,MATCH($E23,VMMC!$E:$E,0)),"")</f>
        <v/>
      </c>
      <c r="BJ23" s="115" t="str">
        <f aca="false">IF($C23="&lt;01",$BD23,"")</f>
        <v/>
      </c>
      <c r="BK23" s="115" t="n">
        <f aca="false">IF(SUM($BD23)=0,"",($BD23)-SUM($BE23:$BJ23))</f>
        <v>1</v>
      </c>
      <c r="BL23" s="123" t="str">
        <f aca="false">IF(OR(SUM($BD23)=0,SUM($BE23)=0),"",SUM($BE23)/$BD23)</f>
        <v/>
      </c>
      <c r="BM23" s="123" t="str">
        <f aca="false">IF(OR(SUM($BD23)=0,SUM($BF23)=0),"",SUM($BF23)/$BD23)</f>
        <v/>
      </c>
      <c r="BN23" s="123" t="str">
        <f aca="false">IF(OR(SUM($BD23)=0,SUM($BG23)=0),"",SUM($BG23)/$BD23)</f>
        <v/>
      </c>
      <c r="BO23" s="123" t="str">
        <f aca="false">IF(OR(SUM($BD23)=0,SUM($BH23)=0),"",SUM($BH23)/$BD23)</f>
        <v/>
      </c>
      <c r="BP23" s="123" t="str">
        <f aca="false">IF(OR(SUM($BD23)=0,SUM($BI23)=0),"",SUM($BI23)/$BD23)</f>
        <v/>
      </c>
      <c r="BQ23" s="123" t="str">
        <f aca="false">IF(AND($C23="&lt;01",SUM($BJ23)&lt;&gt;0),$BJ23/SUM($BD23),"")</f>
        <v/>
      </c>
      <c r="BR23" s="123" t="n">
        <f aca="false">IF(OR(SUM($BD23)=0,SUM($BK23)=0),"",SUM($BK23)/$BD23)</f>
        <v>1</v>
      </c>
      <c r="BS23" s="122" t="str">
        <f aca="false">IF(SUM($X23)&lt;=0,"",$X23)</f>
        <v/>
      </c>
      <c r="BT23" s="115" t="str">
        <f aca="false">IF(LEFT($B23,4)="_Mil","",MAX(SUM($L23)+ROUND(SUM($BD23)/IF(SUM($BS23)&lt;=0,1,SUM($BS23)),0),0))</f>
        <v/>
      </c>
    </row>
    <row r="24" customFormat="false" ht="15" hidden="false" customHeight="false" outlineLevel="0" collapsed="false">
      <c r="A24" s="0" t="s">
        <v>140</v>
      </c>
      <c r="B24" s="0" t="s">
        <v>141</v>
      </c>
      <c r="C24" s="0" t="s">
        <v>63</v>
      </c>
      <c r="D24" s="0" t="s">
        <v>58</v>
      </c>
      <c r="E24" s="0" t="str">
        <f aca="false">B24&amp;"|"&amp;C24&amp;"|"&amp;D24</f>
        <v>_Military Lesotho [#Military] [dDOqoFnD5Be]|15-19|Male</v>
      </c>
      <c r="F24" s="115" t="str">
        <f aca="false">_xlfn.IFNA(ROUND(INDEX(Spectrum!$N:$N,MATCH(RIGHT($B24,13)&amp;"|"&amp;$C24&amp;"|"&amp;$D24&amp;"|"&amp;F$14&amp;"|"&amp;"CY2021Q3",Spectrum!$Q:$Q,0)),0),"")</f>
        <v/>
      </c>
      <c r="G24" s="123" t="str">
        <f aca="false">_xlfn.IFNA(INDEX(Spectrum!$P:$P,MATCH(RIGHT($B24,13)&amp;"|"&amp;$C24&amp;"|"&amp;$D24&amp;"|"&amp;F$14&amp;"|"&amp;"CY2021Q3",Spectrum!$Q:$Q,0)),"")</f>
        <v/>
      </c>
      <c r="H24" s="115" t="str">
        <f aca="false">_xlfn.IFNA(ROUND(INDEX(Spectrum!$N:$N,MATCH(RIGHT($B24,13)&amp;"|"&amp;$C24&amp;"|"&amp;$D24&amp;"|"&amp;H$14&amp;"|"&amp;"CY2021Q3",Spectrum!$Q:$Q,0)),0),"")</f>
        <v/>
      </c>
      <c r="I24" s="123" t="str">
        <f aca="false">_xlfn.IFNA(INDEX(Spectrum!$P:$P,MATCH(RIGHT($B24,13)&amp;"|"&amp;$C24&amp;"|"&amp;$D24&amp;"|"&amp;H$14&amp;"|"&amp;"CY2021Q3",Spectrum!$Q:$Q,0)),"")</f>
        <v/>
      </c>
      <c r="J24" s="117" t="str">
        <f aca="false">_xlfn.IFNA(INDEX(Spectrum!$N:$N,MATCH(RIGHT($B24,13)&amp;"|"&amp;$C24&amp;"|"&amp;$D24&amp;"|"&amp;J$14&amp;"|"&amp;"CY2021Q3",Spectrum!$Q:$Q,0)),"")</f>
        <v/>
      </c>
      <c r="K24" s="123" t="str">
        <f aca="false">_xlfn.IFNA(INDEX(Spectrum!$P:$P,MATCH(RIGHT($B24,13)&amp;"|"&amp;$C24&amp;"|"&amp;$D24&amp;"|"&amp;J$14&amp;"|"&amp;"CY2021Q3",Spectrum!$Q:$Q,0)),"")</f>
        <v/>
      </c>
      <c r="L24" s="115" t="str">
        <f aca="false">_xlfn.IFNA(ROUND(INDEX(Spectrum!$N:$N,MATCH(RIGHT($B24,13)&amp;"|"&amp;$C24&amp;"|"&amp;$D24&amp;"|"&amp;L$14&amp;"|"&amp;"CY2021Q3",Spectrum!$Q:$Q,0)),0),"")</f>
        <v/>
      </c>
      <c r="M24" s="123" t="str">
        <f aca="false">IF(OR(SUM($H24)&lt;=0,SUM($L24)&lt;=0),"",SUM($L24)/$H24)</f>
        <v/>
      </c>
      <c r="N24" s="115" t="str">
        <f aca="false">_xlfn.IFNA(ROUND(INDEX(Spectrum!$N:$N,MATCH(RIGHT($B24,13)&amp;"|"&amp;$C24&amp;"|"&amp;$D24&amp;"|"&amp;N$14&amp;"|"&amp;"CY2020Q4",Spectrum!$Q:$Q,0)),0),"")</f>
        <v/>
      </c>
      <c r="O24" s="123" t="str">
        <f aca="false">_xlfn.IFNA(INDEX(Spectrum!$P:$P,MATCH(RIGHT($B24,13)&amp;"|"&amp;$C24&amp;"|"&amp;$D24&amp;"|"&amp;N$14&amp;"|"&amp;"CY2020Q4",Spectrum!$Q:$Q,0)),"")</f>
        <v/>
      </c>
      <c r="P24" s="115" t="str">
        <f aca="false">_xlfn.IFNA(ROUND(INDEX(Spectrum!$N:$N,MATCH(RIGHT($B24,13)&amp;"|"&amp;$C24&amp;"|"&amp;$D24&amp;"|"&amp;P$14&amp;"|"&amp;"CY2021Q3",Spectrum!$Q:$Q,0)),0),"")</f>
        <v/>
      </c>
      <c r="Q24" s="123" t="str">
        <f aca="false">_xlfn.IFNA(INDEX(Spectrum!$P:$P,MATCH(RIGHT($B24,13)&amp;"|"&amp;$C24&amp;"|"&amp;$D24&amp;"|"&amp;P$14&amp;"|"&amp;"CY2021Q3",Spectrum!$Q:$Q,0)),"")</f>
        <v/>
      </c>
      <c r="R24" s="115"/>
      <c r="S24" s="123" t="str">
        <f aca="false">IF(OR(SUM($P24)&lt;=0,SUM($R24)&lt;=0),"",SUM($R24)/$P24)</f>
        <v/>
      </c>
      <c r="T24" s="139" t="n">
        <v>7</v>
      </c>
      <c r="U24" s="124" t="n">
        <v>46</v>
      </c>
      <c r="V24" s="124" t="n">
        <f aca="false">IF($U24-$T24=0,"",$U24-$T24)</f>
        <v>39</v>
      </c>
      <c r="W24" s="123" t="str">
        <f aca="false">IF(LEFT($B24,4)="_Mil","",IFERROR(MIN(IF(SUM($N24)&lt;=0,SUM($U24)/SUM($P24),SUM($T24)/SUM($N24)),1),""))</f>
        <v/>
      </c>
      <c r="X24" s="123" t="str">
        <f aca="false">$W24</f>
        <v/>
      </c>
      <c r="Y24" s="123" t="str">
        <f aca="false">IFERROR(1/(1/INDEX(Spectrum!$N:$N,MATCH(RIGHT($B24,13)&amp;"|"&amp;$C24&amp;"|"&amp;$D24&amp;"|"&amp;Y$14&amp;"|"&amp;"CY2021Q3",Spectrum!$Q:$Q,0))),IF(SUM($H24)=0,"",MAX(SUM($P24),SUM($U24))/SUM($H24)))</f>
        <v/>
      </c>
      <c r="Z24" s="123" t="str">
        <f aca="false">IF(SUM($Y24)=0,"",MAX(SUM($Y24),90%))</f>
        <v/>
      </c>
      <c r="AA24" s="115" t="str">
        <f aca="false">IF(LEFT($B24,4)="_Mil","",ROUND(MAX(SUM($U24),SUM($P24))+IF(SUM($Z24)=0,0,MAX(SUM($Z24)-SUM($Y24),0)*SUM($H24)),0))</f>
        <v/>
      </c>
      <c r="AB24" s="115" t="str">
        <f aca="false">IF(SUM($AA24)=0,"",ROUND(MAX(SUM($AA24)-MAX(SUM($P24),SUM($U24)),0),0))</f>
        <v/>
      </c>
      <c r="AC24" s="126" t="str">
        <f aca="false">IF($C24="&lt;01",IFERROR(ROUND(INDEX(EID!$N:$N,MATCH($B24,EID!$B:$B,0))/2,0),""),"")</f>
        <v/>
      </c>
      <c r="AD24" s="115" t="str">
        <f aca="false">IF($C24="&lt;01",IF(SUM($AC24)=0,"",ROUND(SUM($AC24)/$AG24,0)),IF(SUM($AB24)=0,"",ROUND(MAX($X24,0)*SUM($AB24),0)))</f>
        <v/>
      </c>
      <c r="AE24" s="115" t="n">
        <f aca="false">IF(AND(SUM($AD24)=0,SUM($U24)=0),"",ROUND(IF($C24="&lt;01",0,SUM($U24))+SUM($AD24),0))</f>
        <v>46</v>
      </c>
      <c r="AF24" s="122" t="n">
        <f aca="false">IF($C24="&lt;01","",100%)</f>
        <v>1</v>
      </c>
      <c r="AG24" s="123" t="n">
        <f aca="false">0.98</f>
        <v>0.98</v>
      </c>
      <c r="AH24" s="123" t="n">
        <f aca="false">0.98</f>
        <v>0.98</v>
      </c>
      <c r="AI24" s="124" t="n">
        <f aca="false">IF(OR($C24="&lt;01",SUM($U24)=0),"",ROUND(SUM($U24)*(1-$AH24),0))</f>
        <v>1</v>
      </c>
      <c r="AJ24" s="124" t="n">
        <f aca="false">IF(AND(SUM($AE24)=0,SUM($U24)=0),"",IF($C24="&lt;01",SUM($AD24),SUM($AE24) - ROUND(SUM($U24)*$AH24,0)))</f>
        <v>1</v>
      </c>
      <c r="AK24" s="124"/>
      <c r="AL24" s="124" t="n">
        <v>33</v>
      </c>
      <c r="AM24" s="115" t="n">
        <f aca="false">IF(AND(SUM($AD24)=0,SUM($U24)=0),"",IF($C24="&lt;01",SUM($AD24),ROUND(ROUND(SUM($AJ24)*$AF24,0)/$AG24,0)))</f>
        <v>1</v>
      </c>
      <c r="AN24" s="122" t="n">
        <f aca="false">0.7</f>
        <v>0.7</v>
      </c>
      <c r="AO24" s="123" t="n">
        <f aca="false">1</f>
        <v>1</v>
      </c>
      <c r="AP24" s="115" t="n">
        <f aca="false">IF(AND(SUM($U24)=0,SUM($AM24)=0),"",ROUND((SUM($AM24)*$AN24+IF($C24="&lt;01",0,$U24))*$AO24,0))</f>
        <v>47</v>
      </c>
      <c r="AQ24" s="122" t="n">
        <v>17</v>
      </c>
      <c r="AR24" s="123" t="n">
        <f aca="false">0.95</f>
        <v>0.95</v>
      </c>
      <c r="AS24" s="123" t="n">
        <f aca="false">0.95</f>
        <v>0.95</v>
      </c>
      <c r="AT24" s="115" t="n">
        <f aca="false">IF(SUM($AP24)=0,"",ROUND(SUM($AP24)*$AR24,0))</f>
        <v>45</v>
      </c>
      <c r="AU24" s="115" t="str">
        <f aca="false">IF(LEFT($B24,4)="_Mil","",ROUND(SUM($AA24)*SUM($AS24),0))</f>
        <v/>
      </c>
      <c r="AV24" s="124" t="str">
        <f aca="false">IF(SUM($AU24)&lt;=0,"",MAX(SUM($AU24)-SUM($R24),0))</f>
        <v/>
      </c>
      <c r="AW24" s="122" t="n">
        <f aca="false">0</f>
        <v>0</v>
      </c>
      <c r="AX24" s="124" t="n">
        <f aca="false">IF(SUM($AM24)=0,"",ROUND(SUM($AM24)*SUM($AW24),0))</f>
        <v>0</v>
      </c>
      <c r="AY24" s="124" t="n">
        <f aca="false">IF(SUM($AM24)=0,"",SUM($AM24)-SUM($AX24))</f>
        <v>1</v>
      </c>
      <c r="AZ24" s="123"/>
      <c r="BA24" s="123" t="n">
        <f aca="false">0.95</f>
        <v>0.95</v>
      </c>
      <c r="BB24" s="123"/>
      <c r="BC24" s="123" t="n">
        <f aca="false">IF(OR(SUM($AM24)&lt;=0,$C24="&lt;01"),"",MAX(IF(OR(SUM($Y24)&lt;70%,LEFT($B24,4)="_Mil"),30%,IF(SUM($Y24)&gt;=80%,75%,50%)),SUM($BB24)))</f>
        <v>0.3</v>
      </c>
      <c r="BD24" s="115" t="n">
        <f aca="false">IF($C24="&lt;01",IFERROR(ROUND(INDEX(EID!$M:$M,MATCH($B24,EID!$B:$B,0)),0)/2,""),IF(SUM($AY24)=0,"",ROUND(SUM($AY24)/SUM($BA24),0)))</f>
        <v>1</v>
      </c>
      <c r="BE24" s="115" t="n">
        <f aca="false">IF($C24="&lt;01","",IF(SUM($BD24)=0,"",ROUND(SUM($BD24)*SUM($BC24),0)))</f>
        <v>0</v>
      </c>
      <c r="BF24" s="115" t="str">
        <f aca="false">_xlfn.IFNA(INDEX(PMTCT!$AE:$AE,MATCH($E24,PMTCT!$E:$E,0)),"")</f>
        <v/>
      </c>
      <c r="BG24" s="115" t="str">
        <f aca="false">_xlfn.IFNA(INDEX(PMTCT!$AU:$AU,MATCH($E24,PMTCT!$E:$E,0)),"")</f>
        <v/>
      </c>
      <c r="BH24" s="115" t="str">
        <f aca="false">_xlfn.IFNA(INDEX(TB!$Q:$Q,MATCH($E24,TB!$E:$E,0)),"")</f>
        <v/>
      </c>
      <c r="BI24" s="115" t="n">
        <f aca="false">_xlfn.IFNA(INDEX(VMMC!$AC:$AC,MATCH($E24,VMMC!$E:$E,0)),"")</f>
        <v>-0</v>
      </c>
      <c r="BJ24" s="115" t="str">
        <f aca="false">IF($C24="&lt;01",$BD24,"")</f>
        <v/>
      </c>
      <c r="BK24" s="115" t="n">
        <f aca="false">IF(SUM($BD24)=0,"",($BD24)-SUM($BE24:$BJ24))</f>
        <v>1</v>
      </c>
      <c r="BL24" s="123" t="str">
        <f aca="false">IF(OR(SUM($BD24)=0,SUM($BE24)=0),"",SUM($BE24)/$BD24)</f>
        <v/>
      </c>
      <c r="BM24" s="123" t="str">
        <f aca="false">IF(OR(SUM($BD24)=0,SUM($BF24)=0),"",SUM($BF24)/$BD24)</f>
        <v/>
      </c>
      <c r="BN24" s="123" t="str">
        <f aca="false">IF(OR(SUM($BD24)=0,SUM($BG24)=0),"",SUM($BG24)/$BD24)</f>
        <v/>
      </c>
      <c r="BO24" s="123" t="str">
        <f aca="false">IF(OR(SUM($BD24)=0,SUM($BH24)=0),"",SUM($BH24)/$BD24)</f>
        <v/>
      </c>
      <c r="BP24" s="123" t="str">
        <f aca="false">IF(OR(SUM($BD24)=0,SUM($BI24)=0),"",SUM($BI24)/$BD24)</f>
        <v/>
      </c>
      <c r="BQ24" s="123" t="str">
        <f aca="false">IF(AND($C24="&lt;01",SUM($BJ24)&lt;&gt;0),$BJ24/SUM($BD24),"")</f>
        <v/>
      </c>
      <c r="BR24" s="123" t="n">
        <f aca="false">IF(OR(SUM($BD24)=0,SUM($BK24)=0),"",SUM($BK24)/$BD24)</f>
        <v>1</v>
      </c>
      <c r="BS24" s="122" t="str">
        <f aca="false">IF(SUM($X24)&lt;=0,"",$X24)</f>
        <v/>
      </c>
      <c r="BT24" s="115" t="str">
        <f aca="false">IF(LEFT($B24,4)="_Mil","",MAX(SUM($L24)+ROUND(SUM($BD24)/IF(SUM($BS24)&lt;=0,1,SUM($BS24)),0),0))</f>
        <v/>
      </c>
    </row>
    <row r="25" customFormat="false" ht="15" hidden="false" customHeight="false" outlineLevel="0" collapsed="false">
      <c r="A25" s="0" t="s">
        <v>140</v>
      </c>
      <c r="B25" s="0" t="s">
        <v>141</v>
      </c>
      <c r="C25" s="0" t="s">
        <v>66</v>
      </c>
      <c r="D25" s="0" t="s">
        <v>56</v>
      </c>
      <c r="E25" s="0" t="str">
        <f aca="false">B25&amp;"|"&amp;C25&amp;"|"&amp;D25</f>
        <v>_Military Lesotho [#Military] [dDOqoFnD5Be]|20-24|Female</v>
      </c>
      <c r="F25" s="115" t="str">
        <f aca="false">_xlfn.IFNA(ROUND(INDEX(Spectrum!$N:$N,MATCH(RIGHT($B25,13)&amp;"|"&amp;$C25&amp;"|"&amp;$D25&amp;"|"&amp;F$14&amp;"|"&amp;"CY2021Q3",Spectrum!$Q:$Q,0)),0),"")</f>
        <v/>
      </c>
      <c r="G25" s="123" t="str">
        <f aca="false">_xlfn.IFNA(INDEX(Spectrum!$P:$P,MATCH(RIGHT($B25,13)&amp;"|"&amp;$C25&amp;"|"&amp;$D25&amp;"|"&amp;F$14&amp;"|"&amp;"CY2021Q3",Spectrum!$Q:$Q,0)),"")</f>
        <v/>
      </c>
      <c r="H25" s="115" t="str">
        <f aca="false">_xlfn.IFNA(ROUND(INDEX(Spectrum!$N:$N,MATCH(RIGHT($B25,13)&amp;"|"&amp;$C25&amp;"|"&amp;$D25&amp;"|"&amp;H$14&amp;"|"&amp;"CY2021Q3",Spectrum!$Q:$Q,0)),0),"")</f>
        <v/>
      </c>
      <c r="I25" s="123" t="str">
        <f aca="false">_xlfn.IFNA(INDEX(Spectrum!$P:$P,MATCH(RIGHT($B25,13)&amp;"|"&amp;$C25&amp;"|"&amp;$D25&amp;"|"&amp;H$14&amp;"|"&amp;"CY2021Q3",Spectrum!$Q:$Q,0)),"")</f>
        <v/>
      </c>
      <c r="J25" s="117" t="str">
        <f aca="false">_xlfn.IFNA(INDEX(Spectrum!$N:$N,MATCH(RIGHT($B25,13)&amp;"|"&amp;$C25&amp;"|"&amp;$D25&amp;"|"&amp;J$14&amp;"|"&amp;"CY2021Q3",Spectrum!$Q:$Q,0)),"")</f>
        <v/>
      </c>
      <c r="K25" s="123" t="str">
        <f aca="false">_xlfn.IFNA(INDEX(Spectrum!$P:$P,MATCH(RIGHT($B25,13)&amp;"|"&amp;$C25&amp;"|"&amp;$D25&amp;"|"&amp;J$14&amp;"|"&amp;"CY2021Q3",Spectrum!$Q:$Q,0)),"")</f>
        <v/>
      </c>
      <c r="L25" s="115" t="str">
        <f aca="false">_xlfn.IFNA(ROUND(INDEX(Spectrum!$N:$N,MATCH(RIGHT($B25,13)&amp;"|"&amp;$C25&amp;"|"&amp;$D25&amp;"|"&amp;L$14&amp;"|"&amp;"CY2021Q3",Spectrum!$Q:$Q,0)),0),"")</f>
        <v/>
      </c>
      <c r="M25" s="123" t="str">
        <f aca="false">IF(OR(SUM($H25)&lt;=0,SUM($L25)&lt;=0),"",SUM($L25)/$H25)</f>
        <v/>
      </c>
      <c r="N25" s="115" t="str">
        <f aca="false">_xlfn.IFNA(ROUND(INDEX(Spectrum!$N:$N,MATCH(RIGHT($B25,13)&amp;"|"&amp;$C25&amp;"|"&amp;$D25&amp;"|"&amp;N$14&amp;"|"&amp;"CY2020Q4",Spectrum!$Q:$Q,0)),0),"")</f>
        <v/>
      </c>
      <c r="O25" s="123" t="str">
        <f aca="false">_xlfn.IFNA(INDEX(Spectrum!$P:$P,MATCH(RIGHT($B25,13)&amp;"|"&amp;$C25&amp;"|"&amp;$D25&amp;"|"&amp;N$14&amp;"|"&amp;"CY2020Q4",Spectrum!$Q:$Q,0)),"")</f>
        <v/>
      </c>
      <c r="P25" s="115" t="str">
        <f aca="false">_xlfn.IFNA(ROUND(INDEX(Spectrum!$N:$N,MATCH(RIGHT($B25,13)&amp;"|"&amp;$C25&amp;"|"&amp;$D25&amp;"|"&amp;P$14&amp;"|"&amp;"CY2021Q3",Spectrum!$Q:$Q,0)),0),"")</f>
        <v/>
      </c>
      <c r="Q25" s="123" t="str">
        <f aca="false">_xlfn.IFNA(INDEX(Spectrum!$P:$P,MATCH(RIGHT($B25,13)&amp;"|"&amp;$C25&amp;"|"&amp;$D25&amp;"|"&amp;P$14&amp;"|"&amp;"CY2021Q3",Spectrum!$Q:$Q,0)),"")</f>
        <v/>
      </c>
      <c r="R25" s="115"/>
      <c r="S25" s="123" t="str">
        <f aca="false">IF(OR(SUM($P25)&lt;=0,SUM($R25)&lt;=0),"",SUM($R25)/$P25)</f>
        <v/>
      </c>
      <c r="T25" s="139" t="n">
        <v>20</v>
      </c>
      <c r="U25" s="124" t="n">
        <v>31</v>
      </c>
      <c r="V25" s="124" t="n">
        <f aca="false">IF($U25-$T25=0,"",$U25-$T25)</f>
        <v>11</v>
      </c>
      <c r="W25" s="123" t="str">
        <f aca="false">IF(LEFT($B25,4)="_Mil","",IFERROR(MIN(IF(SUM($N25)&lt;=0,SUM($U25)/SUM($P25),SUM($T25)/SUM($N25)),1),""))</f>
        <v/>
      </c>
      <c r="X25" s="123" t="str">
        <f aca="false">$W25</f>
        <v/>
      </c>
      <c r="Y25" s="123" t="str">
        <f aca="false">IFERROR(1/(1/INDEX(Spectrum!$N:$N,MATCH(RIGHT($B25,13)&amp;"|"&amp;$C25&amp;"|"&amp;$D25&amp;"|"&amp;Y$14&amp;"|"&amp;"CY2021Q3",Spectrum!$Q:$Q,0))),IF(SUM($H25)=0,"",MAX(SUM($P25),SUM($U25))/SUM($H25)))</f>
        <v/>
      </c>
      <c r="Z25" s="123" t="str">
        <f aca="false">IF(SUM($Y25)=0,"",MAX(SUM($Y25),90%))</f>
        <v/>
      </c>
      <c r="AA25" s="115" t="str">
        <f aca="false">IF(LEFT($B25,4)="_Mil","",ROUND(MAX(SUM($U25),SUM($P25))+IF(SUM($Z25)=0,0,MAX(SUM($Z25)-SUM($Y25),0)*SUM($H25)),0))</f>
        <v/>
      </c>
      <c r="AB25" s="115" t="str">
        <f aca="false">IF(SUM($AA25)=0,"",ROUND(MAX(SUM($AA25)-MAX(SUM($P25),SUM($U25)),0),0))</f>
        <v/>
      </c>
      <c r="AC25" s="126" t="str">
        <f aca="false">IF($C25="&lt;01",IFERROR(ROUND(INDEX(EID!$N:$N,MATCH($B25,EID!$B:$B,0))/2,0),""),"")</f>
        <v/>
      </c>
      <c r="AD25" s="115" t="str">
        <f aca="false">IF($C25="&lt;01",IF(SUM($AC25)=0,"",ROUND(SUM($AC25)/$AG25,0)),IF(SUM($AB25)=0,"",ROUND(MAX($X25,0)*SUM($AB25),0)))</f>
        <v/>
      </c>
      <c r="AE25" s="115" t="n">
        <f aca="false">IF(AND(SUM($AD25)=0,SUM($U25)=0),"",ROUND(IF($C25="&lt;01",0,SUM($U25))+SUM($AD25),0))</f>
        <v>31</v>
      </c>
      <c r="AF25" s="122" t="n">
        <f aca="false">IF($C25="&lt;01","",100%)</f>
        <v>1</v>
      </c>
      <c r="AG25" s="123" t="n">
        <f aca="false">0.98</f>
        <v>0.98</v>
      </c>
      <c r="AH25" s="123" t="n">
        <f aca="false">0.98</f>
        <v>0.98</v>
      </c>
      <c r="AI25" s="124" t="n">
        <f aca="false">IF(OR($C25="&lt;01",SUM($U25)=0),"",ROUND(SUM($U25)*(1-$AH25),0))</f>
        <v>1</v>
      </c>
      <c r="AJ25" s="124" t="n">
        <f aca="false">IF(AND(SUM($AE25)=0,SUM($U25)=0),"",IF($C25="&lt;01",SUM($AD25),SUM($AE25) - ROUND(SUM($U25)*$AH25,0)))</f>
        <v>1</v>
      </c>
      <c r="AK25" s="124" t="n">
        <v>0</v>
      </c>
      <c r="AL25" s="124"/>
      <c r="AM25" s="115" t="n">
        <f aca="false">IF(AND(SUM($AD25)=0,SUM($U25)=0),"",IF($C25="&lt;01",SUM($AD25),ROUND(ROUND(SUM($AJ25)*$AF25,0)/$AG25,0)))</f>
        <v>1</v>
      </c>
      <c r="AN25" s="122" t="n">
        <f aca="false">0.7</f>
        <v>0.7</v>
      </c>
      <c r="AO25" s="123" t="n">
        <f aca="false">1</f>
        <v>1</v>
      </c>
      <c r="AP25" s="115" t="n">
        <f aca="false">IF(AND(SUM($U25)=0,SUM($AM25)=0),"",ROUND((SUM($AM25)*$AN25+IF($C25="&lt;01",0,$U25))*$AO25,0))</f>
        <v>32</v>
      </c>
      <c r="AQ25" s="122" t="n">
        <v>24</v>
      </c>
      <c r="AR25" s="123" t="n">
        <f aca="false">0.95</f>
        <v>0.95</v>
      </c>
      <c r="AS25" s="123" t="n">
        <f aca="false">0.95</f>
        <v>0.95</v>
      </c>
      <c r="AT25" s="115" t="n">
        <f aca="false">IF(SUM($AP25)=0,"",ROUND(SUM($AP25)*$AR25,0))</f>
        <v>30</v>
      </c>
      <c r="AU25" s="115" t="str">
        <f aca="false">IF(LEFT($B25,4)="_Mil","",ROUND(SUM($AA25)*SUM($AS25),0))</f>
        <v/>
      </c>
      <c r="AV25" s="124" t="str">
        <f aca="false">IF(SUM($AU25)&lt;=0,"",MAX(SUM($AU25)-SUM($R25),0))</f>
        <v/>
      </c>
      <c r="AW25" s="122" t="n">
        <f aca="false">0</f>
        <v>0</v>
      </c>
      <c r="AX25" s="124" t="n">
        <f aca="false">IF(SUM($AM25)=0,"",ROUND(SUM($AM25)*SUM($AW25),0))</f>
        <v>0</v>
      </c>
      <c r="AY25" s="124" t="n">
        <f aca="false">IF(SUM($AM25)=0,"",SUM($AM25)-SUM($AX25))</f>
        <v>1</v>
      </c>
      <c r="AZ25" s="123" t="n">
        <v>42</v>
      </c>
      <c r="BA25" s="123" t="n">
        <f aca="false">0.95</f>
        <v>0.95</v>
      </c>
      <c r="BB25" s="123"/>
      <c r="BC25" s="123" t="n">
        <f aca="false">IF(OR(SUM($AM25)&lt;=0,$C25="&lt;01"),"",MAX(IF(OR(SUM($Y25)&lt;70%,LEFT($B25,4)="_Mil"),30%,IF(SUM($Y25)&gt;=80%,75%,50%)),SUM($BB25)))</f>
        <v>0.3</v>
      </c>
      <c r="BD25" s="115" t="n">
        <f aca="false">IF($C25="&lt;01",IFERROR(ROUND(INDEX(EID!$M:$M,MATCH($B25,EID!$B:$B,0)),0)/2,""),IF(SUM($AY25)=0,"",ROUND(SUM($AY25)/SUM($BA25),0)))</f>
        <v>1</v>
      </c>
      <c r="BE25" s="115" t="n">
        <f aca="false">IF($C25="&lt;01","",IF(SUM($BD25)=0,"",ROUND(SUM($BD25)*SUM($BC25),0)))</f>
        <v>0</v>
      </c>
      <c r="BF25" s="115" t="str">
        <f aca="false">_xlfn.IFNA(INDEX(PMTCT!$AE:$AE,MATCH($E25,PMTCT!$E:$E,0)),"")</f>
        <v/>
      </c>
      <c r="BG25" s="115" t="str">
        <f aca="false">_xlfn.IFNA(INDEX(PMTCT!$AU:$AU,MATCH($E25,PMTCT!$E:$E,0)),"")</f>
        <v/>
      </c>
      <c r="BH25" s="115" t="n">
        <f aca="false">_xlfn.IFNA(INDEX(TB!$Q:$Q,MATCH($E25,TB!$E:$E,0)),"")</f>
        <v>-0</v>
      </c>
      <c r="BI25" s="115" t="str">
        <f aca="false">_xlfn.IFNA(INDEX(VMMC!$AC:$AC,MATCH($E25,VMMC!$E:$E,0)),"")</f>
        <v/>
      </c>
      <c r="BJ25" s="115" t="str">
        <f aca="false">IF($C25="&lt;01",$BD25,"")</f>
        <v/>
      </c>
      <c r="BK25" s="115" t="n">
        <f aca="false">IF(SUM($BD25)=0,"",($BD25)-SUM($BE25:$BJ25))</f>
        <v>1</v>
      </c>
      <c r="BL25" s="123" t="str">
        <f aca="false">IF(OR(SUM($BD25)=0,SUM($BE25)=0),"",SUM($BE25)/$BD25)</f>
        <v/>
      </c>
      <c r="BM25" s="123" t="str">
        <f aca="false">IF(OR(SUM($BD25)=0,SUM($BF25)=0),"",SUM($BF25)/$BD25)</f>
        <v/>
      </c>
      <c r="BN25" s="123" t="str">
        <f aca="false">IF(OR(SUM($BD25)=0,SUM($BG25)=0),"",SUM($BG25)/$BD25)</f>
        <v/>
      </c>
      <c r="BO25" s="123" t="str">
        <f aca="false">IF(OR(SUM($BD25)=0,SUM($BH25)=0),"",SUM($BH25)/$BD25)</f>
        <v/>
      </c>
      <c r="BP25" s="123" t="str">
        <f aca="false">IF(OR(SUM($BD25)=0,SUM($BI25)=0),"",SUM($BI25)/$BD25)</f>
        <v/>
      </c>
      <c r="BQ25" s="123" t="str">
        <f aca="false">IF(AND($C25="&lt;01",SUM($BJ25)&lt;&gt;0),$BJ25/SUM($BD25),"")</f>
        <v/>
      </c>
      <c r="BR25" s="123" t="n">
        <f aca="false">IF(OR(SUM($BD25)=0,SUM($BK25)=0),"",SUM($BK25)/$BD25)</f>
        <v>1</v>
      </c>
      <c r="BS25" s="122" t="str">
        <f aca="false">IF(SUM($X25)&lt;=0,"",$X25)</f>
        <v/>
      </c>
      <c r="BT25" s="115" t="str">
        <f aca="false">IF(LEFT($B25,4)="_Mil","",MAX(SUM($L25)+ROUND(SUM($BD25)/IF(SUM($BS25)&lt;=0,1,SUM($BS25)),0),0))</f>
        <v/>
      </c>
    </row>
    <row r="26" customFormat="false" ht="15" hidden="false" customHeight="false" outlineLevel="0" collapsed="false">
      <c r="A26" s="0" t="s">
        <v>140</v>
      </c>
      <c r="B26" s="0" t="s">
        <v>141</v>
      </c>
      <c r="C26" s="0" t="s">
        <v>66</v>
      </c>
      <c r="D26" s="0" t="s">
        <v>58</v>
      </c>
      <c r="E26" s="0" t="str">
        <f aca="false">B26&amp;"|"&amp;C26&amp;"|"&amp;D26</f>
        <v>_Military Lesotho [#Military] [dDOqoFnD5Be]|20-24|Male</v>
      </c>
      <c r="F26" s="115" t="str">
        <f aca="false">_xlfn.IFNA(ROUND(INDEX(Spectrum!$N:$N,MATCH(RIGHT($B26,13)&amp;"|"&amp;$C26&amp;"|"&amp;$D26&amp;"|"&amp;F$14&amp;"|"&amp;"CY2021Q3",Spectrum!$Q:$Q,0)),0),"")</f>
        <v/>
      </c>
      <c r="G26" s="123" t="str">
        <f aca="false">_xlfn.IFNA(INDEX(Spectrum!$P:$P,MATCH(RIGHT($B26,13)&amp;"|"&amp;$C26&amp;"|"&amp;$D26&amp;"|"&amp;F$14&amp;"|"&amp;"CY2021Q3",Spectrum!$Q:$Q,0)),"")</f>
        <v/>
      </c>
      <c r="H26" s="115" t="str">
        <f aca="false">_xlfn.IFNA(ROUND(INDEX(Spectrum!$N:$N,MATCH(RIGHT($B26,13)&amp;"|"&amp;$C26&amp;"|"&amp;$D26&amp;"|"&amp;H$14&amp;"|"&amp;"CY2021Q3",Spectrum!$Q:$Q,0)),0),"")</f>
        <v/>
      </c>
      <c r="I26" s="123" t="str">
        <f aca="false">_xlfn.IFNA(INDEX(Spectrum!$P:$P,MATCH(RIGHT($B26,13)&amp;"|"&amp;$C26&amp;"|"&amp;$D26&amp;"|"&amp;H$14&amp;"|"&amp;"CY2021Q3",Spectrum!$Q:$Q,0)),"")</f>
        <v/>
      </c>
      <c r="J26" s="117" t="str">
        <f aca="false">_xlfn.IFNA(INDEX(Spectrum!$N:$N,MATCH(RIGHT($B26,13)&amp;"|"&amp;$C26&amp;"|"&amp;$D26&amp;"|"&amp;J$14&amp;"|"&amp;"CY2021Q3",Spectrum!$Q:$Q,0)),"")</f>
        <v/>
      </c>
      <c r="K26" s="123" t="str">
        <f aca="false">_xlfn.IFNA(INDEX(Spectrum!$P:$P,MATCH(RIGHT($B26,13)&amp;"|"&amp;$C26&amp;"|"&amp;$D26&amp;"|"&amp;J$14&amp;"|"&amp;"CY2021Q3",Spectrum!$Q:$Q,0)),"")</f>
        <v/>
      </c>
      <c r="L26" s="115" t="str">
        <f aca="false">_xlfn.IFNA(ROUND(INDEX(Spectrum!$N:$N,MATCH(RIGHT($B26,13)&amp;"|"&amp;$C26&amp;"|"&amp;$D26&amp;"|"&amp;L$14&amp;"|"&amp;"CY2021Q3",Spectrum!$Q:$Q,0)),0),"")</f>
        <v/>
      </c>
      <c r="M26" s="123" t="str">
        <f aca="false">IF(OR(SUM($H26)&lt;=0,SUM($L26)&lt;=0),"",SUM($L26)/$H26)</f>
        <v/>
      </c>
      <c r="N26" s="115" t="str">
        <f aca="false">_xlfn.IFNA(ROUND(INDEX(Spectrum!$N:$N,MATCH(RIGHT($B26,13)&amp;"|"&amp;$C26&amp;"|"&amp;$D26&amp;"|"&amp;N$14&amp;"|"&amp;"CY2020Q4",Spectrum!$Q:$Q,0)),0),"")</f>
        <v/>
      </c>
      <c r="O26" s="123" t="str">
        <f aca="false">_xlfn.IFNA(INDEX(Spectrum!$P:$P,MATCH(RIGHT($B26,13)&amp;"|"&amp;$C26&amp;"|"&amp;$D26&amp;"|"&amp;N$14&amp;"|"&amp;"CY2020Q4",Spectrum!$Q:$Q,0)),"")</f>
        <v/>
      </c>
      <c r="P26" s="115" t="str">
        <f aca="false">_xlfn.IFNA(ROUND(INDEX(Spectrum!$N:$N,MATCH(RIGHT($B26,13)&amp;"|"&amp;$C26&amp;"|"&amp;$D26&amp;"|"&amp;P$14&amp;"|"&amp;"CY2021Q3",Spectrum!$Q:$Q,0)),0),"")</f>
        <v/>
      </c>
      <c r="Q26" s="123" t="str">
        <f aca="false">_xlfn.IFNA(INDEX(Spectrum!$P:$P,MATCH(RIGHT($B26,13)&amp;"|"&amp;$C26&amp;"|"&amp;$D26&amp;"|"&amp;P$14&amp;"|"&amp;"CY2021Q3",Spectrum!$Q:$Q,0)),"")</f>
        <v/>
      </c>
      <c r="R26" s="115"/>
      <c r="S26" s="123" t="str">
        <f aca="false">IF(OR(SUM($P26)&lt;=0,SUM($R26)&lt;=0),"",SUM($R26)/$P26)</f>
        <v/>
      </c>
      <c r="T26" s="139" t="n">
        <v>47</v>
      </c>
      <c r="U26" s="124" t="n">
        <v>15</v>
      </c>
      <c r="V26" s="124" t="n">
        <f aca="false">IF($U26-$T26=0,"",$U26-$T26)</f>
        <v>-32</v>
      </c>
      <c r="W26" s="123" t="str">
        <f aca="false">IF(LEFT($B26,4)="_Mil","",IFERROR(MIN(IF(SUM($N26)&lt;=0,SUM($U26)/SUM($P26),SUM($T26)/SUM($N26)),1),""))</f>
        <v/>
      </c>
      <c r="X26" s="123" t="str">
        <f aca="false">$W26</f>
        <v/>
      </c>
      <c r="Y26" s="123" t="str">
        <f aca="false">IFERROR(1/(1/INDEX(Spectrum!$N:$N,MATCH(RIGHT($B26,13)&amp;"|"&amp;$C26&amp;"|"&amp;$D26&amp;"|"&amp;Y$14&amp;"|"&amp;"CY2021Q3",Spectrum!$Q:$Q,0))),IF(SUM($H26)=0,"",MAX(SUM($P26),SUM($U26))/SUM($H26)))</f>
        <v/>
      </c>
      <c r="Z26" s="123" t="str">
        <f aca="false">IF(SUM($Y26)=0,"",MAX(SUM($Y26),90%))</f>
        <v/>
      </c>
      <c r="AA26" s="115" t="str">
        <f aca="false">IF(LEFT($B26,4)="_Mil","",ROUND(MAX(SUM($U26),SUM($P26))+IF(SUM($Z26)=0,0,MAX(SUM($Z26)-SUM($Y26),0)*SUM($H26)),0))</f>
        <v/>
      </c>
      <c r="AB26" s="115" t="str">
        <f aca="false">IF(SUM($AA26)=0,"",ROUND(MAX(SUM($AA26)-MAX(SUM($P26),SUM($U26)),0),0))</f>
        <v/>
      </c>
      <c r="AC26" s="126" t="str">
        <f aca="false">IF($C26="&lt;01",IFERROR(ROUND(INDEX(EID!$N:$N,MATCH($B26,EID!$B:$B,0))/2,0),""),"")</f>
        <v/>
      </c>
      <c r="AD26" s="115" t="str">
        <f aca="false">IF($C26="&lt;01",IF(SUM($AC26)=0,"",ROUND(SUM($AC26)/$AG26,0)),IF(SUM($AB26)=0,"",ROUND(MAX($X26,0)*SUM($AB26),0)))</f>
        <v/>
      </c>
      <c r="AE26" s="115" t="n">
        <f aca="false">IF(AND(SUM($AD26)=0,SUM($U26)=0),"",ROUND(IF($C26="&lt;01",0,SUM($U26))+SUM($AD26),0))</f>
        <v>15</v>
      </c>
      <c r="AF26" s="122" t="n">
        <f aca="false">IF($C26="&lt;01","",100%)</f>
        <v>1</v>
      </c>
      <c r="AG26" s="123" t="n">
        <f aca="false">0.98</f>
        <v>0.98</v>
      </c>
      <c r="AH26" s="123" t="n">
        <f aca="false">0.98</f>
        <v>0.98</v>
      </c>
      <c r="AI26" s="124" t="n">
        <f aca="false">IF(OR($C26="&lt;01",SUM($U26)=0),"",ROUND(SUM($U26)*(1-$AH26),0))</f>
        <v>0</v>
      </c>
      <c r="AJ26" s="124" t="n">
        <f aca="false">IF(AND(SUM($AE26)=0,SUM($U26)=0),"",IF($C26="&lt;01",SUM($AD26),SUM($AE26) - ROUND(SUM($U26)*$AH26,0)))</f>
        <v>0</v>
      </c>
      <c r="AK26" s="124"/>
      <c r="AL26" s="124" t="n">
        <v>31</v>
      </c>
      <c r="AM26" s="115" t="n">
        <f aca="false">IF(AND(SUM($AD26)=0,SUM($U26)=0),"",IF($C26="&lt;01",SUM($AD26),ROUND(ROUND(SUM($AJ26)*$AF26,0)/$AG26,0)))</f>
        <v>0</v>
      </c>
      <c r="AN26" s="122" t="n">
        <f aca="false">0.7</f>
        <v>0.7</v>
      </c>
      <c r="AO26" s="123" t="n">
        <f aca="false">1</f>
        <v>1</v>
      </c>
      <c r="AP26" s="115" t="n">
        <f aca="false">IF(AND(SUM($U26)=0,SUM($AM26)=0),"",ROUND((SUM($AM26)*$AN26+IF($C26="&lt;01",0,$U26))*$AO26,0))</f>
        <v>15</v>
      </c>
      <c r="AQ26" s="122" t="n">
        <v>28</v>
      </c>
      <c r="AR26" s="123" t="n">
        <f aca="false">0.95</f>
        <v>0.95</v>
      </c>
      <c r="AS26" s="123" t="n">
        <f aca="false">0.95</f>
        <v>0.95</v>
      </c>
      <c r="AT26" s="115" t="n">
        <f aca="false">IF(SUM($AP26)=0,"",ROUND(SUM($AP26)*$AR26,0))</f>
        <v>14</v>
      </c>
      <c r="AU26" s="115" t="str">
        <f aca="false">IF(LEFT($B26,4)="_Mil","",ROUND(SUM($AA26)*SUM($AS26),0))</f>
        <v/>
      </c>
      <c r="AV26" s="124" t="str">
        <f aca="false">IF(SUM($AU26)&lt;=0,"",MAX(SUM($AU26)-SUM($R26),0))</f>
        <v/>
      </c>
      <c r="AW26" s="122" t="n">
        <f aca="false">0</f>
        <v>0</v>
      </c>
      <c r="AX26" s="124" t="str">
        <f aca="false">IF(SUM($AM26)=0,"",ROUND(SUM($AM26)*SUM($AW26),0))</f>
        <v/>
      </c>
      <c r="AY26" s="124" t="str">
        <f aca="false">IF(SUM($AM26)=0,"",SUM($AM26)-SUM($AX26))</f>
        <v/>
      </c>
      <c r="AZ26" s="123"/>
      <c r="BA26" s="123" t="n">
        <f aca="false">0.95</f>
        <v>0.95</v>
      </c>
      <c r="BB26" s="123"/>
      <c r="BC26" s="123" t="str">
        <f aca="false">IF(OR(SUM($AM26)&lt;=0,$C26="&lt;01"),"",MAX(IF(OR(SUM($Y26)&lt;70%,LEFT($B26,4)="_Mil"),30%,IF(SUM($Y26)&gt;=80%,75%,50%)),SUM($BB26)))</f>
        <v/>
      </c>
      <c r="BD26" s="115" t="str">
        <f aca="false">IF($C26="&lt;01",IFERROR(ROUND(INDEX(EID!$M:$M,MATCH($B26,EID!$B:$B,0)),0)/2,""),IF(SUM($AY26)=0,"",ROUND(SUM($AY26)/SUM($BA26),0)))</f>
        <v/>
      </c>
      <c r="BE26" s="115" t="str">
        <f aca="false">IF($C26="&lt;01","",IF(SUM($BD26)=0,"",ROUND(SUM($BD26)*SUM($BC26),0)))</f>
        <v/>
      </c>
      <c r="BF26" s="115" t="str">
        <f aca="false">_xlfn.IFNA(INDEX(PMTCT!$AE:$AE,MATCH($E26,PMTCT!$E:$E,0)),"")</f>
        <v/>
      </c>
      <c r="BG26" s="115" t="str">
        <f aca="false">_xlfn.IFNA(INDEX(PMTCT!$AU:$AU,MATCH($E26,PMTCT!$E:$E,0)),"")</f>
        <v/>
      </c>
      <c r="BH26" s="115" t="str">
        <f aca="false">_xlfn.IFNA(INDEX(TB!$Q:$Q,MATCH($E26,TB!$E:$E,0)),"")</f>
        <v/>
      </c>
      <c r="BI26" s="115" t="n">
        <f aca="false">_xlfn.IFNA(INDEX(VMMC!$AC:$AC,MATCH($E26,VMMC!$E:$E,0)),"")</f>
        <v>-0</v>
      </c>
      <c r="BJ26" s="115" t="str">
        <f aca="false">IF($C26="&lt;01",$BD26,"")</f>
        <v/>
      </c>
      <c r="BK26" s="115" t="str">
        <f aca="false">IF(SUM($BD26)=0,"",($BD26)-SUM($BE26:$BJ26))</f>
        <v/>
      </c>
      <c r="BL26" s="123" t="str">
        <f aca="false">IF(OR(SUM($BD26)=0,SUM($BE26)=0),"",SUM($BE26)/$BD26)</f>
        <v/>
      </c>
      <c r="BM26" s="123" t="str">
        <f aca="false">IF(OR(SUM($BD26)=0,SUM($BF26)=0),"",SUM($BF26)/$BD26)</f>
        <v/>
      </c>
      <c r="BN26" s="123" t="str">
        <f aca="false">IF(OR(SUM($BD26)=0,SUM($BG26)=0),"",SUM($BG26)/$BD26)</f>
        <v/>
      </c>
      <c r="BO26" s="123" t="str">
        <f aca="false">IF(OR(SUM($BD26)=0,SUM($BH26)=0),"",SUM($BH26)/$BD26)</f>
        <v/>
      </c>
      <c r="BP26" s="123" t="str">
        <f aca="false">IF(OR(SUM($BD26)=0,SUM($BI26)=0),"",SUM($BI26)/$BD26)</f>
        <v/>
      </c>
      <c r="BQ26" s="123" t="str">
        <f aca="false">IF(AND($C26="&lt;01",SUM($BJ26)&lt;&gt;0),$BJ26/SUM($BD26),"")</f>
        <v/>
      </c>
      <c r="BR26" s="123" t="str">
        <f aca="false">IF(OR(SUM($BD26)=0,SUM($BK26)=0),"",SUM($BK26)/$BD26)</f>
        <v/>
      </c>
      <c r="BS26" s="122" t="str">
        <f aca="false">IF(SUM($X26)&lt;=0,"",$X26)</f>
        <v/>
      </c>
      <c r="BT26" s="115" t="str">
        <f aca="false">IF(LEFT($B26,4)="_Mil","",MAX(SUM($L26)+ROUND(SUM($BD26)/IF(SUM($BS26)&lt;=0,1,SUM($BS26)),0),0))</f>
        <v/>
      </c>
    </row>
    <row r="27" customFormat="false" ht="15" hidden="false" customHeight="false" outlineLevel="0" collapsed="false">
      <c r="A27" s="0" t="s">
        <v>140</v>
      </c>
      <c r="B27" s="0" t="s">
        <v>141</v>
      </c>
      <c r="C27" s="0" t="s">
        <v>69</v>
      </c>
      <c r="D27" s="0" t="s">
        <v>56</v>
      </c>
      <c r="E27" s="0" t="str">
        <f aca="false">B27&amp;"|"&amp;C27&amp;"|"&amp;D27</f>
        <v>_Military Lesotho [#Military] [dDOqoFnD5Be]|25-29|Female</v>
      </c>
      <c r="F27" s="115" t="str">
        <f aca="false">_xlfn.IFNA(ROUND(INDEX(Spectrum!$N:$N,MATCH(RIGHT($B27,13)&amp;"|"&amp;$C27&amp;"|"&amp;$D27&amp;"|"&amp;F$14&amp;"|"&amp;"CY2021Q3",Spectrum!$Q:$Q,0)),0),"")</f>
        <v/>
      </c>
      <c r="G27" s="123" t="str">
        <f aca="false">_xlfn.IFNA(INDEX(Spectrum!$P:$P,MATCH(RIGHT($B27,13)&amp;"|"&amp;$C27&amp;"|"&amp;$D27&amp;"|"&amp;F$14&amp;"|"&amp;"CY2021Q3",Spectrum!$Q:$Q,0)),"")</f>
        <v/>
      </c>
      <c r="H27" s="115" t="str">
        <f aca="false">_xlfn.IFNA(ROUND(INDEX(Spectrum!$N:$N,MATCH(RIGHT($B27,13)&amp;"|"&amp;$C27&amp;"|"&amp;$D27&amp;"|"&amp;H$14&amp;"|"&amp;"CY2021Q3",Spectrum!$Q:$Q,0)),0),"")</f>
        <v/>
      </c>
      <c r="I27" s="123" t="str">
        <f aca="false">_xlfn.IFNA(INDEX(Spectrum!$P:$P,MATCH(RIGHT($B27,13)&amp;"|"&amp;$C27&amp;"|"&amp;$D27&amp;"|"&amp;H$14&amp;"|"&amp;"CY2021Q3",Spectrum!$Q:$Q,0)),"")</f>
        <v/>
      </c>
      <c r="J27" s="117" t="str">
        <f aca="false">_xlfn.IFNA(INDEX(Spectrum!$N:$N,MATCH(RIGHT($B27,13)&amp;"|"&amp;$C27&amp;"|"&amp;$D27&amp;"|"&amp;J$14&amp;"|"&amp;"CY2021Q3",Spectrum!$Q:$Q,0)),"")</f>
        <v/>
      </c>
      <c r="K27" s="123" t="str">
        <f aca="false">_xlfn.IFNA(INDEX(Spectrum!$P:$P,MATCH(RIGHT($B27,13)&amp;"|"&amp;$C27&amp;"|"&amp;$D27&amp;"|"&amp;J$14&amp;"|"&amp;"CY2021Q3",Spectrum!$Q:$Q,0)),"")</f>
        <v/>
      </c>
      <c r="L27" s="115" t="str">
        <f aca="false">_xlfn.IFNA(ROUND(INDEX(Spectrum!$N:$N,MATCH(RIGHT($B27,13)&amp;"|"&amp;$C27&amp;"|"&amp;$D27&amp;"|"&amp;L$14&amp;"|"&amp;"CY2021Q3",Spectrum!$Q:$Q,0)),0),"")</f>
        <v/>
      </c>
      <c r="M27" s="123" t="str">
        <f aca="false">IF(OR(SUM($H27)&lt;=0,SUM($L27)&lt;=0),"",SUM($L27)/$H27)</f>
        <v/>
      </c>
      <c r="N27" s="115" t="str">
        <f aca="false">_xlfn.IFNA(ROUND(INDEX(Spectrum!$N:$N,MATCH(RIGHT($B27,13)&amp;"|"&amp;$C27&amp;"|"&amp;$D27&amp;"|"&amp;N$14&amp;"|"&amp;"CY2020Q4",Spectrum!$Q:$Q,0)),0),"")</f>
        <v/>
      </c>
      <c r="O27" s="123" t="str">
        <f aca="false">_xlfn.IFNA(INDEX(Spectrum!$P:$P,MATCH(RIGHT($B27,13)&amp;"|"&amp;$C27&amp;"|"&amp;$D27&amp;"|"&amp;N$14&amp;"|"&amp;"CY2020Q4",Spectrum!$Q:$Q,0)),"")</f>
        <v/>
      </c>
      <c r="P27" s="115" t="str">
        <f aca="false">_xlfn.IFNA(ROUND(INDEX(Spectrum!$N:$N,MATCH(RIGHT($B27,13)&amp;"|"&amp;$C27&amp;"|"&amp;$D27&amp;"|"&amp;P$14&amp;"|"&amp;"CY2021Q3",Spectrum!$Q:$Q,0)),0),"")</f>
        <v/>
      </c>
      <c r="Q27" s="123" t="str">
        <f aca="false">_xlfn.IFNA(INDEX(Spectrum!$P:$P,MATCH(RIGHT($B27,13)&amp;"|"&amp;$C27&amp;"|"&amp;$D27&amp;"|"&amp;P$14&amp;"|"&amp;"CY2021Q3",Spectrum!$Q:$Q,0)),"")</f>
        <v/>
      </c>
      <c r="R27" s="115"/>
      <c r="S27" s="123" t="str">
        <f aca="false">IF(OR(SUM($P27)&lt;=0,SUM($R27)&lt;=0),"",SUM($R27)/$P27)</f>
        <v/>
      </c>
      <c r="T27" s="139" t="n">
        <v>16</v>
      </c>
      <c r="U27" s="124" t="n">
        <v>19</v>
      </c>
      <c r="V27" s="124" t="n">
        <f aca="false">IF($U27-$T27=0,"",$U27-$T27)</f>
        <v>3</v>
      </c>
      <c r="W27" s="123" t="str">
        <f aca="false">IF(LEFT($B27,4)="_Mil","",IFERROR(MIN(IF(SUM($N27)&lt;=0,SUM($U27)/SUM($P27),SUM($T27)/SUM($N27)),1),""))</f>
        <v/>
      </c>
      <c r="X27" s="123" t="str">
        <f aca="false">$W27</f>
        <v/>
      </c>
      <c r="Y27" s="123" t="str">
        <f aca="false">IFERROR(1/(1/INDEX(Spectrum!$N:$N,MATCH(RIGHT($B27,13)&amp;"|"&amp;$C27&amp;"|"&amp;$D27&amp;"|"&amp;Y$14&amp;"|"&amp;"CY2021Q3",Spectrum!$Q:$Q,0))),IF(SUM($H27)=0,"",MAX(SUM($P27),SUM($U27))/SUM($H27)))</f>
        <v/>
      </c>
      <c r="Z27" s="123" t="str">
        <f aca="false">IF(SUM($Y27)=0,"",MAX(SUM($Y27),90%))</f>
        <v/>
      </c>
      <c r="AA27" s="115" t="str">
        <f aca="false">IF(LEFT($B27,4)="_Mil","",ROUND(MAX(SUM($U27),SUM($P27))+IF(SUM($Z27)=0,0,MAX(SUM($Z27)-SUM($Y27),0)*SUM($H27)),0))</f>
        <v/>
      </c>
      <c r="AB27" s="115" t="str">
        <f aca="false">IF(SUM($AA27)=0,"",ROUND(MAX(SUM($AA27)-MAX(SUM($P27),SUM($U27)),0),0))</f>
        <v/>
      </c>
      <c r="AC27" s="126" t="str">
        <f aca="false">IF($C27="&lt;01",IFERROR(ROUND(INDEX(EID!$N:$N,MATCH($B27,EID!$B:$B,0))/2,0),""),"")</f>
        <v/>
      </c>
      <c r="AD27" s="115" t="str">
        <f aca="false">IF($C27="&lt;01",IF(SUM($AC27)=0,"",ROUND(SUM($AC27)/$AG27,0)),IF(SUM($AB27)=0,"",ROUND(MAX($X27,0)*SUM($AB27),0)))</f>
        <v/>
      </c>
      <c r="AE27" s="115" t="n">
        <f aca="false">IF(AND(SUM($AD27)=0,SUM($U27)=0),"",ROUND(IF($C27="&lt;01",0,SUM($U27))+SUM($AD27),0))</f>
        <v>19</v>
      </c>
      <c r="AF27" s="122" t="n">
        <f aca="false">IF($C27="&lt;01","",100%)</f>
        <v>1</v>
      </c>
      <c r="AG27" s="123" t="n">
        <f aca="false">0.98</f>
        <v>0.98</v>
      </c>
      <c r="AH27" s="123" t="n">
        <f aca="false">0.98</f>
        <v>0.98</v>
      </c>
      <c r="AI27" s="124" t="n">
        <f aca="false">IF(OR($C27="&lt;01",SUM($U27)=0),"",ROUND(SUM($U27)*(1-$AH27),0))</f>
        <v>0</v>
      </c>
      <c r="AJ27" s="124" t="n">
        <f aca="false">IF(AND(SUM($AE27)=0,SUM($U27)=0),"",IF($C27="&lt;01",SUM($AD27),SUM($AE27) - ROUND(SUM($U27)*$AH27,0)))</f>
        <v>0</v>
      </c>
      <c r="AK27" s="124" t="n">
        <v>35</v>
      </c>
      <c r="AL27" s="124" t="n">
        <v>44</v>
      </c>
      <c r="AM27" s="115" t="n">
        <f aca="false">IF(AND(SUM($AD27)=0,SUM($U27)=0),"",IF($C27="&lt;01",SUM($AD27),ROUND(ROUND(SUM($AJ27)*$AF27,0)/$AG27,0)))</f>
        <v>0</v>
      </c>
      <c r="AN27" s="122" t="n">
        <f aca="false">0.7</f>
        <v>0.7</v>
      </c>
      <c r="AO27" s="123" t="n">
        <f aca="false">1</f>
        <v>1</v>
      </c>
      <c r="AP27" s="115" t="n">
        <f aca="false">IF(AND(SUM($U27)=0,SUM($AM27)=0),"",ROUND((SUM($AM27)*$AN27+IF($C27="&lt;01",0,$U27))*$AO27,0))</f>
        <v>19</v>
      </c>
      <c r="AQ27" s="122" t="n">
        <v>20</v>
      </c>
      <c r="AR27" s="123" t="n">
        <f aca="false">0.95</f>
        <v>0.95</v>
      </c>
      <c r="AS27" s="123" t="n">
        <f aca="false">0.95</f>
        <v>0.95</v>
      </c>
      <c r="AT27" s="115" t="n">
        <f aca="false">IF(SUM($AP27)=0,"",ROUND(SUM($AP27)*$AR27,0))</f>
        <v>18</v>
      </c>
      <c r="AU27" s="115" t="str">
        <f aca="false">IF(LEFT($B27,4)="_Mil","",ROUND(SUM($AA27)*SUM($AS27),0))</f>
        <v/>
      </c>
      <c r="AV27" s="124" t="str">
        <f aca="false">IF(SUM($AU27)&lt;=0,"",MAX(SUM($AU27)-SUM($R27),0))</f>
        <v/>
      </c>
      <c r="AW27" s="122" t="n">
        <f aca="false">0</f>
        <v>0</v>
      </c>
      <c r="AX27" s="124" t="str">
        <f aca="false">IF(SUM($AM27)=0,"",ROUND(SUM($AM27)*SUM($AW27),0))</f>
        <v/>
      </c>
      <c r="AY27" s="124" t="str">
        <f aca="false">IF(SUM($AM27)=0,"",SUM($AM27)-SUM($AX27))</f>
        <v/>
      </c>
      <c r="AZ27" s="123" t="n">
        <v>50</v>
      </c>
      <c r="BA27" s="123" t="n">
        <f aca="false">0.95</f>
        <v>0.95</v>
      </c>
      <c r="BB27" s="123"/>
      <c r="BC27" s="123" t="str">
        <f aca="false">IF(OR(SUM($AM27)&lt;=0,$C27="&lt;01"),"",MAX(IF(OR(SUM($Y27)&lt;70%,LEFT($B27,4)="_Mil"),30%,IF(SUM($Y27)&gt;=80%,75%,50%)),SUM($BB27)))</f>
        <v/>
      </c>
      <c r="BD27" s="115" t="str">
        <f aca="false">IF($C27="&lt;01",IFERROR(ROUND(INDEX(EID!$M:$M,MATCH($B27,EID!$B:$B,0)),0)/2,""),IF(SUM($AY27)=0,"",ROUND(SUM($AY27)/SUM($BA27),0)))</f>
        <v/>
      </c>
      <c r="BE27" s="115" t="str">
        <f aca="false">IF($C27="&lt;01","",IF(SUM($BD27)=0,"",ROUND(SUM($BD27)*SUM($BC27),0)))</f>
        <v/>
      </c>
      <c r="BF27" s="115" t="n">
        <f aca="false">_xlfn.IFNA(INDEX(PMTCT!$AE:$AE,MATCH($E27,PMTCT!$E:$E,0)),"")</f>
        <v>-5355</v>
      </c>
      <c r="BG27" s="115" t="str">
        <f aca="false">_xlfn.IFNA(INDEX(PMTCT!$AU:$AU,MATCH($E27,PMTCT!$E:$E,0)),"")</f>
        <v/>
      </c>
      <c r="BH27" s="115" t="n">
        <f aca="false">_xlfn.IFNA(INDEX(TB!$Q:$Q,MATCH($E27,TB!$E:$E,0)),"")</f>
        <v>-0</v>
      </c>
      <c r="BI27" s="115" t="str">
        <f aca="false">_xlfn.IFNA(INDEX(VMMC!$AC:$AC,MATCH($E27,VMMC!$E:$E,0)),"")</f>
        <v/>
      </c>
      <c r="BJ27" s="115" t="str">
        <f aca="false">IF($C27="&lt;01",$BD27,"")</f>
        <v/>
      </c>
      <c r="BK27" s="115" t="str">
        <f aca="false">IF(SUM($BD27)=0,"",($BD27)-SUM($BE27:$BJ27))</f>
        <v/>
      </c>
      <c r="BL27" s="123" t="str">
        <f aca="false">IF(OR(SUM($BD27)=0,SUM($BE27)=0),"",SUM($BE27)/$BD27)</f>
        <v/>
      </c>
      <c r="BM27" s="123" t="str">
        <f aca="false">IF(OR(SUM($BD27)=0,SUM($BF27)=0),"",SUM($BF27)/$BD27)</f>
        <v/>
      </c>
      <c r="BN27" s="123" t="str">
        <f aca="false">IF(OR(SUM($BD27)=0,SUM($BG27)=0),"",SUM($BG27)/$BD27)</f>
        <v/>
      </c>
      <c r="BO27" s="123" t="str">
        <f aca="false">IF(OR(SUM($BD27)=0,SUM($BH27)=0),"",SUM($BH27)/$BD27)</f>
        <v/>
      </c>
      <c r="BP27" s="123" t="str">
        <f aca="false">IF(OR(SUM($BD27)=0,SUM($BI27)=0),"",SUM($BI27)/$BD27)</f>
        <v/>
      </c>
      <c r="BQ27" s="123" t="str">
        <f aca="false">IF(AND($C27="&lt;01",SUM($BJ27)&lt;&gt;0),$BJ27/SUM($BD27),"")</f>
        <v/>
      </c>
      <c r="BR27" s="123" t="str">
        <f aca="false">IF(OR(SUM($BD27)=0,SUM($BK27)=0),"",SUM($BK27)/$BD27)</f>
        <v/>
      </c>
      <c r="BS27" s="122" t="str">
        <f aca="false">IF(SUM($X27)&lt;=0,"",$X27)</f>
        <v/>
      </c>
      <c r="BT27" s="115" t="str">
        <f aca="false">IF(LEFT($B27,4)="_Mil","",MAX(SUM($L27)+ROUND(SUM($BD27)/IF(SUM($BS27)&lt;=0,1,SUM($BS27)),0),0))</f>
        <v/>
      </c>
    </row>
    <row r="28" customFormat="false" ht="15" hidden="false" customHeight="false" outlineLevel="0" collapsed="false">
      <c r="A28" s="0" t="s">
        <v>140</v>
      </c>
      <c r="B28" s="0" t="s">
        <v>141</v>
      </c>
      <c r="C28" s="0" t="s">
        <v>69</v>
      </c>
      <c r="D28" s="0" t="s">
        <v>58</v>
      </c>
      <c r="E28" s="0" t="str">
        <f aca="false">B28&amp;"|"&amp;C28&amp;"|"&amp;D28</f>
        <v>_Military Lesotho [#Military] [dDOqoFnD5Be]|25-29|Male</v>
      </c>
      <c r="F28" s="115" t="str">
        <f aca="false">_xlfn.IFNA(ROUND(INDEX(Spectrum!$N:$N,MATCH(RIGHT($B28,13)&amp;"|"&amp;$C28&amp;"|"&amp;$D28&amp;"|"&amp;F$14&amp;"|"&amp;"CY2021Q3",Spectrum!$Q:$Q,0)),0),"")</f>
        <v/>
      </c>
      <c r="G28" s="123" t="str">
        <f aca="false">_xlfn.IFNA(INDEX(Spectrum!$P:$P,MATCH(RIGHT($B28,13)&amp;"|"&amp;$C28&amp;"|"&amp;$D28&amp;"|"&amp;F$14&amp;"|"&amp;"CY2021Q3",Spectrum!$Q:$Q,0)),"")</f>
        <v/>
      </c>
      <c r="H28" s="115" t="str">
        <f aca="false">_xlfn.IFNA(ROUND(INDEX(Spectrum!$N:$N,MATCH(RIGHT($B28,13)&amp;"|"&amp;$C28&amp;"|"&amp;$D28&amp;"|"&amp;H$14&amp;"|"&amp;"CY2021Q3",Spectrum!$Q:$Q,0)),0),"")</f>
        <v/>
      </c>
      <c r="I28" s="123" t="str">
        <f aca="false">_xlfn.IFNA(INDEX(Spectrum!$P:$P,MATCH(RIGHT($B28,13)&amp;"|"&amp;$C28&amp;"|"&amp;$D28&amp;"|"&amp;H$14&amp;"|"&amp;"CY2021Q3",Spectrum!$Q:$Q,0)),"")</f>
        <v/>
      </c>
      <c r="J28" s="117" t="str">
        <f aca="false">_xlfn.IFNA(INDEX(Spectrum!$N:$N,MATCH(RIGHT($B28,13)&amp;"|"&amp;$C28&amp;"|"&amp;$D28&amp;"|"&amp;J$14&amp;"|"&amp;"CY2021Q3",Spectrum!$Q:$Q,0)),"")</f>
        <v/>
      </c>
      <c r="K28" s="123" t="str">
        <f aca="false">_xlfn.IFNA(INDEX(Spectrum!$P:$P,MATCH(RIGHT($B28,13)&amp;"|"&amp;$C28&amp;"|"&amp;$D28&amp;"|"&amp;J$14&amp;"|"&amp;"CY2021Q3",Spectrum!$Q:$Q,0)),"")</f>
        <v/>
      </c>
      <c r="L28" s="115" t="str">
        <f aca="false">_xlfn.IFNA(ROUND(INDEX(Spectrum!$N:$N,MATCH(RIGHT($B28,13)&amp;"|"&amp;$C28&amp;"|"&amp;$D28&amp;"|"&amp;L$14&amp;"|"&amp;"CY2021Q3",Spectrum!$Q:$Q,0)),0),"")</f>
        <v/>
      </c>
      <c r="M28" s="123" t="str">
        <f aca="false">IF(OR(SUM($H28)&lt;=0,SUM($L28)&lt;=0),"",SUM($L28)/$H28)</f>
        <v/>
      </c>
      <c r="N28" s="115" t="str">
        <f aca="false">_xlfn.IFNA(ROUND(INDEX(Spectrum!$N:$N,MATCH(RIGHT($B28,13)&amp;"|"&amp;$C28&amp;"|"&amp;$D28&amp;"|"&amp;N$14&amp;"|"&amp;"CY2020Q4",Spectrum!$Q:$Q,0)),0),"")</f>
        <v/>
      </c>
      <c r="O28" s="123" t="str">
        <f aca="false">_xlfn.IFNA(INDEX(Spectrum!$P:$P,MATCH(RIGHT($B28,13)&amp;"|"&amp;$C28&amp;"|"&amp;$D28&amp;"|"&amp;N$14&amp;"|"&amp;"CY2020Q4",Spectrum!$Q:$Q,0)),"")</f>
        <v/>
      </c>
      <c r="P28" s="115" t="str">
        <f aca="false">_xlfn.IFNA(ROUND(INDEX(Spectrum!$N:$N,MATCH(RIGHT($B28,13)&amp;"|"&amp;$C28&amp;"|"&amp;$D28&amp;"|"&amp;P$14&amp;"|"&amp;"CY2021Q3",Spectrum!$Q:$Q,0)),0),"")</f>
        <v/>
      </c>
      <c r="Q28" s="123" t="str">
        <f aca="false">_xlfn.IFNA(INDEX(Spectrum!$P:$P,MATCH(RIGHT($B28,13)&amp;"|"&amp;$C28&amp;"|"&amp;$D28&amp;"|"&amp;P$14&amp;"|"&amp;"CY2021Q3",Spectrum!$Q:$Q,0)),"")</f>
        <v/>
      </c>
      <c r="R28" s="115"/>
      <c r="S28" s="123" t="str">
        <f aca="false">IF(OR(SUM($P28)&lt;=0,SUM($R28)&lt;=0),"",SUM($R28)/$P28)</f>
        <v/>
      </c>
      <c r="T28" s="139" t="n">
        <v>11</v>
      </c>
      <c r="U28" s="124" t="n">
        <v>47</v>
      </c>
      <c r="V28" s="124" t="n">
        <f aca="false">IF($U28-$T28=0,"",$U28-$T28)</f>
        <v>36</v>
      </c>
      <c r="W28" s="123" t="str">
        <f aca="false">IF(LEFT($B28,4)="_Mil","",IFERROR(MIN(IF(SUM($N28)&lt;=0,SUM($U28)/SUM($P28),SUM($T28)/SUM($N28)),1),""))</f>
        <v/>
      </c>
      <c r="X28" s="123" t="str">
        <f aca="false">$W28</f>
        <v/>
      </c>
      <c r="Y28" s="123" t="str">
        <f aca="false">IFERROR(1/(1/INDEX(Spectrum!$N:$N,MATCH(RIGHT($B28,13)&amp;"|"&amp;$C28&amp;"|"&amp;$D28&amp;"|"&amp;Y$14&amp;"|"&amp;"CY2021Q3",Spectrum!$Q:$Q,0))),IF(SUM($H28)=0,"",MAX(SUM($P28),SUM($U28))/SUM($H28)))</f>
        <v/>
      </c>
      <c r="Z28" s="123" t="str">
        <f aca="false">IF(SUM($Y28)=0,"",MAX(SUM($Y28),90%))</f>
        <v/>
      </c>
      <c r="AA28" s="115" t="str">
        <f aca="false">IF(LEFT($B28,4)="_Mil","",ROUND(MAX(SUM($U28),SUM($P28))+IF(SUM($Z28)=0,0,MAX(SUM($Z28)-SUM($Y28),0)*SUM($H28)),0))</f>
        <v/>
      </c>
      <c r="AB28" s="115" t="str">
        <f aca="false">IF(SUM($AA28)=0,"",ROUND(MAX(SUM($AA28)-MAX(SUM($P28),SUM($U28)),0),0))</f>
        <v/>
      </c>
      <c r="AC28" s="126" t="str">
        <f aca="false">IF($C28="&lt;01",IFERROR(ROUND(INDEX(EID!$N:$N,MATCH($B28,EID!$B:$B,0))/2,0),""),"")</f>
        <v/>
      </c>
      <c r="AD28" s="115" t="str">
        <f aca="false">IF($C28="&lt;01",IF(SUM($AC28)=0,"",ROUND(SUM($AC28)/$AG28,0)),IF(SUM($AB28)=0,"",ROUND(MAX($X28,0)*SUM($AB28),0)))</f>
        <v/>
      </c>
      <c r="AE28" s="115" t="n">
        <f aca="false">IF(AND(SUM($AD28)=0,SUM($U28)=0),"",ROUND(IF($C28="&lt;01",0,SUM($U28))+SUM($AD28),0))</f>
        <v>47</v>
      </c>
      <c r="AF28" s="122" t="n">
        <f aca="false">IF($C28="&lt;01","",100%)</f>
        <v>1</v>
      </c>
      <c r="AG28" s="123" t="n">
        <f aca="false">0.98</f>
        <v>0.98</v>
      </c>
      <c r="AH28" s="123" t="n">
        <f aca="false">0.98</f>
        <v>0.98</v>
      </c>
      <c r="AI28" s="124" t="n">
        <f aca="false">IF(OR($C28="&lt;01",SUM($U28)=0),"",ROUND(SUM($U28)*(1-$AH28),0))</f>
        <v>1</v>
      </c>
      <c r="AJ28" s="124" t="n">
        <f aca="false">IF(AND(SUM($AE28)=0,SUM($U28)=0),"",IF($C28="&lt;01",SUM($AD28),SUM($AE28) - ROUND(SUM($U28)*$AH28,0)))</f>
        <v>1</v>
      </c>
      <c r="AK28" s="124" t="n">
        <v>9</v>
      </c>
      <c r="AL28" s="124" t="n">
        <v>36</v>
      </c>
      <c r="AM28" s="115" t="n">
        <f aca="false">IF(AND(SUM($AD28)=0,SUM($U28)=0),"",IF($C28="&lt;01",SUM($AD28),ROUND(ROUND(SUM($AJ28)*$AF28,0)/$AG28,0)))</f>
        <v>1</v>
      </c>
      <c r="AN28" s="122" t="n">
        <f aca="false">0.7</f>
        <v>0.7</v>
      </c>
      <c r="AO28" s="123" t="n">
        <f aca="false">1</f>
        <v>1</v>
      </c>
      <c r="AP28" s="115" t="n">
        <f aca="false">IF(AND(SUM($U28)=0,SUM($AM28)=0),"",ROUND((SUM($AM28)*$AN28+IF($C28="&lt;01",0,$U28))*$AO28,0))</f>
        <v>48</v>
      </c>
      <c r="AQ28" s="122" t="n">
        <v>30</v>
      </c>
      <c r="AR28" s="123" t="n">
        <f aca="false">0.95</f>
        <v>0.95</v>
      </c>
      <c r="AS28" s="123" t="n">
        <f aca="false">0.95</f>
        <v>0.95</v>
      </c>
      <c r="AT28" s="115" t="n">
        <f aca="false">IF(SUM($AP28)=0,"",ROUND(SUM($AP28)*$AR28,0))</f>
        <v>46</v>
      </c>
      <c r="AU28" s="115" t="str">
        <f aca="false">IF(LEFT($B28,4)="_Mil","",ROUND(SUM($AA28)*SUM($AS28),0))</f>
        <v/>
      </c>
      <c r="AV28" s="124" t="str">
        <f aca="false">IF(SUM($AU28)&lt;=0,"",MAX(SUM($AU28)-SUM($R28),0))</f>
        <v/>
      </c>
      <c r="AW28" s="122" t="n">
        <f aca="false">0</f>
        <v>0</v>
      </c>
      <c r="AX28" s="124" t="n">
        <f aca="false">IF(SUM($AM28)=0,"",ROUND(SUM($AM28)*SUM($AW28),0))</f>
        <v>0</v>
      </c>
      <c r="AY28" s="124" t="n">
        <f aca="false">IF(SUM($AM28)=0,"",SUM($AM28)-SUM($AX28))</f>
        <v>1</v>
      </c>
      <c r="AZ28" s="123" t="n">
        <v>31</v>
      </c>
      <c r="BA28" s="123" t="n">
        <f aca="false">0.95</f>
        <v>0.95</v>
      </c>
      <c r="BB28" s="123"/>
      <c r="BC28" s="123" t="n">
        <f aca="false">IF(OR(SUM($AM28)&lt;=0,$C28="&lt;01"),"",MAX(IF(OR(SUM($Y28)&lt;70%,LEFT($B28,4)="_Mil"),30%,IF(SUM($Y28)&gt;=80%,75%,50%)),SUM($BB28)))</f>
        <v>0.3</v>
      </c>
      <c r="BD28" s="115" t="n">
        <f aca="false">IF($C28="&lt;01",IFERROR(ROUND(INDEX(EID!$M:$M,MATCH($B28,EID!$B:$B,0)),0)/2,""),IF(SUM($AY28)=0,"",ROUND(SUM($AY28)/SUM($BA28),0)))</f>
        <v>1</v>
      </c>
      <c r="BE28" s="115" t="n">
        <f aca="false">IF($C28="&lt;01","",IF(SUM($BD28)=0,"",ROUND(SUM($BD28)*SUM($BC28),0)))</f>
        <v>0</v>
      </c>
      <c r="BF28" s="115" t="str">
        <f aca="false">_xlfn.IFNA(INDEX(PMTCT!$AE:$AE,MATCH($E28,PMTCT!$E:$E,0)),"")</f>
        <v/>
      </c>
      <c r="BG28" s="115" t="str">
        <f aca="false">_xlfn.IFNA(INDEX(PMTCT!$AU:$AU,MATCH($E28,PMTCT!$E:$E,0)),"")</f>
        <v/>
      </c>
      <c r="BH28" s="115" t="n">
        <f aca="false">_xlfn.IFNA(INDEX(TB!$Q:$Q,MATCH($E28,TB!$E:$E,0)),"")</f>
        <v>-0</v>
      </c>
      <c r="BI28" s="115" t="n">
        <f aca="false">_xlfn.IFNA(INDEX(VMMC!$AC:$AC,MATCH($E28,VMMC!$E:$E,0)),"")</f>
        <v>-0</v>
      </c>
      <c r="BJ28" s="115" t="str">
        <f aca="false">IF($C28="&lt;01",$BD28,"")</f>
        <v/>
      </c>
      <c r="BK28" s="115" t="n">
        <f aca="false">IF(SUM($BD28)=0,"",($BD28)-SUM($BE28:$BJ28))</f>
        <v>1</v>
      </c>
      <c r="BL28" s="123" t="str">
        <f aca="false">IF(OR(SUM($BD28)=0,SUM($BE28)=0),"",SUM($BE28)/$BD28)</f>
        <v/>
      </c>
      <c r="BM28" s="123" t="str">
        <f aca="false">IF(OR(SUM($BD28)=0,SUM($BF28)=0),"",SUM($BF28)/$BD28)</f>
        <v/>
      </c>
      <c r="BN28" s="123" t="str">
        <f aca="false">IF(OR(SUM($BD28)=0,SUM($BG28)=0),"",SUM($BG28)/$BD28)</f>
        <v/>
      </c>
      <c r="BO28" s="123" t="str">
        <f aca="false">IF(OR(SUM($BD28)=0,SUM($BH28)=0),"",SUM($BH28)/$BD28)</f>
        <v/>
      </c>
      <c r="BP28" s="123" t="str">
        <f aca="false">IF(OR(SUM($BD28)=0,SUM($BI28)=0),"",SUM($BI28)/$BD28)</f>
        <v/>
      </c>
      <c r="BQ28" s="123" t="str">
        <f aca="false">IF(AND($C28="&lt;01",SUM($BJ28)&lt;&gt;0),$BJ28/SUM($BD28),"")</f>
        <v/>
      </c>
      <c r="BR28" s="123" t="n">
        <f aca="false">IF(OR(SUM($BD28)=0,SUM($BK28)=0),"",SUM($BK28)/$BD28)</f>
        <v>1</v>
      </c>
      <c r="BS28" s="122" t="str">
        <f aca="false">IF(SUM($X28)&lt;=0,"",$X28)</f>
        <v/>
      </c>
      <c r="BT28" s="115" t="str">
        <f aca="false">IF(LEFT($B28,4)="_Mil","",MAX(SUM($L28)+ROUND(SUM($BD28)/IF(SUM($BS28)&lt;=0,1,SUM($BS28)),0),0))</f>
        <v/>
      </c>
    </row>
    <row r="29" customFormat="false" ht="15" hidden="false" customHeight="false" outlineLevel="0" collapsed="false">
      <c r="A29" s="0" t="s">
        <v>140</v>
      </c>
      <c r="B29" s="0" t="s">
        <v>141</v>
      </c>
      <c r="C29" s="0" t="s">
        <v>72</v>
      </c>
      <c r="D29" s="0" t="s">
        <v>56</v>
      </c>
      <c r="E29" s="0" t="str">
        <f aca="false">B29&amp;"|"&amp;C29&amp;"|"&amp;D29</f>
        <v>_Military Lesotho [#Military] [dDOqoFnD5Be]|30-34|Female</v>
      </c>
      <c r="F29" s="115" t="str">
        <f aca="false">_xlfn.IFNA(ROUND(INDEX(Spectrum!$N:$N,MATCH(RIGHT($B29,13)&amp;"|"&amp;$C29&amp;"|"&amp;$D29&amp;"|"&amp;F$14&amp;"|"&amp;"CY2021Q3",Spectrum!$Q:$Q,0)),0),"")</f>
        <v/>
      </c>
      <c r="G29" s="123" t="str">
        <f aca="false">_xlfn.IFNA(INDEX(Spectrum!$P:$P,MATCH(RIGHT($B29,13)&amp;"|"&amp;$C29&amp;"|"&amp;$D29&amp;"|"&amp;F$14&amp;"|"&amp;"CY2021Q3",Spectrum!$Q:$Q,0)),"")</f>
        <v/>
      </c>
      <c r="H29" s="115" t="str">
        <f aca="false">_xlfn.IFNA(ROUND(INDEX(Spectrum!$N:$N,MATCH(RIGHT($B29,13)&amp;"|"&amp;$C29&amp;"|"&amp;$D29&amp;"|"&amp;H$14&amp;"|"&amp;"CY2021Q3",Spectrum!$Q:$Q,0)),0),"")</f>
        <v/>
      </c>
      <c r="I29" s="123" t="str">
        <f aca="false">_xlfn.IFNA(INDEX(Spectrum!$P:$P,MATCH(RIGHT($B29,13)&amp;"|"&amp;$C29&amp;"|"&amp;$D29&amp;"|"&amp;H$14&amp;"|"&amp;"CY2021Q3",Spectrum!$Q:$Q,0)),"")</f>
        <v/>
      </c>
      <c r="J29" s="117" t="str">
        <f aca="false">_xlfn.IFNA(INDEX(Spectrum!$N:$N,MATCH(RIGHT($B29,13)&amp;"|"&amp;$C29&amp;"|"&amp;$D29&amp;"|"&amp;J$14&amp;"|"&amp;"CY2021Q3",Spectrum!$Q:$Q,0)),"")</f>
        <v/>
      </c>
      <c r="K29" s="123" t="str">
        <f aca="false">_xlfn.IFNA(INDEX(Spectrum!$P:$P,MATCH(RIGHT($B29,13)&amp;"|"&amp;$C29&amp;"|"&amp;$D29&amp;"|"&amp;J$14&amp;"|"&amp;"CY2021Q3",Spectrum!$Q:$Q,0)),"")</f>
        <v/>
      </c>
      <c r="L29" s="115" t="str">
        <f aca="false">_xlfn.IFNA(ROUND(INDEX(Spectrum!$N:$N,MATCH(RIGHT($B29,13)&amp;"|"&amp;$C29&amp;"|"&amp;$D29&amp;"|"&amp;L$14&amp;"|"&amp;"CY2021Q3",Spectrum!$Q:$Q,0)),0),"")</f>
        <v/>
      </c>
      <c r="M29" s="123" t="str">
        <f aca="false">IF(OR(SUM($H29)&lt;=0,SUM($L29)&lt;=0),"",SUM($L29)/$H29)</f>
        <v/>
      </c>
      <c r="N29" s="115" t="str">
        <f aca="false">_xlfn.IFNA(ROUND(INDEX(Spectrum!$N:$N,MATCH(RIGHT($B29,13)&amp;"|"&amp;$C29&amp;"|"&amp;$D29&amp;"|"&amp;N$14&amp;"|"&amp;"CY2020Q4",Spectrum!$Q:$Q,0)),0),"")</f>
        <v/>
      </c>
      <c r="O29" s="123" t="str">
        <f aca="false">_xlfn.IFNA(INDEX(Spectrum!$P:$P,MATCH(RIGHT($B29,13)&amp;"|"&amp;$C29&amp;"|"&amp;$D29&amp;"|"&amp;N$14&amp;"|"&amp;"CY2020Q4",Spectrum!$Q:$Q,0)),"")</f>
        <v/>
      </c>
      <c r="P29" s="115" t="str">
        <f aca="false">_xlfn.IFNA(ROUND(INDEX(Spectrum!$N:$N,MATCH(RIGHT($B29,13)&amp;"|"&amp;$C29&amp;"|"&amp;$D29&amp;"|"&amp;P$14&amp;"|"&amp;"CY2021Q3",Spectrum!$Q:$Q,0)),0),"")</f>
        <v/>
      </c>
      <c r="Q29" s="123" t="str">
        <f aca="false">_xlfn.IFNA(INDEX(Spectrum!$P:$P,MATCH(RIGHT($B29,13)&amp;"|"&amp;$C29&amp;"|"&amp;$D29&amp;"|"&amp;P$14&amp;"|"&amp;"CY2021Q3",Spectrum!$Q:$Q,0)),"")</f>
        <v/>
      </c>
      <c r="R29" s="115"/>
      <c r="S29" s="123" t="str">
        <f aca="false">IF(OR(SUM($P29)&lt;=0,SUM($R29)&lt;=0),"",SUM($R29)/$P29)</f>
        <v/>
      </c>
      <c r="T29" s="139" t="n">
        <v>19</v>
      </c>
      <c r="U29" s="124" t="n">
        <v>15</v>
      </c>
      <c r="V29" s="124" t="n">
        <f aca="false">IF($U29-$T29=0,"",$U29-$T29)</f>
        <v>-4</v>
      </c>
      <c r="W29" s="123" t="str">
        <f aca="false">IF(LEFT($B29,4)="_Mil","",IFERROR(MIN(IF(SUM($N29)&lt;=0,SUM($U29)/SUM($P29),SUM($T29)/SUM($N29)),1),""))</f>
        <v/>
      </c>
      <c r="X29" s="123" t="str">
        <f aca="false">$W29</f>
        <v/>
      </c>
      <c r="Y29" s="123" t="str">
        <f aca="false">IFERROR(1/(1/INDEX(Spectrum!$N:$N,MATCH(RIGHT($B29,13)&amp;"|"&amp;$C29&amp;"|"&amp;$D29&amp;"|"&amp;Y$14&amp;"|"&amp;"CY2021Q3",Spectrum!$Q:$Q,0))),IF(SUM($H29)=0,"",MAX(SUM($P29),SUM($U29))/SUM($H29)))</f>
        <v/>
      </c>
      <c r="Z29" s="123" t="str">
        <f aca="false">IF(SUM($Y29)=0,"",MAX(SUM($Y29),90%))</f>
        <v/>
      </c>
      <c r="AA29" s="115" t="str">
        <f aca="false">IF(LEFT($B29,4)="_Mil","",ROUND(MAX(SUM($U29),SUM($P29))+IF(SUM($Z29)=0,0,MAX(SUM($Z29)-SUM($Y29),0)*SUM($H29)),0))</f>
        <v/>
      </c>
      <c r="AB29" s="115" t="str">
        <f aca="false">IF(SUM($AA29)=0,"",ROUND(MAX(SUM($AA29)-MAX(SUM($P29),SUM($U29)),0),0))</f>
        <v/>
      </c>
      <c r="AC29" s="126" t="str">
        <f aca="false">IF($C29="&lt;01",IFERROR(ROUND(INDEX(EID!$N:$N,MATCH($B29,EID!$B:$B,0))/2,0),""),"")</f>
        <v/>
      </c>
      <c r="AD29" s="115" t="str">
        <f aca="false">IF($C29="&lt;01",IF(SUM($AC29)=0,"",ROUND(SUM($AC29)/$AG29,0)),IF(SUM($AB29)=0,"",ROUND(MAX($X29,0)*SUM($AB29),0)))</f>
        <v/>
      </c>
      <c r="AE29" s="115" t="n">
        <f aca="false">IF(AND(SUM($AD29)=0,SUM($U29)=0),"",ROUND(IF($C29="&lt;01",0,SUM($U29))+SUM($AD29),0))</f>
        <v>15</v>
      </c>
      <c r="AF29" s="122" t="n">
        <f aca="false">IF($C29="&lt;01","",100%)</f>
        <v>1</v>
      </c>
      <c r="AG29" s="123" t="n">
        <f aca="false">0.98</f>
        <v>0.98</v>
      </c>
      <c r="AH29" s="123" t="n">
        <f aca="false">0.98</f>
        <v>0.98</v>
      </c>
      <c r="AI29" s="124" t="n">
        <f aca="false">IF(OR($C29="&lt;01",SUM($U29)=0),"",ROUND(SUM($U29)*(1-$AH29),0))</f>
        <v>0</v>
      </c>
      <c r="AJ29" s="124" t="n">
        <f aca="false">IF(AND(SUM($AE29)=0,SUM($U29)=0),"",IF($C29="&lt;01",SUM($AD29),SUM($AE29) - ROUND(SUM($U29)*$AH29,0)))</f>
        <v>0</v>
      </c>
      <c r="AK29" s="124" t="n">
        <v>12</v>
      </c>
      <c r="AL29" s="124" t="n">
        <v>43</v>
      </c>
      <c r="AM29" s="115" t="n">
        <f aca="false">IF(AND(SUM($AD29)=0,SUM($U29)=0),"",IF($C29="&lt;01",SUM($AD29),ROUND(ROUND(SUM($AJ29)*$AF29,0)/$AG29,0)))</f>
        <v>0</v>
      </c>
      <c r="AN29" s="122" t="n">
        <f aca="false">0.7</f>
        <v>0.7</v>
      </c>
      <c r="AO29" s="123" t="n">
        <f aca="false">1</f>
        <v>1</v>
      </c>
      <c r="AP29" s="115" t="n">
        <f aca="false">IF(AND(SUM($U29)=0,SUM($AM29)=0),"",ROUND((SUM($AM29)*$AN29+IF($C29="&lt;01",0,$U29))*$AO29,0))</f>
        <v>15</v>
      </c>
      <c r="AQ29" s="122" t="n">
        <v>28</v>
      </c>
      <c r="AR29" s="123" t="n">
        <f aca="false">0.95</f>
        <v>0.95</v>
      </c>
      <c r="AS29" s="123" t="n">
        <f aca="false">0.95</f>
        <v>0.95</v>
      </c>
      <c r="AT29" s="115" t="n">
        <f aca="false">IF(SUM($AP29)=0,"",ROUND(SUM($AP29)*$AR29,0))</f>
        <v>14</v>
      </c>
      <c r="AU29" s="115" t="str">
        <f aca="false">IF(LEFT($B29,4)="_Mil","",ROUND(SUM($AA29)*SUM($AS29),0))</f>
        <v/>
      </c>
      <c r="AV29" s="124" t="str">
        <f aca="false">IF(SUM($AU29)&lt;=0,"",MAX(SUM($AU29)-SUM($R29),0))</f>
        <v/>
      </c>
      <c r="AW29" s="122" t="n">
        <f aca="false">0</f>
        <v>0</v>
      </c>
      <c r="AX29" s="124" t="str">
        <f aca="false">IF(SUM($AM29)=0,"",ROUND(SUM($AM29)*SUM($AW29),0))</f>
        <v/>
      </c>
      <c r="AY29" s="124" t="str">
        <f aca="false">IF(SUM($AM29)=0,"",SUM($AM29)-SUM($AX29))</f>
        <v/>
      </c>
      <c r="AZ29" s="123" t="n">
        <v>35</v>
      </c>
      <c r="BA29" s="123" t="n">
        <f aca="false">0.95</f>
        <v>0.95</v>
      </c>
      <c r="BB29" s="123"/>
      <c r="BC29" s="123" t="str">
        <f aca="false">IF(OR(SUM($AM29)&lt;=0,$C29="&lt;01"),"",MAX(IF(OR(SUM($Y29)&lt;70%,LEFT($B29,4)="_Mil"),30%,IF(SUM($Y29)&gt;=80%,75%,50%)),SUM($BB29)))</f>
        <v/>
      </c>
      <c r="BD29" s="115" t="str">
        <f aca="false">IF($C29="&lt;01",IFERROR(ROUND(INDEX(EID!$M:$M,MATCH($B29,EID!$B:$B,0)),0)/2,""),IF(SUM($AY29)=0,"",ROUND(SUM($AY29)/SUM($BA29),0)))</f>
        <v/>
      </c>
      <c r="BE29" s="115" t="str">
        <f aca="false">IF($C29="&lt;01","",IF(SUM($BD29)=0,"",ROUND(SUM($BD29)*SUM($BC29),0)))</f>
        <v/>
      </c>
      <c r="BF29" s="115" t="n">
        <f aca="false">_xlfn.IFNA(INDEX(PMTCT!$AE:$AE,MATCH($E29,PMTCT!$E:$E,0)),"")</f>
        <v>-27962</v>
      </c>
      <c r="BG29" s="115" t="str">
        <f aca="false">_xlfn.IFNA(INDEX(PMTCT!$AU:$AU,MATCH($E29,PMTCT!$E:$E,0)),"")</f>
        <v/>
      </c>
      <c r="BH29" s="115" t="n">
        <f aca="false">_xlfn.IFNA(INDEX(TB!$Q:$Q,MATCH($E29,TB!$E:$E,0)),"")</f>
        <v>0</v>
      </c>
      <c r="BI29" s="115" t="str">
        <f aca="false">_xlfn.IFNA(INDEX(VMMC!$AC:$AC,MATCH($E29,VMMC!$E:$E,0)),"")</f>
        <v/>
      </c>
      <c r="BJ29" s="115" t="str">
        <f aca="false">IF($C29="&lt;01",$BD29,"")</f>
        <v/>
      </c>
      <c r="BK29" s="115" t="str">
        <f aca="false">IF(SUM($BD29)=0,"",($BD29)-SUM($BE29:$BJ29))</f>
        <v/>
      </c>
      <c r="BL29" s="123" t="str">
        <f aca="false">IF(OR(SUM($BD29)=0,SUM($BE29)=0),"",SUM($BE29)/$BD29)</f>
        <v/>
      </c>
      <c r="BM29" s="123" t="str">
        <f aca="false">IF(OR(SUM($BD29)=0,SUM($BF29)=0),"",SUM($BF29)/$BD29)</f>
        <v/>
      </c>
      <c r="BN29" s="123" t="str">
        <f aca="false">IF(OR(SUM($BD29)=0,SUM($BG29)=0),"",SUM($BG29)/$BD29)</f>
        <v/>
      </c>
      <c r="BO29" s="123" t="str">
        <f aca="false">IF(OR(SUM($BD29)=0,SUM($BH29)=0),"",SUM($BH29)/$BD29)</f>
        <v/>
      </c>
      <c r="BP29" s="123" t="str">
        <f aca="false">IF(OR(SUM($BD29)=0,SUM($BI29)=0),"",SUM($BI29)/$BD29)</f>
        <v/>
      </c>
      <c r="BQ29" s="123" t="str">
        <f aca="false">IF(AND($C29="&lt;01",SUM($BJ29)&lt;&gt;0),$BJ29/SUM($BD29),"")</f>
        <v/>
      </c>
      <c r="BR29" s="123" t="str">
        <f aca="false">IF(OR(SUM($BD29)=0,SUM($BK29)=0),"",SUM($BK29)/$BD29)</f>
        <v/>
      </c>
      <c r="BS29" s="122" t="str">
        <f aca="false">IF(SUM($X29)&lt;=0,"",$X29)</f>
        <v/>
      </c>
      <c r="BT29" s="115" t="str">
        <f aca="false">IF(LEFT($B29,4)="_Mil","",MAX(SUM($L29)+ROUND(SUM($BD29)/IF(SUM($BS29)&lt;=0,1,SUM($BS29)),0),0))</f>
        <v/>
      </c>
    </row>
    <row r="30" customFormat="false" ht="15" hidden="false" customHeight="false" outlineLevel="0" collapsed="false">
      <c r="A30" s="0" t="s">
        <v>140</v>
      </c>
      <c r="B30" s="0" t="s">
        <v>141</v>
      </c>
      <c r="C30" s="0" t="s">
        <v>72</v>
      </c>
      <c r="D30" s="0" t="s">
        <v>58</v>
      </c>
      <c r="E30" s="0" t="str">
        <f aca="false">B30&amp;"|"&amp;C30&amp;"|"&amp;D30</f>
        <v>_Military Lesotho [#Military] [dDOqoFnD5Be]|30-34|Male</v>
      </c>
      <c r="F30" s="115" t="str">
        <f aca="false">_xlfn.IFNA(ROUND(INDEX(Spectrum!$N:$N,MATCH(RIGHT($B30,13)&amp;"|"&amp;$C30&amp;"|"&amp;$D30&amp;"|"&amp;F$14&amp;"|"&amp;"CY2021Q3",Spectrum!$Q:$Q,0)),0),"")</f>
        <v/>
      </c>
      <c r="G30" s="123" t="str">
        <f aca="false">_xlfn.IFNA(INDEX(Spectrum!$P:$P,MATCH(RIGHT($B30,13)&amp;"|"&amp;$C30&amp;"|"&amp;$D30&amp;"|"&amp;F$14&amp;"|"&amp;"CY2021Q3",Spectrum!$Q:$Q,0)),"")</f>
        <v/>
      </c>
      <c r="H30" s="115" t="str">
        <f aca="false">_xlfn.IFNA(ROUND(INDEX(Spectrum!$N:$N,MATCH(RIGHT($B30,13)&amp;"|"&amp;$C30&amp;"|"&amp;$D30&amp;"|"&amp;H$14&amp;"|"&amp;"CY2021Q3",Spectrum!$Q:$Q,0)),0),"")</f>
        <v/>
      </c>
      <c r="I30" s="123" t="str">
        <f aca="false">_xlfn.IFNA(INDEX(Spectrum!$P:$P,MATCH(RIGHT($B30,13)&amp;"|"&amp;$C30&amp;"|"&amp;$D30&amp;"|"&amp;H$14&amp;"|"&amp;"CY2021Q3",Spectrum!$Q:$Q,0)),"")</f>
        <v/>
      </c>
      <c r="J30" s="117" t="str">
        <f aca="false">_xlfn.IFNA(INDEX(Spectrum!$N:$N,MATCH(RIGHT($B30,13)&amp;"|"&amp;$C30&amp;"|"&amp;$D30&amp;"|"&amp;J$14&amp;"|"&amp;"CY2021Q3",Spectrum!$Q:$Q,0)),"")</f>
        <v/>
      </c>
      <c r="K30" s="123" t="str">
        <f aca="false">_xlfn.IFNA(INDEX(Spectrum!$P:$P,MATCH(RIGHT($B30,13)&amp;"|"&amp;$C30&amp;"|"&amp;$D30&amp;"|"&amp;J$14&amp;"|"&amp;"CY2021Q3",Spectrum!$Q:$Q,0)),"")</f>
        <v/>
      </c>
      <c r="L30" s="115" t="str">
        <f aca="false">_xlfn.IFNA(ROUND(INDEX(Spectrum!$N:$N,MATCH(RIGHT($B30,13)&amp;"|"&amp;$C30&amp;"|"&amp;$D30&amp;"|"&amp;L$14&amp;"|"&amp;"CY2021Q3",Spectrum!$Q:$Q,0)),0),"")</f>
        <v/>
      </c>
      <c r="M30" s="123" t="str">
        <f aca="false">IF(OR(SUM($H30)&lt;=0,SUM($L30)&lt;=0),"",SUM($L30)/$H30)</f>
        <v/>
      </c>
      <c r="N30" s="115" t="str">
        <f aca="false">_xlfn.IFNA(ROUND(INDEX(Spectrum!$N:$N,MATCH(RIGHT($B30,13)&amp;"|"&amp;$C30&amp;"|"&amp;$D30&amp;"|"&amp;N$14&amp;"|"&amp;"CY2020Q4",Spectrum!$Q:$Q,0)),0),"")</f>
        <v/>
      </c>
      <c r="O30" s="123" t="str">
        <f aca="false">_xlfn.IFNA(INDEX(Spectrum!$P:$P,MATCH(RIGHT($B30,13)&amp;"|"&amp;$C30&amp;"|"&amp;$D30&amp;"|"&amp;N$14&amp;"|"&amp;"CY2020Q4",Spectrum!$Q:$Q,0)),"")</f>
        <v/>
      </c>
      <c r="P30" s="115" t="str">
        <f aca="false">_xlfn.IFNA(ROUND(INDEX(Spectrum!$N:$N,MATCH(RIGHT($B30,13)&amp;"|"&amp;$C30&amp;"|"&amp;$D30&amp;"|"&amp;P$14&amp;"|"&amp;"CY2021Q3",Spectrum!$Q:$Q,0)),0),"")</f>
        <v/>
      </c>
      <c r="Q30" s="123" t="str">
        <f aca="false">_xlfn.IFNA(INDEX(Spectrum!$P:$P,MATCH(RIGHT($B30,13)&amp;"|"&amp;$C30&amp;"|"&amp;$D30&amp;"|"&amp;P$14&amp;"|"&amp;"CY2021Q3",Spectrum!$Q:$Q,0)),"")</f>
        <v/>
      </c>
      <c r="R30" s="115"/>
      <c r="S30" s="123" t="str">
        <f aca="false">IF(OR(SUM($P30)&lt;=0,SUM($R30)&lt;=0),"",SUM($R30)/$P30)</f>
        <v/>
      </c>
      <c r="T30" s="139" t="n">
        <v>42</v>
      </c>
      <c r="U30" s="124" t="n">
        <v>16</v>
      </c>
      <c r="V30" s="124" t="n">
        <f aca="false">IF($U30-$T30=0,"",$U30-$T30)</f>
        <v>-26</v>
      </c>
      <c r="W30" s="123" t="str">
        <f aca="false">IF(LEFT($B30,4)="_Mil","",IFERROR(MIN(IF(SUM($N30)&lt;=0,SUM($U30)/SUM($P30),SUM($T30)/SUM($N30)),1),""))</f>
        <v/>
      </c>
      <c r="X30" s="123" t="str">
        <f aca="false">$W30</f>
        <v/>
      </c>
      <c r="Y30" s="123" t="str">
        <f aca="false">IFERROR(1/(1/INDEX(Spectrum!$N:$N,MATCH(RIGHT($B30,13)&amp;"|"&amp;$C30&amp;"|"&amp;$D30&amp;"|"&amp;Y$14&amp;"|"&amp;"CY2021Q3",Spectrum!$Q:$Q,0))),IF(SUM($H30)=0,"",MAX(SUM($P30),SUM($U30))/SUM($H30)))</f>
        <v/>
      </c>
      <c r="Z30" s="123" t="str">
        <f aca="false">IF(SUM($Y30)=0,"",MAX(SUM($Y30),90%))</f>
        <v/>
      </c>
      <c r="AA30" s="115" t="str">
        <f aca="false">IF(LEFT($B30,4)="_Mil","",ROUND(MAX(SUM($U30),SUM($P30))+IF(SUM($Z30)=0,0,MAX(SUM($Z30)-SUM($Y30),0)*SUM($H30)),0))</f>
        <v/>
      </c>
      <c r="AB30" s="115" t="str">
        <f aca="false">IF(SUM($AA30)=0,"",ROUND(MAX(SUM($AA30)-MAX(SUM($P30),SUM($U30)),0),0))</f>
        <v/>
      </c>
      <c r="AC30" s="126" t="str">
        <f aca="false">IF($C30="&lt;01",IFERROR(ROUND(INDEX(EID!$N:$N,MATCH($B30,EID!$B:$B,0))/2,0),""),"")</f>
        <v/>
      </c>
      <c r="AD30" s="115" t="str">
        <f aca="false">IF($C30="&lt;01",IF(SUM($AC30)=0,"",ROUND(SUM($AC30)/$AG30,0)),IF(SUM($AB30)=0,"",ROUND(MAX($X30,0)*SUM($AB30),0)))</f>
        <v/>
      </c>
      <c r="AE30" s="115" t="n">
        <f aca="false">IF(AND(SUM($AD30)=0,SUM($U30)=0),"",ROUND(IF($C30="&lt;01",0,SUM($U30))+SUM($AD30),0))</f>
        <v>16</v>
      </c>
      <c r="AF30" s="122" t="n">
        <f aca="false">IF($C30="&lt;01","",100%)</f>
        <v>1</v>
      </c>
      <c r="AG30" s="123" t="n">
        <f aca="false">0.98</f>
        <v>0.98</v>
      </c>
      <c r="AH30" s="123" t="n">
        <f aca="false">0.98</f>
        <v>0.98</v>
      </c>
      <c r="AI30" s="124" t="n">
        <f aca="false">IF(OR($C30="&lt;01",SUM($U30)=0),"",ROUND(SUM($U30)*(1-$AH30),0))</f>
        <v>0</v>
      </c>
      <c r="AJ30" s="124" t="n">
        <f aca="false">IF(AND(SUM($AE30)=0,SUM($U30)=0),"",IF($C30="&lt;01",SUM($AD30),SUM($AE30) - ROUND(SUM($U30)*$AH30,0)))</f>
        <v>0</v>
      </c>
      <c r="AK30" s="124" t="n">
        <v>41</v>
      </c>
      <c r="AL30" s="124" t="n">
        <v>31</v>
      </c>
      <c r="AM30" s="115" t="n">
        <f aca="false">IF(AND(SUM($AD30)=0,SUM($U30)=0),"",IF($C30="&lt;01",SUM($AD30),ROUND(ROUND(SUM($AJ30)*$AF30,0)/$AG30,0)))</f>
        <v>0</v>
      </c>
      <c r="AN30" s="122" t="n">
        <f aca="false">0.7</f>
        <v>0.7</v>
      </c>
      <c r="AO30" s="123" t="n">
        <f aca="false">1</f>
        <v>1</v>
      </c>
      <c r="AP30" s="115" t="n">
        <f aca="false">IF(AND(SUM($U30)=0,SUM($AM30)=0),"",ROUND((SUM($AM30)*$AN30+IF($C30="&lt;01",0,$U30))*$AO30,0))</f>
        <v>16</v>
      </c>
      <c r="AQ30" s="122" t="n">
        <v>9</v>
      </c>
      <c r="AR30" s="123" t="n">
        <f aca="false">0.95</f>
        <v>0.95</v>
      </c>
      <c r="AS30" s="123" t="n">
        <f aca="false">0.95</f>
        <v>0.95</v>
      </c>
      <c r="AT30" s="115" t="n">
        <f aca="false">IF(SUM($AP30)=0,"",ROUND(SUM($AP30)*$AR30,0))</f>
        <v>15</v>
      </c>
      <c r="AU30" s="115" t="str">
        <f aca="false">IF(LEFT($B30,4)="_Mil","",ROUND(SUM($AA30)*SUM($AS30),0))</f>
        <v/>
      </c>
      <c r="AV30" s="124" t="str">
        <f aca="false">IF(SUM($AU30)&lt;=0,"",MAX(SUM($AU30)-SUM($R30),0))</f>
        <v/>
      </c>
      <c r="AW30" s="122" t="n">
        <f aca="false">0</f>
        <v>0</v>
      </c>
      <c r="AX30" s="124" t="str">
        <f aca="false">IF(SUM($AM30)=0,"",ROUND(SUM($AM30)*SUM($AW30),0))</f>
        <v/>
      </c>
      <c r="AY30" s="124" t="str">
        <f aca="false">IF(SUM($AM30)=0,"",SUM($AM30)-SUM($AX30))</f>
        <v/>
      </c>
      <c r="AZ30" s="123" t="n">
        <v>31</v>
      </c>
      <c r="BA30" s="123" t="n">
        <f aca="false">0.95</f>
        <v>0.95</v>
      </c>
      <c r="BB30" s="123"/>
      <c r="BC30" s="123" t="str">
        <f aca="false">IF(OR(SUM($AM30)&lt;=0,$C30="&lt;01"),"",MAX(IF(OR(SUM($Y30)&lt;70%,LEFT($B30,4)="_Mil"),30%,IF(SUM($Y30)&gt;=80%,75%,50%)),SUM($BB30)))</f>
        <v/>
      </c>
      <c r="BD30" s="115" t="str">
        <f aca="false">IF($C30="&lt;01",IFERROR(ROUND(INDEX(EID!$M:$M,MATCH($B30,EID!$B:$B,0)),0)/2,""),IF(SUM($AY30)=0,"",ROUND(SUM($AY30)/SUM($BA30),0)))</f>
        <v/>
      </c>
      <c r="BE30" s="115" t="str">
        <f aca="false">IF($C30="&lt;01","",IF(SUM($BD30)=0,"",ROUND(SUM($BD30)*SUM($BC30),0)))</f>
        <v/>
      </c>
      <c r="BF30" s="115" t="str">
        <f aca="false">_xlfn.IFNA(INDEX(PMTCT!$AE:$AE,MATCH($E30,PMTCT!$E:$E,0)),"")</f>
        <v/>
      </c>
      <c r="BG30" s="115" t="str">
        <f aca="false">_xlfn.IFNA(INDEX(PMTCT!$AU:$AU,MATCH($E30,PMTCT!$E:$E,0)),"")</f>
        <v/>
      </c>
      <c r="BH30" s="115" t="n">
        <f aca="false">_xlfn.IFNA(INDEX(TB!$Q:$Q,MATCH($E30,TB!$E:$E,0)),"")</f>
        <v>-9240</v>
      </c>
      <c r="BI30" s="115" t="str">
        <f aca="false">_xlfn.IFNA(INDEX(VMMC!$AC:$AC,MATCH($E30,VMMC!$E:$E,0)),"")</f>
        <v/>
      </c>
      <c r="BJ30" s="115" t="str">
        <f aca="false">IF($C30="&lt;01",$BD30,"")</f>
        <v/>
      </c>
      <c r="BK30" s="115" t="str">
        <f aca="false">IF(SUM($BD30)=0,"",($BD30)-SUM($BE30:$BJ30))</f>
        <v/>
      </c>
      <c r="BL30" s="123" t="str">
        <f aca="false">IF(OR(SUM($BD30)=0,SUM($BE30)=0),"",SUM($BE30)/$BD30)</f>
        <v/>
      </c>
      <c r="BM30" s="123" t="str">
        <f aca="false">IF(OR(SUM($BD30)=0,SUM($BF30)=0),"",SUM($BF30)/$BD30)</f>
        <v/>
      </c>
      <c r="BN30" s="123" t="str">
        <f aca="false">IF(OR(SUM($BD30)=0,SUM($BG30)=0),"",SUM($BG30)/$BD30)</f>
        <v/>
      </c>
      <c r="BO30" s="123" t="str">
        <f aca="false">IF(OR(SUM($BD30)=0,SUM($BH30)=0),"",SUM($BH30)/$BD30)</f>
        <v/>
      </c>
      <c r="BP30" s="123" t="str">
        <f aca="false">IF(OR(SUM($BD30)=0,SUM($BI30)=0),"",SUM($BI30)/$BD30)</f>
        <v/>
      </c>
      <c r="BQ30" s="123" t="str">
        <f aca="false">IF(AND($C30="&lt;01",SUM($BJ30)&lt;&gt;0),$BJ30/SUM($BD30),"")</f>
        <v/>
      </c>
      <c r="BR30" s="123" t="str">
        <f aca="false">IF(OR(SUM($BD30)=0,SUM($BK30)=0),"",SUM($BK30)/$BD30)</f>
        <v/>
      </c>
      <c r="BS30" s="122" t="str">
        <f aca="false">IF(SUM($X30)&lt;=0,"",$X30)</f>
        <v/>
      </c>
      <c r="BT30" s="115" t="str">
        <f aca="false">IF(LEFT($B30,4)="_Mil","",MAX(SUM($L30)+ROUND(SUM($BD30)/IF(SUM($BS30)&lt;=0,1,SUM($BS30)),0),0))</f>
        <v/>
      </c>
    </row>
    <row r="31" customFormat="false" ht="15" hidden="false" customHeight="false" outlineLevel="0" collapsed="false">
      <c r="A31" s="0" t="s">
        <v>140</v>
      </c>
      <c r="B31" s="0" t="s">
        <v>141</v>
      </c>
      <c r="C31" s="0" t="s">
        <v>75</v>
      </c>
      <c r="D31" s="0" t="s">
        <v>56</v>
      </c>
      <c r="E31" s="0" t="str">
        <f aca="false">B31&amp;"|"&amp;C31&amp;"|"&amp;D31</f>
        <v>_Military Lesotho [#Military] [dDOqoFnD5Be]|35-39|Female</v>
      </c>
      <c r="F31" s="115" t="str">
        <f aca="false">_xlfn.IFNA(ROUND(INDEX(Spectrum!$N:$N,MATCH(RIGHT($B31,13)&amp;"|"&amp;$C31&amp;"|"&amp;$D31&amp;"|"&amp;F$14&amp;"|"&amp;"CY2021Q3",Spectrum!$Q:$Q,0)),0),"")</f>
        <v/>
      </c>
      <c r="G31" s="123" t="str">
        <f aca="false">_xlfn.IFNA(INDEX(Spectrum!$P:$P,MATCH(RIGHT($B31,13)&amp;"|"&amp;$C31&amp;"|"&amp;$D31&amp;"|"&amp;F$14&amp;"|"&amp;"CY2021Q3",Spectrum!$Q:$Q,0)),"")</f>
        <v/>
      </c>
      <c r="H31" s="115" t="str">
        <f aca="false">_xlfn.IFNA(ROUND(INDEX(Spectrum!$N:$N,MATCH(RIGHT($B31,13)&amp;"|"&amp;$C31&amp;"|"&amp;$D31&amp;"|"&amp;H$14&amp;"|"&amp;"CY2021Q3",Spectrum!$Q:$Q,0)),0),"")</f>
        <v/>
      </c>
      <c r="I31" s="123" t="str">
        <f aca="false">_xlfn.IFNA(INDEX(Spectrum!$P:$P,MATCH(RIGHT($B31,13)&amp;"|"&amp;$C31&amp;"|"&amp;$D31&amp;"|"&amp;H$14&amp;"|"&amp;"CY2021Q3",Spectrum!$Q:$Q,0)),"")</f>
        <v/>
      </c>
      <c r="J31" s="117" t="str">
        <f aca="false">_xlfn.IFNA(INDEX(Spectrum!$N:$N,MATCH(RIGHT($B31,13)&amp;"|"&amp;$C31&amp;"|"&amp;$D31&amp;"|"&amp;J$14&amp;"|"&amp;"CY2021Q3",Spectrum!$Q:$Q,0)),"")</f>
        <v/>
      </c>
      <c r="K31" s="123" t="str">
        <f aca="false">_xlfn.IFNA(INDEX(Spectrum!$P:$P,MATCH(RIGHT($B31,13)&amp;"|"&amp;$C31&amp;"|"&amp;$D31&amp;"|"&amp;J$14&amp;"|"&amp;"CY2021Q3",Spectrum!$Q:$Q,0)),"")</f>
        <v/>
      </c>
      <c r="L31" s="115" t="str">
        <f aca="false">_xlfn.IFNA(ROUND(INDEX(Spectrum!$N:$N,MATCH(RIGHT($B31,13)&amp;"|"&amp;$C31&amp;"|"&amp;$D31&amp;"|"&amp;L$14&amp;"|"&amp;"CY2021Q3",Spectrum!$Q:$Q,0)),0),"")</f>
        <v/>
      </c>
      <c r="M31" s="123" t="str">
        <f aca="false">IF(OR(SUM($H31)&lt;=0,SUM($L31)&lt;=0),"",SUM($L31)/$H31)</f>
        <v/>
      </c>
      <c r="N31" s="115" t="str">
        <f aca="false">_xlfn.IFNA(ROUND(INDEX(Spectrum!$N:$N,MATCH(RIGHT($B31,13)&amp;"|"&amp;$C31&amp;"|"&amp;$D31&amp;"|"&amp;N$14&amp;"|"&amp;"CY2020Q4",Spectrum!$Q:$Q,0)),0),"")</f>
        <v/>
      </c>
      <c r="O31" s="123" t="str">
        <f aca="false">_xlfn.IFNA(INDEX(Spectrum!$P:$P,MATCH(RIGHT($B31,13)&amp;"|"&amp;$C31&amp;"|"&amp;$D31&amp;"|"&amp;N$14&amp;"|"&amp;"CY2020Q4",Spectrum!$Q:$Q,0)),"")</f>
        <v/>
      </c>
      <c r="P31" s="115" t="str">
        <f aca="false">_xlfn.IFNA(ROUND(INDEX(Spectrum!$N:$N,MATCH(RIGHT($B31,13)&amp;"|"&amp;$C31&amp;"|"&amp;$D31&amp;"|"&amp;P$14&amp;"|"&amp;"CY2021Q3",Spectrum!$Q:$Q,0)),0),"")</f>
        <v/>
      </c>
      <c r="Q31" s="123" t="str">
        <f aca="false">_xlfn.IFNA(INDEX(Spectrum!$P:$P,MATCH(RIGHT($B31,13)&amp;"|"&amp;$C31&amp;"|"&amp;$D31&amp;"|"&amp;P$14&amp;"|"&amp;"CY2021Q3",Spectrum!$Q:$Q,0)),"")</f>
        <v/>
      </c>
      <c r="R31" s="115"/>
      <c r="S31" s="123" t="str">
        <f aca="false">IF(OR(SUM($P31)&lt;=0,SUM($R31)&lt;=0),"",SUM($R31)/$P31)</f>
        <v/>
      </c>
      <c r="T31" s="139" t="n">
        <v>46</v>
      </c>
      <c r="U31" s="124" t="n">
        <v>18</v>
      </c>
      <c r="V31" s="124" t="n">
        <f aca="false">IF($U31-$T31=0,"",$U31-$T31)</f>
        <v>-28</v>
      </c>
      <c r="W31" s="123" t="str">
        <f aca="false">IF(LEFT($B31,4)="_Mil","",IFERROR(MIN(IF(SUM($N31)&lt;=0,SUM($U31)/SUM($P31),SUM($T31)/SUM($N31)),1),""))</f>
        <v/>
      </c>
      <c r="X31" s="123" t="str">
        <f aca="false">$W31</f>
        <v/>
      </c>
      <c r="Y31" s="123" t="str">
        <f aca="false">IFERROR(1/(1/INDEX(Spectrum!$N:$N,MATCH(RIGHT($B31,13)&amp;"|"&amp;$C31&amp;"|"&amp;$D31&amp;"|"&amp;Y$14&amp;"|"&amp;"CY2021Q3",Spectrum!$Q:$Q,0))),IF(SUM($H31)=0,"",MAX(SUM($P31),SUM($U31))/SUM($H31)))</f>
        <v/>
      </c>
      <c r="Z31" s="123" t="str">
        <f aca="false">IF(SUM($Y31)=0,"",MAX(SUM($Y31),90%))</f>
        <v/>
      </c>
      <c r="AA31" s="115" t="str">
        <f aca="false">IF(LEFT($B31,4)="_Mil","",ROUND(MAX(SUM($U31),SUM($P31))+IF(SUM($Z31)=0,0,MAX(SUM($Z31)-SUM($Y31),0)*SUM($H31)),0))</f>
        <v/>
      </c>
      <c r="AB31" s="115" t="str">
        <f aca="false">IF(SUM($AA31)=0,"",ROUND(MAX(SUM($AA31)-MAX(SUM($P31),SUM($U31)),0),0))</f>
        <v/>
      </c>
      <c r="AC31" s="126" t="str">
        <f aca="false">IF($C31="&lt;01",IFERROR(ROUND(INDEX(EID!$N:$N,MATCH($B31,EID!$B:$B,0))/2,0),""),"")</f>
        <v/>
      </c>
      <c r="AD31" s="115" t="str">
        <f aca="false">IF($C31="&lt;01",IF(SUM($AC31)=0,"",ROUND(SUM($AC31)/$AG31,0)),IF(SUM($AB31)=0,"",ROUND(MAX($X31,0)*SUM($AB31),0)))</f>
        <v/>
      </c>
      <c r="AE31" s="115" t="n">
        <f aca="false">IF(AND(SUM($AD31)=0,SUM($U31)=0),"",ROUND(IF($C31="&lt;01",0,SUM($U31))+SUM($AD31),0))</f>
        <v>18</v>
      </c>
      <c r="AF31" s="122" t="n">
        <f aca="false">IF($C31="&lt;01","",100%)</f>
        <v>1</v>
      </c>
      <c r="AG31" s="123" t="n">
        <f aca="false">0.98</f>
        <v>0.98</v>
      </c>
      <c r="AH31" s="123" t="n">
        <f aca="false">0.98</f>
        <v>0.98</v>
      </c>
      <c r="AI31" s="124" t="n">
        <f aca="false">IF(OR($C31="&lt;01",SUM($U31)=0),"",ROUND(SUM($U31)*(1-$AH31),0))</f>
        <v>0</v>
      </c>
      <c r="AJ31" s="124" t="n">
        <f aca="false">IF(AND(SUM($AE31)=0,SUM($U31)=0),"",IF($C31="&lt;01",SUM($AD31),SUM($AE31) - ROUND(SUM($U31)*$AH31,0)))</f>
        <v>0</v>
      </c>
      <c r="AK31" s="124" t="n">
        <v>43</v>
      </c>
      <c r="AL31" s="124" t="n">
        <v>17</v>
      </c>
      <c r="AM31" s="115" t="n">
        <f aca="false">IF(AND(SUM($AD31)=0,SUM($U31)=0),"",IF($C31="&lt;01",SUM($AD31),ROUND(ROUND(SUM($AJ31)*$AF31,0)/$AG31,0)))</f>
        <v>0</v>
      </c>
      <c r="AN31" s="122" t="n">
        <f aca="false">0.7</f>
        <v>0.7</v>
      </c>
      <c r="AO31" s="123" t="n">
        <f aca="false">1</f>
        <v>1</v>
      </c>
      <c r="AP31" s="115" t="n">
        <f aca="false">IF(AND(SUM($U31)=0,SUM($AM31)=0),"",ROUND((SUM($AM31)*$AN31+IF($C31="&lt;01",0,$U31))*$AO31,0))</f>
        <v>18</v>
      </c>
      <c r="AQ31" s="122" t="n">
        <v>33</v>
      </c>
      <c r="AR31" s="123" t="n">
        <f aca="false">0.95</f>
        <v>0.95</v>
      </c>
      <c r="AS31" s="123" t="n">
        <f aca="false">0.95</f>
        <v>0.95</v>
      </c>
      <c r="AT31" s="115" t="n">
        <f aca="false">IF(SUM($AP31)=0,"",ROUND(SUM($AP31)*$AR31,0))</f>
        <v>17</v>
      </c>
      <c r="AU31" s="115" t="str">
        <f aca="false">IF(LEFT($B31,4)="_Mil","",ROUND(SUM($AA31)*SUM($AS31),0))</f>
        <v/>
      </c>
      <c r="AV31" s="124" t="str">
        <f aca="false">IF(SUM($AU31)&lt;=0,"",MAX(SUM($AU31)-SUM($R31),0))</f>
        <v/>
      </c>
      <c r="AW31" s="122" t="n">
        <f aca="false">0</f>
        <v>0</v>
      </c>
      <c r="AX31" s="124" t="str">
        <f aca="false">IF(SUM($AM31)=0,"",ROUND(SUM($AM31)*SUM($AW31),0))</f>
        <v/>
      </c>
      <c r="AY31" s="124" t="str">
        <f aca="false">IF(SUM($AM31)=0,"",SUM($AM31)-SUM($AX31))</f>
        <v/>
      </c>
      <c r="AZ31" s="123" t="n">
        <v>20</v>
      </c>
      <c r="BA31" s="123" t="n">
        <f aca="false">0.95</f>
        <v>0.95</v>
      </c>
      <c r="BB31" s="123"/>
      <c r="BC31" s="123" t="str">
        <f aca="false">IF(OR(SUM($AM31)&lt;=0,$C31="&lt;01"),"",MAX(IF(OR(SUM($Y31)&lt;70%,LEFT($B31,4)="_Mil"),30%,IF(SUM($Y31)&gt;=80%,75%,50%)),SUM($BB31)))</f>
        <v/>
      </c>
      <c r="BD31" s="115" t="str">
        <f aca="false">IF($C31="&lt;01",IFERROR(ROUND(INDEX(EID!$M:$M,MATCH($B31,EID!$B:$B,0)),0)/2,""),IF(SUM($AY31)=0,"",ROUND(SUM($AY31)/SUM($BA31),0)))</f>
        <v/>
      </c>
      <c r="BE31" s="115" t="str">
        <f aca="false">IF($C31="&lt;01","",IF(SUM($BD31)=0,"",ROUND(SUM($BD31)*SUM($BC31),0)))</f>
        <v/>
      </c>
      <c r="BF31" s="115" t="n">
        <f aca="false">_xlfn.IFNA(INDEX(PMTCT!$AE:$AE,MATCH($E31,PMTCT!$E:$E,0)),"")</f>
        <v>-0</v>
      </c>
      <c r="BG31" s="115" t="str">
        <f aca="false">_xlfn.IFNA(INDEX(PMTCT!$AU:$AU,MATCH($E31,PMTCT!$E:$E,0)),"")</f>
        <v/>
      </c>
      <c r="BH31" s="115" t="n">
        <f aca="false">_xlfn.IFNA(INDEX(TB!$Q:$Q,MATCH($E31,TB!$E:$E,0)),"")</f>
        <v>403</v>
      </c>
      <c r="BI31" s="115" t="str">
        <f aca="false">_xlfn.IFNA(INDEX(VMMC!$AC:$AC,MATCH($E31,VMMC!$E:$E,0)),"")</f>
        <v/>
      </c>
      <c r="BJ31" s="115" t="str">
        <f aca="false">IF($C31="&lt;01",$BD31,"")</f>
        <v/>
      </c>
      <c r="BK31" s="115" t="str">
        <f aca="false">IF(SUM($BD31)=0,"",($BD31)-SUM($BE31:$BJ31))</f>
        <v/>
      </c>
      <c r="BL31" s="123" t="str">
        <f aca="false">IF(OR(SUM($BD31)=0,SUM($BE31)=0),"",SUM($BE31)/$BD31)</f>
        <v/>
      </c>
      <c r="BM31" s="123" t="str">
        <f aca="false">IF(OR(SUM($BD31)=0,SUM($BF31)=0),"",SUM($BF31)/$BD31)</f>
        <v/>
      </c>
      <c r="BN31" s="123" t="str">
        <f aca="false">IF(OR(SUM($BD31)=0,SUM($BG31)=0),"",SUM($BG31)/$BD31)</f>
        <v/>
      </c>
      <c r="BO31" s="123" t="str">
        <f aca="false">IF(OR(SUM($BD31)=0,SUM($BH31)=0),"",SUM($BH31)/$BD31)</f>
        <v/>
      </c>
      <c r="BP31" s="123" t="str">
        <f aca="false">IF(OR(SUM($BD31)=0,SUM($BI31)=0),"",SUM($BI31)/$BD31)</f>
        <v/>
      </c>
      <c r="BQ31" s="123" t="str">
        <f aca="false">IF(AND($C31="&lt;01",SUM($BJ31)&lt;&gt;0),$BJ31/SUM($BD31),"")</f>
        <v/>
      </c>
      <c r="BR31" s="123" t="str">
        <f aca="false">IF(OR(SUM($BD31)=0,SUM($BK31)=0),"",SUM($BK31)/$BD31)</f>
        <v/>
      </c>
      <c r="BS31" s="122" t="str">
        <f aca="false">IF(SUM($X31)&lt;=0,"",$X31)</f>
        <v/>
      </c>
      <c r="BT31" s="115" t="str">
        <f aca="false">IF(LEFT($B31,4)="_Mil","",MAX(SUM($L31)+ROUND(SUM($BD31)/IF(SUM($BS31)&lt;=0,1,SUM($BS31)),0),0))</f>
        <v/>
      </c>
    </row>
    <row r="32" customFormat="false" ht="15" hidden="false" customHeight="false" outlineLevel="0" collapsed="false">
      <c r="A32" s="0" t="s">
        <v>140</v>
      </c>
      <c r="B32" s="0" t="s">
        <v>141</v>
      </c>
      <c r="C32" s="0" t="s">
        <v>75</v>
      </c>
      <c r="D32" s="0" t="s">
        <v>58</v>
      </c>
      <c r="E32" s="0" t="str">
        <f aca="false">B32&amp;"|"&amp;C32&amp;"|"&amp;D32</f>
        <v>_Military Lesotho [#Military] [dDOqoFnD5Be]|35-39|Male</v>
      </c>
      <c r="F32" s="115" t="str">
        <f aca="false">_xlfn.IFNA(ROUND(INDEX(Spectrum!$N:$N,MATCH(RIGHT($B32,13)&amp;"|"&amp;$C32&amp;"|"&amp;$D32&amp;"|"&amp;F$14&amp;"|"&amp;"CY2021Q3",Spectrum!$Q:$Q,0)),0),"")</f>
        <v/>
      </c>
      <c r="G32" s="123" t="str">
        <f aca="false">_xlfn.IFNA(INDEX(Spectrum!$P:$P,MATCH(RIGHT($B32,13)&amp;"|"&amp;$C32&amp;"|"&amp;$D32&amp;"|"&amp;F$14&amp;"|"&amp;"CY2021Q3",Spectrum!$Q:$Q,0)),"")</f>
        <v/>
      </c>
      <c r="H32" s="115" t="str">
        <f aca="false">_xlfn.IFNA(ROUND(INDEX(Spectrum!$N:$N,MATCH(RIGHT($B32,13)&amp;"|"&amp;$C32&amp;"|"&amp;$D32&amp;"|"&amp;H$14&amp;"|"&amp;"CY2021Q3",Spectrum!$Q:$Q,0)),0),"")</f>
        <v/>
      </c>
      <c r="I32" s="123" t="str">
        <f aca="false">_xlfn.IFNA(INDEX(Spectrum!$P:$P,MATCH(RIGHT($B32,13)&amp;"|"&amp;$C32&amp;"|"&amp;$D32&amp;"|"&amp;H$14&amp;"|"&amp;"CY2021Q3",Spectrum!$Q:$Q,0)),"")</f>
        <v/>
      </c>
      <c r="J32" s="117" t="str">
        <f aca="false">_xlfn.IFNA(INDEX(Spectrum!$N:$N,MATCH(RIGHT($B32,13)&amp;"|"&amp;$C32&amp;"|"&amp;$D32&amp;"|"&amp;J$14&amp;"|"&amp;"CY2021Q3",Spectrum!$Q:$Q,0)),"")</f>
        <v/>
      </c>
      <c r="K32" s="123" t="str">
        <f aca="false">_xlfn.IFNA(INDEX(Spectrum!$P:$P,MATCH(RIGHT($B32,13)&amp;"|"&amp;$C32&amp;"|"&amp;$D32&amp;"|"&amp;J$14&amp;"|"&amp;"CY2021Q3",Spectrum!$Q:$Q,0)),"")</f>
        <v/>
      </c>
      <c r="L32" s="115" t="str">
        <f aca="false">_xlfn.IFNA(ROUND(INDEX(Spectrum!$N:$N,MATCH(RIGHT($B32,13)&amp;"|"&amp;$C32&amp;"|"&amp;$D32&amp;"|"&amp;L$14&amp;"|"&amp;"CY2021Q3",Spectrum!$Q:$Q,0)),0),"")</f>
        <v/>
      </c>
      <c r="M32" s="123" t="str">
        <f aca="false">IF(OR(SUM($H32)&lt;=0,SUM($L32)&lt;=0),"",SUM($L32)/$H32)</f>
        <v/>
      </c>
      <c r="N32" s="115" t="str">
        <f aca="false">_xlfn.IFNA(ROUND(INDEX(Spectrum!$N:$N,MATCH(RIGHT($B32,13)&amp;"|"&amp;$C32&amp;"|"&amp;$D32&amp;"|"&amp;N$14&amp;"|"&amp;"CY2020Q4",Spectrum!$Q:$Q,0)),0),"")</f>
        <v/>
      </c>
      <c r="O32" s="123" t="str">
        <f aca="false">_xlfn.IFNA(INDEX(Spectrum!$P:$P,MATCH(RIGHT($B32,13)&amp;"|"&amp;$C32&amp;"|"&amp;$D32&amp;"|"&amp;N$14&amp;"|"&amp;"CY2020Q4",Spectrum!$Q:$Q,0)),"")</f>
        <v/>
      </c>
      <c r="P32" s="115" t="str">
        <f aca="false">_xlfn.IFNA(ROUND(INDEX(Spectrum!$N:$N,MATCH(RIGHT($B32,13)&amp;"|"&amp;$C32&amp;"|"&amp;$D32&amp;"|"&amp;P$14&amp;"|"&amp;"CY2021Q3",Spectrum!$Q:$Q,0)),0),"")</f>
        <v/>
      </c>
      <c r="Q32" s="123" t="str">
        <f aca="false">_xlfn.IFNA(INDEX(Spectrum!$P:$P,MATCH(RIGHT($B32,13)&amp;"|"&amp;$C32&amp;"|"&amp;$D32&amp;"|"&amp;P$14&amp;"|"&amp;"CY2021Q3",Spectrum!$Q:$Q,0)),"")</f>
        <v/>
      </c>
      <c r="R32" s="115"/>
      <c r="S32" s="123" t="str">
        <f aca="false">IF(OR(SUM($P32)&lt;=0,SUM($R32)&lt;=0),"",SUM($R32)/$P32)</f>
        <v/>
      </c>
      <c r="T32" s="139" t="n">
        <v>25</v>
      </c>
      <c r="U32" s="124" t="n">
        <v>19</v>
      </c>
      <c r="V32" s="124" t="n">
        <f aca="false">IF($U32-$T32=0,"",$U32-$T32)</f>
        <v>-6</v>
      </c>
      <c r="W32" s="123" t="str">
        <f aca="false">IF(LEFT($B32,4)="_Mil","",IFERROR(MIN(IF(SUM($N32)&lt;=0,SUM($U32)/SUM($P32),SUM($T32)/SUM($N32)),1),""))</f>
        <v/>
      </c>
      <c r="X32" s="123" t="str">
        <f aca="false">$W32</f>
        <v/>
      </c>
      <c r="Y32" s="123" t="str">
        <f aca="false">IFERROR(1/(1/INDEX(Spectrum!$N:$N,MATCH(RIGHT($B32,13)&amp;"|"&amp;$C32&amp;"|"&amp;$D32&amp;"|"&amp;Y$14&amp;"|"&amp;"CY2021Q3",Spectrum!$Q:$Q,0))),IF(SUM($H32)=0,"",MAX(SUM($P32),SUM($U32))/SUM($H32)))</f>
        <v/>
      </c>
      <c r="Z32" s="123" t="str">
        <f aca="false">IF(SUM($Y32)=0,"",MAX(SUM($Y32),90%))</f>
        <v/>
      </c>
      <c r="AA32" s="115" t="str">
        <f aca="false">IF(LEFT($B32,4)="_Mil","",ROUND(MAX(SUM($U32),SUM($P32))+IF(SUM($Z32)=0,0,MAX(SUM($Z32)-SUM($Y32),0)*SUM($H32)),0))</f>
        <v/>
      </c>
      <c r="AB32" s="115" t="str">
        <f aca="false">IF(SUM($AA32)=0,"",ROUND(MAX(SUM($AA32)-MAX(SUM($P32),SUM($U32)),0),0))</f>
        <v/>
      </c>
      <c r="AC32" s="126" t="str">
        <f aca="false">IF($C32="&lt;01",IFERROR(ROUND(INDEX(EID!$N:$N,MATCH($B32,EID!$B:$B,0))/2,0),""),"")</f>
        <v/>
      </c>
      <c r="AD32" s="115" t="str">
        <f aca="false">IF($C32="&lt;01",IF(SUM($AC32)=0,"",ROUND(SUM($AC32)/$AG32,0)),IF(SUM($AB32)=0,"",ROUND(MAX($X32,0)*SUM($AB32),0)))</f>
        <v/>
      </c>
      <c r="AE32" s="115" t="n">
        <f aca="false">IF(AND(SUM($AD32)=0,SUM($U32)=0),"",ROUND(IF($C32="&lt;01",0,SUM($U32))+SUM($AD32),0))</f>
        <v>19</v>
      </c>
      <c r="AF32" s="122" t="n">
        <f aca="false">IF($C32="&lt;01","",100%)</f>
        <v>1</v>
      </c>
      <c r="AG32" s="123" t="n">
        <f aca="false">0.98</f>
        <v>0.98</v>
      </c>
      <c r="AH32" s="123" t="n">
        <f aca="false">0.98</f>
        <v>0.98</v>
      </c>
      <c r="AI32" s="124" t="n">
        <f aca="false">IF(OR($C32="&lt;01",SUM($U32)=0),"",ROUND(SUM($U32)*(1-$AH32),0))</f>
        <v>0</v>
      </c>
      <c r="AJ32" s="124" t="n">
        <f aca="false">IF(AND(SUM($AE32)=0,SUM($U32)=0),"",IF($C32="&lt;01",SUM($AD32),SUM($AE32) - ROUND(SUM($U32)*$AH32,0)))</f>
        <v>0</v>
      </c>
      <c r="AK32" s="124" t="n">
        <v>42</v>
      </c>
      <c r="AL32" s="124" t="n">
        <v>8</v>
      </c>
      <c r="AM32" s="115" t="n">
        <f aca="false">IF(AND(SUM($AD32)=0,SUM($U32)=0),"",IF($C32="&lt;01",SUM($AD32),ROUND(ROUND(SUM($AJ32)*$AF32,0)/$AG32,0)))</f>
        <v>0</v>
      </c>
      <c r="AN32" s="122" t="n">
        <f aca="false">0.7</f>
        <v>0.7</v>
      </c>
      <c r="AO32" s="123" t="n">
        <f aca="false">1</f>
        <v>1</v>
      </c>
      <c r="AP32" s="115" t="n">
        <f aca="false">IF(AND(SUM($U32)=0,SUM($AM32)=0),"",ROUND((SUM($AM32)*$AN32+IF($C32="&lt;01",0,$U32))*$AO32,0))</f>
        <v>19</v>
      </c>
      <c r="AQ32" s="122" t="n">
        <v>39</v>
      </c>
      <c r="AR32" s="123" t="n">
        <f aca="false">0.95</f>
        <v>0.95</v>
      </c>
      <c r="AS32" s="123" t="n">
        <f aca="false">0.95</f>
        <v>0.95</v>
      </c>
      <c r="AT32" s="115" t="n">
        <f aca="false">IF(SUM($AP32)=0,"",ROUND(SUM($AP32)*$AR32,0))</f>
        <v>18</v>
      </c>
      <c r="AU32" s="115" t="str">
        <f aca="false">IF(LEFT($B32,4)="_Mil","",ROUND(SUM($AA32)*SUM($AS32),0))</f>
        <v/>
      </c>
      <c r="AV32" s="124" t="str">
        <f aca="false">IF(SUM($AU32)&lt;=0,"",MAX(SUM($AU32)-SUM($R32),0))</f>
        <v/>
      </c>
      <c r="AW32" s="122" t="n">
        <f aca="false">0</f>
        <v>0</v>
      </c>
      <c r="AX32" s="124" t="str">
        <f aca="false">IF(SUM($AM32)=0,"",ROUND(SUM($AM32)*SUM($AW32),0))</f>
        <v/>
      </c>
      <c r="AY32" s="124" t="str">
        <f aca="false">IF(SUM($AM32)=0,"",SUM($AM32)-SUM($AX32))</f>
        <v/>
      </c>
      <c r="AZ32" s="123" t="n">
        <v>41</v>
      </c>
      <c r="BA32" s="123" t="n">
        <f aca="false">0.95</f>
        <v>0.95</v>
      </c>
      <c r="BB32" s="123"/>
      <c r="BC32" s="123" t="str">
        <f aca="false">IF(OR(SUM($AM32)&lt;=0,$C32="&lt;01"),"",MAX(IF(OR(SUM($Y32)&lt;70%,LEFT($B32,4)="_Mil"),30%,IF(SUM($Y32)&gt;=80%,75%,50%)),SUM($BB32)))</f>
        <v/>
      </c>
      <c r="BD32" s="115" t="str">
        <f aca="false">IF($C32="&lt;01",IFERROR(ROUND(INDEX(EID!$M:$M,MATCH($B32,EID!$B:$B,0)),0)/2,""),IF(SUM($AY32)=0,"",ROUND(SUM($AY32)/SUM($BA32),0)))</f>
        <v/>
      </c>
      <c r="BE32" s="115" t="str">
        <f aca="false">IF($C32="&lt;01","",IF(SUM($BD32)=0,"",ROUND(SUM($BD32)*SUM($BC32),0)))</f>
        <v/>
      </c>
      <c r="BF32" s="115" t="str">
        <f aca="false">_xlfn.IFNA(INDEX(PMTCT!$AE:$AE,MATCH($E32,PMTCT!$E:$E,0)),"")</f>
        <v/>
      </c>
      <c r="BG32" s="115" t="str">
        <f aca="false">_xlfn.IFNA(INDEX(PMTCT!$AU:$AU,MATCH($E32,PMTCT!$E:$E,0)),"")</f>
        <v/>
      </c>
      <c r="BH32" s="115" t="n">
        <f aca="false">_xlfn.IFNA(INDEX(TB!$Q:$Q,MATCH($E32,TB!$E:$E,0)),"")</f>
        <v>-0</v>
      </c>
      <c r="BI32" s="115" t="n">
        <f aca="false">_xlfn.IFNA(INDEX(VMMC!$AC:$AC,MATCH($E32,VMMC!$E:$E,0)),"")</f>
        <v>-17484</v>
      </c>
      <c r="BJ32" s="115" t="str">
        <f aca="false">IF($C32="&lt;01",$BD32,"")</f>
        <v/>
      </c>
      <c r="BK32" s="115" t="str">
        <f aca="false">IF(SUM($BD32)=0,"",($BD32)-SUM($BE32:$BJ32))</f>
        <v/>
      </c>
      <c r="BL32" s="123" t="str">
        <f aca="false">IF(OR(SUM($BD32)=0,SUM($BE32)=0),"",SUM($BE32)/$BD32)</f>
        <v/>
      </c>
      <c r="BM32" s="123" t="str">
        <f aca="false">IF(OR(SUM($BD32)=0,SUM($BF32)=0),"",SUM($BF32)/$BD32)</f>
        <v/>
      </c>
      <c r="BN32" s="123" t="str">
        <f aca="false">IF(OR(SUM($BD32)=0,SUM($BG32)=0),"",SUM($BG32)/$BD32)</f>
        <v/>
      </c>
      <c r="BO32" s="123" t="str">
        <f aca="false">IF(OR(SUM($BD32)=0,SUM($BH32)=0),"",SUM($BH32)/$BD32)</f>
        <v/>
      </c>
      <c r="BP32" s="123" t="str">
        <f aca="false">IF(OR(SUM($BD32)=0,SUM($BI32)=0),"",SUM($BI32)/$BD32)</f>
        <v/>
      </c>
      <c r="BQ32" s="123" t="str">
        <f aca="false">IF(AND($C32="&lt;01",SUM($BJ32)&lt;&gt;0),$BJ32/SUM($BD32),"")</f>
        <v/>
      </c>
      <c r="BR32" s="123" t="str">
        <f aca="false">IF(OR(SUM($BD32)=0,SUM($BK32)=0),"",SUM($BK32)/$BD32)</f>
        <v/>
      </c>
      <c r="BS32" s="122" t="str">
        <f aca="false">IF(SUM($X32)&lt;=0,"",$X32)</f>
        <v/>
      </c>
      <c r="BT32" s="115" t="str">
        <f aca="false">IF(LEFT($B32,4)="_Mil","",MAX(SUM($L32)+ROUND(SUM($BD32)/IF(SUM($BS32)&lt;=0,1,SUM($BS32)),0),0))</f>
        <v/>
      </c>
    </row>
    <row r="33" customFormat="false" ht="15" hidden="false" customHeight="false" outlineLevel="0" collapsed="false">
      <c r="A33" s="0" t="s">
        <v>140</v>
      </c>
      <c r="B33" s="0" t="s">
        <v>141</v>
      </c>
      <c r="C33" s="0" t="s">
        <v>77</v>
      </c>
      <c r="D33" s="0" t="s">
        <v>56</v>
      </c>
      <c r="E33" s="0" t="str">
        <f aca="false">B33&amp;"|"&amp;C33&amp;"|"&amp;D33</f>
        <v>_Military Lesotho [#Military] [dDOqoFnD5Be]|40-44|Female</v>
      </c>
      <c r="F33" s="115" t="str">
        <f aca="false">_xlfn.IFNA(ROUND(INDEX(Spectrum!$N:$N,MATCH(RIGHT($B33,13)&amp;"|"&amp;$C33&amp;"|"&amp;$D33&amp;"|"&amp;F$14&amp;"|"&amp;"CY2021Q3",Spectrum!$Q:$Q,0)),0),"")</f>
        <v/>
      </c>
      <c r="G33" s="123" t="str">
        <f aca="false">_xlfn.IFNA(INDEX(Spectrum!$P:$P,MATCH(RIGHT($B33,13)&amp;"|"&amp;$C33&amp;"|"&amp;$D33&amp;"|"&amp;F$14&amp;"|"&amp;"CY2021Q3",Spectrum!$Q:$Q,0)),"")</f>
        <v/>
      </c>
      <c r="H33" s="115" t="str">
        <f aca="false">_xlfn.IFNA(ROUND(INDEX(Spectrum!$N:$N,MATCH(RIGHT($B33,13)&amp;"|"&amp;$C33&amp;"|"&amp;$D33&amp;"|"&amp;H$14&amp;"|"&amp;"CY2021Q3",Spectrum!$Q:$Q,0)),0),"")</f>
        <v/>
      </c>
      <c r="I33" s="123" t="str">
        <f aca="false">_xlfn.IFNA(INDEX(Spectrum!$P:$P,MATCH(RIGHT($B33,13)&amp;"|"&amp;$C33&amp;"|"&amp;$D33&amp;"|"&amp;H$14&amp;"|"&amp;"CY2021Q3",Spectrum!$Q:$Q,0)),"")</f>
        <v/>
      </c>
      <c r="J33" s="117" t="str">
        <f aca="false">_xlfn.IFNA(INDEX(Spectrum!$N:$N,MATCH(RIGHT($B33,13)&amp;"|"&amp;$C33&amp;"|"&amp;$D33&amp;"|"&amp;J$14&amp;"|"&amp;"CY2021Q3",Spectrum!$Q:$Q,0)),"")</f>
        <v/>
      </c>
      <c r="K33" s="123" t="str">
        <f aca="false">_xlfn.IFNA(INDEX(Spectrum!$P:$P,MATCH(RIGHT($B33,13)&amp;"|"&amp;$C33&amp;"|"&amp;$D33&amp;"|"&amp;J$14&amp;"|"&amp;"CY2021Q3",Spectrum!$Q:$Q,0)),"")</f>
        <v/>
      </c>
      <c r="L33" s="115" t="str">
        <f aca="false">_xlfn.IFNA(ROUND(INDEX(Spectrum!$N:$N,MATCH(RIGHT($B33,13)&amp;"|"&amp;$C33&amp;"|"&amp;$D33&amp;"|"&amp;L$14&amp;"|"&amp;"CY2021Q3",Spectrum!$Q:$Q,0)),0),"")</f>
        <v/>
      </c>
      <c r="M33" s="123" t="str">
        <f aca="false">IF(OR(SUM($H33)&lt;=0,SUM($L33)&lt;=0),"",SUM($L33)/$H33)</f>
        <v/>
      </c>
      <c r="N33" s="115" t="str">
        <f aca="false">_xlfn.IFNA(ROUND(INDEX(Spectrum!$N:$N,MATCH(RIGHT($B33,13)&amp;"|"&amp;$C33&amp;"|"&amp;$D33&amp;"|"&amp;N$14&amp;"|"&amp;"CY2020Q4",Spectrum!$Q:$Q,0)),0),"")</f>
        <v/>
      </c>
      <c r="O33" s="123" t="str">
        <f aca="false">_xlfn.IFNA(INDEX(Spectrum!$P:$P,MATCH(RIGHT($B33,13)&amp;"|"&amp;$C33&amp;"|"&amp;$D33&amp;"|"&amp;N$14&amp;"|"&amp;"CY2020Q4",Spectrum!$Q:$Q,0)),"")</f>
        <v/>
      </c>
      <c r="P33" s="115" t="str">
        <f aca="false">_xlfn.IFNA(ROUND(INDEX(Spectrum!$N:$N,MATCH(RIGHT($B33,13)&amp;"|"&amp;$C33&amp;"|"&amp;$D33&amp;"|"&amp;P$14&amp;"|"&amp;"CY2021Q3",Spectrum!$Q:$Q,0)),0),"")</f>
        <v/>
      </c>
      <c r="Q33" s="123" t="str">
        <f aca="false">_xlfn.IFNA(INDEX(Spectrum!$P:$P,MATCH(RIGHT($B33,13)&amp;"|"&amp;$C33&amp;"|"&amp;$D33&amp;"|"&amp;P$14&amp;"|"&amp;"CY2021Q3",Spectrum!$Q:$Q,0)),"")</f>
        <v/>
      </c>
      <c r="R33" s="115"/>
      <c r="S33" s="123" t="str">
        <f aca="false">IF(OR(SUM($P33)&lt;=0,SUM($R33)&lt;=0),"",SUM($R33)/$P33)</f>
        <v/>
      </c>
      <c r="T33" s="139" t="n">
        <v>17</v>
      </c>
      <c r="U33" s="124" t="n">
        <v>6</v>
      </c>
      <c r="V33" s="124" t="n">
        <f aca="false">IF($U33-$T33=0,"",$U33-$T33)</f>
        <v>-11</v>
      </c>
      <c r="W33" s="123" t="str">
        <f aca="false">IF(LEFT($B33,4)="_Mil","",IFERROR(MIN(IF(SUM($N33)&lt;=0,SUM($U33)/SUM($P33),SUM($T33)/SUM($N33)),1),""))</f>
        <v/>
      </c>
      <c r="X33" s="123" t="str">
        <f aca="false">$W33</f>
        <v/>
      </c>
      <c r="Y33" s="123" t="str">
        <f aca="false">IFERROR(1/(1/INDEX(Spectrum!$N:$N,MATCH(RIGHT($B33,13)&amp;"|"&amp;$C33&amp;"|"&amp;$D33&amp;"|"&amp;Y$14&amp;"|"&amp;"CY2021Q3",Spectrum!$Q:$Q,0))),IF(SUM($H33)=0,"",MAX(SUM($P33),SUM($U33))/SUM($H33)))</f>
        <v/>
      </c>
      <c r="Z33" s="123" t="str">
        <f aca="false">IF(SUM($Y33)=0,"",MAX(SUM($Y33),90%))</f>
        <v/>
      </c>
      <c r="AA33" s="115" t="str">
        <f aca="false">IF(LEFT($B33,4)="_Mil","",ROUND(MAX(SUM($U33),SUM($P33))+IF(SUM($Z33)=0,0,MAX(SUM($Z33)-SUM($Y33),0)*SUM($H33)),0))</f>
        <v/>
      </c>
      <c r="AB33" s="115" t="str">
        <f aca="false">IF(SUM($AA33)=0,"",ROUND(MAX(SUM($AA33)-MAX(SUM($P33),SUM($U33)),0),0))</f>
        <v/>
      </c>
      <c r="AC33" s="126" t="str">
        <f aca="false">IF($C33="&lt;01",IFERROR(ROUND(INDEX(EID!$N:$N,MATCH($B33,EID!$B:$B,0))/2,0),""),"")</f>
        <v/>
      </c>
      <c r="AD33" s="115" t="str">
        <f aca="false">IF($C33="&lt;01",IF(SUM($AC33)=0,"",ROUND(SUM($AC33)/$AG33,0)),IF(SUM($AB33)=0,"",ROUND(MAX($X33,0)*SUM($AB33),0)))</f>
        <v/>
      </c>
      <c r="AE33" s="115" t="n">
        <f aca="false">IF(AND(SUM($AD33)=0,SUM($U33)=0),"",ROUND(IF($C33="&lt;01",0,SUM($U33))+SUM($AD33),0))</f>
        <v>6</v>
      </c>
      <c r="AF33" s="122" t="n">
        <f aca="false">IF($C33="&lt;01","",100%)</f>
        <v>1</v>
      </c>
      <c r="AG33" s="123" t="n">
        <f aca="false">0.98</f>
        <v>0.98</v>
      </c>
      <c r="AH33" s="123" t="n">
        <f aca="false">0.98</f>
        <v>0.98</v>
      </c>
      <c r="AI33" s="124" t="n">
        <f aca="false">IF(OR($C33="&lt;01",SUM($U33)=0),"",ROUND(SUM($U33)*(1-$AH33),0))</f>
        <v>0</v>
      </c>
      <c r="AJ33" s="124" t="n">
        <f aca="false">IF(AND(SUM($AE33)=0,SUM($U33)=0),"",IF($C33="&lt;01",SUM($AD33),SUM($AE33) - ROUND(SUM($U33)*$AH33,0)))</f>
        <v>0</v>
      </c>
      <c r="AK33" s="124" t="n">
        <v>49</v>
      </c>
      <c r="AL33" s="124" t="n">
        <v>33</v>
      </c>
      <c r="AM33" s="115" t="n">
        <f aca="false">IF(AND(SUM($AD33)=0,SUM($U33)=0),"",IF($C33="&lt;01",SUM($AD33),ROUND(ROUND(SUM($AJ33)*$AF33,0)/$AG33,0)))</f>
        <v>0</v>
      </c>
      <c r="AN33" s="122" t="n">
        <f aca="false">0.7</f>
        <v>0.7</v>
      </c>
      <c r="AO33" s="123" t="n">
        <f aca="false">1</f>
        <v>1</v>
      </c>
      <c r="AP33" s="115" t="n">
        <f aca="false">IF(AND(SUM($U33)=0,SUM($AM33)=0),"",ROUND((SUM($AM33)*$AN33+IF($C33="&lt;01",0,$U33))*$AO33,0))</f>
        <v>6</v>
      </c>
      <c r="AQ33" s="122" t="n">
        <v>38</v>
      </c>
      <c r="AR33" s="123" t="n">
        <f aca="false">0.95</f>
        <v>0.95</v>
      </c>
      <c r="AS33" s="123" t="n">
        <f aca="false">0.95</f>
        <v>0.95</v>
      </c>
      <c r="AT33" s="115" t="n">
        <f aca="false">IF(SUM($AP33)=0,"",ROUND(SUM($AP33)*$AR33,0))</f>
        <v>6</v>
      </c>
      <c r="AU33" s="115" t="str">
        <f aca="false">IF(LEFT($B33,4)="_Mil","",ROUND(SUM($AA33)*SUM($AS33),0))</f>
        <v/>
      </c>
      <c r="AV33" s="124" t="str">
        <f aca="false">IF(SUM($AU33)&lt;=0,"",MAX(SUM($AU33)-SUM($R33),0))</f>
        <v/>
      </c>
      <c r="AW33" s="122" t="n">
        <f aca="false">0</f>
        <v>0</v>
      </c>
      <c r="AX33" s="124" t="str">
        <f aca="false">IF(SUM($AM33)=0,"",ROUND(SUM($AM33)*SUM($AW33),0))</f>
        <v/>
      </c>
      <c r="AY33" s="124" t="str">
        <f aca="false">IF(SUM($AM33)=0,"",SUM($AM33)-SUM($AX33))</f>
        <v/>
      </c>
      <c r="AZ33" s="123" t="n">
        <v>33</v>
      </c>
      <c r="BA33" s="123" t="n">
        <f aca="false">0.95</f>
        <v>0.95</v>
      </c>
      <c r="BB33" s="123"/>
      <c r="BC33" s="123" t="str">
        <f aca="false">IF(OR(SUM($AM33)&lt;=0,$C33="&lt;01"),"",MAX(IF(OR(SUM($Y33)&lt;70%,LEFT($B33,4)="_Mil"),30%,IF(SUM($Y33)&gt;=80%,75%,50%)),SUM($BB33)))</f>
        <v/>
      </c>
      <c r="BD33" s="115" t="str">
        <f aca="false">IF($C33="&lt;01",IFERROR(ROUND(INDEX(EID!$M:$M,MATCH($B33,EID!$B:$B,0)),0)/2,""),IF(SUM($AY33)=0,"",ROUND(SUM($AY33)/SUM($BA33),0)))</f>
        <v/>
      </c>
      <c r="BE33" s="115" t="str">
        <f aca="false">IF($C33="&lt;01","",IF(SUM($BD33)=0,"",ROUND(SUM($BD33)*SUM($BC33),0)))</f>
        <v/>
      </c>
      <c r="BF33" s="115" t="str">
        <f aca="false">_xlfn.IFNA(INDEX(PMTCT!$AE:$AE,MATCH($E33,PMTCT!$E:$E,0)),"")</f>
        <v/>
      </c>
      <c r="BG33" s="115" t="str">
        <f aca="false">_xlfn.IFNA(INDEX(PMTCT!$AU:$AU,MATCH($E33,PMTCT!$E:$E,0)),"")</f>
        <v/>
      </c>
      <c r="BH33" s="115" t="n">
        <f aca="false">_xlfn.IFNA(INDEX(TB!$Q:$Q,MATCH($E33,TB!$E:$E,0)),"")</f>
        <v>-0</v>
      </c>
      <c r="BI33" s="115" t="str">
        <f aca="false">_xlfn.IFNA(INDEX(VMMC!$AC:$AC,MATCH($E33,VMMC!$E:$E,0)),"")</f>
        <v/>
      </c>
      <c r="BJ33" s="115" t="str">
        <f aca="false">IF($C33="&lt;01",$BD33,"")</f>
        <v/>
      </c>
      <c r="BK33" s="115" t="str">
        <f aca="false">IF(SUM($BD33)=0,"",($BD33)-SUM($BE33:$BJ33))</f>
        <v/>
      </c>
      <c r="BL33" s="123" t="str">
        <f aca="false">IF(OR(SUM($BD33)=0,SUM($BE33)=0),"",SUM($BE33)/$BD33)</f>
        <v/>
      </c>
      <c r="BM33" s="123" t="str">
        <f aca="false">IF(OR(SUM($BD33)=0,SUM($BF33)=0),"",SUM($BF33)/$BD33)</f>
        <v/>
      </c>
      <c r="BN33" s="123" t="str">
        <f aca="false">IF(OR(SUM($BD33)=0,SUM($BG33)=0),"",SUM($BG33)/$BD33)</f>
        <v/>
      </c>
      <c r="BO33" s="123" t="str">
        <f aca="false">IF(OR(SUM($BD33)=0,SUM($BH33)=0),"",SUM($BH33)/$BD33)</f>
        <v/>
      </c>
      <c r="BP33" s="123" t="str">
        <f aca="false">IF(OR(SUM($BD33)=0,SUM($BI33)=0),"",SUM($BI33)/$BD33)</f>
        <v/>
      </c>
      <c r="BQ33" s="123" t="str">
        <f aca="false">IF(AND($C33="&lt;01",SUM($BJ33)&lt;&gt;0),$BJ33/SUM($BD33),"")</f>
        <v/>
      </c>
      <c r="BR33" s="123" t="str">
        <f aca="false">IF(OR(SUM($BD33)=0,SUM($BK33)=0),"",SUM($BK33)/$BD33)</f>
        <v/>
      </c>
      <c r="BS33" s="122" t="str">
        <f aca="false">IF(SUM($X33)&lt;=0,"",$X33)</f>
        <v/>
      </c>
      <c r="BT33" s="115" t="str">
        <f aca="false">IF(LEFT($B33,4)="_Mil","",MAX(SUM($L33)+ROUND(SUM($BD33)/IF(SUM($BS33)&lt;=0,1,SUM($BS33)),0),0))</f>
        <v/>
      </c>
    </row>
    <row r="34" customFormat="false" ht="15" hidden="false" customHeight="false" outlineLevel="0" collapsed="false">
      <c r="A34" s="0" t="s">
        <v>140</v>
      </c>
      <c r="B34" s="0" t="s">
        <v>141</v>
      </c>
      <c r="C34" s="0" t="s">
        <v>77</v>
      </c>
      <c r="D34" s="0" t="s">
        <v>58</v>
      </c>
      <c r="E34" s="0" t="str">
        <f aca="false">B34&amp;"|"&amp;C34&amp;"|"&amp;D34</f>
        <v>_Military Lesotho [#Military] [dDOqoFnD5Be]|40-44|Male</v>
      </c>
      <c r="F34" s="115" t="str">
        <f aca="false">_xlfn.IFNA(ROUND(INDEX(Spectrum!$N:$N,MATCH(RIGHT($B34,13)&amp;"|"&amp;$C34&amp;"|"&amp;$D34&amp;"|"&amp;F$14&amp;"|"&amp;"CY2021Q3",Spectrum!$Q:$Q,0)),0),"")</f>
        <v/>
      </c>
      <c r="G34" s="123" t="str">
        <f aca="false">_xlfn.IFNA(INDEX(Spectrum!$P:$P,MATCH(RIGHT($B34,13)&amp;"|"&amp;$C34&amp;"|"&amp;$D34&amp;"|"&amp;F$14&amp;"|"&amp;"CY2021Q3",Spectrum!$Q:$Q,0)),"")</f>
        <v/>
      </c>
      <c r="H34" s="115" t="str">
        <f aca="false">_xlfn.IFNA(ROUND(INDEX(Spectrum!$N:$N,MATCH(RIGHT($B34,13)&amp;"|"&amp;$C34&amp;"|"&amp;$D34&amp;"|"&amp;H$14&amp;"|"&amp;"CY2021Q3",Spectrum!$Q:$Q,0)),0),"")</f>
        <v/>
      </c>
      <c r="I34" s="123" t="str">
        <f aca="false">_xlfn.IFNA(INDEX(Spectrum!$P:$P,MATCH(RIGHT($B34,13)&amp;"|"&amp;$C34&amp;"|"&amp;$D34&amp;"|"&amp;H$14&amp;"|"&amp;"CY2021Q3",Spectrum!$Q:$Q,0)),"")</f>
        <v/>
      </c>
      <c r="J34" s="117" t="str">
        <f aca="false">_xlfn.IFNA(INDEX(Spectrum!$N:$N,MATCH(RIGHT($B34,13)&amp;"|"&amp;$C34&amp;"|"&amp;$D34&amp;"|"&amp;J$14&amp;"|"&amp;"CY2021Q3",Spectrum!$Q:$Q,0)),"")</f>
        <v/>
      </c>
      <c r="K34" s="123" t="str">
        <f aca="false">_xlfn.IFNA(INDEX(Spectrum!$P:$P,MATCH(RIGHT($B34,13)&amp;"|"&amp;$C34&amp;"|"&amp;$D34&amp;"|"&amp;J$14&amp;"|"&amp;"CY2021Q3",Spectrum!$Q:$Q,0)),"")</f>
        <v/>
      </c>
      <c r="L34" s="115" t="str">
        <f aca="false">_xlfn.IFNA(ROUND(INDEX(Spectrum!$N:$N,MATCH(RIGHT($B34,13)&amp;"|"&amp;$C34&amp;"|"&amp;$D34&amp;"|"&amp;L$14&amp;"|"&amp;"CY2021Q3",Spectrum!$Q:$Q,0)),0),"")</f>
        <v/>
      </c>
      <c r="M34" s="123" t="str">
        <f aca="false">IF(OR(SUM($H34)&lt;=0,SUM($L34)&lt;=0),"",SUM($L34)/$H34)</f>
        <v/>
      </c>
      <c r="N34" s="115" t="str">
        <f aca="false">_xlfn.IFNA(ROUND(INDEX(Spectrum!$N:$N,MATCH(RIGHT($B34,13)&amp;"|"&amp;$C34&amp;"|"&amp;$D34&amp;"|"&amp;N$14&amp;"|"&amp;"CY2020Q4",Spectrum!$Q:$Q,0)),0),"")</f>
        <v/>
      </c>
      <c r="O34" s="123" t="str">
        <f aca="false">_xlfn.IFNA(INDEX(Spectrum!$P:$P,MATCH(RIGHT($B34,13)&amp;"|"&amp;$C34&amp;"|"&amp;$D34&amp;"|"&amp;N$14&amp;"|"&amp;"CY2020Q4",Spectrum!$Q:$Q,0)),"")</f>
        <v/>
      </c>
      <c r="P34" s="115" t="str">
        <f aca="false">_xlfn.IFNA(ROUND(INDEX(Spectrum!$N:$N,MATCH(RIGHT($B34,13)&amp;"|"&amp;$C34&amp;"|"&amp;$D34&amp;"|"&amp;P$14&amp;"|"&amp;"CY2021Q3",Spectrum!$Q:$Q,0)),0),"")</f>
        <v/>
      </c>
      <c r="Q34" s="123" t="str">
        <f aca="false">_xlfn.IFNA(INDEX(Spectrum!$P:$P,MATCH(RIGHT($B34,13)&amp;"|"&amp;$C34&amp;"|"&amp;$D34&amp;"|"&amp;P$14&amp;"|"&amp;"CY2021Q3",Spectrum!$Q:$Q,0)),"")</f>
        <v/>
      </c>
      <c r="R34" s="115"/>
      <c r="S34" s="123" t="str">
        <f aca="false">IF(OR(SUM($P34)&lt;=0,SUM($R34)&lt;=0),"",SUM($R34)/$P34)</f>
        <v/>
      </c>
      <c r="T34" s="139" t="n">
        <v>2</v>
      </c>
      <c r="U34" s="124" t="n">
        <v>41</v>
      </c>
      <c r="V34" s="124" t="n">
        <f aca="false">IF($U34-$T34=0,"",$U34-$T34)</f>
        <v>39</v>
      </c>
      <c r="W34" s="123" t="str">
        <f aca="false">IF(LEFT($B34,4)="_Mil","",IFERROR(MIN(IF(SUM($N34)&lt;=0,SUM($U34)/SUM($P34),SUM($T34)/SUM($N34)),1),""))</f>
        <v/>
      </c>
      <c r="X34" s="123" t="str">
        <f aca="false">$W34</f>
        <v/>
      </c>
      <c r="Y34" s="123" t="str">
        <f aca="false">IFERROR(1/(1/INDEX(Spectrum!$N:$N,MATCH(RIGHT($B34,13)&amp;"|"&amp;$C34&amp;"|"&amp;$D34&amp;"|"&amp;Y$14&amp;"|"&amp;"CY2021Q3",Spectrum!$Q:$Q,0))),IF(SUM($H34)=0,"",MAX(SUM($P34),SUM($U34))/SUM($H34)))</f>
        <v/>
      </c>
      <c r="Z34" s="123" t="str">
        <f aca="false">IF(SUM($Y34)=0,"",MAX(SUM($Y34),90%))</f>
        <v/>
      </c>
      <c r="AA34" s="115" t="str">
        <f aca="false">IF(LEFT($B34,4)="_Mil","",ROUND(MAX(SUM($U34),SUM($P34))+IF(SUM($Z34)=0,0,MAX(SUM($Z34)-SUM($Y34),0)*SUM($H34)),0))</f>
        <v/>
      </c>
      <c r="AB34" s="115" t="str">
        <f aca="false">IF(SUM($AA34)=0,"",ROUND(MAX(SUM($AA34)-MAX(SUM($P34),SUM($U34)),0),0))</f>
        <v/>
      </c>
      <c r="AC34" s="126" t="str">
        <f aca="false">IF($C34="&lt;01",IFERROR(ROUND(INDEX(EID!$N:$N,MATCH($B34,EID!$B:$B,0))/2,0),""),"")</f>
        <v/>
      </c>
      <c r="AD34" s="115" t="str">
        <f aca="false">IF($C34="&lt;01",IF(SUM($AC34)=0,"",ROUND(SUM($AC34)/$AG34,0)),IF(SUM($AB34)=0,"",ROUND(MAX($X34,0)*SUM($AB34),0)))</f>
        <v/>
      </c>
      <c r="AE34" s="115" t="n">
        <f aca="false">IF(AND(SUM($AD34)=0,SUM($U34)=0),"",ROUND(IF($C34="&lt;01",0,SUM($U34))+SUM($AD34),0))</f>
        <v>41</v>
      </c>
      <c r="AF34" s="122" t="n">
        <f aca="false">IF($C34="&lt;01","",100%)</f>
        <v>1</v>
      </c>
      <c r="AG34" s="123" t="n">
        <f aca="false">0.98</f>
        <v>0.98</v>
      </c>
      <c r="AH34" s="123" t="n">
        <f aca="false">0.98</f>
        <v>0.98</v>
      </c>
      <c r="AI34" s="124" t="n">
        <f aca="false">IF(OR($C34="&lt;01",SUM($U34)=0),"",ROUND(SUM($U34)*(1-$AH34),0))</f>
        <v>1</v>
      </c>
      <c r="AJ34" s="124" t="n">
        <f aca="false">IF(AND(SUM($AE34)=0,SUM($U34)=0),"",IF($C34="&lt;01",SUM($AD34),SUM($AE34) - ROUND(SUM($U34)*$AH34,0)))</f>
        <v>1</v>
      </c>
      <c r="AK34" s="124" t="n">
        <v>4</v>
      </c>
      <c r="AL34" s="124" t="n">
        <v>19</v>
      </c>
      <c r="AM34" s="115" t="n">
        <f aca="false">IF(AND(SUM($AD34)=0,SUM($U34)=0),"",IF($C34="&lt;01",SUM($AD34),ROUND(ROUND(SUM($AJ34)*$AF34,0)/$AG34,0)))</f>
        <v>1</v>
      </c>
      <c r="AN34" s="122" t="n">
        <f aca="false">0.7</f>
        <v>0.7</v>
      </c>
      <c r="AO34" s="123" t="n">
        <f aca="false">1</f>
        <v>1</v>
      </c>
      <c r="AP34" s="115" t="n">
        <f aca="false">IF(AND(SUM($U34)=0,SUM($AM34)=0),"",ROUND((SUM($AM34)*$AN34+IF($C34="&lt;01",0,$U34))*$AO34,0))</f>
        <v>42</v>
      </c>
      <c r="AQ34" s="122" t="n">
        <v>14</v>
      </c>
      <c r="AR34" s="123" t="n">
        <f aca="false">0.95</f>
        <v>0.95</v>
      </c>
      <c r="AS34" s="123" t="n">
        <f aca="false">0.95</f>
        <v>0.95</v>
      </c>
      <c r="AT34" s="115" t="n">
        <f aca="false">IF(SUM($AP34)=0,"",ROUND(SUM($AP34)*$AR34,0))</f>
        <v>40</v>
      </c>
      <c r="AU34" s="115" t="str">
        <f aca="false">IF(LEFT($B34,4)="_Mil","",ROUND(SUM($AA34)*SUM($AS34),0))</f>
        <v/>
      </c>
      <c r="AV34" s="124" t="str">
        <f aca="false">IF(SUM($AU34)&lt;=0,"",MAX(SUM($AU34)-SUM($R34),0))</f>
        <v/>
      </c>
      <c r="AW34" s="122" t="n">
        <f aca="false">0</f>
        <v>0</v>
      </c>
      <c r="AX34" s="124" t="n">
        <f aca="false">IF(SUM($AM34)=0,"",ROUND(SUM($AM34)*SUM($AW34),0))</f>
        <v>0</v>
      </c>
      <c r="AY34" s="124" t="n">
        <f aca="false">IF(SUM($AM34)=0,"",SUM($AM34)-SUM($AX34))</f>
        <v>1</v>
      </c>
      <c r="AZ34" s="123" t="n">
        <v>49</v>
      </c>
      <c r="BA34" s="123" t="n">
        <f aca="false">0.95</f>
        <v>0.95</v>
      </c>
      <c r="BB34" s="123"/>
      <c r="BC34" s="123" t="n">
        <f aca="false">IF(OR(SUM($AM34)&lt;=0,$C34="&lt;01"),"",MAX(IF(OR(SUM($Y34)&lt;70%,LEFT($B34,4)="_Mil"),30%,IF(SUM($Y34)&gt;=80%,75%,50%)),SUM($BB34)))</f>
        <v>0.3</v>
      </c>
      <c r="BD34" s="115" t="n">
        <f aca="false">IF($C34="&lt;01",IFERROR(ROUND(INDEX(EID!$M:$M,MATCH($B34,EID!$B:$B,0)),0)/2,""),IF(SUM($AY34)=0,"",ROUND(SUM($AY34)/SUM($BA34),0)))</f>
        <v>1</v>
      </c>
      <c r="BE34" s="115" t="n">
        <f aca="false">IF($C34="&lt;01","",IF(SUM($BD34)=0,"",ROUND(SUM($BD34)*SUM($BC34),0)))</f>
        <v>0</v>
      </c>
      <c r="BF34" s="115" t="str">
        <f aca="false">_xlfn.IFNA(INDEX(PMTCT!$AE:$AE,MATCH($E34,PMTCT!$E:$E,0)),"")</f>
        <v/>
      </c>
      <c r="BG34" s="115" t="str">
        <f aca="false">_xlfn.IFNA(INDEX(PMTCT!$AU:$AU,MATCH($E34,PMTCT!$E:$E,0)),"")</f>
        <v/>
      </c>
      <c r="BH34" s="115" t="n">
        <f aca="false">_xlfn.IFNA(INDEX(TB!$Q:$Q,MATCH($E34,TB!$E:$E,0)),"")</f>
        <v>45</v>
      </c>
      <c r="BI34" s="115" t="n">
        <f aca="false">_xlfn.IFNA(INDEX(VMMC!$AC:$AC,MATCH($E34,VMMC!$E:$E,0)),"")</f>
        <v>-0</v>
      </c>
      <c r="BJ34" s="115" t="str">
        <f aca="false">IF($C34="&lt;01",$BD34,"")</f>
        <v/>
      </c>
      <c r="BK34" s="115" t="n">
        <f aca="false">IF(SUM($BD34)=0,"",($BD34)-SUM($BE34:$BJ34))</f>
        <v>-44</v>
      </c>
      <c r="BL34" s="123" t="str">
        <f aca="false">IF(OR(SUM($BD34)=0,SUM($BE34)=0),"",SUM($BE34)/$BD34)</f>
        <v/>
      </c>
      <c r="BM34" s="123" t="str">
        <f aca="false">IF(OR(SUM($BD34)=0,SUM($BF34)=0),"",SUM($BF34)/$BD34)</f>
        <v/>
      </c>
      <c r="BN34" s="123" t="str">
        <f aca="false">IF(OR(SUM($BD34)=0,SUM($BG34)=0),"",SUM($BG34)/$BD34)</f>
        <v/>
      </c>
      <c r="BO34" s="123" t="n">
        <f aca="false">IF(OR(SUM($BD34)=0,SUM($BH34)=0),"",SUM($BH34)/$BD34)</f>
        <v>45</v>
      </c>
      <c r="BP34" s="123" t="str">
        <f aca="false">IF(OR(SUM($BD34)=0,SUM($BI34)=0),"",SUM($BI34)/$BD34)</f>
        <v/>
      </c>
      <c r="BQ34" s="123" t="str">
        <f aca="false">IF(AND($C34="&lt;01",SUM($BJ34)&lt;&gt;0),$BJ34/SUM($BD34),"")</f>
        <v/>
      </c>
      <c r="BR34" s="123" t="n">
        <f aca="false">IF(OR(SUM($BD34)=0,SUM($BK34)=0),"",SUM($BK34)/$BD34)</f>
        <v>-44</v>
      </c>
      <c r="BS34" s="122" t="str">
        <f aca="false">IF(SUM($X34)&lt;=0,"",$X34)</f>
        <v/>
      </c>
      <c r="BT34" s="115" t="str">
        <f aca="false">IF(LEFT($B34,4)="_Mil","",MAX(SUM($L34)+ROUND(SUM($BD34)/IF(SUM($BS34)&lt;=0,1,SUM($BS34)),0),0))</f>
        <v/>
      </c>
    </row>
    <row r="35" customFormat="false" ht="15" hidden="false" customHeight="false" outlineLevel="0" collapsed="false">
      <c r="A35" s="0" t="s">
        <v>140</v>
      </c>
      <c r="B35" s="0" t="s">
        <v>141</v>
      </c>
      <c r="C35" s="0" t="s">
        <v>80</v>
      </c>
      <c r="D35" s="0" t="s">
        <v>56</v>
      </c>
      <c r="E35" s="0" t="str">
        <f aca="false">B35&amp;"|"&amp;C35&amp;"|"&amp;D35</f>
        <v>_Military Lesotho [#Military] [dDOqoFnD5Be]|45-49|Female</v>
      </c>
      <c r="F35" s="115" t="str">
        <f aca="false">_xlfn.IFNA(ROUND(INDEX(Spectrum!$N:$N,MATCH(RIGHT($B35,13)&amp;"|"&amp;$C35&amp;"|"&amp;$D35&amp;"|"&amp;F$14&amp;"|"&amp;"CY2021Q3",Spectrum!$Q:$Q,0)),0),"")</f>
        <v/>
      </c>
      <c r="G35" s="123" t="str">
        <f aca="false">_xlfn.IFNA(INDEX(Spectrum!$P:$P,MATCH(RIGHT($B35,13)&amp;"|"&amp;$C35&amp;"|"&amp;$D35&amp;"|"&amp;F$14&amp;"|"&amp;"CY2021Q3",Spectrum!$Q:$Q,0)),"")</f>
        <v/>
      </c>
      <c r="H35" s="115" t="str">
        <f aca="false">_xlfn.IFNA(ROUND(INDEX(Spectrum!$N:$N,MATCH(RIGHT($B35,13)&amp;"|"&amp;$C35&amp;"|"&amp;$D35&amp;"|"&amp;H$14&amp;"|"&amp;"CY2021Q3",Spectrum!$Q:$Q,0)),0),"")</f>
        <v/>
      </c>
      <c r="I35" s="123" t="str">
        <f aca="false">_xlfn.IFNA(INDEX(Spectrum!$P:$P,MATCH(RIGHT($B35,13)&amp;"|"&amp;$C35&amp;"|"&amp;$D35&amp;"|"&amp;H$14&amp;"|"&amp;"CY2021Q3",Spectrum!$Q:$Q,0)),"")</f>
        <v/>
      </c>
      <c r="J35" s="117" t="str">
        <f aca="false">_xlfn.IFNA(INDEX(Spectrum!$N:$N,MATCH(RIGHT($B35,13)&amp;"|"&amp;$C35&amp;"|"&amp;$D35&amp;"|"&amp;J$14&amp;"|"&amp;"CY2021Q3",Spectrum!$Q:$Q,0)),"")</f>
        <v/>
      </c>
      <c r="K35" s="123" t="str">
        <f aca="false">_xlfn.IFNA(INDEX(Spectrum!$P:$P,MATCH(RIGHT($B35,13)&amp;"|"&amp;$C35&amp;"|"&amp;$D35&amp;"|"&amp;J$14&amp;"|"&amp;"CY2021Q3",Spectrum!$Q:$Q,0)),"")</f>
        <v/>
      </c>
      <c r="L35" s="115" t="str">
        <f aca="false">_xlfn.IFNA(ROUND(INDEX(Spectrum!$N:$N,MATCH(RIGHT($B35,13)&amp;"|"&amp;$C35&amp;"|"&amp;$D35&amp;"|"&amp;L$14&amp;"|"&amp;"CY2021Q3",Spectrum!$Q:$Q,0)),0),"")</f>
        <v/>
      </c>
      <c r="M35" s="123" t="str">
        <f aca="false">IF(OR(SUM($H35)&lt;=0,SUM($L35)&lt;=0),"",SUM($L35)/$H35)</f>
        <v/>
      </c>
      <c r="N35" s="115" t="str">
        <f aca="false">_xlfn.IFNA(ROUND(INDEX(Spectrum!$N:$N,MATCH(RIGHT($B35,13)&amp;"|"&amp;$C35&amp;"|"&amp;$D35&amp;"|"&amp;N$14&amp;"|"&amp;"CY2020Q4",Spectrum!$Q:$Q,0)),0),"")</f>
        <v/>
      </c>
      <c r="O35" s="123" t="str">
        <f aca="false">_xlfn.IFNA(INDEX(Spectrum!$P:$P,MATCH(RIGHT($B35,13)&amp;"|"&amp;$C35&amp;"|"&amp;$D35&amp;"|"&amp;N$14&amp;"|"&amp;"CY2020Q4",Spectrum!$Q:$Q,0)),"")</f>
        <v/>
      </c>
      <c r="P35" s="115" t="str">
        <f aca="false">_xlfn.IFNA(ROUND(INDEX(Spectrum!$N:$N,MATCH(RIGHT($B35,13)&amp;"|"&amp;$C35&amp;"|"&amp;$D35&amp;"|"&amp;P$14&amp;"|"&amp;"CY2021Q3",Spectrum!$Q:$Q,0)),0),"")</f>
        <v/>
      </c>
      <c r="Q35" s="123" t="str">
        <f aca="false">_xlfn.IFNA(INDEX(Spectrum!$P:$P,MATCH(RIGHT($B35,13)&amp;"|"&amp;$C35&amp;"|"&amp;$D35&amp;"|"&amp;P$14&amp;"|"&amp;"CY2021Q3",Spectrum!$Q:$Q,0)),"")</f>
        <v/>
      </c>
      <c r="R35" s="115"/>
      <c r="S35" s="123" t="str">
        <f aca="false">IF(OR(SUM($P35)&lt;=0,SUM($R35)&lt;=0),"",SUM($R35)/$P35)</f>
        <v/>
      </c>
      <c r="T35" s="139" t="n">
        <v>50</v>
      </c>
      <c r="U35" s="124" t="n">
        <v>25</v>
      </c>
      <c r="V35" s="124" t="n">
        <f aca="false">IF($U35-$T35=0,"",$U35-$T35)</f>
        <v>-25</v>
      </c>
      <c r="W35" s="123" t="str">
        <f aca="false">IF(LEFT($B35,4)="_Mil","",IFERROR(MIN(IF(SUM($N35)&lt;=0,SUM($U35)/SUM($P35),SUM($T35)/SUM($N35)),1),""))</f>
        <v/>
      </c>
      <c r="X35" s="123" t="str">
        <f aca="false">$W35</f>
        <v/>
      </c>
      <c r="Y35" s="123" t="str">
        <f aca="false">IFERROR(1/(1/INDEX(Spectrum!$N:$N,MATCH(RIGHT($B35,13)&amp;"|"&amp;$C35&amp;"|"&amp;$D35&amp;"|"&amp;Y$14&amp;"|"&amp;"CY2021Q3",Spectrum!$Q:$Q,0))),IF(SUM($H35)=0,"",MAX(SUM($P35),SUM($U35))/SUM($H35)))</f>
        <v/>
      </c>
      <c r="Z35" s="123" t="str">
        <f aca="false">IF(SUM($Y35)=0,"",MAX(SUM($Y35),90%))</f>
        <v/>
      </c>
      <c r="AA35" s="115" t="str">
        <f aca="false">IF(LEFT($B35,4)="_Mil","",ROUND(MAX(SUM($U35),SUM($P35))+IF(SUM($Z35)=0,0,MAX(SUM($Z35)-SUM($Y35),0)*SUM($H35)),0))</f>
        <v/>
      </c>
      <c r="AB35" s="115" t="str">
        <f aca="false">IF(SUM($AA35)=0,"",ROUND(MAX(SUM($AA35)-MAX(SUM($P35),SUM($U35)),0),0))</f>
        <v/>
      </c>
      <c r="AC35" s="126" t="str">
        <f aca="false">IF($C35="&lt;01",IFERROR(ROUND(INDEX(EID!$N:$N,MATCH($B35,EID!$B:$B,0))/2,0),""),"")</f>
        <v/>
      </c>
      <c r="AD35" s="115" t="str">
        <f aca="false">IF($C35="&lt;01",IF(SUM($AC35)=0,"",ROUND(SUM($AC35)/$AG35,0)),IF(SUM($AB35)=0,"",ROUND(MAX($X35,0)*SUM($AB35),0)))</f>
        <v/>
      </c>
      <c r="AE35" s="115" t="n">
        <f aca="false">IF(AND(SUM($AD35)=0,SUM($U35)=0),"",ROUND(IF($C35="&lt;01",0,SUM($U35))+SUM($AD35),0))</f>
        <v>25</v>
      </c>
      <c r="AF35" s="122" t="n">
        <f aca="false">IF($C35="&lt;01","",100%)</f>
        <v>1</v>
      </c>
      <c r="AG35" s="123" t="n">
        <f aca="false">0.98</f>
        <v>0.98</v>
      </c>
      <c r="AH35" s="123" t="n">
        <f aca="false">0.98</f>
        <v>0.98</v>
      </c>
      <c r="AI35" s="124" t="n">
        <f aca="false">IF(OR($C35="&lt;01",SUM($U35)=0),"",ROUND(SUM($U35)*(1-$AH35),0))</f>
        <v>1</v>
      </c>
      <c r="AJ35" s="124" t="n">
        <f aca="false">IF(AND(SUM($AE35)=0,SUM($U35)=0),"",IF($C35="&lt;01",SUM($AD35),SUM($AE35) - ROUND(SUM($U35)*$AH35,0)))</f>
        <v>0</v>
      </c>
      <c r="AK35" s="124" t="n">
        <v>22</v>
      </c>
      <c r="AL35" s="124" t="n">
        <v>42</v>
      </c>
      <c r="AM35" s="115" t="n">
        <f aca="false">IF(AND(SUM($AD35)=0,SUM($U35)=0),"",IF($C35="&lt;01",SUM($AD35),ROUND(ROUND(SUM($AJ35)*$AF35,0)/$AG35,0)))</f>
        <v>0</v>
      </c>
      <c r="AN35" s="122" t="n">
        <f aca="false">0.7</f>
        <v>0.7</v>
      </c>
      <c r="AO35" s="123" t="n">
        <f aca="false">1</f>
        <v>1</v>
      </c>
      <c r="AP35" s="115" t="n">
        <f aca="false">IF(AND(SUM($U35)=0,SUM($AM35)=0),"",ROUND((SUM($AM35)*$AN35+IF($C35="&lt;01",0,$U35))*$AO35,0))</f>
        <v>25</v>
      </c>
      <c r="AQ35" s="122" t="n">
        <v>17</v>
      </c>
      <c r="AR35" s="123" t="n">
        <f aca="false">0.95</f>
        <v>0.95</v>
      </c>
      <c r="AS35" s="123" t="n">
        <f aca="false">0.95</f>
        <v>0.95</v>
      </c>
      <c r="AT35" s="115" t="n">
        <f aca="false">IF(SUM($AP35)=0,"",ROUND(SUM($AP35)*$AR35,0))</f>
        <v>24</v>
      </c>
      <c r="AU35" s="115" t="str">
        <f aca="false">IF(LEFT($B35,4)="_Mil","",ROUND(SUM($AA35)*SUM($AS35),0))</f>
        <v/>
      </c>
      <c r="AV35" s="124" t="str">
        <f aca="false">IF(SUM($AU35)&lt;=0,"",MAX(SUM($AU35)-SUM($R35),0))</f>
        <v/>
      </c>
      <c r="AW35" s="122" t="n">
        <f aca="false">0</f>
        <v>0</v>
      </c>
      <c r="AX35" s="124" t="str">
        <f aca="false">IF(SUM($AM35)=0,"",ROUND(SUM($AM35)*SUM($AW35),0))</f>
        <v/>
      </c>
      <c r="AY35" s="124" t="str">
        <f aca="false">IF(SUM($AM35)=0,"",SUM($AM35)-SUM($AX35))</f>
        <v/>
      </c>
      <c r="AZ35" s="123" t="n">
        <v>29</v>
      </c>
      <c r="BA35" s="123" t="n">
        <f aca="false">0.95</f>
        <v>0.95</v>
      </c>
      <c r="BB35" s="123"/>
      <c r="BC35" s="123" t="str">
        <f aca="false">IF(OR(SUM($AM35)&lt;=0,$C35="&lt;01"),"",MAX(IF(OR(SUM($Y35)&lt;70%,LEFT($B35,4)="_Mil"),30%,IF(SUM($Y35)&gt;=80%,75%,50%)),SUM($BB35)))</f>
        <v/>
      </c>
      <c r="BD35" s="115" t="str">
        <f aca="false">IF($C35="&lt;01",IFERROR(ROUND(INDEX(EID!$M:$M,MATCH($B35,EID!$B:$B,0)),0)/2,""),IF(SUM($AY35)=0,"",ROUND(SUM($AY35)/SUM($BA35),0)))</f>
        <v/>
      </c>
      <c r="BE35" s="115" t="str">
        <f aca="false">IF($C35="&lt;01","",IF(SUM($BD35)=0,"",ROUND(SUM($BD35)*SUM($BC35),0)))</f>
        <v/>
      </c>
      <c r="BF35" s="115" t="str">
        <f aca="false">_xlfn.IFNA(INDEX(PMTCT!$AE:$AE,MATCH($E35,PMTCT!$E:$E,0)),"")</f>
        <v/>
      </c>
      <c r="BG35" s="115" t="str">
        <f aca="false">_xlfn.IFNA(INDEX(PMTCT!$AU:$AU,MATCH($E35,PMTCT!$E:$E,0)),"")</f>
        <v/>
      </c>
      <c r="BH35" s="115" t="n">
        <f aca="false">_xlfn.IFNA(INDEX(TB!$Q:$Q,MATCH($E35,TB!$E:$E,0)),"")</f>
        <v>-0</v>
      </c>
      <c r="BI35" s="115" t="str">
        <f aca="false">_xlfn.IFNA(INDEX(VMMC!$AC:$AC,MATCH($E35,VMMC!$E:$E,0)),"")</f>
        <v/>
      </c>
      <c r="BJ35" s="115" t="str">
        <f aca="false">IF($C35="&lt;01",$BD35,"")</f>
        <v/>
      </c>
      <c r="BK35" s="115" t="str">
        <f aca="false">IF(SUM($BD35)=0,"",($BD35)-SUM($BE35:$BJ35))</f>
        <v/>
      </c>
      <c r="BL35" s="123" t="str">
        <f aca="false">IF(OR(SUM($BD35)=0,SUM($BE35)=0),"",SUM($BE35)/$BD35)</f>
        <v/>
      </c>
      <c r="BM35" s="123" t="str">
        <f aca="false">IF(OR(SUM($BD35)=0,SUM($BF35)=0),"",SUM($BF35)/$BD35)</f>
        <v/>
      </c>
      <c r="BN35" s="123" t="str">
        <f aca="false">IF(OR(SUM($BD35)=0,SUM($BG35)=0),"",SUM($BG35)/$BD35)</f>
        <v/>
      </c>
      <c r="BO35" s="123" t="str">
        <f aca="false">IF(OR(SUM($BD35)=0,SUM($BH35)=0),"",SUM($BH35)/$BD35)</f>
        <v/>
      </c>
      <c r="BP35" s="123" t="str">
        <f aca="false">IF(OR(SUM($BD35)=0,SUM($BI35)=0),"",SUM($BI35)/$BD35)</f>
        <v/>
      </c>
      <c r="BQ35" s="123" t="str">
        <f aca="false">IF(AND($C35="&lt;01",SUM($BJ35)&lt;&gt;0),$BJ35/SUM($BD35),"")</f>
        <v/>
      </c>
      <c r="BR35" s="123" t="str">
        <f aca="false">IF(OR(SUM($BD35)=0,SUM($BK35)=0),"",SUM($BK35)/$BD35)</f>
        <v/>
      </c>
      <c r="BS35" s="122" t="str">
        <f aca="false">IF(SUM($X35)&lt;=0,"",$X35)</f>
        <v/>
      </c>
      <c r="BT35" s="115" t="str">
        <f aca="false">IF(LEFT($B35,4)="_Mil","",MAX(SUM($L35)+ROUND(SUM($BD35)/IF(SUM($BS35)&lt;=0,1,SUM($BS35)),0),0))</f>
        <v/>
      </c>
    </row>
    <row r="36" customFormat="false" ht="15" hidden="false" customHeight="false" outlineLevel="0" collapsed="false">
      <c r="A36" s="0" t="s">
        <v>140</v>
      </c>
      <c r="B36" s="0" t="s">
        <v>141</v>
      </c>
      <c r="C36" s="0" t="s">
        <v>80</v>
      </c>
      <c r="D36" s="0" t="s">
        <v>58</v>
      </c>
      <c r="E36" s="0" t="str">
        <f aca="false">B36&amp;"|"&amp;C36&amp;"|"&amp;D36</f>
        <v>_Military Lesotho [#Military] [dDOqoFnD5Be]|45-49|Male</v>
      </c>
      <c r="F36" s="115" t="str">
        <f aca="false">_xlfn.IFNA(ROUND(INDEX(Spectrum!$N:$N,MATCH(RIGHT($B36,13)&amp;"|"&amp;$C36&amp;"|"&amp;$D36&amp;"|"&amp;F$14&amp;"|"&amp;"CY2021Q3",Spectrum!$Q:$Q,0)),0),"")</f>
        <v/>
      </c>
      <c r="G36" s="123" t="str">
        <f aca="false">_xlfn.IFNA(INDEX(Spectrum!$P:$P,MATCH(RIGHT($B36,13)&amp;"|"&amp;$C36&amp;"|"&amp;$D36&amp;"|"&amp;F$14&amp;"|"&amp;"CY2021Q3",Spectrum!$Q:$Q,0)),"")</f>
        <v/>
      </c>
      <c r="H36" s="115" t="str">
        <f aca="false">_xlfn.IFNA(ROUND(INDEX(Spectrum!$N:$N,MATCH(RIGHT($B36,13)&amp;"|"&amp;$C36&amp;"|"&amp;$D36&amp;"|"&amp;H$14&amp;"|"&amp;"CY2021Q3",Spectrum!$Q:$Q,0)),0),"")</f>
        <v/>
      </c>
      <c r="I36" s="123" t="str">
        <f aca="false">_xlfn.IFNA(INDEX(Spectrum!$P:$P,MATCH(RIGHT($B36,13)&amp;"|"&amp;$C36&amp;"|"&amp;$D36&amp;"|"&amp;H$14&amp;"|"&amp;"CY2021Q3",Spectrum!$Q:$Q,0)),"")</f>
        <v/>
      </c>
      <c r="J36" s="117" t="str">
        <f aca="false">_xlfn.IFNA(INDEX(Spectrum!$N:$N,MATCH(RIGHT($B36,13)&amp;"|"&amp;$C36&amp;"|"&amp;$D36&amp;"|"&amp;J$14&amp;"|"&amp;"CY2021Q3",Spectrum!$Q:$Q,0)),"")</f>
        <v/>
      </c>
      <c r="K36" s="123" t="str">
        <f aca="false">_xlfn.IFNA(INDEX(Spectrum!$P:$P,MATCH(RIGHT($B36,13)&amp;"|"&amp;$C36&amp;"|"&amp;$D36&amp;"|"&amp;J$14&amp;"|"&amp;"CY2021Q3",Spectrum!$Q:$Q,0)),"")</f>
        <v/>
      </c>
      <c r="L36" s="115" t="str">
        <f aca="false">_xlfn.IFNA(ROUND(INDEX(Spectrum!$N:$N,MATCH(RIGHT($B36,13)&amp;"|"&amp;$C36&amp;"|"&amp;$D36&amp;"|"&amp;L$14&amp;"|"&amp;"CY2021Q3",Spectrum!$Q:$Q,0)),0),"")</f>
        <v/>
      </c>
      <c r="M36" s="123" t="str">
        <f aca="false">IF(OR(SUM($H36)&lt;=0,SUM($L36)&lt;=0),"",SUM($L36)/$H36)</f>
        <v/>
      </c>
      <c r="N36" s="115" t="str">
        <f aca="false">_xlfn.IFNA(ROUND(INDEX(Spectrum!$N:$N,MATCH(RIGHT($B36,13)&amp;"|"&amp;$C36&amp;"|"&amp;$D36&amp;"|"&amp;N$14&amp;"|"&amp;"CY2020Q4",Spectrum!$Q:$Q,0)),0),"")</f>
        <v/>
      </c>
      <c r="O36" s="123" t="str">
        <f aca="false">_xlfn.IFNA(INDEX(Spectrum!$P:$P,MATCH(RIGHT($B36,13)&amp;"|"&amp;$C36&amp;"|"&amp;$D36&amp;"|"&amp;N$14&amp;"|"&amp;"CY2020Q4",Spectrum!$Q:$Q,0)),"")</f>
        <v/>
      </c>
      <c r="P36" s="115" t="str">
        <f aca="false">_xlfn.IFNA(ROUND(INDEX(Spectrum!$N:$N,MATCH(RIGHT($B36,13)&amp;"|"&amp;$C36&amp;"|"&amp;$D36&amp;"|"&amp;P$14&amp;"|"&amp;"CY2021Q3",Spectrum!$Q:$Q,0)),0),"")</f>
        <v/>
      </c>
      <c r="Q36" s="123" t="str">
        <f aca="false">_xlfn.IFNA(INDEX(Spectrum!$P:$P,MATCH(RIGHT($B36,13)&amp;"|"&amp;$C36&amp;"|"&amp;$D36&amp;"|"&amp;P$14&amp;"|"&amp;"CY2021Q3",Spectrum!$Q:$Q,0)),"")</f>
        <v/>
      </c>
      <c r="R36" s="115"/>
      <c r="S36" s="123" t="str">
        <f aca="false">IF(OR(SUM($P36)&lt;=0,SUM($R36)&lt;=0),"",SUM($R36)/$P36)</f>
        <v/>
      </c>
      <c r="T36" s="139" t="n">
        <v>23</v>
      </c>
      <c r="U36" s="124" t="n">
        <v>32</v>
      </c>
      <c r="V36" s="124" t="n">
        <f aca="false">IF($U36-$T36=0,"",$U36-$T36)</f>
        <v>9</v>
      </c>
      <c r="W36" s="123" t="str">
        <f aca="false">IF(LEFT($B36,4)="_Mil","",IFERROR(MIN(IF(SUM($N36)&lt;=0,SUM($U36)/SUM($P36),SUM($T36)/SUM($N36)),1),""))</f>
        <v/>
      </c>
      <c r="X36" s="123" t="str">
        <f aca="false">$W36</f>
        <v/>
      </c>
      <c r="Y36" s="123" t="str">
        <f aca="false">IFERROR(1/(1/INDEX(Spectrum!$N:$N,MATCH(RIGHT($B36,13)&amp;"|"&amp;$C36&amp;"|"&amp;$D36&amp;"|"&amp;Y$14&amp;"|"&amp;"CY2021Q3",Spectrum!$Q:$Q,0))),IF(SUM($H36)=0,"",MAX(SUM($P36),SUM($U36))/SUM($H36)))</f>
        <v/>
      </c>
      <c r="Z36" s="123" t="str">
        <f aca="false">IF(SUM($Y36)=0,"",MAX(SUM($Y36),90%))</f>
        <v/>
      </c>
      <c r="AA36" s="115" t="str">
        <f aca="false">IF(LEFT($B36,4)="_Mil","",ROUND(MAX(SUM($U36),SUM($P36))+IF(SUM($Z36)=0,0,MAX(SUM($Z36)-SUM($Y36),0)*SUM($H36)),0))</f>
        <v/>
      </c>
      <c r="AB36" s="115" t="str">
        <f aca="false">IF(SUM($AA36)=0,"",ROUND(MAX(SUM($AA36)-MAX(SUM($P36),SUM($U36)),0),0))</f>
        <v/>
      </c>
      <c r="AC36" s="126" t="str">
        <f aca="false">IF($C36="&lt;01",IFERROR(ROUND(INDEX(EID!$N:$N,MATCH($B36,EID!$B:$B,0))/2,0),""),"")</f>
        <v/>
      </c>
      <c r="AD36" s="115" t="str">
        <f aca="false">IF($C36="&lt;01",IF(SUM($AC36)=0,"",ROUND(SUM($AC36)/$AG36,0)),IF(SUM($AB36)=0,"",ROUND(MAX($X36,0)*SUM($AB36),0)))</f>
        <v/>
      </c>
      <c r="AE36" s="115" t="n">
        <f aca="false">IF(AND(SUM($AD36)=0,SUM($U36)=0),"",ROUND(IF($C36="&lt;01",0,SUM($U36))+SUM($AD36),0))</f>
        <v>32</v>
      </c>
      <c r="AF36" s="122" t="n">
        <f aca="false">IF($C36="&lt;01","",100%)</f>
        <v>1</v>
      </c>
      <c r="AG36" s="123" t="n">
        <f aca="false">0.98</f>
        <v>0.98</v>
      </c>
      <c r="AH36" s="123" t="n">
        <f aca="false">0.98</f>
        <v>0.98</v>
      </c>
      <c r="AI36" s="124" t="n">
        <f aca="false">IF(OR($C36="&lt;01",SUM($U36)=0),"",ROUND(SUM($U36)*(1-$AH36),0))</f>
        <v>1</v>
      </c>
      <c r="AJ36" s="124" t="n">
        <f aca="false">IF(AND(SUM($AE36)=0,SUM($U36)=0),"",IF($C36="&lt;01",SUM($AD36),SUM($AE36) - ROUND(SUM($U36)*$AH36,0)))</f>
        <v>1</v>
      </c>
      <c r="AK36" s="124" t="n">
        <v>28</v>
      </c>
      <c r="AL36" s="124" t="n">
        <v>43</v>
      </c>
      <c r="AM36" s="115" t="n">
        <f aca="false">IF(AND(SUM($AD36)=0,SUM($U36)=0),"",IF($C36="&lt;01",SUM($AD36),ROUND(ROUND(SUM($AJ36)*$AF36,0)/$AG36,0)))</f>
        <v>1</v>
      </c>
      <c r="AN36" s="122" t="n">
        <f aca="false">0.7</f>
        <v>0.7</v>
      </c>
      <c r="AO36" s="123" t="n">
        <f aca="false">1</f>
        <v>1</v>
      </c>
      <c r="AP36" s="115" t="n">
        <f aca="false">IF(AND(SUM($U36)=0,SUM($AM36)=0),"",ROUND((SUM($AM36)*$AN36+IF($C36="&lt;01",0,$U36))*$AO36,0))</f>
        <v>33</v>
      </c>
      <c r="AQ36" s="122" t="n">
        <v>37</v>
      </c>
      <c r="AR36" s="123" t="n">
        <f aca="false">0.95</f>
        <v>0.95</v>
      </c>
      <c r="AS36" s="123" t="n">
        <f aca="false">0.95</f>
        <v>0.95</v>
      </c>
      <c r="AT36" s="115" t="n">
        <f aca="false">IF(SUM($AP36)=0,"",ROUND(SUM($AP36)*$AR36,0))</f>
        <v>31</v>
      </c>
      <c r="AU36" s="115" t="str">
        <f aca="false">IF(LEFT($B36,4)="_Mil","",ROUND(SUM($AA36)*SUM($AS36),0))</f>
        <v/>
      </c>
      <c r="AV36" s="124" t="str">
        <f aca="false">IF(SUM($AU36)&lt;=0,"",MAX(SUM($AU36)-SUM($R36),0))</f>
        <v/>
      </c>
      <c r="AW36" s="122" t="n">
        <f aca="false">0</f>
        <v>0</v>
      </c>
      <c r="AX36" s="124" t="n">
        <f aca="false">IF(SUM($AM36)=0,"",ROUND(SUM($AM36)*SUM($AW36),0))</f>
        <v>0</v>
      </c>
      <c r="AY36" s="124" t="n">
        <f aca="false">IF(SUM($AM36)=0,"",SUM($AM36)-SUM($AX36))</f>
        <v>1</v>
      </c>
      <c r="AZ36" s="123" t="n">
        <v>18</v>
      </c>
      <c r="BA36" s="123" t="n">
        <f aca="false">0.95</f>
        <v>0.95</v>
      </c>
      <c r="BB36" s="123"/>
      <c r="BC36" s="123" t="n">
        <f aca="false">IF(OR(SUM($AM36)&lt;=0,$C36="&lt;01"),"",MAX(IF(OR(SUM($Y36)&lt;70%,LEFT($B36,4)="_Mil"),30%,IF(SUM($Y36)&gt;=80%,75%,50%)),SUM($BB36)))</f>
        <v>0.3</v>
      </c>
      <c r="BD36" s="115" t="n">
        <f aca="false">IF($C36="&lt;01",IFERROR(ROUND(INDEX(EID!$M:$M,MATCH($B36,EID!$B:$B,0)),0)/2,""),IF(SUM($AY36)=0,"",ROUND(SUM($AY36)/SUM($BA36),0)))</f>
        <v>1</v>
      </c>
      <c r="BE36" s="115" t="n">
        <f aca="false">IF($C36="&lt;01","",IF(SUM($BD36)=0,"",ROUND(SUM($BD36)*SUM($BC36),0)))</f>
        <v>0</v>
      </c>
      <c r="BF36" s="115" t="str">
        <f aca="false">_xlfn.IFNA(INDEX(PMTCT!$AE:$AE,MATCH($E36,PMTCT!$E:$E,0)),"")</f>
        <v/>
      </c>
      <c r="BG36" s="115" t="str">
        <f aca="false">_xlfn.IFNA(INDEX(PMTCT!$AU:$AU,MATCH($E36,PMTCT!$E:$E,0)),"")</f>
        <v/>
      </c>
      <c r="BH36" s="115" t="n">
        <f aca="false">_xlfn.IFNA(INDEX(TB!$Q:$Q,MATCH($E36,TB!$E:$E,0)),"")</f>
        <v>0</v>
      </c>
      <c r="BI36" s="115" t="str">
        <f aca="false">_xlfn.IFNA(INDEX(VMMC!$AC:$AC,MATCH($E36,VMMC!$E:$E,0)),"")</f>
        <v/>
      </c>
      <c r="BJ36" s="115" t="str">
        <f aca="false">IF($C36="&lt;01",$BD36,"")</f>
        <v/>
      </c>
      <c r="BK36" s="115" t="n">
        <f aca="false">IF(SUM($BD36)=0,"",($BD36)-SUM($BE36:$BJ36))</f>
        <v>1</v>
      </c>
      <c r="BL36" s="123" t="str">
        <f aca="false">IF(OR(SUM($BD36)=0,SUM($BE36)=0),"",SUM($BE36)/$BD36)</f>
        <v/>
      </c>
      <c r="BM36" s="123" t="str">
        <f aca="false">IF(OR(SUM($BD36)=0,SUM($BF36)=0),"",SUM($BF36)/$BD36)</f>
        <v/>
      </c>
      <c r="BN36" s="123" t="str">
        <f aca="false">IF(OR(SUM($BD36)=0,SUM($BG36)=0),"",SUM($BG36)/$BD36)</f>
        <v/>
      </c>
      <c r="BO36" s="123" t="str">
        <f aca="false">IF(OR(SUM($BD36)=0,SUM($BH36)=0),"",SUM($BH36)/$BD36)</f>
        <v/>
      </c>
      <c r="BP36" s="123" t="str">
        <f aca="false">IF(OR(SUM($BD36)=0,SUM($BI36)=0),"",SUM($BI36)/$BD36)</f>
        <v/>
      </c>
      <c r="BQ36" s="123" t="str">
        <f aca="false">IF(AND($C36="&lt;01",SUM($BJ36)&lt;&gt;0),$BJ36/SUM($BD36),"")</f>
        <v/>
      </c>
      <c r="BR36" s="123" t="n">
        <f aca="false">IF(OR(SUM($BD36)=0,SUM($BK36)=0),"",SUM($BK36)/$BD36)</f>
        <v>1</v>
      </c>
      <c r="BS36" s="122" t="str">
        <f aca="false">IF(SUM($X36)&lt;=0,"",$X36)</f>
        <v/>
      </c>
      <c r="BT36" s="115" t="str">
        <f aca="false">IF(LEFT($B36,4)="_Mil","",MAX(SUM($L36)+ROUND(SUM($BD36)/IF(SUM($BS36)&lt;=0,1,SUM($BS36)),0),0))</f>
        <v/>
      </c>
    </row>
    <row r="37" customFormat="false" ht="15" hidden="false" customHeight="false" outlineLevel="0" collapsed="false">
      <c r="A37" s="0" t="s">
        <v>140</v>
      </c>
      <c r="B37" s="0" t="s">
        <v>141</v>
      </c>
      <c r="C37" s="0" t="s">
        <v>86</v>
      </c>
      <c r="D37" s="0" t="s">
        <v>56</v>
      </c>
      <c r="E37" s="0" t="str">
        <f aca="false">B37&amp;"|"&amp;C37&amp;"|"&amp;D37</f>
        <v>_Military Lesotho [#Military] [dDOqoFnD5Be]|50+|Female</v>
      </c>
      <c r="F37" s="115" t="str">
        <f aca="false">_xlfn.IFNA(ROUND(INDEX(Spectrum!$N:$N,MATCH(RIGHT($B37,13)&amp;"|"&amp;$C37&amp;"|"&amp;$D37&amp;"|"&amp;F$14&amp;"|"&amp;"CY2021Q3",Spectrum!$Q:$Q,0)),0),"")</f>
        <v/>
      </c>
      <c r="G37" s="123" t="str">
        <f aca="false">_xlfn.IFNA(INDEX(Spectrum!$P:$P,MATCH(RIGHT($B37,13)&amp;"|"&amp;$C37&amp;"|"&amp;$D37&amp;"|"&amp;F$14&amp;"|"&amp;"CY2021Q3",Spectrum!$Q:$Q,0)),"")</f>
        <v/>
      </c>
      <c r="H37" s="115" t="str">
        <f aca="false">_xlfn.IFNA(ROUND(INDEX(Spectrum!$N:$N,MATCH(RIGHT($B37,13)&amp;"|"&amp;$C37&amp;"|"&amp;$D37&amp;"|"&amp;H$14&amp;"|"&amp;"CY2021Q3",Spectrum!$Q:$Q,0)),0),"")</f>
        <v/>
      </c>
      <c r="I37" s="123" t="str">
        <f aca="false">_xlfn.IFNA(INDEX(Spectrum!$P:$P,MATCH(RIGHT($B37,13)&amp;"|"&amp;$C37&amp;"|"&amp;$D37&amp;"|"&amp;H$14&amp;"|"&amp;"CY2021Q3",Spectrum!$Q:$Q,0)),"")</f>
        <v/>
      </c>
      <c r="J37" s="117" t="str">
        <f aca="false">_xlfn.IFNA(INDEX(Spectrum!$N:$N,MATCH(RIGHT($B37,13)&amp;"|"&amp;$C37&amp;"|"&amp;$D37&amp;"|"&amp;J$14&amp;"|"&amp;"CY2021Q3",Spectrum!$Q:$Q,0)),"")</f>
        <v/>
      </c>
      <c r="K37" s="123" t="str">
        <f aca="false">_xlfn.IFNA(INDEX(Spectrum!$P:$P,MATCH(RIGHT($B37,13)&amp;"|"&amp;$C37&amp;"|"&amp;$D37&amp;"|"&amp;J$14&amp;"|"&amp;"CY2021Q3",Spectrum!$Q:$Q,0)),"")</f>
        <v/>
      </c>
      <c r="L37" s="115" t="str">
        <f aca="false">_xlfn.IFNA(ROUND(INDEX(Spectrum!$N:$N,MATCH(RIGHT($B37,13)&amp;"|"&amp;$C37&amp;"|"&amp;$D37&amp;"|"&amp;L$14&amp;"|"&amp;"CY2021Q3",Spectrum!$Q:$Q,0)),0),"")</f>
        <v/>
      </c>
      <c r="M37" s="123" t="str">
        <f aca="false">IF(OR(SUM($H37)&lt;=0,SUM($L37)&lt;=0),"",SUM($L37)/$H37)</f>
        <v/>
      </c>
      <c r="N37" s="115" t="str">
        <f aca="false">_xlfn.IFNA(ROUND(INDEX(Spectrum!$N:$N,MATCH(RIGHT($B37,13)&amp;"|"&amp;$C37&amp;"|"&amp;$D37&amp;"|"&amp;N$14&amp;"|"&amp;"CY2020Q4",Spectrum!$Q:$Q,0)),0),"")</f>
        <v/>
      </c>
      <c r="O37" s="123" t="str">
        <f aca="false">_xlfn.IFNA(INDEX(Spectrum!$P:$P,MATCH(RIGHT($B37,13)&amp;"|"&amp;$C37&amp;"|"&amp;$D37&amp;"|"&amp;N$14&amp;"|"&amp;"CY2020Q4",Spectrum!$Q:$Q,0)),"")</f>
        <v/>
      </c>
      <c r="P37" s="115" t="str">
        <f aca="false">_xlfn.IFNA(ROUND(INDEX(Spectrum!$N:$N,MATCH(RIGHT($B37,13)&amp;"|"&amp;$C37&amp;"|"&amp;$D37&amp;"|"&amp;P$14&amp;"|"&amp;"CY2021Q3",Spectrum!$Q:$Q,0)),0),"")</f>
        <v/>
      </c>
      <c r="Q37" s="123" t="str">
        <f aca="false">_xlfn.IFNA(INDEX(Spectrum!$P:$P,MATCH(RIGHT($B37,13)&amp;"|"&amp;$C37&amp;"|"&amp;$D37&amp;"|"&amp;P$14&amp;"|"&amp;"CY2021Q3",Spectrum!$Q:$Q,0)),"")</f>
        <v/>
      </c>
      <c r="R37" s="115"/>
      <c r="S37" s="123" t="str">
        <f aca="false">IF(OR(SUM($P37)&lt;=0,SUM($R37)&lt;=0),"",SUM($R37)/$P37)</f>
        <v/>
      </c>
      <c r="T37" s="139" t="n">
        <v>49</v>
      </c>
      <c r="U37" s="124" t="n">
        <v>43</v>
      </c>
      <c r="V37" s="124" t="n">
        <f aca="false">IF($U37-$T37=0,"",$U37-$T37)</f>
        <v>-6</v>
      </c>
      <c r="W37" s="123" t="str">
        <f aca="false">IF(LEFT($B37,4)="_Mil","",IFERROR(MIN(IF(SUM($N37)&lt;=0,SUM($U37)/SUM($P37),SUM($T37)/SUM($N37)),1),""))</f>
        <v/>
      </c>
      <c r="X37" s="123" t="str">
        <f aca="false">$W37</f>
        <v/>
      </c>
      <c r="Y37" s="123" t="str">
        <f aca="false">IFERROR(1/(1/INDEX(Spectrum!$N:$N,MATCH(RIGHT($B37,13)&amp;"|"&amp;$C37&amp;"|"&amp;$D37&amp;"|"&amp;Y$14&amp;"|"&amp;"CY2021Q3",Spectrum!$Q:$Q,0))),IF(SUM($H37)=0,"",MAX(SUM($P37),SUM($U37))/SUM($H37)))</f>
        <v/>
      </c>
      <c r="Z37" s="123" t="str">
        <f aca="false">IF(SUM($Y37)=0,"",MAX(SUM($Y37),90%))</f>
        <v/>
      </c>
      <c r="AA37" s="115" t="str">
        <f aca="false">IF(LEFT($B37,4)="_Mil","",ROUND(MAX(SUM($U37),SUM($P37))+IF(SUM($Z37)=0,0,MAX(SUM($Z37)-SUM($Y37),0)*SUM($H37)),0))</f>
        <v/>
      </c>
      <c r="AB37" s="115" t="str">
        <f aca="false">IF(SUM($AA37)=0,"",ROUND(MAX(SUM($AA37)-MAX(SUM($P37),SUM($U37)),0),0))</f>
        <v/>
      </c>
      <c r="AC37" s="126" t="str">
        <f aca="false">IF($C37="&lt;01",IFERROR(ROUND(INDEX(EID!$N:$N,MATCH($B37,EID!$B:$B,0))/2,0),""),"")</f>
        <v/>
      </c>
      <c r="AD37" s="115" t="str">
        <f aca="false">IF($C37="&lt;01",IF(SUM($AC37)=0,"",ROUND(SUM($AC37)/$AG37,0)),IF(SUM($AB37)=0,"",ROUND(MAX($X37,0)*SUM($AB37),0)))</f>
        <v/>
      </c>
      <c r="AE37" s="115" t="n">
        <f aca="false">IF(AND(SUM($AD37)=0,SUM($U37)=0),"",ROUND(IF($C37="&lt;01",0,SUM($U37))+SUM($AD37),0))</f>
        <v>43</v>
      </c>
      <c r="AF37" s="122" t="n">
        <f aca="false">IF($C37="&lt;01","",100%)</f>
        <v>1</v>
      </c>
      <c r="AG37" s="123" t="n">
        <f aca="false">0.98</f>
        <v>0.98</v>
      </c>
      <c r="AH37" s="123" t="n">
        <f aca="false">0.98</f>
        <v>0.98</v>
      </c>
      <c r="AI37" s="124" t="n">
        <f aca="false">IF(OR($C37="&lt;01",SUM($U37)=0),"",ROUND(SUM($U37)*(1-$AH37),0))</f>
        <v>1</v>
      </c>
      <c r="AJ37" s="124" t="n">
        <f aca="false">IF(AND(SUM($AE37)=0,SUM($U37)=0),"",IF($C37="&lt;01",SUM($AD37),SUM($AE37) - ROUND(SUM($U37)*$AH37,0)))</f>
        <v>1</v>
      </c>
      <c r="AK37" s="124" t="n">
        <v>37</v>
      </c>
      <c r="AL37" s="124" t="n">
        <v>15</v>
      </c>
      <c r="AM37" s="115" t="n">
        <f aca="false">IF(AND(SUM($AD37)=0,SUM($U37)=0),"",IF($C37="&lt;01",SUM($AD37),ROUND(ROUND(SUM($AJ37)*$AF37,0)/$AG37,0)))</f>
        <v>1</v>
      </c>
      <c r="AN37" s="122" t="n">
        <f aca="false">0.7</f>
        <v>0.7</v>
      </c>
      <c r="AO37" s="123" t="n">
        <f aca="false">1</f>
        <v>1</v>
      </c>
      <c r="AP37" s="115" t="n">
        <f aca="false">IF(AND(SUM($U37)=0,SUM($AM37)=0),"",ROUND((SUM($AM37)*$AN37+IF($C37="&lt;01",0,$U37))*$AO37,0))</f>
        <v>44</v>
      </c>
      <c r="AQ37" s="122" t="n">
        <v>23</v>
      </c>
      <c r="AR37" s="123" t="n">
        <f aca="false">0.95</f>
        <v>0.95</v>
      </c>
      <c r="AS37" s="123" t="n">
        <f aca="false">0.95</f>
        <v>0.95</v>
      </c>
      <c r="AT37" s="115" t="n">
        <f aca="false">IF(SUM($AP37)=0,"",ROUND(SUM($AP37)*$AR37,0))</f>
        <v>42</v>
      </c>
      <c r="AU37" s="115" t="str">
        <f aca="false">IF(LEFT($B37,4)="_Mil","",ROUND(SUM($AA37)*SUM($AS37),0))</f>
        <v/>
      </c>
      <c r="AV37" s="124" t="str">
        <f aca="false">IF(SUM($AU37)&lt;=0,"",MAX(SUM($AU37)-SUM($R37),0))</f>
        <v/>
      </c>
      <c r="AW37" s="122" t="n">
        <f aca="false">0</f>
        <v>0</v>
      </c>
      <c r="AX37" s="124" t="n">
        <f aca="false">IF(SUM($AM37)=0,"",ROUND(SUM($AM37)*SUM($AW37),0))</f>
        <v>0</v>
      </c>
      <c r="AY37" s="124" t="n">
        <f aca="false">IF(SUM($AM37)=0,"",SUM($AM37)-SUM($AX37))</f>
        <v>1</v>
      </c>
      <c r="AZ37" s="123" t="n">
        <v>9</v>
      </c>
      <c r="BA37" s="123" t="n">
        <f aca="false">0.95</f>
        <v>0.95</v>
      </c>
      <c r="BB37" s="123"/>
      <c r="BC37" s="123" t="n">
        <f aca="false">IF(OR(SUM($AM37)&lt;=0,$C37="&lt;01"),"",MAX(IF(OR(SUM($Y37)&lt;70%,LEFT($B37,4)="_Mil"),30%,IF(SUM($Y37)&gt;=80%,75%,50%)),SUM($BB37)))</f>
        <v>0.3</v>
      </c>
      <c r="BD37" s="115" t="n">
        <f aca="false">IF($C37="&lt;01",IFERROR(ROUND(INDEX(EID!$M:$M,MATCH($B37,EID!$B:$B,0)),0)/2,""),IF(SUM($AY37)=0,"",ROUND(SUM($AY37)/SUM($BA37),0)))</f>
        <v>1</v>
      </c>
      <c r="BE37" s="115" t="n">
        <f aca="false">IF($C37="&lt;01","",IF(SUM($BD37)=0,"",ROUND(SUM($BD37)*SUM($BC37),0)))</f>
        <v>0</v>
      </c>
      <c r="BF37" s="115" t="str">
        <f aca="false">_xlfn.IFNA(INDEX(PMTCT!$AE:$AE,MATCH($E37,PMTCT!$E:$E,0)),"")</f>
        <v/>
      </c>
      <c r="BG37" s="115" t="str">
        <f aca="false">_xlfn.IFNA(INDEX(PMTCT!$AU:$AU,MATCH($E37,PMTCT!$E:$E,0)),"")</f>
        <v/>
      </c>
      <c r="BH37" s="115" t="n">
        <f aca="false">_xlfn.IFNA(INDEX(TB!$Q:$Q,MATCH($E37,TB!$E:$E,0)),"")</f>
        <v>1634</v>
      </c>
      <c r="BI37" s="115" t="str">
        <f aca="false">_xlfn.IFNA(INDEX(VMMC!$AC:$AC,MATCH($E37,VMMC!$E:$E,0)),"")</f>
        <v/>
      </c>
      <c r="BJ37" s="115" t="str">
        <f aca="false">IF($C37="&lt;01",$BD37,"")</f>
        <v/>
      </c>
      <c r="BK37" s="115" t="n">
        <f aca="false">IF(SUM($BD37)=0,"",($BD37)-SUM($BE37:$BJ37))</f>
        <v>-1633</v>
      </c>
      <c r="BL37" s="123" t="str">
        <f aca="false">IF(OR(SUM($BD37)=0,SUM($BE37)=0),"",SUM($BE37)/$BD37)</f>
        <v/>
      </c>
      <c r="BM37" s="123" t="str">
        <f aca="false">IF(OR(SUM($BD37)=0,SUM($BF37)=0),"",SUM($BF37)/$BD37)</f>
        <v/>
      </c>
      <c r="BN37" s="123" t="str">
        <f aca="false">IF(OR(SUM($BD37)=0,SUM($BG37)=0),"",SUM($BG37)/$BD37)</f>
        <v/>
      </c>
      <c r="BO37" s="123" t="n">
        <f aca="false">IF(OR(SUM($BD37)=0,SUM($BH37)=0),"",SUM($BH37)/$BD37)</f>
        <v>1634</v>
      </c>
      <c r="BP37" s="123" t="str">
        <f aca="false">IF(OR(SUM($BD37)=0,SUM($BI37)=0),"",SUM($BI37)/$BD37)</f>
        <v/>
      </c>
      <c r="BQ37" s="123" t="str">
        <f aca="false">IF(AND($C37="&lt;01",SUM($BJ37)&lt;&gt;0),$BJ37/SUM($BD37),"")</f>
        <v/>
      </c>
      <c r="BR37" s="123" t="n">
        <f aca="false">IF(OR(SUM($BD37)=0,SUM($BK37)=0),"",SUM($BK37)/$BD37)</f>
        <v>-1633</v>
      </c>
      <c r="BS37" s="122" t="str">
        <f aca="false">IF(SUM($X37)&lt;=0,"",$X37)</f>
        <v/>
      </c>
      <c r="BT37" s="115" t="str">
        <f aca="false">IF(LEFT($B37,4)="_Mil","",MAX(SUM($L37)+ROUND(SUM($BD37)/IF(SUM($BS37)&lt;=0,1,SUM($BS37)),0),0))</f>
        <v/>
      </c>
    </row>
    <row r="38" customFormat="false" ht="15" hidden="false" customHeight="false" outlineLevel="0" collapsed="false">
      <c r="A38" s="0" t="s">
        <v>140</v>
      </c>
      <c r="B38" s="0" t="s">
        <v>141</v>
      </c>
      <c r="C38" s="0" t="s">
        <v>86</v>
      </c>
      <c r="D38" s="0" t="s">
        <v>58</v>
      </c>
      <c r="E38" s="0" t="str">
        <f aca="false">B38&amp;"|"&amp;C38&amp;"|"&amp;D38</f>
        <v>_Military Lesotho [#Military] [dDOqoFnD5Be]|50+|Male</v>
      </c>
      <c r="F38" s="115" t="str">
        <f aca="false">_xlfn.IFNA(ROUND(INDEX(Spectrum!$N:$N,MATCH(RIGHT($B38,13)&amp;"|"&amp;$C38&amp;"|"&amp;$D38&amp;"|"&amp;F$14&amp;"|"&amp;"CY2021Q3",Spectrum!$Q:$Q,0)),0),"")</f>
        <v/>
      </c>
      <c r="G38" s="123" t="str">
        <f aca="false">_xlfn.IFNA(INDEX(Spectrum!$P:$P,MATCH(RIGHT($B38,13)&amp;"|"&amp;$C38&amp;"|"&amp;$D38&amp;"|"&amp;F$14&amp;"|"&amp;"CY2021Q3",Spectrum!$Q:$Q,0)),"")</f>
        <v/>
      </c>
      <c r="H38" s="115" t="str">
        <f aca="false">_xlfn.IFNA(ROUND(INDEX(Spectrum!$N:$N,MATCH(RIGHT($B38,13)&amp;"|"&amp;$C38&amp;"|"&amp;$D38&amp;"|"&amp;H$14&amp;"|"&amp;"CY2021Q3",Spectrum!$Q:$Q,0)),0),"")</f>
        <v/>
      </c>
      <c r="I38" s="123" t="str">
        <f aca="false">_xlfn.IFNA(INDEX(Spectrum!$P:$P,MATCH(RIGHT($B38,13)&amp;"|"&amp;$C38&amp;"|"&amp;$D38&amp;"|"&amp;H$14&amp;"|"&amp;"CY2021Q3",Spectrum!$Q:$Q,0)),"")</f>
        <v/>
      </c>
      <c r="J38" s="117" t="str">
        <f aca="false">_xlfn.IFNA(INDEX(Spectrum!$N:$N,MATCH(RIGHT($B38,13)&amp;"|"&amp;$C38&amp;"|"&amp;$D38&amp;"|"&amp;J$14&amp;"|"&amp;"CY2021Q3",Spectrum!$Q:$Q,0)),"")</f>
        <v/>
      </c>
      <c r="K38" s="123" t="str">
        <f aca="false">_xlfn.IFNA(INDEX(Spectrum!$P:$P,MATCH(RIGHT($B38,13)&amp;"|"&amp;$C38&amp;"|"&amp;$D38&amp;"|"&amp;J$14&amp;"|"&amp;"CY2021Q3",Spectrum!$Q:$Q,0)),"")</f>
        <v/>
      </c>
      <c r="L38" s="115" t="str">
        <f aca="false">_xlfn.IFNA(ROUND(INDEX(Spectrum!$N:$N,MATCH(RIGHT($B38,13)&amp;"|"&amp;$C38&amp;"|"&amp;$D38&amp;"|"&amp;L$14&amp;"|"&amp;"CY2021Q3",Spectrum!$Q:$Q,0)),0),"")</f>
        <v/>
      </c>
      <c r="M38" s="123" t="str">
        <f aca="false">IF(OR(SUM($H38)&lt;=0,SUM($L38)&lt;=0),"",SUM($L38)/$H38)</f>
        <v/>
      </c>
      <c r="N38" s="115" t="str">
        <f aca="false">_xlfn.IFNA(ROUND(INDEX(Spectrum!$N:$N,MATCH(RIGHT($B38,13)&amp;"|"&amp;$C38&amp;"|"&amp;$D38&amp;"|"&amp;N$14&amp;"|"&amp;"CY2020Q4",Spectrum!$Q:$Q,0)),0),"")</f>
        <v/>
      </c>
      <c r="O38" s="123" t="str">
        <f aca="false">_xlfn.IFNA(INDEX(Spectrum!$P:$P,MATCH(RIGHT($B38,13)&amp;"|"&amp;$C38&amp;"|"&amp;$D38&amp;"|"&amp;N$14&amp;"|"&amp;"CY2020Q4",Spectrum!$Q:$Q,0)),"")</f>
        <v/>
      </c>
      <c r="P38" s="115" t="str">
        <f aca="false">_xlfn.IFNA(ROUND(INDEX(Spectrum!$N:$N,MATCH(RIGHT($B38,13)&amp;"|"&amp;$C38&amp;"|"&amp;$D38&amp;"|"&amp;P$14&amp;"|"&amp;"CY2021Q3",Spectrum!$Q:$Q,0)),0),"")</f>
        <v/>
      </c>
      <c r="Q38" s="123" t="str">
        <f aca="false">_xlfn.IFNA(INDEX(Spectrum!$P:$P,MATCH(RIGHT($B38,13)&amp;"|"&amp;$C38&amp;"|"&amp;$D38&amp;"|"&amp;P$14&amp;"|"&amp;"CY2021Q3",Spectrum!$Q:$Q,0)),"")</f>
        <v/>
      </c>
      <c r="R38" s="115"/>
      <c r="S38" s="123" t="str">
        <f aca="false">IF(OR(SUM($P38)&lt;=0,SUM($R38)&lt;=0),"",SUM($R38)/$P38)</f>
        <v/>
      </c>
      <c r="T38" s="139" t="n">
        <v>28</v>
      </c>
      <c r="U38" s="124"/>
      <c r="V38" s="124" t="n">
        <f aca="false">IF($U38-$T38=0,"",$U38-$T38)</f>
        <v>-28</v>
      </c>
      <c r="W38" s="123" t="str">
        <f aca="false">IF(LEFT($B38,4)="_Mil","",IFERROR(MIN(IF(SUM($N38)&lt;=0,SUM($U38)/SUM($P38),SUM($T38)/SUM($N38)),1),""))</f>
        <v/>
      </c>
      <c r="X38" s="123" t="str">
        <f aca="false">$W38</f>
        <v/>
      </c>
      <c r="Y38" s="123" t="str">
        <f aca="false">IFERROR(1/(1/INDEX(Spectrum!$N:$N,MATCH(RIGHT($B38,13)&amp;"|"&amp;$C38&amp;"|"&amp;$D38&amp;"|"&amp;Y$14&amp;"|"&amp;"CY2021Q3",Spectrum!$Q:$Q,0))),IF(SUM($H38)=0,"",MAX(SUM($P38),SUM($U38))/SUM($H38)))</f>
        <v/>
      </c>
      <c r="Z38" s="123" t="str">
        <f aca="false">IF(SUM($Y38)=0,"",MAX(SUM($Y38),90%))</f>
        <v/>
      </c>
      <c r="AA38" s="115" t="str">
        <f aca="false">IF(LEFT($B38,4)="_Mil","",ROUND(MAX(SUM($U38),SUM($P38))+IF(SUM($Z38)=0,0,MAX(SUM($Z38)-SUM($Y38),0)*SUM($H38)),0))</f>
        <v/>
      </c>
      <c r="AB38" s="115" t="str">
        <f aca="false">IF(SUM($AA38)=0,"",ROUND(MAX(SUM($AA38)-MAX(SUM($P38),SUM($U38)),0),0))</f>
        <v/>
      </c>
      <c r="AC38" s="126" t="str">
        <f aca="false">IF($C38="&lt;01",IFERROR(ROUND(INDEX(EID!$N:$N,MATCH($B38,EID!$B:$B,0))/2,0),""),"")</f>
        <v/>
      </c>
      <c r="AD38" s="115" t="str">
        <f aca="false">IF($C38="&lt;01",IF(SUM($AC38)=0,"",ROUND(SUM($AC38)/$AG38,0)),IF(SUM($AB38)=0,"",ROUND(MAX($X38,0)*SUM($AB38),0)))</f>
        <v/>
      </c>
      <c r="AE38" s="115" t="str">
        <f aca="false">IF(AND(SUM($AD38)=0,SUM($U38)=0),"",ROUND(IF($C38="&lt;01",0,SUM($U38))+SUM($AD38),0))</f>
        <v/>
      </c>
      <c r="AF38" s="122" t="n">
        <f aca="false">IF($C38="&lt;01","",100%)</f>
        <v>1</v>
      </c>
      <c r="AG38" s="123" t="n">
        <f aca="false">0.98</f>
        <v>0.98</v>
      </c>
      <c r="AH38" s="123" t="n">
        <f aca="false">0.98</f>
        <v>0.98</v>
      </c>
      <c r="AI38" s="124" t="str">
        <f aca="false">IF(OR($C38="&lt;01",SUM($U38)=0),"",ROUND(SUM($U38)*(1-$AH38),0))</f>
        <v/>
      </c>
      <c r="AJ38" s="124" t="str">
        <f aca="false">IF(AND(SUM($AE38)=0,SUM($U38)=0),"",IF($C38="&lt;01",SUM($AD38),SUM($AE38) - ROUND(SUM($U38)*$AH38,0)))</f>
        <v/>
      </c>
      <c r="AK38" s="124" t="n">
        <v>4</v>
      </c>
      <c r="AL38" s="124"/>
      <c r="AM38" s="115" t="str">
        <f aca="false">IF(AND(SUM($AD38)=0,SUM($U38)=0),"",IF($C38="&lt;01",SUM($AD38),ROUND(ROUND(SUM($AJ38)*$AF38,0)/$AG38,0)))</f>
        <v/>
      </c>
      <c r="AN38" s="122" t="n">
        <f aca="false">0.7</f>
        <v>0.7</v>
      </c>
      <c r="AO38" s="123" t="n">
        <f aca="false">1</f>
        <v>1</v>
      </c>
      <c r="AP38" s="115" t="str">
        <f aca="false">IF(AND(SUM($U38)=0,SUM($AM38)=0),"",ROUND((SUM($AM38)*$AN38+IF($C38="&lt;01",0,$U38))*$AO38,0))</f>
        <v/>
      </c>
      <c r="AQ38" s="122" t="n">
        <v>14</v>
      </c>
      <c r="AR38" s="123" t="n">
        <f aca="false">0.95</f>
        <v>0.95</v>
      </c>
      <c r="AS38" s="123" t="n">
        <f aca="false">0.95</f>
        <v>0.95</v>
      </c>
      <c r="AT38" s="115" t="str">
        <f aca="false">IF(SUM($AP38)=0,"",ROUND(SUM($AP38)*$AR38,0))</f>
        <v/>
      </c>
      <c r="AU38" s="115" t="str">
        <f aca="false">IF(LEFT($B38,4)="_Mil","",ROUND(SUM($AA38)*SUM($AS38),0))</f>
        <v/>
      </c>
      <c r="AV38" s="124" t="str">
        <f aca="false">IF(SUM($AU38)&lt;=0,"",MAX(SUM($AU38)-SUM($R38),0))</f>
        <v/>
      </c>
      <c r="AW38" s="122" t="n">
        <f aca="false">0</f>
        <v>0</v>
      </c>
      <c r="AX38" s="124" t="str">
        <f aca="false">IF(SUM($AM38)=0,"",ROUND(SUM($AM38)*SUM($AW38),0))</f>
        <v/>
      </c>
      <c r="AY38" s="124" t="str">
        <f aca="false">IF(SUM($AM38)=0,"",SUM($AM38)-SUM($AX38))</f>
        <v/>
      </c>
      <c r="AZ38" s="123" t="n">
        <v>27</v>
      </c>
      <c r="BA38" s="123" t="n">
        <f aca="false">0.95</f>
        <v>0.95</v>
      </c>
      <c r="BB38" s="123"/>
      <c r="BC38" s="123" t="str">
        <f aca="false">IF(OR(SUM($AM38)&lt;=0,$C38="&lt;01"),"",MAX(IF(OR(SUM($Y38)&lt;70%,LEFT($B38,4)="_Mil"),30%,IF(SUM($Y38)&gt;=80%,75%,50%)),SUM($BB38)))</f>
        <v/>
      </c>
      <c r="BD38" s="115" t="str">
        <f aca="false">IF($C38="&lt;01",IFERROR(ROUND(INDEX(EID!$M:$M,MATCH($B38,EID!$B:$B,0)),0)/2,""),IF(SUM($AY38)=0,"",ROUND(SUM($AY38)/SUM($BA38),0)))</f>
        <v/>
      </c>
      <c r="BE38" s="115" t="str">
        <f aca="false">IF($C38="&lt;01","",IF(SUM($BD38)=0,"",ROUND(SUM($BD38)*SUM($BC38),0)))</f>
        <v/>
      </c>
      <c r="BF38" s="115" t="str">
        <f aca="false">_xlfn.IFNA(INDEX(PMTCT!$AE:$AE,MATCH($E38,PMTCT!$E:$E,0)),"")</f>
        <v/>
      </c>
      <c r="BG38" s="115" t="str">
        <f aca="false">_xlfn.IFNA(INDEX(PMTCT!$AU:$AU,MATCH($E38,PMTCT!$E:$E,0)),"")</f>
        <v/>
      </c>
      <c r="BH38" s="115" t="n">
        <f aca="false">_xlfn.IFNA(INDEX(TB!$Q:$Q,MATCH($E38,TB!$E:$E,0)),"")</f>
        <v>312</v>
      </c>
      <c r="BI38" s="115" t="str">
        <f aca="false">_xlfn.IFNA(INDEX(VMMC!$AC:$AC,MATCH($E38,VMMC!$E:$E,0)),"")</f>
        <v/>
      </c>
      <c r="BJ38" s="115" t="str">
        <f aca="false">IF($C38="&lt;01",$BD38,"")</f>
        <v/>
      </c>
      <c r="BK38" s="115" t="str">
        <f aca="false">IF(SUM($BD38)=0,"",($BD38)-SUM($BE38:$BJ38))</f>
        <v/>
      </c>
      <c r="BL38" s="123" t="str">
        <f aca="false">IF(OR(SUM($BD38)=0,SUM($BE38)=0),"",SUM($BE38)/$BD38)</f>
        <v/>
      </c>
      <c r="BM38" s="123" t="str">
        <f aca="false">IF(OR(SUM($BD38)=0,SUM($BF38)=0),"",SUM($BF38)/$BD38)</f>
        <v/>
      </c>
      <c r="BN38" s="123" t="str">
        <f aca="false">IF(OR(SUM($BD38)=0,SUM($BG38)=0),"",SUM($BG38)/$BD38)</f>
        <v/>
      </c>
      <c r="BO38" s="123" t="str">
        <f aca="false">IF(OR(SUM($BD38)=0,SUM($BH38)=0),"",SUM($BH38)/$BD38)</f>
        <v/>
      </c>
      <c r="BP38" s="123" t="str">
        <f aca="false">IF(OR(SUM($BD38)=0,SUM($BI38)=0),"",SUM($BI38)/$BD38)</f>
        <v/>
      </c>
      <c r="BQ38" s="123" t="str">
        <f aca="false">IF(AND($C38="&lt;01",SUM($BJ38)&lt;&gt;0),$BJ38/SUM($BD38),"")</f>
        <v/>
      </c>
      <c r="BR38" s="123" t="str">
        <f aca="false">IF(OR(SUM($BD38)=0,SUM($BK38)=0),"",SUM($BK38)/$BD38)</f>
        <v/>
      </c>
      <c r="BS38" s="122" t="str">
        <f aca="false">IF(SUM($X38)&lt;=0,"",$X38)</f>
        <v/>
      </c>
      <c r="BT38" s="115" t="str">
        <f aca="false">IF(LEFT($B38,4)="_Mil","",MAX(SUM($L38)+ROUND(SUM($BD38)/IF(SUM($BS38)&lt;=0,1,SUM($BS38)),0),0))</f>
        <v/>
      </c>
    </row>
    <row r="39" customFormat="false" ht="15" hidden="false" customHeight="false" outlineLevel="0" collapsed="false">
      <c r="A39" s="0" t="s">
        <v>142</v>
      </c>
      <c r="B39" s="0" t="s">
        <v>109</v>
      </c>
      <c r="C39" s="0" t="s">
        <v>89</v>
      </c>
      <c r="D39" s="0" t="s">
        <v>56</v>
      </c>
      <c r="E39" s="0" t="str">
        <f aca="false">B39&amp;"|"&amp;C39&amp;"|"&amp;D39</f>
        <v>Berea [#SNU] [#DREAMS] [wpg5evyl1OL]|&lt;01|Female</v>
      </c>
      <c r="F39" s="115" t="n">
        <f aca="false">_xlfn.IFNA(ROUND(INDEX(Spectrum!$N:$N,MATCH(RIGHT($B39,13)&amp;"|"&amp;$C39&amp;"|"&amp;$D39&amp;"|"&amp;F$14&amp;"|"&amp;"CY2021Q3",Spectrum!$Q:$Q,0)),0),"")</f>
        <v>2248</v>
      </c>
      <c r="G39" s="123" t="n">
        <f aca="false">_xlfn.IFNA(INDEX(Spectrum!$P:$P,MATCH(RIGHT($B39,13)&amp;"|"&amp;$C39&amp;"|"&amp;$D39&amp;"|"&amp;F$14&amp;"|"&amp;"CY2021Q3",Spectrum!$Q:$Q,0)),"")</f>
        <v>4</v>
      </c>
      <c r="H39" s="115" t="n">
        <f aca="false">_xlfn.IFNA(ROUND(INDEX(Spectrum!$N:$N,MATCH(RIGHT($B39,13)&amp;"|"&amp;$C39&amp;"|"&amp;$D39&amp;"|"&amp;H$14&amp;"|"&amp;"CY2021Q3",Spectrum!$Q:$Q,0)),0),"")</f>
        <v>16</v>
      </c>
      <c r="I39" s="123" t="n">
        <f aca="false">_xlfn.IFNA(INDEX(Spectrum!$P:$P,MATCH(RIGHT($B39,13)&amp;"|"&amp;$C39&amp;"|"&amp;$D39&amp;"|"&amp;H$14&amp;"|"&amp;"CY2021Q3",Spectrum!$Q:$Q,0)),"")</f>
        <v>46</v>
      </c>
      <c r="J39" s="117" t="n">
        <f aca="false">_xlfn.IFNA(INDEX(Spectrum!$N:$N,MATCH(RIGHT($B39,13)&amp;"|"&amp;$C39&amp;"|"&amp;$D39&amp;"|"&amp;J$14&amp;"|"&amp;"CY2021Q3",Spectrum!$Q:$Q,0)),"")</f>
        <v>0.0069246</v>
      </c>
      <c r="K39" s="123" t="n">
        <f aca="false">_xlfn.IFNA(INDEX(Spectrum!$P:$P,MATCH(RIGHT($B39,13)&amp;"|"&amp;$C39&amp;"|"&amp;$D39&amp;"|"&amp;J$14&amp;"|"&amp;"CY2021Q3",Spectrum!$Q:$Q,0)),"")</f>
        <v>15</v>
      </c>
      <c r="L39" s="115" t="n">
        <f aca="false">_xlfn.IFNA(ROUND(INDEX(Spectrum!$N:$N,MATCH(RIGHT($B39,13)&amp;"|"&amp;$C39&amp;"|"&amp;$D39&amp;"|"&amp;L$14&amp;"|"&amp;"CY2021Q3",Spectrum!$Q:$Q,0)),0),"")</f>
        <v>7</v>
      </c>
      <c r="M39" s="123" t="n">
        <f aca="false">IF(OR(SUM($H39)&lt;=0,SUM($L39)&lt;=0),"",SUM($L39)/$H39)</f>
        <v>0.4375</v>
      </c>
      <c r="N39" s="115" t="str">
        <f aca="false">_xlfn.IFNA(ROUND(INDEX(Spectrum!$N:$N,MATCH(RIGHT($B39,13)&amp;"|"&amp;$C39&amp;"|"&amp;$D39&amp;"|"&amp;N$14&amp;"|"&amp;"CY2020Q4",Spectrum!$Q:$Q,0)),0),"")</f>
        <v/>
      </c>
      <c r="O39" s="123" t="str">
        <f aca="false">_xlfn.IFNA(INDEX(Spectrum!$P:$P,MATCH(RIGHT($B39,13)&amp;"|"&amp;$C39&amp;"|"&amp;$D39&amp;"|"&amp;N$14&amp;"|"&amp;"CY2020Q4",Spectrum!$Q:$Q,0)),"")</f>
        <v/>
      </c>
      <c r="P39" s="115" t="n">
        <f aca="false">_xlfn.IFNA(ROUND(INDEX(Spectrum!$N:$N,MATCH(RIGHT($B39,13)&amp;"|"&amp;$C39&amp;"|"&amp;$D39&amp;"|"&amp;P$14&amp;"|"&amp;"CY2021Q3",Spectrum!$Q:$Q,0)),0),"")</f>
        <v>8</v>
      </c>
      <c r="Q39" s="123" t="n">
        <f aca="false">_xlfn.IFNA(INDEX(Spectrum!$P:$P,MATCH(RIGHT($B39,13)&amp;"|"&amp;$C39&amp;"|"&amp;$D39&amp;"|"&amp;P$14&amp;"|"&amp;"CY2021Q3",Spectrum!$Q:$Q,0)),"")</f>
        <v>17</v>
      </c>
      <c r="R39" s="115"/>
      <c r="S39" s="123" t="str">
        <f aca="false">IF(OR(SUM($P39)&lt;=0,SUM($R39)&lt;=0),"",SUM($R39)/$P39)</f>
        <v/>
      </c>
      <c r="T39" s="139" t="n">
        <v>3</v>
      </c>
      <c r="U39" s="124" t="n">
        <v>0</v>
      </c>
      <c r="V39" s="124" t="n">
        <f aca="false">IF($U39-$T39=0,"",$U39-$T39)</f>
        <v>-3</v>
      </c>
      <c r="W39" s="123" t="n">
        <f aca="false">IF(LEFT($B39,4)="_Mil","",IFERROR(MIN(IF(SUM($N39)&lt;=0,SUM($U39)/SUM($P39),SUM($T39)/SUM($N39)),1),""))</f>
        <v>0</v>
      </c>
      <c r="X39" s="123" t="n">
        <f aca="false">$W39</f>
        <v>0</v>
      </c>
      <c r="Y39" s="123" t="n">
        <f aca="false">IFERROR(1/(1/INDEX(Spectrum!$N:$N,MATCH(RIGHT($B39,13)&amp;"|"&amp;$C39&amp;"|"&amp;$D39&amp;"|"&amp;Y$14&amp;"|"&amp;"CY2021Q3",Spectrum!$Q:$Q,0))),IF(SUM($H39)=0,"",MAX(SUM($P39),SUM($U39))/SUM($H39)))</f>
        <v>0.5</v>
      </c>
      <c r="Z39" s="123" t="n">
        <f aca="false">IF(SUM($Y39)=0,"",MAX(SUM($Y39),90%))</f>
        <v>0.9</v>
      </c>
      <c r="AA39" s="115" t="n">
        <f aca="false">IF(LEFT($B39,4)="_Mil","",ROUND(MAX(SUM($U39),SUM($P39))+IF(SUM($Z39)=0,0,MAX(SUM($Z39)-SUM($Y39),0)*SUM($H39)),0))</f>
        <v>14</v>
      </c>
      <c r="AB39" s="115" t="n">
        <f aca="false">IF(SUM($AA39)=0,"",ROUND(MAX(SUM($AA39)-MAX(SUM($P39),SUM($U39)),0),0))</f>
        <v>6</v>
      </c>
      <c r="AC39" s="126" t="n">
        <f aca="false">IF($C39="&lt;01",IFERROR(ROUND(INDEX(EID!$N:$N,MATCH($B39,EID!$B:$B,0))/2,0),""),"")</f>
        <v>27862</v>
      </c>
      <c r="AD39" s="115" t="n">
        <f aca="false">IF($C39="&lt;01",IF(SUM($AC39)=0,"",ROUND(SUM($AC39)/$AG39,0)),IF(SUM($AB39)=0,"",ROUND(MAX($X39,0)*SUM($AB39),0)))</f>
        <v>28431</v>
      </c>
      <c r="AE39" s="115" t="n">
        <f aca="false">IF(AND(SUM($AD39)=0,SUM($U39)=0),"",ROUND(IF($C39="&lt;01",0,SUM($U39))+SUM($AD39),0))</f>
        <v>28431</v>
      </c>
      <c r="AF39" s="122" t="str">
        <f aca="false">IF($C39="&lt;01","",100%)</f>
        <v/>
      </c>
      <c r="AG39" s="123" t="n">
        <f aca="false">0.98</f>
        <v>0.98</v>
      </c>
      <c r="AH39" s="123" t="n">
        <f aca="false">0.98</f>
        <v>0.98</v>
      </c>
      <c r="AI39" s="124" t="str">
        <f aca="false">IF(OR($C39="&lt;01",SUM($U39)=0),"",ROUND(SUM($U39)*(1-$AH39),0))</f>
        <v/>
      </c>
      <c r="AJ39" s="124" t="n">
        <f aca="false">IF(AND(SUM($AE39)=0,SUM($U39)=0),"",IF($C39="&lt;01",SUM($AD39),SUM($AE39) - ROUND(SUM($U39)*$AH39,0)))</f>
        <v>28431</v>
      </c>
      <c r="AK39" s="124" t="n">
        <v>28</v>
      </c>
      <c r="AL39" s="124" t="n">
        <v>46</v>
      </c>
      <c r="AM39" s="115" t="n">
        <f aca="false">IF(AND(SUM($AD39)=0,SUM($U39)=0),"",IF($C39="&lt;01",SUM($AD39),ROUND(ROUND(SUM($AJ39)*$AF39,0)/$AG39,0)))</f>
        <v>28431</v>
      </c>
      <c r="AN39" s="122" t="n">
        <f aca="false">0.7</f>
        <v>0.7</v>
      </c>
      <c r="AO39" s="123" t="n">
        <f aca="false">1</f>
        <v>1</v>
      </c>
      <c r="AP39" s="115" t="n">
        <f aca="false">IF(AND(SUM($U39)=0,SUM($AM39)=0),"",ROUND((SUM($AM39)*$AN39+IF($C39="&lt;01",0,$U39))*$AO39,0))</f>
        <v>19902</v>
      </c>
      <c r="AQ39" s="122"/>
      <c r="AR39" s="123" t="n">
        <f aca="false">0.95</f>
        <v>0.95</v>
      </c>
      <c r="AS39" s="123" t="n">
        <f aca="false">0.95</f>
        <v>0.95</v>
      </c>
      <c r="AT39" s="115" t="n">
        <f aca="false">IF(SUM($AP39)=0,"",ROUND(SUM($AP39)*$AR39,0))</f>
        <v>18907</v>
      </c>
      <c r="AU39" s="115" t="n">
        <f aca="false">IF(LEFT($B39,4)="_Mil","",ROUND(SUM($AA39)*SUM($AS39),0))</f>
        <v>13</v>
      </c>
      <c r="AV39" s="124" t="n">
        <f aca="false">IF(SUM($AU39)&lt;=0,"",MAX(SUM($AU39)-SUM($R39),0))</f>
        <v>13</v>
      </c>
      <c r="AW39" s="122" t="n">
        <f aca="false">0</f>
        <v>0</v>
      </c>
      <c r="AX39" s="124" t="n">
        <f aca="false">IF(SUM($AM39)=0,"",ROUND(SUM($AM39)*SUM($AW39),0))</f>
        <v>0</v>
      </c>
      <c r="AY39" s="124" t="n">
        <f aca="false">IF(SUM($AM39)=0,"",SUM($AM39)-SUM($AX39))</f>
        <v>28431</v>
      </c>
      <c r="AZ39" s="123" t="n">
        <v>28</v>
      </c>
      <c r="BA39" s="123" t="n">
        <f aca="false">0.95</f>
        <v>0.95</v>
      </c>
      <c r="BB39" s="123"/>
      <c r="BC39" s="123" t="str">
        <f aca="false">IF(OR(SUM($AM39)&lt;=0,$C39="&lt;01"),"",MAX(IF(OR(SUM($Y39)&lt;70%,LEFT($B39,4)="_Mil"),30%,IF(SUM($Y39)&gt;=80%,75%,50%)),SUM($BB39)))</f>
        <v/>
      </c>
      <c r="BD39" s="115" t="n">
        <f aca="false">IF($C39="&lt;01",IFERROR(ROUND(INDEX(EID!$M:$M,MATCH($B39,EID!$B:$B,0)),0)/2,""),IF(SUM($AY39)=0,"",ROUND(SUM($AY39)/SUM($BA39),0)))</f>
        <v>29328.5</v>
      </c>
      <c r="BE39" s="115" t="str">
        <f aca="false">IF($C39="&lt;01","",IF(SUM($BD39)=0,"",ROUND(SUM($BD39)*SUM($BC39),0)))</f>
        <v/>
      </c>
      <c r="BF39" s="115" t="str">
        <f aca="false">_xlfn.IFNA(INDEX(PMTCT!$AE:$AE,MATCH($E39,PMTCT!$E:$E,0)),"")</f>
        <v/>
      </c>
      <c r="BG39" s="115" t="str">
        <f aca="false">_xlfn.IFNA(INDEX(PMTCT!$AU:$AU,MATCH($E39,PMTCT!$E:$E,0)),"")</f>
        <v/>
      </c>
      <c r="BH39" s="115" t="str">
        <f aca="false">_xlfn.IFNA(INDEX(TB!$Q:$Q,MATCH($E39,TB!$E:$E,0)),"")</f>
        <v/>
      </c>
      <c r="BI39" s="115" t="str">
        <f aca="false">_xlfn.IFNA(INDEX(VMMC!$AC:$AC,MATCH($E39,VMMC!$E:$E,0)),"")</f>
        <v/>
      </c>
      <c r="BJ39" s="115" t="n">
        <f aca="false">IF($C39="&lt;01",$BD39,"")</f>
        <v>29328.5</v>
      </c>
      <c r="BK39" s="115" t="n">
        <f aca="false">IF(SUM($BD39)=0,"",($BD39)-SUM($BE39:$BJ39))</f>
        <v>0</v>
      </c>
      <c r="BL39" s="123" t="str">
        <f aca="false">IF(OR(SUM($BD39)=0,SUM($BE39)=0),"",SUM($BE39)/$BD39)</f>
        <v/>
      </c>
      <c r="BM39" s="123" t="str">
        <f aca="false">IF(OR(SUM($BD39)=0,SUM($BF39)=0),"",SUM($BF39)/$BD39)</f>
        <v/>
      </c>
      <c r="BN39" s="123" t="str">
        <f aca="false">IF(OR(SUM($BD39)=0,SUM($BG39)=0),"",SUM($BG39)/$BD39)</f>
        <v/>
      </c>
      <c r="BO39" s="123" t="str">
        <f aca="false">IF(OR(SUM($BD39)=0,SUM($BH39)=0),"",SUM($BH39)/$BD39)</f>
        <v/>
      </c>
      <c r="BP39" s="123" t="str">
        <f aca="false">IF(OR(SUM($BD39)=0,SUM($BI39)=0),"",SUM($BI39)/$BD39)</f>
        <v/>
      </c>
      <c r="BQ39" s="123" t="n">
        <f aca="false">IF(AND($C39="&lt;01",SUM($BJ39)&lt;&gt;0),$BJ39/SUM($BD39),"")</f>
        <v>1</v>
      </c>
      <c r="BR39" s="123" t="str">
        <f aca="false">IF(OR(SUM($BD39)=0,SUM($BK39)=0),"",SUM($BK39)/$BD39)</f>
        <v/>
      </c>
      <c r="BS39" s="122" t="str">
        <f aca="false">IF(SUM($X39)&lt;=0,"",$X39)</f>
        <v/>
      </c>
      <c r="BT39" s="115" t="n">
        <f aca="false">IF(LEFT($B39,4)="_Mil","",MAX(SUM($L39)+ROUND(SUM($BD39)/IF(SUM($BS39)&lt;=0,1,SUM($BS39)),0),0))</f>
        <v>29336</v>
      </c>
    </row>
    <row r="40" customFormat="false" ht="15" hidden="false" customHeight="false" outlineLevel="0" collapsed="false">
      <c r="A40" s="0" t="s">
        <v>142</v>
      </c>
      <c r="B40" s="0" t="s">
        <v>109</v>
      </c>
      <c r="C40" s="0" t="s">
        <v>89</v>
      </c>
      <c r="D40" s="0" t="s">
        <v>58</v>
      </c>
      <c r="E40" s="0" t="str">
        <f aca="false">B40&amp;"|"&amp;C40&amp;"|"&amp;D40</f>
        <v>Berea [#SNU] [#DREAMS] [wpg5evyl1OL]|&lt;01|Male</v>
      </c>
      <c r="F40" s="115" t="n">
        <f aca="false">_xlfn.IFNA(ROUND(INDEX(Spectrum!$N:$N,MATCH(RIGHT($B40,13)&amp;"|"&amp;$C40&amp;"|"&amp;$D40&amp;"|"&amp;F$14&amp;"|"&amp;"CY2021Q3",Spectrum!$Q:$Q,0)),0),"")</f>
        <v>2294</v>
      </c>
      <c r="G40" s="123" t="n">
        <f aca="false">_xlfn.IFNA(INDEX(Spectrum!$P:$P,MATCH(RIGHT($B40,13)&amp;"|"&amp;$C40&amp;"|"&amp;$D40&amp;"|"&amp;F$14&amp;"|"&amp;"CY2021Q3",Spectrum!$Q:$Q,0)),"")</f>
        <v>37</v>
      </c>
      <c r="H40" s="115" t="n">
        <f aca="false">_xlfn.IFNA(ROUND(INDEX(Spectrum!$N:$N,MATCH(RIGHT($B40,13)&amp;"|"&amp;$C40&amp;"|"&amp;$D40&amp;"|"&amp;H$14&amp;"|"&amp;"CY2021Q3",Spectrum!$Q:$Q,0)),0),"")</f>
        <v>16</v>
      </c>
      <c r="I40" s="123" t="n">
        <f aca="false">_xlfn.IFNA(INDEX(Spectrum!$P:$P,MATCH(RIGHT($B40,13)&amp;"|"&amp;$C40&amp;"|"&amp;$D40&amp;"|"&amp;H$14&amp;"|"&amp;"CY2021Q3",Spectrum!$Q:$Q,0)),"")</f>
        <v>6</v>
      </c>
      <c r="J40" s="117" t="n">
        <f aca="false">_xlfn.IFNA(INDEX(Spectrum!$N:$N,MATCH(RIGHT($B40,13)&amp;"|"&amp;$C40&amp;"|"&amp;$D40&amp;"|"&amp;J$14&amp;"|"&amp;"CY2021Q3",Spectrum!$Q:$Q,0)),"")</f>
        <v>0.0069122</v>
      </c>
      <c r="K40" s="123" t="n">
        <f aca="false">_xlfn.IFNA(INDEX(Spectrum!$P:$P,MATCH(RIGHT($B40,13)&amp;"|"&amp;$C40&amp;"|"&amp;$D40&amp;"|"&amp;J$14&amp;"|"&amp;"CY2021Q3",Spectrum!$Q:$Q,0)),"")</f>
        <v>26</v>
      </c>
      <c r="L40" s="115" t="n">
        <f aca="false">_xlfn.IFNA(ROUND(INDEX(Spectrum!$N:$N,MATCH(RIGHT($B40,13)&amp;"|"&amp;$C40&amp;"|"&amp;$D40&amp;"|"&amp;L$14&amp;"|"&amp;"CY2021Q3",Spectrum!$Q:$Q,0)),0),"")</f>
        <v>7</v>
      </c>
      <c r="M40" s="123" t="n">
        <f aca="false">IF(OR(SUM($H40)&lt;=0,SUM($L40)&lt;=0),"",SUM($L40)/$H40)</f>
        <v>0.4375</v>
      </c>
      <c r="N40" s="115" t="str">
        <f aca="false">_xlfn.IFNA(ROUND(INDEX(Spectrum!$N:$N,MATCH(RIGHT($B40,13)&amp;"|"&amp;$C40&amp;"|"&amp;$D40&amp;"|"&amp;N$14&amp;"|"&amp;"CY2020Q4",Spectrum!$Q:$Q,0)),0),"")</f>
        <v/>
      </c>
      <c r="O40" s="123" t="str">
        <f aca="false">_xlfn.IFNA(INDEX(Spectrum!$P:$P,MATCH(RIGHT($B40,13)&amp;"|"&amp;$C40&amp;"|"&amp;$D40&amp;"|"&amp;N$14&amp;"|"&amp;"CY2020Q4",Spectrum!$Q:$Q,0)),"")</f>
        <v/>
      </c>
      <c r="P40" s="115" t="n">
        <f aca="false">_xlfn.IFNA(ROUND(INDEX(Spectrum!$N:$N,MATCH(RIGHT($B40,13)&amp;"|"&amp;$C40&amp;"|"&amp;$D40&amp;"|"&amp;P$14&amp;"|"&amp;"CY2021Q3",Spectrum!$Q:$Q,0)),0),"")</f>
        <v>8</v>
      </c>
      <c r="Q40" s="123" t="n">
        <f aca="false">_xlfn.IFNA(INDEX(Spectrum!$P:$P,MATCH(RIGHT($B40,13)&amp;"|"&amp;$C40&amp;"|"&amp;$D40&amp;"|"&amp;P$14&amp;"|"&amp;"CY2021Q3",Spectrum!$Q:$Q,0)),"")</f>
        <v>14</v>
      </c>
      <c r="R40" s="115"/>
      <c r="S40" s="123" t="str">
        <f aca="false">IF(OR(SUM($P40)&lt;=0,SUM($R40)&lt;=0),"",SUM($R40)/$P40)</f>
        <v/>
      </c>
      <c r="T40" s="139" t="n">
        <v>17</v>
      </c>
      <c r="U40" s="124" t="n">
        <v>17</v>
      </c>
      <c r="V40" s="124" t="str">
        <f aca="false">IF($U40-$T40=0,"",$U40-$T40)</f>
        <v/>
      </c>
      <c r="W40" s="123" t="n">
        <f aca="false">IF(LEFT($B40,4)="_Mil","",IFERROR(MIN(IF(SUM($N40)&lt;=0,SUM($U40)/SUM($P40),SUM($T40)/SUM($N40)),1),""))</f>
        <v>1</v>
      </c>
      <c r="X40" s="123" t="n">
        <f aca="false">$W40</f>
        <v>1</v>
      </c>
      <c r="Y40" s="123" t="n">
        <f aca="false">IFERROR(1/(1/INDEX(Spectrum!$N:$N,MATCH(RIGHT($B40,13)&amp;"|"&amp;$C40&amp;"|"&amp;$D40&amp;"|"&amp;Y$14&amp;"|"&amp;"CY2021Q3",Spectrum!$Q:$Q,0))),IF(SUM($H40)=0,"",MAX(SUM($P40),SUM($U40))/SUM($H40)))</f>
        <v>1.0625</v>
      </c>
      <c r="Z40" s="123" t="n">
        <f aca="false">IF(SUM($Y40)=0,"",MAX(SUM($Y40),90%))</f>
        <v>1.0625</v>
      </c>
      <c r="AA40" s="115" t="n">
        <f aca="false">IF(LEFT($B40,4)="_Mil","",ROUND(MAX(SUM($U40),SUM($P40))+IF(SUM($Z40)=0,0,MAX(SUM($Z40)-SUM($Y40),0)*SUM($H40)),0))</f>
        <v>17</v>
      </c>
      <c r="AB40" s="115" t="n">
        <f aca="false">IF(SUM($AA40)=0,"",ROUND(MAX(SUM($AA40)-MAX(SUM($P40),SUM($U40)),0),0))</f>
        <v>0</v>
      </c>
      <c r="AC40" s="126" t="n">
        <f aca="false">IF($C40="&lt;01",IFERROR(ROUND(INDEX(EID!$N:$N,MATCH($B40,EID!$B:$B,0))/2,0),""),"")</f>
        <v>27862</v>
      </c>
      <c r="AD40" s="115" t="n">
        <f aca="false">IF($C40="&lt;01",IF(SUM($AC40)=0,"",ROUND(SUM($AC40)/$AG40,0)),IF(SUM($AB40)=0,"",ROUND(MAX($X40,0)*SUM($AB40),0)))</f>
        <v>28431</v>
      </c>
      <c r="AE40" s="115" t="n">
        <f aca="false">IF(AND(SUM($AD40)=0,SUM($U40)=0),"",ROUND(IF($C40="&lt;01",0,SUM($U40))+SUM($AD40),0))</f>
        <v>28431</v>
      </c>
      <c r="AF40" s="122" t="str">
        <f aca="false">IF($C40="&lt;01","",100%)</f>
        <v/>
      </c>
      <c r="AG40" s="123" t="n">
        <f aca="false">0.98</f>
        <v>0.98</v>
      </c>
      <c r="AH40" s="123" t="n">
        <f aca="false">0.98</f>
        <v>0.98</v>
      </c>
      <c r="AI40" s="124" t="str">
        <f aca="false">IF(OR($C40="&lt;01",SUM($U40)=0),"",ROUND(SUM($U40)*(1-$AH40),0))</f>
        <v/>
      </c>
      <c r="AJ40" s="124" t="n">
        <f aca="false">IF(AND(SUM($AE40)=0,SUM($U40)=0),"",IF($C40="&lt;01",SUM($AD40),SUM($AE40) - ROUND(SUM($U40)*$AH40,0)))</f>
        <v>28431</v>
      </c>
      <c r="AK40" s="124" t="n">
        <v>11</v>
      </c>
      <c r="AL40" s="124" t="n">
        <v>44</v>
      </c>
      <c r="AM40" s="115" t="n">
        <f aca="false">IF(AND(SUM($AD40)=0,SUM($U40)=0),"",IF($C40="&lt;01",SUM($AD40),ROUND(ROUND(SUM($AJ40)*$AF40,0)/$AG40,0)))</f>
        <v>28431</v>
      </c>
      <c r="AN40" s="122" t="n">
        <f aca="false">0.7</f>
        <v>0.7</v>
      </c>
      <c r="AO40" s="123" t="n">
        <f aca="false">1</f>
        <v>1</v>
      </c>
      <c r="AP40" s="115" t="n">
        <f aca="false">IF(AND(SUM($U40)=0,SUM($AM40)=0),"",ROUND((SUM($AM40)*$AN40+IF($C40="&lt;01",0,$U40))*$AO40,0))</f>
        <v>19902</v>
      </c>
      <c r="AQ40" s="122"/>
      <c r="AR40" s="123" t="n">
        <f aca="false">0.95</f>
        <v>0.95</v>
      </c>
      <c r="AS40" s="123" t="n">
        <f aca="false">0.95</f>
        <v>0.95</v>
      </c>
      <c r="AT40" s="115" t="n">
        <f aca="false">IF(SUM($AP40)=0,"",ROUND(SUM($AP40)*$AR40,0))</f>
        <v>18907</v>
      </c>
      <c r="AU40" s="115" t="n">
        <f aca="false">IF(LEFT($B40,4)="_Mil","",ROUND(SUM($AA40)*SUM($AS40),0))</f>
        <v>16</v>
      </c>
      <c r="AV40" s="124" t="n">
        <f aca="false">IF(SUM($AU40)&lt;=0,"",MAX(SUM($AU40)-SUM($R40),0))</f>
        <v>16</v>
      </c>
      <c r="AW40" s="122" t="n">
        <f aca="false">0</f>
        <v>0</v>
      </c>
      <c r="AX40" s="124" t="n">
        <f aca="false">IF(SUM($AM40)=0,"",ROUND(SUM($AM40)*SUM($AW40),0))</f>
        <v>0</v>
      </c>
      <c r="AY40" s="124" t="n">
        <f aca="false">IF(SUM($AM40)=0,"",SUM($AM40)-SUM($AX40))</f>
        <v>28431</v>
      </c>
      <c r="AZ40" s="123" t="n">
        <v>18</v>
      </c>
      <c r="BA40" s="123" t="n">
        <f aca="false">0.95</f>
        <v>0.95</v>
      </c>
      <c r="BB40" s="123"/>
      <c r="BC40" s="123" t="str">
        <f aca="false">IF(OR(SUM($AM40)&lt;=0,$C40="&lt;01"),"",MAX(IF(OR(SUM($Y40)&lt;70%,LEFT($B40,4)="_Mil"),30%,IF(SUM($Y40)&gt;=80%,75%,50%)),SUM($BB40)))</f>
        <v/>
      </c>
      <c r="BD40" s="115" t="n">
        <f aca="false">IF($C40="&lt;01",IFERROR(ROUND(INDEX(EID!$M:$M,MATCH($B40,EID!$B:$B,0)),0)/2,""),IF(SUM($AY40)=0,"",ROUND(SUM($AY40)/SUM($BA40),0)))</f>
        <v>29328.5</v>
      </c>
      <c r="BE40" s="115" t="str">
        <f aca="false">IF($C40="&lt;01","",IF(SUM($BD40)=0,"",ROUND(SUM($BD40)*SUM($BC40),0)))</f>
        <v/>
      </c>
      <c r="BF40" s="115" t="str">
        <f aca="false">_xlfn.IFNA(INDEX(PMTCT!$AE:$AE,MATCH($E40,PMTCT!$E:$E,0)),"")</f>
        <v/>
      </c>
      <c r="BG40" s="115" t="str">
        <f aca="false">_xlfn.IFNA(INDEX(PMTCT!$AU:$AU,MATCH($E40,PMTCT!$E:$E,0)),"")</f>
        <v/>
      </c>
      <c r="BH40" s="115" t="str">
        <f aca="false">_xlfn.IFNA(INDEX(TB!$Q:$Q,MATCH($E40,TB!$E:$E,0)),"")</f>
        <v/>
      </c>
      <c r="BI40" s="115" t="str">
        <f aca="false">_xlfn.IFNA(INDEX(VMMC!$AC:$AC,MATCH($E40,VMMC!$E:$E,0)),"")</f>
        <v/>
      </c>
      <c r="BJ40" s="115" t="n">
        <f aca="false">IF($C40="&lt;01",$BD40,"")</f>
        <v>29328.5</v>
      </c>
      <c r="BK40" s="115" t="n">
        <f aca="false">IF(SUM($BD40)=0,"",($BD40)-SUM($BE40:$BJ40))</f>
        <v>0</v>
      </c>
      <c r="BL40" s="123" t="str">
        <f aca="false">IF(OR(SUM($BD40)=0,SUM($BE40)=0),"",SUM($BE40)/$BD40)</f>
        <v/>
      </c>
      <c r="BM40" s="123" t="str">
        <f aca="false">IF(OR(SUM($BD40)=0,SUM($BF40)=0),"",SUM($BF40)/$BD40)</f>
        <v/>
      </c>
      <c r="BN40" s="123" t="str">
        <f aca="false">IF(OR(SUM($BD40)=0,SUM($BG40)=0),"",SUM($BG40)/$BD40)</f>
        <v/>
      </c>
      <c r="BO40" s="123" t="str">
        <f aca="false">IF(OR(SUM($BD40)=0,SUM($BH40)=0),"",SUM($BH40)/$BD40)</f>
        <v/>
      </c>
      <c r="BP40" s="123" t="str">
        <f aca="false">IF(OR(SUM($BD40)=0,SUM($BI40)=0),"",SUM($BI40)/$BD40)</f>
        <v/>
      </c>
      <c r="BQ40" s="123" t="n">
        <f aca="false">IF(AND($C40="&lt;01",SUM($BJ40)&lt;&gt;0),$BJ40/SUM($BD40),"")</f>
        <v>1</v>
      </c>
      <c r="BR40" s="123" t="str">
        <f aca="false">IF(OR(SUM($BD40)=0,SUM($BK40)=0),"",SUM($BK40)/$BD40)</f>
        <v/>
      </c>
      <c r="BS40" s="122" t="n">
        <f aca="false">IF(SUM($X40)&lt;=0,"",$X40)</f>
        <v>1</v>
      </c>
      <c r="BT40" s="115" t="n">
        <f aca="false">IF(LEFT($B40,4)="_Mil","",MAX(SUM($L40)+ROUND(SUM($BD40)/IF(SUM($BS40)&lt;=0,1,SUM($BS40)),0),0))</f>
        <v>29336</v>
      </c>
    </row>
    <row r="41" customFormat="false" ht="15" hidden="false" customHeight="false" outlineLevel="0" collapsed="false">
      <c r="A41" s="0" t="s">
        <v>142</v>
      </c>
      <c r="B41" s="0" t="s">
        <v>109</v>
      </c>
      <c r="C41" s="0" t="s">
        <v>54</v>
      </c>
      <c r="D41" s="0" t="s">
        <v>56</v>
      </c>
      <c r="E41" s="0" t="str">
        <f aca="false">B41&amp;"|"&amp;C41&amp;"|"&amp;D41</f>
        <v>Berea [#SNU] [#DREAMS] [wpg5evyl1OL]|01-04|Female</v>
      </c>
      <c r="F41" s="115" t="n">
        <f aca="false">_xlfn.IFNA(ROUND(INDEX(Spectrum!$N:$N,MATCH(RIGHT($B41,13)&amp;"|"&amp;$C41&amp;"|"&amp;$D41&amp;"|"&amp;F$14&amp;"|"&amp;"CY2021Q3",Spectrum!$Q:$Q,0)),0),"")</f>
        <v>10445</v>
      </c>
      <c r="G41" s="123" t="n">
        <f aca="false">_xlfn.IFNA(INDEX(Spectrum!$P:$P,MATCH(RIGHT($B41,13)&amp;"|"&amp;$C41&amp;"|"&amp;$D41&amp;"|"&amp;F$14&amp;"|"&amp;"CY2021Q3",Spectrum!$Q:$Q,0)),"")</f>
        <v>23</v>
      </c>
      <c r="H41" s="115" t="n">
        <f aca="false">_xlfn.IFNA(ROUND(INDEX(Spectrum!$N:$N,MATCH(RIGHT($B41,13)&amp;"|"&amp;$C41&amp;"|"&amp;$D41&amp;"|"&amp;H$14&amp;"|"&amp;"CY2021Q3",Spectrum!$Q:$Q,0)),0),"")</f>
        <v>76</v>
      </c>
      <c r="I41" s="123" t="n">
        <f aca="false">_xlfn.IFNA(INDEX(Spectrum!$P:$P,MATCH(RIGHT($B41,13)&amp;"|"&amp;$C41&amp;"|"&amp;$D41&amp;"|"&amp;H$14&amp;"|"&amp;"CY2021Q3",Spectrum!$Q:$Q,0)),"")</f>
        <v>16</v>
      </c>
      <c r="J41" s="117" t="n">
        <f aca="false">_xlfn.IFNA(INDEX(Spectrum!$N:$N,MATCH(RIGHT($B41,13)&amp;"|"&amp;$C41&amp;"|"&amp;$D41&amp;"|"&amp;J$14&amp;"|"&amp;"CY2021Q3",Spectrum!$Q:$Q,0)),"")</f>
        <v>0.0073229</v>
      </c>
      <c r="K41" s="123" t="n">
        <f aca="false">_xlfn.IFNA(INDEX(Spectrum!$P:$P,MATCH(RIGHT($B41,13)&amp;"|"&amp;$C41&amp;"|"&amp;$D41&amp;"|"&amp;J$14&amp;"|"&amp;"CY2021Q3",Spectrum!$Q:$Q,0)),"")</f>
        <v>40</v>
      </c>
      <c r="L41" s="115" t="n">
        <f aca="false">_xlfn.IFNA(ROUND(INDEX(Spectrum!$N:$N,MATCH(RIGHT($B41,13)&amp;"|"&amp;$C41&amp;"|"&amp;$D41&amp;"|"&amp;L$14&amp;"|"&amp;"CY2021Q3",Spectrum!$Q:$Q,0)),0),"")</f>
        <v>34</v>
      </c>
      <c r="M41" s="123" t="n">
        <f aca="false">IF(OR(SUM($H41)&lt;=0,SUM($L41)&lt;=0),"",SUM($L41)/$H41)</f>
        <v>0.447368421052632</v>
      </c>
      <c r="N41" s="115" t="str">
        <f aca="false">_xlfn.IFNA(ROUND(INDEX(Spectrum!$N:$N,MATCH(RIGHT($B41,13)&amp;"|"&amp;$C41&amp;"|"&amp;$D41&amp;"|"&amp;N$14&amp;"|"&amp;"CY2020Q4",Spectrum!$Q:$Q,0)),0),"")</f>
        <v/>
      </c>
      <c r="O41" s="123" t="str">
        <f aca="false">_xlfn.IFNA(INDEX(Spectrum!$P:$P,MATCH(RIGHT($B41,13)&amp;"|"&amp;$C41&amp;"|"&amp;$D41&amp;"|"&amp;N$14&amp;"|"&amp;"CY2020Q4",Spectrum!$Q:$Q,0)),"")</f>
        <v/>
      </c>
      <c r="P41" s="115" t="n">
        <f aca="false">_xlfn.IFNA(ROUND(INDEX(Spectrum!$N:$N,MATCH(RIGHT($B41,13)&amp;"|"&amp;$C41&amp;"|"&amp;$D41&amp;"|"&amp;P$14&amp;"|"&amp;"CY2021Q3",Spectrum!$Q:$Q,0)),0),"")</f>
        <v>41</v>
      </c>
      <c r="Q41" s="123" t="n">
        <f aca="false">_xlfn.IFNA(INDEX(Spectrum!$P:$P,MATCH(RIGHT($B41,13)&amp;"|"&amp;$C41&amp;"|"&amp;$D41&amp;"|"&amp;P$14&amp;"|"&amp;"CY2021Q3",Spectrum!$Q:$Q,0)),"")</f>
        <v>35</v>
      </c>
      <c r="R41" s="115"/>
      <c r="S41" s="123" t="str">
        <f aca="false">IF(OR(SUM($P41)&lt;=0,SUM($R41)&lt;=0),"",SUM($R41)/$P41)</f>
        <v/>
      </c>
      <c r="T41" s="139" t="n">
        <v>8</v>
      </c>
      <c r="U41" s="124" t="n">
        <v>6</v>
      </c>
      <c r="V41" s="124" t="n">
        <f aca="false">IF($U41-$T41=0,"",$U41-$T41)</f>
        <v>-2</v>
      </c>
      <c r="W41" s="123" t="n">
        <f aca="false">IF(LEFT($B41,4)="_Mil","",IFERROR(MIN(IF(SUM($N41)&lt;=0,SUM($U41)/SUM($P41),SUM($T41)/SUM($N41)),1),""))</f>
        <v>0.146341463414634</v>
      </c>
      <c r="X41" s="123" t="n">
        <f aca="false">$W41</f>
        <v>0.146341463414634</v>
      </c>
      <c r="Y41" s="123" t="n">
        <f aca="false">IFERROR(1/(1/INDEX(Spectrum!$N:$N,MATCH(RIGHT($B41,13)&amp;"|"&amp;$C41&amp;"|"&amp;$D41&amp;"|"&amp;Y$14&amp;"|"&amp;"CY2021Q3",Spectrum!$Q:$Q,0))),IF(SUM($H41)=0,"",MAX(SUM($P41),SUM($U41))/SUM($H41)))</f>
        <v>0.539473684210526</v>
      </c>
      <c r="Z41" s="123" t="n">
        <f aca="false">IF(SUM($Y41)=0,"",MAX(SUM($Y41),90%))</f>
        <v>0.9</v>
      </c>
      <c r="AA41" s="115" t="n">
        <f aca="false">IF(LEFT($B41,4)="_Mil","",ROUND(MAX(SUM($U41),SUM($P41))+IF(SUM($Z41)=0,0,MAX(SUM($Z41)-SUM($Y41),0)*SUM($H41)),0))</f>
        <v>68</v>
      </c>
      <c r="AB41" s="115" t="n">
        <f aca="false">IF(SUM($AA41)=0,"",ROUND(MAX(SUM($AA41)-MAX(SUM($P41),SUM($U41)),0),0))</f>
        <v>27</v>
      </c>
      <c r="AC41" s="126" t="str">
        <f aca="false">IF($C41="&lt;01",IFERROR(ROUND(INDEX(EID!$N:$N,MATCH($B41,EID!$B:$B,0))/2,0),""),"")</f>
        <v/>
      </c>
      <c r="AD41" s="115" t="n">
        <f aca="false">IF($C41="&lt;01",IF(SUM($AC41)=0,"",ROUND(SUM($AC41)/$AG41,0)),IF(SUM($AB41)=0,"",ROUND(MAX($X41,0)*SUM($AB41),0)))</f>
        <v>4</v>
      </c>
      <c r="AE41" s="115" t="n">
        <f aca="false">IF(AND(SUM($AD41)=0,SUM($U41)=0),"",ROUND(IF($C41="&lt;01",0,SUM($U41))+SUM($AD41),0))</f>
        <v>10</v>
      </c>
      <c r="AF41" s="122" t="n">
        <f aca="false">IF($C41="&lt;01","",100%)</f>
        <v>1</v>
      </c>
      <c r="AG41" s="123" t="n">
        <f aca="false">0.98</f>
        <v>0.98</v>
      </c>
      <c r="AH41" s="123" t="n">
        <f aca="false">0.98</f>
        <v>0.98</v>
      </c>
      <c r="AI41" s="124" t="n">
        <f aca="false">IF(OR($C41="&lt;01",SUM($U41)=0),"",ROUND(SUM($U41)*(1-$AH41),0))</f>
        <v>0</v>
      </c>
      <c r="AJ41" s="124" t="n">
        <f aca="false">IF(AND(SUM($AE41)=0,SUM($U41)=0),"",IF($C41="&lt;01",SUM($AD41),SUM($AE41) - ROUND(SUM($U41)*$AH41,0)))</f>
        <v>4</v>
      </c>
      <c r="AK41" s="124" t="n">
        <v>43</v>
      </c>
      <c r="AL41" s="124" t="n">
        <v>43</v>
      </c>
      <c r="AM41" s="115" t="n">
        <f aca="false">IF(AND(SUM($AD41)=0,SUM($U41)=0),"",IF($C41="&lt;01",SUM($AD41),ROUND(ROUND(SUM($AJ41)*$AF41,0)/$AG41,0)))</f>
        <v>4</v>
      </c>
      <c r="AN41" s="122" t="n">
        <f aca="false">0.7</f>
        <v>0.7</v>
      </c>
      <c r="AO41" s="123" t="n">
        <f aca="false">1</f>
        <v>1</v>
      </c>
      <c r="AP41" s="115" t="n">
        <f aca="false">IF(AND(SUM($U41)=0,SUM($AM41)=0),"",ROUND((SUM($AM41)*$AN41+IF($C41="&lt;01",0,$U41))*$AO41,0))</f>
        <v>9</v>
      </c>
      <c r="AQ41" s="122" t="n">
        <v>24</v>
      </c>
      <c r="AR41" s="123" t="n">
        <f aca="false">0.95</f>
        <v>0.95</v>
      </c>
      <c r="AS41" s="123" t="n">
        <f aca="false">0.95</f>
        <v>0.95</v>
      </c>
      <c r="AT41" s="115" t="n">
        <f aca="false">IF(SUM($AP41)=0,"",ROUND(SUM($AP41)*$AR41,0))</f>
        <v>9</v>
      </c>
      <c r="AU41" s="115" t="n">
        <f aca="false">IF(LEFT($B41,4)="_Mil","",ROUND(SUM($AA41)*SUM($AS41),0))</f>
        <v>65</v>
      </c>
      <c r="AV41" s="124" t="n">
        <f aca="false">IF(SUM($AU41)&lt;=0,"",MAX(SUM($AU41)-SUM($R41),0))</f>
        <v>65</v>
      </c>
      <c r="AW41" s="122" t="n">
        <f aca="false">0</f>
        <v>0</v>
      </c>
      <c r="AX41" s="124" t="n">
        <f aca="false">IF(SUM($AM41)=0,"",ROUND(SUM($AM41)*SUM($AW41),0))</f>
        <v>0</v>
      </c>
      <c r="AY41" s="124" t="n">
        <f aca="false">IF(SUM($AM41)=0,"",SUM($AM41)-SUM($AX41))</f>
        <v>4</v>
      </c>
      <c r="AZ41" s="123" t="n">
        <v>5</v>
      </c>
      <c r="BA41" s="123" t="n">
        <f aca="false">0.95</f>
        <v>0.95</v>
      </c>
      <c r="BB41" s="123"/>
      <c r="BC41" s="123" t="n">
        <f aca="false">IF(OR(SUM($AM41)&lt;=0,$C41="&lt;01"),"",MAX(IF(OR(SUM($Y41)&lt;70%,LEFT($B41,4)="_Mil"),30%,IF(SUM($Y41)&gt;=80%,75%,50%)),SUM($BB41)))</f>
        <v>0.3</v>
      </c>
      <c r="BD41" s="115" t="n">
        <f aca="false">IF($C41="&lt;01",IFERROR(ROUND(INDEX(EID!$M:$M,MATCH($B41,EID!$B:$B,0)),0)/2,""),IF(SUM($AY41)=0,"",ROUND(SUM($AY41)/SUM($BA41),0)))</f>
        <v>4</v>
      </c>
      <c r="BE41" s="115" t="n">
        <f aca="false">IF($C41="&lt;01","",IF(SUM($BD41)=0,"",ROUND(SUM($BD41)*SUM($BC41),0)))</f>
        <v>1</v>
      </c>
      <c r="BF41" s="115" t="str">
        <f aca="false">_xlfn.IFNA(INDEX(PMTCT!$AE:$AE,MATCH($E41,PMTCT!$E:$E,0)),"")</f>
        <v/>
      </c>
      <c r="BG41" s="115" t="str">
        <f aca="false">_xlfn.IFNA(INDEX(PMTCT!$AU:$AU,MATCH($E41,PMTCT!$E:$E,0)),"")</f>
        <v/>
      </c>
      <c r="BH41" s="115" t="n">
        <f aca="false">_xlfn.IFNA(INDEX(TB!$Q:$Q,MATCH($E41,TB!$E:$E,0)),"")</f>
        <v>0</v>
      </c>
      <c r="BI41" s="115" t="str">
        <f aca="false">_xlfn.IFNA(INDEX(VMMC!$AC:$AC,MATCH($E41,VMMC!$E:$E,0)),"")</f>
        <v/>
      </c>
      <c r="BJ41" s="115" t="str">
        <f aca="false">IF($C41="&lt;01",$BD41,"")</f>
        <v/>
      </c>
      <c r="BK41" s="115" t="n">
        <f aca="false">IF(SUM($BD41)=0,"",($BD41)-SUM($BE41:$BJ41))</f>
        <v>3</v>
      </c>
      <c r="BL41" s="123" t="n">
        <f aca="false">IF(OR(SUM($BD41)=0,SUM($BE41)=0),"",SUM($BE41)/$BD41)</f>
        <v>0.25</v>
      </c>
      <c r="BM41" s="123" t="str">
        <f aca="false">IF(OR(SUM($BD41)=0,SUM($BF41)=0),"",SUM($BF41)/$BD41)</f>
        <v/>
      </c>
      <c r="BN41" s="123" t="str">
        <f aca="false">IF(OR(SUM($BD41)=0,SUM($BG41)=0),"",SUM($BG41)/$BD41)</f>
        <v/>
      </c>
      <c r="BO41" s="123" t="str">
        <f aca="false">IF(OR(SUM($BD41)=0,SUM($BH41)=0),"",SUM($BH41)/$BD41)</f>
        <v/>
      </c>
      <c r="BP41" s="123" t="str">
        <f aca="false">IF(OR(SUM($BD41)=0,SUM($BI41)=0),"",SUM($BI41)/$BD41)</f>
        <v/>
      </c>
      <c r="BQ41" s="123" t="str">
        <f aca="false">IF(AND($C41="&lt;01",SUM($BJ41)&lt;&gt;0),$BJ41/SUM($BD41),"")</f>
        <v/>
      </c>
      <c r="BR41" s="123" t="n">
        <f aca="false">IF(OR(SUM($BD41)=0,SUM($BK41)=0),"",SUM($BK41)/$BD41)</f>
        <v>0.75</v>
      </c>
      <c r="BS41" s="122" t="n">
        <f aca="false">IF(SUM($X41)&lt;=0,"",$X41)</f>
        <v>0.146341463414634</v>
      </c>
      <c r="BT41" s="115" t="n">
        <f aca="false">IF(LEFT($B41,4)="_Mil","",MAX(SUM($L41)+ROUND(SUM($BD41)/IF(SUM($BS41)&lt;=0,1,SUM($BS41)),0),0))</f>
        <v>61</v>
      </c>
    </row>
    <row r="42" customFormat="false" ht="15" hidden="false" customHeight="false" outlineLevel="0" collapsed="false">
      <c r="A42" s="0" t="s">
        <v>142</v>
      </c>
      <c r="B42" s="0" t="s">
        <v>109</v>
      </c>
      <c r="C42" s="0" t="s">
        <v>54</v>
      </c>
      <c r="D42" s="0" t="s">
        <v>58</v>
      </c>
      <c r="E42" s="0" t="str">
        <f aca="false">B42&amp;"|"&amp;C42&amp;"|"&amp;D42</f>
        <v>Berea [#SNU] [#DREAMS] [wpg5evyl1OL]|01-04|Male</v>
      </c>
      <c r="F42" s="115" t="n">
        <f aca="false">_xlfn.IFNA(ROUND(INDEX(Spectrum!$N:$N,MATCH(RIGHT($B42,13)&amp;"|"&amp;$C42&amp;"|"&amp;$D42&amp;"|"&amp;F$14&amp;"|"&amp;"CY2021Q3",Spectrum!$Q:$Q,0)),0),"")</f>
        <v>10657</v>
      </c>
      <c r="G42" s="123" t="n">
        <f aca="false">_xlfn.IFNA(INDEX(Spectrum!$P:$P,MATCH(RIGHT($B42,13)&amp;"|"&amp;$C42&amp;"|"&amp;$D42&amp;"|"&amp;F$14&amp;"|"&amp;"CY2021Q3",Spectrum!$Q:$Q,0)),"")</f>
        <v>20</v>
      </c>
      <c r="H42" s="115" t="n">
        <f aca="false">_xlfn.IFNA(ROUND(INDEX(Spectrum!$N:$N,MATCH(RIGHT($B42,13)&amp;"|"&amp;$C42&amp;"|"&amp;$D42&amp;"|"&amp;H$14&amp;"|"&amp;"CY2021Q3",Spectrum!$Q:$Q,0)),0),"")</f>
        <v>78</v>
      </c>
      <c r="I42" s="123" t="n">
        <f aca="false">_xlfn.IFNA(INDEX(Spectrum!$P:$P,MATCH(RIGHT($B42,13)&amp;"|"&amp;$C42&amp;"|"&amp;$D42&amp;"|"&amp;H$14&amp;"|"&amp;"CY2021Q3",Spectrum!$Q:$Q,0)),"")</f>
        <v>7</v>
      </c>
      <c r="J42" s="117" t="n">
        <f aca="false">_xlfn.IFNA(INDEX(Spectrum!$N:$N,MATCH(RIGHT($B42,13)&amp;"|"&amp;$C42&amp;"|"&amp;$D42&amp;"|"&amp;J$14&amp;"|"&amp;"CY2021Q3",Spectrum!$Q:$Q,0)),"")</f>
        <v>0.0073098</v>
      </c>
      <c r="K42" s="123" t="n">
        <f aca="false">_xlfn.IFNA(INDEX(Spectrum!$P:$P,MATCH(RIGHT($B42,13)&amp;"|"&amp;$C42&amp;"|"&amp;$D42&amp;"|"&amp;J$14&amp;"|"&amp;"CY2021Q3",Spectrum!$Q:$Q,0)),"")</f>
        <v>29</v>
      </c>
      <c r="L42" s="115" t="n">
        <f aca="false">_xlfn.IFNA(ROUND(INDEX(Spectrum!$N:$N,MATCH(RIGHT($B42,13)&amp;"|"&amp;$C42&amp;"|"&amp;$D42&amp;"|"&amp;L$14&amp;"|"&amp;"CY2021Q3",Spectrum!$Q:$Q,0)),0),"")</f>
        <v>35</v>
      </c>
      <c r="M42" s="123" t="n">
        <f aca="false">IF(OR(SUM($H42)&lt;=0,SUM($L42)&lt;=0),"",SUM($L42)/$H42)</f>
        <v>0.448717948717949</v>
      </c>
      <c r="N42" s="115" t="str">
        <f aca="false">_xlfn.IFNA(ROUND(INDEX(Spectrum!$N:$N,MATCH(RIGHT($B42,13)&amp;"|"&amp;$C42&amp;"|"&amp;$D42&amp;"|"&amp;N$14&amp;"|"&amp;"CY2020Q4",Spectrum!$Q:$Q,0)),0),"")</f>
        <v/>
      </c>
      <c r="O42" s="123" t="str">
        <f aca="false">_xlfn.IFNA(INDEX(Spectrum!$P:$P,MATCH(RIGHT($B42,13)&amp;"|"&amp;$C42&amp;"|"&amp;$D42&amp;"|"&amp;N$14&amp;"|"&amp;"CY2020Q4",Spectrum!$Q:$Q,0)),"")</f>
        <v/>
      </c>
      <c r="P42" s="115" t="n">
        <f aca="false">_xlfn.IFNA(ROUND(INDEX(Spectrum!$N:$N,MATCH(RIGHT($B42,13)&amp;"|"&amp;$C42&amp;"|"&amp;$D42&amp;"|"&amp;P$14&amp;"|"&amp;"CY2021Q3",Spectrum!$Q:$Q,0)),0),"")</f>
        <v>42</v>
      </c>
      <c r="Q42" s="123" t="n">
        <f aca="false">_xlfn.IFNA(INDEX(Spectrum!$P:$P,MATCH(RIGHT($B42,13)&amp;"|"&amp;$C42&amp;"|"&amp;$D42&amp;"|"&amp;P$14&amp;"|"&amp;"CY2021Q3",Spectrum!$Q:$Q,0)),"")</f>
        <v>14</v>
      </c>
      <c r="R42" s="115"/>
      <c r="S42" s="123" t="str">
        <f aca="false">IF(OR(SUM($P42)&lt;=0,SUM($R42)&lt;=0),"",SUM($R42)/$P42)</f>
        <v/>
      </c>
      <c r="T42" s="139" t="n">
        <v>42</v>
      </c>
      <c r="U42" s="124" t="n">
        <v>11</v>
      </c>
      <c r="V42" s="124" t="n">
        <f aca="false">IF($U42-$T42=0,"",$U42-$T42)</f>
        <v>-31</v>
      </c>
      <c r="W42" s="123" t="n">
        <f aca="false">IF(LEFT($B42,4)="_Mil","",IFERROR(MIN(IF(SUM($N42)&lt;=0,SUM($U42)/SUM($P42),SUM($T42)/SUM($N42)),1),""))</f>
        <v>0.261904761904762</v>
      </c>
      <c r="X42" s="123" t="n">
        <f aca="false">$W42</f>
        <v>0.261904761904762</v>
      </c>
      <c r="Y42" s="123" t="n">
        <f aca="false">IFERROR(1/(1/INDEX(Spectrum!$N:$N,MATCH(RIGHT($B42,13)&amp;"|"&amp;$C42&amp;"|"&amp;$D42&amp;"|"&amp;Y$14&amp;"|"&amp;"CY2021Q3",Spectrum!$Q:$Q,0))),IF(SUM($H42)=0,"",MAX(SUM($P42),SUM($U42))/SUM($H42)))</f>
        <v>0.538461538461538</v>
      </c>
      <c r="Z42" s="123" t="n">
        <f aca="false">IF(SUM($Y42)=0,"",MAX(SUM($Y42),90%))</f>
        <v>0.9</v>
      </c>
      <c r="AA42" s="115" t="n">
        <f aca="false">IF(LEFT($B42,4)="_Mil","",ROUND(MAX(SUM($U42),SUM($P42))+IF(SUM($Z42)=0,0,MAX(SUM($Z42)-SUM($Y42),0)*SUM($H42)),0))</f>
        <v>70</v>
      </c>
      <c r="AB42" s="115" t="n">
        <f aca="false">IF(SUM($AA42)=0,"",ROUND(MAX(SUM($AA42)-MAX(SUM($P42),SUM($U42)),0),0))</f>
        <v>28</v>
      </c>
      <c r="AC42" s="126" t="str">
        <f aca="false">IF($C42="&lt;01",IFERROR(ROUND(INDEX(EID!$N:$N,MATCH($B42,EID!$B:$B,0))/2,0),""),"")</f>
        <v/>
      </c>
      <c r="AD42" s="115" t="n">
        <f aca="false">IF($C42="&lt;01",IF(SUM($AC42)=0,"",ROUND(SUM($AC42)/$AG42,0)),IF(SUM($AB42)=0,"",ROUND(MAX($X42,0)*SUM($AB42),0)))</f>
        <v>7</v>
      </c>
      <c r="AE42" s="115" t="n">
        <f aca="false">IF(AND(SUM($AD42)=0,SUM($U42)=0),"",ROUND(IF($C42="&lt;01",0,SUM($U42))+SUM($AD42),0))</f>
        <v>18</v>
      </c>
      <c r="AF42" s="122" t="n">
        <f aca="false">IF($C42="&lt;01","",100%)</f>
        <v>1</v>
      </c>
      <c r="AG42" s="123" t="n">
        <f aca="false">0.98</f>
        <v>0.98</v>
      </c>
      <c r="AH42" s="123" t="n">
        <f aca="false">0.98</f>
        <v>0.98</v>
      </c>
      <c r="AI42" s="124" t="n">
        <f aca="false">IF(OR($C42="&lt;01",SUM($U42)=0),"",ROUND(SUM($U42)*(1-$AH42),0))</f>
        <v>0</v>
      </c>
      <c r="AJ42" s="124" t="n">
        <f aca="false">IF(AND(SUM($AE42)=0,SUM($U42)=0),"",IF($C42="&lt;01",SUM($AD42),SUM($AE42) - ROUND(SUM($U42)*$AH42,0)))</f>
        <v>7</v>
      </c>
      <c r="AK42" s="124" t="n">
        <v>27</v>
      </c>
      <c r="AL42" s="124" t="n">
        <v>26</v>
      </c>
      <c r="AM42" s="115" t="n">
        <f aca="false">IF(AND(SUM($AD42)=0,SUM($U42)=0),"",IF($C42="&lt;01",SUM($AD42),ROUND(ROUND(SUM($AJ42)*$AF42,0)/$AG42,0)))</f>
        <v>7</v>
      </c>
      <c r="AN42" s="122" t="n">
        <f aca="false">0.7</f>
        <v>0.7</v>
      </c>
      <c r="AO42" s="123" t="n">
        <f aca="false">1</f>
        <v>1</v>
      </c>
      <c r="AP42" s="115" t="n">
        <f aca="false">IF(AND(SUM($U42)=0,SUM($AM42)=0),"",ROUND((SUM($AM42)*$AN42+IF($C42="&lt;01",0,$U42))*$AO42,0))</f>
        <v>16</v>
      </c>
      <c r="AQ42" s="122" t="n">
        <v>29</v>
      </c>
      <c r="AR42" s="123" t="n">
        <f aca="false">0.95</f>
        <v>0.95</v>
      </c>
      <c r="AS42" s="123" t="n">
        <f aca="false">0.95</f>
        <v>0.95</v>
      </c>
      <c r="AT42" s="115" t="n">
        <f aca="false">IF(SUM($AP42)=0,"",ROUND(SUM($AP42)*$AR42,0))</f>
        <v>15</v>
      </c>
      <c r="AU42" s="115" t="n">
        <f aca="false">IF(LEFT($B42,4)="_Mil","",ROUND(SUM($AA42)*SUM($AS42),0))</f>
        <v>67</v>
      </c>
      <c r="AV42" s="124" t="n">
        <f aca="false">IF(SUM($AU42)&lt;=0,"",MAX(SUM($AU42)-SUM($R42),0))</f>
        <v>67</v>
      </c>
      <c r="AW42" s="122" t="n">
        <f aca="false">0</f>
        <v>0</v>
      </c>
      <c r="AX42" s="124" t="n">
        <f aca="false">IF(SUM($AM42)=0,"",ROUND(SUM($AM42)*SUM($AW42),0))</f>
        <v>0</v>
      </c>
      <c r="AY42" s="124" t="n">
        <f aca="false">IF(SUM($AM42)=0,"",SUM($AM42)-SUM($AX42))</f>
        <v>7</v>
      </c>
      <c r="AZ42" s="123" t="n">
        <v>19</v>
      </c>
      <c r="BA42" s="123" t="n">
        <f aca="false">0.95</f>
        <v>0.95</v>
      </c>
      <c r="BB42" s="123"/>
      <c r="BC42" s="123" t="n">
        <f aca="false">IF(OR(SUM($AM42)&lt;=0,$C42="&lt;01"),"",MAX(IF(OR(SUM($Y42)&lt;70%,LEFT($B42,4)="_Mil"),30%,IF(SUM($Y42)&gt;=80%,75%,50%)),SUM($BB42)))</f>
        <v>0.3</v>
      </c>
      <c r="BD42" s="115" t="n">
        <f aca="false">IF($C42="&lt;01",IFERROR(ROUND(INDEX(EID!$M:$M,MATCH($B42,EID!$B:$B,0)),0)/2,""),IF(SUM($AY42)=0,"",ROUND(SUM($AY42)/SUM($BA42),0)))</f>
        <v>7</v>
      </c>
      <c r="BE42" s="115" t="n">
        <f aca="false">IF($C42="&lt;01","",IF(SUM($BD42)=0,"",ROUND(SUM($BD42)*SUM($BC42),0)))</f>
        <v>2</v>
      </c>
      <c r="BF42" s="115" t="str">
        <f aca="false">_xlfn.IFNA(INDEX(PMTCT!$AE:$AE,MATCH($E42,PMTCT!$E:$E,0)),"")</f>
        <v/>
      </c>
      <c r="BG42" s="115" t="str">
        <f aca="false">_xlfn.IFNA(INDEX(PMTCT!$AU:$AU,MATCH($E42,PMTCT!$E:$E,0)),"")</f>
        <v/>
      </c>
      <c r="BH42" s="115" t="n">
        <f aca="false">_xlfn.IFNA(INDEX(TB!$Q:$Q,MATCH($E42,TB!$E:$E,0)),"")</f>
        <v>-2240</v>
      </c>
      <c r="BI42" s="115" t="str">
        <f aca="false">_xlfn.IFNA(INDEX(VMMC!$AC:$AC,MATCH($E42,VMMC!$E:$E,0)),"")</f>
        <v/>
      </c>
      <c r="BJ42" s="115" t="str">
        <f aca="false">IF($C42="&lt;01",$BD42,"")</f>
        <v/>
      </c>
      <c r="BK42" s="115" t="n">
        <f aca="false">IF(SUM($BD42)=0,"",($BD42)-SUM($BE42:$BJ42))</f>
        <v>2245</v>
      </c>
      <c r="BL42" s="123" t="n">
        <f aca="false">IF(OR(SUM($BD42)=0,SUM($BE42)=0),"",SUM($BE42)/$BD42)</f>
        <v>0.285714285714286</v>
      </c>
      <c r="BM42" s="123" t="str">
        <f aca="false">IF(OR(SUM($BD42)=0,SUM($BF42)=0),"",SUM($BF42)/$BD42)</f>
        <v/>
      </c>
      <c r="BN42" s="123" t="str">
        <f aca="false">IF(OR(SUM($BD42)=0,SUM($BG42)=0),"",SUM($BG42)/$BD42)</f>
        <v/>
      </c>
      <c r="BO42" s="123" t="n">
        <f aca="false">IF(OR(SUM($BD42)=0,SUM($BH42)=0),"",SUM($BH42)/$BD42)</f>
        <v>-320</v>
      </c>
      <c r="BP42" s="123" t="str">
        <f aca="false">IF(OR(SUM($BD42)=0,SUM($BI42)=0),"",SUM($BI42)/$BD42)</f>
        <v/>
      </c>
      <c r="BQ42" s="123" t="str">
        <f aca="false">IF(AND($C42="&lt;01",SUM($BJ42)&lt;&gt;0),$BJ42/SUM($BD42),"")</f>
        <v/>
      </c>
      <c r="BR42" s="123" t="n">
        <f aca="false">IF(OR(SUM($BD42)=0,SUM($BK42)=0),"",SUM($BK42)/$BD42)</f>
        <v>320.714285714286</v>
      </c>
      <c r="BS42" s="122" t="n">
        <f aca="false">IF(SUM($X42)&lt;=0,"",$X42)</f>
        <v>0.261904761904762</v>
      </c>
      <c r="BT42" s="115" t="n">
        <f aca="false">IF(LEFT($B42,4)="_Mil","",MAX(SUM($L42)+ROUND(SUM($BD42)/IF(SUM($BS42)&lt;=0,1,SUM($BS42)),0),0))</f>
        <v>62</v>
      </c>
    </row>
    <row r="43" customFormat="false" ht="15" hidden="false" customHeight="false" outlineLevel="0" collapsed="false">
      <c r="A43" s="0" t="s">
        <v>142</v>
      </c>
      <c r="B43" s="0" t="s">
        <v>109</v>
      </c>
      <c r="C43" s="0" t="s">
        <v>83</v>
      </c>
      <c r="D43" s="0" t="s">
        <v>56</v>
      </c>
      <c r="E43" s="0" t="str">
        <f aca="false">B43&amp;"|"&amp;C43&amp;"|"&amp;D43</f>
        <v>Berea [#SNU] [#DREAMS] [wpg5evyl1OL]|05-09|Female</v>
      </c>
      <c r="F43" s="115" t="n">
        <f aca="false">_xlfn.IFNA(ROUND(INDEX(Spectrum!$N:$N,MATCH(RIGHT($B43,13)&amp;"|"&amp;$C43&amp;"|"&amp;$D43&amp;"|"&amp;F$14&amp;"|"&amp;"CY2021Q3",Spectrum!$Q:$Q,0)),0),"")</f>
        <v>14545</v>
      </c>
      <c r="G43" s="123" t="n">
        <f aca="false">_xlfn.IFNA(INDEX(Spectrum!$P:$P,MATCH(RIGHT($B43,13)&amp;"|"&amp;$C43&amp;"|"&amp;$D43&amp;"|"&amp;F$14&amp;"|"&amp;"CY2021Q3",Spectrum!$Q:$Q,0)),"")</f>
        <v>47</v>
      </c>
      <c r="H43" s="115" t="n">
        <f aca="false">_xlfn.IFNA(ROUND(INDEX(Spectrum!$N:$N,MATCH(RIGHT($B43,13)&amp;"|"&amp;$C43&amp;"|"&amp;$D43&amp;"|"&amp;H$14&amp;"|"&amp;"CY2021Q3",Spectrum!$Q:$Q,0)),0),"")</f>
        <v>194</v>
      </c>
      <c r="I43" s="123" t="n">
        <f aca="false">_xlfn.IFNA(INDEX(Spectrum!$P:$P,MATCH(RIGHT($B43,13)&amp;"|"&amp;$C43&amp;"|"&amp;$D43&amp;"|"&amp;H$14&amp;"|"&amp;"CY2021Q3",Spectrum!$Q:$Q,0)),"")</f>
        <v>43</v>
      </c>
      <c r="J43" s="117" t="n">
        <f aca="false">_xlfn.IFNA(INDEX(Spectrum!$N:$N,MATCH(RIGHT($B43,13)&amp;"|"&amp;$C43&amp;"|"&amp;$D43&amp;"|"&amp;J$14&amp;"|"&amp;"CY2021Q3",Spectrum!$Q:$Q,0)),"")</f>
        <v>0.0133508</v>
      </c>
      <c r="K43" s="123" t="n">
        <f aca="false">_xlfn.IFNA(INDEX(Spectrum!$P:$P,MATCH(RIGHT($B43,13)&amp;"|"&amp;$C43&amp;"|"&amp;$D43&amp;"|"&amp;J$14&amp;"|"&amp;"CY2021Q3",Spectrum!$Q:$Q,0)),"")</f>
        <v>14</v>
      </c>
      <c r="L43" s="115" t="n">
        <f aca="false">_xlfn.IFNA(ROUND(INDEX(Spectrum!$N:$N,MATCH(RIGHT($B43,13)&amp;"|"&amp;$C43&amp;"|"&amp;$D43&amp;"|"&amp;L$14&amp;"|"&amp;"CY2021Q3",Spectrum!$Q:$Q,0)),0),"")</f>
        <v>117</v>
      </c>
      <c r="M43" s="123" t="n">
        <f aca="false">IF(OR(SUM($H43)&lt;=0,SUM($L43)&lt;=0),"",SUM($L43)/$H43)</f>
        <v>0.603092783505155</v>
      </c>
      <c r="N43" s="115" t="str">
        <f aca="false">_xlfn.IFNA(ROUND(INDEX(Spectrum!$N:$N,MATCH(RIGHT($B43,13)&amp;"|"&amp;$C43&amp;"|"&amp;$D43&amp;"|"&amp;N$14&amp;"|"&amp;"CY2020Q4",Spectrum!$Q:$Q,0)),0),"")</f>
        <v/>
      </c>
      <c r="O43" s="123" t="str">
        <f aca="false">_xlfn.IFNA(INDEX(Spectrum!$P:$P,MATCH(RIGHT($B43,13)&amp;"|"&amp;$C43&amp;"|"&amp;$D43&amp;"|"&amp;N$14&amp;"|"&amp;"CY2020Q4",Spectrum!$Q:$Q,0)),"")</f>
        <v/>
      </c>
      <c r="P43" s="115" t="n">
        <f aca="false">_xlfn.IFNA(ROUND(INDEX(Spectrum!$N:$N,MATCH(RIGHT($B43,13)&amp;"|"&amp;$C43&amp;"|"&amp;$D43&amp;"|"&amp;P$14&amp;"|"&amp;"CY2021Q3",Spectrum!$Q:$Q,0)),0),"")</f>
        <v>122</v>
      </c>
      <c r="Q43" s="123" t="n">
        <f aca="false">_xlfn.IFNA(INDEX(Spectrum!$P:$P,MATCH(RIGHT($B43,13)&amp;"|"&amp;$C43&amp;"|"&amp;$D43&amp;"|"&amp;P$14&amp;"|"&amp;"CY2021Q3",Spectrum!$Q:$Q,0)),"")</f>
        <v>2</v>
      </c>
      <c r="R43" s="115"/>
      <c r="S43" s="123" t="str">
        <f aca="false">IF(OR(SUM($P43)&lt;=0,SUM($R43)&lt;=0),"",SUM($R43)/$P43)</f>
        <v/>
      </c>
      <c r="T43" s="139" t="n">
        <v>34</v>
      </c>
      <c r="U43" s="124" t="n">
        <v>7</v>
      </c>
      <c r="V43" s="124" t="n">
        <f aca="false">IF($U43-$T43=0,"",$U43-$T43)</f>
        <v>-27</v>
      </c>
      <c r="W43" s="123" t="n">
        <f aca="false">IF(LEFT($B43,4)="_Mil","",IFERROR(MIN(IF(SUM($N43)&lt;=0,SUM($U43)/SUM($P43),SUM($T43)/SUM($N43)),1),""))</f>
        <v>0.0573770491803279</v>
      </c>
      <c r="X43" s="123" t="n">
        <f aca="false">$W43</f>
        <v>0.0573770491803279</v>
      </c>
      <c r="Y43" s="123" t="n">
        <f aca="false">IFERROR(1/(1/INDEX(Spectrum!$N:$N,MATCH(RIGHT($B43,13)&amp;"|"&amp;$C43&amp;"|"&amp;$D43&amp;"|"&amp;Y$14&amp;"|"&amp;"CY2021Q3",Spectrum!$Q:$Q,0))),IF(SUM($H43)=0,"",MAX(SUM($P43),SUM($U43))/SUM($H43)))</f>
        <v>0.628865979381443</v>
      </c>
      <c r="Z43" s="123" t="n">
        <f aca="false">IF(SUM($Y43)=0,"",MAX(SUM($Y43),90%))</f>
        <v>0.9</v>
      </c>
      <c r="AA43" s="115" t="n">
        <f aca="false">IF(LEFT($B43,4)="_Mil","",ROUND(MAX(SUM($U43),SUM($P43))+IF(SUM($Z43)=0,0,MAX(SUM($Z43)-SUM($Y43),0)*SUM($H43)),0))</f>
        <v>175</v>
      </c>
      <c r="AB43" s="115" t="n">
        <f aca="false">IF(SUM($AA43)=0,"",ROUND(MAX(SUM($AA43)-MAX(SUM($P43),SUM($U43)),0),0))</f>
        <v>53</v>
      </c>
      <c r="AC43" s="126" t="str">
        <f aca="false">IF($C43="&lt;01",IFERROR(ROUND(INDEX(EID!$N:$N,MATCH($B43,EID!$B:$B,0))/2,0),""),"")</f>
        <v/>
      </c>
      <c r="AD43" s="115" t="n">
        <f aca="false">IF($C43="&lt;01",IF(SUM($AC43)=0,"",ROUND(SUM($AC43)/$AG43,0)),IF(SUM($AB43)=0,"",ROUND(MAX($X43,0)*SUM($AB43),0)))</f>
        <v>3</v>
      </c>
      <c r="AE43" s="115" t="n">
        <f aca="false">IF(AND(SUM($AD43)=0,SUM($U43)=0),"",ROUND(IF($C43="&lt;01",0,SUM($U43))+SUM($AD43),0))</f>
        <v>10</v>
      </c>
      <c r="AF43" s="122" t="n">
        <f aca="false">IF($C43="&lt;01","",100%)</f>
        <v>1</v>
      </c>
      <c r="AG43" s="123" t="n">
        <f aca="false">0.98</f>
        <v>0.98</v>
      </c>
      <c r="AH43" s="123" t="n">
        <f aca="false">0.98</f>
        <v>0.98</v>
      </c>
      <c r="AI43" s="124" t="n">
        <f aca="false">IF(OR($C43="&lt;01",SUM($U43)=0),"",ROUND(SUM($U43)*(1-$AH43),0))</f>
        <v>0</v>
      </c>
      <c r="AJ43" s="124" t="n">
        <f aca="false">IF(AND(SUM($AE43)=0,SUM($U43)=0),"",IF($C43="&lt;01",SUM($AD43),SUM($AE43) - ROUND(SUM($U43)*$AH43,0)))</f>
        <v>3</v>
      </c>
      <c r="AK43" s="124" t="n">
        <v>12</v>
      </c>
      <c r="AL43" s="124" t="n">
        <v>33</v>
      </c>
      <c r="AM43" s="115" t="n">
        <f aca="false">IF(AND(SUM($AD43)=0,SUM($U43)=0),"",IF($C43="&lt;01",SUM($AD43),ROUND(ROUND(SUM($AJ43)*$AF43,0)/$AG43,0)))</f>
        <v>3</v>
      </c>
      <c r="AN43" s="122" t="n">
        <f aca="false">0.7</f>
        <v>0.7</v>
      </c>
      <c r="AO43" s="123" t="n">
        <f aca="false">1</f>
        <v>1</v>
      </c>
      <c r="AP43" s="115" t="n">
        <f aca="false">IF(AND(SUM($U43)=0,SUM($AM43)=0),"",ROUND((SUM($AM43)*$AN43+IF($C43="&lt;01",0,$U43))*$AO43,0))</f>
        <v>9</v>
      </c>
      <c r="AQ43" s="122" t="n">
        <v>14</v>
      </c>
      <c r="AR43" s="123" t="n">
        <f aca="false">0.95</f>
        <v>0.95</v>
      </c>
      <c r="AS43" s="123" t="n">
        <f aca="false">0.95</f>
        <v>0.95</v>
      </c>
      <c r="AT43" s="115" t="n">
        <f aca="false">IF(SUM($AP43)=0,"",ROUND(SUM($AP43)*$AR43,0))</f>
        <v>9</v>
      </c>
      <c r="AU43" s="115" t="n">
        <f aca="false">IF(LEFT($B43,4)="_Mil","",ROUND(SUM($AA43)*SUM($AS43),0))</f>
        <v>166</v>
      </c>
      <c r="AV43" s="124" t="n">
        <f aca="false">IF(SUM($AU43)&lt;=0,"",MAX(SUM($AU43)-SUM($R43),0))</f>
        <v>166</v>
      </c>
      <c r="AW43" s="122" t="n">
        <f aca="false">0</f>
        <v>0</v>
      </c>
      <c r="AX43" s="124" t="n">
        <f aca="false">IF(SUM($AM43)=0,"",ROUND(SUM($AM43)*SUM($AW43),0))</f>
        <v>0</v>
      </c>
      <c r="AY43" s="124" t="n">
        <f aca="false">IF(SUM($AM43)=0,"",SUM($AM43)-SUM($AX43))</f>
        <v>3</v>
      </c>
      <c r="AZ43" s="123" t="n">
        <v>40</v>
      </c>
      <c r="BA43" s="123" t="n">
        <f aca="false">0.95</f>
        <v>0.95</v>
      </c>
      <c r="BB43" s="123"/>
      <c r="BC43" s="123" t="n">
        <f aca="false">IF(OR(SUM($AM43)&lt;=0,$C43="&lt;01"),"",MAX(IF(OR(SUM($Y43)&lt;70%,LEFT($B43,4)="_Mil"),30%,IF(SUM($Y43)&gt;=80%,75%,50%)),SUM($BB43)))</f>
        <v>0.3</v>
      </c>
      <c r="BD43" s="115" t="n">
        <f aca="false">IF($C43="&lt;01",IFERROR(ROUND(INDEX(EID!$M:$M,MATCH($B43,EID!$B:$B,0)),0)/2,""),IF(SUM($AY43)=0,"",ROUND(SUM($AY43)/SUM($BA43),0)))</f>
        <v>3</v>
      </c>
      <c r="BE43" s="115" t="n">
        <f aca="false">IF($C43="&lt;01","",IF(SUM($BD43)=0,"",ROUND(SUM($BD43)*SUM($BC43),0)))</f>
        <v>1</v>
      </c>
      <c r="BF43" s="115" t="str">
        <f aca="false">_xlfn.IFNA(INDEX(PMTCT!$AE:$AE,MATCH($E43,PMTCT!$E:$E,0)),"")</f>
        <v/>
      </c>
      <c r="BG43" s="115" t="str">
        <f aca="false">_xlfn.IFNA(INDEX(PMTCT!$AU:$AU,MATCH($E43,PMTCT!$E:$E,0)),"")</f>
        <v/>
      </c>
      <c r="BH43" s="115" t="n">
        <f aca="false">_xlfn.IFNA(INDEX(TB!$Q:$Q,MATCH($E43,TB!$E:$E,0)),"")</f>
        <v>-0</v>
      </c>
      <c r="BI43" s="115" t="str">
        <f aca="false">_xlfn.IFNA(INDEX(VMMC!$AC:$AC,MATCH($E43,VMMC!$E:$E,0)),"")</f>
        <v/>
      </c>
      <c r="BJ43" s="115" t="str">
        <f aca="false">IF($C43="&lt;01",$BD43,"")</f>
        <v/>
      </c>
      <c r="BK43" s="115" t="n">
        <f aca="false">IF(SUM($BD43)=0,"",($BD43)-SUM($BE43:$BJ43))</f>
        <v>2</v>
      </c>
      <c r="BL43" s="123" t="n">
        <f aca="false">IF(OR(SUM($BD43)=0,SUM($BE43)=0),"",SUM($BE43)/$BD43)</f>
        <v>0.333333333333333</v>
      </c>
      <c r="BM43" s="123" t="str">
        <f aca="false">IF(OR(SUM($BD43)=0,SUM($BF43)=0),"",SUM($BF43)/$BD43)</f>
        <v/>
      </c>
      <c r="BN43" s="123" t="str">
        <f aca="false">IF(OR(SUM($BD43)=0,SUM($BG43)=0),"",SUM($BG43)/$BD43)</f>
        <v/>
      </c>
      <c r="BO43" s="123" t="str">
        <f aca="false">IF(OR(SUM($BD43)=0,SUM($BH43)=0),"",SUM($BH43)/$BD43)</f>
        <v/>
      </c>
      <c r="BP43" s="123" t="str">
        <f aca="false">IF(OR(SUM($BD43)=0,SUM($BI43)=0),"",SUM($BI43)/$BD43)</f>
        <v/>
      </c>
      <c r="BQ43" s="123" t="str">
        <f aca="false">IF(AND($C43="&lt;01",SUM($BJ43)&lt;&gt;0),$BJ43/SUM($BD43),"")</f>
        <v/>
      </c>
      <c r="BR43" s="123" t="n">
        <f aca="false">IF(OR(SUM($BD43)=0,SUM($BK43)=0),"",SUM($BK43)/$BD43)</f>
        <v>0.666666666666667</v>
      </c>
      <c r="BS43" s="122" t="n">
        <f aca="false">IF(SUM($X43)&lt;=0,"",$X43)</f>
        <v>0.0573770491803279</v>
      </c>
      <c r="BT43" s="115" t="n">
        <f aca="false">IF(LEFT($B43,4)="_Mil","",MAX(SUM($L43)+ROUND(SUM($BD43)/IF(SUM($BS43)&lt;=0,1,SUM($BS43)),0),0))</f>
        <v>169</v>
      </c>
    </row>
    <row r="44" customFormat="false" ht="15" hidden="false" customHeight="false" outlineLevel="0" collapsed="false">
      <c r="A44" s="0" t="s">
        <v>142</v>
      </c>
      <c r="B44" s="0" t="s">
        <v>109</v>
      </c>
      <c r="C44" s="0" t="s">
        <v>83</v>
      </c>
      <c r="D44" s="0" t="s">
        <v>58</v>
      </c>
      <c r="E44" s="0" t="str">
        <f aca="false">B44&amp;"|"&amp;C44&amp;"|"&amp;D44</f>
        <v>Berea [#SNU] [#DREAMS] [wpg5evyl1OL]|05-09|Male</v>
      </c>
      <c r="F44" s="115" t="n">
        <f aca="false">_xlfn.IFNA(ROUND(INDEX(Spectrum!$N:$N,MATCH(RIGHT($B44,13)&amp;"|"&amp;$C44&amp;"|"&amp;$D44&amp;"|"&amp;F$14&amp;"|"&amp;"CY2021Q3",Spectrum!$Q:$Q,0)),0),"")</f>
        <v>14062</v>
      </c>
      <c r="G44" s="123" t="n">
        <f aca="false">_xlfn.IFNA(INDEX(Spectrum!$P:$P,MATCH(RIGHT($B44,13)&amp;"|"&amp;$C44&amp;"|"&amp;$D44&amp;"|"&amp;F$14&amp;"|"&amp;"CY2021Q3",Spectrum!$Q:$Q,0)),"")</f>
        <v>6</v>
      </c>
      <c r="H44" s="115" t="n">
        <f aca="false">_xlfn.IFNA(ROUND(INDEX(Spectrum!$N:$N,MATCH(RIGHT($B44,13)&amp;"|"&amp;$C44&amp;"|"&amp;$D44&amp;"|"&amp;H$14&amp;"|"&amp;"CY2021Q3",Spectrum!$Q:$Q,0)),0),"")</f>
        <v>188</v>
      </c>
      <c r="I44" s="123" t="n">
        <f aca="false">_xlfn.IFNA(INDEX(Spectrum!$P:$P,MATCH(RIGHT($B44,13)&amp;"|"&amp;$C44&amp;"|"&amp;$D44&amp;"|"&amp;H$14&amp;"|"&amp;"CY2021Q3",Spectrum!$Q:$Q,0)),"")</f>
        <v>8</v>
      </c>
      <c r="J44" s="117" t="n">
        <f aca="false">_xlfn.IFNA(INDEX(Spectrum!$N:$N,MATCH(RIGHT($B44,13)&amp;"|"&amp;$C44&amp;"|"&amp;$D44&amp;"|"&amp;J$14&amp;"|"&amp;"CY2021Q3",Spectrum!$Q:$Q,0)),"")</f>
        <v>0.0133412</v>
      </c>
      <c r="K44" s="123" t="n">
        <f aca="false">_xlfn.IFNA(INDEX(Spectrum!$P:$P,MATCH(RIGHT($B44,13)&amp;"|"&amp;$C44&amp;"|"&amp;$D44&amp;"|"&amp;J$14&amp;"|"&amp;"CY2021Q3",Spectrum!$Q:$Q,0)),"")</f>
        <v>42</v>
      </c>
      <c r="L44" s="115" t="n">
        <f aca="false">_xlfn.IFNA(ROUND(INDEX(Spectrum!$N:$N,MATCH(RIGHT($B44,13)&amp;"|"&amp;$C44&amp;"|"&amp;$D44&amp;"|"&amp;L$14&amp;"|"&amp;"CY2021Q3",Spectrum!$Q:$Q,0)),0),"")</f>
        <v>119</v>
      </c>
      <c r="M44" s="123" t="n">
        <f aca="false">IF(OR(SUM($H44)&lt;=0,SUM($L44)&lt;=0),"",SUM($L44)/$H44)</f>
        <v>0.632978723404255</v>
      </c>
      <c r="N44" s="115" t="str">
        <f aca="false">_xlfn.IFNA(ROUND(INDEX(Spectrum!$N:$N,MATCH(RIGHT($B44,13)&amp;"|"&amp;$C44&amp;"|"&amp;$D44&amp;"|"&amp;N$14&amp;"|"&amp;"CY2020Q4",Spectrum!$Q:$Q,0)),0),"")</f>
        <v/>
      </c>
      <c r="O44" s="123" t="str">
        <f aca="false">_xlfn.IFNA(INDEX(Spectrum!$P:$P,MATCH(RIGHT($B44,13)&amp;"|"&amp;$C44&amp;"|"&amp;$D44&amp;"|"&amp;N$14&amp;"|"&amp;"CY2020Q4",Spectrum!$Q:$Q,0)),"")</f>
        <v/>
      </c>
      <c r="P44" s="115" t="n">
        <f aca="false">_xlfn.IFNA(ROUND(INDEX(Spectrum!$N:$N,MATCH(RIGHT($B44,13)&amp;"|"&amp;$C44&amp;"|"&amp;$D44&amp;"|"&amp;P$14&amp;"|"&amp;"CY2021Q3",Spectrum!$Q:$Q,0)),0),"")</f>
        <v>124</v>
      </c>
      <c r="Q44" s="123" t="n">
        <f aca="false">_xlfn.IFNA(INDEX(Spectrum!$P:$P,MATCH(RIGHT($B44,13)&amp;"|"&amp;$C44&amp;"|"&amp;$D44&amp;"|"&amp;P$14&amp;"|"&amp;"CY2021Q3",Spectrum!$Q:$Q,0)),"")</f>
        <v>42</v>
      </c>
      <c r="R44" s="115"/>
      <c r="S44" s="123" t="str">
        <f aca="false">IF(OR(SUM($P44)&lt;=0,SUM($R44)&lt;=0),"",SUM($R44)/$P44)</f>
        <v/>
      </c>
      <c r="T44" s="139" t="n">
        <v>14</v>
      </c>
      <c r="U44" s="124" t="n">
        <v>42</v>
      </c>
      <c r="V44" s="124" t="n">
        <f aca="false">IF($U44-$T44=0,"",$U44-$T44)</f>
        <v>28</v>
      </c>
      <c r="W44" s="123" t="n">
        <f aca="false">IF(LEFT($B44,4)="_Mil","",IFERROR(MIN(IF(SUM($N44)&lt;=0,SUM($U44)/SUM($P44),SUM($T44)/SUM($N44)),1),""))</f>
        <v>0.338709677419355</v>
      </c>
      <c r="X44" s="123" t="n">
        <f aca="false">$W44</f>
        <v>0.338709677419355</v>
      </c>
      <c r="Y44" s="123" t="n">
        <f aca="false">IFERROR(1/(1/INDEX(Spectrum!$N:$N,MATCH(RIGHT($B44,13)&amp;"|"&amp;$C44&amp;"|"&amp;$D44&amp;"|"&amp;Y$14&amp;"|"&amp;"CY2021Q3",Spectrum!$Q:$Q,0))),IF(SUM($H44)=0,"",MAX(SUM($P44),SUM($U44))/SUM($H44)))</f>
        <v>0.659574468085106</v>
      </c>
      <c r="Z44" s="123" t="n">
        <f aca="false">IF(SUM($Y44)=0,"",MAX(SUM($Y44),90%))</f>
        <v>0.9</v>
      </c>
      <c r="AA44" s="115" t="n">
        <f aca="false">IF(LEFT($B44,4)="_Mil","",ROUND(MAX(SUM($U44),SUM($P44))+IF(SUM($Z44)=0,0,MAX(SUM($Z44)-SUM($Y44),0)*SUM($H44)),0))</f>
        <v>169</v>
      </c>
      <c r="AB44" s="115" t="n">
        <f aca="false">IF(SUM($AA44)=0,"",ROUND(MAX(SUM($AA44)-MAX(SUM($P44),SUM($U44)),0),0))</f>
        <v>45</v>
      </c>
      <c r="AC44" s="126" t="str">
        <f aca="false">IF($C44="&lt;01",IFERROR(ROUND(INDEX(EID!$N:$N,MATCH($B44,EID!$B:$B,0))/2,0),""),"")</f>
        <v/>
      </c>
      <c r="AD44" s="115" t="n">
        <f aca="false">IF($C44="&lt;01",IF(SUM($AC44)=0,"",ROUND(SUM($AC44)/$AG44,0)),IF(SUM($AB44)=0,"",ROUND(MAX($X44,0)*SUM($AB44),0)))</f>
        <v>15</v>
      </c>
      <c r="AE44" s="115" t="n">
        <f aca="false">IF(AND(SUM($AD44)=0,SUM($U44)=0),"",ROUND(IF($C44="&lt;01",0,SUM($U44))+SUM($AD44),0))</f>
        <v>57</v>
      </c>
      <c r="AF44" s="122" t="n">
        <f aca="false">IF($C44="&lt;01","",100%)</f>
        <v>1</v>
      </c>
      <c r="AG44" s="123" t="n">
        <f aca="false">0.98</f>
        <v>0.98</v>
      </c>
      <c r="AH44" s="123" t="n">
        <f aca="false">0.98</f>
        <v>0.98</v>
      </c>
      <c r="AI44" s="124" t="n">
        <f aca="false">IF(OR($C44="&lt;01",SUM($U44)=0),"",ROUND(SUM($U44)*(1-$AH44),0))</f>
        <v>1</v>
      </c>
      <c r="AJ44" s="124" t="n">
        <f aca="false">IF(AND(SUM($AE44)=0,SUM($U44)=0),"",IF($C44="&lt;01",SUM($AD44),SUM($AE44) - ROUND(SUM($U44)*$AH44,0)))</f>
        <v>16</v>
      </c>
      <c r="AK44" s="124" t="n">
        <v>28</v>
      </c>
      <c r="AL44" s="124" t="n">
        <v>43</v>
      </c>
      <c r="AM44" s="115" t="n">
        <f aca="false">IF(AND(SUM($AD44)=0,SUM($U44)=0),"",IF($C44="&lt;01",SUM($AD44),ROUND(ROUND(SUM($AJ44)*$AF44,0)/$AG44,0)))</f>
        <v>16</v>
      </c>
      <c r="AN44" s="122" t="n">
        <f aca="false">0.7</f>
        <v>0.7</v>
      </c>
      <c r="AO44" s="123" t="n">
        <f aca="false">1</f>
        <v>1</v>
      </c>
      <c r="AP44" s="115" t="n">
        <f aca="false">IF(AND(SUM($U44)=0,SUM($AM44)=0),"",ROUND((SUM($AM44)*$AN44+IF($C44="&lt;01",0,$U44))*$AO44,0))</f>
        <v>53</v>
      </c>
      <c r="AQ44" s="122" t="n">
        <v>48</v>
      </c>
      <c r="AR44" s="123" t="n">
        <f aca="false">0.95</f>
        <v>0.95</v>
      </c>
      <c r="AS44" s="123" t="n">
        <f aca="false">0.95</f>
        <v>0.95</v>
      </c>
      <c r="AT44" s="115" t="n">
        <f aca="false">IF(SUM($AP44)=0,"",ROUND(SUM($AP44)*$AR44,0))</f>
        <v>50</v>
      </c>
      <c r="AU44" s="115" t="n">
        <f aca="false">IF(LEFT($B44,4)="_Mil","",ROUND(SUM($AA44)*SUM($AS44),0))</f>
        <v>161</v>
      </c>
      <c r="AV44" s="124" t="n">
        <f aca="false">IF(SUM($AU44)&lt;=0,"",MAX(SUM($AU44)-SUM($R44),0))</f>
        <v>161</v>
      </c>
      <c r="AW44" s="122" t="n">
        <f aca="false">0</f>
        <v>0</v>
      </c>
      <c r="AX44" s="124" t="n">
        <f aca="false">IF(SUM($AM44)=0,"",ROUND(SUM($AM44)*SUM($AW44),0))</f>
        <v>0</v>
      </c>
      <c r="AY44" s="124" t="n">
        <f aca="false">IF(SUM($AM44)=0,"",SUM($AM44)-SUM($AX44))</f>
        <v>16</v>
      </c>
      <c r="AZ44" s="123" t="n">
        <v>14</v>
      </c>
      <c r="BA44" s="123" t="n">
        <f aca="false">0.95</f>
        <v>0.95</v>
      </c>
      <c r="BB44" s="123"/>
      <c r="BC44" s="123" t="n">
        <f aca="false">IF(OR(SUM($AM44)&lt;=0,$C44="&lt;01"),"",MAX(IF(OR(SUM($Y44)&lt;70%,LEFT($B44,4)="_Mil"),30%,IF(SUM($Y44)&gt;=80%,75%,50%)),SUM($BB44)))</f>
        <v>0.3</v>
      </c>
      <c r="BD44" s="115" t="n">
        <f aca="false">IF($C44="&lt;01",IFERROR(ROUND(INDEX(EID!$M:$M,MATCH($B44,EID!$B:$B,0)),0)/2,""),IF(SUM($AY44)=0,"",ROUND(SUM($AY44)/SUM($BA44),0)))</f>
        <v>17</v>
      </c>
      <c r="BE44" s="115" t="n">
        <f aca="false">IF($C44="&lt;01","",IF(SUM($BD44)=0,"",ROUND(SUM($BD44)*SUM($BC44),0)))</f>
        <v>5</v>
      </c>
      <c r="BF44" s="115" t="str">
        <f aca="false">_xlfn.IFNA(INDEX(PMTCT!$AE:$AE,MATCH($E44,PMTCT!$E:$E,0)),"")</f>
        <v/>
      </c>
      <c r="BG44" s="115" t="str">
        <f aca="false">_xlfn.IFNA(INDEX(PMTCT!$AU:$AU,MATCH($E44,PMTCT!$E:$E,0)),"")</f>
        <v/>
      </c>
      <c r="BH44" s="115" t="n">
        <f aca="false">_xlfn.IFNA(INDEX(TB!$Q:$Q,MATCH($E44,TB!$E:$E,0)),"")</f>
        <v>0</v>
      </c>
      <c r="BI44" s="115" t="str">
        <f aca="false">_xlfn.IFNA(INDEX(VMMC!$AC:$AC,MATCH($E44,VMMC!$E:$E,0)),"")</f>
        <v/>
      </c>
      <c r="BJ44" s="115" t="str">
        <f aca="false">IF($C44="&lt;01",$BD44,"")</f>
        <v/>
      </c>
      <c r="BK44" s="115" t="n">
        <f aca="false">IF(SUM($BD44)=0,"",($BD44)-SUM($BE44:$BJ44))</f>
        <v>12</v>
      </c>
      <c r="BL44" s="123" t="n">
        <f aca="false">IF(OR(SUM($BD44)=0,SUM($BE44)=0),"",SUM($BE44)/$BD44)</f>
        <v>0.294117647058823</v>
      </c>
      <c r="BM44" s="123" t="str">
        <f aca="false">IF(OR(SUM($BD44)=0,SUM($BF44)=0),"",SUM($BF44)/$BD44)</f>
        <v/>
      </c>
      <c r="BN44" s="123" t="str">
        <f aca="false">IF(OR(SUM($BD44)=0,SUM($BG44)=0),"",SUM($BG44)/$BD44)</f>
        <v/>
      </c>
      <c r="BO44" s="123" t="str">
        <f aca="false">IF(OR(SUM($BD44)=0,SUM($BH44)=0),"",SUM($BH44)/$BD44)</f>
        <v/>
      </c>
      <c r="BP44" s="123" t="str">
        <f aca="false">IF(OR(SUM($BD44)=0,SUM($BI44)=0),"",SUM($BI44)/$BD44)</f>
        <v/>
      </c>
      <c r="BQ44" s="123" t="str">
        <f aca="false">IF(AND($C44="&lt;01",SUM($BJ44)&lt;&gt;0),$BJ44/SUM($BD44),"")</f>
        <v/>
      </c>
      <c r="BR44" s="123" t="n">
        <f aca="false">IF(OR(SUM($BD44)=0,SUM($BK44)=0),"",SUM($BK44)/$BD44)</f>
        <v>0.705882352941176</v>
      </c>
      <c r="BS44" s="122" t="n">
        <f aca="false">IF(SUM($X44)&lt;=0,"",$X44)</f>
        <v>0.338709677419355</v>
      </c>
      <c r="BT44" s="115" t="n">
        <f aca="false">IF(LEFT($B44,4)="_Mil","",MAX(SUM($L44)+ROUND(SUM($BD44)/IF(SUM($BS44)&lt;=0,1,SUM($BS44)),0),0))</f>
        <v>169</v>
      </c>
    </row>
    <row r="45" customFormat="false" ht="15" hidden="false" customHeight="false" outlineLevel="0" collapsed="false">
      <c r="A45" s="0" t="s">
        <v>142</v>
      </c>
      <c r="B45" s="0" t="s">
        <v>109</v>
      </c>
      <c r="C45" s="0" t="s">
        <v>61</v>
      </c>
      <c r="D45" s="0" t="s">
        <v>56</v>
      </c>
      <c r="E45" s="0" t="str">
        <f aca="false">B45&amp;"|"&amp;C45&amp;"|"&amp;D45</f>
        <v>Berea [#SNU] [#DREAMS] [wpg5evyl1OL]|10-14|Female</v>
      </c>
      <c r="F45" s="115" t="n">
        <f aca="false">_xlfn.IFNA(ROUND(INDEX(Spectrum!$N:$N,MATCH(RIGHT($B45,13)&amp;"|"&amp;$C45&amp;"|"&amp;$D45&amp;"|"&amp;F$14&amp;"|"&amp;"CY2021Q3",Spectrum!$Q:$Q,0)),0),"")</f>
        <v>13166</v>
      </c>
      <c r="G45" s="123" t="n">
        <f aca="false">_xlfn.IFNA(INDEX(Spectrum!$P:$P,MATCH(RIGHT($B45,13)&amp;"|"&amp;$C45&amp;"|"&amp;$D45&amp;"|"&amp;F$14&amp;"|"&amp;"CY2021Q3",Spectrum!$Q:$Q,0)),"")</f>
        <v>1</v>
      </c>
      <c r="H45" s="115" t="n">
        <f aca="false">_xlfn.IFNA(ROUND(INDEX(Spectrum!$N:$N,MATCH(RIGHT($B45,13)&amp;"|"&amp;$C45&amp;"|"&amp;$D45&amp;"|"&amp;H$14&amp;"|"&amp;"CY2021Q3",Spectrum!$Q:$Q,0)),0),"")</f>
        <v>298</v>
      </c>
      <c r="I45" s="123" t="n">
        <f aca="false">_xlfn.IFNA(INDEX(Spectrum!$P:$P,MATCH(RIGHT($B45,13)&amp;"|"&amp;$C45&amp;"|"&amp;$D45&amp;"|"&amp;H$14&amp;"|"&amp;"CY2021Q3",Spectrum!$Q:$Q,0)),"")</f>
        <v>41</v>
      </c>
      <c r="J45" s="117" t="n">
        <f aca="false">_xlfn.IFNA(INDEX(Spectrum!$N:$N,MATCH(RIGHT($B45,13)&amp;"|"&amp;$C45&amp;"|"&amp;$D45&amp;"|"&amp;J$14&amp;"|"&amp;"CY2021Q3",Spectrum!$Q:$Q,0)),"")</f>
        <v>0.0226008</v>
      </c>
      <c r="K45" s="123" t="n">
        <f aca="false">_xlfn.IFNA(INDEX(Spectrum!$P:$P,MATCH(RIGHT($B45,13)&amp;"|"&amp;$C45&amp;"|"&amp;$D45&amp;"|"&amp;J$14&amp;"|"&amp;"CY2021Q3",Spectrum!$Q:$Q,0)),"")</f>
        <v>45</v>
      </c>
      <c r="L45" s="115" t="n">
        <f aca="false">_xlfn.IFNA(ROUND(INDEX(Spectrum!$N:$N,MATCH(RIGHT($B45,13)&amp;"|"&amp;$C45&amp;"|"&amp;$D45&amp;"|"&amp;L$14&amp;"|"&amp;"CY2021Q3",Spectrum!$Q:$Q,0)),0),"")</f>
        <v>217</v>
      </c>
      <c r="M45" s="123" t="n">
        <f aca="false">IF(OR(SUM($H45)&lt;=0,SUM($L45)&lt;=0),"",SUM($L45)/$H45)</f>
        <v>0.728187919463087</v>
      </c>
      <c r="N45" s="115" t="str">
        <f aca="false">_xlfn.IFNA(ROUND(INDEX(Spectrum!$N:$N,MATCH(RIGHT($B45,13)&amp;"|"&amp;$C45&amp;"|"&amp;$D45&amp;"|"&amp;N$14&amp;"|"&amp;"CY2020Q4",Spectrum!$Q:$Q,0)),0),"")</f>
        <v/>
      </c>
      <c r="O45" s="123" t="str">
        <f aca="false">_xlfn.IFNA(INDEX(Spectrum!$P:$P,MATCH(RIGHT($B45,13)&amp;"|"&amp;$C45&amp;"|"&amp;$D45&amp;"|"&amp;N$14&amp;"|"&amp;"CY2020Q4",Spectrum!$Q:$Q,0)),"")</f>
        <v/>
      </c>
      <c r="P45" s="115" t="n">
        <f aca="false">_xlfn.IFNA(ROUND(INDEX(Spectrum!$N:$N,MATCH(RIGHT($B45,13)&amp;"|"&amp;$C45&amp;"|"&amp;$D45&amp;"|"&amp;P$14&amp;"|"&amp;"CY2021Q3",Spectrum!$Q:$Q,0)),0),"")</f>
        <v>243</v>
      </c>
      <c r="Q45" s="123" t="n">
        <f aca="false">_xlfn.IFNA(INDEX(Spectrum!$P:$P,MATCH(RIGHT($B45,13)&amp;"|"&amp;$C45&amp;"|"&amp;$D45&amp;"|"&amp;P$14&amp;"|"&amp;"CY2021Q3",Spectrum!$Q:$Q,0)),"")</f>
        <v>28</v>
      </c>
      <c r="R45" s="115"/>
      <c r="S45" s="123" t="str">
        <f aca="false">IF(OR(SUM($P45)&lt;=0,SUM($R45)&lt;=0),"",SUM($R45)/$P45)</f>
        <v/>
      </c>
      <c r="T45" s="139" t="n">
        <v>2</v>
      </c>
      <c r="U45" s="124" t="n">
        <v>7</v>
      </c>
      <c r="V45" s="124" t="n">
        <f aca="false">IF($U45-$T45=0,"",$U45-$T45)</f>
        <v>5</v>
      </c>
      <c r="W45" s="123" t="n">
        <f aca="false">IF(LEFT($B45,4)="_Mil","",IFERROR(MIN(IF(SUM($N45)&lt;=0,SUM($U45)/SUM($P45),SUM($T45)/SUM($N45)),1),""))</f>
        <v>0.0288065843621399</v>
      </c>
      <c r="X45" s="123" t="n">
        <f aca="false">$W45</f>
        <v>0.0288065843621399</v>
      </c>
      <c r="Y45" s="123" t="n">
        <f aca="false">IFERROR(1/(1/INDEX(Spectrum!$N:$N,MATCH(RIGHT($B45,13)&amp;"|"&amp;$C45&amp;"|"&amp;$D45&amp;"|"&amp;Y$14&amp;"|"&amp;"CY2021Q3",Spectrum!$Q:$Q,0))),IF(SUM($H45)=0,"",MAX(SUM($P45),SUM($U45))/SUM($H45)))</f>
        <v>0.815436241610738</v>
      </c>
      <c r="Z45" s="123" t="n">
        <f aca="false">IF(SUM($Y45)=0,"",MAX(SUM($Y45),90%))</f>
        <v>0.9</v>
      </c>
      <c r="AA45" s="115" t="n">
        <f aca="false">IF(LEFT($B45,4)="_Mil","",ROUND(MAX(SUM($U45),SUM($P45))+IF(SUM($Z45)=0,0,MAX(SUM($Z45)-SUM($Y45),0)*SUM($H45)),0))</f>
        <v>268</v>
      </c>
      <c r="AB45" s="115" t="n">
        <f aca="false">IF(SUM($AA45)=0,"",ROUND(MAX(SUM($AA45)-MAX(SUM($P45),SUM($U45)),0),0))</f>
        <v>25</v>
      </c>
      <c r="AC45" s="126" t="str">
        <f aca="false">IF($C45="&lt;01",IFERROR(ROUND(INDEX(EID!$N:$N,MATCH($B45,EID!$B:$B,0))/2,0),""),"")</f>
        <v/>
      </c>
      <c r="AD45" s="115" t="n">
        <f aca="false">IF($C45="&lt;01",IF(SUM($AC45)=0,"",ROUND(SUM($AC45)/$AG45,0)),IF(SUM($AB45)=0,"",ROUND(MAX($X45,0)*SUM($AB45),0)))</f>
        <v>1</v>
      </c>
      <c r="AE45" s="115" t="n">
        <f aca="false">IF(AND(SUM($AD45)=0,SUM($U45)=0),"",ROUND(IF($C45="&lt;01",0,SUM($U45))+SUM($AD45),0))</f>
        <v>8</v>
      </c>
      <c r="AF45" s="122" t="n">
        <f aca="false">IF($C45="&lt;01","",100%)</f>
        <v>1</v>
      </c>
      <c r="AG45" s="123" t="n">
        <f aca="false">0.98</f>
        <v>0.98</v>
      </c>
      <c r="AH45" s="123" t="n">
        <f aca="false">0.98</f>
        <v>0.98</v>
      </c>
      <c r="AI45" s="124" t="n">
        <f aca="false">IF(OR($C45="&lt;01",SUM($U45)=0),"",ROUND(SUM($U45)*(1-$AH45),0))</f>
        <v>0</v>
      </c>
      <c r="AJ45" s="124" t="n">
        <f aca="false">IF(AND(SUM($AE45)=0,SUM($U45)=0),"",IF($C45="&lt;01",SUM($AD45),SUM($AE45) - ROUND(SUM($U45)*$AH45,0)))</f>
        <v>1</v>
      </c>
      <c r="AK45" s="124" t="n">
        <v>41</v>
      </c>
      <c r="AL45" s="124" t="n">
        <v>10</v>
      </c>
      <c r="AM45" s="115" t="n">
        <f aca="false">IF(AND(SUM($AD45)=0,SUM($U45)=0),"",IF($C45="&lt;01",SUM($AD45),ROUND(ROUND(SUM($AJ45)*$AF45,0)/$AG45,0)))</f>
        <v>1</v>
      </c>
      <c r="AN45" s="122" t="n">
        <f aca="false">0.7</f>
        <v>0.7</v>
      </c>
      <c r="AO45" s="123" t="n">
        <f aca="false">1</f>
        <v>1</v>
      </c>
      <c r="AP45" s="115" t="n">
        <f aca="false">IF(AND(SUM($U45)=0,SUM($AM45)=0),"",ROUND((SUM($AM45)*$AN45+IF($C45="&lt;01",0,$U45))*$AO45,0))</f>
        <v>8</v>
      </c>
      <c r="AQ45" s="122" t="n">
        <v>13</v>
      </c>
      <c r="AR45" s="123" t="n">
        <f aca="false">0.95</f>
        <v>0.95</v>
      </c>
      <c r="AS45" s="123" t="n">
        <f aca="false">0.95</f>
        <v>0.95</v>
      </c>
      <c r="AT45" s="115" t="n">
        <f aca="false">IF(SUM($AP45)=0,"",ROUND(SUM($AP45)*$AR45,0))</f>
        <v>8</v>
      </c>
      <c r="AU45" s="115" t="n">
        <f aca="false">IF(LEFT($B45,4)="_Mil","",ROUND(SUM($AA45)*SUM($AS45),0))</f>
        <v>255</v>
      </c>
      <c r="AV45" s="124" t="n">
        <f aca="false">IF(SUM($AU45)&lt;=0,"",MAX(SUM($AU45)-SUM($R45),0))</f>
        <v>255</v>
      </c>
      <c r="AW45" s="122" t="n">
        <f aca="false">0</f>
        <v>0</v>
      </c>
      <c r="AX45" s="124" t="n">
        <f aca="false">IF(SUM($AM45)=0,"",ROUND(SUM($AM45)*SUM($AW45),0))</f>
        <v>0</v>
      </c>
      <c r="AY45" s="124" t="n">
        <f aca="false">IF(SUM($AM45)=0,"",SUM($AM45)-SUM($AX45))</f>
        <v>1</v>
      </c>
      <c r="AZ45" s="123" t="n">
        <v>10</v>
      </c>
      <c r="BA45" s="123" t="n">
        <f aca="false">0.95</f>
        <v>0.95</v>
      </c>
      <c r="BB45" s="123"/>
      <c r="BC45" s="123" t="n">
        <f aca="false">IF(OR(SUM($AM45)&lt;=0,$C45="&lt;01"),"",MAX(IF(OR(SUM($Y45)&lt;70%,LEFT($B45,4)="_Mil"),30%,IF(SUM($Y45)&gt;=80%,75%,50%)),SUM($BB45)))</f>
        <v>0.75</v>
      </c>
      <c r="BD45" s="115" t="n">
        <f aca="false">IF($C45="&lt;01",IFERROR(ROUND(INDEX(EID!$M:$M,MATCH($B45,EID!$B:$B,0)),0)/2,""),IF(SUM($AY45)=0,"",ROUND(SUM($AY45)/SUM($BA45),0)))</f>
        <v>1</v>
      </c>
      <c r="BE45" s="115" t="n">
        <f aca="false">IF($C45="&lt;01","",IF(SUM($BD45)=0,"",ROUND(SUM($BD45)*SUM($BC45),0)))</f>
        <v>1</v>
      </c>
      <c r="BF45" s="115" t="n">
        <f aca="false">_xlfn.IFNA(INDEX(PMTCT!$AE:$AE,MATCH($E45,PMTCT!$E:$E,0)),"")</f>
        <v>0</v>
      </c>
      <c r="BG45" s="115" t="n">
        <f aca="false">_xlfn.IFNA(INDEX(PMTCT!$AU:$AU,MATCH($E45,PMTCT!$E:$E,0)),"")</f>
        <v>0</v>
      </c>
      <c r="BH45" s="115" t="n">
        <f aca="false">_xlfn.IFNA(INDEX(TB!$Q:$Q,MATCH($E45,TB!$E:$E,0)),"")</f>
        <v>0</v>
      </c>
      <c r="BI45" s="115" t="str">
        <f aca="false">_xlfn.IFNA(INDEX(VMMC!$AC:$AC,MATCH($E45,VMMC!$E:$E,0)),"")</f>
        <v/>
      </c>
      <c r="BJ45" s="115" t="str">
        <f aca="false">IF($C45="&lt;01",$BD45,"")</f>
        <v/>
      </c>
      <c r="BK45" s="115" t="n">
        <f aca="false">IF(SUM($BD45)=0,"",($BD45)-SUM($BE45:$BJ45))</f>
        <v>0</v>
      </c>
      <c r="BL45" s="123" t="n">
        <f aca="false">IF(OR(SUM($BD45)=0,SUM($BE45)=0),"",SUM($BE45)/$BD45)</f>
        <v>1</v>
      </c>
      <c r="BM45" s="123" t="str">
        <f aca="false">IF(OR(SUM($BD45)=0,SUM($BF45)=0),"",SUM($BF45)/$BD45)</f>
        <v/>
      </c>
      <c r="BN45" s="123" t="str">
        <f aca="false">IF(OR(SUM($BD45)=0,SUM($BG45)=0),"",SUM($BG45)/$BD45)</f>
        <v/>
      </c>
      <c r="BO45" s="123" t="str">
        <f aca="false">IF(OR(SUM($BD45)=0,SUM($BH45)=0),"",SUM($BH45)/$BD45)</f>
        <v/>
      </c>
      <c r="BP45" s="123" t="str">
        <f aca="false">IF(OR(SUM($BD45)=0,SUM($BI45)=0),"",SUM($BI45)/$BD45)</f>
        <v/>
      </c>
      <c r="BQ45" s="123" t="str">
        <f aca="false">IF(AND($C45="&lt;01",SUM($BJ45)&lt;&gt;0),$BJ45/SUM($BD45),"")</f>
        <v/>
      </c>
      <c r="BR45" s="123" t="str">
        <f aca="false">IF(OR(SUM($BD45)=0,SUM($BK45)=0),"",SUM($BK45)/$BD45)</f>
        <v/>
      </c>
      <c r="BS45" s="122" t="n">
        <f aca="false">IF(SUM($X45)&lt;=0,"",$X45)</f>
        <v>0.0288065843621399</v>
      </c>
      <c r="BT45" s="115" t="n">
        <f aca="false">IF(LEFT($B45,4)="_Mil","",MAX(SUM($L45)+ROUND(SUM($BD45)/IF(SUM($BS45)&lt;=0,1,SUM($BS45)),0),0))</f>
        <v>252</v>
      </c>
    </row>
    <row r="46" customFormat="false" ht="15" hidden="false" customHeight="false" outlineLevel="0" collapsed="false">
      <c r="A46" s="0" t="s">
        <v>142</v>
      </c>
      <c r="B46" s="0" t="s">
        <v>109</v>
      </c>
      <c r="C46" s="0" t="s">
        <v>61</v>
      </c>
      <c r="D46" s="0" t="s">
        <v>58</v>
      </c>
      <c r="E46" s="0" t="str">
        <f aca="false">B46&amp;"|"&amp;C46&amp;"|"&amp;D46</f>
        <v>Berea [#SNU] [#DREAMS] [wpg5evyl1OL]|10-14|Male</v>
      </c>
      <c r="F46" s="115" t="n">
        <f aca="false">_xlfn.IFNA(ROUND(INDEX(Spectrum!$N:$N,MATCH(RIGHT($B46,13)&amp;"|"&amp;$C46&amp;"|"&amp;$D46&amp;"|"&amp;F$14&amp;"|"&amp;"CY2021Q3",Spectrum!$Q:$Q,0)),0),"")</f>
        <v>13241</v>
      </c>
      <c r="G46" s="123" t="n">
        <f aca="false">_xlfn.IFNA(INDEX(Spectrum!$P:$P,MATCH(RIGHT($B46,13)&amp;"|"&amp;$C46&amp;"|"&amp;$D46&amp;"|"&amp;F$14&amp;"|"&amp;"CY2021Q3",Spectrum!$Q:$Q,0)),"")</f>
        <v>21</v>
      </c>
      <c r="H46" s="115" t="n">
        <f aca="false">_xlfn.IFNA(ROUND(INDEX(Spectrum!$N:$N,MATCH(RIGHT($B46,13)&amp;"|"&amp;$C46&amp;"|"&amp;$D46&amp;"|"&amp;H$14&amp;"|"&amp;"CY2021Q3",Spectrum!$Q:$Q,0)),0),"")</f>
        <v>302</v>
      </c>
      <c r="I46" s="123" t="n">
        <f aca="false">_xlfn.IFNA(INDEX(Spectrum!$P:$P,MATCH(RIGHT($B46,13)&amp;"|"&amp;$C46&amp;"|"&amp;$D46&amp;"|"&amp;H$14&amp;"|"&amp;"CY2021Q3",Spectrum!$Q:$Q,0)),"")</f>
        <v>12</v>
      </c>
      <c r="J46" s="117" t="n">
        <f aca="false">_xlfn.IFNA(INDEX(Spectrum!$N:$N,MATCH(RIGHT($B46,13)&amp;"|"&amp;$C46&amp;"|"&amp;$D46&amp;"|"&amp;J$14&amp;"|"&amp;"CY2021Q3",Spectrum!$Q:$Q,0)),"")</f>
        <v>0.0227714</v>
      </c>
      <c r="K46" s="123" t="n">
        <f aca="false">_xlfn.IFNA(INDEX(Spectrum!$P:$P,MATCH(RIGHT($B46,13)&amp;"|"&amp;$C46&amp;"|"&amp;$D46&amp;"|"&amp;J$14&amp;"|"&amp;"CY2021Q3",Spectrum!$Q:$Q,0)),"")</f>
        <v>26</v>
      </c>
      <c r="L46" s="115" t="n">
        <f aca="false">_xlfn.IFNA(ROUND(INDEX(Spectrum!$N:$N,MATCH(RIGHT($B46,13)&amp;"|"&amp;$C46&amp;"|"&amp;$D46&amp;"|"&amp;L$14&amp;"|"&amp;"CY2021Q3",Spectrum!$Q:$Q,0)),0),"")</f>
        <v>224</v>
      </c>
      <c r="M46" s="123" t="n">
        <f aca="false">IF(OR(SUM($H46)&lt;=0,SUM($L46)&lt;=0),"",SUM($L46)/$H46)</f>
        <v>0.741721854304636</v>
      </c>
      <c r="N46" s="115" t="str">
        <f aca="false">_xlfn.IFNA(ROUND(INDEX(Spectrum!$N:$N,MATCH(RIGHT($B46,13)&amp;"|"&amp;$C46&amp;"|"&amp;$D46&amp;"|"&amp;N$14&amp;"|"&amp;"CY2020Q4",Spectrum!$Q:$Q,0)),0),"")</f>
        <v/>
      </c>
      <c r="O46" s="123" t="str">
        <f aca="false">_xlfn.IFNA(INDEX(Spectrum!$P:$P,MATCH(RIGHT($B46,13)&amp;"|"&amp;$C46&amp;"|"&amp;$D46&amp;"|"&amp;N$14&amp;"|"&amp;"CY2020Q4",Spectrum!$Q:$Q,0)),"")</f>
        <v/>
      </c>
      <c r="P46" s="115" t="n">
        <f aca="false">_xlfn.IFNA(ROUND(INDEX(Spectrum!$N:$N,MATCH(RIGHT($B46,13)&amp;"|"&amp;$C46&amp;"|"&amp;$D46&amp;"|"&amp;P$14&amp;"|"&amp;"CY2021Q3",Spectrum!$Q:$Q,0)),0),"")</f>
        <v>252</v>
      </c>
      <c r="Q46" s="123" t="n">
        <f aca="false">_xlfn.IFNA(INDEX(Spectrum!$P:$P,MATCH(RIGHT($B46,13)&amp;"|"&amp;$C46&amp;"|"&amp;$D46&amp;"|"&amp;P$14&amp;"|"&amp;"CY2021Q3",Spectrum!$Q:$Q,0)),"")</f>
        <v>11</v>
      </c>
      <c r="R46" s="115"/>
      <c r="S46" s="123" t="str">
        <f aca="false">IF(OR(SUM($P46)&lt;=0,SUM($R46)&lt;=0),"",SUM($R46)/$P46)</f>
        <v/>
      </c>
      <c r="T46" s="139" t="n">
        <v>26</v>
      </c>
      <c r="U46" s="124" t="n">
        <v>11</v>
      </c>
      <c r="V46" s="124" t="n">
        <f aca="false">IF($U46-$T46=0,"",$U46-$T46)</f>
        <v>-15</v>
      </c>
      <c r="W46" s="123" t="n">
        <f aca="false">IF(LEFT($B46,4)="_Mil","",IFERROR(MIN(IF(SUM($N46)&lt;=0,SUM($U46)/SUM($P46),SUM($T46)/SUM($N46)),1),""))</f>
        <v>0.0436507936507936</v>
      </c>
      <c r="X46" s="123" t="n">
        <f aca="false">$W46</f>
        <v>0.0436507936507936</v>
      </c>
      <c r="Y46" s="123" t="n">
        <f aca="false">IFERROR(1/(1/INDEX(Spectrum!$N:$N,MATCH(RIGHT($B46,13)&amp;"|"&amp;$C46&amp;"|"&amp;$D46&amp;"|"&amp;Y$14&amp;"|"&amp;"CY2021Q3",Spectrum!$Q:$Q,0))),IF(SUM($H46)=0,"",MAX(SUM($P46),SUM($U46))/SUM($H46)))</f>
        <v>0.834437086092715</v>
      </c>
      <c r="Z46" s="123" t="n">
        <f aca="false">IF(SUM($Y46)=0,"",MAX(SUM($Y46),90%))</f>
        <v>0.9</v>
      </c>
      <c r="AA46" s="115" t="n">
        <f aca="false">IF(LEFT($B46,4)="_Mil","",ROUND(MAX(SUM($U46),SUM($P46))+IF(SUM($Z46)=0,0,MAX(SUM($Z46)-SUM($Y46),0)*SUM($H46)),0))</f>
        <v>272</v>
      </c>
      <c r="AB46" s="115" t="n">
        <f aca="false">IF(SUM($AA46)=0,"",ROUND(MAX(SUM($AA46)-MAX(SUM($P46),SUM($U46)),0),0))</f>
        <v>20</v>
      </c>
      <c r="AC46" s="126" t="str">
        <f aca="false">IF($C46="&lt;01",IFERROR(ROUND(INDEX(EID!$N:$N,MATCH($B46,EID!$B:$B,0))/2,0),""),"")</f>
        <v/>
      </c>
      <c r="AD46" s="115" t="n">
        <f aca="false">IF($C46="&lt;01",IF(SUM($AC46)=0,"",ROUND(SUM($AC46)/$AG46,0)),IF(SUM($AB46)=0,"",ROUND(MAX($X46,0)*SUM($AB46),0)))</f>
        <v>1</v>
      </c>
      <c r="AE46" s="115" t="n">
        <f aca="false">IF(AND(SUM($AD46)=0,SUM($U46)=0),"",ROUND(IF($C46="&lt;01",0,SUM($U46))+SUM($AD46),0))</f>
        <v>12</v>
      </c>
      <c r="AF46" s="122" t="n">
        <f aca="false">IF($C46="&lt;01","",100%)</f>
        <v>1</v>
      </c>
      <c r="AG46" s="123" t="n">
        <f aca="false">0.98</f>
        <v>0.98</v>
      </c>
      <c r="AH46" s="123" t="n">
        <f aca="false">0.98</f>
        <v>0.98</v>
      </c>
      <c r="AI46" s="124" t="n">
        <f aca="false">IF(OR($C46="&lt;01",SUM($U46)=0),"",ROUND(SUM($U46)*(1-$AH46),0))</f>
        <v>0</v>
      </c>
      <c r="AJ46" s="124" t="n">
        <f aca="false">IF(AND(SUM($AE46)=0,SUM($U46)=0),"",IF($C46="&lt;01",SUM($AD46),SUM($AE46) - ROUND(SUM($U46)*$AH46,0)))</f>
        <v>1</v>
      </c>
      <c r="AK46" s="124" t="n">
        <v>1</v>
      </c>
      <c r="AL46" s="124" t="n">
        <v>40</v>
      </c>
      <c r="AM46" s="115" t="n">
        <f aca="false">IF(AND(SUM($AD46)=0,SUM($U46)=0),"",IF($C46="&lt;01",SUM($AD46),ROUND(ROUND(SUM($AJ46)*$AF46,0)/$AG46,0)))</f>
        <v>1</v>
      </c>
      <c r="AN46" s="122" t="n">
        <f aca="false">0.7</f>
        <v>0.7</v>
      </c>
      <c r="AO46" s="123" t="n">
        <f aca="false">1</f>
        <v>1</v>
      </c>
      <c r="AP46" s="115" t="n">
        <f aca="false">IF(AND(SUM($U46)=0,SUM($AM46)=0),"",ROUND((SUM($AM46)*$AN46+IF($C46="&lt;01",0,$U46))*$AO46,0))</f>
        <v>12</v>
      </c>
      <c r="AQ46" s="122" t="n">
        <v>47</v>
      </c>
      <c r="AR46" s="123" t="n">
        <f aca="false">0.95</f>
        <v>0.95</v>
      </c>
      <c r="AS46" s="123" t="n">
        <f aca="false">0.95</f>
        <v>0.95</v>
      </c>
      <c r="AT46" s="115" t="n">
        <f aca="false">IF(SUM($AP46)=0,"",ROUND(SUM($AP46)*$AR46,0))</f>
        <v>11</v>
      </c>
      <c r="AU46" s="115" t="n">
        <f aca="false">IF(LEFT($B46,4)="_Mil","",ROUND(SUM($AA46)*SUM($AS46),0))</f>
        <v>258</v>
      </c>
      <c r="AV46" s="124" t="n">
        <f aca="false">IF(SUM($AU46)&lt;=0,"",MAX(SUM($AU46)-SUM($R46),0))</f>
        <v>258</v>
      </c>
      <c r="AW46" s="122" t="n">
        <f aca="false">0</f>
        <v>0</v>
      </c>
      <c r="AX46" s="124" t="n">
        <f aca="false">IF(SUM($AM46)=0,"",ROUND(SUM($AM46)*SUM($AW46),0))</f>
        <v>0</v>
      </c>
      <c r="AY46" s="124" t="n">
        <f aca="false">IF(SUM($AM46)=0,"",SUM($AM46)-SUM($AX46))</f>
        <v>1</v>
      </c>
      <c r="AZ46" s="123" t="n">
        <v>39</v>
      </c>
      <c r="BA46" s="123" t="n">
        <f aca="false">0.95</f>
        <v>0.95</v>
      </c>
      <c r="BB46" s="123"/>
      <c r="BC46" s="123" t="n">
        <f aca="false">IF(OR(SUM($AM46)&lt;=0,$C46="&lt;01"),"",MAX(IF(OR(SUM($Y46)&lt;70%,LEFT($B46,4)="_Mil"),30%,IF(SUM($Y46)&gt;=80%,75%,50%)),SUM($BB46)))</f>
        <v>0.75</v>
      </c>
      <c r="BD46" s="115" t="n">
        <f aca="false">IF($C46="&lt;01",IFERROR(ROUND(INDEX(EID!$M:$M,MATCH($B46,EID!$B:$B,0)),0)/2,""),IF(SUM($AY46)=0,"",ROUND(SUM($AY46)/SUM($BA46),0)))</f>
        <v>1</v>
      </c>
      <c r="BE46" s="115" t="n">
        <f aca="false">IF($C46="&lt;01","",IF(SUM($BD46)=0,"",ROUND(SUM($BD46)*SUM($BC46),0)))</f>
        <v>1</v>
      </c>
      <c r="BF46" s="115" t="str">
        <f aca="false">_xlfn.IFNA(INDEX(PMTCT!$AE:$AE,MATCH($E46,PMTCT!$E:$E,0)),"")</f>
        <v/>
      </c>
      <c r="BG46" s="115" t="str">
        <f aca="false">_xlfn.IFNA(INDEX(PMTCT!$AU:$AU,MATCH($E46,PMTCT!$E:$E,0)),"")</f>
        <v/>
      </c>
      <c r="BH46" s="115" t="n">
        <f aca="false">_xlfn.IFNA(INDEX(TB!$Q:$Q,MATCH($E46,TB!$E:$E,0)),"")</f>
        <v>0</v>
      </c>
      <c r="BI46" s="115" t="str">
        <f aca="false">_xlfn.IFNA(INDEX(VMMC!$AC:$AC,MATCH($E46,VMMC!$E:$E,0)),"")</f>
        <v/>
      </c>
      <c r="BJ46" s="115" t="str">
        <f aca="false">IF($C46="&lt;01",$BD46,"")</f>
        <v/>
      </c>
      <c r="BK46" s="115" t="n">
        <f aca="false">IF(SUM($BD46)=0,"",($BD46)-SUM($BE46:$BJ46))</f>
        <v>0</v>
      </c>
      <c r="BL46" s="123" t="n">
        <f aca="false">IF(OR(SUM($BD46)=0,SUM($BE46)=0),"",SUM($BE46)/$BD46)</f>
        <v>1</v>
      </c>
      <c r="BM46" s="123" t="str">
        <f aca="false">IF(OR(SUM($BD46)=0,SUM($BF46)=0),"",SUM($BF46)/$BD46)</f>
        <v/>
      </c>
      <c r="BN46" s="123" t="str">
        <f aca="false">IF(OR(SUM($BD46)=0,SUM($BG46)=0),"",SUM($BG46)/$BD46)</f>
        <v/>
      </c>
      <c r="BO46" s="123" t="str">
        <f aca="false">IF(OR(SUM($BD46)=0,SUM($BH46)=0),"",SUM($BH46)/$BD46)</f>
        <v/>
      </c>
      <c r="BP46" s="123" t="str">
        <f aca="false">IF(OR(SUM($BD46)=0,SUM($BI46)=0),"",SUM($BI46)/$BD46)</f>
        <v/>
      </c>
      <c r="BQ46" s="123" t="str">
        <f aca="false">IF(AND($C46="&lt;01",SUM($BJ46)&lt;&gt;0),$BJ46/SUM($BD46),"")</f>
        <v/>
      </c>
      <c r="BR46" s="123" t="str">
        <f aca="false">IF(OR(SUM($BD46)=0,SUM($BK46)=0),"",SUM($BK46)/$BD46)</f>
        <v/>
      </c>
      <c r="BS46" s="122" t="n">
        <f aca="false">IF(SUM($X46)&lt;=0,"",$X46)</f>
        <v>0.0436507936507936</v>
      </c>
      <c r="BT46" s="115" t="n">
        <f aca="false">IF(LEFT($B46,4)="_Mil","",MAX(SUM($L46)+ROUND(SUM($BD46)/IF(SUM($BS46)&lt;=0,1,SUM($BS46)),0),0))</f>
        <v>247</v>
      </c>
    </row>
    <row r="47" customFormat="false" ht="15" hidden="false" customHeight="false" outlineLevel="0" collapsed="false">
      <c r="A47" s="0" t="s">
        <v>142</v>
      </c>
      <c r="B47" s="0" t="s">
        <v>109</v>
      </c>
      <c r="C47" s="0" t="s">
        <v>63</v>
      </c>
      <c r="D47" s="0" t="s">
        <v>56</v>
      </c>
      <c r="E47" s="0" t="str">
        <f aca="false">B47&amp;"|"&amp;C47&amp;"|"&amp;D47</f>
        <v>Berea [#SNU] [#DREAMS] [wpg5evyl1OL]|15-19|Female</v>
      </c>
      <c r="F47" s="115" t="n">
        <f aca="false">_xlfn.IFNA(ROUND(INDEX(Spectrum!$N:$N,MATCH(RIGHT($B47,13)&amp;"|"&amp;$C47&amp;"|"&amp;$D47&amp;"|"&amp;F$14&amp;"|"&amp;"CY2021Q3",Spectrum!$Q:$Q,0)),0),"")</f>
        <v>12445</v>
      </c>
      <c r="G47" s="123" t="n">
        <f aca="false">_xlfn.IFNA(INDEX(Spectrum!$P:$P,MATCH(RIGHT($B47,13)&amp;"|"&amp;$C47&amp;"|"&amp;$D47&amp;"|"&amp;F$14&amp;"|"&amp;"CY2021Q3",Spectrum!$Q:$Q,0)),"")</f>
        <v>1</v>
      </c>
      <c r="H47" s="115" t="n">
        <f aca="false">_xlfn.IFNA(ROUND(INDEX(Spectrum!$N:$N,MATCH(RIGHT($B47,13)&amp;"|"&amp;$C47&amp;"|"&amp;$D47&amp;"|"&amp;H$14&amp;"|"&amp;"CY2021Q3",Spectrum!$Q:$Q,0)),0),"")</f>
        <v>522</v>
      </c>
      <c r="I47" s="123" t="n">
        <f aca="false">_xlfn.IFNA(INDEX(Spectrum!$P:$P,MATCH(RIGHT($B47,13)&amp;"|"&amp;$C47&amp;"|"&amp;$D47&amp;"|"&amp;H$14&amp;"|"&amp;"CY2021Q3",Spectrum!$Q:$Q,0)),"")</f>
        <v>42</v>
      </c>
      <c r="J47" s="117" t="n">
        <f aca="false">_xlfn.IFNA(INDEX(Spectrum!$N:$N,MATCH(RIGHT($B47,13)&amp;"|"&amp;$C47&amp;"|"&amp;$D47&amp;"|"&amp;J$14&amp;"|"&amp;"CY2021Q3",Spectrum!$Q:$Q,0)),"")</f>
        <v>0.0419618</v>
      </c>
      <c r="K47" s="123" t="n">
        <f aca="false">_xlfn.IFNA(INDEX(Spectrum!$P:$P,MATCH(RIGHT($B47,13)&amp;"|"&amp;$C47&amp;"|"&amp;$D47&amp;"|"&amp;J$14&amp;"|"&amp;"CY2021Q3",Spectrum!$Q:$Q,0)),"")</f>
        <v>49</v>
      </c>
      <c r="L47" s="115" t="n">
        <f aca="false">_xlfn.IFNA(ROUND(INDEX(Spectrum!$N:$N,MATCH(RIGHT($B47,13)&amp;"|"&amp;$C47&amp;"|"&amp;$D47&amp;"|"&amp;L$14&amp;"|"&amp;"CY2021Q3",Spectrum!$Q:$Q,0)),0),"")</f>
        <v>442</v>
      </c>
      <c r="M47" s="123" t="n">
        <f aca="false">IF(OR(SUM($H47)&lt;=0,SUM($L47)&lt;=0),"",SUM($L47)/$H47)</f>
        <v>0.846743295019157</v>
      </c>
      <c r="N47" s="115" t="str">
        <f aca="false">_xlfn.IFNA(ROUND(INDEX(Spectrum!$N:$N,MATCH(RIGHT($B47,13)&amp;"|"&amp;$C47&amp;"|"&amp;$D47&amp;"|"&amp;N$14&amp;"|"&amp;"CY2020Q4",Spectrum!$Q:$Q,0)),0),"")</f>
        <v/>
      </c>
      <c r="O47" s="123" t="str">
        <f aca="false">_xlfn.IFNA(INDEX(Spectrum!$P:$P,MATCH(RIGHT($B47,13)&amp;"|"&amp;$C47&amp;"|"&amp;$D47&amp;"|"&amp;N$14&amp;"|"&amp;"CY2020Q4",Spectrum!$Q:$Q,0)),"")</f>
        <v/>
      </c>
      <c r="P47" s="115" t="n">
        <f aca="false">_xlfn.IFNA(ROUND(INDEX(Spectrum!$N:$N,MATCH(RIGHT($B47,13)&amp;"|"&amp;$C47&amp;"|"&amp;$D47&amp;"|"&amp;P$14&amp;"|"&amp;"CY2021Q3",Spectrum!$Q:$Q,0)),0),"")</f>
        <v>384</v>
      </c>
      <c r="Q47" s="123" t="n">
        <f aca="false">_xlfn.IFNA(INDEX(Spectrum!$P:$P,MATCH(RIGHT($B47,13)&amp;"|"&amp;$C47&amp;"|"&amp;$D47&amp;"|"&amp;P$14&amp;"|"&amp;"CY2021Q3",Spectrum!$Q:$Q,0)),"")</f>
        <v>36</v>
      </c>
      <c r="R47" s="115"/>
      <c r="S47" s="123" t="str">
        <f aca="false">IF(OR(SUM($P47)&lt;=0,SUM($R47)&lt;=0),"",SUM($R47)/$P47)</f>
        <v/>
      </c>
      <c r="T47" s="139" t="n">
        <v>21</v>
      </c>
      <c r="U47" s="124" t="n">
        <v>4</v>
      </c>
      <c r="V47" s="124" t="n">
        <f aca="false">IF($U47-$T47=0,"",$U47-$T47)</f>
        <v>-17</v>
      </c>
      <c r="W47" s="123" t="n">
        <f aca="false">IF(LEFT($B47,4)="_Mil","",IFERROR(MIN(IF(SUM($N47)&lt;=0,SUM($U47)/SUM($P47),SUM($T47)/SUM($N47)),1),""))</f>
        <v>0.0104166666666667</v>
      </c>
      <c r="X47" s="123" t="n">
        <f aca="false">$W47</f>
        <v>0.0104166666666667</v>
      </c>
      <c r="Y47" s="123" t="n">
        <f aca="false">IFERROR(1/(1/INDEX(Spectrum!$N:$N,MATCH(RIGHT($B47,13)&amp;"|"&amp;$C47&amp;"|"&amp;$D47&amp;"|"&amp;Y$14&amp;"|"&amp;"CY2021Q3",Spectrum!$Q:$Q,0))),IF(SUM($H47)=0,"",MAX(SUM($P47),SUM($U47))/SUM($H47)))</f>
        <v>0.735632183908046</v>
      </c>
      <c r="Z47" s="123" t="n">
        <f aca="false">IF(SUM($Y47)=0,"",MAX(SUM($Y47),90%))</f>
        <v>0.9</v>
      </c>
      <c r="AA47" s="115" t="n">
        <f aca="false">IF(LEFT($B47,4)="_Mil","",ROUND(MAX(SUM($U47),SUM($P47))+IF(SUM($Z47)=0,0,MAX(SUM($Z47)-SUM($Y47),0)*SUM($H47)),0))</f>
        <v>470</v>
      </c>
      <c r="AB47" s="115" t="n">
        <f aca="false">IF(SUM($AA47)=0,"",ROUND(MAX(SUM($AA47)-MAX(SUM($P47),SUM($U47)),0),0))</f>
        <v>86</v>
      </c>
      <c r="AC47" s="126" t="str">
        <f aca="false">IF($C47="&lt;01",IFERROR(ROUND(INDEX(EID!$N:$N,MATCH($B47,EID!$B:$B,0))/2,0),""),"")</f>
        <v/>
      </c>
      <c r="AD47" s="115" t="n">
        <f aca="false">IF($C47="&lt;01",IF(SUM($AC47)=0,"",ROUND(SUM($AC47)/$AG47,0)),IF(SUM($AB47)=0,"",ROUND(MAX($X47,0)*SUM($AB47),0)))</f>
        <v>1</v>
      </c>
      <c r="AE47" s="115" t="n">
        <f aca="false">IF(AND(SUM($AD47)=0,SUM($U47)=0),"",ROUND(IF($C47="&lt;01",0,SUM($U47))+SUM($AD47),0))</f>
        <v>5</v>
      </c>
      <c r="AF47" s="122" t="n">
        <f aca="false">IF($C47="&lt;01","",100%)</f>
        <v>1</v>
      </c>
      <c r="AG47" s="123" t="n">
        <f aca="false">0.98</f>
        <v>0.98</v>
      </c>
      <c r="AH47" s="123" t="n">
        <f aca="false">0.98</f>
        <v>0.98</v>
      </c>
      <c r="AI47" s="124" t="n">
        <f aca="false">IF(OR($C47="&lt;01",SUM($U47)=0),"",ROUND(SUM($U47)*(1-$AH47),0))</f>
        <v>0</v>
      </c>
      <c r="AJ47" s="124" t="n">
        <f aca="false">IF(AND(SUM($AE47)=0,SUM($U47)=0),"",IF($C47="&lt;01",SUM($AD47),SUM($AE47) - ROUND(SUM($U47)*$AH47,0)))</f>
        <v>1</v>
      </c>
      <c r="AK47" s="124" t="n">
        <v>24</v>
      </c>
      <c r="AL47" s="124" t="n">
        <v>26</v>
      </c>
      <c r="AM47" s="115" t="n">
        <f aca="false">IF(AND(SUM($AD47)=0,SUM($U47)=0),"",IF($C47="&lt;01",SUM($AD47),ROUND(ROUND(SUM($AJ47)*$AF47,0)/$AG47,0)))</f>
        <v>1</v>
      </c>
      <c r="AN47" s="122" t="n">
        <f aca="false">0.7</f>
        <v>0.7</v>
      </c>
      <c r="AO47" s="123" t="n">
        <f aca="false">1</f>
        <v>1</v>
      </c>
      <c r="AP47" s="115" t="n">
        <f aca="false">IF(AND(SUM($U47)=0,SUM($AM47)=0),"",ROUND((SUM($AM47)*$AN47+IF($C47="&lt;01",0,$U47))*$AO47,0))</f>
        <v>5</v>
      </c>
      <c r="AQ47" s="122" t="n">
        <v>50</v>
      </c>
      <c r="AR47" s="123" t="n">
        <f aca="false">0.95</f>
        <v>0.95</v>
      </c>
      <c r="AS47" s="123" t="n">
        <f aca="false">0.95</f>
        <v>0.95</v>
      </c>
      <c r="AT47" s="115" t="n">
        <f aca="false">IF(SUM($AP47)=0,"",ROUND(SUM($AP47)*$AR47,0))</f>
        <v>5</v>
      </c>
      <c r="AU47" s="115" t="n">
        <f aca="false">IF(LEFT($B47,4)="_Mil","",ROUND(SUM($AA47)*SUM($AS47),0))</f>
        <v>447</v>
      </c>
      <c r="AV47" s="124" t="n">
        <f aca="false">IF(SUM($AU47)&lt;=0,"",MAX(SUM($AU47)-SUM($R47),0))</f>
        <v>447</v>
      </c>
      <c r="AW47" s="122" t="n">
        <f aca="false">0</f>
        <v>0</v>
      </c>
      <c r="AX47" s="124" t="n">
        <f aca="false">IF(SUM($AM47)=0,"",ROUND(SUM($AM47)*SUM($AW47),0))</f>
        <v>0</v>
      </c>
      <c r="AY47" s="124" t="n">
        <f aca="false">IF(SUM($AM47)=0,"",SUM($AM47)-SUM($AX47))</f>
        <v>1</v>
      </c>
      <c r="AZ47" s="123" t="n">
        <v>7</v>
      </c>
      <c r="BA47" s="123" t="n">
        <f aca="false">0.95</f>
        <v>0.95</v>
      </c>
      <c r="BB47" s="123"/>
      <c r="BC47" s="123" t="n">
        <f aca="false">IF(OR(SUM($AM47)&lt;=0,$C47="&lt;01"),"",MAX(IF(OR(SUM($Y47)&lt;70%,LEFT($B47,4)="_Mil"),30%,IF(SUM($Y47)&gt;=80%,75%,50%)),SUM($BB47)))</f>
        <v>0.5</v>
      </c>
      <c r="BD47" s="115" t="n">
        <f aca="false">IF($C47="&lt;01",IFERROR(ROUND(INDEX(EID!$M:$M,MATCH($B47,EID!$B:$B,0)),0)/2,""),IF(SUM($AY47)=0,"",ROUND(SUM($AY47)/SUM($BA47),0)))</f>
        <v>1</v>
      </c>
      <c r="BE47" s="115" t="n">
        <f aca="false">IF($C47="&lt;01","",IF(SUM($BD47)=0,"",ROUND(SUM($BD47)*SUM($BC47),0)))</f>
        <v>1</v>
      </c>
      <c r="BF47" s="115" t="n">
        <f aca="false">_xlfn.IFNA(INDEX(PMTCT!$AE:$AE,MATCH($E47,PMTCT!$E:$E,0)),"")</f>
        <v>-6006</v>
      </c>
      <c r="BG47" s="115" t="str">
        <f aca="false">_xlfn.IFNA(INDEX(PMTCT!$AU:$AU,MATCH($E47,PMTCT!$E:$E,0)),"")</f>
        <v/>
      </c>
      <c r="BH47" s="115" t="n">
        <f aca="false">_xlfn.IFNA(INDEX(TB!$Q:$Q,MATCH($E47,TB!$E:$E,0)),"")</f>
        <v>-0</v>
      </c>
      <c r="BI47" s="115" t="str">
        <f aca="false">_xlfn.IFNA(INDEX(VMMC!$AC:$AC,MATCH($E47,VMMC!$E:$E,0)),"")</f>
        <v/>
      </c>
      <c r="BJ47" s="115" t="str">
        <f aca="false">IF($C47="&lt;01",$BD47,"")</f>
        <v/>
      </c>
      <c r="BK47" s="115" t="n">
        <f aca="false">IF(SUM($BD47)=0,"",($BD47)-SUM($BE47:$BJ47))</f>
        <v>6006</v>
      </c>
      <c r="BL47" s="123" t="n">
        <f aca="false">IF(OR(SUM($BD47)=0,SUM($BE47)=0),"",SUM($BE47)/$BD47)</f>
        <v>1</v>
      </c>
      <c r="BM47" s="123" t="n">
        <f aca="false">IF(OR(SUM($BD47)=0,SUM($BF47)=0),"",SUM($BF47)/$BD47)</f>
        <v>-6006</v>
      </c>
      <c r="BN47" s="123" t="str">
        <f aca="false">IF(OR(SUM($BD47)=0,SUM($BG47)=0),"",SUM($BG47)/$BD47)</f>
        <v/>
      </c>
      <c r="BO47" s="123" t="str">
        <f aca="false">IF(OR(SUM($BD47)=0,SUM($BH47)=0),"",SUM($BH47)/$BD47)</f>
        <v/>
      </c>
      <c r="BP47" s="123" t="str">
        <f aca="false">IF(OR(SUM($BD47)=0,SUM($BI47)=0),"",SUM($BI47)/$BD47)</f>
        <v/>
      </c>
      <c r="BQ47" s="123" t="str">
        <f aca="false">IF(AND($C47="&lt;01",SUM($BJ47)&lt;&gt;0),$BJ47/SUM($BD47),"")</f>
        <v/>
      </c>
      <c r="BR47" s="123" t="n">
        <f aca="false">IF(OR(SUM($BD47)=0,SUM($BK47)=0),"",SUM($BK47)/$BD47)</f>
        <v>6006</v>
      </c>
      <c r="BS47" s="122" t="n">
        <f aca="false">IF(SUM($X47)&lt;=0,"",$X47)</f>
        <v>0.0104166666666667</v>
      </c>
      <c r="BT47" s="115" t="n">
        <f aca="false">IF(LEFT($B47,4)="_Mil","",MAX(SUM($L47)+ROUND(SUM($BD47)/IF(SUM($BS47)&lt;=0,1,SUM($BS47)),0),0))</f>
        <v>538</v>
      </c>
    </row>
    <row r="48" customFormat="false" ht="15" hidden="false" customHeight="false" outlineLevel="0" collapsed="false">
      <c r="A48" s="0" t="s">
        <v>142</v>
      </c>
      <c r="B48" s="0" t="s">
        <v>109</v>
      </c>
      <c r="C48" s="0" t="s">
        <v>63</v>
      </c>
      <c r="D48" s="0" t="s">
        <v>58</v>
      </c>
      <c r="E48" s="0" t="str">
        <f aca="false">B48&amp;"|"&amp;C48&amp;"|"&amp;D48</f>
        <v>Berea [#SNU] [#DREAMS] [wpg5evyl1OL]|15-19|Male</v>
      </c>
      <c r="F48" s="115" t="n">
        <f aca="false">_xlfn.IFNA(ROUND(INDEX(Spectrum!$N:$N,MATCH(RIGHT($B48,13)&amp;"|"&amp;$C48&amp;"|"&amp;$D48&amp;"|"&amp;F$14&amp;"|"&amp;"CY2021Q3",Spectrum!$Q:$Q,0)),0),"")</f>
        <v>12882</v>
      </c>
      <c r="G48" s="123" t="n">
        <f aca="false">_xlfn.IFNA(INDEX(Spectrum!$P:$P,MATCH(RIGHT($B48,13)&amp;"|"&amp;$C48&amp;"|"&amp;$D48&amp;"|"&amp;F$14&amp;"|"&amp;"CY2021Q3",Spectrum!$Q:$Q,0)),"")</f>
        <v>3</v>
      </c>
      <c r="H48" s="115" t="n">
        <f aca="false">_xlfn.IFNA(ROUND(INDEX(Spectrum!$N:$N,MATCH(RIGHT($B48,13)&amp;"|"&amp;$C48&amp;"|"&amp;$D48&amp;"|"&amp;H$14&amp;"|"&amp;"CY2021Q3",Spectrum!$Q:$Q,0)),0),"")</f>
        <v>307</v>
      </c>
      <c r="I48" s="123" t="n">
        <f aca="false">_xlfn.IFNA(INDEX(Spectrum!$P:$P,MATCH(RIGHT($B48,13)&amp;"|"&amp;$C48&amp;"|"&amp;$D48&amp;"|"&amp;H$14&amp;"|"&amp;"CY2021Q3",Spectrum!$Q:$Q,0)),"")</f>
        <v>24</v>
      </c>
      <c r="J48" s="117" t="n">
        <f aca="false">_xlfn.IFNA(INDEX(Spectrum!$N:$N,MATCH(RIGHT($B48,13)&amp;"|"&amp;$C48&amp;"|"&amp;$D48&amp;"|"&amp;J$14&amp;"|"&amp;"CY2021Q3",Spectrum!$Q:$Q,0)),"")</f>
        <v>0.0237972</v>
      </c>
      <c r="K48" s="123" t="n">
        <f aca="false">_xlfn.IFNA(INDEX(Spectrum!$P:$P,MATCH(RIGHT($B48,13)&amp;"|"&amp;$C48&amp;"|"&amp;$D48&amp;"|"&amp;J$14&amp;"|"&amp;"CY2021Q3",Spectrum!$Q:$Q,0)),"")</f>
        <v>5</v>
      </c>
      <c r="L48" s="115" t="n">
        <f aca="false">_xlfn.IFNA(ROUND(INDEX(Spectrum!$N:$N,MATCH(RIGHT($B48,13)&amp;"|"&amp;$C48&amp;"|"&amp;$D48&amp;"|"&amp;L$14&amp;"|"&amp;"CY2021Q3",Spectrum!$Q:$Q,0)),0),"")</f>
        <v>318</v>
      </c>
      <c r="M48" s="123" t="n">
        <f aca="false">IF(OR(SUM($H48)&lt;=0,SUM($L48)&lt;=0),"",SUM($L48)/$H48)</f>
        <v>1.03583061889251</v>
      </c>
      <c r="N48" s="115" t="str">
        <f aca="false">_xlfn.IFNA(ROUND(INDEX(Spectrum!$N:$N,MATCH(RIGHT($B48,13)&amp;"|"&amp;$C48&amp;"|"&amp;$D48&amp;"|"&amp;N$14&amp;"|"&amp;"CY2020Q4",Spectrum!$Q:$Q,0)),0),"")</f>
        <v/>
      </c>
      <c r="O48" s="123" t="str">
        <f aca="false">_xlfn.IFNA(INDEX(Spectrum!$P:$P,MATCH(RIGHT($B48,13)&amp;"|"&amp;$C48&amp;"|"&amp;$D48&amp;"|"&amp;N$14&amp;"|"&amp;"CY2020Q4",Spectrum!$Q:$Q,0)),"")</f>
        <v/>
      </c>
      <c r="P48" s="115" t="n">
        <f aca="false">_xlfn.IFNA(ROUND(INDEX(Spectrum!$N:$N,MATCH(RIGHT($B48,13)&amp;"|"&amp;$C48&amp;"|"&amp;$D48&amp;"|"&amp;P$14&amp;"|"&amp;"CY2021Q3",Spectrum!$Q:$Q,0)),0),"")</f>
        <v>282</v>
      </c>
      <c r="Q48" s="123" t="n">
        <f aca="false">_xlfn.IFNA(INDEX(Spectrum!$P:$P,MATCH(RIGHT($B48,13)&amp;"|"&amp;$C48&amp;"|"&amp;$D48&amp;"|"&amp;P$14&amp;"|"&amp;"CY2021Q3",Spectrum!$Q:$Q,0)),"")</f>
        <v>21</v>
      </c>
      <c r="R48" s="115"/>
      <c r="S48" s="123" t="str">
        <f aca="false">IF(OR(SUM($P48)&lt;=0,SUM($R48)&lt;=0),"",SUM($R48)/$P48)</f>
        <v/>
      </c>
      <c r="T48" s="139" t="n">
        <v>35</v>
      </c>
      <c r="U48" s="124" t="n">
        <v>1</v>
      </c>
      <c r="V48" s="124" t="n">
        <f aca="false">IF($U48-$T48=0,"",$U48-$T48)</f>
        <v>-34</v>
      </c>
      <c r="W48" s="123" t="n">
        <f aca="false">IF(LEFT($B48,4)="_Mil","",IFERROR(MIN(IF(SUM($N48)&lt;=0,SUM($U48)/SUM($P48),SUM($T48)/SUM($N48)),1),""))</f>
        <v>0.00354609929078014</v>
      </c>
      <c r="X48" s="123" t="n">
        <f aca="false">$W48</f>
        <v>0.00354609929078014</v>
      </c>
      <c r="Y48" s="123" t="n">
        <f aca="false">IFERROR(1/(1/INDEX(Spectrum!$N:$N,MATCH(RIGHT($B48,13)&amp;"|"&amp;$C48&amp;"|"&amp;$D48&amp;"|"&amp;Y$14&amp;"|"&amp;"CY2021Q3",Spectrum!$Q:$Q,0))),IF(SUM($H48)=0,"",MAX(SUM($P48),SUM($U48))/SUM($H48)))</f>
        <v>0.9185667752443</v>
      </c>
      <c r="Z48" s="123" t="n">
        <f aca="false">IF(SUM($Y48)=0,"",MAX(SUM($Y48),90%))</f>
        <v>0.9185667752443</v>
      </c>
      <c r="AA48" s="115" t="n">
        <f aca="false">IF(LEFT($B48,4)="_Mil","",ROUND(MAX(SUM($U48),SUM($P48))+IF(SUM($Z48)=0,0,MAX(SUM($Z48)-SUM($Y48),0)*SUM($H48)),0))</f>
        <v>282</v>
      </c>
      <c r="AB48" s="115" t="n">
        <f aca="false">IF(SUM($AA48)=0,"",ROUND(MAX(SUM($AA48)-MAX(SUM($P48),SUM($U48)),0),0))</f>
        <v>0</v>
      </c>
      <c r="AC48" s="126" t="str">
        <f aca="false">IF($C48="&lt;01",IFERROR(ROUND(INDEX(EID!$N:$N,MATCH($B48,EID!$B:$B,0))/2,0),""),"")</f>
        <v/>
      </c>
      <c r="AD48" s="115" t="str">
        <f aca="false">IF($C48="&lt;01",IF(SUM($AC48)=0,"",ROUND(SUM($AC48)/$AG48,0)),IF(SUM($AB48)=0,"",ROUND(MAX($X48,0)*SUM($AB48),0)))</f>
        <v/>
      </c>
      <c r="AE48" s="115" t="n">
        <f aca="false">IF(AND(SUM($AD48)=0,SUM($U48)=0),"",ROUND(IF($C48="&lt;01",0,SUM($U48))+SUM($AD48),0))</f>
        <v>1</v>
      </c>
      <c r="AF48" s="122" t="n">
        <f aca="false">IF($C48="&lt;01","",100%)</f>
        <v>1</v>
      </c>
      <c r="AG48" s="123" t="n">
        <f aca="false">0.98</f>
        <v>0.98</v>
      </c>
      <c r="AH48" s="123" t="n">
        <f aca="false">0.98</f>
        <v>0.98</v>
      </c>
      <c r="AI48" s="124" t="n">
        <f aca="false">IF(OR($C48="&lt;01",SUM($U48)=0),"",ROUND(SUM($U48)*(1-$AH48),0))</f>
        <v>0</v>
      </c>
      <c r="AJ48" s="124" t="n">
        <f aca="false">IF(AND(SUM($AE48)=0,SUM($U48)=0),"",IF($C48="&lt;01",SUM($AD48),SUM($AE48) - ROUND(SUM($U48)*$AH48,0)))</f>
        <v>0</v>
      </c>
      <c r="AK48" s="124" t="n">
        <v>15</v>
      </c>
      <c r="AL48" s="124" t="n">
        <v>18</v>
      </c>
      <c r="AM48" s="115" t="n">
        <f aca="false">IF(AND(SUM($AD48)=0,SUM($U48)=0),"",IF($C48="&lt;01",SUM($AD48),ROUND(ROUND(SUM($AJ48)*$AF48,0)/$AG48,0)))</f>
        <v>0</v>
      </c>
      <c r="AN48" s="122" t="n">
        <f aca="false">0.7</f>
        <v>0.7</v>
      </c>
      <c r="AO48" s="123" t="n">
        <f aca="false">1</f>
        <v>1</v>
      </c>
      <c r="AP48" s="115" t="n">
        <f aca="false">IF(AND(SUM($U48)=0,SUM($AM48)=0),"",ROUND((SUM($AM48)*$AN48+IF($C48="&lt;01",0,$U48))*$AO48,0))</f>
        <v>1</v>
      </c>
      <c r="AQ48" s="122" t="n">
        <v>40</v>
      </c>
      <c r="AR48" s="123" t="n">
        <f aca="false">0.95</f>
        <v>0.95</v>
      </c>
      <c r="AS48" s="123" t="n">
        <f aca="false">0.95</f>
        <v>0.95</v>
      </c>
      <c r="AT48" s="115" t="n">
        <f aca="false">IF(SUM($AP48)=0,"",ROUND(SUM($AP48)*$AR48,0))</f>
        <v>1</v>
      </c>
      <c r="AU48" s="115" t="n">
        <f aca="false">IF(LEFT($B48,4)="_Mil","",ROUND(SUM($AA48)*SUM($AS48),0))</f>
        <v>268</v>
      </c>
      <c r="AV48" s="124" t="n">
        <f aca="false">IF(SUM($AU48)&lt;=0,"",MAX(SUM($AU48)-SUM($R48),0))</f>
        <v>268</v>
      </c>
      <c r="AW48" s="122" t="n">
        <f aca="false">0</f>
        <v>0</v>
      </c>
      <c r="AX48" s="124" t="str">
        <f aca="false">IF(SUM($AM48)=0,"",ROUND(SUM($AM48)*SUM($AW48),0))</f>
        <v/>
      </c>
      <c r="AY48" s="124" t="str">
        <f aca="false">IF(SUM($AM48)=0,"",SUM($AM48)-SUM($AX48))</f>
        <v/>
      </c>
      <c r="AZ48" s="123" t="n">
        <v>6</v>
      </c>
      <c r="BA48" s="123" t="n">
        <f aca="false">0.95</f>
        <v>0.95</v>
      </c>
      <c r="BB48" s="123"/>
      <c r="BC48" s="123" t="str">
        <f aca="false">IF(OR(SUM($AM48)&lt;=0,$C48="&lt;01"),"",MAX(IF(OR(SUM($Y48)&lt;70%,LEFT($B48,4)="_Mil"),30%,IF(SUM($Y48)&gt;=80%,75%,50%)),SUM($BB48)))</f>
        <v/>
      </c>
      <c r="BD48" s="115" t="str">
        <f aca="false">IF($C48="&lt;01",IFERROR(ROUND(INDEX(EID!$M:$M,MATCH($B48,EID!$B:$B,0)),0)/2,""),IF(SUM($AY48)=0,"",ROUND(SUM($AY48)/SUM($BA48),0)))</f>
        <v/>
      </c>
      <c r="BE48" s="115" t="str">
        <f aca="false">IF($C48="&lt;01","",IF(SUM($BD48)=0,"",ROUND(SUM($BD48)*SUM($BC48),0)))</f>
        <v/>
      </c>
      <c r="BF48" s="115" t="str">
        <f aca="false">_xlfn.IFNA(INDEX(PMTCT!$AE:$AE,MATCH($E48,PMTCT!$E:$E,0)),"")</f>
        <v/>
      </c>
      <c r="BG48" s="115" t="str">
        <f aca="false">_xlfn.IFNA(INDEX(PMTCT!$AU:$AU,MATCH($E48,PMTCT!$E:$E,0)),"")</f>
        <v/>
      </c>
      <c r="BH48" s="115" t="n">
        <f aca="false">_xlfn.IFNA(INDEX(TB!$Q:$Q,MATCH($E48,TB!$E:$E,0)),"")</f>
        <v>0</v>
      </c>
      <c r="BI48" s="115" t="str">
        <f aca="false">_xlfn.IFNA(INDEX(VMMC!$AC:$AC,MATCH($E48,VMMC!$E:$E,0)),"")</f>
        <v/>
      </c>
      <c r="BJ48" s="115" t="str">
        <f aca="false">IF($C48="&lt;01",$BD48,"")</f>
        <v/>
      </c>
      <c r="BK48" s="115" t="str">
        <f aca="false">IF(SUM($BD48)=0,"",($BD48)-SUM($BE48:$BJ48))</f>
        <v/>
      </c>
      <c r="BL48" s="123" t="str">
        <f aca="false">IF(OR(SUM($BD48)=0,SUM($BE48)=0),"",SUM($BE48)/$BD48)</f>
        <v/>
      </c>
      <c r="BM48" s="123" t="str">
        <f aca="false">IF(OR(SUM($BD48)=0,SUM($BF48)=0),"",SUM($BF48)/$BD48)</f>
        <v/>
      </c>
      <c r="BN48" s="123" t="str">
        <f aca="false">IF(OR(SUM($BD48)=0,SUM($BG48)=0),"",SUM($BG48)/$BD48)</f>
        <v/>
      </c>
      <c r="BO48" s="123" t="str">
        <f aca="false">IF(OR(SUM($BD48)=0,SUM($BH48)=0),"",SUM($BH48)/$BD48)</f>
        <v/>
      </c>
      <c r="BP48" s="123" t="str">
        <f aca="false">IF(OR(SUM($BD48)=0,SUM($BI48)=0),"",SUM($BI48)/$BD48)</f>
        <v/>
      </c>
      <c r="BQ48" s="123" t="str">
        <f aca="false">IF(AND($C48="&lt;01",SUM($BJ48)&lt;&gt;0),$BJ48/SUM($BD48),"")</f>
        <v/>
      </c>
      <c r="BR48" s="123" t="str">
        <f aca="false">IF(OR(SUM($BD48)=0,SUM($BK48)=0),"",SUM($BK48)/$BD48)</f>
        <v/>
      </c>
      <c r="BS48" s="122" t="n">
        <f aca="false">IF(SUM($X48)&lt;=0,"",$X48)</f>
        <v>0.00354609929078014</v>
      </c>
      <c r="BT48" s="115" t="n">
        <f aca="false">IF(LEFT($B48,4)="_Mil","",MAX(SUM($L48)+ROUND(SUM($BD48)/IF(SUM($BS48)&lt;=0,1,SUM($BS48)),0),0))</f>
        <v>318</v>
      </c>
    </row>
    <row r="49" customFormat="false" ht="15" hidden="false" customHeight="false" outlineLevel="0" collapsed="false">
      <c r="A49" s="0" t="s">
        <v>142</v>
      </c>
      <c r="B49" s="0" t="s">
        <v>109</v>
      </c>
      <c r="C49" s="0" t="s">
        <v>66</v>
      </c>
      <c r="D49" s="0" t="s">
        <v>56</v>
      </c>
      <c r="E49" s="0" t="str">
        <f aca="false">B49&amp;"|"&amp;C49&amp;"|"&amp;D49</f>
        <v>Berea [#SNU] [#DREAMS] [wpg5evyl1OL]|20-24|Female</v>
      </c>
      <c r="F49" s="115" t="n">
        <f aca="false">_xlfn.IFNA(ROUND(INDEX(Spectrum!$N:$N,MATCH(RIGHT($B49,13)&amp;"|"&amp;$C49&amp;"|"&amp;$D49&amp;"|"&amp;F$14&amp;"|"&amp;"CY2021Q3",Spectrum!$Q:$Q,0)),0),"")</f>
        <v>11987</v>
      </c>
      <c r="G49" s="123" t="n">
        <f aca="false">_xlfn.IFNA(INDEX(Spectrum!$P:$P,MATCH(RIGHT($B49,13)&amp;"|"&amp;$C49&amp;"|"&amp;$D49&amp;"|"&amp;F$14&amp;"|"&amp;"CY2021Q3",Spectrum!$Q:$Q,0)),"")</f>
        <v>22</v>
      </c>
      <c r="H49" s="115" t="n">
        <f aca="false">_xlfn.IFNA(ROUND(INDEX(Spectrum!$N:$N,MATCH(RIGHT($B49,13)&amp;"|"&amp;$C49&amp;"|"&amp;$D49&amp;"|"&amp;H$14&amp;"|"&amp;"CY2021Q3",Spectrum!$Q:$Q,0)),0),"")</f>
        <v>1425</v>
      </c>
      <c r="I49" s="123" t="n">
        <f aca="false">_xlfn.IFNA(INDEX(Spectrum!$P:$P,MATCH(RIGHT($B49,13)&amp;"|"&amp;$C49&amp;"|"&amp;$D49&amp;"|"&amp;H$14&amp;"|"&amp;"CY2021Q3",Spectrum!$Q:$Q,0)),"")</f>
        <v>3</v>
      </c>
      <c r="J49" s="117" t="n">
        <f aca="false">_xlfn.IFNA(INDEX(Spectrum!$N:$N,MATCH(RIGHT($B49,13)&amp;"|"&amp;$C49&amp;"|"&amp;$D49&amp;"|"&amp;J$14&amp;"|"&amp;"CY2021Q3",Spectrum!$Q:$Q,0)),"")</f>
        <v>0.1188492</v>
      </c>
      <c r="K49" s="123" t="n">
        <f aca="false">_xlfn.IFNA(INDEX(Spectrum!$P:$P,MATCH(RIGHT($B49,13)&amp;"|"&amp;$C49&amp;"|"&amp;$D49&amp;"|"&amp;J$14&amp;"|"&amp;"CY2021Q3",Spectrum!$Q:$Q,0)),"")</f>
        <v>50</v>
      </c>
      <c r="L49" s="115" t="n">
        <f aca="false">_xlfn.IFNA(ROUND(INDEX(Spectrum!$N:$N,MATCH(RIGHT($B49,13)&amp;"|"&amp;$C49&amp;"|"&amp;$D49&amp;"|"&amp;L$14&amp;"|"&amp;"CY2021Q3",Spectrum!$Q:$Q,0)),0),"")</f>
        <v>1154</v>
      </c>
      <c r="M49" s="123" t="n">
        <f aca="false">IF(OR(SUM($H49)&lt;=0,SUM($L49)&lt;=0),"",SUM($L49)/$H49)</f>
        <v>0.809824561403509</v>
      </c>
      <c r="N49" s="115" t="str">
        <f aca="false">_xlfn.IFNA(ROUND(INDEX(Spectrum!$N:$N,MATCH(RIGHT($B49,13)&amp;"|"&amp;$C49&amp;"|"&amp;$D49&amp;"|"&amp;N$14&amp;"|"&amp;"CY2020Q4",Spectrum!$Q:$Q,0)),0),"")</f>
        <v/>
      </c>
      <c r="O49" s="123" t="str">
        <f aca="false">_xlfn.IFNA(INDEX(Spectrum!$P:$P,MATCH(RIGHT($B49,13)&amp;"|"&amp;$C49&amp;"|"&amp;$D49&amp;"|"&amp;N$14&amp;"|"&amp;"CY2020Q4",Spectrum!$Q:$Q,0)),"")</f>
        <v/>
      </c>
      <c r="P49" s="115" t="n">
        <f aca="false">_xlfn.IFNA(ROUND(INDEX(Spectrum!$N:$N,MATCH(RIGHT($B49,13)&amp;"|"&amp;$C49&amp;"|"&amp;$D49&amp;"|"&amp;P$14&amp;"|"&amp;"CY2021Q3",Spectrum!$Q:$Q,0)),0),"")</f>
        <v>959</v>
      </c>
      <c r="Q49" s="123" t="n">
        <f aca="false">_xlfn.IFNA(INDEX(Spectrum!$P:$P,MATCH(RIGHT($B49,13)&amp;"|"&amp;$C49&amp;"|"&amp;$D49&amp;"|"&amp;P$14&amp;"|"&amp;"CY2021Q3",Spectrum!$Q:$Q,0)),"")</f>
        <v>41</v>
      </c>
      <c r="R49" s="115"/>
      <c r="S49" s="123" t="str">
        <f aca="false">IF(OR(SUM($P49)&lt;=0,SUM($R49)&lt;=0),"",SUM($R49)/$P49)</f>
        <v/>
      </c>
      <c r="T49" s="139" t="n">
        <v>39</v>
      </c>
      <c r="U49" s="124" t="n">
        <v>13</v>
      </c>
      <c r="V49" s="124" t="n">
        <f aca="false">IF($U49-$T49=0,"",$U49-$T49)</f>
        <v>-26</v>
      </c>
      <c r="W49" s="123" t="n">
        <f aca="false">IF(LEFT($B49,4)="_Mil","",IFERROR(MIN(IF(SUM($N49)&lt;=0,SUM($U49)/SUM($P49),SUM($T49)/SUM($N49)),1),""))</f>
        <v>0.013555787278415</v>
      </c>
      <c r="X49" s="123" t="n">
        <f aca="false">$W49</f>
        <v>0.013555787278415</v>
      </c>
      <c r="Y49" s="123" t="n">
        <f aca="false">IFERROR(1/(1/INDEX(Spectrum!$N:$N,MATCH(RIGHT($B49,13)&amp;"|"&amp;$C49&amp;"|"&amp;$D49&amp;"|"&amp;Y$14&amp;"|"&amp;"CY2021Q3",Spectrum!$Q:$Q,0))),IF(SUM($H49)=0,"",MAX(SUM($P49),SUM($U49))/SUM($H49)))</f>
        <v>0.672982456140351</v>
      </c>
      <c r="Z49" s="123" t="n">
        <f aca="false">IF(SUM($Y49)=0,"",MAX(SUM($Y49),90%))</f>
        <v>0.9</v>
      </c>
      <c r="AA49" s="115" t="n">
        <f aca="false">IF(LEFT($B49,4)="_Mil","",ROUND(MAX(SUM($U49),SUM($P49))+IF(SUM($Z49)=0,0,MAX(SUM($Z49)-SUM($Y49),0)*SUM($H49)),0))</f>
        <v>1283</v>
      </c>
      <c r="AB49" s="115" t="n">
        <f aca="false">IF(SUM($AA49)=0,"",ROUND(MAX(SUM($AA49)-MAX(SUM($P49),SUM($U49)),0),0))</f>
        <v>324</v>
      </c>
      <c r="AC49" s="126" t="str">
        <f aca="false">IF($C49="&lt;01",IFERROR(ROUND(INDEX(EID!$N:$N,MATCH($B49,EID!$B:$B,0))/2,0),""),"")</f>
        <v/>
      </c>
      <c r="AD49" s="115" t="n">
        <f aca="false">IF($C49="&lt;01",IF(SUM($AC49)=0,"",ROUND(SUM($AC49)/$AG49,0)),IF(SUM($AB49)=0,"",ROUND(MAX($X49,0)*SUM($AB49),0)))</f>
        <v>4</v>
      </c>
      <c r="AE49" s="115" t="n">
        <f aca="false">IF(AND(SUM($AD49)=0,SUM($U49)=0),"",ROUND(IF($C49="&lt;01",0,SUM($U49))+SUM($AD49),0))</f>
        <v>17</v>
      </c>
      <c r="AF49" s="122" t="n">
        <f aca="false">IF($C49="&lt;01","",100%)</f>
        <v>1</v>
      </c>
      <c r="AG49" s="123" t="n">
        <f aca="false">0.98</f>
        <v>0.98</v>
      </c>
      <c r="AH49" s="123" t="n">
        <f aca="false">0.98</f>
        <v>0.98</v>
      </c>
      <c r="AI49" s="124" t="n">
        <f aca="false">IF(OR($C49="&lt;01",SUM($U49)=0),"",ROUND(SUM($U49)*(1-$AH49),0))</f>
        <v>0</v>
      </c>
      <c r="AJ49" s="124" t="n">
        <f aca="false">IF(AND(SUM($AE49)=0,SUM($U49)=0),"",IF($C49="&lt;01",SUM($AD49),SUM($AE49) - ROUND(SUM($U49)*$AH49,0)))</f>
        <v>4</v>
      </c>
      <c r="AK49" s="124" t="n">
        <v>18</v>
      </c>
      <c r="AL49" s="124" t="n">
        <v>2</v>
      </c>
      <c r="AM49" s="115" t="n">
        <f aca="false">IF(AND(SUM($AD49)=0,SUM($U49)=0),"",IF($C49="&lt;01",SUM($AD49),ROUND(ROUND(SUM($AJ49)*$AF49,0)/$AG49,0)))</f>
        <v>4</v>
      </c>
      <c r="AN49" s="122" t="n">
        <f aca="false">0.7</f>
        <v>0.7</v>
      </c>
      <c r="AO49" s="123" t="n">
        <f aca="false">1</f>
        <v>1</v>
      </c>
      <c r="AP49" s="115" t="n">
        <f aca="false">IF(AND(SUM($U49)=0,SUM($AM49)=0),"",ROUND((SUM($AM49)*$AN49+IF($C49="&lt;01",0,$U49))*$AO49,0))</f>
        <v>16</v>
      </c>
      <c r="AQ49" s="122" t="n">
        <v>43</v>
      </c>
      <c r="AR49" s="123" t="n">
        <f aca="false">0.95</f>
        <v>0.95</v>
      </c>
      <c r="AS49" s="123" t="n">
        <f aca="false">0.95</f>
        <v>0.95</v>
      </c>
      <c r="AT49" s="115" t="n">
        <f aca="false">IF(SUM($AP49)=0,"",ROUND(SUM($AP49)*$AR49,0))</f>
        <v>15</v>
      </c>
      <c r="AU49" s="115" t="n">
        <f aca="false">IF(LEFT($B49,4)="_Mil","",ROUND(SUM($AA49)*SUM($AS49),0))</f>
        <v>1219</v>
      </c>
      <c r="AV49" s="124" t="n">
        <f aca="false">IF(SUM($AU49)&lt;=0,"",MAX(SUM($AU49)-SUM($R49),0))</f>
        <v>1219</v>
      </c>
      <c r="AW49" s="122" t="n">
        <f aca="false">0</f>
        <v>0</v>
      </c>
      <c r="AX49" s="124" t="n">
        <f aca="false">IF(SUM($AM49)=0,"",ROUND(SUM($AM49)*SUM($AW49),0))</f>
        <v>0</v>
      </c>
      <c r="AY49" s="124" t="n">
        <f aca="false">IF(SUM($AM49)=0,"",SUM($AM49)-SUM($AX49))</f>
        <v>4</v>
      </c>
      <c r="AZ49" s="123" t="n">
        <v>44</v>
      </c>
      <c r="BA49" s="123" t="n">
        <f aca="false">0.95</f>
        <v>0.95</v>
      </c>
      <c r="BB49" s="123"/>
      <c r="BC49" s="123" t="n">
        <f aca="false">IF(OR(SUM($AM49)&lt;=0,$C49="&lt;01"),"",MAX(IF(OR(SUM($Y49)&lt;70%,LEFT($B49,4)="_Mil"),30%,IF(SUM($Y49)&gt;=80%,75%,50%)),SUM($BB49)))</f>
        <v>0.3</v>
      </c>
      <c r="BD49" s="115" t="n">
        <f aca="false">IF($C49="&lt;01",IFERROR(ROUND(INDEX(EID!$M:$M,MATCH($B49,EID!$B:$B,0)),0)/2,""),IF(SUM($AY49)=0,"",ROUND(SUM($AY49)/SUM($BA49),0)))</f>
        <v>4</v>
      </c>
      <c r="BE49" s="115" t="n">
        <f aca="false">IF($C49="&lt;01","",IF(SUM($BD49)=0,"",ROUND(SUM($BD49)*SUM($BC49),0)))</f>
        <v>1</v>
      </c>
      <c r="BF49" s="115" t="n">
        <f aca="false">_xlfn.IFNA(INDEX(PMTCT!$AE:$AE,MATCH($E49,PMTCT!$E:$E,0)),"")</f>
        <v>-1872</v>
      </c>
      <c r="BG49" s="115" t="str">
        <f aca="false">_xlfn.IFNA(INDEX(PMTCT!$AU:$AU,MATCH($E49,PMTCT!$E:$E,0)),"")</f>
        <v/>
      </c>
      <c r="BH49" s="115" t="n">
        <f aca="false">_xlfn.IFNA(INDEX(TB!$Q:$Q,MATCH($E49,TB!$E:$E,0)),"")</f>
        <v>-3136</v>
      </c>
      <c r="BI49" s="115" t="str">
        <f aca="false">_xlfn.IFNA(INDEX(VMMC!$AC:$AC,MATCH($E49,VMMC!$E:$E,0)),"")</f>
        <v/>
      </c>
      <c r="BJ49" s="115" t="str">
        <f aca="false">IF($C49="&lt;01",$BD49,"")</f>
        <v/>
      </c>
      <c r="BK49" s="115" t="n">
        <f aca="false">IF(SUM($BD49)=0,"",($BD49)-SUM($BE49:$BJ49))</f>
        <v>5011</v>
      </c>
      <c r="BL49" s="123" t="n">
        <f aca="false">IF(OR(SUM($BD49)=0,SUM($BE49)=0),"",SUM($BE49)/$BD49)</f>
        <v>0.25</v>
      </c>
      <c r="BM49" s="123" t="n">
        <f aca="false">IF(OR(SUM($BD49)=0,SUM($BF49)=0),"",SUM($BF49)/$BD49)</f>
        <v>-468</v>
      </c>
      <c r="BN49" s="123" t="str">
        <f aca="false">IF(OR(SUM($BD49)=0,SUM($BG49)=0),"",SUM($BG49)/$BD49)</f>
        <v/>
      </c>
      <c r="BO49" s="123" t="n">
        <f aca="false">IF(OR(SUM($BD49)=0,SUM($BH49)=0),"",SUM($BH49)/$BD49)</f>
        <v>-784</v>
      </c>
      <c r="BP49" s="123" t="str">
        <f aca="false">IF(OR(SUM($BD49)=0,SUM($BI49)=0),"",SUM($BI49)/$BD49)</f>
        <v/>
      </c>
      <c r="BQ49" s="123" t="str">
        <f aca="false">IF(AND($C49="&lt;01",SUM($BJ49)&lt;&gt;0),$BJ49/SUM($BD49),"")</f>
        <v/>
      </c>
      <c r="BR49" s="123" t="n">
        <f aca="false">IF(OR(SUM($BD49)=0,SUM($BK49)=0),"",SUM($BK49)/$BD49)</f>
        <v>1252.75</v>
      </c>
      <c r="BS49" s="122" t="n">
        <f aca="false">IF(SUM($X49)&lt;=0,"",$X49)</f>
        <v>0.013555787278415</v>
      </c>
      <c r="BT49" s="115" t="n">
        <f aca="false">IF(LEFT($B49,4)="_Mil","",MAX(SUM($L49)+ROUND(SUM($BD49)/IF(SUM($BS49)&lt;=0,1,SUM($BS49)),0),0))</f>
        <v>1449</v>
      </c>
    </row>
    <row r="50" customFormat="false" ht="15" hidden="false" customHeight="false" outlineLevel="0" collapsed="false">
      <c r="A50" s="0" t="s">
        <v>142</v>
      </c>
      <c r="B50" s="0" t="s">
        <v>109</v>
      </c>
      <c r="C50" s="0" t="s">
        <v>66</v>
      </c>
      <c r="D50" s="0" t="s">
        <v>58</v>
      </c>
      <c r="E50" s="0" t="str">
        <f aca="false">B50&amp;"|"&amp;C50&amp;"|"&amp;D50</f>
        <v>Berea [#SNU] [#DREAMS] [wpg5evyl1OL]|20-24|Male</v>
      </c>
      <c r="F50" s="115" t="n">
        <f aca="false">_xlfn.IFNA(ROUND(INDEX(Spectrum!$N:$N,MATCH(RIGHT($B50,13)&amp;"|"&amp;$C50&amp;"|"&amp;$D50&amp;"|"&amp;F$14&amp;"|"&amp;"CY2021Q3",Spectrum!$Q:$Q,0)),0),"")</f>
        <v>12472</v>
      </c>
      <c r="G50" s="123" t="n">
        <f aca="false">_xlfn.IFNA(INDEX(Spectrum!$P:$P,MATCH(RIGHT($B50,13)&amp;"|"&amp;$C50&amp;"|"&amp;$D50&amp;"|"&amp;F$14&amp;"|"&amp;"CY2021Q3",Spectrum!$Q:$Q,0)),"")</f>
        <v>23</v>
      </c>
      <c r="H50" s="115" t="n">
        <f aca="false">_xlfn.IFNA(ROUND(INDEX(Spectrum!$N:$N,MATCH(RIGHT($B50,13)&amp;"|"&amp;$C50&amp;"|"&amp;$D50&amp;"|"&amp;H$14&amp;"|"&amp;"CY2021Q3",Spectrum!$Q:$Q,0)),0),"")</f>
        <v>528</v>
      </c>
      <c r="I50" s="123" t="n">
        <f aca="false">_xlfn.IFNA(INDEX(Spectrum!$P:$P,MATCH(RIGHT($B50,13)&amp;"|"&amp;$C50&amp;"|"&amp;$D50&amp;"|"&amp;H$14&amp;"|"&amp;"CY2021Q3",Spectrum!$Q:$Q,0)),"")</f>
        <v>34</v>
      </c>
      <c r="J50" s="117" t="n">
        <f aca="false">_xlfn.IFNA(INDEX(Spectrum!$N:$N,MATCH(RIGHT($B50,13)&amp;"|"&amp;$C50&amp;"|"&amp;$D50&amp;"|"&amp;J$14&amp;"|"&amp;"CY2021Q3",Spectrum!$Q:$Q,0)),"")</f>
        <v>0.0423556</v>
      </c>
      <c r="K50" s="123" t="n">
        <f aca="false">_xlfn.IFNA(INDEX(Spectrum!$P:$P,MATCH(RIGHT($B50,13)&amp;"|"&amp;$C50&amp;"|"&amp;$D50&amp;"|"&amp;J$14&amp;"|"&amp;"CY2021Q3",Spectrum!$Q:$Q,0)),"")</f>
        <v>43</v>
      </c>
      <c r="L50" s="115" t="n">
        <f aca="false">_xlfn.IFNA(ROUND(INDEX(Spectrum!$N:$N,MATCH(RIGHT($B50,13)&amp;"|"&amp;$C50&amp;"|"&amp;$D50&amp;"|"&amp;L$14&amp;"|"&amp;"CY2021Q3",Spectrum!$Q:$Q,0)),0),"")</f>
        <v>441</v>
      </c>
      <c r="M50" s="123" t="n">
        <f aca="false">IF(OR(SUM($H50)&lt;=0,SUM($L50)&lt;=0),"",SUM($L50)/$H50)</f>
        <v>0.835227272727273</v>
      </c>
      <c r="N50" s="115" t="str">
        <f aca="false">_xlfn.IFNA(ROUND(INDEX(Spectrum!$N:$N,MATCH(RIGHT($B50,13)&amp;"|"&amp;$C50&amp;"|"&amp;$D50&amp;"|"&amp;N$14&amp;"|"&amp;"CY2020Q4",Spectrum!$Q:$Q,0)),0),"")</f>
        <v/>
      </c>
      <c r="O50" s="123" t="str">
        <f aca="false">_xlfn.IFNA(INDEX(Spectrum!$P:$P,MATCH(RIGHT($B50,13)&amp;"|"&amp;$C50&amp;"|"&amp;$D50&amp;"|"&amp;N$14&amp;"|"&amp;"CY2020Q4",Spectrum!$Q:$Q,0)),"")</f>
        <v/>
      </c>
      <c r="P50" s="115" t="n">
        <f aca="false">_xlfn.IFNA(ROUND(INDEX(Spectrum!$N:$N,MATCH(RIGHT($B50,13)&amp;"|"&amp;$C50&amp;"|"&amp;$D50&amp;"|"&amp;P$14&amp;"|"&amp;"CY2021Q3",Spectrum!$Q:$Q,0)),0),"")</f>
        <v>328</v>
      </c>
      <c r="Q50" s="123" t="n">
        <f aca="false">_xlfn.IFNA(INDEX(Spectrum!$P:$P,MATCH(RIGHT($B50,13)&amp;"|"&amp;$C50&amp;"|"&amp;$D50&amp;"|"&amp;P$14&amp;"|"&amp;"CY2021Q3",Spectrum!$Q:$Q,0)),"")</f>
        <v>8</v>
      </c>
      <c r="R50" s="115"/>
      <c r="S50" s="123" t="str">
        <f aca="false">IF(OR(SUM($P50)&lt;=0,SUM($R50)&lt;=0),"",SUM($R50)/$P50)</f>
        <v/>
      </c>
      <c r="T50" s="139" t="n">
        <v>31</v>
      </c>
      <c r="U50" s="124" t="n">
        <v>6</v>
      </c>
      <c r="V50" s="124" t="n">
        <f aca="false">IF($U50-$T50=0,"",$U50-$T50)</f>
        <v>-25</v>
      </c>
      <c r="W50" s="123" t="n">
        <f aca="false">IF(LEFT($B50,4)="_Mil","",IFERROR(MIN(IF(SUM($N50)&lt;=0,SUM($U50)/SUM($P50),SUM($T50)/SUM($N50)),1),""))</f>
        <v>0.0182926829268293</v>
      </c>
      <c r="X50" s="123" t="n">
        <f aca="false">$W50</f>
        <v>0.0182926829268293</v>
      </c>
      <c r="Y50" s="123" t="n">
        <f aca="false">IFERROR(1/(1/INDEX(Spectrum!$N:$N,MATCH(RIGHT($B50,13)&amp;"|"&amp;$C50&amp;"|"&amp;$D50&amp;"|"&amp;Y$14&amp;"|"&amp;"CY2021Q3",Spectrum!$Q:$Q,0))),IF(SUM($H50)=0,"",MAX(SUM($P50),SUM($U50))/SUM($H50)))</f>
        <v>0.621212121212121</v>
      </c>
      <c r="Z50" s="123" t="n">
        <f aca="false">IF(SUM($Y50)=0,"",MAX(SUM($Y50),90%))</f>
        <v>0.9</v>
      </c>
      <c r="AA50" s="115" t="n">
        <f aca="false">IF(LEFT($B50,4)="_Mil","",ROUND(MAX(SUM($U50),SUM($P50))+IF(SUM($Z50)=0,0,MAX(SUM($Z50)-SUM($Y50),0)*SUM($H50)),0))</f>
        <v>475</v>
      </c>
      <c r="AB50" s="115" t="n">
        <f aca="false">IF(SUM($AA50)=0,"",ROUND(MAX(SUM($AA50)-MAX(SUM($P50),SUM($U50)),0),0))</f>
        <v>147</v>
      </c>
      <c r="AC50" s="126" t="str">
        <f aca="false">IF($C50="&lt;01",IFERROR(ROUND(INDEX(EID!$N:$N,MATCH($B50,EID!$B:$B,0))/2,0),""),"")</f>
        <v/>
      </c>
      <c r="AD50" s="115" t="n">
        <f aca="false">IF($C50="&lt;01",IF(SUM($AC50)=0,"",ROUND(SUM($AC50)/$AG50,0)),IF(SUM($AB50)=0,"",ROUND(MAX($X50,0)*SUM($AB50),0)))</f>
        <v>3</v>
      </c>
      <c r="AE50" s="115" t="n">
        <f aca="false">IF(AND(SUM($AD50)=0,SUM($U50)=0),"",ROUND(IF($C50="&lt;01",0,SUM($U50))+SUM($AD50),0))</f>
        <v>9</v>
      </c>
      <c r="AF50" s="122" t="n">
        <f aca="false">IF($C50="&lt;01","",100%)</f>
        <v>1</v>
      </c>
      <c r="AG50" s="123" t="n">
        <f aca="false">0.98</f>
        <v>0.98</v>
      </c>
      <c r="AH50" s="123" t="n">
        <f aca="false">0.98</f>
        <v>0.98</v>
      </c>
      <c r="AI50" s="124" t="n">
        <f aca="false">IF(OR($C50="&lt;01",SUM($U50)=0),"",ROUND(SUM($U50)*(1-$AH50),0))</f>
        <v>0</v>
      </c>
      <c r="AJ50" s="124" t="n">
        <f aca="false">IF(AND(SUM($AE50)=0,SUM($U50)=0),"",IF($C50="&lt;01",SUM($AD50),SUM($AE50) - ROUND(SUM($U50)*$AH50,0)))</f>
        <v>3</v>
      </c>
      <c r="AK50" s="124" t="n">
        <v>38</v>
      </c>
      <c r="AL50" s="124" t="n">
        <v>43</v>
      </c>
      <c r="AM50" s="115" t="n">
        <f aca="false">IF(AND(SUM($AD50)=0,SUM($U50)=0),"",IF($C50="&lt;01",SUM($AD50),ROUND(ROUND(SUM($AJ50)*$AF50,0)/$AG50,0)))</f>
        <v>3</v>
      </c>
      <c r="AN50" s="122" t="n">
        <f aca="false">0.7</f>
        <v>0.7</v>
      </c>
      <c r="AO50" s="123" t="n">
        <f aca="false">1</f>
        <v>1</v>
      </c>
      <c r="AP50" s="115" t="n">
        <f aca="false">IF(AND(SUM($U50)=0,SUM($AM50)=0),"",ROUND((SUM($AM50)*$AN50+IF($C50="&lt;01",0,$U50))*$AO50,0))</f>
        <v>8</v>
      </c>
      <c r="AQ50" s="122" t="n">
        <v>24</v>
      </c>
      <c r="AR50" s="123" t="n">
        <f aca="false">0.95</f>
        <v>0.95</v>
      </c>
      <c r="AS50" s="123" t="n">
        <f aca="false">0.95</f>
        <v>0.95</v>
      </c>
      <c r="AT50" s="115" t="n">
        <f aca="false">IF(SUM($AP50)=0,"",ROUND(SUM($AP50)*$AR50,0))</f>
        <v>8</v>
      </c>
      <c r="AU50" s="115" t="n">
        <f aca="false">IF(LEFT($B50,4)="_Mil","",ROUND(SUM($AA50)*SUM($AS50),0))</f>
        <v>451</v>
      </c>
      <c r="AV50" s="124" t="n">
        <f aca="false">IF(SUM($AU50)&lt;=0,"",MAX(SUM($AU50)-SUM($R50),0))</f>
        <v>451</v>
      </c>
      <c r="AW50" s="122" t="n">
        <f aca="false">0</f>
        <v>0</v>
      </c>
      <c r="AX50" s="124" t="n">
        <f aca="false">IF(SUM($AM50)=0,"",ROUND(SUM($AM50)*SUM($AW50),0))</f>
        <v>0</v>
      </c>
      <c r="AY50" s="124" t="n">
        <f aca="false">IF(SUM($AM50)=0,"",SUM($AM50)-SUM($AX50))</f>
        <v>3</v>
      </c>
      <c r="AZ50" s="123" t="n">
        <v>23</v>
      </c>
      <c r="BA50" s="123" t="n">
        <f aca="false">0.95</f>
        <v>0.95</v>
      </c>
      <c r="BB50" s="123"/>
      <c r="BC50" s="123" t="n">
        <f aca="false">IF(OR(SUM($AM50)&lt;=0,$C50="&lt;01"),"",MAX(IF(OR(SUM($Y50)&lt;70%,LEFT($B50,4)="_Mil"),30%,IF(SUM($Y50)&gt;=80%,75%,50%)),SUM($BB50)))</f>
        <v>0.3</v>
      </c>
      <c r="BD50" s="115" t="n">
        <f aca="false">IF($C50="&lt;01",IFERROR(ROUND(INDEX(EID!$M:$M,MATCH($B50,EID!$B:$B,0)),0)/2,""),IF(SUM($AY50)=0,"",ROUND(SUM($AY50)/SUM($BA50),0)))</f>
        <v>3</v>
      </c>
      <c r="BE50" s="115" t="n">
        <f aca="false">IF($C50="&lt;01","",IF(SUM($BD50)=0,"",ROUND(SUM($BD50)*SUM($BC50),0)))</f>
        <v>1</v>
      </c>
      <c r="BF50" s="115" t="str">
        <f aca="false">_xlfn.IFNA(INDEX(PMTCT!$AE:$AE,MATCH($E50,PMTCT!$E:$E,0)),"")</f>
        <v/>
      </c>
      <c r="BG50" s="115" t="str">
        <f aca="false">_xlfn.IFNA(INDEX(PMTCT!$AU:$AU,MATCH($E50,PMTCT!$E:$E,0)),"")</f>
        <v/>
      </c>
      <c r="BH50" s="115" t="n">
        <f aca="false">_xlfn.IFNA(INDEX(TB!$Q:$Q,MATCH($E50,TB!$E:$E,0)),"")</f>
        <v>-14144</v>
      </c>
      <c r="BI50" s="115" t="str">
        <f aca="false">_xlfn.IFNA(INDEX(VMMC!$AC:$AC,MATCH($E50,VMMC!$E:$E,0)),"")</f>
        <v/>
      </c>
      <c r="BJ50" s="115" t="str">
        <f aca="false">IF($C50="&lt;01",$BD50,"")</f>
        <v/>
      </c>
      <c r="BK50" s="115" t="n">
        <f aca="false">IF(SUM($BD50)=0,"",($BD50)-SUM($BE50:$BJ50))</f>
        <v>14146</v>
      </c>
      <c r="BL50" s="123" t="n">
        <f aca="false">IF(OR(SUM($BD50)=0,SUM($BE50)=0),"",SUM($BE50)/$BD50)</f>
        <v>0.333333333333333</v>
      </c>
      <c r="BM50" s="123" t="str">
        <f aca="false">IF(OR(SUM($BD50)=0,SUM($BF50)=0),"",SUM($BF50)/$BD50)</f>
        <v/>
      </c>
      <c r="BN50" s="123" t="str">
        <f aca="false">IF(OR(SUM($BD50)=0,SUM($BG50)=0),"",SUM($BG50)/$BD50)</f>
        <v/>
      </c>
      <c r="BO50" s="123" t="n">
        <f aca="false">IF(OR(SUM($BD50)=0,SUM($BH50)=0),"",SUM($BH50)/$BD50)</f>
        <v>-4714.66666666667</v>
      </c>
      <c r="BP50" s="123" t="str">
        <f aca="false">IF(OR(SUM($BD50)=0,SUM($BI50)=0),"",SUM($BI50)/$BD50)</f>
        <v/>
      </c>
      <c r="BQ50" s="123" t="str">
        <f aca="false">IF(AND($C50="&lt;01",SUM($BJ50)&lt;&gt;0),$BJ50/SUM($BD50),"")</f>
        <v/>
      </c>
      <c r="BR50" s="123" t="n">
        <f aca="false">IF(OR(SUM($BD50)=0,SUM($BK50)=0),"",SUM($BK50)/$BD50)</f>
        <v>4715.33333333333</v>
      </c>
      <c r="BS50" s="122" t="n">
        <f aca="false">IF(SUM($X50)&lt;=0,"",$X50)</f>
        <v>0.0182926829268293</v>
      </c>
      <c r="BT50" s="115" t="n">
        <f aca="false">IF(LEFT($B50,4)="_Mil","",MAX(SUM($L50)+ROUND(SUM($BD50)/IF(SUM($BS50)&lt;=0,1,SUM($BS50)),0),0))</f>
        <v>605</v>
      </c>
    </row>
    <row r="51" customFormat="false" ht="15" hidden="false" customHeight="false" outlineLevel="0" collapsed="false">
      <c r="A51" s="0" t="s">
        <v>142</v>
      </c>
      <c r="B51" s="0" t="s">
        <v>109</v>
      </c>
      <c r="C51" s="0" t="s">
        <v>69</v>
      </c>
      <c r="D51" s="0" t="s">
        <v>56</v>
      </c>
      <c r="E51" s="0" t="str">
        <f aca="false">B51&amp;"|"&amp;C51&amp;"|"&amp;D51</f>
        <v>Berea [#SNU] [#DREAMS] [wpg5evyl1OL]|25-29|Female</v>
      </c>
      <c r="F51" s="115" t="n">
        <f aca="false">_xlfn.IFNA(ROUND(INDEX(Spectrum!$N:$N,MATCH(RIGHT($B51,13)&amp;"|"&amp;$C51&amp;"|"&amp;$D51&amp;"|"&amp;F$14&amp;"|"&amp;"CY2021Q3",Spectrum!$Q:$Q,0)),0),"")</f>
        <v>12375</v>
      </c>
      <c r="G51" s="123" t="n">
        <f aca="false">_xlfn.IFNA(INDEX(Spectrum!$P:$P,MATCH(RIGHT($B51,13)&amp;"|"&amp;$C51&amp;"|"&amp;$D51&amp;"|"&amp;F$14&amp;"|"&amp;"CY2021Q3",Spectrum!$Q:$Q,0)),"")</f>
        <v>8</v>
      </c>
      <c r="H51" s="115" t="n">
        <f aca="false">_xlfn.IFNA(ROUND(INDEX(Spectrum!$N:$N,MATCH(RIGHT($B51,13)&amp;"|"&amp;$C51&amp;"|"&amp;$D51&amp;"|"&amp;H$14&amp;"|"&amp;"CY2021Q3",Spectrum!$Q:$Q,0)),0),"")</f>
        <v>2713</v>
      </c>
      <c r="I51" s="123" t="n">
        <f aca="false">_xlfn.IFNA(INDEX(Spectrum!$P:$P,MATCH(RIGHT($B51,13)&amp;"|"&amp;$C51&amp;"|"&amp;$D51&amp;"|"&amp;H$14&amp;"|"&amp;"CY2021Q3",Spectrum!$Q:$Q,0)),"")</f>
        <v>2</v>
      </c>
      <c r="J51" s="117" t="n">
        <f aca="false">_xlfn.IFNA(INDEX(Spectrum!$N:$N,MATCH(RIGHT($B51,13)&amp;"|"&amp;$C51&amp;"|"&amp;$D51&amp;"|"&amp;J$14&amp;"|"&amp;"CY2021Q3",Spectrum!$Q:$Q,0)),"")</f>
        <v>0.2192363</v>
      </c>
      <c r="K51" s="123" t="n">
        <f aca="false">_xlfn.IFNA(INDEX(Spectrum!$P:$P,MATCH(RIGHT($B51,13)&amp;"|"&amp;$C51&amp;"|"&amp;$D51&amp;"|"&amp;J$14&amp;"|"&amp;"CY2021Q3",Spectrum!$Q:$Q,0)),"")</f>
        <v>49</v>
      </c>
      <c r="L51" s="115" t="n">
        <f aca="false">_xlfn.IFNA(ROUND(INDEX(Spectrum!$N:$N,MATCH(RIGHT($B51,13)&amp;"|"&amp;$C51&amp;"|"&amp;$D51&amp;"|"&amp;L$14&amp;"|"&amp;"CY2021Q3",Spectrum!$Q:$Q,0)),0),"")</f>
        <v>2117</v>
      </c>
      <c r="M51" s="123" t="n">
        <f aca="false">IF(OR(SUM($H51)&lt;=0,SUM($L51)&lt;=0),"",SUM($L51)/$H51)</f>
        <v>0.780316992259491</v>
      </c>
      <c r="N51" s="115" t="str">
        <f aca="false">_xlfn.IFNA(ROUND(INDEX(Spectrum!$N:$N,MATCH(RIGHT($B51,13)&amp;"|"&amp;$C51&amp;"|"&amp;$D51&amp;"|"&amp;N$14&amp;"|"&amp;"CY2020Q4",Spectrum!$Q:$Q,0)),0),"")</f>
        <v/>
      </c>
      <c r="O51" s="123" t="str">
        <f aca="false">_xlfn.IFNA(INDEX(Spectrum!$P:$P,MATCH(RIGHT($B51,13)&amp;"|"&amp;$C51&amp;"|"&amp;$D51&amp;"|"&amp;N$14&amp;"|"&amp;"CY2020Q4",Spectrum!$Q:$Q,0)),"")</f>
        <v/>
      </c>
      <c r="P51" s="115" t="n">
        <f aca="false">_xlfn.IFNA(ROUND(INDEX(Spectrum!$N:$N,MATCH(RIGHT($B51,13)&amp;"|"&amp;$C51&amp;"|"&amp;$D51&amp;"|"&amp;P$14&amp;"|"&amp;"CY2021Q3",Spectrum!$Q:$Q,0)),0),"")</f>
        <v>1847</v>
      </c>
      <c r="Q51" s="123" t="n">
        <f aca="false">_xlfn.IFNA(INDEX(Spectrum!$P:$P,MATCH(RIGHT($B51,13)&amp;"|"&amp;$C51&amp;"|"&amp;$D51&amp;"|"&amp;P$14&amp;"|"&amp;"CY2021Q3",Spectrum!$Q:$Q,0)),"")</f>
        <v>32</v>
      </c>
      <c r="R51" s="115"/>
      <c r="S51" s="123" t="str">
        <f aca="false">IF(OR(SUM($P51)&lt;=0,SUM($R51)&lt;=0),"",SUM($R51)/$P51)</f>
        <v/>
      </c>
      <c r="T51" s="139" t="n">
        <v>18</v>
      </c>
      <c r="U51" s="124" t="n">
        <v>2</v>
      </c>
      <c r="V51" s="124" t="n">
        <f aca="false">IF($U51-$T51=0,"",$U51-$T51)</f>
        <v>-16</v>
      </c>
      <c r="W51" s="123" t="n">
        <f aca="false">IF(LEFT($B51,4)="_Mil","",IFERROR(MIN(IF(SUM($N51)&lt;=0,SUM($U51)/SUM($P51),SUM($T51)/SUM($N51)),1),""))</f>
        <v>0.00108283703302653</v>
      </c>
      <c r="X51" s="123" t="n">
        <f aca="false">$W51</f>
        <v>0.00108283703302653</v>
      </c>
      <c r="Y51" s="123" t="n">
        <f aca="false">IFERROR(1/(1/INDEX(Spectrum!$N:$N,MATCH(RIGHT($B51,13)&amp;"|"&amp;$C51&amp;"|"&amp;$D51&amp;"|"&amp;Y$14&amp;"|"&amp;"CY2021Q3",Spectrum!$Q:$Q,0))),IF(SUM($H51)=0,"",MAX(SUM($P51),SUM($U51))/SUM($H51)))</f>
        <v>0.680796166605234</v>
      </c>
      <c r="Z51" s="123" t="n">
        <f aca="false">IF(SUM($Y51)=0,"",MAX(SUM($Y51),90%))</f>
        <v>0.9</v>
      </c>
      <c r="AA51" s="115" t="n">
        <f aca="false">IF(LEFT($B51,4)="_Mil","",ROUND(MAX(SUM($U51),SUM($P51))+IF(SUM($Z51)=0,0,MAX(SUM($Z51)-SUM($Y51),0)*SUM($H51)),0))</f>
        <v>2442</v>
      </c>
      <c r="AB51" s="115" t="n">
        <f aca="false">IF(SUM($AA51)=0,"",ROUND(MAX(SUM($AA51)-MAX(SUM($P51),SUM($U51)),0),0))</f>
        <v>595</v>
      </c>
      <c r="AC51" s="126" t="str">
        <f aca="false">IF($C51="&lt;01",IFERROR(ROUND(INDEX(EID!$N:$N,MATCH($B51,EID!$B:$B,0))/2,0),""),"")</f>
        <v/>
      </c>
      <c r="AD51" s="115" t="n">
        <f aca="false">IF($C51="&lt;01",IF(SUM($AC51)=0,"",ROUND(SUM($AC51)/$AG51,0)),IF(SUM($AB51)=0,"",ROUND(MAX($X51,0)*SUM($AB51),0)))</f>
        <v>1</v>
      </c>
      <c r="AE51" s="115" t="n">
        <f aca="false">IF(AND(SUM($AD51)=0,SUM($U51)=0),"",ROUND(IF($C51="&lt;01",0,SUM($U51))+SUM($AD51),0))</f>
        <v>3</v>
      </c>
      <c r="AF51" s="122" t="n">
        <f aca="false">IF($C51="&lt;01","",100%)</f>
        <v>1</v>
      </c>
      <c r="AG51" s="123" t="n">
        <f aca="false">0.98</f>
        <v>0.98</v>
      </c>
      <c r="AH51" s="123" t="n">
        <f aca="false">0.98</f>
        <v>0.98</v>
      </c>
      <c r="AI51" s="124" t="n">
        <f aca="false">IF(OR($C51="&lt;01",SUM($U51)=0),"",ROUND(SUM($U51)*(1-$AH51),0))</f>
        <v>0</v>
      </c>
      <c r="AJ51" s="124" t="n">
        <f aca="false">IF(AND(SUM($AE51)=0,SUM($U51)=0),"",IF($C51="&lt;01",SUM($AD51),SUM($AE51) - ROUND(SUM($U51)*$AH51,0)))</f>
        <v>1</v>
      </c>
      <c r="AK51" s="124" t="n">
        <v>4</v>
      </c>
      <c r="AL51" s="124" t="n">
        <v>24</v>
      </c>
      <c r="AM51" s="115" t="n">
        <f aca="false">IF(AND(SUM($AD51)=0,SUM($U51)=0),"",IF($C51="&lt;01",SUM($AD51),ROUND(ROUND(SUM($AJ51)*$AF51,0)/$AG51,0)))</f>
        <v>1</v>
      </c>
      <c r="AN51" s="122" t="n">
        <f aca="false">0.7</f>
        <v>0.7</v>
      </c>
      <c r="AO51" s="123" t="n">
        <f aca="false">1</f>
        <v>1</v>
      </c>
      <c r="AP51" s="115" t="n">
        <f aca="false">IF(AND(SUM($U51)=0,SUM($AM51)=0),"",ROUND((SUM($AM51)*$AN51+IF($C51="&lt;01",0,$U51))*$AO51,0))</f>
        <v>3</v>
      </c>
      <c r="AQ51" s="122" t="n">
        <v>46</v>
      </c>
      <c r="AR51" s="123" t="n">
        <f aca="false">0.95</f>
        <v>0.95</v>
      </c>
      <c r="AS51" s="123" t="n">
        <f aca="false">0.95</f>
        <v>0.95</v>
      </c>
      <c r="AT51" s="115" t="n">
        <f aca="false">IF(SUM($AP51)=0,"",ROUND(SUM($AP51)*$AR51,0))</f>
        <v>3</v>
      </c>
      <c r="AU51" s="115" t="n">
        <f aca="false">IF(LEFT($B51,4)="_Mil","",ROUND(SUM($AA51)*SUM($AS51),0))</f>
        <v>2320</v>
      </c>
      <c r="AV51" s="124" t="n">
        <f aca="false">IF(SUM($AU51)&lt;=0,"",MAX(SUM($AU51)-SUM($R51),0))</f>
        <v>2320</v>
      </c>
      <c r="AW51" s="122" t="n">
        <f aca="false">0</f>
        <v>0</v>
      </c>
      <c r="AX51" s="124" t="n">
        <f aca="false">IF(SUM($AM51)=0,"",ROUND(SUM($AM51)*SUM($AW51),0))</f>
        <v>0</v>
      </c>
      <c r="AY51" s="124" t="n">
        <f aca="false">IF(SUM($AM51)=0,"",SUM($AM51)-SUM($AX51))</f>
        <v>1</v>
      </c>
      <c r="AZ51" s="123" t="n">
        <v>37</v>
      </c>
      <c r="BA51" s="123" t="n">
        <f aca="false">0.95</f>
        <v>0.95</v>
      </c>
      <c r="BB51" s="123"/>
      <c r="BC51" s="123" t="n">
        <f aca="false">IF(OR(SUM($AM51)&lt;=0,$C51="&lt;01"),"",MAX(IF(OR(SUM($Y51)&lt;70%,LEFT($B51,4)="_Mil"),30%,IF(SUM($Y51)&gt;=80%,75%,50%)),SUM($BB51)))</f>
        <v>0.3</v>
      </c>
      <c r="BD51" s="115" t="n">
        <f aca="false">IF($C51="&lt;01",IFERROR(ROUND(INDEX(EID!$M:$M,MATCH($B51,EID!$B:$B,0)),0)/2,""),IF(SUM($AY51)=0,"",ROUND(SUM($AY51)/SUM($BA51),0)))</f>
        <v>1</v>
      </c>
      <c r="BE51" s="115" t="n">
        <f aca="false">IF($C51="&lt;01","",IF(SUM($BD51)=0,"",ROUND(SUM($BD51)*SUM($BC51),0)))</f>
        <v>0</v>
      </c>
      <c r="BF51" s="115" t="n">
        <f aca="false">_xlfn.IFNA(INDEX(PMTCT!$AE:$AE,MATCH($E51,PMTCT!$E:$E,0)),"")</f>
        <v>-51084</v>
      </c>
      <c r="BG51" s="115" t="str">
        <f aca="false">_xlfn.IFNA(INDEX(PMTCT!$AU:$AU,MATCH($E51,PMTCT!$E:$E,0)),"")</f>
        <v/>
      </c>
      <c r="BH51" s="115" t="n">
        <f aca="false">_xlfn.IFNA(INDEX(TB!$Q:$Q,MATCH($E51,TB!$E:$E,0)),"")</f>
        <v>-16660</v>
      </c>
      <c r="BI51" s="115" t="str">
        <f aca="false">_xlfn.IFNA(INDEX(VMMC!$AC:$AC,MATCH($E51,VMMC!$E:$E,0)),"")</f>
        <v/>
      </c>
      <c r="BJ51" s="115" t="str">
        <f aca="false">IF($C51="&lt;01",$BD51,"")</f>
        <v/>
      </c>
      <c r="BK51" s="115" t="n">
        <f aca="false">IF(SUM($BD51)=0,"",($BD51)-SUM($BE51:$BJ51))</f>
        <v>67745</v>
      </c>
      <c r="BL51" s="123" t="str">
        <f aca="false">IF(OR(SUM($BD51)=0,SUM($BE51)=0),"",SUM($BE51)/$BD51)</f>
        <v/>
      </c>
      <c r="BM51" s="123" t="n">
        <f aca="false">IF(OR(SUM($BD51)=0,SUM($BF51)=0),"",SUM($BF51)/$BD51)</f>
        <v>-51084</v>
      </c>
      <c r="BN51" s="123" t="str">
        <f aca="false">IF(OR(SUM($BD51)=0,SUM($BG51)=0),"",SUM($BG51)/$BD51)</f>
        <v/>
      </c>
      <c r="BO51" s="123" t="n">
        <f aca="false">IF(OR(SUM($BD51)=0,SUM($BH51)=0),"",SUM($BH51)/$BD51)</f>
        <v>-16660</v>
      </c>
      <c r="BP51" s="123" t="str">
        <f aca="false">IF(OR(SUM($BD51)=0,SUM($BI51)=0),"",SUM($BI51)/$BD51)</f>
        <v/>
      </c>
      <c r="BQ51" s="123" t="str">
        <f aca="false">IF(AND($C51="&lt;01",SUM($BJ51)&lt;&gt;0),$BJ51/SUM($BD51),"")</f>
        <v/>
      </c>
      <c r="BR51" s="123" t="n">
        <f aca="false">IF(OR(SUM($BD51)=0,SUM($BK51)=0),"",SUM($BK51)/$BD51)</f>
        <v>67745</v>
      </c>
      <c r="BS51" s="122" t="n">
        <f aca="false">IF(SUM($X51)&lt;=0,"",$X51)</f>
        <v>0.00108283703302653</v>
      </c>
      <c r="BT51" s="115" t="n">
        <f aca="false">IF(LEFT($B51,4)="_Mil","",MAX(SUM($L51)+ROUND(SUM($BD51)/IF(SUM($BS51)&lt;=0,1,SUM($BS51)),0),0))</f>
        <v>3041</v>
      </c>
    </row>
    <row r="52" customFormat="false" ht="15" hidden="false" customHeight="false" outlineLevel="0" collapsed="false">
      <c r="A52" s="0" t="s">
        <v>142</v>
      </c>
      <c r="B52" s="0" t="s">
        <v>109</v>
      </c>
      <c r="C52" s="0" t="s">
        <v>69</v>
      </c>
      <c r="D52" s="0" t="s">
        <v>58</v>
      </c>
      <c r="E52" s="0" t="str">
        <f aca="false">B52&amp;"|"&amp;C52&amp;"|"&amp;D52</f>
        <v>Berea [#SNU] [#DREAMS] [wpg5evyl1OL]|25-29|Male</v>
      </c>
      <c r="F52" s="115" t="n">
        <f aca="false">_xlfn.IFNA(ROUND(INDEX(Spectrum!$N:$N,MATCH(RIGHT($B52,13)&amp;"|"&amp;$C52&amp;"|"&amp;$D52&amp;"|"&amp;F$14&amp;"|"&amp;"CY2021Q3",Spectrum!$Q:$Q,0)),0),"")</f>
        <v>12986</v>
      </c>
      <c r="G52" s="123" t="n">
        <f aca="false">_xlfn.IFNA(INDEX(Spectrum!$P:$P,MATCH(RIGHT($B52,13)&amp;"|"&amp;$C52&amp;"|"&amp;$D52&amp;"|"&amp;F$14&amp;"|"&amp;"CY2021Q3",Spectrum!$Q:$Q,0)),"")</f>
        <v>20</v>
      </c>
      <c r="H52" s="115" t="n">
        <f aca="false">_xlfn.IFNA(ROUND(INDEX(Spectrum!$N:$N,MATCH(RIGHT($B52,13)&amp;"|"&amp;$C52&amp;"|"&amp;$D52&amp;"|"&amp;H$14&amp;"|"&amp;"CY2021Q3",Spectrum!$Q:$Q,0)),0),"")</f>
        <v>1188</v>
      </c>
      <c r="I52" s="123" t="n">
        <f aca="false">_xlfn.IFNA(INDEX(Spectrum!$P:$P,MATCH(RIGHT($B52,13)&amp;"|"&amp;$C52&amp;"|"&amp;$D52&amp;"|"&amp;H$14&amp;"|"&amp;"CY2021Q3",Spectrum!$Q:$Q,0)),"")</f>
        <v>36</v>
      </c>
      <c r="J52" s="117" t="n">
        <f aca="false">_xlfn.IFNA(INDEX(Spectrum!$N:$N,MATCH(RIGHT($B52,13)&amp;"|"&amp;$C52&amp;"|"&amp;$D52&amp;"|"&amp;J$14&amp;"|"&amp;"CY2021Q3",Spectrum!$Q:$Q,0)),"")</f>
        <v>0.0914706</v>
      </c>
      <c r="K52" s="123" t="n">
        <f aca="false">_xlfn.IFNA(INDEX(Spectrum!$P:$P,MATCH(RIGHT($B52,13)&amp;"|"&amp;$C52&amp;"|"&amp;$D52&amp;"|"&amp;J$14&amp;"|"&amp;"CY2021Q3",Spectrum!$Q:$Q,0)),"")</f>
        <v>38</v>
      </c>
      <c r="L52" s="115" t="n">
        <f aca="false">_xlfn.IFNA(ROUND(INDEX(Spectrum!$N:$N,MATCH(RIGHT($B52,13)&amp;"|"&amp;$C52&amp;"|"&amp;$D52&amp;"|"&amp;L$14&amp;"|"&amp;"CY2021Q3",Spectrum!$Q:$Q,0)),0),"")</f>
        <v>871</v>
      </c>
      <c r="M52" s="123" t="n">
        <f aca="false">IF(OR(SUM($H52)&lt;=0,SUM($L52)&lt;=0),"",SUM($L52)/$H52)</f>
        <v>0.733164983164983</v>
      </c>
      <c r="N52" s="115" t="str">
        <f aca="false">_xlfn.IFNA(ROUND(INDEX(Spectrum!$N:$N,MATCH(RIGHT($B52,13)&amp;"|"&amp;$C52&amp;"|"&amp;$D52&amp;"|"&amp;N$14&amp;"|"&amp;"CY2020Q4",Spectrum!$Q:$Q,0)),0),"")</f>
        <v/>
      </c>
      <c r="O52" s="123" t="str">
        <f aca="false">_xlfn.IFNA(INDEX(Spectrum!$P:$P,MATCH(RIGHT($B52,13)&amp;"|"&amp;$C52&amp;"|"&amp;$D52&amp;"|"&amp;N$14&amp;"|"&amp;"CY2020Q4",Spectrum!$Q:$Q,0)),"")</f>
        <v/>
      </c>
      <c r="P52" s="115" t="n">
        <f aca="false">_xlfn.IFNA(ROUND(INDEX(Spectrum!$N:$N,MATCH(RIGHT($B52,13)&amp;"|"&amp;$C52&amp;"|"&amp;$D52&amp;"|"&amp;P$14&amp;"|"&amp;"CY2021Q3",Spectrum!$Q:$Q,0)),0),"")</f>
        <v>652</v>
      </c>
      <c r="Q52" s="123" t="n">
        <f aca="false">_xlfn.IFNA(INDEX(Spectrum!$P:$P,MATCH(RIGHT($B52,13)&amp;"|"&amp;$C52&amp;"|"&amp;$D52&amp;"|"&amp;P$14&amp;"|"&amp;"CY2021Q3",Spectrum!$Q:$Q,0)),"")</f>
        <v>45</v>
      </c>
      <c r="R52" s="115"/>
      <c r="S52" s="123" t="str">
        <f aca="false">IF(OR(SUM($P52)&lt;=0,SUM($R52)&lt;=0),"",SUM($R52)/$P52)</f>
        <v/>
      </c>
      <c r="T52" s="139" t="n">
        <v>23</v>
      </c>
      <c r="U52" s="124" t="n">
        <v>32</v>
      </c>
      <c r="V52" s="124" t="n">
        <f aca="false">IF($U52-$T52=0,"",$U52-$T52)</f>
        <v>9</v>
      </c>
      <c r="W52" s="123" t="n">
        <f aca="false">IF(LEFT($B52,4)="_Mil","",IFERROR(MIN(IF(SUM($N52)&lt;=0,SUM($U52)/SUM($P52),SUM($T52)/SUM($N52)),1),""))</f>
        <v>0.049079754601227</v>
      </c>
      <c r="X52" s="123" t="n">
        <f aca="false">$W52</f>
        <v>0.049079754601227</v>
      </c>
      <c r="Y52" s="123" t="n">
        <f aca="false">IFERROR(1/(1/INDEX(Spectrum!$N:$N,MATCH(RIGHT($B52,13)&amp;"|"&amp;$C52&amp;"|"&amp;$D52&amp;"|"&amp;Y$14&amp;"|"&amp;"CY2021Q3",Spectrum!$Q:$Q,0))),IF(SUM($H52)=0,"",MAX(SUM($P52),SUM($U52))/SUM($H52)))</f>
        <v>0.548821548821549</v>
      </c>
      <c r="Z52" s="123" t="n">
        <f aca="false">IF(SUM($Y52)=0,"",MAX(SUM($Y52),90%))</f>
        <v>0.9</v>
      </c>
      <c r="AA52" s="115" t="n">
        <f aca="false">IF(LEFT($B52,4)="_Mil","",ROUND(MAX(SUM($U52),SUM($P52))+IF(SUM($Z52)=0,0,MAX(SUM($Z52)-SUM($Y52),0)*SUM($H52)),0))</f>
        <v>1069</v>
      </c>
      <c r="AB52" s="115" t="n">
        <f aca="false">IF(SUM($AA52)=0,"",ROUND(MAX(SUM($AA52)-MAX(SUM($P52),SUM($U52)),0),0))</f>
        <v>417</v>
      </c>
      <c r="AC52" s="126" t="str">
        <f aca="false">IF($C52="&lt;01",IFERROR(ROUND(INDEX(EID!$N:$N,MATCH($B52,EID!$B:$B,0))/2,0),""),"")</f>
        <v/>
      </c>
      <c r="AD52" s="115" t="n">
        <f aca="false">IF($C52="&lt;01",IF(SUM($AC52)=0,"",ROUND(SUM($AC52)/$AG52,0)),IF(SUM($AB52)=0,"",ROUND(MAX($X52,0)*SUM($AB52),0)))</f>
        <v>20</v>
      </c>
      <c r="AE52" s="115" t="n">
        <f aca="false">IF(AND(SUM($AD52)=0,SUM($U52)=0),"",ROUND(IF($C52="&lt;01",0,SUM($U52))+SUM($AD52),0))</f>
        <v>52</v>
      </c>
      <c r="AF52" s="122" t="n">
        <f aca="false">IF($C52="&lt;01","",100%)</f>
        <v>1</v>
      </c>
      <c r="AG52" s="123" t="n">
        <f aca="false">0.98</f>
        <v>0.98</v>
      </c>
      <c r="AH52" s="123" t="n">
        <f aca="false">0.98</f>
        <v>0.98</v>
      </c>
      <c r="AI52" s="124" t="n">
        <f aca="false">IF(OR($C52="&lt;01",SUM($U52)=0),"",ROUND(SUM($U52)*(1-$AH52),0))</f>
        <v>1</v>
      </c>
      <c r="AJ52" s="124" t="n">
        <f aca="false">IF(AND(SUM($AE52)=0,SUM($U52)=0),"",IF($C52="&lt;01",SUM($AD52),SUM($AE52) - ROUND(SUM($U52)*$AH52,0)))</f>
        <v>21</v>
      </c>
      <c r="AK52" s="124" t="n">
        <v>34</v>
      </c>
      <c r="AL52" s="124" t="n">
        <v>40</v>
      </c>
      <c r="AM52" s="115" t="n">
        <f aca="false">IF(AND(SUM($AD52)=0,SUM($U52)=0),"",IF($C52="&lt;01",SUM($AD52),ROUND(ROUND(SUM($AJ52)*$AF52,0)/$AG52,0)))</f>
        <v>21</v>
      </c>
      <c r="AN52" s="122" t="n">
        <f aca="false">0.7</f>
        <v>0.7</v>
      </c>
      <c r="AO52" s="123" t="n">
        <f aca="false">1</f>
        <v>1</v>
      </c>
      <c r="AP52" s="115" t="n">
        <f aca="false">IF(AND(SUM($U52)=0,SUM($AM52)=0),"",ROUND((SUM($AM52)*$AN52+IF($C52="&lt;01",0,$U52))*$AO52,0))</f>
        <v>47</v>
      </c>
      <c r="AQ52" s="122" t="n">
        <v>46</v>
      </c>
      <c r="AR52" s="123" t="n">
        <f aca="false">0.95</f>
        <v>0.95</v>
      </c>
      <c r="AS52" s="123" t="n">
        <f aca="false">0.95</f>
        <v>0.95</v>
      </c>
      <c r="AT52" s="115" t="n">
        <f aca="false">IF(SUM($AP52)=0,"",ROUND(SUM($AP52)*$AR52,0))</f>
        <v>45</v>
      </c>
      <c r="AU52" s="115" t="n">
        <f aca="false">IF(LEFT($B52,4)="_Mil","",ROUND(SUM($AA52)*SUM($AS52),0))</f>
        <v>1016</v>
      </c>
      <c r="AV52" s="124" t="n">
        <f aca="false">IF(SUM($AU52)&lt;=0,"",MAX(SUM($AU52)-SUM($R52),0))</f>
        <v>1016</v>
      </c>
      <c r="AW52" s="122" t="n">
        <f aca="false">0</f>
        <v>0</v>
      </c>
      <c r="AX52" s="124" t="n">
        <f aca="false">IF(SUM($AM52)=0,"",ROUND(SUM($AM52)*SUM($AW52),0))</f>
        <v>0</v>
      </c>
      <c r="AY52" s="124" t="n">
        <f aca="false">IF(SUM($AM52)=0,"",SUM($AM52)-SUM($AX52))</f>
        <v>21</v>
      </c>
      <c r="AZ52" s="123" t="n">
        <v>36</v>
      </c>
      <c r="BA52" s="123" t="n">
        <f aca="false">0.95</f>
        <v>0.95</v>
      </c>
      <c r="BB52" s="123"/>
      <c r="BC52" s="123" t="n">
        <f aca="false">IF(OR(SUM($AM52)&lt;=0,$C52="&lt;01"),"",MAX(IF(OR(SUM($Y52)&lt;70%,LEFT($B52,4)="_Mil"),30%,IF(SUM($Y52)&gt;=80%,75%,50%)),SUM($BB52)))</f>
        <v>0.3</v>
      </c>
      <c r="BD52" s="115" t="n">
        <f aca="false">IF($C52="&lt;01",IFERROR(ROUND(INDEX(EID!$M:$M,MATCH($B52,EID!$B:$B,0)),0)/2,""),IF(SUM($AY52)=0,"",ROUND(SUM($AY52)/SUM($BA52),0)))</f>
        <v>22</v>
      </c>
      <c r="BE52" s="115" t="n">
        <f aca="false">IF($C52="&lt;01","",IF(SUM($BD52)=0,"",ROUND(SUM($BD52)*SUM($BC52),0)))</f>
        <v>7</v>
      </c>
      <c r="BF52" s="115" t="str">
        <f aca="false">_xlfn.IFNA(INDEX(PMTCT!$AE:$AE,MATCH($E52,PMTCT!$E:$E,0)),"")</f>
        <v/>
      </c>
      <c r="BG52" s="115" t="str">
        <f aca="false">_xlfn.IFNA(INDEX(PMTCT!$AU:$AU,MATCH($E52,PMTCT!$E:$E,0)),"")</f>
        <v/>
      </c>
      <c r="BH52" s="115" t="n">
        <f aca="false">_xlfn.IFNA(INDEX(TB!$Q:$Q,MATCH($E52,TB!$E:$E,0)),"")</f>
        <v>-8428</v>
      </c>
      <c r="BI52" s="115" t="str">
        <f aca="false">_xlfn.IFNA(INDEX(VMMC!$AC:$AC,MATCH($E52,VMMC!$E:$E,0)),"")</f>
        <v/>
      </c>
      <c r="BJ52" s="115" t="str">
        <f aca="false">IF($C52="&lt;01",$BD52,"")</f>
        <v/>
      </c>
      <c r="BK52" s="115" t="n">
        <f aca="false">IF(SUM($BD52)=0,"",($BD52)-SUM($BE52:$BJ52))</f>
        <v>8443</v>
      </c>
      <c r="BL52" s="123" t="n">
        <f aca="false">IF(OR(SUM($BD52)=0,SUM($BE52)=0),"",SUM($BE52)/$BD52)</f>
        <v>0.318181818181818</v>
      </c>
      <c r="BM52" s="123" t="str">
        <f aca="false">IF(OR(SUM($BD52)=0,SUM($BF52)=0),"",SUM($BF52)/$BD52)</f>
        <v/>
      </c>
      <c r="BN52" s="123" t="str">
        <f aca="false">IF(OR(SUM($BD52)=0,SUM($BG52)=0),"",SUM($BG52)/$BD52)</f>
        <v/>
      </c>
      <c r="BO52" s="123" t="n">
        <f aca="false">IF(OR(SUM($BD52)=0,SUM($BH52)=0),"",SUM($BH52)/$BD52)</f>
        <v>-383.090909090909</v>
      </c>
      <c r="BP52" s="123" t="str">
        <f aca="false">IF(OR(SUM($BD52)=0,SUM($BI52)=0),"",SUM($BI52)/$BD52)</f>
        <v/>
      </c>
      <c r="BQ52" s="123" t="str">
        <f aca="false">IF(AND($C52="&lt;01",SUM($BJ52)&lt;&gt;0),$BJ52/SUM($BD52),"")</f>
        <v/>
      </c>
      <c r="BR52" s="123" t="n">
        <f aca="false">IF(OR(SUM($BD52)=0,SUM($BK52)=0),"",SUM($BK52)/$BD52)</f>
        <v>383.772727272727</v>
      </c>
      <c r="BS52" s="122" t="n">
        <f aca="false">IF(SUM($X52)&lt;=0,"",$X52)</f>
        <v>0.049079754601227</v>
      </c>
      <c r="BT52" s="115" t="n">
        <f aca="false">IF(LEFT($B52,4)="_Mil","",MAX(SUM($L52)+ROUND(SUM($BD52)/IF(SUM($BS52)&lt;=0,1,SUM($BS52)),0),0))</f>
        <v>1319</v>
      </c>
    </row>
    <row r="53" customFormat="false" ht="15" hidden="false" customHeight="false" outlineLevel="0" collapsed="false">
      <c r="A53" s="0" t="s">
        <v>142</v>
      </c>
      <c r="B53" s="0" t="s">
        <v>109</v>
      </c>
      <c r="C53" s="0" t="s">
        <v>72</v>
      </c>
      <c r="D53" s="0" t="s">
        <v>56</v>
      </c>
      <c r="E53" s="0" t="str">
        <f aca="false">B53&amp;"|"&amp;C53&amp;"|"&amp;D53</f>
        <v>Berea [#SNU] [#DREAMS] [wpg5evyl1OL]|30-34|Female</v>
      </c>
      <c r="F53" s="115" t="n">
        <f aca="false">_xlfn.IFNA(ROUND(INDEX(Spectrum!$N:$N,MATCH(RIGHT($B53,13)&amp;"|"&amp;$C53&amp;"|"&amp;$D53&amp;"|"&amp;F$14&amp;"|"&amp;"CY2021Q3",Spectrum!$Q:$Q,0)),0),"")</f>
        <v>12104</v>
      </c>
      <c r="G53" s="123" t="n">
        <f aca="false">_xlfn.IFNA(INDEX(Spectrum!$P:$P,MATCH(RIGHT($B53,13)&amp;"|"&amp;$C53&amp;"|"&amp;$D53&amp;"|"&amp;F$14&amp;"|"&amp;"CY2021Q3",Spectrum!$Q:$Q,0)),"")</f>
        <v>44</v>
      </c>
      <c r="H53" s="115" t="n">
        <f aca="false">_xlfn.IFNA(ROUND(INDEX(Spectrum!$N:$N,MATCH(RIGHT($B53,13)&amp;"|"&amp;$C53&amp;"|"&amp;$D53&amp;"|"&amp;H$14&amp;"|"&amp;"CY2021Q3",Spectrum!$Q:$Q,0)),0),"")</f>
        <v>3878</v>
      </c>
      <c r="I53" s="123" t="n">
        <f aca="false">_xlfn.IFNA(INDEX(Spectrum!$P:$P,MATCH(RIGHT($B53,13)&amp;"|"&amp;$C53&amp;"|"&amp;$D53&amp;"|"&amp;H$14&amp;"|"&amp;"CY2021Q3",Spectrum!$Q:$Q,0)),"")</f>
        <v>12</v>
      </c>
      <c r="J53" s="117" t="n">
        <f aca="false">_xlfn.IFNA(INDEX(Spectrum!$N:$N,MATCH(RIGHT($B53,13)&amp;"|"&amp;$C53&amp;"|"&amp;$D53&amp;"|"&amp;J$14&amp;"|"&amp;"CY2021Q3",Spectrum!$Q:$Q,0)),"")</f>
        <v>0.3203534</v>
      </c>
      <c r="K53" s="123" t="n">
        <f aca="false">_xlfn.IFNA(INDEX(Spectrum!$P:$P,MATCH(RIGHT($B53,13)&amp;"|"&amp;$C53&amp;"|"&amp;$D53&amp;"|"&amp;J$14&amp;"|"&amp;"CY2021Q3",Spectrum!$Q:$Q,0)),"")</f>
        <v>47</v>
      </c>
      <c r="L53" s="115" t="n">
        <f aca="false">_xlfn.IFNA(ROUND(INDEX(Spectrum!$N:$N,MATCH(RIGHT($B53,13)&amp;"|"&amp;$C53&amp;"|"&amp;$D53&amp;"|"&amp;L$14&amp;"|"&amp;"CY2021Q3",Spectrum!$Q:$Q,0)),0),"")</f>
        <v>2797</v>
      </c>
      <c r="M53" s="123" t="n">
        <f aca="false">IF(OR(SUM($H53)&lt;=0,SUM($L53)&lt;=0),"",SUM($L53)/$H53)</f>
        <v>0.721248066013409</v>
      </c>
      <c r="N53" s="115" t="str">
        <f aca="false">_xlfn.IFNA(ROUND(INDEX(Spectrum!$N:$N,MATCH(RIGHT($B53,13)&amp;"|"&amp;$C53&amp;"|"&amp;$D53&amp;"|"&amp;N$14&amp;"|"&amp;"CY2020Q4",Spectrum!$Q:$Q,0)),0),"")</f>
        <v/>
      </c>
      <c r="O53" s="123" t="str">
        <f aca="false">_xlfn.IFNA(INDEX(Spectrum!$P:$P,MATCH(RIGHT($B53,13)&amp;"|"&amp;$C53&amp;"|"&amp;$D53&amp;"|"&amp;N$14&amp;"|"&amp;"CY2020Q4",Spectrum!$Q:$Q,0)),"")</f>
        <v/>
      </c>
      <c r="P53" s="115" t="n">
        <f aca="false">_xlfn.IFNA(ROUND(INDEX(Spectrum!$N:$N,MATCH(RIGHT($B53,13)&amp;"|"&amp;$C53&amp;"|"&amp;$D53&amp;"|"&amp;P$14&amp;"|"&amp;"CY2021Q3",Spectrum!$Q:$Q,0)),0),"")</f>
        <v>2548</v>
      </c>
      <c r="Q53" s="123" t="n">
        <f aca="false">_xlfn.IFNA(INDEX(Spectrum!$P:$P,MATCH(RIGHT($B53,13)&amp;"|"&amp;$C53&amp;"|"&amp;$D53&amp;"|"&amp;P$14&amp;"|"&amp;"CY2021Q3",Spectrum!$Q:$Q,0)),"")</f>
        <v>2</v>
      </c>
      <c r="R53" s="115"/>
      <c r="S53" s="123" t="str">
        <f aca="false">IF(OR(SUM($P53)&lt;=0,SUM($R53)&lt;=0),"",SUM($R53)/$P53)</f>
        <v/>
      </c>
      <c r="T53" s="139" t="n">
        <v>11</v>
      </c>
      <c r="U53" s="124" t="n">
        <v>44</v>
      </c>
      <c r="V53" s="124" t="n">
        <f aca="false">IF($U53-$T53=0,"",$U53-$T53)</f>
        <v>33</v>
      </c>
      <c r="W53" s="123" t="n">
        <f aca="false">IF(LEFT($B53,4)="_Mil","",IFERROR(MIN(IF(SUM($N53)&lt;=0,SUM($U53)/SUM($P53),SUM($T53)/SUM($N53)),1),""))</f>
        <v>0.0172684458398744</v>
      </c>
      <c r="X53" s="123" t="n">
        <f aca="false">$W53</f>
        <v>0.0172684458398744</v>
      </c>
      <c r="Y53" s="123" t="n">
        <f aca="false">IFERROR(1/(1/INDEX(Spectrum!$N:$N,MATCH(RIGHT($B53,13)&amp;"|"&amp;$C53&amp;"|"&amp;$D53&amp;"|"&amp;Y$14&amp;"|"&amp;"CY2021Q3",Spectrum!$Q:$Q,0))),IF(SUM($H53)=0,"",MAX(SUM($P53),SUM($U53))/SUM($H53)))</f>
        <v>0.657039711191336</v>
      </c>
      <c r="Z53" s="123" t="n">
        <f aca="false">IF(SUM($Y53)=0,"",MAX(SUM($Y53),90%))</f>
        <v>0.9</v>
      </c>
      <c r="AA53" s="115" t="n">
        <f aca="false">IF(LEFT($B53,4)="_Mil","",ROUND(MAX(SUM($U53),SUM($P53))+IF(SUM($Z53)=0,0,MAX(SUM($Z53)-SUM($Y53),0)*SUM($H53)),0))</f>
        <v>3490</v>
      </c>
      <c r="AB53" s="115" t="n">
        <f aca="false">IF(SUM($AA53)=0,"",ROUND(MAX(SUM($AA53)-MAX(SUM($P53),SUM($U53)),0),0))</f>
        <v>942</v>
      </c>
      <c r="AC53" s="126" t="str">
        <f aca="false">IF($C53="&lt;01",IFERROR(ROUND(INDEX(EID!$N:$N,MATCH($B53,EID!$B:$B,0))/2,0),""),"")</f>
        <v/>
      </c>
      <c r="AD53" s="115" t="n">
        <f aca="false">IF($C53="&lt;01",IF(SUM($AC53)=0,"",ROUND(SUM($AC53)/$AG53,0)),IF(SUM($AB53)=0,"",ROUND(MAX($X53,0)*SUM($AB53),0)))</f>
        <v>16</v>
      </c>
      <c r="AE53" s="115" t="n">
        <f aca="false">IF(AND(SUM($AD53)=0,SUM($U53)=0),"",ROUND(IF($C53="&lt;01",0,SUM($U53))+SUM($AD53),0))</f>
        <v>60</v>
      </c>
      <c r="AF53" s="122" t="n">
        <f aca="false">IF($C53="&lt;01","",100%)</f>
        <v>1</v>
      </c>
      <c r="AG53" s="123" t="n">
        <f aca="false">0.98</f>
        <v>0.98</v>
      </c>
      <c r="AH53" s="123" t="n">
        <f aca="false">0.98</f>
        <v>0.98</v>
      </c>
      <c r="AI53" s="124" t="n">
        <f aca="false">IF(OR($C53="&lt;01",SUM($U53)=0),"",ROUND(SUM($U53)*(1-$AH53),0))</f>
        <v>1</v>
      </c>
      <c r="AJ53" s="124" t="n">
        <f aca="false">IF(AND(SUM($AE53)=0,SUM($U53)=0),"",IF($C53="&lt;01",SUM($AD53),SUM($AE53) - ROUND(SUM($U53)*$AH53,0)))</f>
        <v>17</v>
      </c>
      <c r="AK53" s="124" t="n">
        <v>35</v>
      </c>
      <c r="AL53" s="124" t="n">
        <v>21</v>
      </c>
      <c r="AM53" s="115" t="n">
        <f aca="false">IF(AND(SUM($AD53)=0,SUM($U53)=0),"",IF($C53="&lt;01",SUM($AD53),ROUND(ROUND(SUM($AJ53)*$AF53,0)/$AG53,0)))</f>
        <v>17</v>
      </c>
      <c r="AN53" s="122" t="n">
        <f aca="false">0.7</f>
        <v>0.7</v>
      </c>
      <c r="AO53" s="123" t="n">
        <f aca="false">1</f>
        <v>1</v>
      </c>
      <c r="AP53" s="115" t="n">
        <f aca="false">IF(AND(SUM($U53)=0,SUM($AM53)=0),"",ROUND((SUM($AM53)*$AN53+IF($C53="&lt;01",0,$U53))*$AO53,0))</f>
        <v>56</v>
      </c>
      <c r="AQ53" s="122" t="n">
        <v>4</v>
      </c>
      <c r="AR53" s="123" t="n">
        <f aca="false">0.95</f>
        <v>0.95</v>
      </c>
      <c r="AS53" s="123" t="n">
        <f aca="false">0.95</f>
        <v>0.95</v>
      </c>
      <c r="AT53" s="115" t="n">
        <f aca="false">IF(SUM($AP53)=0,"",ROUND(SUM($AP53)*$AR53,0))</f>
        <v>53</v>
      </c>
      <c r="AU53" s="115" t="n">
        <f aca="false">IF(LEFT($B53,4)="_Mil","",ROUND(SUM($AA53)*SUM($AS53),0))</f>
        <v>3316</v>
      </c>
      <c r="AV53" s="124" t="n">
        <f aca="false">IF(SUM($AU53)&lt;=0,"",MAX(SUM($AU53)-SUM($R53),0))</f>
        <v>3316</v>
      </c>
      <c r="AW53" s="122" t="n">
        <f aca="false">0</f>
        <v>0</v>
      </c>
      <c r="AX53" s="124" t="n">
        <f aca="false">IF(SUM($AM53)=0,"",ROUND(SUM($AM53)*SUM($AW53),0))</f>
        <v>0</v>
      </c>
      <c r="AY53" s="124" t="n">
        <f aca="false">IF(SUM($AM53)=0,"",SUM($AM53)-SUM($AX53))</f>
        <v>17</v>
      </c>
      <c r="AZ53" s="123" t="n">
        <v>5</v>
      </c>
      <c r="BA53" s="123" t="n">
        <f aca="false">0.95</f>
        <v>0.95</v>
      </c>
      <c r="BB53" s="123"/>
      <c r="BC53" s="123" t="n">
        <f aca="false">IF(OR(SUM($AM53)&lt;=0,$C53="&lt;01"),"",MAX(IF(OR(SUM($Y53)&lt;70%,LEFT($B53,4)="_Mil"),30%,IF(SUM($Y53)&gt;=80%,75%,50%)),SUM($BB53)))</f>
        <v>0.3</v>
      </c>
      <c r="BD53" s="115" t="n">
        <f aca="false">IF($C53="&lt;01",IFERROR(ROUND(INDEX(EID!$M:$M,MATCH($B53,EID!$B:$B,0)),0)/2,""),IF(SUM($AY53)=0,"",ROUND(SUM($AY53)/SUM($BA53),0)))</f>
        <v>18</v>
      </c>
      <c r="BE53" s="115" t="n">
        <f aca="false">IF($C53="&lt;01","",IF(SUM($BD53)=0,"",ROUND(SUM($BD53)*SUM($BC53),0)))</f>
        <v>5</v>
      </c>
      <c r="BF53" s="115" t="n">
        <f aca="false">_xlfn.IFNA(INDEX(PMTCT!$AE:$AE,MATCH($E53,PMTCT!$E:$E,0)),"")</f>
        <v>-10656</v>
      </c>
      <c r="BG53" s="115" t="str">
        <f aca="false">_xlfn.IFNA(INDEX(PMTCT!$AU:$AU,MATCH($E53,PMTCT!$E:$E,0)),"")</f>
        <v/>
      </c>
      <c r="BH53" s="115" t="n">
        <f aca="false">_xlfn.IFNA(INDEX(TB!$Q:$Q,MATCH($E53,TB!$E:$E,0)),"")</f>
        <v>-21312</v>
      </c>
      <c r="BI53" s="115" t="str">
        <f aca="false">_xlfn.IFNA(INDEX(VMMC!$AC:$AC,MATCH($E53,VMMC!$E:$E,0)),"")</f>
        <v/>
      </c>
      <c r="BJ53" s="115" t="str">
        <f aca="false">IF($C53="&lt;01",$BD53,"")</f>
        <v/>
      </c>
      <c r="BK53" s="115" t="n">
        <f aca="false">IF(SUM($BD53)=0,"",($BD53)-SUM($BE53:$BJ53))</f>
        <v>31981</v>
      </c>
      <c r="BL53" s="123" t="n">
        <f aca="false">IF(OR(SUM($BD53)=0,SUM($BE53)=0),"",SUM($BE53)/$BD53)</f>
        <v>0.277777777777778</v>
      </c>
      <c r="BM53" s="123" t="n">
        <f aca="false">IF(OR(SUM($BD53)=0,SUM($BF53)=0),"",SUM($BF53)/$BD53)</f>
        <v>-592</v>
      </c>
      <c r="BN53" s="123" t="str">
        <f aca="false">IF(OR(SUM($BD53)=0,SUM($BG53)=0),"",SUM($BG53)/$BD53)</f>
        <v/>
      </c>
      <c r="BO53" s="123" t="n">
        <f aca="false">IF(OR(SUM($BD53)=0,SUM($BH53)=0),"",SUM($BH53)/$BD53)</f>
        <v>-1184</v>
      </c>
      <c r="BP53" s="123" t="str">
        <f aca="false">IF(OR(SUM($BD53)=0,SUM($BI53)=0),"",SUM($BI53)/$BD53)</f>
        <v/>
      </c>
      <c r="BQ53" s="123" t="str">
        <f aca="false">IF(AND($C53="&lt;01",SUM($BJ53)&lt;&gt;0),$BJ53/SUM($BD53),"")</f>
        <v/>
      </c>
      <c r="BR53" s="123" t="n">
        <f aca="false">IF(OR(SUM($BD53)=0,SUM($BK53)=0),"",SUM($BK53)/$BD53)</f>
        <v>1776.72222222222</v>
      </c>
      <c r="BS53" s="122" t="n">
        <f aca="false">IF(SUM($X53)&lt;=0,"",$X53)</f>
        <v>0.0172684458398744</v>
      </c>
      <c r="BT53" s="115" t="n">
        <f aca="false">IF(LEFT($B53,4)="_Mil","",MAX(SUM($L53)+ROUND(SUM($BD53)/IF(SUM($BS53)&lt;=0,1,SUM($BS53)),0),0))</f>
        <v>3839</v>
      </c>
    </row>
    <row r="54" customFormat="false" ht="15" hidden="false" customHeight="false" outlineLevel="0" collapsed="false">
      <c r="A54" s="0" t="s">
        <v>142</v>
      </c>
      <c r="B54" s="0" t="s">
        <v>109</v>
      </c>
      <c r="C54" s="0" t="s">
        <v>72</v>
      </c>
      <c r="D54" s="0" t="s">
        <v>58</v>
      </c>
      <c r="E54" s="0" t="str">
        <f aca="false">B54&amp;"|"&amp;C54&amp;"|"&amp;D54</f>
        <v>Berea [#SNU] [#DREAMS] [wpg5evyl1OL]|30-34|Male</v>
      </c>
      <c r="F54" s="115" t="n">
        <f aca="false">_xlfn.IFNA(ROUND(INDEX(Spectrum!$N:$N,MATCH(RIGHT($B54,13)&amp;"|"&amp;$C54&amp;"|"&amp;$D54&amp;"|"&amp;F$14&amp;"|"&amp;"CY2021Q3",Spectrum!$Q:$Q,0)),0),"")</f>
        <v>12894</v>
      </c>
      <c r="G54" s="123" t="n">
        <f aca="false">_xlfn.IFNA(INDEX(Spectrum!$P:$P,MATCH(RIGHT($B54,13)&amp;"|"&amp;$C54&amp;"|"&amp;$D54&amp;"|"&amp;F$14&amp;"|"&amp;"CY2021Q3",Spectrum!$Q:$Q,0)),"")</f>
        <v>15</v>
      </c>
      <c r="H54" s="115" t="n">
        <f aca="false">_xlfn.IFNA(ROUND(INDEX(Spectrum!$N:$N,MATCH(RIGHT($B54,13)&amp;"|"&amp;$C54&amp;"|"&amp;$D54&amp;"|"&amp;H$14&amp;"|"&amp;"CY2021Q3",Spectrum!$Q:$Q,0)),0),"")</f>
        <v>2167</v>
      </c>
      <c r="I54" s="123" t="n">
        <f aca="false">_xlfn.IFNA(INDEX(Spectrum!$P:$P,MATCH(RIGHT($B54,13)&amp;"|"&amp;$C54&amp;"|"&amp;$D54&amp;"|"&amp;H$14&amp;"|"&amp;"CY2021Q3",Spectrum!$Q:$Q,0)),"")</f>
        <v>23</v>
      </c>
      <c r="J54" s="117" t="n">
        <f aca="false">_xlfn.IFNA(INDEX(Spectrum!$N:$N,MATCH(RIGHT($B54,13)&amp;"|"&amp;$C54&amp;"|"&amp;$D54&amp;"|"&amp;J$14&amp;"|"&amp;"CY2021Q3",Spectrum!$Q:$Q,0)),"")</f>
        <v>0.1680274</v>
      </c>
      <c r="K54" s="123" t="n">
        <f aca="false">_xlfn.IFNA(INDEX(Spectrum!$P:$P,MATCH(RIGHT($B54,13)&amp;"|"&amp;$C54&amp;"|"&amp;$D54&amp;"|"&amp;J$14&amp;"|"&amp;"CY2021Q3",Spectrum!$Q:$Q,0)),"")</f>
        <v>44</v>
      </c>
      <c r="L54" s="115" t="n">
        <f aca="false">_xlfn.IFNA(ROUND(INDEX(Spectrum!$N:$N,MATCH(RIGHT($B54,13)&amp;"|"&amp;$C54&amp;"|"&amp;$D54&amp;"|"&amp;L$14&amp;"|"&amp;"CY2021Q3",Spectrum!$Q:$Q,0)),0),"")</f>
        <v>1493</v>
      </c>
      <c r="M54" s="123" t="n">
        <f aca="false">IF(OR(SUM($H54)&lt;=0,SUM($L54)&lt;=0),"",SUM($L54)/$H54)</f>
        <v>0.688970927549608</v>
      </c>
      <c r="N54" s="115" t="str">
        <f aca="false">_xlfn.IFNA(ROUND(INDEX(Spectrum!$N:$N,MATCH(RIGHT($B54,13)&amp;"|"&amp;$C54&amp;"|"&amp;$D54&amp;"|"&amp;N$14&amp;"|"&amp;"CY2020Q4",Spectrum!$Q:$Q,0)),0),"")</f>
        <v/>
      </c>
      <c r="O54" s="123" t="str">
        <f aca="false">_xlfn.IFNA(INDEX(Spectrum!$P:$P,MATCH(RIGHT($B54,13)&amp;"|"&amp;$C54&amp;"|"&amp;$D54&amp;"|"&amp;N$14&amp;"|"&amp;"CY2020Q4",Spectrum!$Q:$Q,0)),"")</f>
        <v/>
      </c>
      <c r="P54" s="115" t="n">
        <f aca="false">_xlfn.IFNA(ROUND(INDEX(Spectrum!$N:$N,MATCH(RIGHT($B54,13)&amp;"|"&amp;$C54&amp;"|"&amp;$D54&amp;"|"&amp;P$14&amp;"|"&amp;"CY2021Q3",Spectrum!$Q:$Q,0)),0),"")</f>
        <v>1191</v>
      </c>
      <c r="Q54" s="123" t="n">
        <f aca="false">_xlfn.IFNA(INDEX(Spectrum!$P:$P,MATCH(RIGHT($B54,13)&amp;"|"&amp;$C54&amp;"|"&amp;$D54&amp;"|"&amp;P$14&amp;"|"&amp;"CY2021Q3",Spectrum!$Q:$Q,0)),"")</f>
        <v>1</v>
      </c>
      <c r="R54" s="115"/>
      <c r="S54" s="123" t="str">
        <f aca="false">IF(OR(SUM($P54)&lt;=0,SUM($R54)&lt;=0),"",SUM($R54)/$P54)</f>
        <v/>
      </c>
      <c r="T54" s="139" t="n">
        <v>38</v>
      </c>
      <c r="U54" s="124" t="n">
        <v>6</v>
      </c>
      <c r="V54" s="124" t="n">
        <f aca="false">IF($U54-$T54=0,"",$U54-$T54)</f>
        <v>-32</v>
      </c>
      <c r="W54" s="123" t="n">
        <f aca="false">IF(LEFT($B54,4)="_Mil","",IFERROR(MIN(IF(SUM($N54)&lt;=0,SUM($U54)/SUM($P54),SUM($T54)/SUM($N54)),1),""))</f>
        <v>0.00503778337531486</v>
      </c>
      <c r="X54" s="123" t="n">
        <f aca="false">$W54</f>
        <v>0.00503778337531486</v>
      </c>
      <c r="Y54" s="123" t="n">
        <f aca="false">IFERROR(1/(1/INDEX(Spectrum!$N:$N,MATCH(RIGHT($B54,13)&amp;"|"&amp;$C54&amp;"|"&amp;$D54&amp;"|"&amp;Y$14&amp;"|"&amp;"CY2021Q3",Spectrum!$Q:$Q,0))),IF(SUM($H54)=0,"",MAX(SUM($P54),SUM($U54))/SUM($H54)))</f>
        <v>0.549607752653438</v>
      </c>
      <c r="Z54" s="123" t="n">
        <f aca="false">IF(SUM($Y54)=0,"",MAX(SUM($Y54),90%))</f>
        <v>0.9</v>
      </c>
      <c r="AA54" s="115" t="n">
        <f aca="false">IF(LEFT($B54,4)="_Mil","",ROUND(MAX(SUM($U54),SUM($P54))+IF(SUM($Z54)=0,0,MAX(SUM($Z54)-SUM($Y54),0)*SUM($H54)),0))</f>
        <v>1950</v>
      </c>
      <c r="AB54" s="115" t="n">
        <f aca="false">IF(SUM($AA54)=0,"",ROUND(MAX(SUM($AA54)-MAX(SUM($P54),SUM($U54)),0),0))</f>
        <v>759</v>
      </c>
      <c r="AC54" s="126" t="str">
        <f aca="false">IF($C54="&lt;01",IFERROR(ROUND(INDEX(EID!$N:$N,MATCH($B54,EID!$B:$B,0))/2,0),""),"")</f>
        <v/>
      </c>
      <c r="AD54" s="115" t="n">
        <f aca="false">IF($C54="&lt;01",IF(SUM($AC54)=0,"",ROUND(SUM($AC54)/$AG54,0)),IF(SUM($AB54)=0,"",ROUND(MAX($X54,0)*SUM($AB54),0)))</f>
        <v>4</v>
      </c>
      <c r="AE54" s="115" t="n">
        <f aca="false">IF(AND(SUM($AD54)=0,SUM($U54)=0),"",ROUND(IF($C54="&lt;01",0,SUM($U54))+SUM($AD54),0))</f>
        <v>10</v>
      </c>
      <c r="AF54" s="122" t="n">
        <f aca="false">IF($C54="&lt;01","",100%)</f>
        <v>1</v>
      </c>
      <c r="AG54" s="123" t="n">
        <f aca="false">0.98</f>
        <v>0.98</v>
      </c>
      <c r="AH54" s="123" t="n">
        <f aca="false">0.98</f>
        <v>0.98</v>
      </c>
      <c r="AI54" s="124" t="n">
        <f aca="false">IF(OR($C54="&lt;01",SUM($U54)=0),"",ROUND(SUM($U54)*(1-$AH54),0))</f>
        <v>0</v>
      </c>
      <c r="AJ54" s="124" t="n">
        <f aca="false">IF(AND(SUM($AE54)=0,SUM($U54)=0),"",IF($C54="&lt;01",SUM($AD54),SUM($AE54) - ROUND(SUM($U54)*$AH54,0)))</f>
        <v>4</v>
      </c>
      <c r="AK54" s="124" t="n">
        <v>20</v>
      </c>
      <c r="AL54" s="124" t="n">
        <v>43</v>
      </c>
      <c r="AM54" s="115" t="n">
        <f aca="false">IF(AND(SUM($AD54)=0,SUM($U54)=0),"",IF($C54="&lt;01",SUM($AD54),ROUND(ROUND(SUM($AJ54)*$AF54,0)/$AG54,0)))</f>
        <v>4</v>
      </c>
      <c r="AN54" s="122" t="n">
        <f aca="false">0.7</f>
        <v>0.7</v>
      </c>
      <c r="AO54" s="123" t="n">
        <f aca="false">1</f>
        <v>1</v>
      </c>
      <c r="AP54" s="115" t="n">
        <f aca="false">IF(AND(SUM($U54)=0,SUM($AM54)=0),"",ROUND((SUM($AM54)*$AN54+IF($C54="&lt;01",0,$U54))*$AO54,0))</f>
        <v>9</v>
      </c>
      <c r="AQ54" s="122" t="n">
        <v>10</v>
      </c>
      <c r="AR54" s="123" t="n">
        <f aca="false">0.95</f>
        <v>0.95</v>
      </c>
      <c r="AS54" s="123" t="n">
        <f aca="false">0.95</f>
        <v>0.95</v>
      </c>
      <c r="AT54" s="115" t="n">
        <f aca="false">IF(SUM($AP54)=0,"",ROUND(SUM($AP54)*$AR54,0))</f>
        <v>9</v>
      </c>
      <c r="AU54" s="115" t="n">
        <f aca="false">IF(LEFT($B54,4)="_Mil","",ROUND(SUM($AA54)*SUM($AS54),0))</f>
        <v>1853</v>
      </c>
      <c r="AV54" s="124" t="n">
        <f aca="false">IF(SUM($AU54)&lt;=0,"",MAX(SUM($AU54)-SUM($R54),0))</f>
        <v>1853</v>
      </c>
      <c r="AW54" s="122" t="n">
        <f aca="false">0</f>
        <v>0</v>
      </c>
      <c r="AX54" s="124" t="n">
        <f aca="false">IF(SUM($AM54)=0,"",ROUND(SUM($AM54)*SUM($AW54),0))</f>
        <v>0</v>
      </c>
      <c r="AY54" s="124" t="n">
        <f aca="false">IF(SUM($AM54)=0,"",SUM($AM54)-SUM($AX54))</f>
        <v>4</v>
      </c>
      <c r="AZ54" s="123" t="n">
        <v>6</v>
      </c>
      <c r="BA54" s="123" t="n">
        <f aca="false">0.95</f>
        <v>0.95</v>
      </c>
      <c r="BB54" s="123"/>
      <c r="BC54" s="123" t="n">
        <f aca="false">IF(OR(SUM($AM54)&lt;=0,$C54="&lt;01"),"",MAX(IF(OR(SUM($Y54)&lt;70%,LEFT($B54,4)="_Mil"),30%,IF(SUM($Y54)&gt;=80%,75%,50%)),SUM($BB54)))</f>
        <v>0.3</v>
      </c>
      <c r="BD54" s="115" t="n">
        <f aca="false">IF($C54="&lt;01",IFERROR(ROUND(INDEX(EID!$M:$M,MATCH($B54,EID!$B:$B,0)),0)/2,""),IF(SUM($AY54)=0,"",ROUND(SUM($AY54)/SUM($BA54),0)))</f>
        <v>4</v>
      </c>
      <c r="BE54" s="115" t="n">
        <f aca="false">IF($C54="&lt;01","",IF(SUM($BD54)=0,"",ROUND(SUM($BD54)*SUM($BC54),0)))</f>
        <v>1</v>
      </c>
      <c r="BF54" s="115" t="str">
        <f aca="false">_xlfn.IFNA(INDEX(PMTCT!$AE:$AE,MATCH($E54,PMTCT!$E:$E,0)),"")</f>
        <v/>
      </c>
      <c r="BG54" s="115" t="str">
        <f aca="false">_xlfn.IFNA(INDEX(PMTCT!$AU:$AU,MATCH($E54,PMTCT!$E:$E,0)),"")</f>
        <v/>
      </c>
      <c r="BH54" s="115" t="n">
        <f aca="false">_xlfn.IFNA(INDEX(TB!$Q:$Q,MATCH($E54,TB!$E:$E,0)),"")</f>
        <v>-18432</v>
      </c>
      <c r="BI54" s="115" t="str">
        <f aca="false">_xlfn.IFNA(INDEX(VMMC!$AC:$AC,MATCH($E54,VMMC!$E:$E,0)),"")</f>
        <v/>
      </c>
      <c r="BJ54" s="115" t="str">
        <f aca="false">IF($C54="&lt;01",$BD54,"")</f>
        <v/>
      </c>
      <c r="BK54" s="115" t="n">
        <f aca="false">IF(SUM($BD54)=0,"",($BD54)-SUM($BE54:$BJ54))</f>
        <v>18435</v>
      </c>
      <c r="BL54" s="123" t="n">
        <f aca="false">IF(OR(SUM($BD54)=0,SUM($BE54)=0),"",SUM($BE54)/$BD54)</f>
        <v>0.25</v>
      </c>
      <c r="BM54" s="123" t="str">
        <f aca="false">IF(OR(SUM($BD54)=0,SUM($BF54)=0),"",SUM($BF54)/$BD54)</f>
        <v/>
      </c>
      <c r="BN54" s="123" t="str">
        <f aca="false">IF(OR(SUM($BD54)=0,SUM($BG54)=0),"",SUM($BG54)/$BD54)</f>
        <v/>
      </c>
      <c r="BO54" s="123" t="n">
        <f aca="false">IF(OR(SUM($BD54)=0,SUM($BH54)=0),"",SUM($BH54)/$BD54)</f>
        <v>-4608</v>
      </c>
      <c r="BP54" s="123" t="str">
        <f aca="false">IF(OR(SUM($BD54)=0,SUM($BI54)=0),"",SUM($BI54)/$BD54)</f>
        <v/>
      </c>
      <c r="BQ54" s="123" t="str">
        <f aca="false">IF(AND($C54="&lt;01",SUM($BJ54)&lt;&gt;0),$BJ54/SUM($BD54),"")</f>
        <v/>
      </c>
      <c r="BR54" s="123" t="n">
        <f aca="false">IF(OR(SUM($BD54)=0,SUM($BK54)=0),"",SUM($BK54)/$BD54)</f>
        <v>4608.75</v>
      </c>
      <c r="BS54" s="122" t="n">
        <f aca="false">IF(SUM($X54)&lt;=0,"",$X54)</f>
        <v>0.00503778337531486</v>
      </c>
      <c r="BT54" s="115" t="n">
        <f aca="false">IF(LEFT($B54,4)="_Mil","",MAX(SUM($L54)+ROUND(SUM($BD54)/IF(SUM($BS54)&lt;=0,1,SUM($BS54)),0),0))</f>
        <v>2287</v>
      </c>
    </row>
    <row r="55" customFormat="false" ht="15" hidden="false" customHeight="false" outlineLevel="0" collapsed="false">
      <c r="A55" s="0" t="s">
        <v>142</v>
      </c>
      <c r="B55" s="0" t="s">
        <v>109</v>
      </c>
      <c r="C55" s="0" t="s">
        <v>75</v>
      </c>
      <c r="D55" s="0" t="s">
        <v>56</v>
      </c>
      <c r="E55" s="0" t="str">
        <f aca="false">B55&amp;"|"&amp;C55&amp;"|"&amp;D55</f>
        <v>Berea [#SNU] [#DREAMS] [wpg5evyl1OL]|35-39|Female</v>
      </c>
      <c r="F55" s="115" t="n">
        <f aca="false">_xlfn.IFNA(ROUND(INDEX(Spectrum!$N:$N,MATCH(RIGHT($B55,13)&amp;"|"&amp;$C55&amp;"|"&amp;$D55&amp;"|"&amp;F$14&amp;"|"&amp;"CY2021Q3",Spectrum!$Q:$Q,0)),0),"")</f>
        <v>9083</v>
      </c>
      <c r="G55" s="123" t="n">
        <f aca="false">_xlfn.IFNA(INDEX(Spectrum!$P:$P,MATCH(RIGHT($B55,13)&amp;"|"&amp;$C55&amp;"|"&amp;$D55&amp;"|"&amp;F$14&amp;"|"&amp;"CY2021Q3",Spectrum!$Q:$Q,0)),"")</f>
        <v>8</v>
      </c>
      <c r="H55" s="115" t="n">
        <f aca="false">_xlfn.IFNA(ROUND(INDEX(Spectrum!$N:$N,MATCH(RIGHT($B55,13)&amp;"|"&amp;$C55&amp;"|"&amp;$D55&amp;"|"&amp;H$14&amp;"|"&amp;"CY2021Q3",Spectrum!$Q:$Q,0)),0),"")</f>
        <v>3790</v>
      </c>
      <c r="I55" s="123" t="n">
        <f aca="false">_xlfn.IFNA(INDEX(Spectrum!$P:$P,MATCH(RIGHT($B55,13)&amp;"|"&amp;$C55&amp;"|"&amp;$D55&amp;"|"&amp;H$14&amp;"|"&amp;"CY2021Q3",Spectrum!$Q:$Q,0)),"")</f>
        <v>40</v>
      </c>
      <c r="J55" s="117" t="n">
        <f aca="false">_xlfn.IFNA(INDEX(Spectrum!$N:$N,MATCH(RIGHT($B55,13)&amp;"|"&amp;$C55&amp;"|"&amp;$D55&amp;"|"&amp;J$14&amp;"|"&amp;"CY2021Q3",Spectrum!$Q:$Q,0)),"")</f>
        <v>0.4172957</v>
      </c>
      <c r="K55" s="123" t="n">
        <f aca="false">_xlfn.IFNA(INDEX(Spectrum!$P:$P,MATCH(RIGHT($B55,13)&amp;"|"&amp;$C55&amp;"|"&amp;$D55&amp;"|"&amp;J$14&amp;"|"&amp;"CY2021Q3",Spectrum!$Q:$Q,0)),"")</f>
        <v>35</v>
      </c>
      <c r="L55" s="115" t="n">
        <f aca="false">_xlfn.IFNA(ROUND(INDEX(Spectrum!$N:$N,MATCH(RIGHT($B55,13)&amp;"|"&amp;$C55&amp;"|"&amp;$D55&amp;"|"&amp;L$14&amp;"|"&amp;"CY2021Q3",Spectrum!$Q:$Q,0)),0),"")</f>
        <v>3152</v>
      </c>
      <c r="M55" s="123" t="n">
        <f aca="false">IF(OR(SUM($H55)&lt;=0,SUM($L55)&lt;=0),"",SUM($L55)/$H55)</f>
        <v>0.831662269129288</v>
      </c>
      <c r="N55" s="115" t="str">
        <f aca="false">_xlfn.IFNA(ROUND(INDEX(Spectrum!$N:$N,MATCH(RIGHT($B55,13)&amp;"|"&amp;$C55&amp;"|"&amp;$D55&amp;"|"&amp;N$14&amp;"|"&amp;"CY2020Q4",Spectrum!$Q:$Q,0)),0),"")</f>
        <v/>
      </c>
      <c r="O55" s="123" t="str">
        <f aca="false">_xlfn.IFNA(INDEX(Spectrum!$P:$P,MATCH(RIGHT($B55,13)&amp;"|"&amp;$C55&amp;"|"&amp;$D55&amp;"|"&amp;N$14&amp;"|"&amp;"CY2020Q4",Spectrum!$Q:$Q,0)),"")</f>
        <v/>
      </c>
      <c r="P55" s="115" t="n">
        <f aca="false">_xlfn.IFNA(ROUND(INDEX(Spectrum!$N:$N,MATCH(RIGHT($B55,13)&amp;"|"&amp;$C55&amp;"|"&amp;$D55&amp;"|"&amp;P$14&amp;"|"&amp;"CY2021Q3",Spectrum!$Q:$Q,0)),0),"")</f>
        <v>2972</v>
      </c>
      <c r="Q55" s="123" t="n">
        <f aca="false">_xlfn.IFNA(INDEX(Spectrum!$P:$P,MATCH(RIGHT($B55,13)&amp;"|"&amp;$C55&amp;"|"&amp;$D55&amp;"|"&amp;P$14&amp;"|"&amp;"CY2021Q3",Spectrum!$Q:$Q,0)),"")</f>
        <v>32</v>
      </c>
      <c r="R55" s="115"/>
      <c r="S55" s="123" t="str">
        <f aca="false">IF(OR(SUM($P55)&lt;=0,SUM($R55)&lt;=0),"",SUM($R55)/$P55)</f>
        <v/>
      </c>
      <c r="T55" s="139" t="n">
        <v>31</v>
      </c>
      <c r="U55" s="124" t="n">
        <v>38</v>
      </c>
      <c r="V55" s="124" t="n">
        <f aca="false">IF($U55-$T55=0,"",$U55-$T55)</f>
        <v>7</v>
      </c>
      <c r="W55" s="123" t="n">
        <f aca="false">IF(LEFT($B55,4)="_Mil","",IFERROR(MIN(IF(SUM($N55)&lt;=0,SUM($U55)/SUM($P55),SUM($T55)/SUM($N55)),1),""))</f>
        <v>0.01278600269179</v>
      </c>
      <c r="X55" s="123" t="n">
        <f aca="false">$W55</f>
        <v>0.01278600269179</v>
      </c>
      <c r="Y55" s="123" t="n">
        <f aca="false">IFERROR(1/(1/INDEX(Spectrum!$N:$N,MATCH(RIGHT($B55,13)&amp;"|"&amp;$C55&amp;"|"&amp;$D55&amp;"|"&amp;Y$14&amp;"|"&amp;"CY2021Q3",Spectrum!$Q:$Q,0))),IF(SUM($H55)=0,"",MAX(SUM($P55),SUM($U55))/SUM($H55)))</f>
        <v>0.784168865435356</v>
      </c>
      <c r="Z55" s="123" t="n">
        <f aca="false">IF(SUM($Y55)=0,"",MAX(SUM($Y55),90%))</f>
        <v>0.9</v>
      </c>
      <c r="AA55" s="115" t="n">
        <f aca="false">IF(LEFT($B55,4)="_Mil","",ROUND(MAX(SUM($U55),SUM($P55))+IF(SUM($Z55)=0,0,MAX(SUM($Z55)-SUM($Y55),0)*SUM($H55)),0))</f>
        <v>3411</v>
      </c>
      <c r="AB55" s="115" t="n">
        <f aca="false">IF(SUM($AA55)=0,"",ROUND(MAX(SUM($AA55)-MAX(SUM($P55),SUM($U55)),0),0))</f>
        <v>439</v>
      </c>
      <c r="AC55" s="126" t="str">
        <f aca="false">IF($C55="&lt;01",IFERROR(ROUND(INDEX(EID!$N:$N,MATCH($B55,EID!$B:$B,0))/2,0),""),"")</f>
        <v/>
      </c>
      <c r="AD55" s="115" t="n">
        <f aca="false">IF($C55="&lt;01",IF(SUM($AC55)=0,"",ROUND(SUM($AC55)/$AG55,0)),IF(SUM($AB55)=0,"",ROUND(MAX($X55,0)*SUM($AB55),0)))</f>
        <v>6</v>
      </c>
      <c r="AE55" s="115" t="n">
        <f aca="false">IF(AND(SUM($AD55)=0,SUM($U55)=0),"",ROUND(IF($C55="&lt;01",0,SUM($U55))+SUM($AD55),0))</f>
        <v>44</v>
      </c>
      <c r="AF55" s="122" t="n">
        <f aca="false">IF($C55="&lt;01","",100%)</f>
        <v>1</v>
      </c>
      <c r="AG55" s="123" t="n">
        <f aca="false">0.98</f>
        <v>0.98</v>
      </c>
      <c r="AH55" s="123" t="n">
        <f aca="false">0.98</f>
        <v>0.98</v>
      </c>
      <c r="AI55" s="124" t="n">
        <f aca="false">IF(OR($C55="&lt;01",SUM($U55)=0),"",ROUND(SUM($U55)*(1-$AH55),0))</f>
        <v>1</v>
      </c>
      <c r="AJ55" s="124" t="n">
        <f aca="false">IF(AND(SUM($AE55)=0,SUM($U55)=0),"",IF($C55="&lt;01",SUM($AD55),SUM($AE55) - ROUND(SUM($U55)*$AH55,0)))</f>
        <v>7</v>
      </c>
      <c r="AK55" s="124" t="n">
        <v>39</v>
      </c>
      <c r="AL55" s="124" t="n">
        <v>27</v>
      </c>
      <c r="AM55" s="115" t="n">
        <f aca="false">IF(AND(SUM($AD55)=0,SUM($U55)=0),"",IF($C55="&lt;01",SUM($AD55),ROUND(ROUND(SUM($AJ55)*$AF55,0)/$AG55,0)))</f>
        <v>7</v>
      </c>
      <c r="AN55" s="122" t="n">
        <f aca="false">0.7</f>
        <v>0.7</v>
      </c>
      <c r="AO55" s="123" t="n">
        <f aca="false">1</f>
        <v>1</v>
      </c>
      <c r="AP55" s="115" t="n">
        <f aca="false">IF(AND(SUM($U55)=0,SUM($AM55)=0),"",ROUND((SUM($AM55)*$AN55+IF($C55="&lt;01",0,$U55))*$AO55,0))</f>
        <v>43</v>
      </c>
      <c r="AQ55" s="122" t="n">
        <v>40</v>
      </c>
      <c r="AR55" s="123" t="n">
        <f aca="false">0.95</f>
        <v>0.95</v>
      </c>
      <c r="AS55" s="123" t="n">
        <f aca="false">0.95</f>
        <v>0.95</v>
      </c>
      <c r="AT55" s="115" t="n">
        <f aca="false">IF(SUM($AP55)=0,"",ROUND(SUM($AP55)*$AR55,0))</f>
        <v>41</v>
      </c>
      <c r="AU55" s="115" t="n">
        <f aca="false">IF(LEFT($B55,4)="_Mil","",ROUND(SUM($AA55)*SUM($AS55),0))</f>
        <v>3240</v>
      </c>
      <c r="AV55" s="124" t="n">
        <f aca="false">IF(SUM($AU55)&lt;=0,"",MAX(SUM($AU55)-SUM($R55),0))</f>
        <v>3240</v>
      </c>
      <c r="AW55" s="122" t="n">
        <f aca="false">0</f>
        <v>0</v>
      </c>
      <c r="AX55" s="124" t="n">
        <f aca="false">IF(SUM($AM55)=0,"",ROUND(SUM($AM55)*SUM($AW55),0))</f>
        <v>0</v>
      </c>
      <c r="AY55" s="124" t="n">
        <f aca="false">IF(SUM($AM55)=0,"",SUM($AM55)-SUM($AX55))</f>
        <v>7</v>
      </c>
      <c r="AZ55" s="123" t="n">
        <v>29</v>
      </c>
      <c r="BA55" s="123" t="n">
        <f aca="false">0.95</f>
        <v>0.95</v>
      </c>
      <c r="BB55" s="123"/>
      <c r="BC55" s="123" t="n">
        <f aca="false">IF(OR(SUM($AM55)&lt;=0,$C55="&lt;01"),"",MAX(IF(OR(SUM($Y55)&lt;70%,LEFT($B55,4)="_Mil"),30%,IF(SUM($Y55)&gt;=80%,75%,50%)),SUM($BB55)))</f>
        <v>0.5</v>
      </c>
      <c r="BD55" s="115" t="n">
        <f aca="false">IF($C55="&lt;01",IFERROR(ROUND(INDEX(EID!$M:$M,MATCH($B55,EID!$B:$B,0)),0)/2,""),IF(SUM($AY55)=0,"",ROUND(SUM($AY55)/SUM($BA55),0)))</f>
        <v>7</v>
      </c>
      <c r="BE55" s="115" t="n">
        <f aca="false">IF($C55="&lt;01","",IF(SUM($BD55)=0,"",ROUND(SUM($BD55)*SUM($BC55),0)))</f>
        <v>4</v>
      </c>
      <c r="BF55" s="115" t="n">
        <f aca="false">_xlfn.IFNA(INDEX(PMTCT!$AE:$AE,MATCH($E55,PMTCT!$E:$E,0)),"")</f>
        <v>-3300</v>
      </c>
      <c r="BG55" s="115" t="str">
        <f aca="false">_xlfn.IFNA(INDEX(PMTCT!$AU:$AU,MATCH($E55,PMTCT!$E:$E,0)),"")</f>
        <v/>
      </c>
      <c r="BH55" s="115" t="n">
        <f aca="false">_xlfn.IFNA(INDEX(TB!$Q:$Q,MATCH($E55,TB!$E:$E,0)),"")</f>
        <v>-13536</v>
      </c>
      <c r="BI55" s="115" t="str">
        <f aca="false">_xlfn.IFNA(INDEX(VMMC!$AC:$AC,MATCH($E55,VMMC!$E:$E,0)),"")</f>
        <v/>
      </c>
      <c r="BJ55" s="115" t="str">
        <f aca="false">IF($C55="&lt;01",$BD55,"")</f>
        <v/>
      </c>
      <c r="BK55" s="115" t="n">
        <f aca="false">IF(SUM($BD55)=0,"",($BD55)-SUM($BE55:$BJ55))</f>
        <v>16839</v>
      </c>
      <c r="BL55" s="123" t="n">
        <f aca="false">IF(OR(SUM($BD55)=0,SUM($BE55)=0),"",SUM($BE55)/$BD55)</f>
        <v>0.571428571428571</v>
      </c>
      <c r="BM55" s="123" t="n">
        <f aca="false">IF(OR(SUM($BD55)=0,SUM($BF55)=0),"",SUM($BF55)/$BD55)</f>
        <v>-471.428571428571</v>
      </c>
      <c r="BN55" s="123" t="str">
        <f aca="false">IF(OR(SUM($BD55)=0,SUM($BG55)=0),"",SUM($BG55)/$BD55)</f>
        <v/>
      </c>
      <c r="BO55" s="123" t="n">
        <f aca="false">IF(OR(SUM($BD55)=0,SUM($BH55)=0),"",SUM($BH55)/$BD55)</f>
        <v>-1933.71428571429</v>
      </c>
      <c r="BP55" s="123" t="str">
        <f aca="false">IF(OR(SUM($BD55)=0,SUM($BI55)=0),"",SUM($BI55)/$BD55)</f>
        <v/>
      </c>
      <c r="BQ55" s="123" t="str">
        <f aca="false">IF(AND($C55="&lt;01",SUM($BJ55)&lt;&gt;0),$BJ55/SUM($BD55),"")</f>
        <v/>
      </c>
      <c r="BR55" s="123" t="n">
        <f aca="false">IF(OR(SUM($BD55)=0,SUM($BK55)=0),"",SUM($BK55)/$BD55)</f>
        <v>2405.57142857143</v>
      </c>
      <c r="BS55" s="122" t="n">
        <f aca="false">IF(SUM($X55)&lt;=0,"",$X55)</f>
        <v>0.01278600269179</v>
      </c>
      <c r="BT55" s="115" t="n">
        <f aca="false">IF(LEFT($B55,4)="_Mil","",MAX(SUM($L55)+ROUND(SUM($BD55)/IF(SUM($BS55)&lt;=0,1,SUM($BS55)),0),0))</f>
        <v>3699</v>
      </c>
    </row>
    <row r="56" customFormat="false" ht="15" hidden="false" customHeight="false" outlineLevel="0" collapsed="false">
      <c r="A56" s="0" t="s">
        <v>142</v>
      </c>
      <c r="B56" s="0" t="s">
        <v>109</v>
      </c>
      <c r="C56" s="0" t="s">
        <v>75</v>
      </c>
      <c r="D56" s="0" t="s">
        <v>58</v>
      </c>
      <c r="E56" s="0" t="str">
        <f aca="false">B56&amp;"|"&amp;C56&amp;"|"&amp;D56</f>
        <v>Berea [#SNU] [#DREAMS] [wpg5evyl1OL]|35-39|Male</v>
      </c>
      <c r="F56" s="115" t="n">
        <f aca="false">_xlfn.IFNA(ROUND(INDEX(Spectrum!$N:$N,MATCH(RIGHT($B56,13)&amp;"|"&amp;$C56&amp;"|"&amp;$D56&amp;"|"&amp;F$14&amp;"|"&amp;"CY2021Q3",Spectrum!$Q:$Q,0)),0),"")</f>
        <v>10372</v>
      </c>
      <c r="G56" s="123" t="n">
        <f aca="false">_xlfn.IFNA(INDEX(Spectrum!$P:$P,MATCH(RIGHT($B56,13)&amp;"|"&amp;$C56&amp;"|"&amp;$D56&amp;"|"&amp;F$14&amp;"|"&amp;"CY2021Q3",Spectrum!$Q:$Q,0)),"")</f>
        <v>19</v>
      </c>
      <c r="H56" s="115" t="n">
        <f aca="false">_xlfn.IFNA(ROUND(INDEX(Spectrum!$N:$N,MATCH(RIGHT($B56,13)&amp;"|"&amp;$C56&amp;"|"&amp;$D56&amp;"|"&amp;H$14&amp;"|"&amp;"CY2021Q3",Spectrum!$Q:$Q,0)),0),"")</f>
        <v>2673</v>
      </c>
      <c r="I56" s="123" t="n">
        <f aca="false">_xlfn.IFNA(INDEX(Spectrum!$P:$P,MATCH(RIGHT($B56,13)&amp;"|"&amp;$C56&amp;"|"&amp;$D56&amp;"|"&amp;H$14&amp;"|"&amp;"CY2021Q3",Spectrum!$Q:$Q,0)),"")</f>
        <v>35</v>
      </c>
      <c r="J56" s="117" t="n">
        <f aca="false">_xlfn.IFNA(INDEX(Spectrum!$N:$N,MATCH(RIGHT($B56,13)&amp;"|"&amp;$C56&amp;"|"&amp;$D56&amp;"|"&amp;J$14&amp;"|"&amp;"CY2021Q3",Spectrum!$Q:$Q,0)),"")</f>
        <v>0.2577185</v>
      </c>
      <c r="K56" s="123" t="n">
        <f aca="false">_xlfn.IFNA(INDEX(Spectrum!$P:$P,MATCH(RIGHT($B56,13)&amp;"|"&amp;$C56&amp;"|"&amp;$D56&amp;"|"&amp;J$14&amp;"|"&amp;"CY2021Q3",Spectrum!$Q:$Q,0)),"")</f>
        <v>4</v>
      </c>
      <c r="L56" s="115" t="n">
        <f aca="false">_xlfn.IFNA(ROUND(INDEX(Spectrum!$N:$N,MATCH(RIGHT($B56,13)&amp;"|"&amp;$C56&amp;"|"&amp;$D56&amp;"|"&amp;L$14&amp;"|"&amp;"CY2021Q3",Spectrum!$Q:$Q,0)),0),"")</f>
        <v>2082</v>
      </c>
      <c r="M56" s="123" t="n">
        <f aca="false">IF(OR(SUM($H56)&lt;=0,SUM($L56)&lt;=0),"",SUM($L56)/$H56)</f>
        <v>0.778900112233446</v>
      </c>
      <c r="N56" s="115" t="str">
        <f aca="false">_xlfn.IFNA(ROUND(INDEX(Spectrum!$N:$N,MATCH(RIGHT($B56,13)&amp;"|"&amp;$C56&amp;"|"&amp;$D56&amp;"|"&amp;N$14&amp;"|"&amp;"CY2020Q4",Spectrum!$Q:$Q,0)),0),"")</f>
        <v/>
      </c>
      <c r="O56" s="123" t="str">
        <f aca="false">_xlfn.IFNA(INDEX(Spectrum!$P:$P,MATCH(RIGHT($B56,13)&amp;"|"&amp;$C56&amp;"|"&amp;$D56&amp;"|"&amp;N$14&amp;"|"&amp;"CY2020Q4",Spectrum!$Q:$Q,0)),"")</f>
        <v/>
      </c>
      <c r="P56" s="115" t="n">
        <f aca="false">_xlfn.IFNA(ROUND(INDEX(Spectrum!$N:$N,MATCH(RIGHT($B56,13)&amp;"|"&amp;$C56&amp;"|"&amp;$D56&amp;"|"&amp;P$14&amp;"|"&amp;"CY2021Q3",Spectrum!$Q:$Q,0)),0),"")</f>
        <v>1754</v>
      </c>
      <c r="Q56" s="123" t="n">
        <f aca="false">_xlfn.IFNA(INDEX(Spectrum!$P:$P,MATCH(RIGHT($B56,13)&amp;"|"&amp;$C56&amp;"|"&amp;$D56&amp;"|"&amp;P$14&amp;"|"&amp;"CY2021Q3",Spectrum!$Q:$Q,0)),"")</f>
        <v>20</v>
      </c>
      <c r="R56" s="115"/>
      <c r="S56" s="123" t="str">
        <f aca="false">IF(OR(SUM($P56)&lt;=0,SUM($R56)&lt;=0),"",SUM($R56)/$P56)</f>
        <v/>
      </c>
      <c r="T56" s="139" t="n">
        <v>37</v>
      </c>
      <c r="U56" s="124" t="n">
        <v>11</v>
      </c>
      <c r="V56" s="124" t="n">
        <f aca="false">IF($U56-$T56=0,"",$U56-$T56)</f>
        <v>-26</v>
      </c>
      <c r="W56" s="123" t="n">
        <f aca="false">IF(LEFT($B56,4)="_Mil","",IFERROR(MIN(IF(SUM($N56)&lt;=0,SUM($U56)/SUM($P56),SUM($T56)/SUM($N56)),1),""))</f>
        <v>0.00627137970353478</v>
      </c>
      <c r="X56" s="123" t="n">
        <f aca="false">$W56</f>
        <v>0.00627137970353478</v>
      </c>
      <c r="Y56" s="123" t="n">
        <f aca="false">IFERROR(1/(1/INDEX(Spectrum!$N:$N,MATCH(RIGHT($B56,13)&amp;"|"&amp;$C56&amp;"|"&amp;$D56&amp;"|"&amp;Y$14&amp;"|"&amp;"CY2021Q3",Spectrum!$Q:$Q,0))),IF(SUM($H56)=0,"",MAX(SUM($P56),SUM($U56))/SUM($H56)))</f>
        <v>0.656191545080434</v>
      </c>
      <c r="Z56" s="123" t="n">
        <f aca="false">IF(SUM($Y56)=0,"",MAX(SUM($Y56),90%))</f>
        <v>0.9</v>
      </c>
      <c r="AA56" s="115" t="n">
        <f aca="false">IF(LEFT($B56,4)="_Mil","",ROUND(MAX(SUM($U56),SUM($P56))+IF(SUM($Z56)=0,0,MAX(SUM($Z56)-SUM($Y56),0)*SUM($H56)),0))</f>
        <v>2406</v>
      </c>
      <c r="AB56" s="115" t="n">
        <f aca="false">IF(SUM($AA56)=0,"",ROUND(MAX(SUM($AA56)-MAX(SUM($P56),SUM($U56)),0),0))</f>
        <v>652</v>
      </c>
      <c r="AC56" s="126" t="str">
        <f aca="false">IF($C56="&lt;01",IFERROR(ROUND(INDEX(EID!$N:$N,MATCH($B56,EID!$B:$B,0))/2,0),""),"")</f>
        <v/>
      </c>
      <c r="AD56" s="115" t="n">
        <f aca="false">IF($C56="&lt;01",IF(SUM($AC56)=0,"",ROUND(SUM($AC56)/$AG56,0)),IF(SUM($AB56)=0,"",ROUND(MAX($X56,0)*SUM($AB56),0)))</f>
        <v>4</v>
      </c>
      <c r="AE56" s="115" t="n">
        <f aca="false">IF(AND(SUM($AD56)=0,SUM($U56)=0),"",ROUND(IF($C56="&lt;01",0,SUM($U56))+SUM($AD56),0))</f>
        <v>15</v>
      </c>
      <c r="AF56" s="122" t="n">
        <f aca="false">IF($C56="&lt;01","",100%)</f>
        <v>1</v>
      </c>
      <c r="AG56" s="123" t="n">
        <f aca="false">0.98</f>
        <v>0.98</v>
      </c>
      <c r="AH56" s="123" t="n">
        <f aca="false">0.98</f>
        <v>0.98</v>
      </c>
      <c r="AI56" s="124" t="n">
        <f aca="false">IF(OR($C56="&lt;01",SUM($U56)=0),"",ROUND(SUM($U56)*(1-$AH56),0))</f>
        <v>0</v>
      </c>
      <c r="AJ56" s="124" t="n">
        <f aca="false">IF(AND(SUM($AE56)=0,SUM($U56)=0),"",IF($C56="&lt;01",SUM($AD56),SUM($AE56) - ROUND(SUM($U56)*$AH56,0)))</f>
        <v>4</v>
      </c>
      <c r="AK56" s="124" t="n">
        <v>13</v>
      </c>
      <c r="AL56" s="124" t="n">
        <v>4</v>
      </c>
      <c r="AM56" s="115" t="n">
        <f aca="false">IF(AND(SUM($AD56)=0,SUM($U56)=0),"",IF($C56="&lt;01",SUM($AD56),ROUND(ROUND(SUM($AJ56)*$AF56,0)/$AG56,0)))</f>
        <v>4</v>
      </c>
      <c r="AN56" s="122" t="n">
        <f aca="false">0.7</f>
        <v>0.7</v>
      </c>
      <c r="AO56" s="123" t="n">
        <f aca="false">1</f>
        <v>1</v>
      </c>
      <c r="AP56" s="115" t="n">
        <f aca="false">IF(AND(SUM($U56)=0,SUM($AM56)=0),"",ROUND((SUM($AM56)*$AN56+IF($C56="&lt;01",0,$U56))*$AO56,0))</f>
        <v>14</v>
      </c>
      <c r="AQ56" s="122" t="n">
        <v>11</v>
      </c>
      <c r="AR56" s="123" t="n">
        <f aca="false">0.95</f>
        <v>0.95</v>
      </c>
      <c r="AS56" s="123" t="n">
        <f aca="false">0.95</f>
        <v>0.95</v>
      </c>
      <c r="AT56" s="115" t="n">
        <f aca="false">IF(SUM($AP56)=0,"",ROUND(SUM($AP56)*$AR56,0))</f>
        <v>13</v>
      </c>
      <c r="AU56" s="115" t="n">
        <f aca="false">IF(LEFT($B56,4)="_Mil","",ROUND(SUM($AA56)*SUM($AS56),0))</f>
        <v>2286</v>
      </c>
      <c r="AV56" s="124" t="n">
        <f aca="false">IF(SUM($AU56)&lt;=0,"",MAX(SUM($AU56)-SUM($R56),0))</f>
        <v>2286</v>
      </c>
      <c r="AW56" s="122" t="n">
        <f aca="false">0</f>
        <v>0</v>
      </c>
      <c r="AX56" s="124" t="n">
        <f aca="false">IF(SUM($AM56)=0,"",ROUND(SUM($AM56)*SUM($AW56),0))</f>
        <v>0</v>
      </c>
      <c r="AY56" s="124" t="n">
        <f aca="false">IF(SUM($AM56)=0,"",SUM($AM56)-SUM($AX56))</f>
        <v>4</v>
      </c>
      <c r="AZ56" s="123" t="n">
        <v>43</v>
      </c>
      <c r="BA56" s="123" t="n">
        <f aca="false">0.95</f>
        <v>0.95</v>
      </c>
      <c r="BB56" s="123"/>
      <c r="BC56" s="123" t="n">
        <f aca="false">IF(OR(SUM($AM56)&lt;=0,$C56="&lt;01"),"",MAX(IF(OR(SUM($Y56)&lt;70%,LEFT($B56,4)="_Mil"),30%,IF(SUM($Y56)&gt;=80%,75%,50%)),SUM($BB56)))</f>
        <v>0.3</v>
      </c>
      <c r="BD56" s="115" t="n">
        <f aca="false">IF($C56="&lt;01",IFERROR(ROUND(INDEX(EID!$M:$M,MATCH($B56,EID!$B:$B,0)),0)/2,""),IF(SUM($AY56)=0,"",ROUND(SUM($AY56)/SUM($BA56),0)))</f>
        <v>4</v>
      </c>
      <c r="BE56" s="115" t="n">
        <f aca="false">IF($C56="&lt;01","",IF(SUM($BD56)=0,"",ROUND(SUM($BD56)*SUM($BC56),0)))</f>
        <v>1</v>
      </c>
      <c r="BF56" s="115" t="str">
        <f aca="false">_xlfn.IFNA(INDEX(PMTCT!$AE:$AE,MATCH($E56,PMTCT!$E:$E,0)),"")</f>
        <v/>
      </c>
      <c r="BG56" s="115" t="str">
        <f aca="false">_xlfn.IFNA(INDEX(PMTCT!$AU:$AU,MATCH($E56,PMTCT!$E:$E,0)),"")</f>
        <v/>
      </c>
      <c r="BH56" s="115" t="n">
        <f aca="false">_xlfn.IFNA(INDEX(TB!$Q:$Q,MATCH($E56,TB!$E:$E,0)),"")</f>
        <v>0</v>
      </c>
      <c r="BI56" s="115" t="str">
        <f aca="false">_xlfn.IFNA(INDEX(VMMC!$AC:$AC,MATCH($E56,VMMC!$E:$E,0)),"")</f>
        <v/>
      </c>
      <c r="BJ56" s="115" t="str">
        <f aca="false">IF($C56="&lt;01",$BD56,"")</f>
        <v/>
      </c>
      <c r="BK56" s="115" t="n">
        <f aca="false">IF(SUM($BD56)=0,"",($BD56)-SUM($BE56:$BJ56))</f>
        <v>3</v>
      </c>
      <c r="BL56" s="123" t="n">
        <f aca="false">IF(OR(SUM($BD56)=0,SUM($BE56)=0),"",SUM($BE56)/$BD56)</f>
        <v>0.25</v>
      </c>
      <c r="BM56" s="123" t="str">
        <f aca="false">IF(OR(SUM($BD56)=0,SUM($BF56)=0),"",SUM($BF56)/$BD56)</f>
        <v/>
      </c>
      <c r="BN56" s="123" t="str">
        <f aca="false">IF(OR(SUM($BD56)=0,SUM($BG56)=0),"",SUM($BG56)/$BD56)</f>
        <v/>
      </c>
      <c r="BO56" s="123" t="str">
        <f aca="false">IF(OR(SUM($BD56)=0,SUM($BH56)=0),"",SUM($BH56)/$BD56)</f>
        <v/>
      </c>
      <c r="BP56" s="123" t="str">
        <f aca="false">IF(OR(SUM($BD56)=0,SUM($BI56)=0),"",SUM($BI56)/$BD56)</f>
        <v/>
      </c>
      <c r="BQ56" s="123" t="str">
        <f aca="false">IF(AND($C56="&lt;01",SUM($BJ56)&lt;&gt;0),$BJ56/SUM($BD56),"")</f>
        <v/>
      </c>
      <c r="BR56" s="123" t="n">
        <f aca="false">IF(OR(SUM($BD56)=0,SUM($BK56)=0),"",SUM($BK56)/$BD56)</f>
        <v>0.75</v>
      </c>
      <c r="BS56" s="122" t="n">
        <f aca="false">IF(SUM($X56)&lt;=0,"",$X56)</f>
        <v>0.00627137970353478</v>
      </c>
      <c r="BT56" s="115" t="n">
        <f aca="false">IF(LEFT($B56,4)="_Mil","",MAX(SUM($L56)+ROUND(SUM($BD56)/IF(SUM($BS56)&lt;=0,1,SUM($BS56)),0),0))</f>
        <v>2720</v>
      </c>
    </row>
    <row r="57" customFormat="false" ht="15" hidden="false" customHeight="false" outlineLevel="0" collapsed="false">
      <c r="A57" s="0" t="s">
        <v>142</v>
      </c>
      <c r="B57" s="0" t="s">
        <v>109</v>
      </c>
      <c r="C57" s="0" t="s">
        <v>77</v>
      </c>
      <c r="D57" s="0" t="s">
        <v>56</v>
      </c>
      <c r="E57" s="0" t="str">
        <f aca="false">B57&amp;"|"&amp;C57&amp;"|"&amp;D57</f>
        <v>Berea [#SNU] [#DREAMS] [wpg5evyl1OL]|40-44|Female</v>
      </c>
      <c r="F57" s="115" t="n">
        <f aca="false">_xlfn.IFNA(ROUND(INDEX(Spectrum!$N:$N,MATCH(RIGHT($B57,13)&amp;"|"&amp;$C57&amp;"|"&amp;$D57&amp;"|"&amp;F$14&amp;"|"&amp;"CY2021Q3",Spectrum!$Q:$Q,0)),0),"")</f>
        <v>6597</v>
      </c>
      <c r="G57" s="123" t="n">
        <f aca="false">_xlfn.IFNA(INDEX(Spectrum!$P:$P,MATCH(RIGHT($B57,13)&amp;"|"&amp;$C57&amp;"|"&amp;$D57&amp;"|"&amp;F$14&amp;"|"&amp;"CY2021Q3",Spectrum!$Q:$Q,0)),"")</f>
        <v>42</v>
      </c>
      <c r="H57" s="115" t="n">
        <f aca="false">_xlfn.IFNA(ROUND(INDEX(Spectrum!$N:$N,MATCH(RIGHT($B57,13)&amp;"|"&amp;$C57&amp;"|"&amp;$D57&amp;"|"&amp;H$14&amp;"|"&amp;"CY2021Q3",Spectrum!$Q:$Q,0)),0),"")</f>
        <v>3070</v>
      </c>
      <c r="I57" s="123" t="n">
        <f aca="false">_xlfn.IFNA(INDEX(Spectrum!$P:$P,MATCH(RIGHT($B57,13)&amp;"|"&amp;$C57&amp;"|"&amp;$D57&amp;"|"&amp;H$14&amp;"|"&amp;"CY2021Q3",Spectrum!$Q:$Q,0)),"")</f>
        <v>8</v>
      </c>
      <c r="J57" s="117" t="n">
        <f aca="false">_xlfn.IFNA(INDEX(Spectrum!$N:$N,MATCH(RIGHT($B57,13)&amp;"|"&amp;$C57&amp;"|"&amp;$D57&amp;"|"&amp;J$14&amp;"|"&amp;"CY2021Q3",Spectrum!$Q:$Q,0)),"")</f>
        <v>0.4653609</v>
      </c>
      <c r="K57" s="123" t="n">
        <f aca="false">_xlfn.IFNA(INDEX(Spectrum!$P:$P,MATCH(RIGHT($B57,13)&amp;"|"&amp;$C57&amp;"|"&amp;$D57&amp;"|"&amp;J$14&amp;"|"&amp;"CY2021Q3",Spectrum!$Q:$Q,0)),"")</f>
        <v>29</v>
      </c>
      <c r="L57" s="115" t="n">
        <f aca="false">_xlfn.IFNA(ROUND(INDEX(Spectrum!$N:$N,MATCH(RIGHT($B57,13)&amp;"|"&amp;$C57&amp;"|"&amp;$D57&amp;"|"&amp;L$14&amp;"|"&amp;"CY2021Q3",Spectrum!$Q:$Q,0)),0),"")</f>
        <v>3064</v>
      </c>
      <c r="M57" s="123" t="n">
        <f aca="false">IF(OR(SUM($H57)&lt;=0,SUM($L57)&lt;=0),"",SUM($L57)/$H57)</f>
        <v>0.998045602605863</v>
      </c>
      <c r="N57" s="115" t="str">
        <f aca="false">_xlfn.IFNA(ROUND(INDEX(Spectrum!$N:$N,MATCH(RIGHT($B57,13)&amp;"|"&amp;$C57&amp;"|"&amp;$D57&amp;"|"&amp;N$14&amp;"|"&amp;"CY2020Q4",Spectrum!$Q:$Q,0)),0),"")</f>
        <v/>
      </c>
      <c r="O57" s="123" t="str">
        <f aca="false">_xlfn.IFNA(INDEX(Spectrum!$P:$P,MATCH(RIGHT($B57,13)&amp;"|"&amp;$C57&amp;"|"&amp;$D57&amp;"|"&amp;N$14&amp;"|"&amp;"CY2020Q4",Spectrum!$Q:$Q,0)),"")</f>
        <v/>
      </c>
      <c r="P57" s="115" t="n">
        <f aca="false">_xlfn.IFNA(ROUND(INDEX(Spectrum!$N:$N,MATCH(RIGHT($B57,13)&amp;"|"&amp;$C57&amp;"|"&amp;$D57&amp;"|"&amp;P$14&amp;"|"&amp;"CY2021Q3",Spectrum!$Q:$Q,0)),0),"")</f>
        <v>2898</v>
      </c>
      <c r="Q57" s="123" t="n">
        <f aca="false">_xlfn.IFNA(INDEX(Spectrum!$P:$P,MATCH(RIGHT($B57,13)&amp;"|"&amp;$C57&amp;"|"&amp;$D57&amp;"|"&amp;P$14&amp;"|"&amp;"CY2021Q3",Spectrum!$Q:$Q,0)),"")</f>
        <v>32</v>
      </c>
      <c r="R57" s="115"/>
      <c r="S57" s="123" t="str">
        <f aca="false">IF(OR(SUM($P57)&lt;=0,SUM($R57)&lt;=0),"",SUM($R57)/$P57)</f>
        <v/>
      </c>
      <c r="T57" s="139" t="n">
        <v>6</v>
      </c>
      <c r="U57" s="124" t="n">
        <v>23</v>
      </c>
      <c r="V57" s="124" t="n">
        <f aca="false">IF($U57-$T57=0,"",$U57-$T57)</f>
        <v>17</v>
      </c>
      <c r="W57" s="123" t="n">
        <f aca="false">IF(LEFT($B57,4)="_Mil","",IFERROR(MIN(IF(SUM($N57)&lt;=0,SUM($U57)/SUM($P57),SUM($T57)/SUM($N57)),1),""))</f>
        <v>0.00793650793650794</v>
      </c>
      <c r="X57" s="123" t="n">
        <f aca="false">$W57</f>
        <v>0.00793650793650794</v>
      </c>
      <c r="Y57" s="123" t="n">
        <f aca="false">IFERROR(1/(1/INDEX(Spectrum!$N:$N,MATCH(RIGHT($B57,13)&amp;"|"&amp;$C57&amp;"|"&amp;$D57&amp;"|"&amp;Y$14&amp;"|"&amp;"CY2021Q3",Spectrum!$Q:$Q,0))),IF(SUM($H57)=0,"",MAX(SUM($P57),SUM($U57))/SUM($H57)))</f>
        <v>0.943973941368078</v>
      </c>
      <c r="Z57" s="123" t="n">
        <f aca="false">IF(SUM($Y57)=0,"",MAX(SUM($Y57),90%))</f>
        <v>0.943973941368078</v>
      </c>
      <c r="AA57" s="115" t="n">
        <f aca="false">IF(LEFT($B57,4)="_Mil","",ROUND(MAX(SUM($U57),SUM($P57))+IF(SUM($Z57)=0,0,MAX(SUM($Z57)-SUM($Y57),0)*SUM($H57)),0))</f>
        <v>2898</v>
      </c>
      <c r="AB57" s="115" t="n">
        <f aca="false">IF(SUM($AA57)=0,"",ROUND(MAX(SUM($AA57)-MAX(SUM($P57),SUM($U57)),0),0))</f>
        <v>0</v>
      </c>
      <c r="AC57" s="126" t="str">
        <f aca="false">IF($C57="&lt;01",IFERROR(ROUND(INDEX(EID!$N:$N,MATCH($B57,EID!$B:$B,0))/2,0),""),"")</f>
        <v/>
      </c>
      <c r="AD57" s="115" t="str">
        <f aca="false">IF($C57="&lt;01",IF(SUM($AC57)=0,"",ROUND(SUM($AC57)/$AG57,0)),IF(SUM($AB57)=0,"",ROUND(MAX($X57,0)*SUM($AB57),0)))</f>
        <v/>
      </c>
      <c r="AE57" s="115" t="n">
        <f aca="false">IF(AND(SUM($AD57)=0,SUM($U57)=0),"",ROUND(IF($C57="&lt;01",0,SUM($U57))+SUM($AD57),0))</f>
        <v>23</v>
      </c>
      <c r="AF57" s="122" t="n">
        <f aca="false">IF($C57="&lt;01","",100%)</f>
        <v>1</v>
      </c>
      <c r="AG57" s="123" t="n">
        <f aca="false">0.98</f>
        <v>0.98</v>
      </c>
      <c r="AH57" s="123" t="n">
        <f aca="false">0.98</f>
        <v>0.98</v>
      </c>
      <c r="AI57" s="124" t="n">
        <f aca="false">IF(OR($C57="&lt;01",SUM($U57)=0),"",ROUND(SUM($U57)*(1-$AH57),0))</f>
        <v>0</v>
      </c>
      <c r="AJ57" s="124" t="n">
        <f aca="false">IF(AND(SUM($AE57)=0,SUM($U57)=0),"",IF($C57="&lt;01",SUM($AD57),SUM($AE57) - ROUND(SUM($U57)*$AH57,0)))</f>
        <v>0</v>
      </c>
      <c r="AK57" s="124" t="n">
        <v>39</v>
      </c>
      <c r="AL57" s="124" t="n">
        <v>25</v>
      </c>
      <c r="AM57" s="115" t="n">
        <f aca="false">IF(AND(SUM($AD57)=0,SUM($U57)=0),"",IF($C57="&lt;01",SUM($AD57),ROUND(ROUND(SUM($AJ57)*$AF57,0)/$AG57,0)))</f>
        <v>0</v>
      </c>
      <c r="AN57" s="122" t="n">
        <f aca="false">0.7</f>
        <v>0.7</v>
      </c>
      <c r="AO57" s="123" t="n">
        <f aca="false">1</f>
        <v>1</v>
      </c>
      <c r="AP57" s="115" t="n">
        <f aca="false">IF(AND(SUM($U57)=0,SUM($AM57)=0),"",ROUND((SUM($AM57)*$AN57+IF($C57="&lt;01",0,$U57))*$AO57,0))</f>
        <v>23</v>
      </c>
      <c r="AQ57" s="122" t="n">
        <v>1</v>
      </c>
      <c r="AR57" s="123" t="n">
        <f aca="false">0.95</f>
        <v>0.95</v>
      </c>
      <c r="AS57" s="123" t="n">
        <f aca="false">0.95</f>
        <v>0.95</v>
      </c>
      <c r="AT57" s="115" t="n">
        <f aca="false">IF(SUM($AP57)=0,"",ROUND(SUM($AP57)*$AR57,0))</f>
        <v>22</v>
      </c>
      <c r="AU57" s="115" t="n">
        <f aca="false">IF(LEFT($B57,4)="_Mil","",ROUND(SUM($AA57)*SUM($AS57),0))</f>
        <v>2753</v>
      </c>
      <c r="AV57" s="124" t="n">
        <f aca="false">IF(SUM($AU57)&lt;=0,"",MAX(SUM($AU57)-SUM($R57),0))</f>
        <v>2753</v>
      </c>
      <c r="AW57" s="122" t="n">
        <f aca="false">0</f>
        <v>0</v>
      </c>
      <c r="AX57" s="124" t="str">
        <f aca="false">IF(SUM($AM57)=0,"",ROUND(SUM($AM57)*SUM($AW57),0))</f>
        <v/>
      </c>
      <c r="AY57" s="124" t="str">
        <f aca="false">IF(SUM($AM57)=0,"",SUM($AM57)-SUM($AX57))</f>
        <v/>
      </c>
      <c r="AZ57" s="123" t="n">
        <v>16</v>
      </c>
      <c r="BA57" s="123" t="n">
        <f aca="false">0.95</f>
        <v>0.95</v>
      </c>
      <c r="BB57" s="123"/>
      <c r="BC57" s="123" t="str">
        <f aca="false">IF(OR(SUM($AM57)&lt;=0,$C57="&lt;01"),"",MAX(IF(OR(SUM($Y57)&lt;70%,LEFT($B57,4)="_Mil"),30%,IF(SUM($Y57)&gt;=80%,75%,50%)),SUM($BB57)))</f>
        <v/>
      </c>
      <c r="BD57" s="115" t="str">
        <f aca="false">IF($C57="&lt;01",IFERROR(ROUND(INDEX(EID!$M:$M,MATCH($B57,EID!$B:$B,0)),0)/2,""),IF(SUM($AY57)=0,"",ROUND(SUM($AY57)/SUM($BA57),0)))</f>
        <v/>
      </c>
      <c r="BE57" s="115" t="str">
        <f aca="false">IF($C57="&lt;01","",IF(SUM($BD57)=0,"",ROUND(SUM($BD57)*SUM($BC57),0)))</f>
        <v/>
      </c>
      <c r="BF57" s="115" t="n">
        <f aca="false">_xlfn.IFNA(INDEX(PMTCT!$AE:$AE,MATCH($E57,PMTCT!$E:$E,0)),"")</f>
        <v>2350</v>
      </c>
      <c r="BG57" s="115" t="str">
        <f aca="false">_xlfn.IFNA(INDEX(PMTCT!$AU:$AU,MATCH($E57,PMTCT!$E:$E,0)),"")</f>
        <v/>
      </c>
      <c r="BH57" s="115" t="n">
        <f aca="false">_xlfn.IFNA(INDEX(TB!$Q:$Q,MATCH($E57,TB!$E:$E,0)),"")</f>
        <v>-1680</v>
      </c>
      <c r="BI57" s="115" t="str">
        <f aca="false">_xlfn.IFNA(INDEX(VMMC!$AC:$AC,MATCH($E57,VMMC!$E:$E,0)),"")</f>
        <v/>
      </c>
      <c r="BJ57" s="115" t="str">
        <f aca="false">IF($C57="&lt;01",$BD57,"")</f>
        <v/>
      </c>
      <c r="BK57" s="115" t="str">
        <f aca="false">IF(SUM($BD57)=0,"",($BD57)-SUM($BE57:$BJ57))</f>
        <v/>
      </c>
      <c r="BL57" s="123" t="str">
        <f aca="false">IF(OR(SUM($BD57)=0,SUM($BE57)=0),"",SUM($BE57)/$BD57)</f>
        <v/>
      </c>
      <c r="BM57" s="123" t="str">
        <f aca="false">IF(OR(SUM($BD57)=0,SUM($BF57)=0),"",SUM($BF57)/$BD57)</f>
        <v/>
      </c>
      <c r="BN57" s="123" t="str">
        <f aca="false">IF(OR(SUM($BD57)=0,SUM($BG57)=0),"",SUM($BG57)/$BD57)</f>
        <v/>
      </c>
      <c r="BO57" s="123" t="str">
        <f aca="false">IF(OR(SUM($BD57)=0,SUM($BH57)=0),"",SUM($BH57)/$BD57)</f>
        <v/>
      </c>
      <c r="BP57" s="123" t="str">
        <f aca="false">IF(OR(SUM($BD57)=0,SUM($BI57)=0),"",SUM($BI57)/$BD57)</f>
        <v/>
      </c>
      <c r="BQ57" s="123" t="str">
        <f aca="false">IF(AND($C57="&lt;01",SUM($BJ57)&lt;&gt;0),$BJ57/SUM($BD57),"")</f>
        <v/>
      </c>
      <c r="BR57" s="123" t="str">
        <f aca="false">IF(OR(SUM($BD57)=0,SUM($BK57)=0),"",SUM($BK57)/$BD57)</f>
        <v/>
      </c>
      <c r="BS57" s="122" t="n">
        <f aca="false">IF(SUM($X57)&lt;=0,"",$X57)</f>
        <v>0.00793650793650794</v>
      </c>
      <c r="BT57" s="115" t="n">
        <f aca="false">IF(LEFT($B57,4)="_Mil","",MAX(SUM($L57)+ROUND(SUM($BD57)/IF(SUM($BS57)&lt;=0,1,SUM($BS57)),0),0))</f>
        <v>3064</v>
      </c>
    </row>
    <row r="58" customFormat="false" ht="15" hidden="false" customHeight="false" outlineLevel="0" collapsed="false">
      <c r="A58" s="0" t="s">
        <v>142</v>
      </c>
      <c r="B58" s="0" t="s">
        <v>109</v>
      </c>
      <c r="C58" s="0" t="s">
        <v>77</v>
      </c>
      <c r="D58" s="0" t="s">
        <v>58</v>
      </c>
      <c r="E58" s="0" t="str">
        <f aca="false">B58&amp;"|"&amp;C58&amp;"|"&amp;D58</f>
        <v>Berea [#SNU] [#DREAMS] [wpg5evyl1OL]|40-44|Male</v>
      </c>
      <c r="F58" s="115" t="n">
        <f aca="false">_xlfn.IFNA(ROUND(INDEX(Spectrum!$N:$N,MATCH(RIGHT($B58,13)&amp;"|"&amp;$C58&amp;"|"&amp;$D58&amp;"|"&amp;F$14&amp;"|"&amp;"CY2021Q3",Spectrum!$Q:$Q,0)),0),"")</f>
        <v>6905</v>
      </c>
      <c r="G58" s="123" t="n">
        <f aca="false">_xlfn.IFNA(INDEX(Spectrum!$P:$P,MATCH(RIGHT($B58,13)&amp;"|"&amp;$C58&amp;"|"&amp;$D58&amp;"|"&amp;F$14&amp;"|"&amp;"CY2021Q3",Spectrum!$Q:$Q,0)),"")</f>
        <v>1</v>
      </c>
      <c r="H58" s="115" t="n">
        <f aca="false">_xlfn.IFNA(ROUND(INDEX(Spectrum!$N:$N,MATCH(RIGHT($B58,13)&amp;"|"&amp;$C58&amp;"|"&amp;$D58&amp;"|"&amp;H$14&amp;"|"&amp;"CY2021Q3",Spectrum!$Q:$Q,0)),0),"")</f>
        <v>2413</v>
      </c>
      <c r="I58" s="123" t="n">
        <f aca="false">_xlfn.IFNA(INDEX(Spectrum!$P:$P,MATCH(RIGHT($B58,13)&amp;"|"&amp;$C58&amp;"|"&amp;$D58&amp;"|"&amp;H$14&amp;"|"&amp;"CY2021Q3",Spectrum!$Q:$Q,0)),"")</f>
        <v>26</v>
      </c>
      <c r="J58" s="117" t="n">
        <f aca="false">_xlfn.IFNA(INDEX(Spectrum!$N:$N,MATCH(RIGHT($B58,13)&amp;"|"&amp;$C58&amp;"|"&amp;$D58&amp;"|"&amp;J$14&amp;"|"&amp;"CY2021Q3",Spectrum!$Q:$Q,0)),"")</f>
        <v>0.3495099</v>
      </c>
      <c r="K58" s="123" t="n">
        <f aca="false">_xlfn.IFNA(INDEX(Spectrum!$P:$P,MATCH(RIGHT($B58,13)&amp;"|"&amp;$C58&amp;"|"&amp;$D58&amp;"|"&amp;J$14&amp;"|"&amp;"CY2021Q3",Spectrum!$Q:$Q,0)),"")</f>
        <v>8</v>
      </c>
      <c r="L58" s="115" t="n">
        <f aca="false">_xlfn.IFNA(ROUND(INDEX(Spectrum!$N:$N,MATCH(RIGHT($B58,13)&amp;"|"&amp;$C58&amp;"|"&amp;$D58&amp;"|"&amp;L$14&amp;"|"&amp;"CY2021Q3",Spectrum!$Q:$Q,0)),0),"")</f>
        <v>2178</v>
      </c>
      <c r="M58" s="123" t="n">
        <f aca="false">IF(OR(SUM($H58)&lt;=0,SUM($L58)&lt;=0),"",SUM($L58)/$H58)</f>
        <v>0.902610857853295</v>
      </c>
      <c r="N58" s="115" t="str">
        <f aca="false">_xlfn.IFNA(ROUND(INDEX(Spectrum!$N:$N,MATCH(RIGHT($B58,13)&amp;"|"&amp;$C58&amp;"|"&amp;$D58&amp;"|"&amp;N$14&amp;"|"&amp;"CY2020Q4",Spectrum!$Q:$Q,0)),0),"")</f>
        <v/>
      </c>
      <c r="O58" s="123" t="str">
        <f aca="false">_xlfn.IFNA(INDEX(Spectrum!$P:$P,MATCH(RIGHT($B58,13)&amp;"|"&amp;$C58&amp;"|"&amp;$D58&amp;"|"&amp;N$14&amp;"|"&amp;"CY2020Q4",Spectrum!$Q:$Q,0)),"")</f>
        <v/>
      </c>
      <c r="P58" s="115" t="n">
        <f aca="false">_xlfn.IFNA(ROUND(INDEX(Spectrum!$N:$N,MATCH(RIGHT($B58,13)&amp;"|"&amp;$C58&amp;"|"&amp;$D58&amp;"|"&amp;P$14&amp;"|"&amp;"CY2021Q3",Spectrum!$Q:$Q,0)),0),"")</f>
        <v>1880</v>
      </c>
      <c r="Q58" s="123" t="n">
        <f aca="false">_xlfn.IFNA(INDEX(Spectrum!$P:$P,MATCH(RIGHT($B58,13)&amp;"|"&amp;$C58&amp;"|"&amp;$D58&amp;"|"&amp;P$14&amp;"|"&amp;"CY2021Q3",Spectrum!$Q:$Q,0)),"")</f>
        <v>30</v>
      </c>
      <c r="R58" s="115"/>
      <c r="S58" s="123" t="str">
        <f aca="false">IF(OR(SUM($P58)&lt;=0,SUM($R58)&lt;=0),"",SUM($R58)/$P58)</f>
        <v/>
      </c>
      <c r="T58" s="139" t="n">
        <v>46</v>
      </c>
      <c r="U58" s="124" t="n">
        <v>27</v>
      </c>
      <c r="V58" s="124" t="n">
        <f aca="false">IF($U58-$T58=0,"",$U58-$T58)</f>
        <v>-19</v>
      </c>
      <c r="W58" s="123" t="n">
        <f aca="false">IF(LEFT($B58,4)="_Mil","",IFERROR(MIN(IF(SUM($N58)&lt;=0,SUM($U58)/SUM($P58),SUM($T58)/SUM($N58)),1),""))</f>
        <v>0.0143617021276596</v>
      </c>
      <c r="X58" s="123" t="n">
        <f aca="false">$W58</f>
        <v>0.0143617021276596</v>
      </c>
      <c r="Y58" s="123" t="n">
        <f aca="false">IFERROR(1/(1/INDEX(Spectrum!$N:$N,MATCH(RIGHT($B58,13)&amp;"|"&amp;$C58&amp;"|"&amp;$D58&amp;"|"&amp;Y$14&amp;"|"&amp;"CY2021Q3",Spectrum!$Q:$Q,0))),IF(SUM($H58)=0,"",MAX(SUM($P58),SUM($U58))/SUM($H58)))</f>
        <v>0.779113137173643</v>
      </c>
      <c r="Z58" s="123" t="n">
        <f aca="false">IF(SUM($Y58)=0,"",MAX(SUM($Y58),90%))</f>
        <v>0.9</v>
      </c>
      <c r="AA58" s="115" t="n">
        <f aca="false">IF(LEFT($B58,4)="_Mil","",ROUND(MAX(SUM($U58),SUM($P58))+IF(SUM($Z58)=0,0,MAX(SUM($Z58)-SUM($Y58),0)*SUM($H58)),0))</f>
        <v>2172</v>
      </c>
      <c r="AB58" s="115" t="n">
        <f aca="false">IF(SUM($AA58)=0,"",ROUND(MAX(SUM($AA58)-MAX(SUM($P58),SUM($U58)),0),0))</f>
        <v>292</v>
      </c>
      <c r="AC58" s="126" t="str">
        <f aca="false">IF($C58="&lt;01",IFERROR(ROUND(INDEX(EID!$N:$N,MATCH($B58,EID!$B:$B,0))/2,0),""),"")</f>
        <v/>
      </c>
      <c r="AD58" s="115" t="n">
        <f aca="false">IF($C58="&lt;01",IF(SUM($AC58)=0,"",ROUND(SUM($AC58)/$AG58,0)),IF(SUM($AB58)=0,"",ROUND(MAX($X58,0)*SUM($AB58),0)))</f>
        <v>4</v>
      </c>
      <c r="AE58" s="115" t="n">
        <f aca="false">IF(AND(SUM($AD58)=0,SUM($U58)=0),"",ROUND(IF($C58="&lt;01",0,SUM($U58))+SUM($AD58),0))</f>
        <v>31</v>
      </c>
      <c r="AF58" s="122" t="n">
        <f aca="false">IF($C58="&lt;01","",100%)</f>
        <v>1</v>
      </c>
      <c r="AG58" s="123" t="n">
        <f aca="false">0.98</f>
        <v>0.98</v>
      </c>
      <c r="AH58" s="123" t="n">
        <f aca="false">0.98</f>
        <v>0.98</v>
      </c>
      <c r="AI58" s="124" t="n">
        <f aca="false">IF(OR($C58="&lt;01",SUM($U58)=0),"",ROUND(SUM($U58)*(1-$AH58),0))</f>
        <v>1</v>
      </c>
      <c r="AJ58" s="124" t="n">
        <f aca="false">IF(AND(SUM($AE58)=0,SUM($U58)=0),"",IF($C58="&lt;01",SUM($AD58),SUM($AE58) - ROUND(SUM($U58)*$AH58,0)))</f>
        <v>5</v>
      </c>
      <c r="AK58" s="124" t="n">
        <v>32</v>
      </c>
      <c r="AL58" s="124" t="n">
        <v>21</v>
      </c>
      <c r="AM58" s="115" t="n">
        <f aca="false">IF(AND(SUM($AD58)=0,SUM($U58)=0),"",IF($C58="&lt;01",SUM($AD58),ROUND(ROUND(SUM($AJ58)*$AF58,0)/$AG58,0)))</f>
        <v>5</v>
      </c>
      <c r="AN58" s="122" t="n">
        <f aca="false">0.7</f>
        <v>0.7</v>
      </c>
      <c r="AO58" s="123" t="n">
        <f aca="false">1</f>
        <v>1</v>
      </c>
      <c r="AP58" s="115" t="n">
        <f aca="false">IF(AND(SUM($U58)=0,SUM($AM58)=0),"",ROUND((SUM($AM58)*$AN58+IF($C58="&lt;01",0,$U58))*$AO58,0))</f>
        <v>31</v>
      </c>
      <c r="AQ58" s="122" t="n">
        <v>16</v>
      </c>
      <c r="AR58" s="123" t="n">
        <f aca="false">0.95</f>
        <v>0.95</v>
      </c>
      <c r="AS58" s="123" t="n">
        <f aca="false">0.95</f>
        <v>0.95</v>
      </c>
      <c r="AT58" s="115" t="n">
        <f aca="false">IF(SUM($AP58)=0,"",ROUND(SUM($AP58)*$AR58,0))</f>
        <v>29</v>
      </c>
      <c r="AU58" s="115" t="n">
        <f aca="false">IF(LEFT($B58,4)="_Mil","",ROUND(SUM($AA58)*SUM($AS58),0))</f>
        <v>2063</v>
      </c>
      <c r="AV58" s="124" t="n">
        <f aca="false">IF(SUM($AU58)&lt;=0,"",MAX(SUM($AU58)-SUM($R58),0))</f>
        <v>2063</v>
      </c>
      <c r="AW58" s="122" t="n">
        <f aca="false">0</f>
        <v>0</v>
      </c>
      <c r="AX58" s="124" t="n">
        <f aca="false">IF(SUM($AM58)=0,"",ROUND(SUM($AM58)*SUM($AW58),0))</f>
        <v>0</v>
      </c>
      <c r="AY58" s="124" t="n">
        <f aca="false">IF(SUM($AM58)=0,"",SUM($AM58)-SUM($AX58))</f>
        <v>5</v>
      </c>
      <c r="AZ58" s="123" t="n">
        <v>26</v>
      </c>
      <c r="BA58" s="123" t="n">
        <f aca="false">0.95</f>
        <v>0.95</v>
      </c>
      <c r="BB58" s="123"/>
      <c r="BC58" s="123" t="n">
        <f aca="false">IF(OR(SUM($AM58)&lt;=0,$C58="&lt;01"),"",MAX(IF(OR(SUM($Y58)&lt;70%,LEFT($B58,4)="_Mil"),30%,IF(SUM($Y58)&gt;=80%,75%,50%)),SUM($BB58)))</f>
        <v>0.5</v>
      </c>
      <c r="BD58" s="115" t="n">
        <f aca="false">IF($C58="&lt;01",IFERROR(ROUND(INDEX(EID!$M:$M,MATCH($B58,EID!$B:$B,0)),0)/2,""),IF(SUM($AY58)=0,"",ROUND(SUM($AY58)/SUM($BA58),0)))</f>
        <v>5</v>
      </c>
      <c r="BE58" s="115" t="n">
        <f aca="false">IF($C58="&lt;01","",IF(SUM($BD58)=0,"",ROUND(SUM($BD58)*SUM($BC58),0)))</f>
        <v>3</v>
      </c>
      <c r="BF58" s="115" t="str">
        <f aca="false">_xlfn.IFNA(INDEX(PMTCT!$AE:$AE,MATCH($E58,PMTCT!$E:$E,0)),"")</f>
        <v/>
      </c>
      <c r="BG58" s="115" t="str">
        <f aca="false">_xlfn.IFNA(INDEX(PMTCT!$AU:$AU,MATCH($E58,PMTCT!$E:$E,0)),"")</f>
        <v/>
      </c>
      <c r="BH58" s="115" t="n">
        <f aca="false">_xlfn.IFNA(INDEX(TB!$Q:$Q,MATCH($E58,TB!$E:$E,0)),"")</f>
        <v>-6664</v>
      </c>
      <c r="BI58" s="115" t="str">
        <f aca="false">_xlfn.IFNA(INDEX(VMMC!$AC:$AC,MATCH($E58,VMMC!$E:$E,0)),"")</f>
        <v/>
      </c>
      <c r="BJ58" s="115" t="str">
        <f aca="false">IF($C58="&lt;01",$BD58,"")</f>
        <v/>
      </c>
      <c r="BK58" s="115" t="n">
        <f aca="false">IF(SUM($BD58)=0,"",($BD58)-SUM($BE58:$BJ58))</f>
        <v>6666</v>
      </c>
      <c r="BL58" s="123" t="n">
        <f aca="false">IF(OR(SUM($BD58)=0,SUM($BE58)=0),"",SUM($BE58)/$BD58)</f>
        <v>0.6</v>
      </c>
      <c r="BM58" s="123" t="str">
        <f aca="false">IF(OR(SUM($BD58)=0,SUM($BF58)=0),"",SUM($BF58)/$BD58)</f>
        <v/>
      </c>
      <c r="BN58" s="123" t="str">
        <f aca="false">IF(OR(SUM($BD58)=0,SUM($BG58)=0),"",SUM($BG58)/$BD58)</f>
        <v/>
      </c>
      <c r="BO58" s="123" t="n">
        <f aca="false">IF(OR(SUM($BD58)=0,SUM($BH58)=0),"",SUM($BH58)/$BD58)</f>
        <v>-1332.8</v>
      </c>
      <c r="BP58" s="123" t="str">
        <f aca="false">IF(OR(SUM($BD58)=0,SUM($BI58)=0),"",SUM($BI58)/$BD58)</f>
        <v/>
      </c>
      <c r="BQ58" s="123" t="str">
        <f aca="false">IF(AND($C58="&lt;01",SUM($BJ58)&lt;&gt;0),$BJ58/SUM($BD58),"")</f>
        <v/>
      </c>
      <c r="BR58" s="123" t="n">
        <f aca="false">IF(OR(SUM($BD58)=0,SUM($BK58)=0),"",SUM($BK58)/$BD58)</f>
        <v>1333.2</v>
      </c>
      <c r="BS58" s="122" t="n">
        <f aca="false">IF(SUM($X58)&lt;=0,"",$X58)</f>
        <v>0.0143617021276596</v>
      </c>
      <c r="BT58" s="115" t="n">
        <f aca="false">IF(LEFT($B58,4)="_Mil","",MAX(SUM($L58)+ROUND(SUM($BD58)/IF(SUM($BS58)&lt;=0,1,SUM($BS58)),0),0))</f>
        <v>2526</v>
      </c>
    </row>
    <row r="59" customFormat="false" ht="15" hidden="false" customHeight="false" outlineLevel="0" collapsed="false">
      <c r="A59" s="0" t="s">
        <v>142</v>
      </c>
      <c r="B59" s="0" t="s">
        <v>109</v>
      </c>
      <c r="C59" s="0" t="s">
        <v>80</v>
      </c>
      <c r="D59" s="0" t="s">
        <v>56</v>
      </c>
      <c r="E59" s="0" t="str">
        <f aca="false">B59&amp;"|"&amp;C59&amp;"|"&amp;D59</f>
        <v>Berea [#SNU] [#DREAMS] [wpg5evyl1OL]|45-49|Female</v>
      </c>
      <c r="F59" s="115" t="n">
        <f aca="false">_xlfn.IFNA(ROUND(INDEX(Spectrum!$N:$N,MATCH(RIGHT($B59,13)&amp;"|"&amp;$C59&amp;"|"&amp;$D59&amp;"|"&amp;F$14&amp;"|"&amp;"CY2021Q3",Spectrum!$Q:$Q,0)),0),"")</f>
        <v>5601</v>
      </c>
      <c r="G59" s="123" t="n">
        <f aca="false">_xlfn.IFNA(INDEX(Spectrum!$P:$P,MATCH(RIGHT($B59,13)&amp;"|"&amp;$C59&amp;"|"&amp;$D59&amp;"|"&amp;F$14&amp;"|"&amp;"CY2021Q3",Spectrum!$Q:$Q,0)),"")</f>
        <v>1</v>
      </c>
      <c r="H59" s="115" t="n">
        <f aca="false">_xlfn.IFNA(ROUND(INDEX(Spectrum!$N:$N,MATCH(RIGHT($B59,13)&amp;"|"&amp;$C59&amp;"|"&amp;$D59&amp;"|"&amp;H$14&amp;"|"&amp;"CY2021Q3",Spectrum!$Q:$Q,0)),0),"")</f>
        <v>2363</v>
      </c>
      <c r="I59" s="123" t="n">
        <f aca="false">_xlfn.IFNA(INDEX(Spectrum!$P:$P,MATCH(RIGHT($B59,13)&amp;"|"&amp;$C59&amp;"|"&amp;$D59&amp;"|"&amp;H$14&amp;"|"&amp;"CY2021Q3",Spectrum!$Q:$Q,0)),"")</f>
        <v>27</v>
      </c>
      <c r="J59" s="117" t="n">
        <f aca="false">_xlfn.IFNA(INDEX(Spectrum!$N:$N,MATCH(RIGHT($B59,13)&amp;"|"&amp;$C59&amp;"|"&amp;$D59&amp;"|"&amp;J$14&amp;"|"&amp;"CY2021Q3",Spectrum!$Q:$Q,0)),"")</f>
        <v>0.421911</v>
      </c>
      <c r="K59" s="123" t="n">
        <f aca="false">_xlfn.IFNA(INDEX(Spectrum!$P:$P,MATCH(RIGHT($B59,13)&amp;"|"&amp;$C59&amp;"|"&amp;$D59&amp;"|"&amp;J$14&amp;"|"&amp;"CY2021Q3",Spectrum!$Q:$Q,0)),"")</f>
        <v>29</v>
      </c>
      <c r="L59" s="115" t="n">
        <f aca="false">_xlfn.IFNA(ROUND(INDEX(Spectrum!$N:$N,MATCH(RIGHT($B59,13)&amp;"|"&amp;$C59&amp;"|"&amp;$D59&amp;"|"&amp;L$14&amp;"|"&amp;"CY2021Q3",Spectrum!$Q:$Q,0)),0),"")</f>
        <v>2343</v>
      </c>
      <c r="M59" s="123" t="n">
        <f aca="false">IF(OR(SUM($H59)&lt;=0,SUM($L59)&lt;=0),"",SUM($L59)/$H59)</f>
        <v>0.991536182818451</v>
      </c>
      <c r="N59" s="115" t="str">
        <f aca="false">_xlfn.IFNA(ROUND(INDEX(Spectrum!$N:$N,MATCH(RIGHT($B59,13)&amp;"|"&amp;$C59&amp;"|"&amp;$D59&amp;"|"&amp;N$14&amp;"|"&amp;"CY2020Q4",Spectrum!$Q:$Q,0)),0),"")</f>
        <v/>
      </c>
      <c r="O59" s="123" t="str">
        <f aca="false">_xlfn.IFNA(INDEX(Spectrum!$P:$P,MATCH(RIGHT($B59,13)&amp;"|"&amp;$C59&amp;"|"&amp;$D59&amp;"|"&amp;N$14&amp;"|"&amp;"CY2020Q4",Spectrum!$Q:$Q,0)),"")</f>
        <v/>
      </c>
      <c r="P59" s="115" t="n">
        <f aca="false">_xlfn.IFNA(ROUND(INDEX(Spectrum!$N:$N,MATCH(RIGHT($B59,13)&amp;"|"&amp;$C59&amp;"|"&amp;$D59&amp;"|"&amp;P$14&amp;"|"&amp;"CY2021Q3",Spectrum!$Q:$Q,0)),0),"")</f>
        <v>2251</v>
      </c>
      <c r="Q59" s="123" t="n">
        <f aca="false">_xlfn.IFNA(INDEX(Spectrum!$P:$P,MATCH(RIGHT($B59,13)&amp;"|"&amp;$C59&amp;"|"&amp;$D59&amp;"|"&amp;P$14&amp;"|"&amp;"CY2021Q3",Spectrum!$Q:$Q,0)),"")</f>
        <v>35</v>
      </c>
      <c r="R59" s="115"/>
      <c r="S59" s="123" t="str">
        <f aca="false">IF(OR(SUM($P59)&lt;=0,SUM($R59)&lt;=0),"",SUM($R59)/$P59)</f>
        <v/>
      </c>
      <c r="T59" s="139" t="n">
        <v>11</v>
      </c>
      <c r="U59" s="124" t="n">
        <v>25</v>
      </c>
      <c r="V59" s="124" t="n">
        <f aca="false">IF($U59-$T59=0,"",$U59-$T59)</f>
        <v>14</v>
      </c>
      <c r="W59" s="123" t="n">
        <f aca="false">IF(LEFT($B59,4)="_Mil","",IFERROR(MIN(IF(SUM($N59)&lt;=0,SUM($U59)/SUM($P59),SUM($T59)/SUM($N59)),1),""))</f>
        <v>0.0111061750333185</v>
      </c>
      <c r="X59" s="123" t="n">
        <f aca="false">$W59</f>
        <v>0.0111061750333185</v>
      </c>
      <c r="Y59" s="123" t="n">
        <f aca="false">IFERROR(1/(1/INDEX(Spectrum!$N:$N,MATCH(RIGHT($B59,13)&amp;"|"&amp;$C59&amp;"|"&amp;$D59&amp;"|"&amp;Y$14&amp;"|"&amp;"CY2021Q3",Spectrum!$Q:$Q,0))),IF(SUM($H59)=0,"",MAX(SUM($P59),SUM($U59))/SUM($H59)))</f>
        <v>0.952602623783326</v>
      </c>
      <c r="Z59" s="123" t="n">
        <f aca="false">IF(SUM($Y59)=0,"",MAX(SUM($Y59),90%))</f>
        <v>0.952602623783326</v>
      </c>
      <c r="AA59" s="115" t="n">
        <f aca="false">IF(LEFT($B59,4)="_Mil","",ROUND(MAX(SUM($U59),SUM($P59))+IF(SUM($Z59)=0,0,MAX(SUM($Z59)-SUM($Y59),0)*SUM($H59)),0))</f>
        <v>2251</v>
      </c>
      <c r="AB59" s="115" t="n">
        <f aca="false">IF(SUM($AA59)=0,"",ROUND(MAX(SUM($AA59)-MAX(SUM($P59),SUM($U59)),0),0))</f>
        <v>0</v>
      </c>
      <c r="AC59" s="126" t="str">
        <f aca="false">IF($C59="&lt;01",IFERROR(ROUND(INDEX(EID!$N:$N,MATCH($B59,EID!$B:$B,0))/2,0),""),"")</f>
        <v/>
      </c>
      <c r="AD59" s="115" t="str">
        <f aca="false">IF($C59="&lt;01",IF(SUM($AC59)=0,"",ROUND(SUM($AC59)/$AG59,0)),IF(SUM($AB59)=0,"",ROUND(MAX($X59,0)*SUM($AB59),0)))</f>
        <v/>
      </c>
      <c r="AE59" s="115" t="n">
        <f aca="false">IF(AND(SUM($AD59)=0,SUM($U59)=0),"",ROUND(IF($C59="&lt;01",0,SUM($U59))+SUM($AD59),0))</f>
        <v>25</v>
      </c>
      <c r="AF59" s="122" t="n">
        <f aca="false">IF($C59="&lt;01","",100%)</f>
        <v>1</v>
      </c>
      <c r="AG59" s="123" t="n">
        <f aca="false">0.98</f>
        <v>0.98</v>
      </c>
      <c r="AH59" s="123" t="n">
        <f aca="false">0.98</f>
        <v>0.98</v>
      </c>
      <c r="AI59" s="124" t="n">
        <f aca="false">IF(OR($C59="&lt;01",SUM($U59)=0),"",ROUND(SUM($U59)*(1-$AH59),0))</f>
        <v>1</v>
      </c>
      <c r="AJ59" s="124" t="n">
        <f aca="false">IF(AND(SUM($AE59)=0,SUM($U59)=0),"",IF($C59="&lt;01",SUM($AD59),SUM($AE59) - ROUND(SUM($U59)*$AH59,0)))</f>
        <v>0</v>
      </c>
      <c r="AK59" s="124" t="n">
        <v>0</v>
      </c>
      <c r="AL59" s="124" t="n">
        <v>43</v>
      </c>
      <c r="AM59" s="115" t="n">
        <f aca="false">IF(AND(SUM($AD59)=0,SUM($U59)=0),"",IF($C59="&lt;01",SUM($AD59),ROUND(ROUND(SUM($AJ59)*$AF59,0)/$AG59,0)))</f>
        <v>0</v>
      </c>
      <c r="AN59" s="122" t="n">
        <f aca="false">0.7</f>
        <v>0.7</v>
      </c>
      <c r="AO59" s="123" t="n">
        <f aca="false">1</f>
        <v>1</v>
      </c>
      <c r="AP59" s="115" t="n">
        <f aca="false">IF(AND(SUM($U59)=0,SUM($AM59)=0),"",ROUND((SUM($AM59)*$AN59+IF($C59="&lt;01",0,$U59))*$AO59,0))</f>
        <v>25</v>
      </c>
      <c r="AQ59" s="122" t="n">
        <v>45</v>
      </c>
      <c r="AR59" s="123" t="n">
        <f aca="false">0.95</f>
        <v>0.95</v>
      </c>
      <c r="AS59" s="123" t="n">
        <f aca="false">0.95</f>
        <v>0.95</v>
      </c>
      <c r="AT59" s="115" t="n">
        <f aca="false">IF(SUM($AP59)=0,"",ROUND(SUM($AP59)*$AR59,0))</f>
        <v>24</v>
      </c>
      <c r="AU59" s="115" t="n">
        <f aca="false">IF(LEFT($B59,4)="_Mil","",ROUND(SUM($AA59)*SUM($AS59),0))</f>
        <v>2138</v>
      </c>
      <c r="AV59" s="124" t="n">
        <f aca="false">IF(SUM($AU59)&lt;=0,"",MAX(SUM($AU59)-SUM($R59),0))</f>
        <v>2138</v>
      </c>
      <c r="AW59" s="122" t="n">
        <f aca="false">0</f>
        <v>0</v>
      </c>
      <c r="AX59" s="124" t="str">
        <f aca="false">IF(SUM($AM59)=0,"",ROUND(SUM($AM59)*SUM($AW59),0))</f>
        <v/>
      </c>
      <c r="AY59" s="124" t="str">
        <f aca="false">IF(SUM($AM59)=0,"",SUM($AM59)-SUM($AX59))</f>
        <v/>
      </c>
      <c r="AZ59" s="123" t="n">
        <v>22</v>
      </c>
      <c r="BA59" s="123" t="n">
        <f aca="false">0.95</f>
        <v>0.95</v>
      </c>
      <c r="BB59" s="123"/>
      <c r="BC59" s="123" t="str">
        <f aca="false">IF(OR(SUM($AM59)&lt;=0,$C59="&lt;01"),"",MAX(IF(OR(SUM($Y59)&lt;70%,LEFT($B59,4)="_Mil"),30%,IF(SUM($Y59)&gt;=80%,75%,50%)),SUM($BB59)))</f>
        <v/>
      </c>
      <c r="BD59" s="115" t="str">
        <f aca="false">IF($C59="&lt;01",IFERROR(ROUND(INDEX(EID!$M:$M,MATCH($B59,EID!$B:$B,0)),0)/2,""),IF(SUM($AY59)=0,"",ROUND(SUM($AY59)/SUM($BA59),0)))</f>
        <v/>
      </c>
      <c r="BE59" s="115" t="str">
        <f aca="false">IF($C59="&lt;01","",IF(SUM($BD59)=0,"",ROUND(SUM($BD59)*SUM($BC59),0)))</f>
        <v/>
      </c>
      <c r="BF59" s="115" t="str">
        <f aca="false">_xlfn.IFNA(INDEX(PMTCT!$AE:$AE,MATCH($E59,PMTCT!$E:$E,0)),"")</f>
        <v/>
      </c>
      <c r="BG59" s="115" t="str">
        <f aca="false">_xlfn.IFNA(INDEX(PMTCT!$AU:$AU,MATCH($E59,PMTCT!$E:$E,0)),"")</f>
        <v/>
      </c>
      <c r="BH59" s="115" t="n">
        <f aca="false">_xlfn.IFNA(INDEX(TB!$Q:$Q,MATCH($E59,TB!$E:$E,0)),"")</f>
        <v>-26784</v>
      </c>
      <c r="BI59" s="115" t="str">
        <f aca="false">_xlfn.IFNA(INDEX(VMMC!$AC:$AC,MATCH($E59,VMMC!$E:$E,0)),"")</f>
        <v/>
      </c>
      <c r="BJ59" s="115" t="str">
        <f aca="false">IF($C59="&lt;01",$BD59,"")</f>
        <v/>
      </c>
      <c r="BK59" s="115" t="str">
        <f aca="false">IF(SUM($BD59)=0,"",($BD59)-SUM($BE59:$BJ59))</f>
        <v/>
      </c>
      <c r="BL59" s="123" t="str">
        <f aca="false">IF(OR(SUM($BD59)=0,SUM($BE59)=0),"",SUM($BE59)/$BD59)</f>
        <v/>
      </c>
      <c r="BM59" s="123" t="str">
        <f aca="false">IF(OR(SUM($BD59)=0,SUM($BF59)=0),"",SUM($BF59)/$BD59)</f>
        <v/>
      </c>
      <c r="BN59" s="123" t="str">
        <f aca="false">IF(OR(SUM($BD59)=0,SUM($BG59)=0),"",SUM($BG59)/$BD59)</f>
        <v/>
      </c>
      <c r="BO59" s="123" t="str">
        <f aca="false">IF(OR(SUM($BD59)=0,SUM($BH59)=0),"",SUM($BH59)/$BD59)</f>
        <v/>
      </c>
      <c r="BP59" s="123" t="str">
        <f aca="false">IF(OR(SUM($BD59)=0,SUM($BI59)=0),"",SUM($BI59)/$BD59)</f>
        <v/>
      </c>
      <c r="BQ59" s="123" t="str">
        <f aca="false">IF(AND($C59="&lt;01",SUM($BJ59)&lt;&gt;0),$BJ59/SUM($BD59),"")</f>
        <v/>
      </c>
      <c r="BR59" s="123" t="str">
        <f aca="false">IF(OR(SUM($BD59)=0,SUM($BK59)=0),"",SUM($BK59)/$BD59)</f>
        <v/>
      </c>
      <c r="BS59" s="122" t="n">
        <f aca="false">IF(SUM($X59)&lt;=0,"",$X59)</f>
        <v>0.0111061750333185</v>
      </c>
      <c r="BT59" s="115" t="n">
        <f aca="false">IF(LEFT($B59,4)="_Mil","",MAX(SUM($L59)+ROUND(SUM($BD59)/IF(SUM($BS59)&lt;=0,1,SUM($BS59)),0),0))</f>
        <v>2343</v>
      </c>
    </row>
    <row r="60" customFormat="false" ht="15" hidden="false" customHeight="false" outlineLevel="0" collapsed="false">
      <c r="A60" s="0" t="s">
        <v>142</v>
      </c>
      <c r="B60" s="0" t="s">
        <v>109</v>
      </c>
      <c r="C60" s="0" t="s">
        <v>80</v>
      </c>
      <c r="D60" s="0" t="s">
        <v>58</v>
      </c>
      <c r="E60" s="0" t="str">
        <f aca="false">B60&amp;"|"&amp;C60&amp;"|"&amp;D60</f>
        <v>Berea [#SNU] [#DREAMS] [wpg5evyl1OL]|45-49|Male</v>
      </c>
      <c r="F60" s="115" t="n">
        <f aca="false">_xlfn.IFNA(ROUND(INDEX(Spectrum!$N:$N,MATCH(RIGHT($B60,13)&amp;"|"&amp;$C60&amp;"|"&amp;$D60&amp;"|"&amp;F$14&amp;"|"&amp;"CY2021Q3",Spectrum!$Q:$Q,0)),0),"")</f>
        <v>5130</v>
      </c>
      <c r="G60" s="123" t="n">
        <f aca="false">_xlfn.IFNA(INDEX(Spectrum!$P:$P,MATCH(RIGHT($B60,13)&amp;"|"&amp;$C60&amp;"|"&amp;$D60&amp;"|"&amp;F$14&amp;"|"&amp;"CY2021Q3",Spectrum!$Q:$Q,0)),"")</f>
        <v>6</v>
      </c>
      <c r="H60" s="115" t="n">
        <f aca="false">_xlfn.IFNA(ROUND(INDEX(Spectrum!$N:$N,MATCH(RIGHT($B60,13)&amp;"|"&amp;$C60&amp;"|"&amp;$D60&amp;"|"&amp;H$14&amp;"|"&amp;"CY2021Q3",Spectrum!$Q:$Q,0)),0),"")</f>
        <v>2031</v>
      </c>
      <c r="I60" s="123" t="n">
        <f aca="false">_xlfn.IFNA(INDEX(Spectrum!$P:$P,MATCH(RIGHT($B60,13)&amp;"|"&amp;$C60&amp;"|"&amp;$D60&amp;"|"&amp;H$14&amp;"|"&amp;"CY2021Q3",Spectrum!$Q:$Q,0)),"")</f>
        <v>10</v>
      </c>
      <c r="J60" s="117" t="n">
        <f aca="false">_xlfn.IFNA(INDEX(Spectrum!$N:$N,MATCH(RIGHT($B60,13)&amp;"|"&amp;$C60&amp;"|"&amp;$D60&amp;"|"&amp;J$14&amp;"|"&amp;"CY2021Q3",Spectrum!$Q:$Q,0)),"")</f>
        <v>0.39596</v>
      </c>
      <c r="K60" s="123" t="n">
        <f aca="false">_xlfn.IFNA(INDEX(Spectrum!$P:$P,MATCH(RIGHT($B60,13)&amp;"|"&amp;$C60&amp;"|"&amp;$D60&amp;"|"&amp;J$14&amp;"|"&amp;"CY2021Q3",Spectrum!$Q:$Q,0)),"")</f>
        <v>23</v>
      </c>
      <c r="L60" s="115" t="n">
        <f aca="false">_xlfn.IFNA(ROUND(INDEX(Spectrum!$N:$N,MATCH(RIGHT($B60,13)&amp;"|"&amp;$C60&amp;"|"&amp;$D60&amp;"|"&amp;L$14&amp;"|"&amp;"CY2021Q3",Spectrum!$Q:$Q,0)),0),"")</f>
        <v>1768</v>
      </c>
      <c r="M60" s="123" t="n">
        <f aca="false">IF(OR(SUM($H60)&lt;=0,SUM($L60)&lt;=0),"",SUM($L60)/$H60)</f>
        <v>0.870507139340226</v>
      </c>
      <c r="N60" s="115" t="str">
        <f aca="false">_xlfn.IFNA(ROUND(INDEX(Spectrum!$N:$N,MATCH(RIGHT($B60,13)&amp;"|"&amp;$C60&amp;"|"&amp;$D60&amp;"|"&amp;N$14&amp;"|"&amp;"CY2020Q4",Spectrum!$Q:$Q,0)),0),"")</f>
        <v/>
      </c>
      <c r="O60" s="123" t="str">
        <f aca="false">_xlfn.IFNA(INDEX(Spectrum!$P:$P,MATCH(RIGHT($B60,13)&amp;"|"&amp;$C60&amp;"|"&amp;$D60&amp;"|"&amp;N$14&amp;"|"&amp;"CY2020Q4",Spectrum!$Q:$Q,0)),"")</f>
        <v/>
      </c>
      <c r="P60" s="115" t="n">
        <f aca="false">_xlfn.IFNA(ROUND(INDEX(Spectrum!$N:$N,MATCH(RIGHT($B60,13)&amp;"|"&amp;$C60&amp;"|"&amp;$D60&amp;"|"&amp;P$14&amp;"|"&amp;"CY2021Q3",Spectrum!$Q:$Q,0)),0),"")</f>
        <v>1600</v>
      </c>
      <c r="Q60" s="123" t="n">
        <f aca="false">_xlfn.IFNA(INDEX(Spectrum!$P:$P,MATCH(RIGHT($B60,13)&amp;"|"&amp;$C60&amp;"|"&amp;$D60&amp;"|"&amp;P$14&amp;"|"&amp;"CY2021Q3",Spectrum!$Q:$Q,0)),"")</f>
        <v>35</v>
      </c>
      <c r="R60" s="115"/>
      <c r="S60" s="123" t="str">
        <f aca="false">IF(OR(SUM($P60)&lt;=0,SUM($R60)&lt;=0),"",SUM($R60)/$P60)</f>
        <v/>
      </c>
      <c r="T60" s="139" t="n">
        <v>22</v>
      </c>
      <c r="U60" s="124" t="n">
        <v>46</v>
      </c>
      <c r="V60" s="124" t="n">
        <f aca="false">IF($U60-$T60=0,"",$U60-$T60)</f>
        <v>24</v>
      </c>
      <c r="W60" s="123" t="n">
        <f aca="false">IF(LEFT($B60,4)="_Mil","",IFERROR(MIN(IF(SUM($N60)&lt;=0,SUM($U60)/SUM($P60),SUM($T60)/SUM($N60)),1),""))</f>
        <v>0.02875</v>
      </c>
      <c r="X60" s="123" t="n">
        <f aca="false">$W60</f>
        <v>0.02875</v>
      </c>
      <c r="Y60" s="123" t="n">
        <f aca="false">IFERROR(1/(1/INDEX(Spectrum!$N:$N,MATCH(RIGHT($B60,13)&amp;"|"&amp;$C60&amp;"|"&amp;$D60&amp;"|"&amp;Y$14&amp;"|"&amp;"CY2021Q3",Spectrum!$Q:$Q,0))),IF(SUM($H60)=0,"",MAX(SUM($P60),SUM($U60))/SUM($H60)))</f>
        <v>0.787789266371246</v>
      </c>
      <c r="Z60" s="123" t="n">
        <f aca="false">IF(SUM($Y60)=0,"",MAX(SUM($Y60),90%))</f>
        <v>0.9</v>
      </c>
      <c r="AA60" s="115" t="n">
        <f aca="false">IF(LEFT($B60,4)="_Mil","",ROUND(MAX(SUM($U60),SUM($P60))+IF(SUM($Z60)=0,0,MAX(SUM($Z60)-SUM($Y60),0)*SUM($H60)),0))</f>
        <v>1828</v>
      </c>
      <c r="AB60" s="115" t="n">
        <f aca="false">IF(SUM($AA60)=0,"",ROUND(MAX(SUM($AA60)-MAX(SUM($P60),SUM($U60)),0),0))</f>
        <v>228</v>
      </c>
      <c r="AC60" s="126" t="str">
        <f aca="false">IF($C60="&lt;01",IFERROR(ROUND(INDEX(EID!$N:$N,MATCH($B60,EID!$B:$B,0))/2,0),""),"")</f>
        <v/>
      </c>
      <c r="AD60" s="115" t="n">
        <f aca="false">IF($C60="&lt;01",IF(SUM($AC60)=0,"",ROUND(SUM($AC60)/$AG60,0)),IF(SUM($AB60)=0,"",ROUND(MAX($X60,0)*SUM($AB60),0)))</f>
        <v>7</v>
      </c>
      <c r="AE60" s="115" t="n">
        <f aca="false">IF(AND(SUM($AD60)=0,SUM($U60)=0),"",ROUND(IF($C60="&lt;01",0,SUM($U60))+SUM($AD60),0))</f>
        <v>53</v>
      </c>
      <c r="AF60" s="122" t="n">
        <f aca="false">IF($C60="&lt;01","",100%)</f>
        <v>1</v>
      </c>
      <c r="AG60" s="123" t="n">
        <f aca="false">0.98</f>
        <v>0.98</v>
      </c>
      <c r="AH60" s="123" t="n">
        <f aca="false">0.98</f>
        <v>0.98</v>
      </c>
      <c r="AI60" s="124" t="n">
        <f aca="false">IF(OR($C60="&lt;01",SUM($U60)=0),"",ROUND(SUM($U60)*(1-$AH60),0))</f>
        <v>1</v>
      </c>
      <c r="AJ60" s="124" t="n">
        <f aca="false">IF(AND(SUM($AE60)=0,SUM($U60)=0),"",IF($C60="&lt;01",SUM($AD60),SUM($AE60) - ROUND(SUM($U60)*$AH60,0)))</f>
        <v>8</v>
      </c>
      <c r="AK60" s="124" t="n">
        <v>49</v>
      </c>
      <c r="AL60" s="124" t="n">
        <v>32</v>
      </c>
      <c r="AM60" s="115" t="n">
        <f aca="false">IF(AND(SUM($AD60)=0,SUM($U60)=0),"",IF($C60="&lt;01",SUM($AD60),ROUND(ROUND(SUM($AJ60)*$AF60,0)/$AG60,0)))</f>
        <v>8</v>
      </c>
      <c r="AN60" s="122" t="n">
        <f aca="false">0.7</f>
        <v>0.7</v>
      </c>
      <c r="AO60" s="123" t="n">
        <f aca="false">1</f>
        <v>1</v>
      </c>
      <c r="AP60" s="115" t="n">
        <f aca="false">IF(AND(SUM($U60)=0,SUM($AM60)=0),"",ROUND((SUM($AM60)*$AN60+IF($C60="&lt;01",0,$U60))*$AO60,0))</f>
        <v>52</v>
      </c>
      <c r="AQ60" s="122" t="n">
        <v>36</v>
      </c>
      <c r="AR60" s="123" t="n">
        <f aca="false">0.95</f>
        <v>0.95</v>
      </c>
      <c r="AS60" s="123" t="n">
        <f aca="false">0.95</f>
        <v>0.95</v>
      </c>
      <c r="AT60" s="115" t="n">
        <f aca="false">IF(SUM($AP60)=0,"",ROUND(SUM($AP60)*$AR60,0))</f>
        <v>49</v>
      </c>
      <c r="AU60" s="115" t="n">
        <f aca="false">IF(LEFT($B60,4)="_Mil","",ROUND(SUM($AA60)*SUM($AS60),0))</f>
        <v>1737</v>
      </c>
      <c r="AV60" s="124" t="n">
        <f aca="false">IF(SUM($AU60)&lt;=0,"",MAX(SUM($AU60)-SUM($R60),0))</f>
        <v>1737</v>
      </c>
      <c r="AW60" s="122" t="n">
        <f aca="false">0</f>
        <v>0</v>
      </c>
      <c r="AX60" s="124" t="n">
        <f aca="false">IF(SUM($AM60)=0,"",ROUND(SUM($AM60)*SUM($AW60),0))</f>
        <v>0</v>
      </c>
      <c r="AY60" s="124" t="n">
        <f aca="false">IF(SUM($AM60)=0,"",SUM($AM60)-SUM($AX60))</f>
        <v>8</v>
      </c>
      <c r="AZ60" s="123" t="n">
        <v>39</v>
      </c>
      <c r="BA60" s="123" t="n">
        <f aca="false">0.95</f>
        <v>0.95</v>
      </c>
      <c r="BB60" s="123"/>
      <c r="BC60" s="123" t="n">
        <f aca="false">IF(OR(SUM($AM60)&lt;=0,$C60="&lt;01"),"",MAX(IF(OR(SUM($Y60)&lt;70%,LEFT($B60,4)="_Mil"),30%,IF(SUM($Y60)&gt;=80%,75%,50%)),SUM($BB60)))</f>
        <v>0.5</v>
      </c>
      <c r="BD60" s="115" t="n">
        <f aca="false">IF($C60="&lt;01",IFERROR(ROUND(INDEX(EID!$M:$M,MATCH($B60,EID!$B:$B,0)),0)/2,""),IF(SUM($AY60)=0,"",ROUND(SUM($AY60)/SUM($BA60),0)))</f>
        <v>8</v>
      </c>
      <c r="BE60" s="115" t="n">
        <f aca="false">IF($C60="&lt;01","",IF(SUM($BD60)=0,"",ROUND(SUM($BD60)*SUM($BC60),0)))</f>
        <v>4</v>
      </c>
      <c r="BF60" s="115" t="str">
        <f aca="false">_xlfn.IFNA(INDEX(PMTCT!$AE:$AE,MATCH($E60,PMTCT!$E:$E,0)),"")</f>
        <v/>
      </c>
      <c r="BG60" s="115" t="str">
        <f aca="false">_xlfn.IFNA(INDEX(PMTCT!$AU:$AU,MATCH($E60,PMTCT!$E:$E,0)),"")</f>
        <v/>
      </c>
      <c r="BH60" s="115" t="n">
        <f aca="false">_xlfn.IFNA(INDEX(TB!$Q:$Q,MATCH($E60,TB!$E:$E,0)),"")</f>
        <v>-7696</v>
      </c>
      <c r="BI60" s="115" t="str">
        <f aca="false">_xlfn.IFNA(INDEX(VMMC!$AC:$AC,MATCH($E60,VMMC!$E:$E,0)),"")</f>
        <v/>
      </c>
      <c r="BJ60" s="115" t="str">
        <f aca="false">IF($C60="&lt;01",$BD60,"")</f>
        <v/>
      </c>
      <c r="BK60" s="115" t="n">
        <f aca="false">IF(SUM($BD60)=0,"",($BD60)-SUM($BE60:$BJ60))</f>
        <v>7700</v>
      </c>
      <c r="BL60" s="123" t="n">
        <f aca="false">IF(OR(SUM($BD60)=0,SUM($BE60)=0),"",SUM($BE60)/$BD60)</f>
        <v>0.5</v>
      </c>
      <c r="BM60" s="123" t="str">
        <f aca="false">IF(OR(SUM($BD60)=0,SUM($BF60)=0),"",SUM($BF60)/$BD60)</f>
        <v/>
      </c>
      <c r="BN60" s="123" t="str">
        <f aca="false">IF(OR(SUM($BD60)=0,SUM($BG60)=0),"",SUM($BG60)/$BD60)</f>
        <v/>
      </c>
      <c r="BO60" s="123" t="n">
        <f aca="false">IF(OR(SUM($BD60)=0,SUM($BH60)=0),"",SUM($BH60)/$BD60)</f>
        <v>-962</v>
      </c>
      <c r="BP60" s="123" t="str">
        <f aca="false">IF(OR(SUM($BD60)=0,SUM($BI60)=0),"",SUM($BI60)/$BD60)</f>
        <v/>
      </c>
      <c r="BQ60" s="123" t="str">
        <f aca="false">IF(AND($C60="&lt;01",SUM($BJ60)&lt;&gt;0),$BJ60/SUM($BD60),"")</f>
        <v/>
      </c>
      <c r="BR60" s="123" t="n">
        <f aca="false">IF(OR(SUM($BD60)=0,SUM($BK60)=0),"",SUM($BK60)/$BD60)</f>
        <v>962.5</v>
      </c>
      <c r="BS60" s="122" t="n">
        <f aca="false">IF(SUM($X60)&lt;=0,"",$X60)</f>
        <v>0.02875</v>
      </c>
      <c r="BT60" s="115" t="n">
        <f aca="false">IF(LEFT($B60,4)="_Mil","",MAX(SUM($L60)+ROUND(SUM($BD60)/IF(SUM($BS60)&lt;=0,1,SUM($BS60)),0),0))</f>
        <v>2046</v>
      </c>
    </row>
    <row r="61" customFormat="false" ht="15" hidden="false" customHeight="false" outlineLevel="0" collapsed="false">
      <c r="A61" s="0" t="s">
        <v>142</v>
      </c>
      <c r="B61" s="0" t="s">
        <v>109</v>
      </c>
      <c r="C61" s="0" t="s">
        <v>86</v>
      </c>
      <c r="D61" s="0" t="s">
        <v>56</v>
      </c>
      <c r="E61" s="0" t="str">
        <f aca="false">B61&amp;"|"&amp;C61&amp;"|"&amp;D61</f>
        <v>Berea [#SNU] [#DREAMS] [wpg5evyl1OL]|50+|Female</v>
      </c>
      <c r="F61" s="115" t="n">
        <f aca="false">_xlfn.IFNA(ROUND(INDEX(Spectrum!$N:$N,MATCH(RIGHT($B61,13)&amp;"|"&amp;$C61&amp;"|"&amp;$D61&amp;"|"&amp;F$14&amp;"|"&amp;"CY2021Q3",Spectrum!$Q:$Q,0)),0),"")</f>
        <v>26039</v>
      </c>
      <c r="G61" s="123" t="n">
        <f aca="false">_xlfn.IFNA(INDEX(Spectrum!$P:$P,MATCH(RIGHT($B61,13)&amp;"|"&amp;$C61&amp;"|"&amp;$D61&amp;"|"&amp;F$14&amp;"|"&amp;"CY2021Q3",Spectrum!$Q:$Q,0)),"")</f>
        <v>16</v>
      </c>
      <c r="H61" s="115" t="n">
        <f aca="false">_xlfn.IFNA(ROUND(INDEX(Spectrum!$N:$N,MATCH(RIGHT($B61,13)&amp;"|"&amp;$C61&amp;"|"&amp;$D61&amp;"|"&amp;H$14&amp;"|"&amp;"CY2021Q3",Spectrum!$Q:$Q,0)),0),"")</f>
        <v>6500</v>
      </c>
      <c r="I61" s="123" t="n">
        <f aca="false">_xlfn.IFNA(INDEX(Spectrum!$P:$P,MATCH(RIGHT($B61,13)&amp;"|"&amp;$C61&amp;"|"&amp;$D61&amp;"|"&amp;H$14&amp;"|"&amp;"CY2021Q3",Spectrum!$Q:$Q,0)),"")</f>
        <v>1</v>
      </c>
      <c r="J61" s="117" t="n">
        <f aca="false">_xlfn.IFNA(INDEX(Spectrum!$N:$N,MATCH(RIGHT($B61,13)&amp;"|"&amp;$C61&amp;"|"&amp;$D61&amp;"|"&amp;J$14&amp;"|"&amp;"CY2021Q3",Spectrum!$Q:$Q,0)),"")</f>
        <v>0.2496345</v>
      </c>
      <c r="K61" s="123" t="n">
        <f aca="false">_xlfn.IFNA(INDEX(Spectrum!$P:$P,MATCH(RIGHT($B61,13)&amp;"|"&amp;$C61&amp;"|"&amp;$D61&amp;"|"&amp;J$14&amp;"|"&amp;"CY2021Q3",Spectrum!$Q:$Q,0)),"")</f>
        <v>23</v>
      </c>
      <c r="L61" s="115" t="n">
        <f aca="false">_xlfn.IFNA(ROUND(INDEX(Spectrum!$N:$N,MATCH(RIGHT($B61,13)&amp;"|"&amp;$C61&amp;"|"&amp;$D61&amp;"|"&amp;L$14&amp;"|"&amp;"CY2021Q3",Spectrum!$Q:$Q,0)),0),"")</f>
        <v>4913</v>
      </c>
      <c r="M61" s="123" t="n">
        <f aca="false">IF(OR(SUM($H61)&lt;=0,SUM($L61)&lt;=0),"",SUM($L61)/$H61)</f>
        <v>0.755846153846154</v>
      </c>
      <c r="N61" s="115" t="str">
        <f aca="false">_xlfn.IFNA(ROUND(INDEX(Spectrum!$N:$N,MATCH(RIGHT($B61,13)&amp;"|"&amp;$C61&amp;"|"&amp;$D61&amp;"|"&amp;N$14&amp;"|"&amp;"CY2020Q4",Spectrum!$Q:$Q,0)),0),"")</f>
        <v/>
      </c>
      <c r="O61" s="123" t="str">
        <f aca="false">_xlfn.IFNA(INDEX(Spectrum!$P:$P,MATCH(RIGHT($B61,13)&amp;"|"&amp;$C61&amp;"|"&amp;$D61&amp;"|"&amp;N$14&amp;"|"&amp;"CY2020Q4",Spectrum!$Q:$Q,0)),"")</f>
        <v/>
      </c>
      <c r="P61" s="115" t="n">
        <f aca="false">_xlfn.IFNA(ROUND(INDEX(Spectrum!$N:$N,MATCH(RIGHT($B61,13)&amp;"|"&amp;$C61&amp;"|"&amp;$D61&amp;"|"&amp;P$14&amp;"|"&amp;"CY2021Q3",Spectrum!$Q:$Q,0)),0),"")</f>
        <v>4756</v>
      </c>
      <c r="Q61" s="123" t="n">
        <f aca="false">_xlfn.IFNA(INDEX(Spectrum!$P:$P,MATCH(RIGHT($B61,13)&amp;"|"&amp;$C61&amp;"|"&amp;$D61&amp;"|"&amp;P$14&amp;"|"&amp;"CY2021Q3",Spectrum!$Q:$Q,0)),"")</f>
        <v>34</v>
      </c>
      <c r="R61" s="115"/>
      <c r="S61" s="123" t="str">
        <f aca="false">IF(OR(SUM($P61)&lt;=0,SUM($R61)&lt;=0),"",SUM($R61)/$P61)</f>
        <v/>
      </c>
      <c r="T61" s="139" t="n">
        <v>34</v>
      </c>
      <c r="U61" s="124" t="n">
        <v>1</v>
      </c>
      <c r="V61" s="124" t="n">
        <f aca="false">IF($U61-$T61=0,"",$U61-$T61)</f>
        <v>-33</v>
      </c>
      <c r="W61" s="123" t="n">
        <f aca="false">IF(LEFT($B61,4)="_Mil","",IFERROR(MIN(IF(SUM($N61)&lt;=0,SUM($U61)/SUM($P61),SUM($T61)/SUM($N61)),1),""))</f>
        <v>0.000210260723296888</v>
      </c>
      <c r="X61" s="123" t="n">
        <f aca="false">$W61</f>
        <v>0.000210260723296888</v>
      </c>
      <c r="Y61" s="123" t="n">
        <f aca="false">IFERROR(1/(1/INDEX(Spectrum!$N:$N,MATCH(RIGHT($B61,13)&amp;"|"&amp;$C61&amp;"|"&amp;$D61&amp;"|"&amp;Y$14&amp;"|"&amp;"CY2021Q3",Spectrum!$Q:$Q,0))),IF(SUM($H61)=0,"",MAX(SUM($P61),SUM($U61))/SUM($H61)))</f>
        <v>0.731692307692308</v>
      </c>
      <c r="Z61" s="123" t="n">
        <f aca="false">IF(SUM($Y61)=0,"",MAX(SUM($Y61),90%))</f>
        <v>0.9</v>
      </c>
      <c r="AA61" s="115" t="n">
        <f aca="false">IF(LEFT($B61,4)="_Mil","",ROUND(MAX(SUM($U61),SUM($P61))+IF(SUM($Z61)=0,0,MAX(SUM($Z61)-SUM($Y61),0)*SUM($H61)),0))</f>
        <v>5850</v>
      </c>
      <c r="AB61" s="115" t="n">
        <f aca="false">IF(SUM($AA61)=0,"",ROUND(MAX(SUM($AA61)-MAX(SUM($P61),SUM($U61)),0),0))</f>
        <v>1094</v>
      </c>
      <c r="AC61" s="126" t="str">
        <f aca="false">IF($C61="&lt;01",IFERROR(ROUND(INDEX(EID!$N:$N,MATCH($B61,EID!$B:$B,0))/2,0),""),"")</f>
        <v/>
      </c>
      <c r="AD61" s="115" t="n">
        <f aca="false">IF($C61="&lt;01",IF(SUM($AC61)=0,"",ROUND(SUM($AC61)/$AG61,0)),IF(SUM($AB61)=0,"",ROUND(MAX($X61,0)*SUM($AB61),0)))</f>
        <v>0</v>
      </c>
      <c r="AE61" s="115" t="n">
        <f aca="false">IF(AND(SUM($AD61)=0,SUM($U61)=0),"",ROUND(IF($C61="&lt;01",0,SUM($U61))+SUM($AD61),0))</f>
        <v>1</v>
      </c>
      <c r="AF61" s="122" t="n">
        <f aca="false">IF($C61="&lt;01","",100%)</f>
        <v>1</v>
      </c>
      <c r="AG61" s="123" t="n">
        <f aca="false">0.98</f>
        <v>0.98</v>
      </c>
      <c r="AH61" s="123" t="n">
        <f aca="false">0.98</f>
        <v>0.98</v>
      </c>
      <c r="AI61" s="124" t="n">
        <f aca="false">IF(OR($C61="&lt;01",SUM($U61)=0),"",ROUND(SUM($U61)*(1-$AH61),0))</f>
        <v>0</v>
      </c>
      <c r="AJ61" s="124" t="n">
        <f aca="false">IF(AND(SUM($AE61)=0,SUM($U61)=0),"",IF($C61="&lt;01",SUM($AD61),SUM($AE61) - ROUND(SUM($U61)*$AH61,0)))</f>
        <v>0</v>
      </c>
      <c r="AK61" s="124" t="n">
        <v>2</v>
      </c>
      <c r="AL61" s="124" t="n">
        <v>44</v>
      </c>
      <c r="AM61" s="115" t="n">
        <f aca="false">IF(AND(SUM($AD61)=0,SUM($U61)=0),"",IF($C61="&lt;01",SUM($AD61),ROUND(ROUND(SUM($AJ61)*$AF61,0)/$AG61,0)))</f>
        <v>0</v>
      </c>
      <c r="AN61" s="122" t="n">
        <f aca="false">0.7</f>
        <v>0.7</v>
      </c>
      <c r="AO61" s="123" t="n">
        <f aca="false">1</f>
        <v>1</v>
      </c>
      <c r="AP61" s="115" t="n">
        <f aca="false">IF(AND(SUM($U61)=0,SUM($AM61)=0),"",ROUND((SUM($AM61)*$AN61+IF($C61="&lt;01",0,$U61))*$AO61,0))</f>
        <v>1</v>
      </c>
      <c r="AQ61" s="122" t="n">
        <v>35</v>
      </c>
      <c r="AR61" s="123" t="n">
        <f aca="false">0.95</f>
        <v>0.95</v>
      </c>
      <c r="AS61" s="123" t="n">
        <f aca="false">0.95</f>
        <v>0.95</v>
      </c>
      <c r="AT61" s="115" t="n">
        <f aca="false">IF(SUM($AP61)=0,"",ROUND(SUM($AP61)*$AR61,0))</f>
        <v>1</v>
      </c>
      <c r="AU61" s="115" t="n">
        <f aca="false">IF(LEFT($B61,4)="_Mil","",ROUND(SUM($AA61)*SUM($AS61),0))</f>
        <v>5558</v>
      </c>
      <c r="AV61" s="124" t="n">
        <f aca="false">IF(SUM($AU61)&lt;=0,"",MAX(SUM($AU61)-SUM($R61),0))</f>
        <v>5558</v>
      </c>
      <c r="AW61" s="122" t="n">
        <f aca="false">0</f>
        <v>0</v>
      </c>
      <c r="AX61" s="124" t="str">
        <f aca="false">IF(SUM($AM61)=0,"",ROUND(SUM($AM61)*SUM($AW61),0))</f>
        <v/>
      </c>
      <c r="AY61" s="124" t="str">
        <f aca="false">IF(SUM($AM61)=0,"",SUM($AM61)-SUM($AX61))</f>
        <v/>
      </c>
      <c r="AZ61" s="123" t="n">
        <v>2</v>
      </c>
      <c r="BA61" s="123" t="n">
        <f aca="false">0.95</f>
        <v>0.95</v>
      </c>
      <c r="BB61" s="123"/>
      <c r="BC61" s="123" t="str">
        <f aca="false">IF(OR(SUM($AM61)&lt;=0,$C61="&lt;01"),"",MAX(IF(OR(SUM($Y61)&lt;70%,LEFT($B61,4)="_Mil"),30%,IF(SUM($Y61)&gt;=80%,75%,50%)),SUM($BB61)))</f>
        <v/>
      </c>
      <c r="BD61" s="115" t="str">
        <f aca="false">IF($C61="&lt;01",IFERROR(ROUND(INDEX(EID!$M:$M,MATCH($B61,EID!$B:$B,0)),0)/2,""),IF(SUM($AY61)=0,"",ROUND(SUM($AY61)/SUM($BA61),0)))</f>
        <v/>
      </c>
      <c r="BE61" s="115" t="str">
        <f aca="false">IF($C61="&lt;01","",IF(SUM($BD61)=0,"",ROUND(SUM($BD61)*SUM($BC61),0)))</f>
        <v/>
      </c>
      <c r="BF61" s="115" t="str">
        <f aca="false">_xlfn.IFNA(INDEX(PMTCT!$AE:$AE,MATCH($E61,PMTCT!$E:$E,0)),"")</f>
        <v/>
      </c>
      <c r="BG61" s="115" t="str">
        <f aca="false">_xlfn.IFNA(INDEX(PMTCT!$AU:$AU,MATCH($E61,PMTCT!$E:$E,0)),"")</f>
        <v/>
      </c>
      <c r="BH61" s="115" t="n">
        <f aca="false">_xlfn.IFNA(INDEX(TB!$Q:$Q,MATCH($E61,TB!$E:$E,0)),"")</f>
        <v>-16650</v>
      </c>
      <c r="BI61" s="115" t="str">
        <f aca="false">_xlfn.IFNA(INDEX(VMMC!$AC:$AC,MATCH($E61,VMMC!$E:$E,0)),"")</f>
        <v/>
      </c>
      <c r="BJ61" s="115" t="str">
        <f aca="false">IF($C61="&lt;01",$BD61,"")</f>
        <v/>
      </c>
      <c r="BK61" s="115" t="str">
        <f aca="false">IF(SUM($BD61)=0,"",($BD61)-SUM($BE61:$BJ61))</f>
        <v/>
      </c>
      <c r="BL61" s="123" t="str">
        <f aca="false">IF(OR(SUM($BD61)=0,SUM($BE61)=0),"",SUM($BE61)/$BD61)</f>
        <v/>
      </c>
      <c r="BM61" s="123" t="str">
        <f aca="false">IF(OR(SUM($BD61)=0,SUM($BF61)=0),"",SUM($BF61)/$BD61)</f>
        <v/>
      </c>
      <c r="BN61" s="123" t="str">
        <f aca="false">IF(OR(SUM($BD61)=0,SUM($BG61)=0),"",SUM($BG61)/$BD61)</f>
        <v/>
      </c>
      <c r="BO61" s="123" t="str">
        <f aca="false">IF(OR(SUM($BD61)=0,SUM($BH61)=0),"",SUM($BH61)/$BD61)</f>
        <v/>
      </c>
      <c r="BP61" s="123" t="str">
        <f aca="false">IF(OR(SUM($BD61)=0,SUM($BI61)=0),"",SUM($BI61)/$BD61)</f>
        <v/>
      </c>
      <c r="BQ61" s="123" t="str">
        <f aca="false">IF(AND($C61="&lt;01",SUM($BJ61)&lt;&gt;0),$BJ61/SUM($BD61),"")</f>
        <v/>
      </c>
      <c r="BR61" s="123" t="str">
        <f aca="false">IF(OR(SUM($BD61)=0,SUM($BK61)=0),"",SUM($BK61)/$BD61)</f>
        <v/>
      </c>
      <c r="BS61" s="122" t="n">
        <f aca="false">IF(SUM($X61)&lt;=0,"",$X61)</f>
        <v>0.000210260723296888</v>
      </c>
      <c r="BT61" s="115" t="n">
        <f aca="false">IF(LEFT($B61,4)="_Mil","",MAX(SUM($L61)+ROUND(SUM($BD61)/IF(SUM($BS61)&lt;=0,1,SUM($BS61)),0),0))</f>
        <v>4913</v>
      </c>
    </row>
    <row r="62" customFormat="false" ht="15" hidden="false" customHeight="false" outlineLevel="0" collapsed="false">
      <c r="A62" s="0" t="s">
        <v>142</v>
      </c>
      <c r="B62" s="0" t="s">
        <v>109</v>
      </c>
      <c r="C62" s="0" t="s">
        <v>86</v>
      </c>
      <c r="D62" s="0" t="s">
        <v>58</v>
      </c>
      <c r="E62" s="0" t="str">
        <f aca="false">B62&amp;"|"&amp;C62&amp;"|"&amp;D62</f>
        <v>Berea [#SNU] [#DREAMS] [wpg5evyl1OL]|50+|Male</v>
      </c>
      <c r="F62" s="115" t="n">
        <f aca="false">_xlfn.IFNA(ROUND(INDEX(Spectrum!$N:$N,MATCH(RIGHT($B62,13)&amp;"|"&amp;$C62&amp;"|"&amp;$D62&amp;"|"&amp;F$14&amp;"|"&amp;"CY2021Q3",Spectrum!$Q:$Q,0)),0),"")</f>
        <v>18045</v>
      </c>
      <c r="G62" s="123" t="n">
        <f aca="false">_xlfn.IFNA(INDEX(Spectrum!$P:$P,MATCH(RIGHT($B62,13)&amp;"|"&amp;$C62&amp;"|"&amp;$D62&amp;"|"&amp;F$14&amp;"|"&amp;"CY2021Q3",Spectrum!$Q:$Q,0)),"")</f>
        <v>22</v>
      </c>
      <c r="H62" s="115" t="n">
        <f aca="false">_xlfn.IFNA(ROUND(INDEX(Spectrum!$N:$N,MATCH(RIGHT($B62,13)&amp;"|"&amp;$C62&amp;"|"&amp;$D62&amp;"|"&amp;H$14&amp;"|"&amp;"CY2021Q3",Spectrum!$Q:$Q,0)),0),"")</f>
        <v>4847</v>
      </c>
      <c r="I62" s="123" t="n">
        <f aca="false">_xlfn.IFNA(INDEX(Spectrum!$P:$P,MATCH(RIGHT($B62,13)&amp;"|"&amp;$C62&amp;"|"&amp;$D62&amp;"|"&amp;H$14&amp;"|"&amp;"CY2021Q3",Spectrum!$Q:$Q,0)),"")</f>
        <v>13</v>
      </c>
      <c r="J62" s="117" t="n">
        <f aca="false">_xlfn.IFNA(INDEX(Spectrum!$N:$N,MATCH(RIGHT($B62,13)&amp;"|"&amp;$C62&amp;"|"&amp;$D62&amp;"|"&amp;J$14&amp;"|"&amp;"CY2021Q3",Spectrum!$Q:$Q,0)),"")</f>
        <v>0.2685901</v>
      </c>
      <c r="K62" s="123" t="n">
        <f aca="false">_xlfn.IFNA(INDEX(Spectrum!$P:$P,MATCH(RIGHT($B62,13)&amp;"|"&amp;$C62&amp;"|"&amp;$D62&amp;"|"&amp;J$14&amp;"|"&amp;"CY2021Q3",Spectrum!$Q:$Q,0)),"")</f>
        <v>34</v>
      </c>
      <c r="L62" s="115" t="n">
        <f aca="false">_xlfn.IFNA(ROUND(INDEX(Spectrum!$N:$N,MATCH(RIGHT($B62,13)&amp;"|"&amp;$C62&amp;"|"&amp;$D62&amp;"|"&amp;L$14&amp;"|"&amp;"CY2021Q3",Spectrum!$Q:$Q,0)),0),"")</f>
        <v>3587</v>
      </c>
      <c r="M62" s="123" t="n">
        <f aca="false">IF(OR(SUM($H62)&lt;=0,SUM($L62)&lt;=0),"",SUM($L62)/$H62)</f>
        <v>0.740045388900351</v>
      </c>
      <c r="N62" s="115" t="str">
        <f aca="false">_xlfn.IFNA(ROUND(INDEX(Spectrum!$N:$N,MATCH(RIGHT($B62,13)&amp;"|"&amp;$C62&amp;"|"&amp;$D62&amp;"|"&amp;N$14&amp;"|"&amp;"CY2020Q4",Spectrum!$Q:$Q,0)),0),"")</f>
        <v/>
      </c>
      <c r="O62" s="123" t="str">
        <f aca="false">_xlfn.IFNA(INDEX(Spectrum!$P:$P,MATCH(RIGHT($B62,13)&amp;"|"&amp;$C62&amp;"|"&amp;$D62&amp;"|"&amp;N$14&amp;"|"&amp;"CY2020Q4",Spectrum!$Q:$Q,0)),"")</f>
        <v/>
      </c>
      <c r="P62" s="115" t="n">
        <f aca="false">_xlfn.IFNA(ROUND(INDEX(Spectrum!$N:$N,MATCH(RIGHT($B62,13)&amp;"|"&amp;$C62&amp;"|"&amp;$D62&amp;"|"&amp;P$14&amp;"|"&amp;"CY2021Q3",Spectrum!$Q:$Q,0)),0),"")</f>
        <v>3354</v>
      </c>
      <c r="Q62" s="123" t="n">
        <f aca="false">_xlfn.IFNA(INDEX(Spectrum!$P:$P,MATCH(RIGHT($B62,13)&amp;"|"&amp;$C62&amp;"|"&amp;$D62&amp;"|"&amp;P$14&amp;"|"&amp;"CY2021Q3",Spectrum!$Q:$Q,0)),"")</f>
        <v>44</v>
      </c>
      <c r="R62" s="115"/>
      <c r="S62" s="123" t="str">
        <f aca="false">IF(OR(SUM($P62)&lt;=0,SUM($R62)&lt;=0),"",SUM($R62)/$P62)</f>
        <v/>
      </c>
      <c r="T62" s="139" t="n">
        <v>19</v>
      </c>
      <c r="U62" s="124" t="n">
        <v>34</v>
      </c>
      <c r="V62" s="124" t="n">
        <f aca="false">IF($U62-$T62=0,"",$U62-$T62)</f>
        <v>15</v>
      </c>
      <c r="W62" s="123" t="n">
        <f aca="false">IF(LEFT($B62,4)="_Mil","",IFERROR(MIN(IF(SUM($N62)&lt;=0,SUM($U62)/SUM($P62),SUM($T62)/SUM($N62)),1),""))</f>
        <v>0.0101371496720334</v>
      </c>
      <c r="X62" s="123" t="n">
        <f aca="false">$W62</f>
        <v>0.0101371496720334</v>
      </c>
      <c r="Y62" s="123" t="n">
        <f aca="false">IFERROR(1/(1/INDEX(Spectrum!$N:$N,MATCH(RIGHT($B62,13)&amp;"|"&amp;$C62&amp;"|"&amp;$D62&amp;"|"&amp;Y$14&amp;"|"&amp;"CY2021Q3",Spectrum!$Q:$Q,0))),IF(SUM($H62)=0,"",MAX(SUM($P62),SUM($U62))/SUM($H62)))</f>
        <v>0.691974417165257</v>
      </c>
      <c r="Z62" s="123" t="n">
        <f aca="false">IF(SUM($Y62)=0,"",MAX(SUM($Y62),90%))</f>
        <v>0.9</v>
      </c>
      <c r="AA62" s="115" t="n">
        <f aca="false">IF(LEFT($B62,4)="_Mil","",ROUND(MAX(SUM($U62),SUM($P62))+IF(SUM($Z62)=0,0,MAX(SUM($Z62)-SUM($Y62),0)*SUM($H62)),0))</f>
        <v>4362</v>
      </c>
      <c r="AB62" s="115" t="n">
        <f aca="false">IF(SUM($AA62)=0,"",ROUND(MAX(SUM($AA62)-MAX(SUM($P62),SUM($U62)),0),0))</f>
        <v>1008</v>
      </c>
      <c r="AC62" s="126" t="str">
        <f aca="false">IF($C62="&lt;01",IFERROR(ROUND(INDEX(EID!$N:$N,MATCH($B62,EID!$B:$B,0))/2,0),""),"")</f>
        <v/>
      </c>
      <c r="AD62" s="115" t="n">
        <f aca="false">IF($C62="&lt;01",IF(SUM($AC62)=0,"",ROUND(SUM($AC62)/$AG62,0)),IF(SUM($AB62)=0,"",ROUND(MAX($X62,0)*SUM($AB62),0)))</f>
        <v>10</v>
      </c>
      <c r="AE62" s="115" t="n">
        <f aca="false">IF(AND(SUM($AD62)=0,SUM($U62)=0),"",ROUND(IF($C62="&lt;01",0,SUM($U62))+SUM($AD62),0))</f>
        <v>44</v>
      </c>
      <c r="AF62" s="122" t="n">
        <f aca="false">IF($C62="&lt;01","",100%)</f>
        <v>1</v>
      </c>
      <c r="AG62" s="123" t="n">
        <f aca="false">0.98</f>
        <v>0.98</v>
      </c>
      <c r="AH62" s="123" t="n">
        <f aca="false">0.98</f>
        <v>0.98</v>
      </c>
      <c r="AI62" s="124" t="n">
        <f aca="false">IF(OR($C62="&lt;01",SUM($U62)=0),"",ROUND(SUM($U62)*(1-$AH62),0))</f>
        <v>1</v>
      </c>
      <c r="AJ62" s="124" t="n">
        <f aca="false">IF(AND(SUM($AE62)=0,SUM($U62)=0),"",IF($C62="&lt;01",SUM($AD62),SUM($AE62) - ROUND(SUM($U62)*$AH62,0)))</f>
        <v>11</v>
      </c>
      <c r="AK62" s="124" t="n">
        <v>31</v>
      </c>
      <c r="AL62" s="124" t="n">
        <v>31</v>
      </c>
      <c r="AM62" s="115" t="n">
        <f aca="false">IF(AND(SUM($AD62)=0,SUM($U62)=0),"",IF($C62="&lt;01",SUM($AD62),ROUND(ROUND(SUM($AJ62)*$AF62,0)/$AG62,0)))</f>
        <v>11</v>
      </c>
      <c r="AN62" s="122" t="n">
        <f aca="false">0.7</f>
        <v>0.7</v>
      </c>
      <c r="AO62" s="123" t="n">
        <f aca="false">1</f>
        <v>1</v>
      </c>
      <c r="AP62" s="115" t="n">
        <f aca="false">IF(AND(SUM($U62)=0,SUM($AM62)=0),"",ROUND((SUM($AM62)*$AN62+IF($C62="&lt;01",0,$U62))*$AO62,0))</f>
        <v>42</v>
      </c>
      <c r="AQ62" s="122" t="n">
        <v>26</v>
      </c>
      <c r="AR62" s="123" t="n">
        <f aca="false">0.95</f>
        <v>0.95</v>
      </c>
      <c r="AS62" s="123" t="n">
        <f aca="false">0.95</f>
        <v>0.95</v>
      </c>
      <c r="AT62" s="115" t="n">
        <f aca="false">IF(SUM($AP62)=0,"",ROUND(SUM($AP62)*$AR62,0))</f>
        <v>40</v>
      </c>
      <c r="AU62" s="115" t="n">
        <f aca="false">IF(LEFT($B62,4)="_Mil","",ROUND(SUM($AA62)*SUM($AS62),0))</f>
        <v>4144</v>
      </c>
      <c r="AV62" s="124" t="n">
        <f aca="false">IF(SUM($AU62)&lt;=0,"",MAX(SUM($AU62)-SUM($R62),0))</f>
        <v>4144</v>
      </c>
      <c r="AW62" s="122" t="n">
        <f aca="false">0</f>
        <v>0</v>
      </c>
      <c r="AX62" s="124" t="n">
        <f aca="false">IF(SUM($AM62)=0,"",ROUND(SUM($AM62)*SUM($AW62),0))</f>
        <v>0</v>
      </c>
      <c r="AY62" s="124" t="n">
        <f aca="false">IF(SUM($AM62)=0,"",SUM($AM62)-SUM($AX62))</f>
        <v>11</v>
      </c>
      <c r="AZ62" s="123" t="n">
        <v>14</v>
      </c>
      <c r="BA62" s="123" t="n">
        <f aca="false">0.95</f>
        <v>0.95</v>
      </c>
      <c r="BB62" s="123"/>
      <c r="BC62" s="123" t="n">
        <f aca="false">IF(OR(SUM($AM62)&lt;=0,$C62="&lt;01"),"",MAX(IF(OR(SUM($Y62)&lt;70%,LEFT($B62,4)="_Mil"),30%,IF(SUM($Y62)&gt;=80%,75%,50%)),SUM($BB62)))</f>
        <v>0.3</v>
      </c>
      <c r="BD62" s="115" t="n">
        <f aca="false">IF($C62="&lt;01",IFERROR(ROUND(INDEX(EID!$M:$M,MATCH($B62,EID!$B:$B,0)),0)/2,""),IF(SUM($AY62)=0,"",ROUND(SUM($AY62)/SUM($BA62),0)))</f>
        <v>12</v>
      </c>
      <c r="BE62" s="115" t="n">
        <f aca="false">IF($C62="&lt;01","",IF(SUM($BD62)=0,"",ROUND(SUM($BD62)*SUM($BC62),0)))</f>
        <v>4</v>
      </c>
      <c r="BF62" s="115" t="str">
        <f aca="false">_xlfn.IFNA(INDEX(PMTCT!$AE:$AE,MATCH($E62,PMTCT!$E:$E,0)),"")</f>
        <v/>
      </c>
      <c r="BG62" s="115" t="str">
        <f aca="false">_xlfn.IFNA(INDEX(PMTCT!$AU:$AU,MATCH($E62,PMTCT!$E:$E,0)),"")</f>
        <v/>
      </c>
      <c r="BH62" s="115" t="n">
        <f aca="false">_xlfn.IFNA(INDEX(TB!$Q:$Q,MATCH($E62,TB!$E:$E,0)),"")</f>
        <v>-64500</v>
      </c>
      <c r="BI62" s="115" t="str">
        <f aca="false">_xlfn.IFNA(INDEX(VMMC!$AC:$AC,MATCH($E62,VMMC!$E:$E,0)),"")</f>
        <v/>
      </c>
      <c r="BJ62" s="115" t="str">
        <f aca="false">IF($C62="&lt;01",$BD62,"")</f>
        <v/>
      </c>
      <c r="BK62" s="115" t="n">
        <f aca="false">IF(SUM($BD62)=0,"",($BD62)-SUM($BE62:$BJ62))</f>
        <v>64508</v>
      </c>
      <c r="BL62" s="123" t="n">
        <f aca="false">IF(OR(SUM($BD62)=0,SUM($BE62)=0),"",SUM($BE62)/$BD62)</f>
        <v>0.333333333333333</v>
      </c>
      <c r="BM62" s="123" t="str">
        <f aca="false">IF(OR(SUM($BD62)=0,SUM($BF62)=0),"",SUM($BF62)/$BD62)</f>
        <v/>
      </c>
      <c r="BN62" s="123" t="str">
        <f aca="false">IF(OR(SUM($BD62)=0,SUM($BG62)=0),"",SUM($BG62)/$BD62)</f>
        <v/>
      </c>
      <c r="BO62" s="123" t="n">
        <f aca="false">IF(OR(SUM($BD62)=0,SUM($BH62)=0),"",SUM($BH62)/$BD62)</f>
        <v>-5375</v>
      </c>
      <c r="BP62" s="123" t="str">
        <f aca="false">IF(OR(SUM($BD62)=0,SUM($BI62)=0),"",SUM($BI62)/$BD62)</f>
        <v/>
      </c>
      <c r="BQ62" s="123" t="str">
        <f aca="false">IF(AND($C62="&lt;01",SUM($BJ62)&lt;&gt;0),$BJ62/SUM($BD62),"")</f>
        <v/>
      </c>
      <c r="BR62" s="123" t="n">
        <f aca="false">IF(OR(SUM($BD62)=0,SUM($BK62)=0),"",SUM($BK62)/$BD62)</f>
        <v>5375.66666666667</v>
      </c>
      <c r="BS62" s="122" t="n">
        <f aca="false">IF(SUM($X62)&lt;=0,"",$X62)</f>
        <v>0.0101371496720334</v>
      </c>
      <c r="BT62" s="115" t="n">
        <f aca="false">IF(LEFT($B62,4)="_Mil","",MAX(SUM($L62)+ROUND(SUM($BD62)/IF(SUM($BS62)&lt;=0,1,SUM($BS62)),0),0))</f>
        <v>4771</v>
      </c>
    </row>
    <row r="63" customFormat="false" ht="15" hidden="false" customHeight="false" outlineLevel="0" collapsed="false">
      <c r="A63" s="0" t="s">
        <v>143</v>
      </c>
      <c r="B63" s="0" t="s">
        <v>115</v>
      </c>
      <c r="C63" s="0" t="s">
        <v>89</v>
      </c>
      <c r="D63" s="0" t="s">
        <v>56</v>
      </c>
      <c r="E63" s="0" t="str">
        <f aca="false">B63&amp;"|"&amp;C63&amp;"|"&amp;D63</f>
        <v>Butha Buthe [#SNU] [mvPRqBFtVC0]|&lt;01|Female</v>
      </c>
      <c r="F63" s="115" t="n">
        <f aca="false">_xlfn.IFNA(ROUND(INDEX(Spectrum!$N:$N,MATCH(RIGHT($B63,13)&amp;"|"&amp;$C63&amp;"|"&amp;$D63&amp;"|"&amp;F$14&amp;"|"&amp;"CY2021Q3",Spectrum!$Q:$Q,0)),0),"")</f>
        <v>1053</v>
      </c>
      <c r="G63" s="123" t="n">
        <f aca="false">_xlfn.IFNA(INDEX(Spectrum!$P:$P,MATCH(RIGHT($B63,13)&amp;"|"&amp;$C63&amp;"|"&amp;$D63&amp;"|"&amp;F$14&amp;"|"&amp;"CY2021Q3",Spectrum!$Q:$Q,0)),"")</f>
        <v>2</v>
      </c>
      <c r="H63" s="115" t="n">
        <f aca="false">_xlfn.IFNA(ROUND(INDEX(Spectrum!$N:$N,MATCH(RIGHT($B63,13)&amp;"|"&amp;$C63&amp;"|"&amp;$D63&amp;"|"&amp;H$14&amp;"|"&amp;"CY2021Q3",Spectrum!$Q:$Q,0)),0),"")</f>
        <v>6</v>
      </c>
      <c r="I63" s="123" t="n">
        <f aca="false">_xlfn.IFNA(INDEX(Spectrum!$P:$P,MATCH(RIGHT($B63,13)&amp;"|"&amp;$C63&amp;"|"&amp;$D63&amp;"|"&amp;H$14&amp;"|"&amp;"CY2021Q3",Spectrum!$Q:$Q,0)),"")</f>
        <v>22</v>
      </c>
      <c r="J63" s="117" t="n">
        <f aca="false">_xlfn.IFNA(INDEX(Spectrum!$N:$N,MATCH(RIGHT($B63,13)&amp;"|"&amp;$C63&amp;"|"&amp;$D63&amp;"|"&amp;J$14&amp;"|"&amp;"CY2021Q3",Spectrum!$Q:$Q,0)),"")</f>
        <v>0.0056413</v>
      </c>
      <c r="K63" s="123" t="n">
        <f aca="false">_xlfn.IFNA(INDEX(Spectrum!$P:$P,MATCH(RIGHT($B63,13)&amp;"|"&amp;$C63&amp;"|"&amp;$D63&amp;"|"&amp;J$14&amp;"|"&amp;"CY2021Q3",Spectrum!$Q:$Q,0)),"")</f>
        <v>30</v>
      </c>
      <c r="L63" s="115" t="n">
        <f aca="false">_xlfn.IFNA(ROUND(INDEX(Spectrum!$N:$N,MATCH(RIGHT($B63,13)&amp;"|"&amp;$C63&amp;"|"&amp;$D63&amp;"|"&amp;L$14&amp;"|"&amp;"CY2021Q3",Spectrum!$Q:$Q,0)),0),"")</f>
        <v>3</v>
      </c>
      <c r="M63" s="123" t="n">
        <f aca="false">IF(OR(SUM($H63)&lt;=0,SUM($L63)&lt;=0),"",SUM($L63)/$H63)</f>
        <v>0.5</v>
      </c>
      <c r="N63" s="115" t="str">
        <f aca="false">_xlfn.IFNA(ROUND(INDEX(Spectrum!$N:$N,MATCH(RIGHT($B63,13)&amp;"|"&amp;$C63&amp;"|"&amp;$D63&amp;"|"&amp;N$14&amp;"|"&amp;"CY2020Q4",Spectrum!$Q:$Q,0)),0),"")</f>
        <v/>
      </c>
      <c r="O63" s="123" t="str">
        <f aca="false">_xlfn.IFNA(INDEX(Spectrum!$P:$P,MATCH(RIGHT($B63,13)&amp;"|"&amp;$C63&amp;"|"&amp;$D63&amp;"|"&amp;N$14&amp;"|"&amp;"CY2020Q4",Spectrum!$Q:$Q,0)),"")</f>
        <v/>
      </c>
      <c r="P63" s="115" t="n">
        <f aca="false">_xlfn.IFNA(ROUND(INDEX(Spectrum!$N:$N,MATCH(RIGHT($B63,13)&amp;"|"&amp;$C63&amp;"|"&amp;$D63&amp;"|"&amp;P$14&amp;"|"&amp;"CY2021Q3",Spectrum!$Q:$Q,0)),0),"")</f>
        <v>3</v>
      </c>
      <c r="Q63" s="123" t="n">
        <f aca="false">_xlfn.IFNA(INDEX(Spectrum!$P:$P,MATCH(RIGHT($B63,13)&amp;"|"&amp;$C63&amp;"|"&amp;$D63&amp;"|"&amp;P$14&amp;"|"&amp;"CY2021Q3",Spectrum!$Q:$Q,0)),"")</f>
        <v>28</v>
      </c>
      <c r="R63" s="115"/>
      <c r="S63" s="123" t="str">
        <f aca="false">IF(OR(SUM($P63)&lt;=0,SUM($R63)&lt;=0),"",SUM($R63)/$P63)</f>
        <v/>
      </c>
      <c r="T63" s="139" t="n">
        <v>48</v>
      </c>
      <c r="U63" s="124" t="n">
        <v>2</v>
      </c>
      <c r="V63" s="124" t="n">
        <f aca="false">IF($U63-$T63=0,"",$U63-$T63)</f>
        <v>-46</v>
      </c>
      <c r="W63" s="123" t="n">
        <f aca="false">IF(LEFT($B63,4)="_Mil","",IFERROR(MIN(IF(SUM($N63)&lt;=0,SUM($U63)/SUM($P63),SUM($T63)/SUM($N63)),1),""))</f>
        <v>0.666666666666667</v>
      </c>
      <c r="X63" s="123" t="n">
        <f aca="false">$W63</f>
        <v>0.666666666666667</v>
      </c>
      <c r="Y63" s="123" t="n">
        <f aca="false">IFERROR(1/(1/INDEX(Spectrum!$N:$N,MATCH(RIGHT($B63,13)&amp;"|"&amp;$C63&amp;"|"&amp;$D63&amp;"|"&amp;Y$14&amp;"|"&amp;"CY2021Q3",Spectrum!$Q:$Q,0))),IF(SUM($H63)=0,"",MAX(SUM($P63),SUM($U63))/SUM($H63)))</f>
        <v>0.5</v>
      </c>
      <c r="Z63" s="123" t="n">
        <f aca="false">IF(SUM($Y63)=0,"",MAX(SUM($Y63),90%))</f>
        <v>0.9</v>
      </c>
      <c r="AA63" s="115" t="n">
        <f aca="false">IF(LEFT($B63,4)="_Mil","",ROUND(MAX(SUM($U63),SUM($P63))+IF(SUM($Z63)=0,0,MAX(SUM($Z63)-SUM($Y63),0)*SUM($H63)),0))</f>
        <v>5</v>
      </c>
      <c r="AB63" s="115" t="n">
        <f aca="false">IF(SUM($AA63)=0,"",ROUND(MAX(SUM($AA63)-MAX(SUM($P63),SUM($U63)),0),0))</f>
        <v>2</v>
      </c>
      <c r="AC63" s="126" t="n">
        <f aca="false">IF($C63="&lt;01",IFERROR(ROUND(INDEX(EID!$N:$N,MATCH($B63,EID!$B:$B,0))/2,0),""),"")</f>
        <v>730</v>
      </c>
      <c r="AD63" s="115" t="n">
        <f aca="false">IF($C63="&lt;01",IF(SUM($AC63)=0,"",ROUND(SUM($AC63)/$AG63,0)),IF(SUM($AB63)=0,"",ROUND(MAX($X63,0)*SUM($AB63),0)))</f>
        <v>745</v>
      </c>
      <c r="AE63" s="115" t="n">
        <f aca="false">IF(AND(SUM($AD63)=0,SUM($U63)=0),"",ROUND(IF($C63="&lt;01",0,SUM($U63))+SUM($AD63),0))</f>
        <v>745</v>
      </c>
      <c r="AF63" s="122" t="str">
        <f aca="false">IF($C63="&lt;01","",100%)</f>
        <v/>
      </c>
      <c r="AG63" s="123" t="n">
        <f aca="false">0.98</f>
        <v>0.98</v>
      </c>
      <c r="AH63" s="123" t="n">
        <f aca="false">0.98</f>
        <v>0.98</v>
      </c>
      <c r="AI63" s="124" t="str">
        <f aca="false">IF(OR($C63="&lt;01",SUM($U63)=0),"",ROUND(SUM($U63)*(1-$AH63),0))</f>
        <v/>
      </c>
      <c r="AJ63" s="124" t="n">
        <f aca="false">IF(AND(SUM($AE63)=0,SUM($U63)=0),"",IF($C63="&lt;01",SUM($AD63),SUM($AE63) - ROUND(SUM($U63)*$AH63,0)))</f>
        <v>745</v>
      </c>
      <c r="AK63" s="124" t="n">
        <v>24</v>
      </c>
      <c r="AL63" s="124" t="n">
        <v>9</v>
      </c>
      <c r="AM63" s="115" t="n">
        <f aca="false">IF(AND(SUM($AD63)=0,SUM($U63)=0),"",IF($C63="&lt;01",SUM($AD63),ROUND(ROUND(SUM($AJ63)*$AF63,0)/$AG63,0)))</f>
        <v>745</v>
      </c>
      <c r="AN63" s="122" t="n">
        <f aca="false">0.7</f>
        <v>0.7</v>
      </c>
      <c r="AO63" s="123" t="n">
        <f aca="false">1</f>
        <v>1</v>
      </c>
      <c r="AP63" s="115" t="n">
        <f aca="false">IF(AND(SUM($U63)=0,SUM($AM63)=0),"",ROUND((SUM($AM63)*$AN63+IF($C63="&lt;01",0,$U63))*$AO63,0))</f>
        <v>522</v>
      </c>
      <c r="AQ63" s="122"/>
      <c r="AR63" s="123" t="n">
        <f aca="false">0.95</f>
        <v>0.95</v>
      </c>
      <c r="AS63" s="123" t="n">
        <f aca="false">0.95</f>
        <v>0.95</v>
      </c>
      <c r="AT63" s="115" t="n">
        <f aca="false">IF(SUM($AP63)=0,"",ROUND(SUM($AP63)*$AR63,0))</f>
        <v>496</v>
      </c>
      <c r="AU63" s="115" t="n">
        <f aca="false">IF(LEFT($B63,4)="_Mil","",ROUND(SUM($AA63)*SUM($AS63),0))</f>
        <v>5</v>
      </c>
      <c r="AV63" s="124" t="n">
        <f aca="false">IF(SUM($AU63)&lt;=0,"",MAX(SUM($AU63)-SUM($R63),0))</f>
        <v>5</v>
      </c>
      <c r="AW63" s="122" t="n">
        <f aca="false">0</f>
        <v>0</v>
      </c>
      <c r="AX63" s="124" t="n">
        <f aca="false">IF(SUM($AM63)=0,"",ROUND(SUM($AM63)*SUM($AW63),0))</f>
        <v>0</v>
      </c>
      <c r="AY63" s="124" t="n">
        <f aca="false">IF(SUM($AM63)=0,"",SUM($AM63)-SUM($AX63))</f>
        <v>745</v>
      </c>
      <c r="AZ63" s="123"/>
      <c r="BA63" s="123" t="n">
        <f aca="false">0.95</f>
        <v>0.95</v>
      </c>
      <c r="BB63" s="123"/>
      <c r="BC63" s="123" t="str">
        <f aca="false">IF(OR(SUM($AM63)&lt;=0,$C63="&lt;01"),"",MAX(IF(OR(SUM($Y63)&lt;70%,LEFT($B63,4)="_Mil"),30%,IF(SUM($Y63)&gt;=80%,75%,50%)),SUM($BB63)))</f>
        <v/>
      </c>
      <c r="BD63" s="115" t="n">
        <f aca="false">IF($C63="&lt;01",IFERROR(ROUND(INDEX(EID!$M:$M,MATCH($B63,EID!$B:$B,0)),0)/2,""),IF(SUM($AY63)=0,"",ROUND(SUM($AY63)/SUM($BA63),0)))</f>
        <v>768</v>
      </c>
      <c r="BE63" s="115" t="str">
        <f aca="false">IF($C63="&lt;01","",IF(SUM($BD63)=0,"",ROUND(SUM($BD63)*SUM($BC63),0)))</f>
        <v/>
      </c>
      <c r="BF63" s="115" t="str">
        <f aca="false">_xlfn.IFNA(INDEX(PMTCT!$AE:$AE,MATCH($E63,PMTCT!$E:$E,0)),"")</f>
        <v/>
      </c>
      <c r="BG63" s="115" t="str">
        <f aca="false">_xlfn.IFNA(INDEX(PMTCT!$AU:$AU,MATCH($E63,PMTCT!$E:$E,0)),"")</f>
        <v/>
      </c>
      <c r="BH63" s="115" t="str">
        <f aca="false">_xlfn.IFNA(INDEX(TB!$Q:$Q,MATCH($E63,TB!$E:$E,0)),"")</f>
        <v/>
      </c>
      <c r="BI63" s="115" t="str">
        <f aca="false">_xlfn.IFNA(INDEX(VMMC!$AC:$AC,MATCH($E63,VMMC!$E:$E,0)),"")</f>
        <v/>
      </c>
      <c r="BJ63" s="115" t="n">
        <f aca="false">IF($C63="&lt;01",$BD63,"")</f>
        <v>768</v>
      </c>
      <c r="BK63" s="115" t="n">
        <f aca="false">IF(SUM($BD63)=0,"",($BD63)-SUM($BE63:$BJ63))</f>
        <v>0</v>
      </c>
      <c r="BL63" s="123" t="str">
        <f aca="false">IF(OR(SUM($BD63)=0,SUM($BE63)=0),"",SUM($BE63)/$BD63)</f>
        <v/>
      </c>
      <c r="BM63" s="123" t="str">
        <f aca="false">IF(OR(SUM($BD63)=0,SUM($BF63)=0),"",SUM($BF63)/$BD63)</f>
        <v/>
      </c>
      <c r="BN63" s="123" t="str">
        <f aca="false">IF(OR(SUM($BD63)=0,SUM($BG63)=0),"",SUM($BG63)/$BD63)</f>
        <v/>
      </c>
      <c r="BO63" s="123" t="str">
        <f aca="false">IF(OR(SUM($BD63)=0,SUM($BH63)=0),"",SUM($BH63)/$BD63)</f>
        <v/>
      </c>
      <c r="BP63" s="123" t="str">
        <f aca="false">IF(OR(SUM($BD63)=0,SUM($BI63)=0),"",SUM($BI63)/$BD63)</f>
        <v/>
      </c>
      <c r="BQ63" s="123" t="n">
        <f aca="false">IF(AND($C63="&lt;01",SUM($BJ63)&lt;&gt;0),$BJ63/SUM($BD63),"")</f>
        <v>1</v>
      </c>
      <c r="BR63" s="123" t="str">
        <f aca="false">IF(OR(SUM($BD63)=0,SUM($BK63)=0),"",SUM($BK63)/$BD63)</f>
        <v/>
      </c>
      <c r="BS63" s="122" t="n">
        <f aca="false">IF(SUM($X63)&lt;=0,"",$X63)</f>
        <v>0.666666666666667</v>
      </c>
      <c r="BT63" s="115" t="n">
        <f aca="false">IF(LEFT($B63,4)="_Mil","",MAX(SUM($L63)+ROUND(SUM($BD63)/IF(SUM($BS63)&lt;=0,1,SUM($BS63)),0),0))</f>
        <v>1155</v>
      </c>
    </row>
    <row r="64" customFormat="false" ht="15" hidden="false" customHeight="false" outlineLevel="0" collapsed="false">
      <c r="A64" s="0" t="s">
        <v>143</v>
      </c>
      <c r="B64" s="0" t="s">
        <v>115</v>
      </c>
      <c r="C64" s="0" t="s">
        <v>89</v>
      </c>
      <c r="D64" s="0" t="s">
        <v>58</v>
      </c>
      <c r="E64" s="0" t="str">
        <f aca="false">B64&amp;"|"&amp;C64&amp;"|"&amp;D64</f>
        <v>Butha Buthe [#SNU] [mvPRqBFtVC0]|&lt;01|Male</v>
      </c>
      <c r="F64" s="115" t="n">
        <f aca="false">_xlfn.IFNA(ROUND(INDEX(Spectrum!$N:$N,MATCH(RIGHT($B64,13)&amp;"|"&amp;$C64&amp;"|"&amp;$D64&amp;"|"&amp;F$14&amp;"|"&amp;"CY2021Q3",Spectrum!$Q:$Q,0)),0),"")</f>
        <v>1042</v>
      </c>
      <c r="G64" s="123" t="n">
        <f aca="false">_xlfn.IFNA(INDEX(Spectrum!$P:$P,MATCH(RIGHT($B64,13)&amp;"|"&amp;$C64&amp;"|"&amp;$D64&amp;"|"&amp;F$14&amp;"|"&amp;"CY2021Q3",Spectrum!$Q:$Q,0)),"")</f>
        <v>35</v>
      </c>
      <c r="H64" s="115" t="n">
        <f aca="false">_xlfn.IFNA(ROUND(INDEX(Spectrum!$N:$N,MATCH(RIGHT($B64,13)&amp;"|"&amp;$C64&amp;"|"&amp;$D64&amp;"|"&amp;H$14&amp;"|"&amp;"CY2021Q3",Spectrum!$Q:$Q,0)),0),"")</f>
        <v>6</v>
      </c>
      <c r="I64" s="123" t="n">
        <f aca="false">_xlfn.IFNA(INDEX(Spectrum!$P:$P,MATCH(RIGHT($B64,13)&amp;"|"&amp;$C64&amp;"|"&amp;$D64&amp;"|"&amp;H$14&amp;"|"&amp;"CY2021Q3",Spectrum!$Q:$Q,0)),"")</f>
        <v>14</v>
      </c>
      <c r="J64" s="117" t="n">
        <f aca="false">_xlfn.IFNA(INDEX(Spectrum!$N:$N,MATCH(RIGHT($B64,13)&amp;"|"&amp;$C64&amp;"|"&amp;$D64&amp;"|"&amp;J$14&amp;"|"&amp;"CY2021Q3",Spectrum!$Q:$Q,0)),"")</f>
        <v>0.0057435</v>
      </c>
      <c r="K64" s="123" t="n">
        <f aca="false">_xlfn.IFNA(INDEX(Spectrum!$P:$P,MATCH(RIGHT($B64,13)&amp;"|"&amp;$C64&amp;"|"&amp;$D64&amp;"|"&amp;J$14&amp;"|"&amp;"CY2021Q3",Spectrum!$Q:$Q,0)),"")</f>
        <v>21</v>
      </c>
      <c r="L64" s="115" t="n">
        <f aca="false">_xlfn.IFNA(ROUND(INDEX(Spectrum!$N:$N,MATCH(RIGHT($B64,13)&amp;"|"&amp;$C64&amp;"|"&amp;$D64&amp;"|"&amp;L$14&amp;"|"&amp;"CY2021Q3",Spectrum!$Q:$Q,0)),0),"")</f>
        <v>3</v>
      </c>
      <c r="M64" s="123" t="n">
        <f aca="false">IF(OR(SUM($H64)&lt;=0,SUM($L64)&lt;=0),"",SUM($L64)/$H64)</f>
        <v>0.5</v>
      </c>
      <c r="N64" s="115" t="str">
        <f aca="false">_xlfn.IFNA(ROUND(INDEX(Spectrum!$N:$N,MATCH(RIGHT($B64,13)&amp;"|"&amp;$C64&amp;"|"&amp;$D64&amp;"|"&amp;N$14&amp;"|"&amp;"CY2020Q4",Spectrum!$Q:$Q,0)),0),"")</f>
        <v/>
      </c>
      <c r="O64" s="123" t="str">
        <f aca="false">_xlfn.IFNA(INDEX(Spectrum!$P:$P,MATCH(RIGHT($B64,13)&amp;"|"&amp;$C64&amp;"|"&amp;$D64&amp;"|"&amp;N$14&amp;"|"&amp;"CY2020Q4",Spectrum!$Q:$Q,0)),"")</f>
        <v/>
      </c>
      <c r="P64" s="115" t="n">
        <f aca="false">_xlfn.IFNA(ROUND(INDEX(Spectrum!$N:$N,MATCH(RIGHT($B64,13)&amp;"|"&amp;$C64&amp;"|"&amp;$D64&amp;"|"&amp;P$14&amp;"|"&amp;"CY2021Q3",Spectrum!$Q:$Q,0)),0),"")</f>
        <v>3</v>
      </c>
      <c r="Q64" s="123" t="n">
        <f aca="false">_xlfn.IFNA(INDEX(Spectrum!$P:$P,MATCH(RIGHT($B64,13)&amp;"|"&amp;$C64&amp;"|"&amp;$D64&amp;"|"&amp;P$14&amp;"|"&amp;"CY2021Q3",Spectrum!$Q:$Q,0)),"")</f>
        <v>18</v>
      </c>
      <c r="R64" s="115"/>
      <c r="S64" s="123" t="str">
        <f aca="false">IF(OR(SUM($P64)&lt;=0,SUM($R64)&lt;=0),"",SUM($R64)/$P64)</f>
        <v/>
      </c>
      <c r="T64" s="139" t="n">
        <v>28</v>
      </c>
      <c r="U64" s="124" t="n">
        <v>43</v>
      </c>
      <c r="V64" s="124" t="n">
        <f aca="false">IF($U64-$T64=0,"",$U64-$T64)</f>
        <v>15</v>
      </c>
      <c r="W64" s="123" t="n">
        <f aca="false">IF(LEFT($B64,4)="_Mil","",IFERROR(MIN(IF(SUM($N64)&lt;=0,SUM($U64)/SUM($P64),SUM($T64)/SUM($N64)),1),""))</f>
        <v>1</v>
      </c>
      <c r="X64" s="123" t="n">
        <f aca="false">$W64</f>
        <v>1</v>
      </c>
      <c r="Y64" s="123" t="n">
        <f aca="false">IFERROR(1/(1/INDEX(Spectrum!$N:$N,MATCH(RIGHT($B64,13)&amp;"|"&amp;$C64&amp;"|"&amp;$D64&amp;"|"&amp;Y$14&amp;"|"&amp;"CY2021Q3",Spectrum!$Q:$Q,0))),IF(SUM($H64)=0,"",MAX(SUM($P64),SUM($U64))/SUM($H64)))</f>
        <v>7.16666666666667</v>
      </c>
      <c r="Z64" s="123" t="n">
        <f aca="false">IF(SUM($Y64)=0,"",MAX(SUM($Y64),90%))</f>
        <v>7.16666666666667</v>
      </c>
      <c r="AA64" s="115" t="n">
        <f aca="false">IF(LEFT($B64,4)="_Mil","",ROUND(MAX(SUM($U64),SUM($P64))+IF(SUM($Z64)=0,0,MAX(SUM($Z64)-SUM($Y64),0)*SUM($H64)),0))</f>
        <v>43</v>
      </c>
      <c r="AB64" s="115" t="n">
        <f aca="false">IF(SUM($AA64)=0,"",ROUND(MAX(SUM($AA64)-MAX(SUM($P64),SUM($U64)),0),0))</f>
        <v>0</v>
      </c>
      <c r="AC64" s="126" t="n">
        <f aca="false">IF($C64="&lt;01",IFERROR(ROUND(INDEX(EID!$N:$N,MATCH($B64,EID!$B:$B,0))/2,0),""),"")</f>
        <v>730</v>
      </c>
      <c r="AD64" s="115" t="n">
        <f aca="false">IF($C64="&lt;01",IF(SUM($AC64)=0,"",ROUND(SUM($AC64)/$AG64,0)),IF(SUM($AB64)=0,"",ROUND(MAX($X64,0)*SUM($AB64),0)))</f>
        <v>745</v>
      </c>
      <c r="AE64" s="115" t="n">
        <f aca="false">IF(AND(SUM($AD64)=0,SUM($U64)=0),"",ROUND(IF($C64="&lt;01",0,SUM($U64))+SUM($AD64),0))</f>
        <v>745</v>
      </c>
      <c r="AF64" s="122" t="str">
        <f aca="false">IF($C64="&lt;01","",100%)</f>
        <v/>
      </c>
      <c r="AG64" s="123" t="n">
        <f aca="false">0.98</f>
        <v>0.98</v>
      </c>
      <c r="AH64" s="123" t="n">
        <f aca="false">0.98</f>
        <v>0.98</v>
      </c>
      <c r="AI64" s="124" t="str">
        <f aca="false">IF(OR($C64="&lt;01",SUM($U64)=0),"",ROUND(SUM($U64)*(1-$AH64),0))</f>
        <v/>
      </c>
      <c r="AJ64" s="124" t="n">
        <f aca="false">IF(AND(SUM($AE64)=0,SUM($U64)=0),"",IF($C64="&lt;01",SUM($AD64),SUM($AE64) - ROUND(SUM($U64)*$AH64,0)))</f>
        <v>745</v>
      </c>
      <c r="AK64" s="124" t="n">
        <v>14</v>
      </c>
      <c r="AL64" s="124" t="n">
        <v>49</v>
      </c>
      <c r="AM64" s="115" t="n">
        <f aca="false">IF(AND(SUM($AD64)=0,SUM($U64)=0),"",IF($C64="&lt;01",SUM($AD64),ROUND(ROUND(SUM($AJ64)*$AF64,0)/$AG64,0)))</f>
        <v>745</v>
      </c>
      <c r="AN64" s="122" t="n">
        <f aca="false">0.7</f>
        <v>0.7</v>
      </c>
      <c r="AO64" s="123" t="n">
        <f aca="false">1</f>
        <v>1</v>
      </c>
      <c r="AP64" s="115" t="n">
        <f aca="false">IF(AND(SUM($U64)=0,SUM($AM64)=0),"",ROUND((SUM($AM64)*$AN64+IF($C64="&lt;01",0,$U64))*$AO64,0))</f>
        <v>522</v>
      </c>
      <c r="AQ64" s="122" t="n">
        <v>35</v>
      </c>
      <c r="AR64" s="123" t="n">
        <f aca="false">0.95</f>
        <v>0.95</v>
      </c>
      <c r="AS64" s="123" t="n">
        <f aca="false">0.95</f>
        <v>0.95</v>
      </c>
      <c r="AT64" s="115" t="n">
        <f aca="false">IF(SUM($AP64)=0,"",ROUND(SUM($AP64)*$AR64,0))</f>
        <v>496</v>
      </c>
      <c r="AU64" s="115" t="n">
        <f aca="false">IF(LEFT($B64,4)="_Mil","",ROUND(SUM($AA64)*SUM($AS64),0))</f>
        <v>41</v>
      </c>
      <c r="AV64" s="124" t="n">
        <f aca="false">IF(SUM($AU64)&lt;=0,"",MAX(SUM($AU64)-SUM($R64),0))</f>
        <v>41</v>
      </c>
      <c r="AW64" s="122" t="n">
        <f aca="false">0</f>
        <v>0</v>
      </c>
      <c r="AX64" s="124" t="n">
        <f aca="false">IF(SUM($AM64)=0,"",ROUND(SUM($AM64)*SUM($AW64),0))</f>
        <v>0</v>
      </c>
      <c r="AY64" s="124" t="n">
        <f aca="false">IF(SUM($AM64)=0,"",SUM($AM64)-SUM($AX64))</f>
        <v>745</v>
      </c>
      <c r="AZ64" s="123"/>
      <c r="BA64" s="123" t="n">
        <f aca="false">0.95</f>
        <v>0.95</v>
      </c>
      <c r="BB64" s="123"/>
      <c r="BC64" s="123" t="str">
        <f aca="false">IF(OR(SUM($AM64)&lt;=0,$C64="&lt;01"),"",MAX(IF(OR(SUM($Y64)&lt;70%,LEFT($B64,4)="_Mil"),30%,IF(SUM($Y64)&gt;=80%,75%,50%)),SUM($BB64)))</f>
        <v/>
      </c>
      <c r="BD64" s="115" t="n">
        <f aca="false">IF($C64="&lt;01",IFERROR(ROUND(INDEX(EID!$M:$M,MATCH($B64,EID!$B:$B,0)),0)/2,""),IF(SUM($AY64)=0,"",ROUND(SUM($AY64)/SUM($BA64),0)))</f>
        <v>768</v>
      </c>
      <c r="BE64" s="115" t="str">
        <f aca="false">IF($C64="&lt;01","",IF(SUM($BD64)=0,"",ROUND(SUM($BD64)*SUM($BC64),0)))</f>
        <v/>
      </c>
      <c r="BF64" s="115" t="str">
        <f aca="false">_xlfn.IFNA(INDEX(PMTCT!$AE:$AE,MATCH($E64,PMTCT!$E:$E,0)),"")</f>
        <v/>
      </c>
      <c r="BG64" s="115" t="str">
        <f aca="false">_xlfn.IFNA(INDEX(PMTCT!$AU:$AU,MATCH($E64,PMTCT!$E:$E,0)),"")</f>
        <v/>
      </c>
      <c r="BH64" s="115" t="str">
        <f aca="false">_xlfn.IFNA(INDEX(TB!$Q:$Q,MATCH($E64,TB!$E:$E,0)),"")</f>
        <v/>
      </c>
      <c r="BI64" s="115" t="str">
        <f aca="false">_xlfn.IFNA(INDEX(VMMC!$AC:$AC,MATCH($E64,VMMC!$E:$E,0)),"")</f>
        <v/>
      </c>
      <c r="BJ64" s="115" t="n">
        <f aca="false">IF($C64="&lt;01",$BD64,"")</f>
        <v>768</v>
      </c>
      <c r="BK64" s="115" t="n">
        <f aca="false">IF(SUM($BD64)=0,"",($BD64)-SUM($BE64:$BJ64))</f>
        <v>0</v>
      </c>
      <c r="BL64" s="123" t="str">
        <f aca="false">IF(OR(SUM($BD64)=0,SUM($BE64)=0),"",SUM($BE64)/$BD64)</f>
        <v/>
      </c>
      <c r="BM64" s="123" t="str">
        <f aca="false">IF(OR(SUM($BD64)=0,SUM($BF64)=0),"",SUM($BF64)/$BD64)</f>
        <v/>
      </c>
      <c r="BN64" s="123" t="str">
        <f aca="false">IF(OR(SUM($BD64)=0,SUM($BG64)=0),"",SUM($BG64)/$BD64)</f>
        <v/>
      </c>
      <c r="BO64" s="123" t="str">
        <f aca="false">IF(OR(SUM($BD64)=0,SUM($BH64)=0),"",SUM($BH64)/$BD64)</f>
        <v/>
      </c>
      <c r="BP64" s="123" t="str">
        <f aca="false">IF(OR(SUM($BD64)=0,SUM($BI64)=0),"",SUM($BI64)/$BD64)</f>
        <v/>
      </c>
      <c r="BQ64" s="123" t="n">
        <f aca="false">IF(AND($C64="&lt;01",SUM($BJ64)&lt;&gt;0),$BJ64/SUM($BD64),"")</f>
        <v>1</v>
      </c>
      <c r="BR64" s="123" t="str">
        <f aca="false">IF(OR(SUM($BD64)=0,SUM($BK64)=0),"",SUM($BK64)/$BD64)</f>
        <v/>
      </c>
      <c r="BS64" s="122" t="n">
        <f aca="false">IF(SUM($X64)&lt;=0,"",$X64)</f>
        <v>1</v>
      </c>
      <c r="BT64" s="115" t="n">
        <f aca="false">IF(LEFT($B64,4)="_Mil","",MAX(SUM($L64)+ROUND(SUM($BD64)/IF(SUM($BS64)&lt;=0,1,SUM($BS64)),0),0))</f>
        <v>771</v>
      </c>
    </row>
    <row r="65" customFormat="false" ht="15" hidden="false" customHeight="false" outlineLevel="0" collapsed="false">
      <c r="A65" s="0" t="s">
        <v>143</v>
      </c>
      <c r="B65" s="0" t="s">
        <v>115</v>
      </c>
      <c r="C65" s="0" t="s">
        <v>54</v>
      </c>
      <c r="D65" s="0" t="s">
        <v>56</v>
      </c>
      <c r="E65" s="0" t="str">
        <f aca="false">B65&amp;"|"&amp;C65&amp;"|"&amp;D65</f>
        <v>Butha Buthe [#SNU] [mvPRqBFtVC0]|01-04|Female</v>
      </c>
      <c r="F65" s="115" t="n">
        <f aca="false">_xlfn.IFNA(ROUND(INDEX(Spectrum!$N:$N,MATCH(RIGHT($B65,13)&amp;"|"&amp;$C65&amp;"|"&amp;$D65&amp;"|"&amp;F$14&amp;"|"&amp;"CY2021Q3",Spectrum!$Q:$Q,0)),0),"")</f>
        <v>4893</v>
      </c>
      <c r="G65" s="123" t="n">
        <f aca="false">_xlfn.IFNA(INDEX(Spectrum!$P:$P,MATCH(RIGHT($B65,13)&amp;"|"&amp;$C65&amp;"|"&amp;$D65&amp;"|"&amp;F$14&amp;"|"&amp;"CY2021Q3",Spectrum!$Q:$Q,0)),"")</f>
        <v>6</v>
      </c>
      <c r="H65" s="115" t="n">
        <f aca="false">_xlfn.IFNA(ROUND(INDEX(Spectrum!$N:$N,MATCH(RIGHT($B65,13)&amp;"|"&amp;$C65&amp;"|"&amp;$D65&amp;"|"&amp;H$14&amp;"|"&amp;"CY2021Q3",Spectrum!$Q:$Q,0)),0),"")</f>
        <v>29</v>
      </c>
      <c r="I65" s="123" t="n">
        <f aca="false">_xlfn.IFNA(INDEX(Spectrum!$P:$P,MATCH(RIGHT($B65,13)&amp;"|"&amp;$C65&amp;"|"&amp;$D65&amp;"|"&amp;H$14&amp;"|"&amp;"CY2021Q3",Spectrum!$Q:$Q,0)),"")</f>
        <v>2</v>
      </c>
      <c r="J65" s="117" t="n">
        <f aca="false">_xlfn.IFNA(INDEX(Spectrum!$N:$N,MATCH(RIGHT($B65,13)&amp;"|"&amp;$C65&amp;"|"&amp;$D65&amp;"|"&amp;J$14&amp;"|"&amp;"CY2021Q3",Spectrum!$Q:$Q,0)),"")</f>
        <v>0.0059658</v>
      </c>
      <c r="K65" s="123" t="n">
        <f aca="false">_xlfn.IFNA(INDEX(Spectrum!$P:$P,MATCH(RIGHT($B65,13)&amp;"|"&amp;$C65&amp;"|"&amp;$D65&amp;"|"&amp;J$14&amp;"|"&amp;"CY2021Q3",Spectrum!$Q:$Q,0)),"")</f>
        <v>17</v>
      </c>
      <c r="L65" s="115" t="n">
        <f aca="false">_xlfn.IFNA(ROUND(INDEX(Spectrum!$N:$N,MATCH(RIGHT($B65,13)&amp;"|"&amp;$C65&amp;"|"&amp;$D65&amp;"|"&amp;L$14&amp;"|"&amp;"CY2021Q3",Spectrum!$Q:$Q,0)),0),"")</f>
        <v>13</v>
      </c>
      <c r="M65" s="123" t="n">
        <f aca="false">IF(OR(SUM($H65)&lt;=0,SUM($L65)&lt;=0),"",SUM($L65)/$H65)</f>
        <v>0.448275862068966</v>
      </c>
      <c r="N65" s="115" t="str">
        <f aca="false">_xlfn.IFNA(ROUND(INDEX(Spectrum!$N:$N,MATCH(RIGHT($B65,13)&amp;"|"&amp;$C65&amp;"|"&amp;$D65&amp;"|"&amp;N$14&amp;"|"&amp;"CY2020Q4",Spectrum!$Q:$Q,0)),0),"")</f>
        <v/>
      </c>
      <c r="O65" s="123" t="str">
        <f aca="false">_xlfn.IFNA(INDEX(Spectrum!$P:$P,MATCH(RIGHT($B65,13)&amp;"|"&amp;$C65&amp;"|"&amp;$D65&amp;"|"&amp;N$14&amp;"|"&amp;"CY2020Q4",Spectrum!$Q:$Q,0)),"")</f>
        <v/>
      </c>
      <c r="P65" s="115" t="n">
        <f aca="false">_xlfn.IFNA(ROUND(INDEX(Spectrum!$N:$N,MATCH(RIGHT($B65,13)&amp;"|"&amp;$C65&amp;"|"&amp;$D65&amp;"|"&amp;P$14&amp;"|"&amp;"CY2021Q3",Spectrum!$Q:$Q,0)),0),"")</f>
        <v>15</v>
      </c>
      <c r="Q65" s="123" t="n">
        <f aca="false">_xlfn.IFNA(INDEX(Spectrum!$P:$P,MATCH(RIGHT($B65,13)&amp;"|"&amp;$C65&amp;"|"&amp;$D65&amp;"|"&amp;P$14&amp;"|"&amp;"CY2021Q3",Spectrum!$Q:$Q,0)),"")</f>
        <v>44</v>
      </c>
      <c r="R65" s="115"/>
      <c r="S65" s="123" t="str">
        <f aca="false">IF(OR(SUM($P65)&lt;=0,SUM($R65)&lt;=0),"",SUM($R65)/$P65)</f>
        <v/>
      </c>
      <c r="T65" s="139" t="n">
        <v>28</v>
      </c>
      <c r="U65" s="124" t="n">
        <v>37</v>
      </c>
      <c r="V65" s="124" t="n">
        <f aca="false">IF($U65-$T65=0,"",$U65-$T65)</f>
        <v>9</v>
      </c>
      <c r="W65" s="123" t="n">
        <f aca="false">IF(LEFT($B65,4)="_Mil","",IFERROR(MIN(IF(SUM($N65)&lt;=0,SUM($U65)/SUM($P65),SUM($T65)/SUM($N65)),1),""))</f>
        <v>1</v>
      </c>
      <c r="X65" s="123" t="n">
        <f aca="false">$W65</f>
        <v>1</v>
      </c>
      <c r="Y65" s="123" t="n">
        <f aca="false">IFERROR(1/(1/INDEX(Spectrum!$N:$N,MATCH(RIGHT($B65,13)&amp;"|"&amp;$C65&amp;"|"&amp;$D65&amp;"|"&amp;Y$14&amp;"|"&amp;"CY2021Q3",Spectrum!$Q:$Q,0))),IF(SUM($H65)=0,"",MAX(SUM($P65),SUM($U65))/SUM($H65)))</f>
        <v>1.27586206896552</v>
      </c>
      <c r="Z65" s="123" t="n">
        <f aca="false">IF(SUM($Y65)=0,"",MAX(SUM($Y65),90%))</f>
        <v>1.27586206896552</v>
      </c>
      <c r="AA65" s="115" t="n">
        <f aca="false">IF(LEFT($B65,4)="_Mil","",ROUND(MAX(SUM($U65),SUM($P65))+IF(SUM($Z65)=0,0,MAX(SUM($Z65)-SUM($Y65),0)*SUM($H65)),0))</f>
        <v>37</v>
      </c>
      <c r="AB65" s="115" t="n">
        <f aca="false">IF(SUM($AA65)=0,"",ROUND(MAX(SUM($AA65)-MAX(SUM($P65),SUM($U65)),0),0))</f>
        <v>0</v>
      </c>
      <c r="AC65" s="126" t="str">
        <f aca="false">IF($C65="&lt;01",IFERROR(ROUND(INDEX(EID!$N:$N,MATCH($B65,EID!$B:$B,0))/2,0),""),"")</f>
        <v/>
      </c>
      <c r="AD65" s="115" t="str">
        <f aca="false">IF($C65="&lt;01",IF(SUM($AC65)=0,"",ROUND(SUM($AC65)/$AG65,0)),IF(SUM($AB65)=0,"",ROUND(MAX($X65,0)*SUM($AB65),0)))</f>
        <v/>
      </c>
      <c r="AE65" s="115" t="n">
        <f aca="false">IF(AND(SUM($AD65)=0,SUM($U65)=0),"",ROUND(IF($C65="&lt;01",0,SUM($U65))+SUM($AD65),0))</f>
        <v>37</v>
      </c>
      <c r="AF65" s="122" t="n">
        <f aca="false">IF($C65="&lt;01","",100%)</f>
        <v>1</v>
      </c>
      <c r="AG65" s="123" t="n">
        <f aca="false">0.98</f>
        <v>0.98</v>
      </c>
      <c r="AH65" s="123" t="n">
        <f aca="false">0.98</f>
        <v>0.98</v>
      </c>
      <c r="AI65" s="124" t="n">
        <f aca="false">IF(OR($C65="&lt;01",SUM($U65)=0),"",ROUND(SUM($U65)*(1-$AH65),0))</f>
        <v>1</v>
      </c>
      <c r="AJ65" s="124" t="n">
        <f aca="false">IF(AND(SUM($AE65)=0,SUM($U65)=0),"",IF($C65="&lt;01",SUM($AD65),SUM($AE65) - ROUND(SUM($U65)*$AH65,0)))</f>
        <v>1</v>
      </c>
      <c r="AK65" s="124" t="n">
        <v>47</v>
      </c>
      <c r="AL65" s="124" t="n">
        <v>22</v>
      </c>
      <c r="AM65" s="115" t="n">
        <f aca="false">IF(AND(SUM($AD65)=0,SUM($U65)=0),"",IF($C65="&lt;01",SUM($AD65),ROUND(ROUND(SUM($AJ65)*$AF65,0)/$AG65,0)))</f>
        <v>1</v>
      </c>
      <c r="AN65" s="122" t="n">
        <f aca="false">0.7</f>
        <v>0.7</v>
      </c>
      <c r="AO65" s="123" t="n">
        <f aca="false">1</f>
        <v>1</v>
      </c>
      <c r="AP65" s="115" t="n">
        <f aca="false">IF(AND(SUM($U65)=0,SUM($AM65)=0),"",ROUND((SUM($AM65)*$AN65+IF($C65="&lt;01",0,$U65))*$AO65,0))</f>
        <v>38</v>
      </c>
      <c r="AQ65" s="122" t="n">
        <v>37</v>
      </c>
      <c r="AR65" s="123" t="n">
        <f aca="false">0.95</f>
        <v>0.95</v>
      </c>
      <c r="AS65" s="123" t="n">
        <f aca="false">0.95</f>
        <v>0.95</v>
      </c>
      <c r="AT65" s="115" t="n">
        <f aca="false">IF(SUM($AP65)=0,"",ROUND(SUM($AP65)*$AR65,0))</f>
        <v>36</v>
      </c>
      <c r="AU65" s="115" t="n">
        <f aca="false">IF(LEFT($B65,4)="_Mil","",ROUND(SUM($AA65)*SUM($AS65),0))</f>
        <v>35</v>
      </c>
      <c r="AV65" s="124" t="n">
        <f aca="false">IF(SUM($AU65)&lt;=0,"",MAX(SUM($AU65)-SUM($R65),0))</f>
        <v>35</v>
      </c>
      <c r="AW65" s="122" t="n">
        <f aca="false">0</f>
        <v>0</v>
      </c>
      <c r="AX65" s="124" t="n">
        <f aca="false">IF(SUM($AM65)=0,"",ROUND(SUM($AM65)*SUM($AW65),0))</f>
        <v>0</v>
      </c>
      <c r="AY65" s="124" t="n">
        <f aca="false">IF(SUM($AM65)=0,"",SUM($AM65)-SUM($AX65))</f>
        <v>1</v>
      </c>
      <c r="AZ65" s="123" t="n">
        <v>37</v>
      </c>
      <c r="BA65" s="123" t="n">
        <f aca="false">0.95</f>
        <v>0.95</v>
      </c>
      <c r="BB65" s="123"/>
      <c r="BC65" s="123" t="n">
        <f aca="false">IF(OR(SUM($AM65)&lt;=0,$C65="&lt;01"),"",MAX(IF(OR(SUM($Y65)&lt;70%,LEFT($B65,4)="_Mil"),30%,IF(SUM($Y65)&gt;=80%,75%,50%)),SUM($BB65)))</f>
        <v>0.75</v>
      </c>
      <c r="BD65" s="115" t="n">
        <f aca="false">IF($C65="&lt;01",IFERROR(ROUND(INDEX(EID!$M:$M,MATCH($B65,EID!$B:$B,0)),0)/2,""),IF(SUM($AY65)=0,"",ROUND(SUM($AY65)/SUM($BA65),0)))</f>
        <v>1</v>
      </c>
      <c r="BE65" s="115" t="n">
        <f aca="false">IF($C65="&lt;01","",IF(SUM($BD65)=0,"",ROUND(SUM($BD65)*SUM($BC65),0)))</f>
        <v>1</v>
      </c>
      <c r="BF65" s="115" t="str">
        <f aca="false">_xlfn.IFNA(INDEX(PMTCT!$AE:$AE,MATCH($E65,PMTCT!$E:$E,0)),"")</f>
        <v/>
      </c>
      <c r="BG65" s="115" t="str">
        <f aca="false">_xlfn.IFNA(INDEX(PMTCT!$AU:$AU,MATCH($E65,PMTCT!$E:$E,0)),"")</f>
        <v/>
      </c>
      <c r="BH65" s="115" t="n">
        <f aca="false">_xlfn.IFNA(INDEX(TB!$Q:$Q,MATCH($E65,TB!$E:$E,0)),"")</f>
        <v>0</v>
      </c>
      <c r="BI65" s="115" t="str">
        <f aca="false">_xlfn.IFNA(INDEX(VMMC!$AC:$AC,MATCH($E65,VMMC!$E:$E,0)),"")</f>
        <v/>
      </c>
      <c r="BJ65" s="115" t="str">
        <f aca="false">IF($C65="&lt;01",$BD65,"")</f>
        <v/>
      </c>
      <c r="BK65" s="115" t="n">
        <f aca="false">IF(SUM($BD65)=0,"",($BD65)-SUM($BE65:$BJ65))</f>
        <v>0</v>
      </c>
      <c r="BL65" s="123" t="n">
        <f aca="false">IF(OR(SUM($BD65)=0,SUM($BE65)=0),"",SUM($BE65)/$BD65)</f>
        <v>1</v>
      </c>
      <c r="BM65" s="123" t="str">
        <f aca="false">IF(OR(SUM($BD65)=0,SUM($BF65)=0),"",SUM($BF65)/$BD65)</f>
        <v/>
      </c>
      <c r="BN65" s="123" t="str">
        <f aca="false">IF(OR(SUM($BD65)=0,SUM($BG65)=0),"",SUM($BG65)/$BD65)</f>
        <v/>
      </c>
      <c r="BO65" s="123" t="str">
        <f aca="false">IF(OR(SUM($BD65)=0,SUM($BH65)=0),"",SUM($BH65)/$BD65)</f>
        <v/>
      </c>
      <c r="BP65" s="123" t="str">
        <f aca="false">IF(OR(SUM($BD65)=0,SUM($BI65)=0),"",SUM($BI65)/$BD65)</f>
        <v/>
      </c>
      <c r="BQ65" s="123" t="str">
        <f aca="false">IF(AND($C65="&lt;01",SUM($BJ65)&lt;&gt;0),$BJ65/SUM($BD65),"")</f>
        <v/>
      </c>
      <c r="BR65" s="123" t="str">
        <f aca="false">IF(OR(SUM($BD65)=0,SUM($BK65)=0),"",SUM($BK65)/$BD65)</f>
        <v/>
      </c>
      <c r="BS65" s="122" t="n">
        <f aca="false">IF(SUM($X65)&lt;=0,"",$X65)</f>
        <v>1</v>
      </c>
      <c r="BT65" s="115" t="n">
        <f aca="false">IF(LEFT($B65,4)="_Mil","",MAX(SUM($L65)+ROUND(SUM($BD65)/IF(SUM($BS65)&lt;=0,1,SUM($BS65)),0),0))</f>
        <v>14</v>
      </c>
    </row>
    <row r="66" customFormat="false" ht="15" hidden="false" customHeight="false" outlineLevel="0" collapsed="false">
      <c r="A66" s="0" t="s">
        <v>143</v>
      </c>
      <c r="B66" s="0" t="s">
        <v>115</v>
      </c>
      <c r="C66" s="0" t="s">
        <v>54</v>
      </c>
      <c r="D66" s="0" t="s">
        <v>58</v>
      </c>
      <c r="E66" s="0" t="str">
        <f aca="false">B66&amp;"|"&amp;C66&amp;"|"&amp;D66</f>
        <v>Butha Buthe [#SNU] [mvPRqBFtVC0]|01-04|Male</v>
      </c>
      <c r="F66" s="115" t="n">
        <f aca="false">_xlfn.IFNA(ROUND(INDEX(Spectrum!$N:$N,MATCH(RIGHT($B66,13)&amp;"|"&amp;$C66&amp;"|"&amp;$D66&amp;"|"&amp;F$14&amp;"|"&amp;"CY2021Q3",Spectrum!$Q:$Q,0)),0),"")</f>
        <v>4843</v>
      </c>
      <c r="G66" s="123" t="n">
        <f aca="false">_xlfn.IFNA(INDEX(Spectrum!$P:$P,MATCH(RIGHT($B66,13)&amp;"|"&amp;$C66&amp;"|"&amp;$D66&amp;"|"&amp;F$14&amp;"|"&amp;"CY2021Q3",Spectrum!$Q:$Q,0)),"")</f>
        <v>43</v>
      </c>
      <c r="H66" s="115" t="n">
        <f aca="false">_xlfn.IFNA(ROUND(INDEX(Spectrum!$N:$N,MATCH(RIGHT($B66,13)&amp;"|"&amp;$C66&amp;"|"&amp;$D66&amp;"|"&amp;H$14&amp;"|"&amp;"CY2021Q3",Spectrum!$Q:$Q,0)),0),"")</f>
        <v>29</v>
      </c>
      <c r="I66" s="123" t="n">
        <f aca="false">_xlfn.IFNA(INDEX(Spectrum!$P:$P,MATCH(RIGHT($B66,13)&amp;"|"&amp;$C66&amp;"|"&amp;$D66&amp;"|"&amp;H$14&amp;"|"&amp;"CY2021Q3",Spectrum!$Q:$Q,0)),"")</f>
        <v>24</v>
      </c>
      <c r="J66" s="117" t="n">
        <f aca="false">_xlfn.IFNA(INDEX(Spectrum!$N:$N,MATCH(RIGHT($B66,13)&amp;"|"&amp;$C66&amp;"|"&amp;$D66&amp;"|"&amp;J$14&amp;"|"&amp;"CY2021Q3",Spectrum!$Q:$Q,0)),"")</f>
        <v>0.0060739</v>
      </c>
      <c r="K66" s="123" t="n">
        <f aca="false">_xlfn.IFNA(INDEX(Spectrum!$P:$P,MATCH(RIGHT($B66,13)&amp;"|"&amp;$C66&amp;"|"&amp;$D66&amp;"|"&amp;J$14&amp;"|"&amp;"CY2021Q3",Spectrum!$Q:$Q,0)),"")</f>
        <v>15</v>
      </c>
      <c r="L66" s="115" t="n">
        <f aca="false">_xlfn.IFNA(ROUND(INDEX(Spectrum!$N:$N,MATCH(RIGHT($B66,13)&amp;"|"&amp;$C66&amp;"|"&amp;$D66&amp;"|"&amp;L$14&amp;"|"&amp;"CY2021Q3",Spectrum!$Q:$Q,0)),0),"")</f>
        <v>13</v>
      </c>
      <c r="M66" s="123" t="n">
        <f aca="false">IF(OR(SUM($H66)&lt;=0,SUM($L66)&lt;=0),"",SUM($L66)/$H66)</f>
        <v>0.448275862068966</v>
      </c>
      <c r="N66" s="115" t="str">
        <f aca="false">_xlfn.IFNA(ROUND(INDEX(Spectrum!$N:$N,MATCH(RIGHT($B66,13)&amp;"|"&amp;$C66&amp;"|"&amp;$D66&amp;"|"&amp;N$14&amp;"|"&amp;"CY2020Q4",Spectrum!$Q:$Q,0)),0),"")</f>
        <v/>
      </c>
      <c r="O66" s="123" t="str">
        <f aca="false">_xlfn.IFNA(INDEX(Spectrum!$P:$P,MATCH(RIGHT($B66,13)&amp;"|"&amp;$C66&amp;"|"&amp;$D66&amp;"|"&amp;N$14&amp;"|"&amp;"CY2020Q4",Spectrum!$Q:$Q,0)),"")</f>
        <v/>
      </c>
      <c r="P66" s="115" t="n">
        <f aca="false">_xlfn.IFNA(ROUND(INDEX(Spectrum!$N:$N,MATCH(RIGHT($B66,13)&amp;"|"&amp;$C66&amp;"|"&amp;$D66&amp;"|"&amp;P$14&amp;"|"&amp;"CY2021Q3",Spectrum!$Q:$Q,0)),0),"")</f>
        <v>16</v>
      </c>
      <c r="Q66" s="123" t="n">
        <f aca="false">_xlfn.IFNA(INDEX(Spectrum!$P:$P,MATCH(RIGHT($B66,13)&amp;"|"&amp;$C66&amp;"|"&amp;$D66&amp;"|"&amp;P$14&amp;"|"&amp;"CY2021Q3",Spectrum!$Q:$Q,0)),"")</f>
        <v>27</v>
      </c>
      <c r="R66" s="115"/>
      <c r="S66" s="123" t="str">
        <f aca="false">IF(OR(SUM($P66)&lt;=0,SUM($R66)&lt;=0),"",SUM($R66)/$P66)</f>
        <v/>
      </c>
      <c r="T66" s="139" t="n">
        <v>16</v>
      </c>
      <c r="U66" s="124" t="n">
        <v>36</v>
      </c>
      <c r="V66" s="124" t="n">
        <f aca="false">IF($U66-$T66=0,"",$U66-$T66)</f>
        <v>20</v>
      </c>
      <c r="W66" s="123" t="n">
        <f aca="false">IF(LEFT($B66,4)="_Mil","",IFERROR(MIN(IF(SUM($N66)&lt;=0,SUM($U66)/SUM($P66),SUM($T66)/SUM($N66)),1),""))</f>
        <v>1</v>
      </c>
      <c r="X66" s="123" t="n">
        <f aca="false">$W66</f>
        <v>1</v>
      </c>
      <c r="Y66" s="123" t="n">
        <f aca="false">IFERROR(1/(1/INDEX(Spectrum!$N:$N,MATCH(RIGHT($B66,13)&amp;"|"&amp;$C66&amp;"|"&amp;$D66&amp;"|"&amp;Y$14&amp;"|"&amp;"CY2021Q3",Spectrum!$Q:$Q,0))),IF(SUM($H66)=0,"",MAX(SUM($P66),SUM($U66))/SUM($H66)))</f>
        <v>1.24137931034483</v>
      </c>
      <c r="Z66" s="123" t="n">
        <f aca="false">IF(SUM($Y66)=0,"",MAX(SUM($Y66),90%))</f>
        <v>1.24137931034483</v>
      </c>
      <c r="AA66" s="115" t="n">
        <f aca="false">IF(LEFT($B66,4)="_Mil","",ROUND(MAX(SUM($U66),SUM($P66))+IF(SUM($Z66)=0,0,MAX(SUM($Z66)-SUM($Y66),0)*SUM($H66)),0))</f>
        <v>36</v>
      </c>
      <c r="AB66" s="115" t="n">
        <f aca="false">IF(SUM($AA66)=0,"",ROUND(MAX(SUM($AA66)-MAX(SUM($P66),SUM($U66)),0),0))</f>
        <v>0</v>
      </c>
      <c r="AC66" s="126" t="str">
        <f aca="false">IF($C66="&lt;01",IFERROR(ROUND(INDEX(EID!$N:$N,MATCH($B66,EID!$B:$B,0))/2,0),""),"")</f>
        <v/>
      </c>
      <c r="AD66" s="115" t="str">
        <f aca="false">IF($C66="&lt;01",IF(SUM($AC66)=0,"",ROUND(SUM($AC66)/$AG66,0)),IF(SUM($AB66)=0,"",ROUND(MAX($X66,0)*SUM($AB66),0)))</f>
        <v/>
      </c>
      <c r="AE66" s="115" t="n">
        <f aca="false">IF(AND(SUM($AD66)=0,SUM($U66)=0),"",ROUND(IF($C66="&lt;01",0,SUM($U66))+SUM($AD66),0))</f>
        <v>36</v>
      </c>
      <c r="AF66" s="122" t="n">
        <f aca="false">IF($C66="&lt;01","",100%)</f>
        <v>1</v>
      </c>
      <c r="AG66" s="123" t="n">
        <f aca="false">0.98</f>
        <v>0.98</v>
      </c>
      <c r="AH66" s="123" t="n">
        <f aca="false">0.98</f>
        <v>0.98</v>
      </c>
      <c r="AI66" s="124" t="n">
        <f aca="false">IF(OR($C66="&lt;01",SUM($U66)=0),"",ROUND(SUM($U66)*(1-$AH66),0))</f>
        <v>1</v>
      </c>
      <c r="AJ66" s="124" t="n">
        <f aca="false">IF(AND(SUM($AE66)=0,SUM($U66)=0),"",IF($C66="&lt;01",SUM($AD66),SUM($AE66) - ROUND(SUM($U66)*$AH66,0)))</f>
        <v>1</v>
      </c>
      <c r="AK66" s="124" t="n">
        <v>2</v>
      </c>
      <c r="AL66" s="124" t="n">
        <v>16</v>
      </c>
      <c r="AM66" s="115" t="n">
        <f aca="false">IF(AND(SUM($AD66)=0,SUM($U66)=0),"",IF($C66="&lt;01",SUM($AD66),ROUND(ROUND(SUM($AJ66)*$AF66,0)/$AG66,0)))</f>
        <v>1</v>
      </c>
      <c r="AN66" s="122" t="n">
        <f aca="false">0.7</f>
        <v>0.7</v>
      </c>
      <c r="AO66" s="123" t="n">
        <f aca="false">1</f>
        <v>1</v>
      </c>
      <c r="AP66" s="115" t="n">
        <f aca="false">IF(AND(SUM($U66)=0,SUM($AM66)=0),"",ROUND((SUM($AM66)*$AN66+IF($C66="&lt;01",0,$U66))*$AO66,0))</f>
        <v>37</v>
      </c>
      <c r="AQ66" s="122" t="n">
        <v>11</v>
      </c>
      <c r="AR66" s="123" t="n">
        <f aca="false">0.95</f>
        <v>0.95</v>
      </c>
      <c r="AS66" s="123" t="n">
        <f aca="false">0.95</f>
        <v>0.95</v>
      </c>
      <c r="AT66" s="115" t="n">
        <f aca="false">IF(SUM($AP66)=0,"",ROUND(SUM($AP66)*$AR66,0))</f>
        <v>35</v>
      </c>
      <c r="AU66" s="115" t="n">
        <f aca="false">IF(LEFT($B66,4)="_Mil","",ROUND(SUM($AA66)*SUM($AS66),0))</f>
        <v>34</v>
      </c>
      <c r="AV66" s="124" t="n">
        <f aca="false">IF(SUM($AU66)&lt;=0,"",MAX(SUM($AU66)-SUM($R66),0))</f>
        <v>34</v>
      </c>
      <c r="AW66" s="122" t="n">
        <f aca="false">0</f>
        <v>0</v>
      </c>
      <c r="AX66" s="124" t="n">
        <f aca="false">IF(SUM($AM66)=0,"",ROUND(SUM($AM66)*SUM($AW66),0))</f>
        <v>0</v>
      </c>
      <c r="AY66" s="124" t="n">
        <f aca="false">IF(SUM($AM66)=0,"",SUM($AM66)-SUM($AX66))</f>
        <v>1</v>
      </c>
      <c r="AZ66" s="123"/>
      <c r="BA66" s="123" t="n">
        <f aca="false">0.95</f>
        <v>0.95</v>
      </c>
      <c r="BB66" s="123"/>
      <c r="BC66" s="123" t="n">
        <f aca="false">IF(OR(SUM($AM66)&lt;=0,$C66="&lt;01"),"",MAX(IF(OR(SUM($Y66)&lt;70%,LEFT($B66,4)="_Mil"),30%,IF(SUM($Y66)&gt;=80%,75%,50%)),SUM($BB66)))</f>
        <v>0.75</v>
      </c>
      <c r="BD66" s="115" t="n">
        <f aca="false">IF($C66="&lt;01",IFERROR(ROUND(INDEX(EID!$M:$M,MATCH($B66,EID!$B:$B,0)),0)/2,""),IF(SUM($AY66)=0,"",ROUND(SUM($AY66)/SUM($BA66),0)))</f>
        <v>1</v>
      </c>
      <c r="BE66" s="115" t="n">
        <f aca="false">IF($C66="&lt;01","",IF(SUM($BD66)=0,"",ROUND(SUM($BD66)*SUM($BC66),0)))</f>
        <v>1</v>
      </c>
      <c r="BF66" s="115" t="str">
        <f aca="false">_xlfn.IFNA(INDEX(PMTCT!$AE:$AE,MATCH($E66,PMTCT!$E:$E,0)),"")</f>
        <v/>
      </c>
      <c r="BG66" s="115" t="str">
        <f aca="false">_xlfn.IFNA(INDEX(PMTCT!$AU:$AU,MATCH($E66,PMTCT!$E:$E,0)),"")</f>
        <v/>
      </c>
      <c r="BH66" s="115" t="n">
        <f aca="false">_xlfn.IFNA(INDEX(TB!$Q:$Q,MATCH($E66,TB!$E:$E,0)),"")</f>
        <v>0</v>
      </c>
      <c r="BI66" s="115" t="str">
        <f aca="false">_xlfn.IFNA(INDEX(VMMC!$AC:$AC,MATCH($E66,VMMC!$E:$E,0)),"")</f>
        <v/>
      </c>
      <c r="BJ66" s="115" t="str">
        <f aca="false">IF($C66="&lt;01",$BD66,"")</f>
        <v/>
      </c>
      <c r="BK66" s="115" t="n">
        <f aca="false">IF(SUM($BD66)=0,"",($BD66)-SUM($BE66:$BJ66))</f>
        <v>0</v>
      </c>
      <c r="BL66" s="123" t="n">
        <f aca="false">IF(OR(SUM($BD66)=0,SUM($BE66)=0),"",SUM($BE66)/$BD66)</f>
        <v>1</v>
      </c>
      <c r="BM66" s="123" t="str">
        <f aca="false">IF(OR(SUM($BD66)=0,SUM($BF66)=0),"",SUM($BF66)/$BD66)</f>
        <v/>
      </c>
      <c r="BN66" s="123" t="str">
        <f aca="false">IF(OR(SUM($BD66)=0,SUM($BG66)=0),"",SUM($BG66)/$BD66)</f>
        <v/>
      </c>
      <c r="BO66" s="123" t="str">
        <f aca="false">IF(OR(SUM($BD66)=0,SUM($BH66)=0),"",SUM($BH66)/$BD66)</f>
        <v/>
      </c>
      <c r="BP66" s="123" t="str">
        <f aca="false">IF(OR(SUM($BD66)=0,SUM($BI66)=0),"",SUM($BI66)/$BD66)</f>
        <v/>
      </c>
      <c r="BQ66" s="123" t="str">
        <f aca="false">IF(AND($C66="&lt;01",SUM($BJ66)&lt;&gt;0),$BJ66/SUM($BD66),"")</f>
        <v/>
      </c>
      <c r="BR66" s="123" t="str">
        <f aca="false">IF(OR(SUM($BD66)=0,SUM($BK66)=0),"",SUM($BK66)/$BD66)</f>
        <v/>
      </c>
      <c r="BS66" s="122" t="n">
        <f aca="false">IF(SUM($X66)&lt;=0,"",$X66)</f>
        <v>1</v>
      </c>
      <c r="BT66" s="115" t="n">
        <f aca="false">IF(LEFT($B66,4)="_Mil","",MAX(SUM($L66)+ROUND(SUM($BD66)/IF(SUM($BS66)&lt;=0,1,SUM($BS66)),0),0))</f>
        <v>14</v>
      </c>
    </row>
    <row r="67" customFormat="false" ht="15" hidden="false" customHeight="false" outlineLevel="0" collapsed="false">
      <c r="A67" s="0" t="s">
        <v>143</v>
      </c>
      <c r="B67" s="0" t="s">
        <v>115</v>
      </c>
      <c r="C67" s="0" t="s">
        <v>83</v>
      </c>
      <c r="D67" s="0" t="s">
        <v>56</v>
      </c>
      <c r="E67" s="0" t="str">
        <f aca="false">B67&amp;"|"&amp;C67&amp;"|"&amp;D67</f>
        <v>Butha Buthe [#SNU] [mvPRqBFtVC0]|05-09|Female</v>
      </c>
      <c r="F67" s="115" t="n">
        <f aca="false">_xlfn.IFNA(ROUND(INDEX(Spectrum!$N:$N,MATCH(RIGHT($B67,13)&amp;"|"&amp;$C67&amp;"|"&amp;$D67&amp;"|"&amp;F$14&amp;"|"&amp;"CY2021Q3",Spectrum!$Q:$Q,0)),0),"")</f>
        <v>7343</v>
      </c>
      <c r="G67" s="123" t="n">
        <f aca="false">_xlfn.IFNA(INDEX(Spectrum!$P:$P,MATCH(RIGHT($B67,13)&amp;"|"&amp;$C67&amp;"|"&amp;$D67&amp;"|"&amp;F$14&amp;"|"&amp;"CY2021Q3",Spectrum!$Q:$Q,0)),"")</f>
        <v>28</v>
      </c>
      <c r="H67" s="115" t="n">
        <f aca="false">_xlfn.IFNA(ROUND(INDEX(Spectrum!$N:$N,MATCH(RIGHT($B67,13)&amp;"|"&amp;$C67&amp;"|"&amp;$D67&amp;"|"&amp;H$14&amp;"|"&amp;"CY2021Q3",Spectrum!$Q:$Q,0)),0),"")</f>
        <v>78</v>
      </c>
      <c r="I67" s="123" t="n">
        <f aca="false">_xlfn.IFNA(INDEX(Spectrum!$P:$P,MATCH(RIGHT($B67,13)&amp;"|"&amp;$C67&amp;"|"&amp;$D67&amp;"|"&amp;H$14&amp;"|"&amp;"CY2021Q3",Spectrum!$Q:$Q,0)),"")</f>
        <v>17</v>
      </c>
      <c r="J67" s="117" t="n">
        <f aca="false">_xlfn.IFNA(INDEX(Spectrum!$N:$N,MATCH(RIGHT($B67,13)&amp;"|"&amp;$C67&amp;"|"&amp;$D67&amp;"|"&amp;J$14&amp;"|"&amp;"CY2021Q3",Spectrum!$Q:$Q,0)),"")</f>
        <v>0.0105866</v>
      </c>
      <c r="K67" s="123" t="n">
        <f aca="false">_xlfn.IFNA(INDEX(Spectrum!$P:$P,MATCH(RIGHT($B67,13)&amp;"|"&amp;$C67&amp;"|"&amp;$D67&amp;"|"&amp;J$14&amp;"|"&amp;"CY2021Q3",Spectrum!$Q:$Q,0)),"")</f>
        <v>20</v>
      </c>
      <c r="L67" s="115" t="n">
        <f aca="false">_xlfn.IFNA(ROUND(INDEX(Spectrum!$N:$N,MATCH(RIGHT($B67,13)&amp;"|"&amp;$C67&amp;"|"&amp;$D67&amp;"|"&amp;L$14&amp;"|"&amp;"CY2021Q3",Spectrum!$Q:$Q,0)),0),"")</f>
        <v>49</v>
      </c>
      <c r="M67" s="123" t="n">
        <f aca="false">IF(OR(SUM($H67)&lt;=0,SUM($L67)&lt;=0),"",SUM($L67)/$H67)</f>
        <v>0.628205128205128</v>
      </c>
      <c r="N67" s="115" t="str">
        <f aca="false">_xlfn.IFNA(ROUND(INDEX(Spectrum!$N:$N,MATCH(RIGHT($B67,13)&amp;"|"&amp;$C67&amp;"|"&amp;$D67&amp;"|"&amp;N$14&amp;"|"&amp;"CY2020Q4",Spectrum!$Q:$Q,0)),0),"")</f>
        <v/>
      </c>
      <c r="O67" s="123" t="str">
        <f aca="false">_xlfn.IFNA(INDEX(Spectrum!$P:$P,MATCH(RIGHT($B67,13)&amp;"|"&amp;$C67&amp;"|"&amp;$D67&amp;"|"&amp;N$14&amp;"|"&amp;"CY2020Q4",Spectrum!$Q:$Q,0)),"")</f>
        <v/>
      </c>
      <c r="P67" s="115" t="n">
        <f aca="false">_xlfn.IFNA(ROUND(INDEX(Spectrum!$N:$N,MATCH(RIGHT($B67,13)&amp;"|"&amp;$C67&amp;"|"&amp;$D67&amp;"|"&amp;P$14&amp;"|"&amp;"CY2021Q3",Spectrum!$Q:$Q,0)),0),"")</f>
        <v>51</v>
      </c>
      <c r="Q67" s="123" t="n">
        <f aca="false">_xlfn.IFNA(INDEX(Spectrum!$P:$P,MATCH(RIGHT($B67,13)&amp;"|"&amp;$C67&amp;"|"&amp;$D67&amp;"|"&amp;P$14&amp;"|"&amp;"CY2021Q3",Spectrum!$Q:$Q,0)),"")</f>
        <v>34</v>
      </c>
      <c r="R67" s="115"/>
      <c r="S67" s="123" t="str">
        <f aca="false">IF(OR(SUM($P67)&lt;=0,SUM($R67)&lt;=0),"",SUM($R67)/$P67)</f>
        <v/>
      </c>
      <c r="T67" s="139" t="n">
        <v>33</v>
      </c>
      <c r="U67" s="124" t="n">
        <v>29</v>
      </c>
      <c r="V67" s="124" t="n">
        <f aca="false">IF($U67-$T67=0,"",$U67-$T67)</f>
        <v>-4</v>
      </c>
      <c r="W67" s="123" t="n">
        <f aca="false">IF(LEFT($B67,4)="_Mil","",IFERROR(MIN(IF(SUM($N67)&lt;=0,SUM($U67)/SUM($P67),SUM($T67)/SUM($N67)),1),""))</f>
        <v>0.568627450980392</v>
      </c>
      <c r="X67" s="123" t="n">
        <f aca="false">$W67</f>
        <v>0.568627450980392</v>
      </c>
      <c r="Y67" s="123" t="n">
        <f aca="false">IFERROR(1/(1/INDEX(Spectrum!$N:$N,MATCH(RIGHT($B67,13)&amp;"|"&amp;$C67&amp;"|"&amp;$D67&amp;"|"&amp;Y$14&amp;"|"&amp;"CY2021Q3",Spectrum!$Q:$Q,0))),IF(SUM($H67)=0,"",MAX(SUM($P67),SUM($U67))/SUM($H67)))</f>
        <v>0.653846153846154</v>
      </c>
      <c r="Z67" s="123" t="n">
        <f aca="false">IF(SUM($Y67)=0,"",MAX(SUM($Y67),90%))</f>
        <v>0.9</v>
      </c>
      <c r="AA67" s="115" t="n">
        <f aca="false">IF(LEFT($B67,4)="_Mil","",ROUND(MAX(SUM($U67),SUM($P67))+IF(SUM($Z67)=0,0,MAX(SUM($Z67)-SUM($Y67),0)*SUM($H67)),0))</f>
        <v>70</v>
      </c>
      <c r="AB67" s="115" t="n">
        <f aca="false">IF(SUM($AA67)=0,"",ROUND(MAX(SUM($AA67)-MAX(SUM($P67),SUM($U67)),0),0))</f>
        <v>19</v>
      </c>
      <c r="AC67" s="126" t="str">
        <f aca="false">IF($C67="&lt;01",IFERROR(ROUND(INDEX(EID!$N:$N,MATCH($B67,EID!$B:$B,0))/2,0),""),"")</f>
        <v/>
      </c>
      <c r="AD67" s="115" t="n">
        <f aca="false">IF($C67="&lt;01",IF(SUM($AC67)=0,"",ROUND(SUM($AC67)/$AG67,0)),IF(SUM($AB67)=0,"",ROUND(MAX($X67,0)*SUM($AB67),0)))</f>
        <v>11</v>
      </c>
      <c r="AE67" s="115" t="n">
        <f aca="false">IF(AND(SUM($AD67)=0,SUM($U67)=0),"",ROUND(IF($C67="&lt;01",0,SUM($U67))+SUM($AD67),0))</f>
        <v>40</v>
      </c>
      <c r="AF67" s="122" t="n">
        <f aca="false">IF($C67="&lt;01","",100%)</f>
        <v>1</v>
      </c>
      <c r="AG67" s="123" t="n">
        <f aca="false">0.98</f>
        <v>0.98</v>
      </c>
      <c r="AH67" s="123" t="n">
        <f aca="false">0.98</f>
        <v>0.98</v>
      </c>
      <c r="AI67" s="124" t="n">
        <f aca="false">IF(OR($C67="&lt;01",SUM($U67)=0),"",ROUND(SUM($U67)*(1-$AH67),0))</f>
        <v>1</v>
      </c>
      <c r="AJ67" s="124" t="n">
        <f aca="false">IF(AND(SUM($AE67)=0,SUM($U67)=0),"",IF($C67="&lt;01",SUM($AD67),SUM($AE67) - ROUND(SUM($U67)*$AH67,0)))</f>
        <v>12</v>
      </c>
      <c r="AK67" s="124" t="n">
        <v>19</v>
      </c>
      <c r="AL67" s="124" t="n">
        <v>49</v>
      </c>
      <c r="AM67" s="115" t="n">
        <f aca="false">IF(AND(SUM($AD67)=0,SUM($U67)=0),"",IF($C67="&lt;01",SUM($AD67),ROUND(ROUND(SUM($AJ67)*$AF67,0)/$AG67,0)))</f>
        <v>12</v>
      </c>
      <c r="AN67" s="122" t="n">
        <f aca="false">0.7</f>
        <v>0.7</v>
      </c>
      <c r="AO67" s="123" t="n">
        <f aca="false">1</f>
        <v>1</v>
      </c>
      <c r="AP67" s="115" t="n">
        <f aca="false">IF(AND(SUM($U67)=0,SUM($AM67)=0),"",ROUND((SUM($AM67)*$AN67+IF($C67="&lt;01",0,$U67))*$AO67,0))</f>
        <v>37</v>
      </c>
      <c r="AQ67" s="122" t="n">
        <v>3</v>
      </c>
      <c r="AR67" s="123" t="n">
        <f aca="false">0.95</f>
        <v>0.95</v>
      </c>
      <c r="AS67" s="123" t="n">
        <f aca="false">0.95</f>
        <v>0.95</v>
      </c>
      <c r="AT67" s="115" t="n">
        <f aca="false">IF(SUM($AP67)=0,"",ROUND(SUM($AP67)*$AR67,0))</f>
        <v>35</v>
      </c>
      <c r="AU67" s="115" t="n">
        <f aca="false">IF(LEFT($B67,4)="_Mil","",ROUND(SUM($AA67)*SUM($AS67),0))</f>
        <v>67</v>
      </c>
      <c r="AV67" s="124" t="n">
        <f aca="false">IF(SUM($AU67)&lt;=0,"",MAX(SUM($AU67)-SUM($R67),0))</f>
        <v>67</v>
      </c>
      <c r="AW67" s="122" t="n">
        <f aca="false">0</f>
        <v>0</v>
      </c>
      <c r="AX67" s="124" t="n">
        <f aca="false">IF(SUM($AM67)=0,"",ROUND(SUM($AM67)*SUM($AW67),0))</f>
        <v>0</v>
      </c>
      <c r="AY67" s="124" t="n">
        <f aca="false">IF(SUM($AM67)=0,"",SUM($AM67)-SUM($AX67))</f>
        <v>12</v>
      </c>
      <c r="AZ67" s="123" t="n">
        <v>49</v>
      </c>
      <c r="BA67" s="123" t="n">
        <f aca="false">0.95</f>
        <v>0.95</v>
      </c>
      <c r="BB67" s="123"/>
      <c r="BC67" s="123" t="n">
        <f aca="false">IF(OR(SUM($AM67)&lt;=0,$C67="&lt;01"),"",MAX(IF(OR(SUM($Y67)&lt;70%,LEFT($B67,4)="_Mil"),30%,IF(SUM($Y67)&gt;=80%,75%,50%)),SUM($BB67)))</f>
        <v>0.3</v>
      </c>
      <c r="BD67" s="115" t="n">
        <f aca="false">IF($C67="&lt;01",IFERROR(ROUND(INDEX(EID!$M:$M,MATCH($B67,EID!$B:$B,0)),0)/2,""),IF(SUM($AY67)=0,"",ROUND(SUM($AY67)/SUM($BA67),0)))</f>
        <v>13</v>
      </c>
      <c r="BE67" s="115" t="n">
        <f aca="false">IF($C67="&lt;01","",IF(SUM($BD67)=0,"",ROUND(SUM($BD67)*SUM($BC67),0)))</f>
        <v>4</v>
      </c>
      <c r="BF67" s="115" t="str">
        <f aca="false">_xlfn.IFNA(INDEX(PMTCT!$AE:$AE,MATCH($E67,PMTCT!$E:$E,0)),"")</f>
        <v/>
      </c>
      <c r="BG67" s="115" t="str">
        <f aca="false">_xlfn.IFNA(INDEX(PMTCT!$AU:$AU,MATCH($E67,PMTCT!$E:$E,0)),"")</f>
        <v/>
      </c>
      <c r="BH67" s="115" t="n">
        <f aca="false">_xlfn.IFNA(INDEX(TB!$Q:$Q,MATCH($E67,TB!$E:$E,0)),"")</f>
        <v>0</v>
      </c>
      <c r="BI67" s="115" t="str">
        <f aca="false">_xlfn.IFNA(INDEX(VMMC!$AC:$AC,MATCH($E67,VMMC!$E:$E,0)),"")</f>
        <v/>
      </c>
      <c r="BJ67" s="115" t="str">
        <f aca="false">IF($C67="&lt;01",$BD67,"")</f>
        <v/>
      </c>
      <c r="BK67" s="115" t="n">
        <f aca="false">IF(SUM($BD67)=0,"",($BD67)-SUM($BE67:$BJ67))</f>
        <v>9</v>
      </c>
      <c r="BL67" s="123" t="n">
        <f aca="false">IF(OR(SUM($BD67)=0,SUM($BE67)=0),"",SUM($BE67)/$BD67)</f>
        <v>0.307692307692308</v>
      </c>
      <c r="BM67" s="123" t="str">
        <f aca="false">IF(OR(SUM($BD67)=0,SUM($BF67)=0),"",SUM($BF67)/$BD67)</f>
        <v/>
      </c>
      <c r="BN67" s="123" t="str">
        <f aca="false">IF(OR(SUM($BD67)=0,SUM($BG67)=0),"",SUM($BG67)/$BD67)</f>
        <v/>
      </c>
      <c r="BO67" s="123" t="str">
        <f aca="false">IF(OR(SUM($BD67)=0,SUM($BH67)=0),"",SUM($BH67)/$BD67)</f>
        <v/>
      </c>
      <c r="BP67" s="123" t="str">
        <f aca="false">IF(OR(SUM($BD67)=0,SUM($BI67)=0),"",SUM($BI67)/$BD67)</f>
        <v/>
      </c>
      <c r="BQ67" s="123" t="str">
        <f aca="false">IF(AND($C67="&lt;01",SUM($BJ67)&lt;&gt;0),$BJ67/SUM($BD67),"")</f>
        <v/>
      </c>
      <c r="BR67" s="123" t="n">
        <f aca="false">IF(OR(SUM($BD67)=0,SUM($BK67)=0),"",SUM($BK67)/$BD67)</f>
        <v>0.692307692307692</v>
      </c>
      <c r="BS67" s="122" t="n">
        <f aca="false">IF(SUM($X67)&lt;=0,"",$X67)</f>
        <v>0.568627450980392</v>
      </c>
      <c r="BT67" s="115" t="n">
        <f aca="false">IF(LEFT($B67,4)="_Mil","",MAX(SUM($L67)+ROUND(SUM($BD67)/IF(SUM($BS67)&lt;=0,1,SUM($BS67)),0),0))</f>
        <v>72</v>
      </c>
    </row>
    <row r="68" customFormat="false" ht="15" hidden="false" customHeight="false" outlineLevel="0" collapsed="false">
      <c r="A68" s="0" t="s">
        <v>143</v>
      </c>
      <c r="B68" s="0" t="s">
        <v>115</v>
      </c>
      <c r="C68" s="0" t="s">
        <v>83</v>
      </c>
      <c r="D68" s="0" t="s">
        <v>58</v>
      </c>
      <c r="E68" s="0" t="str">
        <f aca="false">B68&amp;"|"&amp;C68&amp;"|"&amp;D68</f>
        <v>Butha Buthe [#SNU] [mvPRqBFtVC0]|05-09|Male</v>
      </c>
      <c r="F68" s="115" t="n">
        <f aca="false">_xlfn.IFNA(ROUND(INDEX(Spectrum!$N:$N,MATCH(RIGHT($B68,13)&amp;"|"&amp;$C68&amp;"|"&amp;$D68&amp;"|"&amp;F$14&amp;"|"&amp;"CY2021Q3",Spectrum!$Q:$Q,0)),0),"")</f>
        <v>6735</v>
      </c>
      <c r="G68" s="123" t="n">
        <f aca="false">_xlfn.IFNA(INDEX(Spectrum!$P:$P,MATCH(RIGHT($B68,13)&amp;"|"&amp;$C68&amp;"|"&amp;$D68&amp;"|"&amp;F$14&amp;"|"&amp;"CY2021Q3",Spectrum!$Q:$Q,0)),"")</f>
        <v>4</v>
      </c>
      <c r="H68" s="115" t="n">
        <f aca="false">_xlfn.IFNA(ROUND(INDEX(Spectrum!$N:$N,MATCH(RIGHT($B68,13)&amp;"|"&amp;$C68&amp;"|"&amp;$D68&amp;"|"&amp;H$14&amp;"|"&amp;"CY2021Q3",Spectrum!$Q:$Q,0)),0),"")</f>
        <v>73</v>
      </c>
      <c r="I68" s="123" t="n">
        <f aca="false">_xlfn.IFNA(INDEX(Spectrum!$P:$P,MATCH(RIGHT($B68,13)&amp;"|"&amp;$C68&amp;"|"&amp;$D68&amp;"|"&amp;H$14&amp;"|"&amp;"CY2021Q3",Spectrum!$Q:$Q,0)),"")</f>
        <v>35</v>
      </c>
      <c r="J68" s="117" t="n">
        <f aca="false">_xlfn.IFNA(INDEX(Spectrum!$N:$N,MATCH(RIGHT($B68,13)&amp;"|"&amp;$C68&amp;"|"&amp;$D68&amp;"|"&amp;J$14&amp;"|"&amp;"CY2021Q3",Spectrum!$Q:$Q,0)),"")</f>
        <v>0.0108088</v>
      </c>
      <c r="K68" s="123" t="n">
        <f aca="false">_xlfn.IFNA(INDEX(Spectrum!$P:$P,MATCH(RIGHT($B68,13)&amp;"|"&amp;$C68&amp;"|"&amp;$D68&amp;"|"&amp;J$14&amp;"|"&amp;"CY2021Q3",Spectrum!$Q:$Q,0)),"")</f>
        <v>6</v>
      </c>
      <c r="L68" s="115" t="n">
        <f aca="false">_xlfn.IFNA(ROUND(INDEX(Spectrum!$N:$N,MATCH(RIGHT($B68,13)&amp;"|"&amp;$C68&amp;"|"&amp;$D68&amp;"|"&amp;L$14&amp;"|"&amp;"CY2021Q3",Spectrum!$Q:$Q,0)),0),"")</f>
        <v>48</v>
      </c>
      <c r="M68" s="123" t="n">
        <f aca="false">IF(OR(SUM($H68)&lt;=0,SUM($L68)&lt;=0),"",SUM($L68)/$H68)</f>
        <v>0.657534246575342</v>
      </c>
      <c r="N68" s="115" t="str">
        <f aca="false">_xlfn.IFNA(ROUND(INDEX(Spectrum!$N:$N,MATCH(RIGHT($B68,13)&amp;"|"&amp;$C68&amp;"|"&amp;$D68&amp;"|"&amp;N$14&amp;"|"&amp;"CY2020Q4",Spectrum!$Q:$Q,0)),0),"")</f>
        <v/>
      </c>
      <c r="O68" s="123" t="str">
        <f aca="false">_xlfn.IFNA(INDEX(Spectrum!$P:$P,MATCH(RIGHT($B68,13)&amp;"|"&amp;$C68&amp;"|"&amp;$D68&amp;"|"&amp;N$14&amp;"|"&amp;"CY2020Q4",Spectrum!$Q:$Q,0)),"")</f>
        <v/>
      </c>
      <c r="P68" s="115" t="n">
        <f aca="false">_xlfn.IFNA(ROUND(INDEX(Spectrum!$N:$N,MATCH(RIGHT($B68,13)&amp;"|"&amp;$C68&amp;"|"&amp;$D68&amp;"|"&amp;P$14&amp;"|"&amp;"CY2021Q3",Spectrum!$Q:$Q,0)),0),"")</f>
        <v>51</v>
      </c>
      <c r="Q68" s="123" t="n">
        <f aca="false">_xlfn.IFNA(INDEX(Spectrum!$P:$P,MATCH(RIGHT($B68,13)&amp;"|"&amp;$C68&amp;"|"&amp;$D68&amp;"|"&amp;P$14&amp;"|"&amp;"CY2021Q3",Spectrum!$Q:$Q,0)),"")</f>
        <v>42</v>
      </c>
      <c r="R68" s="115"/>
      <c r="S68" s="123" t="str">
        <f aca="false">IF(OR(SUM($P68)&lt;=0,SUM($R68)&lt;=0),"",SUM($R68)/$P68)</f>
        <v/>
      </c>
      <c r="T68" s="139" t="n">
        <v>48</v>
      </c>
      <c r="U68" s="124" t="n">
        <v>20</v>
      </c>
      <c r="V68" s="124" t="n">
        <f aca="false">IF($U68-$T68=0,"",$U68-$T68)</f>
        <v>-28</v>
      </c>
      <c r="W68" s="123" t="n">
        <f aca="false">IF(LEFT($B68,4)="_Mil","",IFERROR(MIN(IF(SUM($N68)&lt;=0,SUM($U68)/SUM($P68),SUM($T68)/SUM($N68)),1),""))</f>
        <v>0.392156862745098</v>
      </c>
      <c r="X68" s="123" t="n">
        <f aca="false">$W68</f>
        <v>0.392156862745098</v>
      </c>
      <c r="Y68" s="123" t="n">
        <f aca="false">IFERROR(1/(1/INDEX(Spectrum!$N:$N,MATCH(RIGHT($B68,13)&amp;"|"&amp;$C68&amp;"|"&amp;$D68&amp;"|"&amp;Y$14&amp;"|"&amp;"CY2021Q3",Spectrum!$Q:$Q,0))),IF(SUM($H68)=0,"",MAX(SUM($P68),SUM($U68))/SUM($H68)))</f>
        <v>0.698630136986301</v>
      </c>
      <c r="Z68" s="123" t="n">
        <f aca="false">IF(SUM($Y68)=0,"",MAX(SUM($Y68),90%))</f>
        <v>0.9</v>
      </c>
      <c r="AA68" s="115" t="n">
        <f aca="false">IF(LEFT($B68,4)="_Mil","",ROUND(MAX(SUM($U68),SUM($P68))+IF(SUM($Z68)=0,0,MAX(SUM($Z68)-SUM($Y68),0)*SUM($H68)),0))</f>
        <v>66</v>
      </c>
      <c r="AB68" s="115" t="n">
        <f aca="false">IF(SUM($AA68)=0,"",ROUND(MAX(SUM($AA68)-MAX(SUM($P68),SUM($U68)),0),0))</f>
        <v>15</v>
      </c>
      <c r="AC68" s="126" t="str">
        <f aca="false">IF($C68="&lt;01",IFERROR(ROUND(INDEX(EID!$N:$N,MATCH($B68,EID!$B:$B,0))/2,0),""),"")</f>
        <v/>
      </c>
      <c r="AD68" s="115" t="n">
        <f aca="false">IF($C68="&lt;01",IF(SUM($AC68)=0,"",ROUND(SUM($AC68)/$AG68,0)),IF(SUM($AB68)=0,"",ROUND(MAX($X68,0)*SUM($AB68),0)))</f>
        <v>6</v>
      </c>
      <c r="AE68" s="115" t="n">
        <f aca="false">IF(AND(SUM($AD68)=0,SUM($U68)=0),"",ROUND(IF($C68="&lt;01",0,SUM($U68))+SUM($AD68),0))</f>
        <v>26</v>
      </c>
      <c r="AF68" s="122" t="n">
        <f aca="false">IF($C68="&lt;01","",100%)</f>
        <v>1</v>
      </c>
      <c r="AG68" s="123" t="n">
        <f aca="false">0.98</f>
        <v>0.98</v>
      </c>
      <c r="AH68" s="123" t="n">
        <f aca="false">0.98</f>
        <v>0.98</v>
      </c>
      <c r="AI68" s="124" t="n">
        <f aca="false">IF(OR($C68="&lt;01",SUM($U68)=0),"",ROUND(SUM($U68)*(1-$AH68),0))</f>
        <v>0</v>
      </c>
      <c r="AJ68" s="124" t="n">
        <f aca="false">IF(AND(SUM($AE68)=0,SUM($U68)=0),"",IF($C68="&lt;01",SUM($AD68),SUM($AE68) - ROUND(SUM($U68)*$AH68,0)))</f>
        <v>6</v>
      </c>
      <c r="AK68" s="124" t="n">
        <v>8</v>
      </c>
      <c r="AL68" s="124" t="n">
        <v>6</v>
      </c>
      <c r="AM68" s="115" t="n">
        <f aca="false">IF(AND(SUM($AD68)=0,SUM($U68)=0),"",IF($C68="&lt;01",SUM($AD68),ROUND(ROUND(SUM($AJ68)*$AF68,0)/$AG68,0)))</f>
        <v>6</v>
      </c>
      <c r="AN68" s="122" t="n">
        <f aca="false">0.7</f>
        <v>0.7</v>
      </c>
      <c r="AO68" s="123" t="n">
        <f aca="false">1</f>
        <v>1</v>
      </c>
      <c r="AP68" s="115" t="n">
        <f aca="false">IF(AND(SUM($U68)=0,SUM($AM68)=0),"",ROUND((SUM($AM68)*$AN68+IF($C68="&lt;01",0,$U68))*$AO68,0))</f>
        <v>24</v>
      </c>
      <c r="AQ68" s="122" t="n">
        <v>19</v>
      </c>
      <c r="AR68" s="123" t="n">
        <f aca="false">0.95</f>
        <v>0.95</v>
      </c>
      <c r="AS68" s="123" t="n">
        <f aca="false">0.95</f>
        <v>0.95</v>
      </c>
      <c r="AT68" s="115" t="n">
        <f aca="false">IF(SUM($AP68)=0,"",ROUND(SUM($AP68)*$AR68,0))</f>
        <v>23</v>
      </c>
      <c r="AU68" s="115" t="n">
        <f aca="false">IF(LEFT($B68,4)="_Mil","",ROUND(SUM($AA68)*SUM($AS68),0))</f>
        <v>63</v>
      </c>
      <c r="AV68" s="124" t="n">
        <f aca="false">IF(SUM($AU68)&lt;=0,"",MAX(SUM($AU68)-SUM($R68),0))</f>
        <v>63</v>
      </c>
      <c r="AW68" s="122" t="n">
        <f aca="false">0</f>
        <v>0</v>
      </c>
      <c r="AX68" s="124" t="n">
        <f aca="false">IF(SUM($AM68)=0,"",ROUND(SUM($AM68)*SUM($AW68),0))</f>
        <v>0</v>
      </c>
      <c r="AY68" s="124" t="n">
        <f aca="false">IF(SUM($AM68)=0,"",SUM($AM68)-SUM($AX68))</f>
        <v>6</v>
      </c>
      <c r="AZ68" s="123" t="n">
        <v>12</v>
      </c>
      <c r="BA68" s="123" t="n">
        <f aca="false">0.95</f>
        <v>0.95</v>
      </c>
      <c r="BB68" s="123"/>
      <c r="BC68" s="123" t="n">
        <f aca="false">IF(OR(SUM($AM68)&lt;=0,$C68="&lt;01"),"",MAX(IF(OR(SUM($Y68)&lt;70%,LEFT($B68,4)="_Mil"),30%,IF(SUM($Y68)&gt;=80%,75%,50%)),SUM($BB68)))</f>
        <v>0.3</v>
      </c>
      <c r="BD68" s="115" t="n">
        <f aca="false">IF($C68="&lt;01",IFERROR(ROUND(INDEX(EID!$M:$M,MATCH($B68,EID!$B:$B,0)),0)/2,""),IF(SUM($AY68)=0,"",ROUND(SUM($AY68)/SUM($BA68),0)))</f>
        <v>6</v>
      </c>
      <c r="BE68" s="115" t="n">
        <f aca="false">IF($C68="&lt;01","",IF(SUM($BD68)=0,"",ROUND(SUM($BD68)*SUM($BC68),0)))</f>
        <v>2</v>
      </c>
      <c r="BF68" s="115" t="str">
        <f aca="false">_xlfn.IFNA(INDEX(PMTCT!$AE:$AE,MATCH($E68,PMTCT!$E:$E,0)),"")</f>
        <v/>
      </c>
      <c r="BG68" s="115" t="str">
        <f aca="false">_xlfn.IFNA(INDEX(PMTCT!$AU:$AU,MATCH($E68,PMTCT!$E:$E,0)),"")</f>
        <v/>
      </c>
      <c r="BH68" s="115" t="n">
        <f aca="false">_xlfn.IFNA(INDEX(TB!$Q:$Q,MATCH($E68,TB!$E:$E,0)),"")</f>
        <v>0</v>
      </c>
      <c r="BI68" s="115" t="str">
        <f aca="false">_xlfn.IFNA(INDEX(VMMC!$AC:$AC,MATCH($E68,VMMC!$E:$E,0)),"")</f>
        <v/>
      </c>
      <c r="BJ68" s="115" t="str">
        <f aca="false">IF($C68="&lt;01",$BD68,"")</f>
        <v/>
      </c>
      <c r="BK68" s="115" t="n">
        <f aca="false">IF(SUM($BD68)=0,"",($BD68)-SUM($BE68:$BJ68))</f>
        <v>4</v>
      </c>
      <c r="BL68" s="123" t="n">
        <f aca="false">IF(OR(SUM($BD68)=0,SUM($BE68)=0),"",SUM($BE68)/$BD68)</f>
        <v>0.333333333333333</v>
      </c>
      <c r="BM68" s="123" t="str">
        <f aca="false">IF(OR(SUM($BD68)=0,SUM($BF68)=0),"",SUM($BF68)/$BD68)</f>
        <v/>
      </c>
      <c r="BN68" s="123" t="str">
        <f aca="false">IF(OR(SUM($BD68)=0,SUM($BG68)=0),"",SUM($BG68)/$BD68)</f>
        <v/>
      </c>
      <c r="BO68" s="123" t="str">
        <f aca="false">IF(OR(SUM($BD68)=0,SUM($BH68)=0),"",SUM($BH68)/$BD68)</f>
        <v/>
      </c>
      <c r="BP68" s="123" t="str">
        <f aca="false">IF(OR(SUM($BD68)=0,SUM($BI68)=0),"",SUM($BI68)/$BD68)</f>
        <v/>
      </c>
      <c r="BQ68" s="123" t="str">
        <f aca="false">IF(AND($C68="&lt;01",SUM($BJ68)&lt;&gt;0),$BJ68/SUM($BD68),"")</f>
        <v/>
      </c>
      <c r="BR68" s="123" t="n">
        <f aca="false">IF(OR(SUM($BD68)=0,SUM($BK68)=0),"",SUM($BK68)/$BD68)</f>
        <v>0.666666666666667</v>
      </c>
      <c r="BS68" s="122" t="n">
        <f aca="false">IF(SUM($X68)&lt;=0,"",$X68)</f>
        <v>0.392156862745098</v>
      </c>
      <c r="BT68" s="115" t="n">
        <f aca="false">IF(LEFT($B68,4)="_Mil","",MAX(SUM($L68)+ROUND(SUM($BD68)/IF(SUM($BS68)&lt;=0,1,SUM($BS68)),0),0))</f>
        <v>63</v>
      </c>
    </row>
    <row r="69" customFormat="false" ht="15" hidden="false" customHeight="false" outlineLevel="0" collapsed="false">
      <c r="A69" s="0" t="s">
        <v>143</v>
      </c>
      <c r="B69" s="0" t="s">
        <v>115</v>
      </c>
      <c r="C69" s="0" t="s">
        <v>61</v>
      </c>
      <c r="D69" s="0" t="s">
        <v>56</v>
      </c>
      <c r="E69" s="0" t="str">
        <f aca="false">B69&amp;"|"&amp;C69&amp;"|"&amp;D69</f>
        <v>Butha Buthe [#SNU] [mvPRqBFtVC0]|10-14|Female</v>
      </c>
      <c r="F69" s="115" t="n">
        <f aca="false">_xlfn.IFNA(ROUND(INDEX(Spectrum!$N:$N,MATCH(RIGHT($B69,13)&amp;"|"&amp;$C69&amp;"|"&amp;$D69&amp;"|"&amp;F$14&amp;"|"&amp;"CY2021Q3",Spectrum!$Q:$Q,0)),0),"")</f>
        <v>6499</v>
      </c>
      <c r="G69" s="123" t="n">
        <f aca="false">_xlfn.IFNA(INDEX(Spectrum!$P:$P,MATCH(RIGHT($B69,13)&amp;"|"&amp;$C69&amp;"|"&amp;$D69&amp;"|"&amp;F$14&amp;"|"&amp;"CY2021Q3",Spectrum!$Q:$Q,0)),"")</f>
        <v>5</v>
      </c>
      <c r="H69" s="115" t="n">
        <f aca="false">_xlfn.IFNA(ROUND(INDEX(Spectrum!$N:$N,MATCH(RIGHT($B69,13)&amp;"|"&amp;$C69&amp;"|"&amp;$D69&amp;"|"&amp;H$14&amp;"|"&amp;"CY2021Q3",Spectrum!$Q:$Q,0)),0),"")</f>
        <v>122</v>
      </c>
      <c r="I69" s="123" t="n">
        <f aca="false">_xlfn.IFNA(INDEX(Spectrum!$P:$P,MATCH(RIGHT($B69,13)&amp;"|"&amp;$C69&amp;"|"&amp;$D69&amp;"|"&amp;H$14&amp;"|"&amp;"CY2021Q3",Spectrum!$Q:$Q,0)),"")</f>
        <v>44</v>
      </c>
      <c r="J69" s="117" t="n">
        <f aca="false">_xlfn.IFNA(INDEX(Spectrum!$N:$N,MATCH(RIGHT($B69,13)&amp;"|"&amp;$C69&amp;"|"&amp;$D69&amp;"|"&amp;J$14&amp;"|"&amp;"CY2021Q3",Spectrum!$Q:$Q,0)),"")</f>
        <v>0.018798</v>
      </c>
      <c r="K69" s="123" t="n">
        <f aca="false">_xlfn.IFNA(INDEX(Spectrum!$P:$P,MATCH(RIGHT($B69,13)&amp;"|"&amp;$C69&amp;"|"&amp;$D69&amp;"|"&amp;J$14&amp;"|"&amp;"CY2021Q3",Spectrum!$Q:$Q,0)),"")</f>
        <v>12</v>
      </c>
      <c r="L69" s="115" t="n">
        <f aca="false">_xlfn.IFNA(ROUND(INDEX(Spectrum!$N:$N,MATCH(RIGHT($B69,13)&amp;"|"&amp;$C69&amp;"|"&amp;$D69&amp;"|"&amp;L$14&amp;"|"&amp;"CY2021Q3",Spectrum!$Q:$Q,0)),0),"")</f>
        <v>94</v>
      </c>
      <c r="M69" s="123" t="n">
        <f aca="false">IF(OR(SUM($H69)&lt;=0,SUM($L69)&lt;=0),"",SUM($L69)/$H69)</f>
        <v>0.770491803278688</v>
      </c>
      <c r="N69" s="115" t="str">
        <f aca="false">_xlfn.IFNA(ROUND(INDEX(Spectrum!$N:$N,MATCH(RIGHT($B69,13)&amp;"|"&amp;$C69&amp;"|"&amp;$D69&amp;"|"&amp;N$14&amp;"|"&amp;"CY2020Q4",Spectrum!$Q:$Q,0)),0),"")</f>
        <v/>
      </c>
      <c r="O69" s="123" t="str">
        <f aca="false">_xlfn.IFNA(INDEX(Spectrum!$P:$P,MATCH(RIGHT($B69,13)&amp;"|"&amp;$C69&amp;"|"&amp;$D69&amp;"|"&amp;N$14&amp;"|"&amp;"CY2020Q4",Spectrum!$Q:$Q,0)),"")</f>
        <v/>
      </c>
      <c r="P69" s="115" t="n">
        <f aca="false">_xlfn.IFNA(ROUND(INDEX(Spectrum!$N:$N,MATCH(RIGHT($B69,13)&amp;"|"&amp;$C69&amp;"|"&amp;$D69&amp;"|"&amp;P$14&amp;"|"&amp;"CY2021Q3",Spectrum!$Q:$Q,0)),0),"")</f>
        <v>105</v>
      </c>
      <c r="Q69" s="123" t="n">
        <f aca="false">_xlfn.IFNA(INDEX(Spectrum!$P:$P,MATCH(RIGHT($B69,13)&amp;"|"&amp;$C69&amp;"|"&amp;$D69&amp;"|"&amp;P$14&amp;"|"&amp;"CY2021Q3",Spectrum!$Q:$Q,0)),"")</f>
        <v>48</v>
      </c>
      <c r="R69" s="115"/>
      <c r="S69" s="123" t="str">
        <f aca="false">IF(OR(SUM($P69)&lt;=0,SUM($R69)&lt;=0),"",SUM($R69)/$P69)</f>
        <v/>
      </c>
      <c r="T69" s="139" t="n">
        <v>22</v>
      </c>
      <c r="U69" s="124" t="n">
        <v>34</v>
      </c>
      <c r="V69" s="124" t="n">
        <f aca="false">IF($U69-$T69=0,"",$U69-$T69)</f>
        <v>12</v>
      </c>
      <c r="W69" s="123" t="n">
        <f aca="false">IF(LEFT($B69,4)="_Mil","",IFERROR(MIN(IF(SUM($N69)&lt;=0,SUM($U69)/SUM($P69),SUM($T69)/SUM($N69)),1),""))</f>
        <v>0.323809523809524</v>
      </c>
      <c r="X69" s="123" t="n">
        <f aca="false">$W69</f>
        <v>0.323809523809524</v>
      </c>
      <c r="Y69" s="123" t="n">
        <f aca="false">IFERROR(1/(1/INDEX(Spectrum!$N:$N,MATCH(RIGHT($B69,13)&amp;"|"&amp;$C69&amp;"|"&amp;$D69&amp;"|"&amp;Y$14&amp;"|"&amp;"CY2021Q3",Spectrum!$Q:$Q,0))),IF(SUM($H69)=0,"",MAX(SUM($P69),SUM($U69))/SUM($H69)))</f>
        <v>0.860655737704918</v>
      </c>
      <c r="Z69" s="123" t="n">
        <f aca="false">IF(SUM($Y69)=0,"",MAX(SUM($Y69),90%))</f>
        <v>0.9</v>
      </c>
      <c r="AA69" s="115" t="n">
        <f aca="false">IF(LEFT($B69,4)="_Mil","",ROUND(MAX(SUM($U69),SUM($P69))+IF(SUM($Z69)=0,0,MAX(SUM($Z69)-SUM($Y69),0)*SUM($H69)),0))</f>
        <v>110</v>
      </c>
      <c r="AB69" s="115" t="n">
        <f aca="false">IF(SUM($AA69)=0,"",ROUND(MAX(SUM($AA69)-MAX(SUM($P69),SUM($U69)),0),0))</f>
        <v>5</v>
      </c>
      <c r="AC69" s="126" t="str">
        <f aca="false">IF($C69="&lt;01",IFERROR(ROUND(INDEX(EID!$N:$N,MATCH($B69,EID!$B:$B,0))/2,0),""),"")</f>
        <v/>
      </c>
      <c r="AD69" s="115" t="n">
        <f aca="false">IF($C69="&lt;01",IF(SUM($AC69)=0,"",ROUND(SUM($AC69)/$AG69,0)),IF(SUM($AB69)=0,"",ROUND(MAX($X69,0)*SUM($AB69),0)))</f>
        <v>2</v>
      </c>
      <c r="AE69" s="115" t="n">
        <f aca="false">IF(AND(SUM($AD69)=0,SUM($U69)=0),"",ROUND(IF($C69="&lt;01",0,SUM($U69))+SUM($AD69),0))</f>
        <v>36</v>
      </c>
      <c r="AF69" s="122" t="n">
        <f aca="false">IF($C69="&lt;01","",100%)</f>
        <v>1</v>
      </c>
      <c r="AG69" s="123" t="n">
        <f aca="false">0.98</f>
        <v>0.98</v>
      </c>
      <c r="AH69" s="123" t="n">
        <f aca="false">0.98</f>
        <v>0.98</v>
      </c>
      <c r="AI69" s="124" t="n">
        <f aca="false">IF(OR($C69="&lt;01",SUM($U69)=0),"",ROUND(SUM($U69)*(1-$AH69),0))</f>
        <v>1</v>
      </c>
      <c r="AJ69" s="124" t="n">
        <f aca="false">IF(AND(SUM($AE69)=0,SUM($U69)=0),"",IF($C69="&lt;01",SUM($AD69),SUM($AE69) - ROUND(SUM($U69)*$AH69,0)))</f>
        <v>3</v>
      </c>
      <c r="AK69" s="124" t="n">
        <v>45</v>
      </c>
      <c r="AL69" s="124" t="n">
        <v>8</v>
      </c>
      <c r="AM69" s="115" t="n">
        <f aca="false">IF(AND(SUM($AD69)=0,SUM($U69)=0),"",IF($C69="&lt;01",SUM($AD69),ROUND(ROUND(SUM($AJ69)*$AF69,0)/$AG69,0)))</f>
        <v>3</v>
      </c>
      <c r="AN69" s="122" t="n">
        <f aca="false">0.7</f>
        <v>0.7</v>
      </c>
      <c r="AO69" s="123" t="n">
        <f aca="false">1</f>
        <v>1</v>
      </c>
      <c r="AP69" s="115" t="n">
        <f aca="false">IF(AND(SUM($U69)=0,SUM($AM69)=0),"",ROUND((SUM($AM69)*$AN69+IF($C69="&lt;01",0,$U69))*$AO69,0))</f>
        <v>36</v>
      </c>
      <c r="AQ69" s="122" t="n">
        <v>19</v>
      </c>
      <c r="AR69" s="123" t="n">
        <f aca="false">0.95</f>
        <v>0.95</v>
      </c>
      <c r="AS69" s="123" t="n">
        <f aca="false">0.95</f>
        <v>0.95</v>
      </c>
      <c r="AT69" s="115" t="n">
        <f aca="false">IF(SUM($AP69)=0,"",ROUND(SUM($AP69)*$AR69,0))</f>
        <v>34</v>
      </c>
      <c r="AU69" s="115" t="n">
        <f aca="false">IF(LEFT($B69,4)="_Mil","",ROUND(SUM($AA69)*SUM($AS69),0))</f>
        <v>105</v>
      </c>
      <c r="AV69" s="124" t="n">
        <f aca="false">IF(SUM($AU69)&lt;=0,"",MAX(SUM($AU69)-SUM($R69),0))</f>
        <v>105</v>
      </c>
      <c r="AW69" s="122" t="n">
        <f aca="false">0</f>
        <v>0</v>
      </c>
      <c r="AX69" s="124" t="n">
        <f aca="false">IF(SUM($AM69)=0,"",ROUND(SUM($AM69)*SUM($AW69),0))</f>
        <v>0</v>
      </c>
      <c r="AY69" s="124" t="n">
        <f aca="false">IF(SUM($AM69)=0,"",SUM($AM69)-SUM($AX69))</f>
        <v>3</v>
      </c>
      <c r="AZ69" s="123" t="n">
        <v>21</v>
      </c>
      <c r="BA69" s="123" t="n">
        <f aca="false">0.95</f>
        <v>0.95</v>
      </c>
      <c r="BB69" s="123"/>
      <c r="BC69" s="123" t="n">
        <f aca="false">IF(OR(SUM($AM69)&lt;=0,$C69="&lt;01"),"",MAX(IF(OR(SUM($Y69)&lt;70%,LEFT($B69,4)="_Mil"),30%,IF(SUM($Y69)&gt;=80%,75%,50%)),SUM($BB69)))</f>
        <v>0.75</v>
      </c>
      <c r="BD69" s="115" t="n">
        <f aca="false">IF($C69="&lt;01",IFERROR(ROUND(INDEX(EID!$M:$M,MATCH($B69,EID!$B:$B,0)),0)/2,""),IF(SUM($AY69)=0,"",ROUND(SUM($AY69)/SUM($BA69),0)))</f>
        <v>3</v>
      </c>
      <c r="BE69" s="115" t="n">
        <f aca="false">IF($C69="&lt;01","",IF(SUM($BD69)=0,"",ROUND(SUM($BD69)*SUM($BC69),0)))</f>
        <v>2</v>
      </c>
      <c r="BF69" s="115" t="str">
        <f aca="false">_xlfn.IFNA(INDEX(PMTCT!$AE:$AE,MATCH($E69,PMTCT!$E:$E,0)),"")</f>
        <v/>
      </c>
      <c r="BG69" s="115" t="str">
        <f aca="false">_xlfn.IFNA(INDEX(PMTCT!$AU:$AU,MATCH($E69,PMTCT!$E:$E,0)),"")</f>
        <v/>
      </c>
      <c r="BH69" s="115" t="n">
        <f aca="false">_xlfn.IFNA(INDEX(TB!$Q:$Q,MATCH($E69,TB!$E:$E,0)),"")</f>
        <v>0</v>
      </c>
      <c r="BI69" s="115" t="str">
        <f aca="false">_xlfn.IFNA(INDEX(VMMC!$AC:$AC,MATCH($E69,VMMC!$E:$E,0)),"")</f>
        <v/>
      </c>
      <c r="BJ69" s="115" t="str">
        <f aca="false">IF($C69="&lt;01",$BD69,"")</f>
        <v/>
      </c>
      <c r="BK69" s="115" t="n">
        <f aca="false">IF(SUM($BD69)=0,"",($BD69)-SUM($BE69:$BJ69))</f>
        <v>1</v>
      </c>
      <c r="BL69" s="123" t="n">
        <f aca="false">IF(OR(SUM($BD69)=0,SUM($BE69)=0),"",SUM($BE69)/$BD69)</f>
        <v>0.666666666666667</v>
      </c>
      <c r="BM69" s="123" t="str">
        <f aca="false">IF(OR(SUM($BD69)=0,SUM($BF69)=0),"",SUM($BF69)/$BD69)</f>
        <v/>
      </c>
      <c r="BN69" s="123" t="str">
        <f aca="false">IF(OR(SUM($BD69)=0,SUM($BG69)=0),"",SUM($BG69)/$BD69)</f>
        <v/>
      </c>
      <c r="BO69" s="123" t="str">
        <f aca="false">IF(OR(SUM($BD69)=0,SUM($BH69)=0),"",SUM($BH69)/$BD69)</f>
        <v/>
      </c>
      <c r="BP69" s="123" t="str">
        <f aca="false">IF(OR(SUM($BD69)=0,SUM($BI69)=0),"",SUM($BI69)/$BD69)</f>
        <v/>
      </c>
      <c r="BQ69" s="123" t="str">
        <f aca="false">IF(AND($C69="&lt;01",SUM($BJ69)&lt;&gt;0),$BJ69/SUM($BD69),"")</f>
        <v/>
      </c>
      <c r="BR69" s="123" t="n">
        <f aca="false">IF(OR(SUM($BD69)=0,SUM($BK69)=0),"",SUM($BK69)/$BD69)</f>
        <v>0.333333333333333</v>
      </c>
      <c r="BS69" s="122" t="n">
        <f aca="false">IF(SUM($X69)&lt;=0,"",$X69)</f>
        <v>0.323809523809524</v>
      </c>
      <c r="BT69" s="115" t="n">
        <f aca="false">IF(LEFT($B69,4)="_Mil","",MAX(SUM($L69)+ROUND(SUM($BD69)/IF(SUM($BS69)&lt;=0,1,SUM($BS69)),0),0))</f>
        <v>103</v>
      </c>
    </row>
    <row r="70" customFormat="false" ht="15" hidden="false" customHeight="false" outlineLevel="0" collapsed="false">
      <c r="A70" s="0" t="s">
        <v>143</v>
      </c>
      <c r="B70" s="0" t="s">
        <v>115</v>
      </c>
      <c r="C70" s="0" t="s">
        <v>61</v>
      </c>
      <c r="D70" s="0" t="s">
        <v>58</v>
      </c>
      <c r="E70" s="0" t="str">
        <f aca="false">B70&amp;"|"&amp;C70&amp;"|"&amp;D70</f>
        <v>Butha Buthe [#SNU] [mvPRqBFtVC0]|10-14|Male</v>
      </c>
      <c r="F70" s="115" t="n">
        <f aca="false">_xlfn.IFNA(ROUND(INDEX(Spectrum!$N:$N,MATCH(RIGHT($B70,13)&amp;"|"&amp;$C70&amp;"|"&amp;$D70&amp;"|"&amp;F$14&amp;"|"&amp;"CY2021Q3",Spectrum!$Q:$Q,0)),0),"")</f>
        <v>6251</v>
      </c>
      <c r="G70" s="123" t="n">
        <f aca="false">_xlfn.IFNA(INDEX(Spectrum!$P:$P,MATCH(RIGHT($B70,13)&amp;"|"&amp;$C70&amp;"|"&amp;$D70&amp;"|"&amp;F$14&amp;"|"&amp;"CY2021Q3",Spectrum!$Q:$Q,0)),"")</f>
        <v>23</v>
      </c>
      <c r="H70" s="115" t="n">
        <f aca="false">_xlfn.IFNA(ROUND(INDEX(Spectrum!$N:$N,MATCH(RIGHT($B70,13)&amp;"|"&amp;$C70&amp;"|"&amp;$D70&amp;"|"&amp;H$14&amp;"|"&amp;"CY2021Q3",Spectrum!$Q:$Q,0)),0),"")</f>
        <v>119</v>
      </c>
      <c r="I70" s="123" t="n">
        <f aca="false">_xlfn.IFNA(INDEX(Spectrum!$P:$P,MATCH(RIGHT($B70,13)&amp;"|"&amp;$C70&amp;"|"&amp;$D70&amp;"|"&amp;H$14&amp;"|"&amp;"CY2021Q3",Spectrum!$Q:$Q,0)),"")</f>
        <v>44</v>
      </c>
      <c r="J70" s="117" t="n">
        <f aca="false">_xlfn.IFNA(INDEX(Spectrum!$N:$N,MATCH(RIGHT($B70,13)&amp;"|"&amp;$C70&amp;"|"&amp;$D70&amp;"|"&amp;J$14&amp;"|"&amp;"CY2021Q3",Spectrum!$Q:$Q,0)),"")</f>
        <v>0.0190615</v>
      </c>
      <c r="K70" s="123" t="n">
        <f aca="false">_xlfn.IFNA(INDEX(Spectrum!$P:$P,MATCH(RIGHT($B70,13)&amp;"|"&amp;$C70&amp;"|"&amp;$D70&amp;"|"&amp;J$14&amp;"|"&amp;"CY2021Q3",Spectrum!$Q:$Q,0)),"")</f>
        <v>6</v>
      </c>
      <c r="L70" s="115" t="n">
        <f aca="false">_xlfn.IFNA(ROUND(INDEX(Spectrum!$N:$N,MATCH(RIGHT($B70,13)&amp;"|"&amp;$C70&amp;"|"&amp;$D70&amp;"|"&amp;L$14&amp;"|"&amp;"CY2021Q3",Spectrum!$Q:$Q,0)),0),"")</f>
        <v>93</v>
      </c>
      <c r="M70" s="123" t="n">
        <f aca="false">IF(OR(SUM($H70)&lt;=0,SUM($L70)&lt;=0),"",SUM($L70)/$H70)</f>
        <v>0.781512605042017</v>
      </c>
      <c r="N70" s="115" t="str">
        <f aca="false">_xlfn.IFNA(ROUND(INDEX(Spectrum!$N:$N,MATCH(RIGHT($B70,13)&amp;"|"&amp;$C70&amp;"|"&amp;$D70&amp;"|"&amp;N$14&amp;"|"&amp;"CY2020Q4",Spectrum!$Q:$Q,0)),0),"")</f>
        <v/>
      </c>
      <c r="O70" s="123" t="str">
        <f aca="false">_xlfn.IFNA(INDEX(Spectrum!$P:$P,MATCH(RIGHT($B70,13)&amp;"|"&amp;$C70&amp;"|"&amp;$D70&amp;"|"&amp;N$14&amp;"|"&amp;"CY2020Q4",Spectrum!$Q:$Q,0)),"")</f>
        <v/>
      </c>
      <c r="P70" s="115" t="n">
        <f aca="false">_xlfn.IFNA(ROUND(INDEX(Spectrum!$N:$N,MATCH(RIGHT($B70,13)&amp;"|"&amp;$C70&amp;"|"&amp;$D70&amp;"|"&amp;P$14&amp;"|"&amp;"CY2021Q3",Spectrum!$Q:$Q,0)),0),"")</f>
        <v>104</v>
      </c>
      <c r="Q70" s="123" t="n">
        <f aca="false">_xlfn.IFNA(INDEX(Spectrum!$P:$P,MATCH(RIGHT($B70,13)&amp;"|"&amp;$C70&amp;"|"&amp;$D70&amp;"|"&amp;P$14&amp;"|"&amp;"CY2021Q3",Spectrum!$Q:$Q,0)),"")</f>
        <v>10</v>
      </c>
      <c r="R70" s="115"/>
      <c r="S70" s="123" t="str">
        <f aca="false">IF(OR(SUM($P70)&lt;=0,SUM($R70)&lt;=0),"",SUM($R70)/$P70)</f>
        <v/>
      </c>
      <c r="T70" s="139" t="n">
        <v>42</v>
      </c>
      <c r="U70" s="124" t="n">
        <v>7</v>
      </c>
      <c r="V70" s="124" t="n">
        <f aca="false">IF($U70-$T70=0,"",$U70-$T70)</f>
        <v>-35</v>
      </c>
      <c r="W70" s="123" t="n">
        <f aca="false">IF(LEFT($B70,4)="_Mil","",IFERROR(MIN(IF(SUM($N70)&lt;=0,SUM($U70)/SUM($P70),SUM($T70)/SUM($N70)),1),""))</f>
        <v>0.0673076923076923</v>
      </c>
      <c r="X70" s="123" t="n">
        <f aca="false">$W70</f>
        <v>0.0673076923076923</v>
      </c>
      <c r="Y70" s="123" t="n">
        <f aca="false">IFERROR(1/(1/INDEX(Spectrum!$N:$N,MATCH(RIGHT($B70,13)&amp;"|"&amp;$C70&amp;"|"&amp;$D70&amp;"|"&amp;Y$14&amp;"|"&amp;"CY2021Q3",Spectrum!$Q:$Q,0))),IF(SUM($H70)=0,"",MAX(SUM($P70),SUM($U70))/SUM($H70)))</f>
        <v>0.873949579831933</v>
      </c>
      <c r="Z70" s="123" t="n">
        <f aca="false">IF(SUM($Y70)=0,"",MAX(SUM($Y70),90%))</f>
        <v>0.9</v>
      </c>
      <c r="AA70" s="115" t="n">
        <f aca="false">IF(LEFT($B70,4)="_Mil","",ROUND(MAX(SUM($U70),SUM($P70))+IF(SUM($Z70)=0,0,MAX(SUM($Z70)-SUM($Y70),0)*SUM($H70)),0))</f>
        <v>107</v>
      </c>
      <c r="AB70" s="115" t="n">
        <f aca="false">IF(SUM($AA70)=0,"",ROUND(MAX(SUM($AA70)-MAX(SUM($P70),SUM($U70)),0),0))</f>
        <v>3</v>
      </c>
      <c r="AC70" s="126" t="str">
        <f aca="false">IF($C70="&lt;01",IFERROR(ROUND(INDEX(EID!$N:$N,MATCH($B70,EID!$B:$B,0))/2,0),""),"")</f>
        <v/>
      </c>
      <c r="AD70" s="115" t="n">
        <f aca="false">IF($C70="&lt;01",IF(SUM($AC70)=0,"",ROUND(SUM($AC70)/$AG70,0)),IF(SUM($AB70)=0,"",ROUND(MAX($X70,0)*SUM($AB70),0)))</f>
        <v>0</v>
      </c>
      <c r="AE70" s="115" t="n">
        <f aca="false">IF(AND(SUM($AD70)=0,SUM($U70)=0),"",ROUND(IF($C70="&lt;01",0,SUM($U70))+SUM($AD70),0))</f>
        <v>7</v>
      </c>
      <c r="AF70" s="122" t="n">
        <f aca="false">IF($C70="&lt;01","",100%)</f>
        <v>1</v>
      </c>
      <c r="AG70" s="123" t="n">
        <f aca="false">0.98</f>
        <v>0.98</v>
      </c>
      <c r="AH70" s="123" t="n">
        <f aca="false">0.98</f>
        <v>0.98</v>
      </c>
      <c r="AI70" s="124" t="n">
        <f aca="false">IF(OR($C70="&lt;01",SUM($U70)=0),"",ROUND(SUM($U70)*(1-$AH70),0))</f>
        <v>0</v>
      </c>
      <c r="AJ70" s="124" t="n">
        <f aca="false">IF(AND(SUM($AE70)=0,SUM($U70)=0),"",IF($C70="&lt;01",SUM($AD70),SUM($AE70) - ROUND(SUM($U70)*$AH70,0)))</f>
        <v>0</v>
      </c>
      <c r="AK70" s="124" t="n">
        <v>2</v>
      </c>
      <c r="AL70" s="124" t="n">
        <v>49</v>
      </c>
      <c r="AM70" s="115" t="n">
        <f aca="false">IF(AND(SUM($AD70)=0,SUM($U70)=0),"",IF($C70="&lt;01",SUM($AD70),ROUND(ROUND(SUM($AJ70)*$AF70,0)/$AG70,0)))</f>
        <v>0</v>
      </c>
      <c r="AN70" s="122" t="n">
        <f aca="false">0.7</f>
        <v>0.7</v>
      </c>
      <c r="AO70" s="123" t="n">
        <f aca="false">1</f>
        <v>1</v>
      </c>
      <c r="AP70" s="115" t="n">
        <f aca="false">IF(AND(SUM($U70)=0,SUM($AM70)=0),"",ROUND((SUM($AM70)*$AN70+IF($C70="&lt;01",0,$U70))*$AO70,0))</f>
        <v>7</v>
      </c>
      <c r="AQ70" s="122" t="n">
        <v>44</v>
      </c>
      <c r="AR70" s="123" t="n">
        <f aca="false">0.95</f>
        <v>0.95</v>
      </c>
      <c r="AS70" s="123" t="n">
        <f aca="false">0.95</f>
        <v>0.95</v>
      </c>
      <c r="AT70" s="115" t="n">
        <f aca="false">IF(SUM($AP70)=0,"",ROUND(SUM($AP70)*$AR70,0))</f>
        <v>7</v>
      </c>
      <c r="AU70" s="115" t="n">
        <f aca="false">IF(LEFT($B70,4)="_Mil","",ROUND(SUM($AA70)*SUM($AS70),0))</f>
        <v>102</v>
      </c>
      <c r="AV70" s="124" t="n">
        <f aca="false">IF(SUM($AU70)&lt;=0,"",MAX(SUM($AU70)-SUM($R70),0))</f>
        <v>102</v>
      </c>
      <c r="AW70" s="122" t="n">
        <f aca="false">0</f>
        <v>0</v>
      </c>
      <c r="AX70" s="124" t="str">
        <f aca="false">IF(SUM($AM70)=0,"",ROUND(SUM($AM70)*SUM($AW70),0))</f>
        <v/>
      </c>
      <c r="AY70" s="124" t="str">
        <f aca="false">IF(SUM($AM70)=0,"",SUM($AM70)-SUM($AX70))</f>
        <v/>
      </c>
      <c r="AZ70" s="123" t="n">
        <v>38</v>
      </c>
      <c r="BA70" s="123" t="n">
        <f aca="false">0.95</f>
        <v>0.95</v>
      </c>
      <c r="BB70" s="123"/>
      <c r="BC70" s="123" t="str">
        <f aca="false">IF(OR(SUM($AM70)&lt;=0,$C70="&lt;01"),"",MAX(IF(OR(SUM($Y70)&lt;70%,LEFT($B70,4)="_Mil"),30%,IF(SUM($Y70)&gt;=80%,75%,50%)),SUM($BB70)))</f>
        <v/>
      </c>
      <c r="BD70" s="115" t="str">
        <f aca="false">IF($C70="&lt;01",IFERROR(ROUND(INDEX(EID!$M:$M,MATCH($B70,EID!$B:$B,0)),0)/2,""),IF(SUM($AY70)=0,"",ROUND(SUM($AY70)/SUM($BA70),0)))</f>
        <v/>
      </c>
      <c r="BE70" s="115" t="str">
        <f aca="false">IF($C70="&lt;01","",IF(SUM($BD70)=0,"",ROUND(SUM($BD70)*SUM($BC70),0)))</f>
        <v/>
      </c>
      <c r="BF70" s="115" t="str">
        <f aca="false">_xlfn.IFNA(INDEX(PMTCT!$AE:$AE,MATCH($E70,PMTCT!$E:$E,0)),"")</f>
        <v/>
      </c>
      <c r="BG70" s="115" t="str">
        <f aca="false">_xlfn.IFNA(INDEX(PMTCT!$AU:$AU,MATCH($E70,PMTCT!$E:$E,0)),"")</f>
        <v/>
      </c>
      <c r="BH70" s="115" t="n">
        <f aca="false">_xlfn.IFNA(INDEX(TB!$Q:$Q,MATCH($E70,TB!$E:$E,0)),"")</f>
        <v>-0</v>
      </c>
      <c r="BI70" s="115" t="str">
        <f aca="false">_xlfn.IFNA(INDEX(VMMC!$AC:$AC,MATCH($E70,VMMC!$E:$E,0)),"")</f>
        <v/>
      </c>
      <c r="BJ70" s="115" t="str">
        <f aca="false">IF($C70="&lt;01",$BD70,"")</f>
        <v/>
      </c>
      <c r="BK70" s="115" t="str">
        <f aca="false">IF(SUM($BD70)=0,"",($BD70)-SUM($BE70:$BJ70))</f>
        <v/>
      </c>
      <c r="BL70" s="123" t="str">
        <f aca="false">IF(OR(SUM($BD70)=0,SUM($BE70)=0),"",SUM($BE70)/$BD70)</f>
        <v/>
      </c>
      <c r="BM70" s="123" t="str">
        <f aca="false">IF(OR(SUM($BD70)=0,SUM($BF70)=0),"",SUM($BF70)/$BD70)</f>
        <v/>
      </c>
      <c r="BN70" s="123" t="str">
        <f aca="false">IF(OR(SUM($BD70)=0,SUM($BG70)=0),"",SUM($BG70)/$BD70)</f>
        <v/>
      </c>
      <c r="BO70" s="123" t="str">
        <f aca="false">IF(OR(SUM($BD70)=0,SUM($BH70)=0),"",SUM($BH70)/$BD70)</f>
        <v/>
      </c>
      <c r="BP70" s="123" t="str">
        <f aca="false">IF(OR(SUM($BD70)=0,SUM($BI70)=0),"",SUM($BI70)/$BD70)</f>
        <v/>
      </c>
      <c r="BQ70" s="123" t="str">
        <f aca="false">IF(AND($C70="&lt;01",SUM($BJ70)&lt;&gt;0),$BJ70/SUM($BD70),"")</f>
        <v/>
      </c>
      <c r="BR70" s="123" t="str">
        <f aca="false">IF(OR(SUM($BD70)=0,SUM($BK70)=0),"",SUM($BK70)/$BD70)</f>
        <v/>
      </c>
      <c r="BS70" s="122" t="n">
        <f aca="false">IF(SUM($X70)&lt;=0,"",$X70)</f>
        <v>0.0673076923076923</v>
      </c>
      <c r="BT70" s="115" t="n">
        <f aca="false">IF(LEFT($B70,4)="_Mil","",MAX(SUM($L70)+ROUND(SUM($BD70)/IF(SUM($BS70)&lt;=0,1,SUM($BS70)),0),0))</f>
        <v>93</v>
      </c>
    </row>
    <row r="71" customFormat="false" ht="15" hidden="false" customHeight="false" outlineLevel="0" collapsed="false">
      <c r="A71" s="0" t="s">
        <v>143</v>
      </c>
      <c r="B71" s="0" t="s">
        <v>115</v>
      </c>
      <c r="C71" s="0" t="s">
        <v>63</v>
      </c>
      <c r="D71" s="0" t="s">
        <v>56</v>
      </c>
      <c r="E71" s="0" t="str">
        <f aca="false">B71&amp;"|"&amp;C71&amp;"|"&amp;D71</f>
        <v>Butha Buthe [#SNU] [mvPRqBFtVC0]|15-19|Female</v>
      </c>
      <c r="F71" s="115" t="n">
        <f aca="false">_xlfn.IFNA(ROUND(INDEX(Spectrum!$N:$N,MATCH(RIGHT($B71,13)&amp;"|"&amp;$C71&amp;"|"&amp;$D71&amp;"|"&amp;F$14&amp;"|"&amp;"CY2021Q3",Spectrum!$Q:$Q,0)),0),"")</f>
        <v>5631</v>
      </c>
      <c r="G71" s="123" t="n">
        <f aca="false">_xlfn.IFNA(INDEX(Spectrum!$P:$P,MATCH(RIGHT($B71,13)&amp;"|"&amp;$C71&amp;"|"&amp;$D71&amp;"|"&amp;F$14&amp;"|"&amp;"CY2021Q3",Spectrum!$Q:$Q,0)),"")</f>
        <v>4</v>
      </c>
      <c r="H71" s="115" t="n">
        <f aca="false">_xlfn.IFNA(ROUND(INDEX(Spectrum!$N:$N,MATCH(RIGHT($B71,13)&amp;"|"&amp;$C71&amp;"|"&amp;$D71&amp;"|"&amp;H$14&amp;"|"&amp;"CY2021Q3",Spectrum!$Q:$Q,0)),0),"")</f>
        <v>208</v>
      </c>
      <c r="I71" s="123" t="n">
        <f aca="false">_xlfn.IFNA(INDEX(Spectrum!$P:$P,MATCH(RIGHT($B71,13)&amp;"|"&amp;$C71&amp;"|"&amp;$D71&amp;"|"&amp;H$14&amp;"|"&amp;"CY2021Q3",Spectrum!$Q:$Q,0)),"")</f>
        <v>1</v>
      </c>
      <c r="J71" s="117" t="n">
        <f aca="false">_xlfn.IFNA(INDEX(Spectrum!$N:$N,MATCH(RIGHT($B71,13)&amp;"|"&amp;$C71&amp;"|"&amp;$D71&amp;"|"&amp;J$14&amp;"|"&amp;"CY2021Q3",Spectrum!$Q:$Q,0)),"")</f>
        <v>0.0368598</v>
      </c>
      <c r="K71" s="123" t="n">
        <f aca="false">_xlfn.IFNA(INDEX(Spectrum!$P:$P,MATCH(RIGHT($B71,13)&amp;"|"&amp;$C71&amp;"|"&amp;$D71&amp;"|"&amp;J$14&amp;"|"&amp;"CY2021Q3",Spectrum!$Q:$Q,0)),"")</f>
        <v>18</v>
      </c>
      <c r="L71" s="115" t="n">
        <f aca="false">_xlfn.IFNA(ROUND(INDEX(Spectrum!$N:$N,MATCH(RIGHT($B71,13)&amp;"|"&amp;$C71&amp;"|"&amp;$D71&amp;"|"&amp;L$14&amp;"|"&amp;"CY2021Q3",Spectrum!$Q:$Q,0)),0),"")</f>
        <v>182</v>
      </c>
      <c r="M71" s="123" t="n">
        <f aca="false">IF(OR(SUM($H71)&lt;=0,SUM($L71)&lt;=0),"",SUM($L71)/$H71)</f>
        <v>0.875</v>
      </c>
      <c r="N71" s="115" t="str">
        <f aca="false">_xlfn.IFNA(ROUND(INDEX(Spectrum!$N:$N,MATCH(RIGHT($B71,13)&amp;"|"&amp;$C71&amp;"|"&amp;$D71&amp;"|"&amp;N$14&amp;"|"&amp;"CY2020Q4",Spectrum!$Q:$Q,0)),0),"")</f>
        <v/>
      </c>
      <c r="O71" s="123" t="str">
        <f aca="false">_xlfn.IFNA(INDEX(Spectrum!$P:$P,MATCH(RIGHT($B71,13)&amp;"|"&amp;$C71&amp;"|"&amp;$D71&amp;"|"&amp;N$14&amp;"|"&amp;"CY2020Q4",Spectrum!$Q:$Q,0)),"")</f>
        <v/>
      </c>
      <c r="P71" s="115" t="n">
        <f aca="false">_xlfn.IFNA(ROUND(INDEX(Spectrum!$N:$N,MATCH(RIGHT($B71,13)&amp;"|"&amp;$C71&amp;"|"&amp;$D71&amp;"|"&amp;P$14&amp;"|"&amp;"CY2021Q3",Spectrum!$Q:$Q,0)),0),"")</f>
        <v>158</v>
      </c>
      <c r="Q71" s="123" t="n">
        <f aca="false">_xlfn.IFNA(INDEX(Spectrum!$P:$P,MATCH(RIGHT($B71,13)&amp;"|"&amp;$C71&amp;"|"&amp;$D71&amp;"|"&amp;P$14&amp;"|"&amp;"CY2021Q3",Spectrum!$Q:$Q,0)),"")</f>
        <v>38</v>
      </c>
      <c r="R71" s="115"/>
      <c r="S71" s="123" t="str">
        <f aca="false">IF(OR(SUM($P71)&lt;=0,SUM($R71)&lt;=0),"",SUM($R71)/$P71)</f>
        <v/>
      </c>
      <c r="T71" s="139" t="n">
        <v>24</v>
      </c>
      <c r="U71" s="124" t="n">
        <v>28</v>
      </c>
      <c r="V71" s="124" t="n">
        <f aca="false">IF($U71-$T71=0,"",$U71-$T71)</f>
        <v>4</v>
      </c>
      <c r="W71" s="123" t="n">
        <f aca="false">IF(LEFT($B71,4)="_Mil","",IFERROR(MIN(IF(SUM($N71)&lt;=0,SUM($U71)/SUM($P71),SUM($T71)/SUM($N71)),1),""))</f>
        <v>0.177215189873418</v>
      </c>
      <c r="X71" s="123" t="n">
        <f aca="false">$W71</f>
        <v>0.177215189873418</v>
      </c>
      <c r="Y71" s="123" t="n">
        <f aca="false">IFERROR(1/(1/INDEX(Spectrum!$N:$N,MATCH(RIGHT($B71,13)&amp;"|"&amp;$C71&amp;"|"&amp;$D71&amp;"|"&amp;Y$14&amp;"|"&amp;"CY2021Q3",Spectrum!$Q:$Q,0))),IF(SUM($H71)=0,"",MAX(SUM($P71),SUM($U71))/SUM($H71)))</f>
        <v>0.759615384615385</v>
      </c>
      <c r="Z71" s="123" t="n">
        <f aca="false">IF(SUM($Y71)=0,"",MAX(SUM($Y71),90%))</f>
        <v>0.9</v>
      </c>
      <c r="AA71" s="115" t="n">
        <f aca="false">IF(LEFT($B71,4)="_Mil","",ROUND(MAX(SUM($U71),SUM($P71))+IF(SUM($Z71)=0,0,MAX(SUM($Z71)-SUM($Y71),0)*SUM($H71)),0))</f>
        <v>187</v>
      </c>
      <c r="AB71" s="115" t="n">
        <f aca="false">IF(SUM($AA71)=0,"",ROUND(MAX(SUM($AA71)-MAX(SUM($P71),SUM($U71)),0),0))</f>
        <v>29</v>
      </c>
      <c r="AC71" s="126" t="str">
        <f aca="false">IF($C71="&lt;01",IFERROR(ROUND(INDEX(EID!$N:$N,MATCH($B71,EID!$B:$B,0))/2,0),""),"")</f>
        <v/>
      </c>
      <c r="AD71" s="115" t="n">
        <f aca="false">IF($C71="&lt;01",IF(SUM($AC71)=0,"",ROUND(SUM($AC71)/$AG71,0)),IF(SUM($AB71)=0,"",ROUND(MAX($X71,0)*SUM($AB71),0)))</f>
        <v>5</v>
      </c>
      <c r="AE71" s="115" t="n">
        <f aca="false">IF(AND(SUM($AD71)=0,SUM($U71)=0),"",ROUND(IF($C71="&lt;01",0,SUM($U71))+SUM($AD71),0))</f>
        <v>33</v>
      </c>
      <c r="AF71" s="122" t="n">
        <f aca="false">IF($C71="&lt;01","",100%)</f>
        <v>1</v>
      </c>
      <c r="AG71" s="123" t="n">
        <f aca="false">0.98</f>
        <v>0.98</v>
      </c>
      <c r="AH71" s="123" t="n">
        <f aca="false">0.98</f>
        <v>0.98</v>
      </c>
      <c r="AI71" s="124" t="n">
        <f aca="false">IF(OR($C71="&lt;01",SUM($U71)=0),"",ROUND(SUM($U71)*(1-$AH71),0))</f>
        <v>1</v>
      </c>
      <c r="AJ71" s="124" t="n">
        <f aca="false">IF(AND(SUM($AE71)=0,SUM($U71)=0),"",IF($C71="&lt;01",SUM($AD71),SUM($AE71) - ROUND(SUM($U71)*$AH71,0)))</f>
        <v>6</v>
      </c>
      <c r="AK71" s="124" t="n">
        <v>23</v>
      </c>
      <c r="AL71" s="124" t="n">
        <v>31</v>
      </c>
      <c r="AM71" s="115" t="n">
        <f aca="false">IF(AND(SUM($AD71)=0,SUM($U71)=0),"",IF($C71="&lt;01",SUM($AD71),ROUND(ROUND(SUM($AJ71)*$AF71,0)/$AG71,0)))</f>
        <v>6</v>
      </c>
      <c r="AN71" s="122" t="n">
        <f aca="false">0.7</f>
        <v>0.7</v>
      </c>
      <c r="AO71" s="123" t="n">
        <f aca="false">1</f>
        <v>1</v>
      </c>
      <c r="AP71" s="115" t="n">
        <f aca="false">IF(AND(SUM($U71)=0,SUM($AM71)=0),"",ROUND((SUM($AM71)*$AN71+IF($C71="&lt;01",0,$U71))*$AO71,0))</f>
        <v>32</v>
      </c>
      <c r="AQ71" s="122" t="n">
        <v>33</v>
      </c>
      <c r="AR71" s="123" t="n">
        <f aca="false">0.95</f>
        <v>0.95</v>
      </c>
      <c r="AS71" s="123" t="n">
        <f aca="false">0.95</f>
        <v>0.95</v>
      </c>
      <c r="AT71" s="115" t="n">
        <f aca="false">IF(SUM($AP71)=0,"",ROUND(SUM($AP71)*$AR71,0))</f>
        <v>30</v>
      </c>
      <c r="AU71" s="115" t="n">
        <f aca="false">IF(LEFT($B71,4)="_Mil","",ROUND(SUM($AA71)*SUM($AS71),0))</f>
        <v>178</v>
      </c>
      <c r="AV71" s="124" t="n">
        <f aca="false">IF(SUM($AU71)&lt;=0,"",MAX(SUM($AU71)-SUM($R71),0))</f>
        <v>178</v>
      </c>
      <c r="AW71" s="122" t="n">
        <f aca="false">0</f>
        <v>0</v>
      </c>
      <c r="AX71" s="124" t="n">
        <f aca="false">IF(SUM($AM71)=0,"",ROUND(SUM($AM71)*SUM($AW71),0))</f>
        <v>0</v>
      </c>
      <c r="AY71" s="124" t="n">
        <f aca="false">IF(SUM($AM71)=0,"",SUM($AM71)-SUM($AX71))</f>
        <v>6</v>
      </c>
      <c r="AZ71" s="123" t="n">
        <v>43</v>
      </c>
      <c r="BA71" s="123" t="n">
        <f aca="false">0.95</f>
        <v>0.95</v>
      </c>
      <c r="BB71" s="123"/>
      <c r="BC71" s="123" t="n">
        <f aca="false">IF(OR(SUM($AM71)&lt;=0,$C71="&lt;01"),"",MAX(IF(OR(SUM($Y71)&lt;70%,LEFT($B71,4)="_Mil"),30%,IF(SUM($Y71)&gt;=80%,75%,50%)),SUM($BB71)))</f>
        <v>0.5</v>
      </c>
      <c r="BD71" s="115" t="n">
        <f aca="false">IF($C71="&lt;01",IFERROR(ROUND(INDEX(EID!$M:$M,MATCH($B71,EID!$B:$B,0)),0)/2,""),IF(SUM($AY71)=0,"",ROUND(SUM($AY71)/SUM($BA71),0)))</f>
        <v>6</v>
      </c>
      <c r="BE71" s="115" t="n">
        <f aca="false">IF($C71="&lt;01","",IF(SUM($BD71)=0,"",ROUND(SUM($BD71)*SUM($BC71),0)))</f>
        <v>3</v>
      </c>
      <c r="BF71" s="115" t="n">
        <f aca="false">_xlfn.IFNA(INDEX(PMTCT!$AE:$AE,MATCH($E71,PMTCT!$E:$E,0)),"")</f>
        <v>-2961</v>
      </c>
      <c r="BG71" s="115" t="str">
        <f aca="false">_xlfn.IFNA(INDEX(PMTCT!$AU:$AU,MATCH($E71,PMTCT!$E:$E,0)),"")</f>
        <v/>
      </c>
      <c r="BH71" s="115" t="n">
        <f aca="false">_xlfn.IFNA(INDEX(TB!$Q:$Q,MATCH($E71,TB!$E:$E,0)),"")</f>
        <v>0</v>
      </c>
      <c r="BI71" s="115" t="str">
        <f aca="false">_xlfn.IFNA(INDEX(VMMC!$AC:$AC,MATCH($E71,VMMC!$E:$E,0)),"")</f>
        <v/>
      </c>
      <c r="BJ71" s="115" t="str">
        <f aca="false">IF($C71="&lt;01",$BD71,"")</f>
        <v/>
      </c>
      <c r="BK71" s="115" t="n">
        <f aca="false">IF(SUM($BD71)=0,"",($BD71)-SUM($BE71:$BJ71))</f>
        <v>2964</v>
      </c>
      <c r="BL71" s="123" t="n">
        <f aca="false">IF(OR(SUM($BD71)=0,SUM($BE71)=0),"",SUM($BE71)/$BD71)</f>
        <v>0.5</v>
      </c>
      <c r="BM71" s="123" t="n">
        <f aca="false">IF(OR(SUM($BD71)=0,SUM($BF71)=0),"",SUM($BF71)/$BD71)</f>
        <v>-493.5</v>
      </c>
      <c r="BN71" s="123" t="str">
        <f aca="false">IF(OR(SUM($BD71)=0,SUM($BG71)=0),"",SUM($BG71)/$BD71)</f>
        <v/>
      </c>
      <c r="BO71" s="123" t="str">
        <f aca="false">IF(OR(SUM($BD71)=0,SUM($BH71)=0),"",SUM($BH71)/$BD71)</f>
        <v/>
      </c>
      <c r="BP71" s="123" t="str">
        <f aca="false">IF(OR(SUM($BD71)=0,SUM($BI71)=0),"",SUM($BI71)/$BD71)</f>
        <v/>
      </c>
      <c r="BQ71" s="123" t="str">
        <f aca="false">IF(AND($C71="&lt;01",SUM($BJ71)&lt;&gt;0),$BJ71/SUM($BD71),"")</f>
        <v/>
      </c>
      <c r="BR71" s="123" t="n">
        <f aca="false">IF(OR(SUM($BD71)=0,SUM($BK71)=0),"",SUM($BK71)/$BD71)</f>
        <v>494</v>
      </c>
      <c r="BS71" s="122" t="n">
        <f aca="false">IF(SUM($X71)&lt;=0,"",$X71)</f>
        <v>0.177215189873418</v>
      </c>
      <c r="BT71" s="115" t="n">
        <f aca="false">IF(LEFT($B71,4)="_Mil","",MAX(SUM($L71)+ROUND(SUM($BD71)/IF(SUM($BS71)&lt;=0,1,SUM($BS71)),0),0))</f>
        <v>216</v>
      </c>
    </row>
    <row r="72" customFormat="false" ht="15" hidden="false" customHeight="false" outlineLevel="0" collapsed="false">
      <c r="A72" s="0" t="s">
        <v>143</v>
      </c>
      <c r="B72" s="0" t="s">
        <v>115</v>
      </c>
      <c r="C72" s="0" t="s">
        <v>63</v>
      </c>
      <c r="D72" s="0" t="s">
        <v>58</v>
      </c>
      <c r="E72" s="0" t="str">
        <f aca="false">B72&amp;"|"&amp;C72&amp;"|"&amp;D72</f>
        <v>Butha Buthe [#SNU] [mvPRqBFtVC0]|15-19|Male</v>
      </c>
      <c r="F72" s="115" t="n">
        <f aca="false">_xlfn.IFNA(ROUND(INDEX(Spectrum!$N:$N,MATCH(RIGHT($B72,13)&amp;"|"&amp;$C72&amp;"|"&amp;$D72&amp;"|"&amp;F$14&amp;"|"&amp;"CY2021Q3",Spectrum!$Q:$Q,0)),0),"")</f>
        <v>5380</v>
      </c>
      <c r="G72" s="123" t="n">
        <f aca="false">_xlfn.IFNA(INDEX(Spectrum!$P:$P,MATCH(RIGHT($B72,13)&amp;"|"&amp;$C72&amp;"|"&amp;$D72&amp;"|"&amp;F$14&amp;"|"&amp;"CY2021Q3",Spectrum!$Q:$Q,0)),"")</f>
        <v>24</v>
      </c>
      <c r="H72" s="115" t="n">
        <f aca="false">_xlfn.IFNA(ROUND(INDEX(Spectrum!$N:$N,MATCH(RIGHT($B72,13)&amp;"|"&amp;$C72&amp;"|"&amp;$D72&amp;"|"&amp;H$14&amp;"|"&amp;"CY2021Q3",Spectrum!$Q:$Q,0)),0),"")</f>
        <v>117</v>
      </c>
      <c r="I72" s="123" t="n">
        <f aca="false">_xlfn.IFNA(INDEX(Spectrum!$P:$P,MATCH(RIGHT($B72,13)&amp;"|"&amp;$C72&amp;"|"&amp;$D72&amp;"|"&amp;H$14&amp;"|"&amp;"CY2021Q3",Spectrum!$Q:$Q,0)),"")</f>
        <v>37</v>
      </c>
      <c r="J72" s="117" t="n">
        <f aca="false">_xlfn.IFNA(INDEX(Spectrum!$N:$N,MATCH(RIGHT($B72,13)&amp;"|"&amp;$C72&amp;"|"&amp;$D72&amp;"|"&amp;J$14&amp;"|"&amp;"CY2021Q3",Spectrum!$Q:$Q,0)),"")</f>
        <v>0.0217786</v>
      </c>
      <c r="K72" s="123" t="n">
        <f aca="false">_xlfn.IFNA(INDEX(Spectrum!$P:$P,MATCH(RIGHT($B72,13)&amp;"|"&amp;$C72&amp;"|"&amp;$D72&amp;"|"&amp;J$14&amp;"|"&amp;"CY2021Q3",Spectrum!$Q:$Q,0)),"")</f>
        <v>41</v>
      </c>
      <c r="L72" s="115" t="n">
        <f aca="false">_xlfn.IFNA(ROUND(INDEX(Spectrum!$N:$N,MATCH(RIGHT($B72,13)&amp;"|"&amp;$C72&amp;"|"&amp;$D72&amp;"|"&amp;L$14&amp;"|"&amp;"CY2021Q3",Spectrum!$Q:$Q,0)),0),"")</f>
        <v>127</v>
      </c>
      <c r="M72" s="123" t="n">
        <f aca="false">IF(OR(SUM($H72)&lt;=0,SUM($L72)&lt;=0),"",SUM($L72)/$H72)</f>
        <v>1.08547008547009</v>
      </c>
      <c r="N72" s="115" t="str">
        <f aca="false">_xlfn.IFNA(ROUND(INDEX(Spectrum!$N:$N,MATCH(RIGHT($B72,13)&amp;"|"&amp;$C72&amp;"|"&amp;$D72&amp;"|"&amp;N$14&amp;"|"&amp;"CY2020Q4",Spectrum!$Q:$Q,0)),0),"")</f>
        <v/>
      </c>
      <c r="O72" s="123" t="str">
        <f aca="false">_xlfn.IFNA(INDEX(Spectrum!$P:$P,MATCH(RIGHT($B72,13)&amp;"|"&amp;$C72&amp;"|"&amp;$D72&amp;"|"&amp;N$14&amp;"|"&amp;"CY2020Q4",Spectrum!$Q:$Q,0)),"")</f>
        <v/>
      </c>
      <c r="P72" s="115" t="n">
        <f aca="false">_xlfn.IFNA(ROUND(INDEX(Spectrum!$N:$N,MATCH(RIGHT($B72,13)&amp;"|"&amp;$C72&amp;"|"&amp;$D72&amp;"|"&amp;P$14&amp;"|"&amp;"CY2021Q3",Spectrum!$Q:$Q,0)),0),"")</f>
        <v>113</v>
      </c>
      <c r="Q72" s="123" t="n">
        <f aca="false">_xlfn.IFNA(INDEX(Spectrum!$P:$P,MATCH(RIGHT($B72,13)&amp;"|"&amp;$C72&amp;"|"&amp;$D72&amp;"|"&amp;P$14&amp;"|"&amp;"CY2021Q3",Spectrum!$Q:$Q,0)),"")</f>
        <v>45</v>
      </c>
      <c r="R72" s="115"/>
      <c r="S72" s="123" t="str">
        <f aca="false">IF(OR(SUM($P72)&lt;=0,SUM($R72)&lt;=0),"",SUM($R72)/$P72)</f>
        <v/>
      </c>
      <c r="T72" s="139" t="n">
        <v>40</v>
      </c>
      <c r="U72" s="124" t="n">
        <v>47</v>
      </c>
      <c r="V72" s="124" t="n">
        <f aca="false">IF($U72-$T72=0,"",$U72-$T72)</f>
        <v>7</v>
      </c>
      <c r="W72" s="123" t="n">
        <f aca="false">IF(LEFT($B72,4)="_Mil","",IFERROR(MIN(IF(SUM($N72)&lt;=0,SUM($U72)/SUM($P72),SUM($T72)/SUM($N72)),1),""))</f>
        <v>0.415929203539823</v>
      </c>
      <c r="X72" s="123" t="n">
        <f aca="false">$W72</f>
        <v>0.415929203539823</v>
      </c>
      <c r="Y72" s="123" t="n">
        <f aca="false">IFERROR(1/(1/INDEX(Spectrum!$N:$N,MATCH(RIGHT($B72,13)&amp;"|"&amp;$C72&amp;"|"&amp;$D72&amp;"|"&amp;Y$14&amp;"|"&amp;"CY2021Q3",Spectrum!$Q:$Q,0))),IF(SUM($H72)=0,"",MAX(SUM($P72),SUM($U72))/SUM($H72)))</f>
        <v>0.965811965811966</v>
      </c>
      <c r="Z72" s="123" t="n">
        <f aca="false">IF(SUM($Y72)=0,"",MAX(SUM($Y72),90%))</f>
        <v>0.965811965811966</v>
      </c>
      <c r="AA72" s="115" t="n">
        <f aca="false">IF(LEFT($B72,4)="_Mil","",ROUND(MAX(SUM($U72),SUM($P72))+IF(SUM($Z72)=0,0,MAX(SUM($Z72)-SUM($Y72),0)*SUM($H72)),0))</f>
        <v>113</v>
      </c>
      <c r="AB72" s="115" t="n">
        <f aca="false">IF(SUM($AA72)=0,"",ROUND(MAX(SUM($AA72)-MAX(SUM($P72),SUM($U72)),0),0))</f>
        <v>0</v>
      </c>
      <c r="AC72" s="126" t="str">
        <f aca="false">IF($C72="&lt;01",IFERROR(ROUND(INDEX(EID!$N:$N,MATCH($B72,EID!$B:$B,0))/2,0),""),"")</f>
        <v/>
      </c>
      <c r="AD72" s="115" t="str">
        <f aca="false">IF($C72="&lt;01",IF(SUM($AC72)=0,"",ROUND(SUM($AC72)/$AG72,0)),IF(SUM($AB72)=0,"",ROUND(MAX($X72,0)*SUM($AB72),0)))</f>
        <v/>
      </c>
      <c r="AE72" s="115" t="n">
        <f aca="false">IF(AND(SUM($AD72)=0,SUM($U72)=0),"",ROUND(IF($C72="&lt;01",0,SUM($U72))+SUM($AD72),0))</f>
        <v>47</v>
      </c>
      <c r="AF72" s="122" t="n">
        <f aca="false">IF($C72="&lt;01","",100%)</f>
        <v>1</v>
      </c>
      <c r="AG72" s="123" t="n">
        <f aca="false">0.98</f>
        <v>0.98</v>
      </c>
      <c r="AH72" s="123" t="n">
        <f aca="false">0.98</f>
        <v>0.98</v>
      </c>
      <c r="AI72" s="124" t="n">
        <f aca="false">IF(OR($C72="&lt;01",SUM($U72)=0),"",ROUND(SUM($U72)*(1-$AH72),0))</f>
        <v>1</v>
      </c>
      <c r="AJ72" s="124" t="n">
        <f aca="false">IF(AND(SUM($AE72)=0,SUM($U72)=0),"",IF($C72="&lt;01",SUM($AD72),SUM($AE72) - ROUND(SUM($U72)*$AH72,0)))</f>
        <v>1</v>
      </c>
      <c r="AK72" s="124" t="n">
        <v>24</v>
      </c>
      <c r="AL72" s="124" t="n">
        <v>29</v>
      </c>
      <c r="AM72" s="115" t="n">
        <f aca="false">IF(AND(SUM($AD72)=0,SUM($U72)=0),"",IF($C72="&lt;01",SUM($AD72),ROUND(ROUND(SUM($AJ72)*$AF72,0)/$AG72,0)))</f>
        <v>1</v>
      </c>
      <c r="AN72" s="122" t="n">
        <f aca="false">0.7</f>
        <v>0.7</v>
      </c>
      <c r="AO72" s="123" t="n">
        <f aca="false">1</f>
        <v>1</v>
      </c>
      <c r="AP72" s="115" t="n">
        <f aca="false">IF(AND(SUM($U72)=0,SUM($AM72)=0),"",ROUND((SUM($AM72)*$AN72+IF($C72="&lt;01",0,$U72))*$AO72,0))</f>
        <v>48</v>
      </c>
      <c r="AQ72" s="122" t="n">
        <v>32</v>
      </c>
      <c r="AR72" s="123" t="n">
        <f aca="false">0.95</f>
        <v>0.95</v>
      </c>
      <c r="AS72" s="123" t="n">
        <f aca="false">0.95</f>
        <v>0.95</v>
      </c>
      <c r="AT72" s="115" t="n">
        <f aca="false">IF(SUM($AP72)=0,"",ROUND(SUM($AP72)*$AR72,0))</f>
        <v>46</v>
      </c>
      <c r="AU72" s="115" t="n">
        <f aca="false">IF(LEFT($B72,4)="_Mil","",ROUND(SUM($AA72)*SUM($AS72),0))</f>
        <v>107</v>
      </c>
      <c r="AV72" s="124" t="n">
        <f aca="false">IF(SUM($AU72)&lt;=0,"",MAX(SUM($AU72)-SUM($R72),0))</f>
        <v>107</v>
      </c>
      <c r="AW72" s="122" t="n">
        <f aca="false">0</f>
        <v>0</v>
      </c>
      <c r="AX72" s="124" t="n">
        <f aca="false">IF(SUM($AM72)=0,"",ROUND(SUM($AM72)*SUM($AW72),0))</f>
        <v>0</v>
      </c>
      <c r="AY72" s="124" t="n">
        <f aca="false">IF(SUM($AM72)=0,"",SUM($AM72)-SUM($AX72))</f>
        <v>1</v>
      </c>
      <c r="AZ72" s="123" t="n">
        <v>35</v>
      </c>
      <c r="BA72" s="123" t="n">
        <f aca="false">0.95</f>
        <v>0.95</v>
      </c>
      <c r="BB72" s="123"/>
      <c r="BC72" s="123" t="n">
        <f aca="false">IF(OR(SUM($AM72)&lt;=0,$C72="&lt;01"),"",MAX(IF(OR(SUM($Y72)&lt;70%,LEFT($B72,4)="_Mil"),30%,IF(SUM($Y72)&gt;=80%,75%,50%)),SUM($BB72)))</f>
        <v>0.75</v>
      </c>
      <c r="BD72" s="115" t="n">
        <f aca="false">IF($C72="&lt;01",IFERROR(ROUND(INDEX(EID!$M:$M,MATCH($B72,EID!$B:$B,0)),0)/2,""),IF(SUM($AY72)=0,"",ROUND(SUM($AY72)/SUM($BA72),0)))</f>
        <v>1</v>
      </c>
      <c r="BE72" s="115" t="n">
        <f aca="false">IF($C72="&lt;01","",IF(SUM($BD72)=0,"",ROUND(SUM($BD72)*SUM($BC72),0)))</f>
        <v>1</v>
      </c>
      <c r="BF72" s="115" t="str">
        <f aca="false">_xlfn.IFNA(INDEX(PMTCT!$AE:$AE,MATCH($E72,PMTCT!$E:$E,0)),"")</f>
        <v/>
      </c>
      <c r="BG72" s="115" t="str">
        <f aca="false">_xlfn.IFNA(INDEX(PMTCT!$AU:$AU,MATCH($E72,PMTCT!$E:$E,0)),"")</f>
        <v/>
      </c>
      <c r="BH72" s="115" t="n">
        <f aca="false">_xlfn.IFNA(INDEX(TB!$Q:$Q,MATCH($E72,TB!$E:$E,0)),"")</f>
        <v>0</v>
      </c>
      <c r="BI72" s="115" t="str">
        <f aca="false">_xlfn.IFNA(INDEX(VMMC!$AC:$AC,MATCH($E72,VMMC!$E:$E,0)),"")</f>
        <v/>
      </c>
      <c r="BJ72" s="115" t="str">
        <f aca="false">IF($C72="&lt;01",$BD72,"")</f>
        <v/>
      </c>
      <c r="BK72" s="115" t="n">
        <f aca="false">IF(SUM($BD72)=0,"",($BD72)-SUM($BE72:$BJ72))</f>
        <v>0</v>
      </c>
      <c r="BL72" s="123" t="n">
        <f aca="false">IF(OR(SUM($BD72)=0,SUM($BE72)=0),"",SUM($BE72)/$BD72)</f>
        <v>1</v>
      </c>
      <c r="BM72" s="123" t="str">
        <f aca="false">IF(OR(SUM($BD72)=0,SUM($BF72)=0),"",SUM($BF72)/$BD72)</f>
        <v/>
      </c>
      <c r="BN72" s="123" t="str">
        <f aca="false">IF(OR(SUM($BD72)=0,SUM($BG72)=0),"",SUM($BG72)/$BD72)</f>
        <v/>
      </c>
      <c r="BO72" s="123" t="str">
        <f aca="false">IF(OR(SUM($BD72)=0,SUM($BH72)=0),"",SUM($BH72)/$BD72)</f>
        <v/>
      </c>
      <c r="BP72" s="123" t="str">
        <f aca="false">IF(OR(SUM($BD72)=0,SUM($BI72)=0),"",SUM($BI72)/$BD72)</f>
        <v/>
      </c>
      <c r="BQ72" s="123" t="str">
        <f aca="false">IF(AND($C72="&lt;01",SUM($BJ72)&lt;&gt;0),$BJ72/SUM($BD72),"")</f>
        <v/>
      </c>
      <c r="BR72" s="123" t="str">
        <f aca="false">IF(OR(SUM($BD72)=0,SUM($BK72)=0),"",SUM($BK72)/$BD72)</f>
        <v/>
      </c>
      <c r="BS72" s="122" t="n">
        <f aca="false">IF(SUM($X72)&lt;=0,"",$X72)</f>
        <v>0.415929203539823</v>
      </c>
      <c r="BT72" s="115" t="n">
        <f aca="false">IF(LEFT($B72,4)="_Mil","",MAX(SUM($L72)+ROUND(SUM($BD72)/IF(SUM($BS72)&lt;=0,1,SUM($BS72)),0),0))</f>
        <v>129</v>
      </c>
    </row>
    <row r="73" customFormat="false" ht="15" hidden="false" customHeight="false" outlineLevel="0" collapsed="false">
      <c r="A73" s="0" t="s">
        <v>143</v>
      </c>
      <c r="B73" s="0" t="s">
        <v>115</v>
      </c>
      <c r="C73" s="0" t="s">
        <v>66</v>
      </c>
      <c r="D73" s="0" t="s">
        <v>56</v>
      </c>
      <c r="E73" s="0" t="str">
        <f aca="false">B73&amp;"|"&amp;C73&amp;"|"&amp;D73</f>
        <v>Butha Buthe [#SNU] [mvPRqBFtVC0]|20-24|Female</v>
      </c>
      <c r="F73" s="115" t="n">
        <f aca="false">_xlfn.IFNA(ROUND(INDEX(Spectrum!$N:$N,MATCH(RIGHT($B73,13)&amp;"|"&amp;$C73&amp;"|"&amp;$D73&amp;"|"&amp;F$14&amp;"|"&amp;"CY2021Q3",Spectrum!$Q:$Q,0)),0),"")</f>
        <v>5471</v>
      </c>
      <c r="G73" s="123" t="n">
        <f aca="false">_xlfn.IFNA(INDEX(Spectrum!$P:$P,MATCH(RIGHT($B73,13)&amp;"|"&amp;$C73&amp;"|"&amp;$D73&amp;"|"&amp;F$14&amp;"|"&amp;"CY2021Q3",Spectrum!$Q:$Q,0)),"")</f>
        <v>26</v>
      </c>
      <c r="H73" s="115" t="n">
        <f aca="false">_xlfn.IFNA(ROUND(INDEX(Spectrum!$N:$N,MATCH(RIGHT($B73,13)&amp;"|"&amp;$C73&amp;"|"&amp;$D73&amp;"|"&amp;H$14&amp;"|"&amp;"CY2021Q3",Spectrum!$Q:$Q,0)),0),"")</f>
        <v>550</v>
      </c>
      <c r="I73" s="123" t="n">
        <f aca="false">_xlfn.IFNA(INDEX(Spectrum!$P:$P,MATCH(RIGHT($B73,13)&amp;"|"&amp;$C73&amp;"|"&amp;$D73&amp;"|"&amp;H$14&amp;"|"&amp;"CY2021Q3",Spectrum!$Q:$Q,0)),"")</f>
        <v>15</v>
      </c>
      <c r="J73" s="117" t="n">
        <f aca="false">_xlfn.IFNA(INDEX(Spectrum!$N:$N,MATCH(RIGHT($B73,13)&amp;"|"&amp;$C73&amp;"|"&amp;$D73&amp;"|"&amp;J$14&amp;"|"&amp;"CY2021Q3",Spectrum!$Q:$Q,0)),"")</f>
        <v>0.1004954</v>
      </c>
      <c r="K73" s="123" t="n">
        <f aca="false">_xlfn.IFNA(INDEX(Spectrum!$P:$P,MATCH(RIGHT($B73,13)&amp;"|"&amp;$C73&amp;"|"&amp;$D73&amp;"|"&amp;J$14&amp;"|"&amp;"CY2021Q3",Spectrum!$Q:$Q,0)),"")</f>
        <v>2</v>
      </c>
      <c r="L73" s="115" t="n">
        <f aca="false">_xlfn.IFNA(ROUND(INDEX(Spectrum!$N:$N,MATCH(RIGHT($B73,13)&amp;"|"&amp;$C73&amp;"|"&amp;$D73&amp;"|"&amp;L$14&amp;"|"&amp;"CY2021Q3",Spectrum!$Q:$Q,0)),0),"")</f>
        <v>450</v>
      </c>
      <c r="M73" s="123" t="n">
        <f aca="false">IF(OR(SUM($H73)&lt;=0,SUM($L73)&lt;=0),"",SUM($L73)/$H73)</f>
        <v>0.818181818181818</v>
      </c>
      <c r="N73" s="115" t="str">
        <f aca="false">_xlfn.IFNA(ROUND(INDEX(Spectrum!$N:$N,MATCH(RIGHT($B73,13)&amp;"|"&amp;$C73&amp;"|"&amp;$D73&amp;"|"&amp;N$14&amp;"|"&amp;"CY2020Q4",Spectrum!$Q:$Q,0)),0),"")</f>
        <v/>
      </c>
      <c r="O73" s="123" t="str">
        <f aca="false">_xlfn.IFNA(INDEX(Spectrum!$P:$P,MATCH(RIGHT($B73,13)&amp;"|"&amp;$C73&amp;"|"&amp;$D73&amp;"|"&amp;N$14&amp;"|"&amp;"CY2020Q4",Spectrum!$Q:$Q,0)),"")</f>
        <v/>
      </c>
      <c r="P73" s="115" t="n">
        <f aca="false">_xlfn.IFNA(ROUND(INDEX(Spectrum!$N:$N,MATCH(RIGHT($B73,13)&amp;"|"&amp;$C73&amp;"|"&amp;$D73&amp;"|"&amp;P$14&amp;"|"&amp;"CY2021Q3",Spectrum!$Q:$Q,0)),0),"")</f>
        <v>370</v>
      </c>
      <c r="Q73" s="123" t="n">
        <f aca="false">_xlfn.IFNA(INDEX(Spectrum!$P:$P,MATCH(RIGHT($B73,13)&amp;"|"&amp;$C73&amp;"|"&amp;$D73&amp;"|"&amp;P$14&amp;"|"&amp;"CY2021Q3",Spectrum!$Q:$Q,0)),"")</f>
        <v>16</v>
      </c>
      <c r="R73" s="115"/>
      <c r="S73" s="123" t="str">
        <f aca="false">IF(OR(SUM($P73)&lt;=0,SUM($R73)&lt;=0),"",SUM($R73)/$P73)</f>
        <v/>
      </c>
      <c r="T73" s="139" t="n">
        <v>49</v>
      </c>
      <c r="U73" s="124" t="n">
        <v>37</v>
      </c>
      <c r="V73" s="124" t="n">
        <f aca="false">IF($U73-$T73=0,"",$U73-$T73)</f>
        <v>-12</v>
      </c>
      <c r="W73" s="123" t="n">
        <f aca="false">IF(LEFT($B73,4)="_Mil","",IFERROR(MIN(IF(SUM($N73)&lt;=0,SUM($U73)/SUM($P73),SUM($T73)/SUM($N73)),1),""))</f>
        <v>0.1</v>
      </c>
      <c r="X73" s="123" t="n">
        <f aca="false">$W73</f>
        <v>0.1</v>
      </c>
      <c r="Y73" s="123" t="n">
        <f aca="false">IFERROR(1/(1/INDEX(Spectrum!$N:$N,MATCH(RIGHT($B73,13)&amp;"|"&amp;$C73&amp;"|"&amp;$D73&amp;"|"&amp;Y$14&amp;"|"&amp;"CY2021Q3",Spectrum!$Q:$Q,0))),IF(SUM($H73)=0,"",MAX(SUM($P73),SUM($U73))/SUM($H73)))</f>
        <v>0.672727272727273</v>
      </c>
      <c r="Z73" s="123" t="n">
        <f aca="false">IF(SUM($Y73)=0,"",MAX(SUM($Y73),90%))</f>
        <v>0.9</v>
      </c>
      <c r="AA73" s="115" t="n">
        <f aca="false">IF(LEFT($B73,4)="_Mil","",ROUND(MAX(SUM($U73),SUM($P73))+IF(SUM($Z73)=0,0,MAX(SUM($Z73)-SUM($Y73),0)*SUM($H73)),0))</f>
        <v>495</v>
      </c>
      <c r="AB73" s="115" t="n">
        <f aca="false">IF(SUM($AA73)=0,"",ROUND(MAX(SUM($AA73)-MAX(SUM($P73),SUM($U73)),0),0))</f>
        <v>125</v>
      </c>
      <c r="AC73" s="126" t="str">
        <f aca="false">IF($C73="&lt;01",IFERROR(ROUND(INDEX(EID!$N:$N,MATCH($B73,EID!$B:$B,0))/2,0),""),"")</f>
        <v/>
      </c>
      <c r="AD73" s="115" t="n">
        <f aca="false">IF($C73="&lt;01",IF(SUM($AC73)=0,"",ROUND(SUM($AC73)/$AG73,0)),IF(SUM($AB73)=0,"",ROUND(MAX($X73,0)*SUM($AB73),0)))</f>
        <v>13</v>
      </c>
      <c r="AE73" s="115" t="n">
        <f aca="false">IF(AND(SUM($AD73)=0,SUM($U73)=0),"",ROUND(IF($C73="&lt;01",0,SUM($U73))+SUM($AD73),0))</f>
        <v>50</v>
      </c>
      <c r="AF73" s="122" t="n">
        <f aca="false">IF($C73="&lt;01","",100%)</f>
        <v>1</v>
      </c>
      <c r="AG73" s="123" t="n">
        <f aca="false">0.98</f>
        <v>0.98</v>
      </c>
      <c r="AH73" s="123" t="n">
        <f aca="false">0.98</f>
        <v>0.98</v>
      </c>
      <c r="AI73" s="124" t="n">
        <f aca="false">IF(OR($C73="&lt;01",SUM($U73)=0),"",ROUND(SUM($U73)*(1-$AH73),0))</f>
        <v>1</v>
      </c>
      <c r="AJ73" s="124" t="n">
        <f aca="false">IF(AND(SUM($AE73)=0,SUM($U73)=0),"",IF($C73="&lt;01",SUM($AD73),SUM($AE73) - ROUND(SUM($U73)*$AH73,0)))</f>
        <v>14</v>
      </c>
      <c r="AK73" s="124" t="n">
        <v>47</v>
      </c>
      <c r="AL73" s="124" t="n">
        <v>18</v>
      </c>
      <c r="AM73" s="115" t="n">
        <f aca="false">IF(AND(SUM($AD73)=0,SUM($U73)=0),"",IF($C73="&lt;01",SUM($AD73),ROUND(ROUND(SUM($AJ73)*$AF73,0)/$AG73,0)))</f>
        <v>14</v>
      </c>
      <c r="AN73" s="122" t="n">
        <f aca="false">0.7</f>
        <v>0.7</v>
      </c>
      <c r="AO73" s="123" t="n">
        <f aca="false">1</f>
        <v>1</v>
      </c>
      <c r="AP73" s="115" t="n">
        <f aca="false">IF(AND(SUM($U73)=0,SUM($AM73)=0),"",ROUND((SUM($AM73)*$AN73+IF($C73="&lt;01",0,$U73))*$AO73,0))</f>
        <v>47</v>
      </c>
      <c r="AQ73" s="122" t="n">
        <v>49</v>
      </c>
      <c r="AR73" s="123" t="n">
        <f aca="false">0.95</f>
        <v>0.95</v>
      </c>
      <c r="AS73" s="123" t="n">
        <f aca="false">0.95</f>
        <v>0.95</v>
      </c>
      <c r="AT73" s="115" t="n">
        <f aca="false">IF(SUM($AP73)=0,"",ROUND(SUM($AP73)*$AR73,0))</f>
        <v>45</v>
      </c>
      <c r="AU73" s="115" t="n">
        <f aca="false">IF(LEFT($B73,4)="_Mil","",ROUND(SUM($AA73)*SUM($AS73),0))</f>
        <v>470</v>
      </c>
      <c r="AV73" s="124" t="n">
        <f aca="false">IF(SUM($AU73)&lt;=0,"",MAX(SUM($AU73)-SUM($R73),0))</f>
        <v>470</v>
      </c>
      <c r="AW73" s="122" t="n">
        <f aca="false">0</f>
        <v>0</v>
      </c>
      <c r="AX73" s="124" t="n">
        <f aca="false">IF(SUM($AM73)=0,"",ROUND(SUM($AM73)*SUM($AW73),0))</f>
        <v>0</v>
      </c>
      <c r="AY73" s="124" t="n">
        <f aca="false">IF(SUM($AM73)=0,"",SUM($AM73)-SUM($AX73))</f>
        <v>14</v>
      </c>
      <c r="AZ73" s="123" t="n">
        <v>4</v>
      </c>
      <c r="BA73" s="123" t="n">
        <f aca="false">0.95</f>
        <v>0.95</v>
      </c>
      <c r="BB73" s="123"/>
      <c r="BC73" s="123" t="n">
        <f aca="false">IF(OR(SUM($AM73)&lt;=0,$C73="&lt;01"),"",MAX(IF(OR(SUM($Y73)&lt;70%,LEFT($B73,4)="_Mil"),30%,IF(SUM($Y73)&gt;=80%,75%,50%)),SUM($BB73)))</f>
        <v>0.3</v>
      </c>
      <c r="BD73" s="115" t="n">
        <f aca="false">IF($C73="&lt;01",IFERROR(ROUND(INDEX(EID!$M:$M,MATCH($B73,EID!$B:$B,0)),0)/2,""),IF(SUM($AY73)=0,"",ROUND(SUM($AY73)/SUM($BA73),0)))</f>
        <v>15</v>
      </c>
      <c r="BE73" s="115" t="n">
        <f aca="false">IF($C73="&lt;01","",IF(SUM($BD73)=0,"",ROUND(SUM($BD73)*SUM($BC73),0)))</f>
        <v>5</v>
      </c>
      <c r="BF73" s="115" t="n">
        <f aca="false">_xlfn.IFNA(INDEX(PMTCT!$AE:$AE,MATCH($E73,PMTCT!$E:$E,0)),"")</f>
        <v>-4680</v>
      </c>
      <c r="BG73" s="115" t="str">
        <f aca="false">_xlfn.IFNA(INDEX(PMTCT!$AU:$AU,MATCH($E73,PMTCT!$E:$E,0)),"")</f>
        <v/>
      </c>
      <c r="BH73" s="115" t="n">
        <f aca="false">_xlfn.IFNA(INDEX(TB!$Q:$Q,MATCH($E73,TB!$E:$E,0)),"")</f>
        <v>116</v>
      </c>
      <c r="BI73" s="115" t="str">
        <f aca="false">_xlfn.IFNA(INDEX(VMMC!$AC:$AC,MATCH($E73,VMMC!$E:$E,0)),"")</f>
        <v/>
      </c>
      <c r="BJ73" s="115" t="str">
        <f aca="false">IF($C73="&lt;01",$BD73,"")</f>
        <v/>
      </c>
      <c r="BK73" s="115" t="n">
        <f aca="false">IF(SUM($BD73)=0,"",($BD73)-SUM($BE73:$BJ73))</f>
        <v>4574</v>
      </c>
      <c r="BL73" s="123" t="n">
        <f aca="false">IF(OR(SUM($BD73)=0,SUM($BE73)=0),"",SUM($BE73)/$BD73)</f>
        <v>0.333333333333333</v>
      </c>
      <c r="BM73" s="123" t="n">
        <f aca="false">IF(OR(SUM($BD73)=0,SUM($BF73)=0),"",SUM($BF73)/$BD73)</f>
        <v>-312</v>
      </c>
      <c r="BN73" s="123" t="str">
        <f aca="false">IF(OR(SUM($BD73)=0,SUM($BG73)=0),"",SUM($BG73)/$BD73)</f>
        <v/>
      </c>
      <c r="BO73" s="123" t="n">
        <f aca="false">IF(OR(SUM($BD73)=0,SUM($BH73)=0),"",SUM($BH73)/$BD73)</f>
        <v>7.73333333333333</v>
      </c>
      <c r="BP73" s="123" t="str">
        <f aca="false">IF(OR(SUM($BD73)=0,SUM($BI73)=0),"",SUM($BI73)/$BD73)</f>
        <v/>
      </c>
      <c r="BQ73" s="123" t="str">
        <f aca="false">IF(AND($C73="&lt;01",SUM($BJ73)&lt;&gt;0),$BJ73/SUM($BD73),"")</f>
        <v/>
      </c>
      <c r="BR73" s="123" t="n">
        <f aca="false">IF(OR(SUM($BD73)=0,SUM($BK73)=0),"",SUM($BK73)/$BD73)</f>
        <v>304.933333333333</v>
      </c>
      <c r="BS73" s="122" t="n">
        <f aca="false">IF(SUM($X73)&lt;=0,"",$X73)</f>
        <v>0.1</v>
      </c>
      <c r="BT73" s="115" t="n">
        <f aca="false">IF(LEFT($B73,4)="_Mil","",MAX(SUM($L73)+ROUND(SUM($BD73)/IF(SUM($BS73)&lt;=0,1,SUM($BS73)),0),0))</f>
        <v>600</v>
      </c>
    </row>
    <row r="74" customFormat="false" ht="15" hidden="false" customHeight="false" outlineLevel="0" collapsed="false">
      <c r="A74" s="0" t="s">
        <v>143</v>
      </c>
      <c r="B74" s="0" t="s">
        <v>115</v>
      </c>
      <c r="C74" s="0" t="s">
        <v>66</v>
      </c>
      <c r="D74" s="0" t="s">
        <v>58</v>
      </c>
      <c r="E74" s="0" t="str">
        <f aca="false">B74&amp;"|"&amp;C74&amp;"|"&amp;D74</f>
        <v>Butha Buthe [#SNU] [mvPRqBFtVC0]|20-24|Male</v>
      </c>
      <c r="F74" s="115" t="n">
        <f aca="false">_xlfn.IFNA(ROUND(INDEX(Spectrum!$N:$N,MATCH(RIGHT($B74,13)&amp;"|"&amp;$C74&amp;"|"&amp;$D74&amp;"|"&amp;F$14&amp;"|"&amp;"CY2021Q3",Spectrum!$Q:$Q,0)),0),"")</f>
        <v>5220</v>
      </c>
      <c r="G74" s="123" t="n">
        <f aca="false">_xlfn.IFNA(INDEX(Spectrum!$P:$P,MATCH(RIGHT($B74,13)&amp;"|"&amp;$C74&amp;"|"&amp;$D74&amp;"|"&amp;F$14&amp;"|"&amp;"CY2021Q3",Spectrum!$Q:$Q,0)),"")</f>
        <v>43</v>
      </c>
      <c r="H74" s="115" t="n">
        <f aca="false">_xlfn.IFNA(ROUND(INDEX(Spectrum!$N:$N,MATCH(RIGHT($B74,13)&amp;"|"&amp;$C74&amp;"|"&amp;$D74&amp;"|"&amp;H$14&amp;"|"&amp;"CY2021Q3",Spectrum!$Q:$Q,0)),0),"")</f>
        <v>196</v>
      </c>
      <c r="I74" s="123" t="n">
        <f aca="false">_xlfn.IFNA(INDEX(Spectrum!$P:$P,MATCH(RIGHT($B74,13)&amp;"|"&amp;$C74&amp;"|"&amp;$D74&amp;"|"&amp;H$14&amp;"|"&amp;"CY2021Q3",Spectrum!$Q:$Q,0)),"")</f>
        <v>37</v>
      </c>
      <c r="J74" s="117" t="n">
        <f aca="false">_xlfn.IFNA(INDEX(Spectrum!$N:$N,MATCH(RIGHT($B74,13)&amp;"|"&amp;$C74&amp;"|"&amp;$D74&amp;"|"&amp;J$14&amp;"|"&amp;"CY2021Q3",Spectrum!$Q:$Q,0)),"")</f>
        <v>0.0374637</v>
      </c>
      <c r="K74" s="123" t="n">
        <f aca="false">_xlfn.IFNA(INDEX(Spectrum!$P:$P,MATCH(RIGHT($B74,13)&amp;"|"&amp;$C74&amp;"|"&amp;$D74&amp;"|"&amp;J$14&amp;"|"&amp;"CY2021Q3",Spectrum!$Q:$Q,0)),"")</f>
        <v>26</v>
      </c>
      <c r="L74" s="115" t="n">
        <f aca="false">_xlfn.IFNA(ROUND(INDEX(Spectrum!$N:$N,MATCH(RIGHT($B74,13)&amp;"|"&amp;$C74&amp;"|"&amp;$D74&amp;"|"&amp;L$14&amp;"|"&amp;"CY2021Q3",Spectrum!$Q:$Q,0)),0),"")</f>
        <v>162</v>
      </c>
      <c r="M74" s="123" t="n">
        <f aca="false">IF(OR(SUM($H74)&lt;=0,SUM($L74)&lt;=0),"",SUM($L74)/$H74)</f>
        <v>0.826530612244898</v>
      </c>
      <c r="N74" s="115" t="str">
        <f aca="false">_xlfn.IFNA(ROUND(INDEX(Spectrum!$N:$N,MATCH(RIGHT($B74,13)&amp;"|"&amp;$C74&amp;"|"&amp;$D74&amp;"|"&amp;N$14&amp;"|"&amp;"CY2020Q4",Spectrum!$Q:$Q,0)),0),"")</f>
        <v/>
      </c>
      <c r="O74" s="123" t="str">
        <f aca="false">_xlfn.IFNA(INDEX(Spectrum!$P:$P,MATCH(RIGHT($B74,13)&amp;"|"&amp;$C74&amp;"|"&amp;$D74&amp;"|"&amp;N$14&amp;"|"&amp;"CY2020Q4",Spectrum!$Q:$Q,0)),"")</f>
        <v/>
      </c>
      <c r="P74" s="115" t="n">
        <f aca="false">_xlfn.IFNA(ROUND(INDEX(Spectrum!$N:$N,MATCH(RIGHT($B74,13)&amp;"|"&amp;$C74&amp;"|"&amp;$D74&amp;"|"&amp;P$14&amp;"|"&amp;"CY2021Q3",Spectrum!$Q:$Q,0)),0),"")</f>
        <v>118</v>
      </c>
      <c r="Q74" s="123" t="n">
        <f aca="false">_xlfn.IFNA(INDEX(Spectrum!$P:$P,MATCH(RIGHT($B74,13)&amp;"|"&amp;$C74&amp;"|"&amp;$D74&amp;"|"&amp;P$14&amp;"|"&amp;"CY2021Q3",Spectrum!$Q:$Q,0)),"")</f>
        <v>45</v>
      </c>
      <c r="R74" s="115"/>
      <c r="S74" s="123" t="str">
        <f aca="false">IF(OR(SUM($P74)&lt;=0,SUM($R74)&lt;=0),"",SUM($R74)/$P74)</f>
        <v/>
      </c>
      <c r="T74" s="139" t="n">
        <v>1</v>
      </c>
      <c r="U74" s="124" t="n">
        <v>8</v>
      </c>
      <c r="V74" s="124" t="n">
        <f aca="false">IF($U74-$T74=0,"",$U74-$T74)</f>
        <v>7</v>
      </c>
      <c r="W74" s="123" t="n">
        <f aca="false">IF(LEFT($B74,4)="_Mil","",IFERROR(MIN(IF(SUM($N74)&lt;=0,SUM($U74)/SUM($P74),SUM($T74)/SUM($N74)),1),""))</f>
        <v>0.0677966101694915</v>
      </c>
      <c r="X74" s="123" t="n">
        <f aca="false">$W74</f>
        <v>0.0677966101694915</v>
      </c>
      <c r="Y74" s="123" t="n">
        <f aca="false">IFERROR(1/(1/INDEX(Spectrum!$N:$N,MATCH(RIGHT($B74,13)&amp;"|"&amp;$C74&amp;"|"&amp;$D74&amp;"|"&amp;Y$14&amp;"|"&amp;"CY2021Q3",Spectrum!$Q:$Q,0))),IF(SUM($H74)=0,"",MAX(SUM($P74),SUM($U74))/SUM($H74)))</f>
        <v>0.602040816326531</v>
      </c>
      <c r="Z74" s="123" t="n">
        <f aca="false">IF(SUM($Y74)=0,"",MAX(SUM($Y74),90%))</f>
        <v>0.9</v>
      </c>
      <c r="AA74" s="115" t="n">
        <f aca="false">IF(LEFT($B74,4)="_Mil","",ROUND(MAX(SUM($U74),SUM($P74))+IF(SUM($Z74)=0,0,MAX(SUM($Z74)-SUM($Y74),0)*SUM($H74)),0))</f>
        <v>176</v>
      </c>
      <c r="AB74" s="115" t="n">
        <f aca="false">IF(SUM($AA74)=0,"",ROUND(MAX(SUM($AA74)-MAX(SUM($P74),SUM($U74)),0),0))</f>
        <v>58</v>
      </c>
      <c r="AC74" s="126" t="str">
        <f aca="false">IF($C74="&lt;01",IFERROR(ROUND(INDEX(EID!$N:$N,MATCH($B74,EID!$B:$B,0))/2,0),""),"")</f>
        <v/>
      </c>
      <c r="AD74" s="115" t="n">
        <f aca="false">IF($C74="&lt;01",IF(SUM($AC74)=0,"",ROUND(SUM($AC74)/$AG74,0)),IF(SUM($AB74)=0,"",ROUND(MAX($X74,0)*SUM($AB74),0)))</f>
        <v>4</v>
      </c>
      <c r="AE74" s="115" t="n">
        <f aca="false">IF(AND(SUM($AD74)=0,SUM($U74)=0),"",ROUND(IF($C74="&lt;01",0,SUM($U74))+SUM($AD74),0))</f>
        <v>12</v>
      </c>
      <c r="AF74" s="122" t="n">
        <f aca="false">IF($C74="&lt;01","",100%)</f>
        <v>1</v>
      </c>
      <c r="AG74" s="123" t="n">
        <f aca="false">0.98</f>
        <v>0.98</v>
      </c>
      <c r="AH74" s="123" t="n">
        <f aca="false">0.98</f>
        <v>0.98</v>
      </c>
      <c r="AI74" s="124" t="n">
        <f aca="false">IF(OR($C74="&lt;01",SUM($U74)=0),"",ROUND(SUM($U74)*(1-$AH74),0))</f>
        <v>0</v>
      </c>
      <c r="AJ74" s="124" t="n">
        <f aca="false">IF(AND(SUM($AE74)=0,SUM($U74)=0),"",IF($C74="&lt;01",SUM($AD74),SUM($AE74) - ROUND(SUM($U74)*$AH74,0)))</f>
        <v>4</v>
      </c>
      <c r="AK74" s="124" t="n">
        <v>33</v>
      </c>
      <c r="AL74" s="124" t="n">
        <v>42</v>
      </c>
      <c r="AM74" s="115" t="n">
        <f aca="false">IF(AND(SUM($AD74)=0,SUM($U74)=0),"",IF($C74="&lt;01",SUM($AD74),ROUND(ROUND(SUM($AJ74)*$AF74,0)/$AG74,0)))</f>
        <v>4</v>
      </c>
      <c r="AN74" s="122" t="n">
        <f aca="false">0.7</f>
        <v>0.7</v>
      </c>
      <c r="AO74" s="123" t="n">
        <f aca="false">1</f>
        <v>1</v>
      </c>
      <c r="AP74" s="115" t="n">
        <f aca="false">IF(AND(SUM($U74)=0,SUM($AM74)=0),"",ROUND((SUM($AM74)*$AN74+IF($C74="&lt;01",0,$U74))*$AO74,0))</f>
        <v>11</v>
      </c>
      <c r="AQ74" s="122" t="n">
        <v>18</v>
      </c>
      <c r="AR74" s="123" t="n">
        <f aca="false">0.95</f>
        <v>0.95</v>
      </c>
      <c r="AS74" s="123" t="n">
        <f aca="false">0.95</f>
        <v>0.95</v>
      </c>
      <c r="AT74" s="115" t="n">
        <f aca="false">IF(SUM($AP74)=0,"",ROUND(SUM($AP74)*$AR74,0))</f>
        <v>10</v>
      </c>
      <c r="AU74" s="115" t="n">
        <f aca="false">IF(LEFT($B74,4)="_Mil","",ROUND(SUM($AA74)*SUM($AS74),0))</f>
        <v>167</v>
      </c>
      <c r="AV74" s="124" t="n">
        <f aca="false">IF(SUM($AU74)&lt;=0,"",MAX(SUM($AU74)-SUM($R74),0))</f>
        <v>167</v>
      </c>
      <c r="AW74" s="122" t="n">
        <f aca="false">0</f>
        <v>0</v>
      </c>
      <c r="AX74" s="124" t="n">
        <f aca="false">IF(SUM($AM74)=0,"",ROUND(SUM($AM74)*SUM($AW74),0))</f>
        <v>0</v>
      </c>
      <c r="AY74" s="124" t="n">
        <f aca="false">IF(SUM($AM74)=0,"",SUM($AM74)-SUM($AX74))</f>
        <v>4</v>
      </c>
      <c r="AZ74" s="123" t="n">
        <v>37</v>
      </c>
      <c r="BA74" s="123" t="n">
        <f aca="false">0.95</f>
        <v>0.95</v>
      </c>
      <c r="BB74" s="123"/>
      <c r="BC74" s="123" t="n">
        <f aca="false">IF(OR(SUM($AM74)&lt;=0,$C74="&lt;01"),"",MAX(IF(OR(SUM($Y74)&lt;70%,LEFT($B74,4)="_Mil"),30%,IF(SUM($Y74)&gt;=80%,75%,50%)),SUM($BB74)))</f>
        <v>0.3</v>
      </c>
      <c r="BD74" s="115" t="n">
        <f aca="false">IF($C74="&lt;01",IFERROR(ROUND(INDEX(EID!$M:$M,MATCH($B74,EID!$B:$B,0)),0)/2,""),IF(SUM($AY74)=0,"",ROUND(SUM($AY74)/SUM($BA74),0)))</f>
        <v>4</v>
      </c>
      <c r="BE74" s="115" t="n">
        <f aca="false">IF($C74="&lt;01","",IF(SUM($BD74)=0,"",ROUND(SUM($BD74)*SUM($BC74),0)))</f>
        <v>1</v>
      </c>
      <c r="BF74" s="115" t="str">
        <f aca="false">_xlfn.IFNA(INDEX(PMTCT!$AE:$AE,MATCH($E74,PMTCT!$E:$E,0)),"")</f>
        <v/>
      </c>
      <c r="BG74" s="115" t="str">
        <f aca="false">_xlfn.IFNA(INDEX(PMTCT!$AU:$AU,MATCH($E74,PMTCT!$E:$E,0)),"")</f>
        <v/>
      </c>
      <c r="BH74" s="115" t="n">
        <f aca="false">_xlfn.IFNA(INDEX(TB!$Q:$Q,MATCH($E74,TB!$E:$E,0)),"")</f>
        <v>-0</v>
      </c>
      <c r="BI74" s="115" t="str">
        <f aca="false">_xlfn.IFNA(INDEX(VMMC!$AC:$AC,MATCH($E74,VMMC!$E:$E,0)),"")</f>
        <v/>
      </c>
      <c r="BJ74" s="115" t="str">
        <f aca="false">IF($C74="&lt;01",$BD74,"")</f>
        <v/>
      </c>
      <c r="BK74" s="115" t="n">
        <f aca="false">IF(SUM($BD74)=0,"",($BD74)-SUM($BE74:$BJ74))</f>
        <v>3</v>
      </c>
      <c r="BL74" s="123" t="n">
        <f aca="false">IF(OR(SUM($BD74)=0,SUM($BE74)=0),"",SUM($BE74)/$BD74)</f>
        <v>0.25</v>
      </c>
      <c r="BM74" s="123" t="str">
        <f aca="false">IF(OR(SUM($BD74)=0,SUM($BF74)=0),"",SUM($BF74)/$BD74)</f>
        <v/>
      </c>
      <c r="BN74" s="123" t="str">
        <f aca="false">IF(OR(SUM($BD74)=0,SUM($BG74)=0),"",SUM($BG74)/$BD74)</f>
        <v/>
      </c>
      <c r="BO74" s="123" t="str">
        <f aca="false">IF(OR(SUM($BD74)=0,SUM($BH74)=0),"",SUM($BH74)/$BD74)</f>
        <v/>
      </c>
      <c r="BP74" s="123" t="str">
        <f aca="false">IF(OR(SUM($BD74)=0,SUM($BI74)=0),"",SUM($BI74)/$BD74)</f>
        <v/>
      </c>
      <c r="BQ74" s="123" t="str">
        <f aca="false">IF(AND($C74="&lt;01",SUM($BJ74)&lt;&gt;0),$BJ74/SUM($BD74),"")</f>
        <v/>
      </c>
      <c r="BR74" s="123" t="n">
        <f aca="false">IF(OR(SUM($BD74)=0,SUM($BK74)=0),"",SUM($BK74)/$BD74)</f>
        <v>0.75</v>
      </c>
      <c r="BS74" s="122" t="n">
        <f aca="false">IF(SUM($X74)&lt;=0,"",$X74)</f>
        <v>0.0677966101694915</v>
      </c>
      <c r="BT74" s="115" t="n">
        <f aca="false">IF(LEFT($B74,4)="_Mil","",MAX(SUM($L74)+ROUND(SUM($BD74)/IF(SUM($BS74)&lt;=0,1,SUM($BS74)),0),0))</f>
        <v>221</v>
      </c>
    </row>
    <row r="75" customFormat="false" ht="15" hidden="false" customHeight="false" outlineLevel="0" collapsed="false">
      <c r="A75" s="0" t="s">
        <v>143</v>
      </c>
      <c r="B75" s="0" t="s">
        <v>115</v>
      </c>
      <c r="C75" s="0" t="s">
        <v>69</v>
      </c>
      <c r="D75" s="0" t="s">
        <v>56</v>
      </c>
      <c r="E75" s="0" t="str">
        <f aca="false">B75&amp;"|"&amp;C75&amp;"|"&amp;D75</f>
        <v>Butha Buthe [#SNU] [mvPRqBFtVC0]|25-29|Female</v>
      </c>
      <c r="F75" s="115" t="n">
        <f aca="false">_xlfn.IFNA(ROUND(INDEX(Spectrum!$N:$N,MATCH(RIGHT($B75,13)&amp;"|"&amp;$C75&amp;"|"&amp;$D75&amp;"|"&amp;F$14&amp;"|"&amp;"CY2021Q3",Spectrum!$Q:$Q,0)),0),"")</f>
        <v>5563</v>
      </c>
      <c r="G75" s="123" t="n">
        <f aca="false">_xlfn.IFNA(INDEX(Spectrum!$P:$P,MATCH(RIGHT($B75,13)&amp;"|"&amp;$C75&amp;"|"&amp;$D75&amp;"|"&amp;F$14&amp;"|"&amp;"CY2021Q3",Spectrum!$Q:$Q,0)),"")</f>
        <v>42</v>
      </c>
      <c r="H75" s="115" t="n">
        <f aca="false">_xlfn.IFNA(ROUND(INDEX(Spectrum!$N:$N,MATCH(RIGHT($B75,13)&amp;"|"&amp;$C75&amp;"|"&amp;$D75&amp;"|"&amp;H$14&amp;"|"&amp;"CY2021Q3",Spectrum!$Q:$Q,0)),0),"")</f>
        <v>1040</v>
      </c>
      <c r="I75" s="123" t="n">
        <f aca="false">_xlfn.IFNA(INDEX(Spectrum!$P:$P,MATCH(RIGHT($B75,13)&amp;"|"&amp;$C75&amp;"|"&amp;$D75&amp;"|"&amp;H$14&amp;"|"&amp;"CY2021Q3",Spectrum!$Q:$Q,0)),"")</f>
        <v>32</v>
      </c>
      <c r="J75" s="117" t="n">
        <f aca="false">_xlfn.IFNA(INDEX(Spectrum!$N:$N,MATCH(RIGHT($B75,13)&amp;"|"&amp;$C75&amp;"|"&amp;$D75&amp;"|"&amp;J$14&amp;"|"&amp;"CY2021Q3",Spectrum!$Q:$Q,0)),"")</f>
        <v>0.1869784</v>
      </c>
      <c r="K75" s="123" t="n">
        <f aca="false">_xlfn.IFNA(INDEX(Spectrum!$P:$P,MATCH(RIGHT($B75,13)&amp;"|"&amp;$C75&amp;"|"&amp;$D75&amp;"|"&amp;J$14&amp;"|"&amp;"CY2021Q3",Spectrum!$Q:$Q,0)),"")</f>
        <v>9</v>
      </c>
      <c r="L75" s="115" t="n">
        <f aca="false">_xlfn.IFNA(ROUND(INDEX(Spectrum!$N:$N,MATCH(RIGHT($B75,13)&amp;"|"&amp;$C75&amp;"|"&amp;$D75&amp;"|"&amp;L$14&amp;"|"&amp;"CY2021Q3",Spectrum!$Q:$Q,0)),0),"")</f>
        <v>808</v>
      </c>
      <c r="M75" s="123" t="n">
        <f aca="false">IF(OR(SUM($H75)&lt;=0,SUM($L75)&lt;=0),"",SUM($L75)/$H75)</f>
        <v>0.776923076923077</v>
      </c>
      <c r="N75" s="115" t="str">
        <f aca="false">_xlfn.IFNA(ROUND(INDEX(Spectrum!$N:$N,MATCH(RIGHT($B75,13)&amp;"|"&amp;$C75&amp;"|"&amp;$D75&amp;"|"&amp;N$14&amp;"|"&amp;"CY2020Q4",Spectrum!$Q:$Q,0)),0),"")</f>
        <v/>
      </c>
      <c r="O75" s="123" t="str">
        <f aca="false">_xlfn.IFNA(INDEX(Spectrum!$P:$P,MATCH(RIGHT($B75,13)&amp;"|"&amp;$C75&amp;"|"&amp;$D75&amp;"|"&amp;N$14&amp;"|"&amp;"CY2020Q4",Spectrum!$Q:$Q,0)),"")</f>
        <v/>
      </c>
      <c r="P75" s="115" t="n">
        <f aca="false">_xlfn.IFNA(ROUND(INDEX(Spectrum!$N:$N,MATCH(RIGHT($B75,13)&amp;"|"&amp;$C75&amp;"|"&amp;$D75&amp;"|"&amp;P$14&amp;"|"&amp;"CY2021Q3",Spectrum!$Q:$Q,0)),0),"")</f>
        <v>703</v>
      </c>
      <c r="Q75" s="123" t="n">
        <f aca="false">_xlfn.IFNA(INDEX(Spectrum!$P:$P,MATCH(RIGHT($B75,13)&amp;"|"&amp;$C75&amp;"|"&amp;$D75&amp;"|"&amp;P$14&amp;"|"&amp;"CY2021Q3",Spectrum!$Q:$Q,0)),"")</f>
        <v>11</v>
      </c>
      <c r="R75" s="115"/>
      <c r="S75" s="123" t="str">
        <f aca="false">IF(OR(SUM($P75)&lt;=0,SUM($R75)&lt;=0),"",SUM($R75)/$P75)</f>
        <v/>
      </c>
      <c r="T75" s="139" t="n">
        <v>5</v>
      </c>
      <c r="U75" s="124" t="n">
        <v>24</v>
      </c>
      <c r="V75" s="124" t="n">
        <f aca="false">IF($U75-$T75=0,"",$U75-$T75)</f>
        <v>19</v>
      </c>
      <c r="W75" s="123" t="n">
        <f aca="false">IF(LEFT($B75,4)="_Mil","",IFERROR(MIN(IF(SUM($N75)&lt;=0,SUM($U75)/SUM($P75),SUM($T75)/SUM($N75)),1),""))</f>
        <v>0.0341394025604552</v>
      </c>
      <c r="X75" s="123" t="n">
        <f aca="false">$W75</f>
        <v>0.0341394025604552</v>
      </c>
      <c r="Y75" s="123" t="n">
        <f aca="false">IFERROR(1/(1/INDEX(Spectrum!$N:$N,MATCH(RIGHT($B75,13)&amp;"|"&amp;$C75&amp;"|"&amp;$D75&amp;"|"&amp;Y$14&amp;"|"&amp;"CY2021Q3",Spectrum!$Q:$Q,0))),IF(SUM($H75)=0,"",MAX(SUM($P75),SUM($U75))/SUM($H75)))</f>
        <v>0.675961538461539</v>
      </c>
      <c r="Z75" s="123" t="n">
        <f aca="false">IF(SUM($Y75)=0,"",MAX(SUM($Y75),90%))</f>
        <v>0.9</v>
      </c>
      <c r="AA75" s="115" t="n">
        <f aca="false">IF(LEFT($B75,4)="_Mil","",ROUND(MAX(SUM($U75),SUM($P75))+IF(SUM($Z75)=0,0,MAX(SUM($Z75)-SUM($Y75),0)*SUM($H75)),0))</f>
        <v>936</v>
      </c>
      <c r="AB75" s="115" t="n">
        <f aca="false">IF(SUM($AA75)=0,"",ROUND(MAX(SUM($AA75)-MAX(SUM($P75),SUM($U75)),0),0))</f>
        <v>233</v>
      </c>
      <c r="AC75" s="126" t="str">
        <f aca="false">IF($C75="&lt;01",IFERROR(ROUND(INDEX(EID!$N:$N,MATCH($B75,EID!$B:$B,0))/2,0),""),"")</f>
        <v/>
      </c>
      <c r="AD75" s="115" t="n">
        <f aca="false">IF($C75="&lt;01",IF(SUM($AC75)=0,"",ROUND(SUM($AC75)/$AG75,0)),IF(SUM($AB75)=0,"",ROUND(MAX($X75,0)*SUM($AB75),0)))</f>
        <v>8</v>
      </c>
      <c r="AE75" s="115" t="n">
        <f aca="false">IF(AND(SUM($AD75)=0,SUM($U75)=0),"",ROUND(IF($C75="&lt;01",0,SUM($U75))+SUM($AD75),0))</f>
        <v>32</v>
      </c>
      <c r="AF75" s="122" t="n">
        <f aca="false">IF($C75="&lt;01","",100%)</f>
        <v>1</v>
      </c>
      <c r="AG75" s="123" t="n">
        <f aca="false">0.98</f>
        <v>0.98</v>
      </c>
      <c r="AH75" s="123" t="n">
        <f aca="false">0.98</f>
        <v>0.98</v>
      </c>
      <c r="AI75" s="124" t="n">
        <f aca="false">IF(OR($C75="&lt;01",SUM($U75)=0),"",ROUND(SUM($U75)*(1-$AH75),0))</f>
        <v>0</v>
      </c>
      <c r="AJ75" s="124" t="n">
        <f aca="false">IF(AND(SUM($AE75)=0,SUM($U75)=0),"",IF($C75="&lt;01",SUM($AD75),SUM($AE75) - ROUND(SUM($U75)*$AH75,0)))</f>
        <v>8</v>
      </c>
      <c r="AK75" s="124" t="n">
        <v>5</v>
      </c>
      <c r="AL75" s="124" t="n">
        <v>46</v>
      </c>
      <c r="AM75" s="115" t="n">
        <f aca="false">IF(AND(SUM($AD75)=0,SUM($U75)=0),"",IF($C75="&lt;01",SUM($AD75),ROUND(ROUND(SUM($AJ75)*$AF75,0)/$AG75,0)))</f>
        <v>8</v>
      </c>
      <c r="AN75" s="122" t="n">
        <f aca="false">0.7</f>
        <v>0.7</v>
      </c>
      <c r="AO75" s="123" t="n">
        <f aca="false">1</f>
        <v>1</v>
      </c>
      <c r="AP75" s="115" t="n">
        <f aca="false">IF(AND(SUM($U75)=0,SUM($AM75)=0),"",ROUND((SUM($AM75)*$AN75+IF($C75="&lt;01",0,$U75))*$AO75,0))</f>
        <v>30</v>
      </c>
      <c r="AQ75" s="122" t="n">
        <v>5</v>
      </c>
      <c r="AR75" s="123" t="n">
        <f aca="false">0.95</f>
        <v>0.95</v>
      </c>
      <c r="AS75" s="123" t="n">
        <f aca="false">0.95</f>
        <v>0.95</v>
      </c>
      <c r="AT75" s="115" t="n">
        <f aca="false">IF(SUM($AP75)=0,"",ROUND(SUM($AP75)*$AR75,0))</f>
        <v>29</v>
      </c>
      <c r="AU75" s="115" t="n">
        <f aca="false">IF(LEFT($B75,4)="_Mil","",ROUND(SUM($AA75)*SUM($AS75),0))</f>
        <v>889</v>
      </c>
      <c r="AV75" s="124" t="n">
        <f aca="false">IF(SUM($AU75)&lt;=0,"",MAX(SUM($AU75)-SUM($R75),0))</f>
        <v>889</v>
      </c>
      <c r="AW75" s="122" t="n">
        <f aca="false">0</f>
        <v>0</v>
      </c>
      <c r="AX75" s="124" t="n">
        <f aca="false">IF(SUM($AM75)=0,"",ROUND(SUM($AM75)*SUM($AW75),0))</f>
        <v>0</v>
      </c>
      <c r="AY75" s="124" t="n">
        <f aca="false">IF(SUM($AM75)=0,"",SUM($AM75)-SUM($AX75))</f>
        <v>8</v>
      </c>
      <c r="AZ75" s="123" t="n">
        <v>10</v>
      </c>
      <c r="BA75" s="123" t="n">
        <f aca="false">0.95</f>
        <v>0.95</v>
      </c>
      <c r="BB75" s="123"/>
      <c r="BC75" s="123" t="n">
        <f aca="false">IF(OR(SUM($AM75)&lt;=0,$C75="&lt;01"),"",MAX(IF(OR(SUM($Y75)&lt;70%,LEFT($B75,4)="_Mil"),30%,IF(SUM($Y75)&gt;=80%,75%,50%)),SUM($BB75)))</f>
        <v>0.3</v>
      </c>
      <c r="BD75" s="115" t="n">
        <f aca="false">IF($C75="&lt;01",IFERROR(ROUND(INDEX(EID!$M:$M,MATCH($B75,EID!$B:$B,0)),0)/2,""),IF(SUM($AY75)=0,"",ROUND(SUM($AY75)/SUM($BA75),0)))</f>
        <v>8</v>
      </c>
      <c r="BE75" s="115" t="n">
        <f aca="false">IF($C75="&lt;01","",IF(SUM($BD75)=0,"",ROUND(SUM($BD75)*SUM($BC75),0)))</f>
        <v>2</v>
      </c>
      <c r="BF75" s="115" t="n">
        <f aca="false">_xlfn.IFNA(INDEX(PMTCT!$AE:$AE,MATCH($E75,PMTCT!$E:$E,0)),"")</f>
        <v>-27675</v>
      </c>
      <c r="BG75" s="115" t="str">
        <f aca="false">_xlfn.IFNA(INDEX(PMTCT!$AU:$AU,MATCH($E75,PMTCT!$E:$E,0)),"")</f>
        <v/>
      </c>
      <c r="BH75" s="115" t="n">
        <f aca="false">_xlfn.IFNA(INDEX(TB!$Q:$Q,MATCH($E75,TB!$E:$E,0)),"")</f>
        <v>-12100</v>
      </c>
      <c r="BI75" s="115" t="str">
        <f aca="false">_xlfn.IFNA(INDEX(VMMC!$AC:$AC,MATCH($E75,VMMC!$E:$E,0)),"")</f>
        <v/>
      </c>
      <c r="BJ75" s="115" t="str">
        <f aca="false">IF($C75="&lt;01",$BD75,"")</f>
        <v/>
      </c>
      <c r="BK75" s="115" t="n">
        <f aca="false">IF(SUM($BD75)=0,"",($BD75)-SUM($BE75:$BJ75))</f>
        <v>39781</v>
      </c>
      <c r="BL75" s="123" t="n">
        <f aca="false">IF(OR(SUM($BD75)=0,SUM($BE75)=0),"",SUM($BE75)/$BD75)</f>
        <v>0.25</v>
      </c>
      <c r="BM75" s="123" t="n">
        <f aca="false">IF(OR(SUM($BD75)=0,SUM($BF75)=0),"",SUM($BF75)/$BD75)</f>
        <v>-3459.375</v>
      </c>
      <c r="BN75" s="123" t="str">
        <f aca="false">IF(OR(SUM($BD75)=0,SUM($BG75)=0),"",SUM($BG75)/$BD75)</f>
        <v/>
      </c>
      <c r="BO75" s="123" t="n">
        <f aca="false">IF(OR(SUM($BD75)=0,SUM($BH75)=0),"",SUM($BH75)/$BD75)</f>
        <v>-1512.5</v>
      </c>
      <c r="BP75" s="123" t="str">
        <f aca="false">IF(OR(SUM($BD75)=0,SUM($BI75)=0),"",SUM($BI75)/$BD75)</f>
        <v/>
      </c>
      <c r="BQ75" s="123" t="str">
        <f aca="false">IF(AND($C75="&lt;01",SUM($BJ75)&lt;&gt;0),$BJ75/SUM($BD75),"")</f>
        <v/>
      </c>
      <c r="BR75" s="123" t="n">
        <f aca="false">IF(OR(SUM($BD75)=0,SUM($BK75)=0),"",SUM($BK75)/$BD75)</f>
        <v>4972.625</v>
      </c>
      <c r="BS75" s="122" t="n">
        <f aca="false">IF(SUM($X75)&lt;=0,"",$X75)</f>
        <v>0.0341394025604552</v>
      </c>
      <c r="BT75" s="115" t="n">
        <f aca="false">IF(LEFT($B75,4)="_Mil","",MAX(SUM($L75)+ROUND(SUM($BD75)/IF(SUM($BS75)&lt;=0,1,SUM($BS75)),0),0))</f>
        <v>1042</v>
      </c>
    </row>
    <row r="76" customFormat="false" ht="15" hidden="false" customHeight="false" outlineLevel="0" collapsed="false">
      <c r="A76" s="0" t="s">
        <v>143</v>
      </c>
      <c r="B76" s="0" t="s">
        <v>115</v>
      </c>
      <c r="C76" s="0" t="s">
        <v>69</v>
      </c>
      <c r="D76" s="0" t="s">
        <v>58</v>
      </c>
      <c r="E76" s="0" t="str">
        <f aca="false">B76&amp;"|"&amp;C76&amp;"|"&amp;D76</f>
        <v>Butha Buthe [#SNU] [mvPRqBFtVC0]|25-29|Male</v>
      </c>
      <c r="F76" s="115" t="n">
        <f aca="false">_xlfn.IFNA(ROUND(INDEX(Spectrum!$N:$N,MATCH(RIGHT($B76,13)&amp;"|"&amp;$C76&amp;"|"&amp;$D76&amp;"|"&amp;F$14&amp;"|"&amp;"CY2021Q3",Spectrum!$Q:$Q,0)),0),"")</f>
        <v>5869</v>
      </c>
      <c r="G76" s="123" t="n">
        <f aca="false">_xlfn.IFNA(INDEX(Spectrum!$P:$P,MATCH(RIGHT($B76,13)&amp;"|"&amp;$C76&amp;"|"&amp;$D76&amp;"|"&amp;F$14&amp;"|"&amp;"CY2021Q3",Spectrum!$Q:$Q,0)),"")</f>
        <v>36</v>
      </c>
      <c r="H76" s="115" t="n">
        <f aca="false">_xlfn.IFNA(ROUND(INDEX(Spectrum!$N:$N,MATCH(RIGHT($B76,13)&amp;"|"&amp;$C76&amp;"|"&amp;$D76&amp;"|"&amp;H$14&amp;"|"&amp;"CY2021Q3",Spectrum!$Q:$Q,0)),0),"")</f>
        <v>457</v>
      </c>
      <c r="I76" s="123" t="n">
        <f aca="false">_xlfn.IFNA(INDEX(Spectrum!$P:$P,MATCH(RIGHT($B76,13)&amp;"|"&amp;$C76&amp;"|"&amp;$D76&amp;"|"&amp;H$14&amp;"|"&amp;"CY2021Q3",Spectrum!$Q:$Q,0)),"")</f>
        <v>15</v>
      </c>
      <c r="J76" s="117" t="n">
        <f aca="false">_xlfn.IFNA(INDEX(Spectrum!$N:$N,MATCH(RIGHT($B76,13)&amp;"|"&amp;$C76&amp;"|"&amp;$D76&amp;"|"&amp;J$14&amp;"|"&amp;"CY2021Q3",Spectrum!$Q:$Q,0)),"")</f>
        <v>0.0777876</v>
      </c>
      <c r="K76" s="123" t="n">
        <f aca="false">_xlfn.IFNA(INDEX(Spectrum!$P:$P,MATCH(RIGHT($B76,13)&amp;"|"&amp;$C76&amp;"|"&amp;$D76&amp;"|"&amp;J$14&amp;"|"&amp;"CY2021Q3",Spectrum!$Q:$Q,0)),"")</f>
        <v>12</v>
      </c>
      <c r="L76" s="115" t="n">
        <f aca="false">_xlfn.IFNA(ROUND(INDEX(Spectrum!$N:$N,MATCH(RIGHT($B76,13)&amp;"|"&amp;$C76&amp;"|"&amp;$D76&amp;"|"&amp;L$14&amp;"|"&amp;"CY2021Q3",Spectrum!$Q:$Q,0)),0),"")</f>
        <v>313</v>
      </c>
      <c r="M76" s="123" t="n">
        <f aca="false">IF(OR(SUM($H76)&lt;=0,SUM($L76)&lt;=0),"",SUM($L76)/$H76)</f>
        <v>0.684901531728665</v>
      </c>
      <c r="N76" s="115" t="str">
        <f aca="false">_xlfn.IFNA(ROUND(INDEX(Spectrum!$N:$N,MATCH(RIGHT($B76,13)&amp;"|"&amp;$C76&amp;"|"&amp;$D76&amp;"|"&amp;N$14&amp;"|"&amp;"CY2020Q4",Spectrum!$Q:$Q,0)),0),"")</f>
        <v/>
      </c>
      <c r="O76" s="123" t="str">
        <f aca="false">_xlfn.IFNA(INDEX(Spectrum!$P:$P,MATCH(RIGHT($B76,13)&amp;"|"&amp;$C76&amp;"|"&amp;$D76&amp;"|"&amp;N$14&amp;"|"&amp;"CY2020Q4",Spectrum!$Q:$Q,0)),"")</f>
        <v/>
      </c>
      <c r="P76" s="115" t="n">
        <f aca="false">_xlfn.IFNA(ROUND(INDEX(Spectrum!$N:$N,MATCH(RIGHT($B76,13)&amp;"|"&amp;$C76&amp;"|"&amp;$D76&amp;"|"&amp;P$14&amp;"|"&amp;"CY2021Q3",Spectrum!$Q:$Q,0)),0),"")</f>
        <v>232</v>
      </c>
      <c r="Q76" s="123" t="n">
        <f aca="false">_xlfn.IFNA(INDEX(Spectrum!$P:$P,MATCH(RIGHT($B76,13)&amp;"|"&amp;$C76&amp;"|"&amp;$D76&amp;"|"&amp;P$14&amp;"|"&amp;"CY2021Q3",Spectrum!$Q:$Q,0)),"")</f>
        <v>19</v>
      </c>
      <c r="R76" s="115"/>
      <c r="S76" s="123" t="str">
        <f aca="false">IF(OR(SUM($P76)&lt;=0,SUM($R76)&lt;=0),"",SUM($R76)/$P76)</f>
        <v/>
      </c>
      <c r="T76" s="139" t="n">
        <v>4</v>
      </c>
      <c r="U76" s="124" t="n">
        <v>22</v>
      </c>
      <c r="V76" s="124" t="n">
        <f aca="false">IF($U76-$T76=0,"",$U76-$T76)</f>
        <v>18</v>
      </c>
      <c r="W76" s="123" t="n">
        <f aca="false">IF(LEFT($B76,4)="_Mil","",IFERROR(MIN(IF(SUM($N76)&lt;=0,SUM($U76)/SUM($P76),SUM($T76)/SUM($N76)),1),""))</f>
        <v>0.0948275862068966</v>
      </c>
      <c r="X76" s="123" t="n">
        <f aca="false">$W76</f>
        <v>0.0948275862068966</v>
      </c>
      <c r="Y76" s="123" t="n">
        <f aca="false">IFERROR(1/(1/INDEX(Spectrum!$N:$N,MATCH(RIGHT($B76,13)&amp;"|"&amp;$C76&amp;"|"&amp;$D76&amp;"|"&amp;Y$14&amp;"|"&amp;"CY2021Q3",Spectrum!$Q:$Q,0))),IF(SUM($H76)=0,"",MAX(SUM($P76),SUM($U76))/SUM($H76)))</f>
        <v>0.507658643326039</v>
      </c>
      <c r="Z76" s="123" t="n">
        <f aca="false">IF(SUM($Y76)=0,"",MAX(SUM($Y76),90%))</f>
        <v>0.9</v>
      </c>
      <c r="AA76" s="115" t="n">
        <f aca="false">IF(LEFT($B76,4)="_Mil","",ROUND(MAX(SUM($U76),SUM($P76))+IF(SUM($Z76)=0,0,MAX(SUM($Z76)-SUM($Y76),0)*SUM($H76)),0))</f>
        <v>411</v>
      </c>
      <c r="AB76" s="115" t="n">
        <f aca="false">IF(SUM($AA76)=0,"",ROUND(MAX(SUM($AA76)-MAX(SUM($P76),SUM($U76)),0),0))</f>
        <v>179</v>
      </c>
      <c r="AC76" s="126" t="str">
        <f aca="false">IF($C76="&lt;01",IFERROR(ROUND(INDEX(EID!$N:$N,MATCH($B76,EID!$B:$B,0))/2,0),""),"")</f>
        <v/>
      </c>
      <c r="AD76" s="115" t="n">
        <f aca="false">IF($C76="&lt;01",IF(SUM($AC76)=0,"",ROUND(SUM($AC76)/$AG76,0)),IF(SUM($AB76)=0,"",ROUND(MAX($X76,0)*SUM($AB76),0)))</f>
        <v>17</v>
      </c>
      <c r="AE76" s="115" t="n">
        <f aca="false">IF(AND(SUM($AD76)=0,SUM($U76)=0),"",ROUND(IF($C76="&lt;01",0,SUM($U76))+SUM($AD76),0))</f>
        <v>39</v>
      </c>
      <c r="AF76" s="122" t="n">
        <f aca="false">IF($C76="&lt;01","",100%)</f>
        <v>1</v>
      </c>
      <c r="AG76" s="123" t="n">
        <f aca="false">0.98</f>
        <v>0.98</v>
      </c>
      <c r="AH76" s="123" t="n">
        <f aca="false">0.98</f>
        <v>0.98</v>
      </c>
      <c r="AI76" s="124" t="n">
        <f aca="false">IF(OR($C76="&lt;01",SUM($U76)=0),"",ROUND(SUM($U76)*(1-$AH76),0))</f>
        <v>0</v>
      </c>
      <c r="AJ76" s="124" t="n">
        <f aca="false">IF(AND(SUM($AE76)=0,SUM($U76)=0),"",IF($C76="&lt;01",SUM($AD76),SUM($AE76) - ROUND(SUM($U76)*$AH76,0)))</f>
        <v>17</v>
      </c>
      <c r="AK76" s="124" t="n">
        <v>33</v>
      </c>
      <c r="AL76" s="124" t="n">
        <v>33</v>
      </c>
      <c r="AM76" s="115" t="n">
        <f aca="false">IF(AND(SUM($AD76)=0,SUM($U76)=0),"",IF($C76="&lt;01",SUM($AD76),ROUND(ROUND(SUM($AJ76)*$AF76,0)/$AG76,0)))</f>
        <v>17</v>
      </c>
      <c r="AN76" s="122" t="n">
        <f aca="false">0.7</f>
        <v>0.7</v>
      </c>
      <c r="AO76" s="123" t="n">
        <f aca="false">1</f>
        <v>1</v>
      </c>
      <c r="AP76" s="115" t="n">
        <f aca="false">IF(AND(SUM($U76)=0,SUM($AM76)=0),"",ROUND((SUM($AM76)*$AN76+IF($C76="&lt;01",0,$U76))*$AO76,0))</f>
        <v>34</v>
      </c>
      <c r="AQ76" s="122" t="n">
        <v>12</v>
      </c>
      <c r="AR76" s="123" t="n">
        <f aca="false">0.95</f>
        <v>0.95</v>
      </c>
      <c r="AS76" s="123" t="n">
        <f aca="false">0.95</f>
        <v>0.95</v>
      </c>
      <c r="AT76" s="115" t="n">
        <f aca="false">IF(SUM($AP76)=0,"",ROUND(SUM($AP76)*$AR76,0))</f>
        <v>32</v>
      </c>
      <c r="AU76" s="115" t="n">
        <f aca="false">IF(LEFT($B76,4)="_Mil","",ROUND(SUM($AA76)*SUM($AS76),0))</f>
        <v>390</v>
      </c>
      <c r="AV76" s="124" t="n">
        <f aca="false">IF(SUM($AU76)&lt;=0,"",MAX(SUM($AU76)-SUM($R76),0))</f>
        <v>390</v>
      </c>
      <c r="AW76" s="122" t="n">
        <f aca="false">0</f>
        <v>0</v>
      </c>
      <c r="AX76" s="124" t="n">
        <f aca="false">IF(SUM($AM76)=0,"",ROUND(SUM($AM76)*SUM($AW76),0))</f>
        <v>0</v>
      </c>
      <c r="AY76" s="124" t="n">
        <f aca="false">IF(SUM($AM76)=0,"",SUM($AM76)-SUM($AX76))</f>
        <v>17</v>
      </c>
      <c r="AZ76" s="123" t="n">
        <v>12</v>
      </c>
      <c r="BA76" s="123" t="n">
        <f aca="false">0.95</f>
        <v>0.95</v>
      </c>
      <c r="BB76" s="123"/>
      <c r="BC76" s="123" t="n">
        <f aca="false">IF(OR(SUM($AM76)&lt;=0,$C76="&lt;01"),"",MAX(IF(OR(SUM($Y76)&lt;70%,LEFT($B76,4)="_Mil"),30%,IF(SUM($Y76)&gt;=80%,75%,50%)),SUM($BB76)))</f>
        <v>0.3</v>
      </c>
      <c r="BD76" s="115" t="n">
        <f aca="false">IF($C76="&lt;01",IFERROR(ROUND(INDEX(EID!$M:$M,MATCH($B76,EID!$B:$B,0)),0)/2,""),IF(SUM($AY76)=0,"",ROUND(SUM($AY76)/SUM($BA76),0)))</f>
        <v>18</v>
      </c>
      <c r="BE76" s="115" t="n">
        <f aca="false">IF($C76="&lt;01","",IF(SUM($BD76)=0,"",ROUND(SUM($BD76)*SUM($BC76),0)))</f>
        <v>5</v>
      </c>
      <c r="BF76" s="115" t="str">
        <f aca="false">_xlfn.IFNA(INDEX(PMTCT!$AE:$AE,MATCH($E76,PMTCT!$E:$E,0)),"")</f>
        <v/>
      </c>
      <c r="BG76" s="115" t="str">
        <f aca="false">_xlfn.IFNA(INDEX(PMTCT!$AU:$AU,MATCH($E76,PMTCT!$E:$E,0)),"")</f>
        <v/>
      </c>
      <c r="BH76" s="115" t="n">
        <f aca="false">_xlfn.IFNA(INDEX(TB!$Q:$Q,MATCH($E76,TB!$E:$E,0)),"")</f>
        <v>-29302</v>
      </c>
      <c r="BI76" s="115" t="str">
        <f aca="false">_xlfn.IFNA(INDEX(VMMC!$AC:$AC,MATCH($E76,VMMC!$E:$E,0)),"")</f>
        <v/>
      </c>
      <c r="BJ76" s="115" t="str">
        <f aca="false">IF($C76="&lt;01",$BD76,"")</f>
        <v/>
      </c>
      <c r="BK76" s="115" t="n">
        <f aca="false">IF(SUM($BD76)=0,"",($BD76)-SUM($BE76:$BJ76))</f>
        <v>29315</v>
      </c>
      <c r="BL76" s="123" t="n">
        <f aca="false">IF(OR(SUM($BD76)=0,SUM($BE76)=0),"",SUM($BE76)/$BD76)</f>
        <v>0.277777777777778</v>
      </c>
      <c r="BM76" s="123" t="str">
        <f aca="false">IF(OR(SUM($BD76)=0,SUM($BF76)=0),"",SUM($BF76)/$BD76)</f>
        <v/>
      </c>
      <c r="BN76" s="123" t="str">
        <f aca="false">IF(OR(SUM($BD76)=0,SUM($BG76)=0),"",SUM($BG76)/$BD76)</f>
        <v/>
      </c>
      <c r="BO76" s="123" t="n">
        <f aca="false">IF(OR(SUM($BD76)=0,SUM($BH76)=0),"",SUM($BH76)/$BD76)</f>
        <v>-1627.88888888889</v>
      </c>
      <c r="BP76" s="123" t="str">
        <f aca="false">IF(OR(SUM($BD76)=0,SUM($BI76)=0),"",SUM($BI76)/$BD76)</f>
        <v/>
      </c>
      <c r="BQ76" s="123" t="str">
        <f aca="false">IF(AND($C76="&lt;01",SUM($BJ76)&lt;&gt;0),$BJ76/SUM($BD76),"")</f>
        <v/>
      </c>
      <c r="BR76" s="123" t="n">
        <f aca="false">IF(OR(SUM($BD76)=0,SUM($BK76)=0),"",SUM($BK76)/$BD76)</f>
        <v>1628.61111111111</v>
      </c>
      <c r="BS76" s="122" t="n">
        <f aca="false">IF(SUM($X76)&lt;=0,"",$X76)</f>
        <v>0.0948275862068966</v>
      </c>
      <c r="BT76" s="115" t="n">
        <f aca="false">IF(LEFT($B76,4)="_Mil","",MAX(SUM($L76)+ROUND(SUM($BD76)/IF(SUM($BS76)&lt;=0,1,SUM($BS76)),0),0))</f>
        <v>503</v>
      </c>
    </row>
    <row r="77" customFormat="false" ht="15" hidden="false" customHeight="false" outlineLevel="0" collapsed="false">
      <c r="A77" s="0" t="s">
        <v>143</v>
      </c>
      <c r="B77" s="0" t="s">
        <v>115</v>
      </c>
      <c r="C77" s="0" t="s">
        <v>72</v>
      </c>
      <c r="D77" s="0" t="s">
        <v>56</v>
      </c>
      <c r="E77" s="0" t="str">
        <f aca="false">B77&amp;"|"&amp;C77&amp;"|"&amp;D77</f>
        <v>Butha Buthe [#SNU] [mvPRqBFtVC0]|30-34|Female</v>
      </c>
      <c r="F77" s="115" t="n">
        <f aca="false">_xlfn.IFNA(ROUND(INDEX(Spectrum!$N:$N,MATCH(RIGHT($B77,13)&amp;"|"&amp;$C77&amp;"|"&amp;$D77&amp;"|"&amp;F$14&amp;"|"&amp;"CY2021Q3",Spectrum!$Q:$Q,0)),0),"")</f>
        <v>5271</v>
      </c>
      <c r="G77" s="123" t="n">
        <f aca="false">_xlfn.IFNA(INDEX(Spectrum!$P:$P,MATCH(RIGHT($B77,13)&amp;"|"&amp;$C77&amp;"|"&amp;$D77&amp;"|"&amp;F$14&amp;"|"&amp;"CY2021Q3",Spectrum!$Q:$Q,0)),"")</f>
        <v>8</v>
      </c>
      <c r="H77" s="115" t="n">
        <f aca="false">_xlfn.IFNA(ROUND(INDEX(Spectrum!$N:$N,MATCH(RIGHT($B77,13)&amp;"|"&amp;$C77&amp;"|"&amp;$D77&amp;"|"&amp;H$14&amp;"|"&amp;"CY2021Q3",Spectrum!$Q:$Q,0)),0),"")</f>
        <v>1477</v>
      </c>
      <c r="I77" s="123" t="n">
        <f aca="false">_xlfn.IFNA(INDEX(Spectrum!$P:$P,MATCH(RIGHT($B77,13)&amp;"|"&amp;$C77&amp;"|"&amp;$D77&amp;"|"&amp;H$14&amp;"|"&amp;"CY2021Q3",Spectrum!$Q:$Q,0)),"")</f>
        <v>34</v>
      </c>
      <c r="J77" s="117" t="n">
        <f aca="false">_xlfn.IFNA(INDEX(Spectrum!$N:$N,MATCH(RIGHT($B77,13)&amp;"|"&amp;$C77&amp;"|"&amp;$D77&amp;"|"&amp;J$14&amp;"|"&amp;"CY2021Q3",Spectrum!$Q:$Q,0)),"")</f>
        <v>0.280281</v>
      </c>
      <c r="K77" s="123" t="n">
        <f aca="false">_xlfn.IFNA(INDEX(Spectrum!$P:$P,MATCH(RIGHT($B77,13)&amp;"|"&amp;$C77&amp;"|"&amp;$D77&amp;"|"&amp;J$14&amp;"|"&amp;"CY2021Q3",Spectrum!$Q:$Q,0)),"")</f>
        <v>19</v>
      </c>
      <c r="L77" s="115" t="n">
        <f aca="false">_xlfn.IFNA(ROUND(INDEX(Spectrum!$N:$N,MATCH(RIGHT($B77,13)&amp;"|"&amp;$C77&amp;"|"&amp;$D77&amp;"|"&amp;L$14&amp;"|"&amp;"CY2021Q3",Spectrum!$Q:$Q,0)),0),"")</f>
        <v>1059</v>
      </c>
      <c r="M77" s="123" t="n">
        <f aca="false">IF(OR(SUM($H77)&lt;=0,SUM($L77)&lt;=0),"",SUM($L77)/$H77)</f>
        <v>0.716993906567366</v>
      </c>
      <c r="N77" s="115" t="str">
        <f aca="false">_xlfn.IFNA(ROUND(INDEX(Spectrum!$N:$N,MATCH(RIGHT($B77,13)&amp;"|"&amp;$C77&amp;"|"&amp;$D77&amp;"|"&amp;N$14&amp;"|"&amp;"CY2020Q4",Spectrum!$Q:$Q,0)),0),"")</f>
        <v/>
      </c>
      <c r="O77" s="123" t="str">
        <f aca="false">_xlfn.IFNA(INDEX(Spectrum!$P:$P,MATCH(RIGHT($B77,13)&amp;"|"&amp;$C77&amp;"|"&amp;$D77&amp;"|"&amp;N$14&amp;"|"&amp;"CY2020Q4",Spectrum!$Q:$Q,0)),"")</f>
        <v/>
      </c>
      <c r="P77" s="115" t="n">
        <f aca="false">_xlfn.IFNA(ROUND(INDEX(Spectrum!$N:$N,MATCH(RIGHT($B77,13)&amp;"|"&amp;$C77&amp;"|"&amp;$D77&amp;"|"&amp;P$14&amp;"|"&amp;"CY2021Q3",Spectrum!$Q:$Q,0)),0),"")</f>
        <v>966</v>
      </c>
      <c r="Q77" s="123" t="n">
        <f aca="false">_xlfn.IFNA(INDEX(Spectrum!$P:$P,MATCH(RIGHT($B77,13)&amp;"|"&amp;$C77&amp;"|"&amp;$D77&amp;"|"&amp;P$14&amp;"|"&amp;"CY2021Q3",Spectrum!$Q:$Q,0)),"")</f>
        <v>45</v>
      </c>
      <c r="R77" s="115"/>
      <c r="S77" s="123" t="str">
        <f aca="false">IF(OR(SUM($P77)&lt;=0,SUM($R77)&lt;=0),"",SUM($R77)/$P77)</f>
        <v/>
      </c>
      <c r="T77" s="139" t="n">
        <v>12</v>
      </c>
      <c r="U77" s="124" t="n">
        <v>40</v>
      </c>
      <c r="V77" s="124" t="n">
        <f aca="false">IF($U77-$T77=0,"",$U77-$T77)</f>
        <v>28</v>
      </c>
      <c r="W77" s="123" t="n">
        <f aca="false">IF(LEFT($B77,4)="_Mil","",IFERROR(MIN(IF(SUM($N77)&lt;=0,SUM($U77)/SUM($P77),SUM($T77)/SUM($N77)),1),""))</f>
        <v>0.041407867494824</v>
      </c>
      <c r="X77" s="123" t="n">
        <f aca="false">$W77</f>
        <v>0.041407867494824</v>
      </c>
      <c r="Y77" s="123" t="n">
        <f aca="false">IFERROR(1/(1/INDEX(Spectrum!$N:$N,MATCH(RIGHT($B77,13)&amp;"|"&amp;$C77&amp;"|"&amp;$D77&amp;"|"&amp;Y$14&amp;"|"&amp;"CY2021Q3",Spectrum!$Q:$Q,0))),IF(SUM($H77)=0,"",MAX(SUM($P77),SUM($U77))/SUM($H77)))</f>
        <v>0.654028436018957</v>
      </c>
      <c r="Z77" s="123" t="n">
        <f aca="false">IF(SUM($Y77)=0,"",MAX(SUM($Y77),90%))</f>
        <v>0.9</v>
      </c>
      <c r="AA77" s="115" t="n">
        <f aca="false">IF(LEFT($B77,4)="_Mil","",ROUND(MAX(SUM($U77),SUM($P77))+IF(SUM($Z77)=0,0,MAX(SUM($Z77)-SUM($Y77),0)*SUM($H77)),0))</f>
        <v>1329</v>
      </c>
      <c r="AB77" s="115" t="n">
        <f aca="false">IF(SUM($AA77)=0,"",ROUND(MAX(SUM($AA77)-MAX(SUM($P77),SUM($U77)),0),0))</f>
        <v>363</v>
      </c>
      <c r="AC77" s="126" t="str">
        <f aca="false">IF($C77="&lt;01",IFERROR(ROUND(INDEX(EID!$N:$N,MATCH($B77,EID!$B:$B,0))/2,0),""),"")</f>
        <v/>
      </c>
      <c r="AD77" s="115" t="n">
        <f aca="false">IF($C77="&lt;01",IF(SUM($AC77)=0,"",ROUND(SUM($AC77)/$AG77,0)),IF(SUM($AB77)=0,"",ROUND(MAX($X77,0)*SUM($AB77),0)))</f>
        <v>15</v>
      </c>
      <c r="AE77" s="115" t="n">
        <f aca="false">IF(AND(SUM($AD77)=0,SUM($U77)=0),"",ROUND(IF($C77="&lt;01",0,SUM($U77))+SUM($AD77),0))</f>
        <v>55</v>
      </c>
      <c r="AF77" s="122" t="n">
        <f aca="false">IF($C77="&lt;01","",100%)</f>
        <v>1</v>
      </c>
      <c r="AG77" s="123" t="n">
        <f aca="false">0.98</f>
        <v>0.98</v>
      </c>
      <c r="AH77" s="123" t="n">
        <f aca="false">0.98</f>
        <v>0.98</v>
      </c>
      <c r="AI77" s="124" t="n">
        <f aca="false">IF(OR($C77="&lt;01",SUM($U77)=0),"",ROUND(SUM($U77)*(1-$AH77),0))</f>
        <v>1</v>
      </c>
      <c r="AJ77" s="124" t="n">
        <f aca="false">IF(AND(SUM($AE77)=0,SUM($U77)=0),"",IF($C77="&lt;01",SUM($AD77),SUM($AE77) - ROUND(SUM($U77)*$AH77,0)))</f>
        <v>16</v>
      </c>
      <c r="AK77" s="124" t="n">
        <v>42</v>
      </c>
      <c r="AL77" s="124" t="n">
        <v>17</v>
      </c>
      <c r="AM77" s="115" t="n">
        <f aca="false">IF(AND(SUM($AD77)=0,SUM($U77)=0),"",IF($C77="&lt;01",SUM($AD77),ROUND(ROUND(SUM($AJ77)*$AF77,0)/$AG77,0)))</f>
        <v>16</v>
      </c>
      <c r="AN77" s="122" t="n">
        <f aca="false">0.7</f>
        <v>0.7</v>
      </c>
      <c r="AO77" s="123" t="n">
        <f aca="false">1</f>
        <v>1</v>
      </c>
      <c r="AP77" s="115" t="n">
        <f aca="false">IF(AND(SUM($U77)=0,SUM($AM77)=0),"",ROUND((SUM($AM77)*$AN77+IF($C77="&lt;01",0,$U77))*$AO77,0))</f>
        <v>51</v>
      </c>
      <c r="AQ77" s="122" t="n">
        <v>2</v>
      </c>
      <c r="AR77" s="123" t="n">
        <f aca="false">0.95</f>
        <v>0.95</v>
      </c>
      <c r="AS77" s="123" t="n">
        <f aca="false">0.95</f>
        <v>0.95</v>
      </c>
      <c r="AT77" s="115" t="n">
        <f aca="false">IF(SUM($AP77)=0,"",ROUND(SUM($AP77)*$AR77,0))</f>
        <v>48</v>
      </c>
      <c r="AU77" s="115" t="n">
        <f aca="false">IF(LEFT($B77,4)="_Mil","",ROUND(SUM($AA77)*SUM($AS77),0))</f>
        <v>1263</v>
      </c>
      <c r="AV77" s="124" t="n">
        <f aca="false">IF(SUM($AU77)&lt;=0,"",MAX(SUM($AU77)-SUM($R77),0))</f>
        <v>1263</v>
      </c>
      <c r="AW77" s="122" t="n">
        <f aca="false">0</f>
        <v>0</v>
      </c>
      <c r="AX77" s="124" t="n">
        <f aca="false">IF(SUM($AM77)=0,"",ROUND(SUM($AM77)*SUM($AW77),0))</f>
        <v>0</v>
      </c>
      <c r="AY77" s="124" t="n">
        <f aca="false">IF(SUM($AM77)=0,"",SUM($AM77)-SUM($AX77))</f>
        <v>16</v>
      </c>
      <c r="AZ77" s="123" t="n">
        <v>2</v>
      </c>
      <c r="BA77" s="123" t="n">
        <f aca="false">0.95</f>
        <v>0.95</v>
      </c>
      <c r="BB77" s="123"/>
      <c r="BC77" s="123" t="n">
        <f aca="false">IF(OR(SUM($AM77)&lt;=0,$C77="&lt;01"),"",MAX(IF(OR(SUM($Y77)&lt;70%,LEFT($B77,4)="_Mil"),30%,IF(SUM($Y77)&gt;=80%,75%,50%)),SUM($BB77)))</f>
        <v>0.3</v>
      </c>
      <c r="BD77" s="115" t="n">
        <f aca="false">IF($C77="&lt;01",IFERROR(ROUND(INDEX(EID!$M:$M,MATCH($B77,EID!$B:$B,0)),0)/2,""),IF(SUM($AY77)=0,"",ROUND(SUM($AY77)/SUM($BA77),0)))</f>
        <v>17</v>
      </c>
      <c r="BE77" s="115" t="n">
        <f aca="false">IF($C77="&lt;01","",IF(SUM($BD77)=0,"",ROUND(SUM($BD77)*SUM($BC77),0)))</f>
        <v>5</v>
      </c>
      <c r="BF77" s="115" t="n">
        <f aca="false">_xlfn.IFNA(INDEX(PMTCT!$AE:$AE,MATCH($E77,PMTCT!$E:$E,0)),"")</f>
        <v>-5655</v>
      </c>
      <c r="BG77" s="115" t="str">
        <f aca="false">_xlfn.IFNA(INDEX(PMTCT!$AU:$AU,MATCH($E77,PMTCT!$E:$E,0)),"")</f>
        <v/>
      </c>
      <c r="BH77" s="115" t="n">
        <f aca="false">_xlfn.IFNA(INDEX(TB!$Q:$Q,MATCH($E77,TB!$E:$E,0)),"")</f>
        <v>-7560</v>
      </c>
      <c r="BI77" s="115" t="str">
        <f aca="false">_xlfn.IFNA(INDEX(VMMC!$AC:$AC,MATCH($E77,VMMC!$E:$E,0)),"")</f>
        <v/>
      </c>
      <c r="BJ77" s="115" t="str">
        <f aca="false">IF($C77="&lt;01",$BD77,"")</f>
        <v/>
      </c>
      <c r="BK77" s="115" t="n">
        <f aca="false">IF(SUM($BD77)=0,"",($BD77)-SUM($BE77:$BJ77))</f>
        <v>13227</v>
      </c>
      <c r="BL77" s="123" t="n">
        <f aca="false">IF(OR(SUM($BD77)=0,SUM($BE77)=0),"",SUM($BE77)/$BD77)</f>
        <v>0.294117647058823</v>
      </c>
      <c r="BM77" s="123" t="n">
        <f aca="false">IF(OR(SUM($BD77)=0,SUM($BF77)=0),"",SUM($BF77)/$BD77)</f>
        <v>-332.647058823529</v>
      </c>
      <c r="BN77" s="123" t="str">
        <f aca="false">IF(OR(SUM($BD77)=0,SUM($BG77)=0),"",SUM($BG77)/$BD77)</f>
        <v/>
      </c>
      <c r="BO77" s="123" t="n">
        <f aca="false">IF(OR(SUM($BD77)=0,SUM($BH77)=0),"",SUM($BH77)/$BD77)</f>
        <v>-444.705882352941</v>
      </c>
      <c r="BP77" s="123" t="str">
        <f aca="false">IF(OR(SUM($BD77)=0,SUM($BI77)=0),"",SUM($BI77)/$BD77)</f>
        <v/>
      </c>
      <c r="BQ77" s="123" t="str">
        <f aca="false">IF(AND($C77="&lt;01",SUM($BJ77)&lt;&gt;0),$BJ77/SUM($BD77),"")</f>
        <v/>
      </c>
      <c r="BR77" s="123" t="n">
        <f aca="false">IF(OR(SUM($BD77)=0,SUM($BK77)=0),"",SUM($BK77)/$BD77)</f>
        <v>778.058823529412</v>
      </c>
      <c r="BS77" s="122" t="n">
        <f aca="false">IF(SUM($X77)&lt;=0,"",$X77)</f>
        <v>0.041407867494824</v>
      </c>
      <c r="BT77" s="115" t="n">
        <f aca="false">IF(LEFT($B77,4)="_Mil","",MAX(SUM($L77)+ROUND(SUM($BD77)/IF(SUM($BS77)&lt;=0,1,SUM($BS77)),0),0))</f>
        <v>1470</v>
      </c>
    </row>
    <row r="78" customFormat="false" ht="15" hidden="false" customHeight="false" outlineLevel="0" collapsed="false">
      <c r="A78" s="0" t="s">
        <v>143</v>
      </c>
      <c r="B78" s="0" t="s">
        <v>115</v>
      </c>
      <c r="C78" s="0" t="s">
        <v>72</v>
      </c>
      <c r="D78" s="0" t="s">
        <v>58</v>
      </c>
      <c r="E78" s="0" t="str">
        <f aca="false">B78&amp;"|"&amp;C78&amp;"|"&amp;D78</f>
        <v>Butha Buthe [#SNU] [mvPRqBFtVC0]|30-34|Male</v>
      </c>
      <c r="F78" s="115" t="n">
        <f aca="false">_xlfn.IFNA(ROUND(INDEX(Spectrum!$N:$N,MATCH(RIGHT($B78,13)&amp;"|"&amp;$C78&amp;"|"&amp;$D78&amp;"|"&amp;F$14&amp;"|"&amp;"CY2021Q3",Spectrum!$Q:$Q,0)),0),"")</f>
        <v>5926</v>
      </c>
      <c r="G78" s="123" t="n">
        <f aca="false">_xlfn.IFNA(INDEX(Spectrum!$P:$P,MATCH(RIGHT($B78,13)&amp;"|"&amp;$C78&amp;"|"&amp;$D78&amp;"|"&amp;F$14&amp;"|"&amp;"CY2021Q3",Spectrum!$Q:$Q,0)),"")</f>
        <v>6</v>
      </c>
      <c r="H78" s="115" t="n">
        <f aca="false">_xlfn.IFNA(ROUND(INDEX(Spectrum!$N:$N,MATCH(RIGHT($B78,13)&amp;"|"&amp;$C78&amp;"|"&amp;$D78&amp;"|"&amp;H$14&amp;"|"&amp;"CY2021Q3",Spectrum!$Q:$Q,0)),0),"")</f>
        <v>862</v>
      </c>
      <c r="I78" s="123" t="n">
        <f aca="false">_xlfn.IFNA(INDEX(Spectrum!$P:$P,MATCH(RIGHT($B78,13)&amp;"|"&amp;$C78&amp;"|"&amp;$D78&amp;"|"&amp;H$14&amp;"|"&amp;"CY2021Q3",Spectrum!$Q:$Q,0)),"")</f>
        <v>47</v>
      </c>
      <c r="J78" s="117" t="n">
        <f aca="false">_xlfn.IFNA(INDEX(Spectrum!$N:$N,MATCH(RIGHT($B78,13)&amp;"|"&amp;$C78&amp;"|"&amp;$D78&amp;"|"&amp;J$14&amp;"|"&amp;"CY2021Q3",Spectrum!$Q:$Q,0)),"")</f>
        <v>0.1454341</v>
      </c>
      <c r="K78" s="123" t="n">
        <f aca="false">_xlfn.IFNA(INDEX(Spectrum!$P:$P,MATCH(RIGHT($B78,13)&amp;"|"&amp;$C78&amp;"|"&amp;$D78&amp;"|"&amp;J$14&amp;"|"&amp;"CY2021Q3",Spectrum!$Q:$Q,0)),"")</f>
        <v>41</v>
      </c>
      <c r="L78" s="115" t="n">
        <f aca="false">_xlfn.IFNA(ROUND(INDEX(Spectrum!$N:$N,MATCH(RIGHT($B78,13)&amp;"|"&amp;$C78&amp;"|"&amp;$D78&amp;"|"&amp;L$14&amp;"|"&amp;"CY2021Q3",Spectrum!$Q:$Q,0)),0),"")</f>
        <v>540</v>
      </c>
      <c r="M78" s="123" t="n">
        <f aca="false">IF(OR(SUM($H78)&lt;=0,SUM($L78)&lt;=0),"",SUM($L78)/$H78)</f>
        <v>0.626450116009281</v>
      </c>
      <c r="N78" s="115" t="str">
        <f aca="false">_xlfn.IFNA(ROUND(INDEX(Spectrum!$N:$N,MATCH(RIGHT($B78,13)&amp;"|"&amp;$C78&amp;"|"&amp;$D78&amp;"|"&amp;N$14&amp;"|"&amp;"CY2020Q4",Spectrum!$Q:$Q,0)),0),"")</f>
        <v/>
      </c>
      <c r="O78" s="123" t="str">
        <f aca="false">_xlfn.IFNA(INDEX(Spectrum!$P:$P,MATCH(RIGHT($B78,13)&amp;"|"&amp;$C78&amp;"|"&amp;$D78&amp;"|"&amp;N$14&amp;"|"&amp;"CY2020Q4",Spectrum!$Q:$Q,0)),"")</f>
        <v/>
      </c>
      <c r="P78" s="115" t="n">
        <f aca="false">_xlfn.IFNA(ROUND(INDEX(Spectrum!$N:$N,MATCH(RIGHT($B78,13)&amp;"|"&amp;$C78&amp;"|"&amp;$D78&amp;"|"&amp;P$14&amp;"|"&amp;"CY2021Q3",Spectrum!$Q:$Q,0)),0),"")</f>
        <v>428</v>
      </c>
      <c r="Q78" s="123" t="n">
        <f aca="false">_xlfn.IFNA(INDEX(Spectrum!$P:$P,MATCH(RIGHT($B78,13)&amp;"|"&amp;$C78&amp;"|"&amp;$D78&amp;"|"&amp;P$14&amp;"|"&amp;"CY2021Q3",Spectrum!$Q:$Q,0)),"")</f>
        <v>30</v>
      </c>
      <c r="R78" s="115"/>
      <c r="S78" s="123" t="str">
        <f aca="false">IF(OR(SUM($P78)&lt;=0,SUM($R78)&lt;=0),"",SUM($R78)/$P78)</f>
        <v/>
      </c>
      <c r="T78" s="139" t="n">
        <v>4</v>
      </c>
      <c r="U78" s="124" t="n">
        <v>33</v>
      </c>
      <c r="V78" s="124" t="n">
        <f aca="false">IF($U78-$T78=0,"",$U78-$T78)</f>
        <v>29</v>
      </c>
      <c r="W78" s="123" t="n">
        <f aca="false">IF(LEFT($B78,4)="_Mil","",IFERROR(MIN(IF(SUM($N78)&lt;=0,SUM($U78)/SUM($P78),SUM($T78)/SUM($N78)),1),""))</f>
        <v>0.0771028037383178</v>
      </c>
      <c r="X78" s="123" t="n">
        <f aca="false">$W78</f>
        <v>0.0771028037383178</v>
      </c>
      <c r="Y78" s="123" t="n">
        <f aca="false">IFERROR(1/(1/INDEX(Spectrum!$N:$N,MATCH(RIGHT($B78,13)&amp;"|"&amp;$C78&amp;"|"&amp;$D78&amp;"|"&amp;Y$14&amp;"|"&amp;"CY2021Q3",Spectrum!$Q:$Q,0))),IF(SUM($H78)=0,"",MAX(SUM($P78),SUM($U78))/SUM($H78)))</f>
        <v>0.496519721577726</v>
      </c>
      <c r="Z78" s="123" t="n">
        <f aca="false">IF(SUM($Y78)=0,"",MAX(SUM($Y78),90%))</f>
        <v>0.9</v>
      </c>
      <c r="AA78" s="115" t="n">
        <f aca="false">IF(LEFT($B78,4)="_Mil","",ROUND(MAX(SUM($U78),SUM($P78))+IF(SUM($Z78)=0,0,MAX(SUM($Z78)-SUM($Y78),0)*SUM($H78)),0))</f>
        <v>776</v>
      </c>
      <c r="AB78" s="115" t="n">
        <f aca="false">IF(SUM($AA78)=0,"",ROUND(MAX(SUM($AA78)-MAX(SUM($P78),SUM($U78)),0),0))</f>
        <v>348</v>
      </c>
      <c r="AC78" s="126" t="str">
        <f aca="false">IF($C78="&lt;01",IFERROR(ROUND(INDEX(EID!$N:$N,MATCH($B78,EID!$B:$B,0))/2,0),""),"")</f>
        <v/>
      </c>
      <c r="AD78" s="115" t="n">
        <f aca="false">IF($C78="&lt;01",IF(SUM($AC78)=0,"",ROUND(SUM($AC78)/$AG78,0)),IF(SUM($AB78)=0,"",ROUND(MAX($X78,0)*SUM($AB78),0)))</f>
        <v>27</v>
      </c>
      <c r="AE78" s="115" t="n">
        <f aca="false">IF(AND(SUM($AD78)=0,SUM($U78)=0),"",ROUND(IF($C78="&lt;01",0,SUM($U78))+SUM($AD78),0))</f>
        <v>60</v>
      </c>
      <c r="AF78" s="122" t="n">
        <f aca="false">IF($C78="&lt;01","",100%)</f>
        <v>1</v>
      </c>
      <c r="AG78" s="123" t="n">
        <f aca="false">0.98</f>
        <v>0.98</v>
      </c>
      <c r="AH78" s="123" t="n">
        <f aca="false">0.98</f>
        <v>0.98</v>
      </c>
      <c r="AI78" s="124" t="n">
        <f aca="false">IF(OR($C78="&lt;01",SUM($U78)=0),"",ROUND(SUM($U78)*(1-$AH78),0))</f>
        <v>1</v>
      </c>
      <c r="AJ78" s="124" t="n">
        <f aca="false">IF(AND(SUM($AE78)=0,SUM($U78)=0),"",IF($C78="&lt;01",SUM($AD78),SUM($AE78) - ROUND(SUM($U78)*$AH78,0)))</f>
        <v>28</v>
      </c>
      <c r="AK78" s="124" t="n">
        <v>29</v>
      </c>
      <c r="AL78" s="124" t="n">
        <v>32</v>
      </c>
      <c r="AM78" s="115" t="n">
        <f aca="false">IF(AND(SUM($AD78)=0,SUM($U78)=0),"",IF($C78="&lt;01",SUM($AD78),ROUND(ROUND(SUM($AJ78)*$AF78,0)/$AG78,0)))</f>
        <v>29</v>
      </c>
      <c r="AN78" s="122" t="n">
        <f aca="false">0.7</f>
        <v>0.7</v>
      </c>
      <c r="AO78" s="123" t="n">
        <f aca="false">1</f>
        <v>1</v>
      </c>
      <c r="AP78" s="115" t="n">
        <f aca="false">IF(AND(SUM($U78)=0,SUM($AM78)=0),"",ROUND((SUM($AM78)*$AN78+IF($C78="&lt;01",0,$U78))*$AO78,0))</f>
        <v>53</v>
      </c>
      <c r="AQ78" s="122" t="n">
        <v>4</v>
      </c>
      <c r="AR78" s="123" t="n">
        <f aca="false">0.95</f>
        <v>0.95</v>
      </c>
      <c r="AS78" s="123" t="n">
        <f aca="false">0.95</f>
        <v>0.95</v>
      </c>
      <c r="AT78" s="115" t="n">
        <f aca="false">IF(SUM($AP78)=0,"",ROUND(SUM($AP78)*$AR78,0))</f>
        <v>50</v>
      </c>
      <c r="AU78" s="115" t="n">
        <f aca="false">IF(LEFT($B78,4)="_Mil","",ROUND(SUM($AA78)*SUM($AS78),0))</f>
        <v>737</v>
      </c>
      <c r="AV78" s="124" t="n">
        <f aca="false">IF(SUM($AU78)&lt;=0,"",MAX(SUM($AU78)-SUM($R78),0))</f>
        <v>737</v>
      </c>
      <c r="AW78" s="122" t="n">
        <f aca="false">0</f>
        <v>0</v>
      </c>
      <c r="AX78" s="124" t="n">
        <f aca="false">IF(SUM($AM78)=0,"",ROUND(SUM($AM78)*SUM($AW78),0))</f>
        <v>0</v>
      </c>
      <c r="AY78" s="124" t="n">
        <f aca="false">IF(SUM($AM78)=0,"",SUM($AM78)-SUM($AX78))</f>
        <v>29</v>
      </c>
      <c r="AZ78" s="123" t="n">
        <v>1</v>
      </c>
      <c r="BA78" s="123" t="n">
        <f aca="false">0.95</f>
        <v>0.95</v>
      </c>
      <c r="BB78" s="123"/>
      <c r="BC78" s="123" t="n">
        <f aca="false">IF(OR(SUM($AM78)&lt;=0,$C78="&lt;01"),"",MAX(IF(OR(SUM($Y78)&lt;70%,LEFT($B78,4)="_Mil"),30%,IF(SUM($Y78)&gt;=80%,75%,50%)),SUM($BB78)))</f>
        <v>0.3</v>
      </c>
      <c r="BD78" s="115" t="n">
        <f aca="false">IF($C78="&lt;01",IFERROR(ROUND(INDEX(EID!$M:$M,MATCH($B78,EID!$B:$B,0)),0)/2,""),IF(SUM($AY78)=0,"",ROUND(SUM($AY78)/SUM($BA78),0)))</f>
        <v>31</v>
      </c>
      <c r="BE78" s="115" t="n">
        <f aca="false">IF($C78="&lt;01","",IF(SUM($BD78)=0,"",ROUND(SUM($BD78)*SUM($BC78),0)))</f>
        <v>9</v>
      </c>
      <c r="BF78" s="115" t="str">
        <f aca="false">_xlfn.IFNA(INDEX(PMTCT!$AE:$AE,MATCH($E78,PMTCT!$E:$E,0)),"")</f>
        <v/>
      </c>
      <c r="BG78" s="115" t="str">
        <f aca="false">_xlfn.IFNA(INDEX(PMTCT!$AU:$AU,MATCH($E78,PMTCT!$E:$E,0)),"")</f>
        <v/>
      </c>
      <c r="BH78" s="115" t="n">
        <f aca="false">_xlfn.IFNA(INDEX(TB!$Q:$Q,MATCH($E78,TB!$E:$E,0)),"")</f>
        <v>-5166</v>
      </c>
      <c r="BI78" s="115" t="str">
        <f aca="false">_xlfn.IFNA(INDEX(VMMC!$AC:$AC,MATCH($E78,VMMC!$E:$E,0)),"")</f>
        <v/>
      </c>
      <c r="BJ78" s="115" t="str">
        <f aca="false">IF($C78="&lt;01",$BD78,"")</f>
        <v/>
      </c>
      <c r="BK78" s="115" t="n">
        <f aca="false">IF(SUM($BD78)=0,"",($BD78)-SUM($BE78:$BJ78))</f>
        <v>5188</v>
      </c>
      <c r="BL78" s="123" t="n">
        <f aca="false">IF(OR(SUM($BD78)=0,SUM($BE78)=0),"",SUM($BE78)/$BD78)</f>
        <v>0.290322580645161</v>
      </c>
      <c r="BM78" s="123" t="str">
        <f aca="false">IF(OR(SUM($BD78)=0,SUM($BF78)=0),"",SUM($BF78)/$BD78)</f>
        <v/>
      </c>
      <c r="BN78" s="123" t="str">
        <f aca="false">IF(OR(SUM($BD78)=0,SUM($BG78)=0),"",SUM($BG78)/$BD78)</f>
        <v/>
      </c>
      <c r="BO78" s="123" t="n">
        <f aca="false">IF(OR(SUM($BD78)=0,SUM($BH78)=0),"",SUM($BH78)/$BD78)</f>
        <v>-166.645161290323</v>
      </c>
      <c r="BP78" s="123" t="str">
        <f aca="false">IF(OR(SUM($BD78)=0,SUM($BI78)=0),"",SUM($BI78)/$BD78)</f>
        <v/>
      </c>
      <c r="BQ78" s="123" t="str">
        <f aca="false">IF(AND($C78="&lt;01",SUM($BJ78)&lt;&gt;0),$BJ78/SUM($BD78),"")</f>
        <v/>
      </c>
      <c r="BR78" s="123" t="n">
        <f aca="false">IF(OR(SUM($BD78)=0,SUM($BK78)=0),"",SUM($BK78)/$BD78)</f>
        <v>167.354838709677</v>
      </c>
      <c r="BS78" s="122" t="n">
        <f aca="false">IF(SUM($X78)&lt;=0,"",$X78)</f>
        <v>0.0771028037383178</v>
      </c>
      <c r="BT78" s="115" t="n">
        <f aca="false">IF(LEFT($B78,4)="_Mil","",MAX(SUM($L78)+ROUND(SUM($BD78)/IF(SUM($BS78)&lt;=0,1,SUM($BS78)),0),0))</f>
        <v>942</v>
      </c>
    </row>
    <row r="79" customFormat="false" ht="15" hidden="false" customHeight="false" outlineLevel="0" collapsed="false">
      <c r="A79" s="0" t="s">
        <v>143</v>
      </c>
      <c r="B79" s="0" t="s">
        <v>115</v>
      </c>
      <c r="C79" s="0" t="s">
        <v>75</v>
      </c>
      <c r="D79" s="0" t="s">
        <v>56</v>
      </c>
      <c r="E79" s="0" t="str">
        <f aca="false">B79&amp;"|"&amp;C79&amp;"|"&amp;D79</f>
        <v>Butha Buthe [#SNU] [mvPRqBFtVC0]|35-39|Female</v>
      </c>
      <c r="F79" s="115" t="n">
        <f aca="false">_xlfn.IFNA(ROUND(INDEX(Spectrum!$N:$N,MATCH(RIGHT($B79,13)&amp;"|"&amp;$C79&amp;"|"&amp;$D79&amp;"|"&amp;F$14&amp;"|"&amp;"CY2021Q3",Spectrum!$Q:$Q,0)),0),"")</f>
        <v>3873</v>
      </c>
      <c r="G79" s="123" t="n">
        <f aca="false">_xlfn.IFNA(INDEX(Spectrum!$P:$P,MATCH(RIGHT($B79,13)&amp;"|"&amp;$C79&amp;"|"&amp;$D79&amp;"|"&amp;F$14&amp;"|"&amp;"CY2021Q3",Spectrum!$Q:$Q,0)),"")</f>
        <v>4</v>
      </c>
      <c r="H79" s="115" t="n">
        <f aca="false">_xlfn.IFNA(ROUND(INDEX(Spectrum!$N:$N,MATCH(RIGHT($B79,13)&amp;"|"&amp;$C79&amp;"|"&amp;$D79&amp;"|"&amp;H$14&amp;"|"&amp;"CY2021Q3",Spectrum!$Q:$Q,0)),0),"")</f>
        <v>1429</v>
      </c>
      <c r="I79" s="123" t="n">
        <f aca="false">_xlfn.IFNA(INDEX(Spectrum!$P:$P,MATCH(RIGHT($B79,13)&amp;"|"&amp;$C79&amp;"|"&amp;$D79&amp;"|"&amp;H$14&amp;"|"&amp;"CY2021Q3",Spectrum!$Q:$Q,0)),"")</f>
        <v>3</v>
      </c>
      <c r="J79" s="117" t="n">
        <f aca="false">_xlfn.IFNA(INDEX(Spectrum!$N:$N,MATCH(RIGHT($B79,13)&amp;"|"&amp;$C79&amp;"|"&amp;$D79&amp;"|"&amp;J$14&amp;"|"&amp;"CY2021Q3",Spectrum!$Q:$Q,0)),"")</f>
        <v>0.3690977</v>
      </c>
      <c r="K79" s="123" t="n">
        <f aca="false">_xlfn.IFNA(INDEX(Spectrum!$P:$P,MATCH(RIGHT($B79,13)&amp;"|"&amp;$C79&amp;"|"&amp;$D79&amp;"|"&amp;J$14&amp;"|"&amp;"CY2021Q3",Spectrum!$Q:$Q,0)),"")</f>
        <v>41</v>
      </c>
      <c r="L79" s="115" t="n">
        <f aca="false">_xlfn.IFNA(ROUND(INDEX(Spectrum!$N:$N,MATCH(RIGHT($B79,13)&amp;"|"&amp;$C79&amp;"|"&amp;$D79&amp;"|"&amp;L$14&amp;"|"&amp;"CY2021Q3",Spectrum!$Q:$Q,0)),0),"")</f>
        <v>1172</v>
      </c>
      <c r="M79" s="123" t="n">
        <f aca="false">IF(OR(SUM($H79)&lt;=0,SUM($L79)&lt;=0),"",SUM($L79)/$H79)</f>
        <v>0.820153953813856</v>
      </c>
      <c r="N79" s="115" t="str">
        <f aca="false">_xlfn.IFNA(ROUND(INDEX(Spectrum!$N:$N,MATCH(RIGHT($B79,13)&amp;"|"&amp;$C79&amp;"|"&amp;$D79&amp;"|"&amp;N$14&amp;"|"&amp;"CY2020Q4",Spectrum!$Q:$Q,0)),0),"")</f>
        <v/>
      </c>
      <c r="O79" s="123" t="str">
        <f aca="false">_xlfn.IFNA(INDEX(Spectrum!$P:$P,MATCH(RIGHT($B79,13)&amp;"|"&amp;$C79&amp;"|"&amp;$D79&amp;"|"&amp;N$14&amp;"|"&amp;"CY2020Q4",Spectrum!$Q:$Q,0)),"")</f>
        <v/>
      </c>
      <c r="P79" s="115" t="n">
        <f aca="false">_xlfn.IFNA(ROUND(INDEX(Spectrum!$N:$N,MATCH(RIGHT($B79,13)&amp;"|"&amp;$C79&amp;"|"&amp;$D79&amp;"|"&amp;P$14&amp;"|"&amp;"CY2021Q3",Spectrum!$Q:$Q,0)),0),"")</f>
        <v>1104</v>
      </c>
      <c r="Q79" s="123" t="n">
        <f aca="false">_xlfn.IFNA(INDEX(Spectrum!$P:$P,MATCH(RIGHT($B79,13)&amp;"|"&amp;$C79&amp;"|"&amp;$D79&amp;"|"&amp;P$14&amp;"|"&amp;"CY2021Q3",Spectrum!$Q:$Q,0)),"")</f>
        <v>13</v>
      </c>
      <c r="R79" s="115"/>
      <c r="S79" s="123" t="str">
        <f aca="false">IF(OR(SUM($P79)&lt;=0,SUM($R79)&lt;=0),"",SUM($R79)/$P79)</f>
        <v/>
      </c>
      <c r="T79" s="139" t="n">
        <v>40</v>
      </c>
      <c r="U79" s="124" t="n">
        <v>33</v>
      </c>
      <c r="V79" s="124" t="n">
        <f aca="false">IF($U79-$T79=0,"",$U79-$T79)</f>
        <v>-7</v>
      </c>
      <c r="W79" s="123" t="n">
        <f aca="false">IF(LEFT($B79,4)="_Mil","",IFERROR(MIN(IF(SUM($N79)&lt;=0,SUM($U79)/SUM($P79),SUM($T79)/SUM($N79)),1),""))</f>
        <v>0.0298913043478261</v>
      </c>
      <c r="X79" s="123" t="n">
        <f aca="false">$W79</f>
        <v>0.0298913043478261</v>
      </c>
      <c r="Y79" s="123" t="n">
        <f aca="false">IFERROR(1/(1/INDEX(Spectrum!$N:$N,MATCH(RIGHT($B79,13)&amp;"|"&amp;$C79&amp;"|"&amp;$D79&amp;"|"&amp;Y$14&amp;"|"&amp;"CY2021Q3",Spectrum!$Q:$Q,0))),IF(SUM($H79)=0,"",MAX(SUM($P79),SUM($U79))/SUM($H79)))</f>
        <v>0.772568229531141</v>
      </c>
      <c r="Z79" s="123" t="n">
        <f aca="false">IF(SUM($Y79)=0,"",MAX(SUM($Y79),90%))</f>
        <v>0.9</v>
      </c>
      <c r="AA79" s="115" t="n">
        <f aca="false">IF(LEFT($B79,4)="_Mil","",ROUND(MAX(SUM($U79),SUM($P79))+IF(SUM($Z79)=0,0,MAX(SUM($Z79)-SUM($Y79),0)*SUM($H79)),0))</f>
        <v>1286</v>
      </c>
      <c r="AB79" s="115" t="n">
        <f aca="false">IF(SUM($AA79)=0,"",ROUND(MAX(SUM($AA79)-MAX(SUM($P79),SUM($U79)),0),0))</f>
        <v>182</v>
      </c>
      <c r="AC79" s="126" t="str">
        <f aca="false">IF($C79="&lt;01",IFERROR(ROUND(INDEX(EID!$N:$N,MATCH($B79,EID!$B:$B,0))/2,0),""),"")</f>
        <v/>
      </c>
      <c r="AD79" s="115" t="n">
        <f aca="false">IF($C79="&lt;01",IF(SUM($AC79)=0,"",ROUND(SUM($AC79)/$AG79,0)),IF(SUM($AB79)=0,"",ROUND(MAX($X79,0)*SUM($AB79),0)))</f>
        <v>5</v>
      </c>
      <c r="AE79" s="115" t="n">
        <f aca="false">IF(AND(SUM($AD79)=0,SUM($U79)=0),"",ROUND(IF($C79="&lt;01",0,SUM($U79))+SUM($AD79),0))</f>
        <v>38</v>
      </c>
      <c r="AF79" s="122" t="n">
        <f aca="false">IF($C79="&lt;01","",100%)</f>
        <v>1</v>
      </c>
      <c r="AG79" s="123" t="n">
        <f aca="false">0.98</f>
        <v>0.98</v>
      </c>
      <c r="AH79" s="123" t="n">
        <f aca="false">0.98</f>
        <v>0.98</v>
      </c>
      <c r="AI79" s="124" t="n">
        <f aca="false">IF(OR($C79="&lt;01",SUM($U79)=0),"",ROUND(SUM($U79)*(1-$AH79),0))</f>
        <v>1</v>
      </c>
      <c r="AJ79" s="124" t="n">
        <f aca="false">IF(AND(SUM($AE79)=0,SUM($U79)=0),"",IF($C79="&lt;01",SUM($AD79),SUM($AE79) - ROUND(SUM($U79)*$AH79,0)))</f>
        <v>6</v>
      </c>
      <c r="AK79" s="124" t="n">
        <v>36</v>
      </c>
      <c r="AL79" s="124" t="n">
        <v>6</v>
      </c>
      <c r="AM79" s="115" t="n">
        <f aca="false">IF(AND(SUM($AD79)=0,SUM($U79)=0),"",IF($C79="&lt;01",SUM($AD79),ROUND(ROUND(SUM($AJ79)*$AF79,0)/$AG79,0)))</f>
        <v>6</v>
      </c>
      <c r="AN79" s="122" t="n">
        <f aca="false">0.7</f>
        <v>0.7</v>
      </c>
      <c r="AO79" s="123" t="n">
        <f aca="false">1</f>
        <v>1</v>
      </c>
      <c r="AP79" s="115" t="n">
        <f aca="false">IF(AND(SUM($U79)=0,SUM($AM79)=0),"",ROUND((SUM($AM79)*$AN79+IF($C79="&lt;01",0,$U79))*$AO79,0))</f>
        <v>37</v>
      </c>
      <c r="AQ79" s="122" t="n">
        <v>34</v>
      </c>
      <c r="AR79" s="123" t="n">
        <f aca="false">0.95</f>
        <v>0.95</v>
      </c>
      <c r="AS79" s="123" t="n">
        <f aca="false">0.95</f>
        <v>0.95</v>
      </c>
      <c r="AT79" s="115" t="n">
        <f aca="false">IF(SUM($AP79)=0,"",ROUND(SUM($AP79)*$AR79,0))</f>
        <v>35</v>
      </c>
      <c r="AU79" s="115" t="n">
        <f aca="false">IF(LEFT($B79,4)="_Mil","",ROUND(SUM($AA79)*SUM($AS79),0))</f>
        <v>1222</v>
      </c>
      <c r="AV79" s="124" t="n">
        <f aca="false">IF(SUM($AU79)&lt;=0,"",MAX(SUM($AU79)-SUM($R79),0))</f>
        <v>1222</v>
      </c>
      <c r="AW79" s="122" t="n">
        <f aca="false">0</f>
        <v>0</v>
      </c>
      <c r="AX79" s="124" t="n">
        <f aca="false">IF(SUM($AM79)=0,"",ROUND(SUM($AM79)*SUM($AW79),0))</f>
        <v>0</v>
      </c>
      <c r="AY79" s="124" t="n">
        <f aca="false">IF(SUM($AM79)=0,"",SUM($AM79)-SUM($AX79))</f>
        <v>6</v>
      </c>
      <c r="AZ79" s="123" t="n">
        <v>34</v>
      </c>
      <c r="BA79" s="123" t="n">
        <f aca="false">0.95</f>
        <v>0.95</v>
      </c>
      <c r="BB79" s="123"/>
      <c r="BC79" s="123" t="n">
        <f aca="false">IF(OR(SUM($AM79)&lt;=0,$C79="&lt;01"),"",MAX(IF(OR(SUM($Y79)&lt;70%,LEFT($B79,4)="_Mil"),30%,IF(SUM($Y79)&gt;=80%,75%,50%)),SUM($BB79)))</f>
        <v>0.5</v>
      </c>
      <c r="BD79" s="115" t="n">
        <f aca="false">IF($C79="&lt;01",IFERROR(ROUND(INDEX(EID!$M:$M,MATCH($B79,EID!$B:$B,0)),0)/2,""),IF(SUM($AY79)=0,"",ROUND(SUM($AY79)/SUM($BA79),0)))</f>
        <v>6</v>
      </c>
      <c r="BE79" s="115" t="n">
        <f aca="false">IF($C79="&lt;01","",IF(SUM($BD79)=0,"",ROUND(SUM($BD79)*SUM($BC79),0)))</f>
        <v>3</v>
      </c>
      <c r="BF79" s="115" t="n">
        <f aca="false">_xlfn.IFNA(INDEX(PMTCT!$AE:$AE,MATCH($E79,PMTCT!$E:$E,0)),"")</f>
        <v>-16720</v>
      </c>
      <c r="BG79" s="115" t="str">
        <f aca="false">_xlfn.IFNA(INDEX(PMTCT!$AU:$AU,MATCH($E79,PMTCT!$E:$E,0)),"")</f>
        <v/>
      </c>
      <c r="BH79" s="115" t="n">
        <f aca="false">_xlfn.IFNA(INDEX(TB!$Q:$Q,MATCH($E79,TB!$E:$E,0)),"")</f>
        <v>-5928</v>
      </c>
      <c r="BI79" s="115" t="str">
        <f aca="false">_xlfn.IFNA(INDEX(VMMC!$AC:$AC,MATCH($E79,VMMC!$E:$E,0)),"")</f>
        <v/>
      </c>
      <c r="BJ79" s="115" t="str">
        <f aca="false">IF($C79="&lt;01",$BD79,"")</f>
        <v/>
      </c>
      <c r="BK79" s="115" t="n">
        <f aca="false">IF(SUM($BD79)=0,"",($BD79)-SUM($BE79:$BJ79))</f>
        <v>22651</v>
      </c>
      <c r="BL79" s="123" t="n">
        <f aca="false">IF(OR(SUM($BD79)=0,SUM($BE79)=0),"",SUM($BE79)/$BD79)</f>
        <v>0.5</v>
      </c>
      <c r="BM79" s="123" t="n">
        <f aca="false">IF(OR(SUM($BD79)=0,SUM($BF79)=0),"",SUM($BF79)/$BD79)</f>
        <v>-2786.66666666667</v>
      </c>
      <c r="BN79" s="123" t="str">
        <f aca="false">IF(OR(SUM($BD79)=0,SUM($BG79)=0),"",SUM($BG79)/$BD79)</f>
        <v/>
      </c>
      <c r="BO79" s="123" t="n">
        <f aca="false">IF(OR(SUM($BD79)=0,SUM($BH79)=0),"",SUM($BH79)/$BD79)</f>
        <v>-988</v>
      </c>
      <c r="BP79" s="123" t="str">
        <f aca="false">IF(OR(SUM($BD79)=0,SUM($BI79)=0),"",SUM($BI79)/$BD79)</f>
        <v/>
      </c>
      <c r="BQ79" s="123" t="str">
        <f aca="false">IF(AND($C79="&lt;01",SUM($BJ79)&lt;&gt;0),$BJ79/SUM($BD79),"")</f>
        <v/>
      </c>
      <c r="BR79" s="123" t="n">
        <f aca="false">IF(OR(SUM($BD79)=0,SUM($BK79)=0),"",SUM($BK79)/$BD79)</f>
        <v>3775.16666666667</v>
      </c>
      <c r="BS79" s="122" t="n">
        <f aca="false">IF(SUM($X79)&lt;=0,"",$X79)</f>
        <v>0.0298913043478261</v>
      </c>
      <c r="BT79" s="115" t="n">
        <f aca="false">IF(LEFT($B79,4)="_Mil","",MAX(SUM($L79)+ROUND(SUM($BD79)/IF(SUM($BS79)&lt;=0,1,SUM($BS79)),0),0))</f>
        <v>1373</v>
      </c>
    </row>
    <row r="80" customFormat="false" ht="15" hidden="false" customHeight="false" outlineLevel="0" collapsed="false">
      <c r="A80" s="0" t="s">
        <v>143</v>
      </c>
      <c r="B80" s="0" t="s">
        <v>115</v>
      </c>
      <c r="C80" s="0" t="s">
        <v>75</v>
      </c>
      <c r="D80" s="0" t="s">
        <v>58</v>
      </c>
      <c r="E80" s="0" t="str">
        <f aca="false">B80&amp;"|"&amp;C80&amp;"|"&amp;D80</f>
        <v>Butha Buthe [#SNU] [mvPRqBFtVC0]|35-39|Male</v>
      </c>
      <c r="F80" s="115" t="n">
        <f aca="false">_xlfn.IFNA(ROUND(INDEX(Spectrum!$N:$N,MATCH(RIGHT($B80,13)&amp;"|"&amp;$C80&amp;"|"&amp;$D80&amp;"|"&amp;F$14&amp;"|"&amp;"CY2021Q3",Spectrum!$Q:$Q,0)),0),"")</f>
        <v>4647</v>
      </c>
      <c r="G80" s="123" t="n">
        <f aca="false">_xlfn.IFNA(INDEX(Spectrum!$P:$P,MATCH(RIGHT($B80,13)&amp;"|"&amp;$C80&amp;"|"&amp;$D80&amp;"|"&amp;F$14&amp;"|"&amp;"CY2021Q3",Spectrum!$Q:$Q,0)),"")</f>
        <v>7</v>
      </c>
      <c r="H80" s="115" t="n">
        <f aca="false">_xlfn.IFNA(ROUND(INDEX(Spectrum!$N:$N,MATCH(RIGHT($B80,13)&amp;"|"&amp;$C80&amp;"|"&amp;$D80&amp;"|"&amp;H$14&amp;"|"&amp;"CY2021Q3",Spectrum!$Q:$Q,0)),0),"")</f>
        <v>1066</v>
      </c>
      <c r="I80" s="123" t="n">
        <f aca="false">_xlfn.IFNA(INDEX(Spectrum!$P:$P,MATCH(RIGHT($B80,13)&amp;"|"&amp;$C80&amp;"|"&amp;$D80&amp;"|"&amp;H$14&amp;"|"&amp;"CY2021Q3",Spectrum!$Q:$Q,0)),"")</f>
        <v>46</v>
      </c>
      <c r="J80" s="117" t="n">
        <f aca="false">_xlfn.IFNA(INDEX(Spectrum!$N:$N,MATCH(RIGHT($B80,13)&amp;"|"&amp;$C80&amp;"|"&amp;$D80&amp;"|"&amp;J$14&amp;"|"&amp;"CY2021Q3",Spectrum!$Q:$Q,0)),"")</f>
        <v>0.2294854</v>
      </c>
      <c r="K80" s="123" t="n">
        <f aca="false">_xlfn.IFNA(INDEX(Spectrum!$P:$P,MATCH(RIGHT($B80,13)&amp;"|"&amp;$C80&amp;"|"&amp;$D80&amp;"|"&amp;J$14&amp;"|"&amp;"CY2021Q3",Spectrum!$Q:$Q,0)),"")</f>
        <v>11</v>
      </c>
      <c r="L80" s="115" t="n">
        <f aca="false">_xlfn.IFNA(ROUND(INDEX(Spectrum!$N:$N,MATCH(RIGHT($B80,13)&amp;"|"&amp;$C80&amp;"|"&amp;$D80&amp;"|"&amp;L$14&amp;"|"&amp;"CY2021Q3",Spectrum!$Q:$Q,0)),0),"")</f>
        <v>746</v>
      </c>
      <c r="M80" s="123" t="n">
        <f aca="false">IF(OR(SUM($H80)&lt;=0,SUM($L80)&lt;=0),"",SUM($L80)/$H80)</f>
        <v>0.699812382739212</v>
      </c>
      <c r="N80" s="115" t="str">
        <f aca="false">_xlfn.IFNA(ROUND(INDEX(Spectrum!$N:$N,MATCH(RIGHT($B80,13)&amp;"|"&amp;$C80&amp;"|"&amp;$D80&amp;"|"&amp;N$14&amp;"|"&amp;"CY2020Q4",Spectrum!$Q:$Q,0)),0),"")</f>
        <v/>
      </c>
      <c r="O80" s="123" t="str">
        <f aca="false">_xlfn.IFNA(INDEX(Spectrum!$P:$P,MATCH(RIGHT($B80,13)&amp;"|"&amp;$C80&amp;"|"&amp;$D80&amp;"|"&amp;N$14&amp;"|"&amp;"CY2020Q4",Spectrum!$Q:$Q,0)),"")</f>
        <v/>
      </c>
      <c r="P80" s="115" t="n">
        <f aca="false">_xlfn.IFNA(ROUND(INDEX(Spectrum!$N:$N,MATCH(RIGHT($B80,13)&amp;"|"&amp;$C80&amp;"|"&amp;$D80&amp;"|"&amp;P$14&amp;"|"&amp;"CY2021Q3",Spectrum!$Q:$Q,0)),0),"")</f>
        <v>626</v>
      </c>
      <c r="Q80" s="123" t="n">
        <f aca="false">_xlfn.IFNA(INDEX(Spectrum!$P:$P,MATCH(RIGHT($B80,13)&amp;"|"&amp;$C80&amp;"|"&amp;$D80&amp;"|"&amp;P$14&amp;"|"&amp;"CY2021Q3",Spectrum!$Q:$Q,0)),"")</f>
        <v>32</v>
      </c>
      <c r="R80" s="115"/>
      <c r="S80" s="123" t="str">
        <f aca="false">IF(OR(SUM($P80)&lt;=0,SUM($R80)&lt;=0),"",SUM($R80)/$P80)</f>
        <v/>
      </c>
      <c r="T80" s="139" t="n">
        <v>47</v>
      </c>
      <c r="U80" s="124" t="n">
        <v>0</v>
      </c>
      <c r="V80" s="124" t="n">
        <f aca="false">IF($U80-$T80=0,"",$U80-$T80)</f>
        <v>-47</v>
      </c>
      <c r="W80" s="123" t="n">
        <f aca="false">IF(LEFT($B80,4)="_Mil","",IFERROR(MIN(IF(SUM($N80)&lt;=0,SUM($U80)/SUM($P80),SUM($T80)/SUM($N80)),1),""))</f>
        <v>0</v>
      </c>
      <c r="X80" s="123" t="n">
        <f aca="false">$W80</f>
        <v>0</v>
      </c>
      <c r="Y80" s="123" t="n">
        <f aca="false">IFERROR(1/(1/INDEX(Spectrum!$N:$N,MATCH(RIGHT($B80,13)&amp;"|"&amp;$C80&amp;"|"&amp;$D80&amp;"|"&amp;Y$14&amp;"|"&amp;"CY2021Q3",Spectrum!$Q:$Q,0))),IF(SUM($H80)=0,"",MAX(SUM($P80),SUM($U80))/SUM($H80)))</f>
        <v>0.587242026266417</v>
      </c>
      <c r="Z80" s="123" t="n">
        <f aca="false">IF(SUM($Y80)=0,"",MAX(SUM($Y80),90%))</f>
        <v>0.9</v>
      </c>
      <c r="AA80" s="115" t="n">
        <f aca="false">IF(LEFT($B80,4)="_Mil","",ROUND(MAX(SUM($U80),SUM($P80))+IF(SUM($Z80)=0,0,MAX(SUM($Z80)-SUM($Y80),0)*SUM($H80)),0))</f>
        <v>959</v>
      </c>
      <c r="AB80" s="115" t="n">
        <f aca="false">IF(SUM($AA80)=0,"",ROUND(MAX(SUM($AA80)-MAX(SUM($P80),SUM($U80)),0),0))</f>
        <v>333</v>
      </c>
      <c r="AC80" s="126" t="str">
        <f aca="false">IF($C80="&lt;01",IFERROR(ROUND(INDEX(EID!$N:$N,MATCH($B80,EID!$B:$B,0))/2,0),""),"")</f>
        <v/>
      </c>
      <c r="AD80" s="115" t="n">
        <f aca="false">IF($C80="&lt;01",IF(SUM($AC80)=0,"",ROUND(SUM($AC80)/$AG80,0)),IF(SUM($AB80)=0,"",ROUND(MAX($X80,0)*SUM($AB80),0)))</f>
        <v>0</v>
      </c>
      <c r="AE80" s="115" t="str">
        <f aca="false">IF(AND(SUM($AD80)=0,SUM($U80)=0),"",ROUND(IF($C80="&lt;01",0,SUM($U80))+SUM($AD80),0))</f>
        <v/>
      </c>
      <c r="AF80" s="122" t="n">
        <f aca="false">IF($C80="&lt;01","",100%)</f>
        <v>1</v>
      </c>
      <c r="AG80" s="123" t="n">
        <f aca="false">0.98</f>
        <v>0.98</v>
      </c>
      <c r="AH80" s="123" t="n">
        <f aca="false">0.98</f>
        <v>0.98</v>
      </c>
      <c r="AI80" s="124" t="str">
        <f aca="false">IF(OR($C80="&lt;01",SUM($U80)=0),"",ROUND(SUM($U80)*(1-$AH80),0))</f>
        <v/>
      </c>
      <c r="AJ80" s="124" t="str">
        <f aca="false">IF(AND(SUM($AE80)=0,SUM($U80)=0),"",IF($C80="&lt;01",SUM($AD80),SUM($AE80) - ROUND(SUM($U80)*$AH80,0)))</f>
        <v/>
      </c>
      <c r="AK80" s="124" t="n">
        <v>0</v>
      </c>
      <c r="AL80" s="124" t="n">
        <v>31</v>
      </c>
      <c r="AM80" s="115" t="str">
        <f aca="false">IF(AND(SUM($AD80)=0,SUM($U80)=0),"",IF($C80="&lt;01",SUM($AD80),ROUND(ROUND(SUM($AJ80)*$AF80,0)/$AG80,0)))</f>
        <v/>
      </c>
      <c r="AN80" s="122" t="n">
        <f aca="false">0.7</f>
        <v>0.7</v>
      </c>
      <c r="AO80" s="123" t="n">
        <f aca="false">1</f>
        <v>1</v>
      </c>
      <c r="AP80" s="115" t="str">
        <f aca="false">IF(AND(SUM($U80)=0,SUM($AM80)=0),"",ROUND((SUM($AM80)*$AN80+IF($C80="&lt;01",0,$U80))*$AO80,0))</f>
        <v/>
      </c>
      <c r="AQ80" s="122" t="n">
        <v>23</v>
      </c>
      <c r="AR80" s="123" t="n">
        <f aca="false">0.95</f>
        <v>0.95</v>
      </c>
      <c r="AS80" s="123" t="n">
        <f aca="false">0.95</f>
        <v>0.95</v>
      </c>
      <c r="AT80" s="115" t="str">
        <f aca="false">IF(SUM($AP80)=0,"",ROUND(SUM($AP80)*$AR80,0))</f>
        <v/>
      </c>
      <c r="AU80" s="115" t="n">
        <f aca="false">IF(LEFT($B80,4)="_Mil","",ROUND(SUM($AA80)*SUM($AS80),0))</f>
        <v>911</v>
      </c>
      <c r="AV80" s="124" t="n">
        <f aca="false">IF(SUM($AU80)&lt;=0,"",MAX(SUM($AU80)-SUM($R80),0))</f>
        <v>911</v>
      </c>
      <c r="AW80" s="122" t="n">
        <f aca="false">0</f>
        <v>0</v>
      </c>
      <c r="AX80" s="124" t="str">
        <f aca="false">IF(SUM($AM80)=0,"",ROUND(SUM($AM80)*SUM($AW80),0))</f>
        <v/>
      </c>
      <c r="AY80" s="124" t="str">
        <f aca="false">IF(SUM($AM80)=0,"",SUM($AM80)-SUM($AX80))</f>
        <v/>
      </c>
      <c r="AZ80" s="123" t="n">
        <v>45</v>
      </c>
      <c r="BA80" s="123" t="n">
        <f aca="false">0.95</f>
        <v>0.95</v>
      </c>
      <c r="BB80" s="123"/>
      <c r="BC80" s="123" t="str">
        <f aca="false">IF(OR(SUM($AM80)&lt;=0,$C80="&lt;01"),"",MAX(IF(OR(SUM($Y80)&lt;70%,LEFT($B80,4)="_Mil"),30%,IF(SUM($Y80)&gt;=80%,75%,50%)),SUM($BB80)))</f>
        <v/>
      </c>
      <c r="BD80" s="115" t="str">
        <f aca="false">IF($C80="&lt;01",IFERROR(ROUND(INDEX(EID!$M:$M,MATCH($B80,EID!$B:$B,0)),0)/2,""),IF(SUM($AY80)=0,"",ROUND(SUM($AY80)/SUM($BA80),0)))</f>
        <v/>
      </c>
      <c r="BE80" s="115" t="str">
        <f aca="false">IF($C80="&lt;01","",IF(SUM($BD80)=0,"",ROUND(SUM($BD80)*SUM($BC80),0)))</f>
        <v/>
      </c>
      <c r="BF80" s="115" t="str">
        <f aca="false">_xlfn.IFNA(INDEX(PMTCT!$AE:$AE,MATCH($E80,PMTCT!$E:$E,0)),"")</f>
        <v/>
      </c>
      <c r="BG80" s="115" t="str">
        <f aca="false">_xlfn.IFNA(INDEX(PMTCT!$AU:$AU,MATCH($E80,PMTCT!$E:$E,0)),"")</f>
        <v/>
      </c>
      <c r="BH80" s="115" t="n">
        <f aca="false">_xlfn.IFNA(INDEX(TB!$Q:$Q,MATCH($E80,TB!$E:$E,0)),"")</f>
        <v>-43953</v>
      </c>
      <c r="BI80" s="115" t="str">
        <f aca="false">_xlfn.IFNA(INDEX(VMMC!$AC:$AC,MATCH($E80,VMMC!$E:$E,0)),"")</f>
        <v/>
      </c>
      <c r="BJ80" s="115" t="str">
        <f aca="false">IF($C80="&lt;01",$BD80,"")</f>
        <v/>
      </c>
      <c r="BK80" s="115" t="str">
        <f aca="false">IF(SUM($BD80)=0,"",($BD80)-SUM($BE80:$BJ80))</f>
        <v/>
      </c>
      <c r="BL80" s="123" t="str">
        <f aca="false">IF(OR(SUM($BD80)=0,SUM($BE80)=0),"",SUM($BE80)/$BD80)</f>
        <v/>
      </c>
      <c r="BM80" s="123" t="str">
        <f aca="false">IF(OR(SUM($BD80)=0,SUM($BF80)=0),"",SUM($BF80)/$BD80)</f>
        <v/>
      </c>
      <c r="BN80" s="123" t="str">
        <f aca="false">IF(OR(SUM($BD80)=0,SUM($BG80)=0),"",SUM($BG80)/$BD80)</f>
        <v/>
      </c>
      <c r="BO80" s="123" t="str">
        <f aca="false">IF(OR(SUM($BD80)=0,SUM($BH80)=0),"",SUM($BH80)/$BD80)</f>
        <v/>
      </c>
      <c r="BP80" s="123" t="str">
        <f aca="false">IF(OR(SUM($BD80)=0,SUM($BI80)=0),"",SUM($BI80)/$BD80)</f>
        <v/>
      </c>
      <c r="BQ80" s="123" t="str">
        <f aca="false">IF(AND($C80="&lt;01",SUM($BJ80)&lt;&gt;0),$BJ80/SUM($BD80),"")</f>
        <v/>
      </c>
      <c r="BR80" s="123" t="str">
        <f aca="false">IF(OR(SUM($BD80)=0,SUM($BK80)=0),"",SUM($BK80)/$BD80)</f>
        <v/>
      </c>
      <c r="BS80" s="122" t="str">
        <f aca="false">IF(SUM($X80)&lt;=0,"",$X80)</f>
        <v/>
      </c>
      <c r="BT80" s="115" t="n">
        <f aca="false">IF(LEFT($B80,4)="_Mil","",MAX(SUM($L80)+ROUND(SUM($BD80)/IF(SUM($BS80)&lt;=0,1,SUM($BS80)),0),0))</f>
        <v>746</v>
      </c>
    </row>
    <row r="81" customFormat="false" ht="15" hidden="false" customHeight="false" outlineLevel="0" collapsed="false">
      <c r="A81" s="0" t="s">
        <v>143</v>
      </c>
      <c r="B81" s="0" t="s">
        <v>115</v>
      </c>
      <c r="C81" s="0" t="s">
        <v>77</v>
      </c>
      <c r="D81" s="0" t="s">
        <v>56</v>
      </c>
      <c r="E81" s="0" t="str">
        <f aca="false">B81&amp;"|"&amp;C81&amp;"|"&amp;D81</f>
        <v>Butha Buthe [#SNU] [mvPRqBFtVC0]|40-44|Female</v>
      </c>
      <c r="F81" s="115" t="n">
        <f aca="false">_xlfn.IFNA(ROUND(INDEX(Spectrum!$N:$N,MATCH(RIGHT($B81,13)&amp;"|"&amp;$C81&amp;"|"&amp;$D81&amp;"|"&amp;F$14&amp;"|"&amp;"CY2021Q3",Spectrum!$Q:$Q,0)),0),"")</f>
        <v>2771</v>
      </c>
      <c r="G81" s="123" t="n">
        <f aca="false">_xlfn.IFNA(INDEX(Spectrum!$P:$P,MATCH(RIGHT($B81,13)&amp;"|"&amp;$C81&amp;"|"&amp;$D81&amp;"|"&amp;F$14&amp;"|"&amp;"CY2021Q3",Spectrum!$Q:$Q,0)),"")</f>
        <v>14</v>
      </c>
      <c r="H81" s="115" t="n">
        <f aca="false">_xlfn.IFNA(ROUND(INDEX(Spectrum!$N:$N,MATCH(RIGHT($B81,13)&amp;"|"&amp;$C81&amp;"|"&amp;$D81&amp;"|"&amp;H$14&amp;"|"&amp;"CY2021Q3",Spectrum!$Q:$Q,0)),0),"")</f>
        <v>1146</v>
      </c>
      <c r="I81" s="123" t="n">
        <f aca="false">_xlfn.IFNA(INDEX(Spectrum!$P:$P,MATCH(RIGHT($B81,13)&amp;"|"&amp;$C81&amp;"|"&amp;$D81&amp;"|"&amp;H$14&amp;"|"&amp;"CY2021Q3",Spectrum!$Q:$Q,0)),"")</f>
        <v>19</v>
      </c>
      <c r="J81" s="117" t="n">
        <f aca="false">_xlfn.IFNA(INDEX(Spectrum!$N:$N,MATCH(RIGHT($B81,13)&amp;"|"&amp;$C81&amp;"|"&amp;$D81&amp;"|"&amp;J$14&amp;"|"&amp;"CY2021Q3",Spectrum!$Q:$Q,0)),"")</f>
        <v>0.4136882</v>
      </c>
      <c r="K81" s="123" t="n">
        <f aca="false">_xlfn.IFNA(INDEX(Spectrum!$P:$P,MATCH(RIGHT($B81,13)&amp;"|"&amp;$C81&amp;"|"&amp;$D81&amp;"|"&amp;J$14&amp;"|"&amp;"CY2021Q3",Spectrum!$Q:$Q,0)),"")</f>
        <v>25</v>
      </c>
      <c r="L81" s="115" t="n">
        <f aca="false">_xlfn.IFNA(ROUND(INDEX(Spectrum!$N:$N,MATCH(RIGHT($B81,13)&amp;"|"&amp;$C81&amp;"|"&amp;$D81&amp;"|"&amp;L$14&amp;"|"&amp;"CY2021Q3",Spectrum!$Q:$Q,0)),0),"")</f>
        <v>1133</v>
      </c>
      <c r="M81" s="123" t="n">
        <f aca="false">IF(OR(SUM($H81)&lt;=0,SUM($L81)&lt;=0),"",SUM($L81)/$H81)</f>
        <v>0.988656195462478</v>
      </c>
      <c r="N81" s="115" t="str">
        <f aca="false">_xlfn.IFNA(ROUND(INDEX(Spectrum!$N:$N,MATCH(RIGHT($B81,13)&amp;"|"&amp;$C81&amp;"|"&amp;$D81&amp;"|"&amp;N$14&amp;"|"&amp;"CY2020Q4",Spectrum!$Q:$Q,0)),0),"")</f>
        <v/>
      </c>
      <c r="O81" s="123" t="str">
        <f aca="false">_xlfn.IFNA(INDEX(Spectrum!$P:$P,MATCH(RIGHT($B81,13)&amp;"|"&amp;$C81&amp;"|"&amp;$D81&amp;"|"&amp;N$14&amp;"|"&amp;"CY2020Q4",Spectrum!$Q:$Q,0)),"")</f>
        <v/>
      </c>
      <c r="P81" s="115" t="n">
        <f aca="false">_xlfn.IFNA(ROUND(INDEX(Spectrum!$N:$N,MATCH(RIGHT($B81,13)&amp;"|"&amp;$C81&amp;"|"&amp;$D81&amp;"|"&amp;P$14&amp;"|"&amp;"CY2021Q3",Spectrum!$Q:$Q,0)),0),"")</f>
        <v>1075</v>
      </c>
      <c r="Q81" s="123" t="n">
        <f aca="false">_xlfn.IFNA(INDEX(Spectrum!$P:$P,MATCH(RIGHT($B81,13)&amp;"|"&amp;$C81&amp;"|"&amp;$D81&amp;"|"&amp;P$14&amp;"|"&amp;"CY2021Q3",Spectrum!$Q:$Q,0)),"")</f>
        <v>2</v>
      </c>
      <c r="R81" s="115"/>
      <c r="S81" s="123" t="str">
        <f aca="false">IF(OR(SUM($P81)&lt;=0,SUM($R81)&lt;=0),"",SUM($R81)/$P81)</f>
        <v/>
      </c>
      <c r="T81" s="139" t="n">
        <v>27</v>
      </c>
      <c r="U81" s="124" t="n">
        <v>46</v>
      </c>
      <c r="V81" s="124" t="n">
        <f aca="false">IF($U81-$T81=0,"",$U81-$T81)</f>
        <v>19</v>
      </c>
      <c r="W81" s="123" t="n">
        <f aca="false">IF(LEFT($B81,4)="_Mil","",IFERROR(MIN(IF(SUM($N81)&lt;=0,SUM($U81)/SUM($P81),SUM($T81)/SUM($N81)),1),""))</f>
        <v>0.0427906976744186</v>
      </c>
      <c r="X81" s="123" t="n">
        <f aca="false">$W81</f>
        <v>0.0427906976744186</v>
      </c>
      <c r="Y81" s="123" t="n">
        <f aca="false">IFERROR(1/(1/INDEX(Spectrum!$N:$N,MATCH(RIGHT($B81,13)&amp;"|"&amp;$C81&amp;"|"&amp;$D81&amp;"|"&amp;Y$14&amp;"|"&amp;"CY2021Q3",Spectrum!$Q:$Q,0))),IF(SUM($H81)=0,"",MAX(SUM($P81),SUM($U81))/SUM($H81)))</f>
        <v>0.93804537521815</v>
      </c>
      <c r="Z81" s="123" t="n">
        <f aca="false">IF(SUM($Y81)=0,"",MAX(SUM($Y81),90%))</f>
        <v>0.93804537521815</v>
      </c>
      <c r="AA81" s="115" t="n">
        <f aca="false">IF(LEFT($B81,4)="_Mil","",ROUND(MAX(SUM($U81),SUM($P81))+IF(SUM($Z81)=0,0,MAX(SUM($Z81)-SUM($Y81),0)*SUM($H81)),0))</f>
        <v>1075</v>
      </c>
      <c r="AB81" s="115" t="n">
        <f aca="false">IF(SUM($AA81)=0,"",ROUND(MAX(SUM($AA81)-MAX(SUM($P81),SUM($U81)),0),0))</f>
        <v>0</v>
      </c>
      <c r="AC81" s="126" t="str">
        <f aca="false">IF($C81="&lt;01",IFERROR(ROUND(INDEX(EID!$N:$N,MATCH($B81,EID!$B:$B,0))/2,0),""),"")</f>
        <v/>
      </c>
      <c r="AD81" s="115" t="str">
        <f aca="false">IF($C81="&lt;01",IF(SUM($AC81)=0,"",ROUND(SUM($AC81)/$AG81,0)),IF(SUM($AB81)=0,"",ROUND(MAX($X81,0)*SUM($AB81),0)))</f>
        <v/>
      </c>
      <c r="AE81" s="115" t="n">
        <f aca="false">IF(AND(SUM($AD81)=0,SUM($U81)=0),"",ROUND(IF($C81="&lt;01",0,SUM($U81))+SUM($AD81),0))</f>
        <v>46</v>
      </c>
      <c r="AF81" s="122" t="n">
        <f aca="false">IF($C81="&lt;01","",100%)</f>
        <v>1</v>
      </c>
      <c r="AG81" s="123" t="n">
        <f aca="false">0.98</f>
        <v>0.98</v>
      </c>
      <c r="AH81" s="123" t="n">
        <f aca="false">0.98</f>
        <v>0.98</v>
      </c>
      <c r="AI81" s="124" t="n">
        <f aca="false">IF(OR($C81="&lt;01",SUM($U81)=0),"",ROUND(SUM($U81)*(1-$AH81),0))</f>
        <v>1</v>
      </c>
      <c r="AJ81" s="124" t="n">
        <f aca="false">IF(AND(SUM($AE81)=0,SUM($U81)=0),"",IF($C81="&lt;01",SUM($AD81),SUM($AE81) - ROUND(SUM($U81)*$AH81,0)))</f>
        <v>1</v>
      </c>
      <c r="AK81" s="124" t="n">
        <v>17</v>
      </c>
      <c r="AL81" s="124" t="n">
        <v>7</v>
      </c>
      <c r="AM81" s="115" t="n">
        <f aca="false">IF(AND(SUM($AD81)=0,SUM($U81)=0),"",IF($C81="&lt;01",SUM($AD81),ROUND(ROUND(SUM($AJ81)*$AF81,0)/$AG81,0)))</f>
        <v>1</v>
      </c>
      <c r="AN81" s="122" t="n">
        <f aca="false">0.7</f>
        <v>0.7</v>
      </c>
      <c r="AO81" s="123" t="n">
        <f aca="false">1</f>
        <v>1</v>
      </c>
      <c r="AP81" s="115" t="n">
        <f aca="false">IF(AND(SUM($U81)=0,SUM($AM81)=0),"",ROUND((SUM($AM81)*$AN81+IF($C81="&lt;01",0,$U81))*$AO81,0))</f>
        <v>47</v>
      </c>
      <c r="AQ81" s="122" t="n">
        <v>26</v>
      </c>
      <c r="AR81" s="123" t="n">
        <f aca="false">0.95</f>
        <v>0.95</v>
      </c>
      <c r="AS81" s="123" t="n">
        <f aca="false">0.95</f>
        <v>0.95</v>
      </c>
      <c r="AT81" s="115" t="n">
        <f aca="false">IF(SUM($AP81)=0,"",ROUND(SUM($AP81)*$AR81,0))</f>
        <v>45</v>
      </c>
      <c r="AU81" s="115" t="n">
        <f aca="false">IF(LEFT($B81,4)="_Mil","",ROUND(SUM($AA81)*SUM($AS81),0))</f>
        <v>1021</v>
      </c>
      <c r="AV81" s="124" t="n">
        <f aca="false">IF(SUM($AU81)&lt;=0,"",MAX(SUM($AU81)-SUM($R81),0))</f>
        <v>1021</v>
      </c>
      <c r="AW81" s="122" t="n">
        <f aca="false">0</f>
        <v>0</v>
      </c>
      <c r="AX81" s="124" t="n">
        <f aca="false">IF(SUM($AM81)=0,"",ROUND(SUM($AM81)*SUM($AW81),0))</f>
        <v>0</v>
      </c>
      <c r="AY81" s="124" t="n">
        <f aca="false">IF(SUM($AM81)=0,"",SUM($AM81)-SUM($AX81))</f>
        <v>1</v>
      </c>
      <c r="AZ81" s="123" t="n">
        <v>7</v>
      </c>
      <c r="BA81" s="123" t="n">
        <f aca="false">0.95</f>
        <v>0.95</v>
      </c>
      <c r="BB81" s="123"/>
      <c r="BC81" s="123" t="n">
        <f aca="false">IF(OR(SUM($AM81)&lt;=0,$C81="&lt;01"),"",MAX(IF(OR(SUM($Y81)&lt;70%,LEFT($B81,4)="_Mil"),30%,IF(SUM($Y81)&gt;=80%,75%,50%)),SUM($BB81)))</f>
        <v>0.75</v>
      </c>
      <c r="BD81" s="115" t="n">
        <f aca="false">IF($C81="&lt;01",IFERROR(ROUND(INDEX(EID!$M:$M,MATCH($B81,EID!$B:$B,0)),0)/2,""),IF(SUM($AY81)=0,"",ROUND(SUM($AY81)/SUM($BA81),0)))</f>
        <v>1</v>
      </c>
      <c r="BE81" s="115" t="n">
        <f aca="false">IF($C81="&lt;01","",IF(SUM($BD81)=0,"",ROUND(SUM($BD81)*SUM($BC81),0)))</f>
        <v>1</v>
      </c>
      <c r="BF81" s="115" t="n">
        <f aca="false">_xlfn.IFNA(INDEX(PMTCT!$AE:$AE,MATCH($E81,PMTCT!$E:$E,0)),"")</f>
        <v>-6720</v>
      </c>
      <c r="BG81" s="115" t="str">
        <f aca="false">_xlfn.IFNA(INDEX(PMTCT!$AU:$AU,MATCH($E81,PMTCT!$E:$E,0)),"")</f>
        <v/>
      </c>
      <c r="BH81" s="115" t="n">
        <f aca="false">_xlfn.IFNA(INDEX(TB!$Q:$Q,MATCH($E81,TB!$E:$E,0)),"")</f>
        <v>-8960</v>
      </c>
      <c r="BI81" s="115" t="str">
        <f aca="false">_xlfn.IFNA(INDEX(VMMC!$AC:$AC,MATCH($E81,VMMC!$E:$E,0)),"")</f>
        <v/>
      </c>
      <c r="BJ81" s="115" t="str">
        <f aca="false">IF($C81="&lt;01",$BD81,"")</f>
        <v/>
      </c>
      <c r="BK81" s="115" t="n">
        <f aca="false">IF(SUM($BD81)=0,"",($BD81)-SUM($BE81:$BJ81))</f>
        <v>15680</v>
      </c>
      <c r="BL81" s="123" t="n">
        <f aca="false">IF(OR(SUM($BD81)=0,SUM($BE81)=0),"",SUM($BE81)/$BD81)</f>
        <v>1</v>
      </c>
      <c r="BM81" s="123" t="n">
        <f aca="false">IF(OR(SUM($BD81)=0,SUM($BF81)=0),"",SUM($BF81)/$BD81)</f>
        <v>-6720</v>
      </c>
      <c r="BN81" s="123" t="str">
        <f aca="false">IF(OR(SUM($BD81)=0,SUM($BG81)=0),"",SUM($BG81)/$BD81)</f>
        <v/>
      </c>
      <c r="BO81" s="123" t="n">
        <f aca="false">IF(OR(SUM($BD81)=0,SUM($BH81)=0),"",SUM($BH81)/$BD81)</f>
        <v>-8960</v>
      </c>
      <c r="BP81" s="123" t="str">
        <f aca="false">IF(OR(SUM($BD81)=0,SUM($BI81)=0),"",SUM($BI81)/$BD81)</f>
        <v/>
      </c>
      <c r="BQ81" s="123" t="str">
        <f aca="false">IF(AND($C81="&lt;01",SUM($BJ81)&lt;&gt;0),$BJ81/SUM($BD81),"")</f>
        <v/>
      </c>
      <c r="BR81" s="123" t="n">
        <f aca="false">IF(OR(SUM($BD81)=0,SUM($BK81)=0),"",SUM($BK81)/$BD81)</f>
        <v>15680</v>
      </c>
      <c r="BS81" s="122" t="n">
        <f aca="false">IF(SUM($X81)&lt;=0,"",$X81)</f>
        <v>0.0427906976744186</v>
      </c>
      <c r="BT81" s="115" t="n">
        <f aca="false">IF(LEFT($B81,4)="_Mil","",MAX(SUM($L81)+ROUND(SUM($BD81)/IF(SUM($BS81)&lt;=0,1,SUM($BS81)),0),0))</f>
        <v>1156</v>
      </c>
    </row>
    <row r="82" customFormat="false" ht="15" hidden="false" customHeight="false" outlineLevel="0" collapsed="false">
      <c r="A82" s="0" t="s">
        <v>143</v>
      </c>
      <c r="B82" s="0" t="s">
        <v>115</v>
      </c>
      <c r="C82" s="0" t="s">
        <v>77</v>
      </c>
      <c r="D82" s="0" t="s">
        <v>58</v>
      </c>
      <c r="E82" s="0" t="str">
        <f aca="false">B82&amp;"|"&amp;C82&amp;"|"&amp;D82</f>
        <v>Butha Buthe [#SNU] [mvPRqBFtVC0]|40-44|Male</v>
      </c>
      <c r="F82" s="115" t="n">
        <f aca="false">_xlfn.IFNA(ROUND(INDEX(Spectrum!$N:$N,MATCH(RIGHT($B82,13)&amp;"|"&amp;$C82&amp;"|"&amp;$D82&amp;"|"&amp;F$14&amp;"|"&amp;"CY2021Q3",Spectrum!$Q:$Q,0)),0),"")</f>
        <v>3092</v>
      </c>
      <c r="G82" s="123" t="n">
        <f aca="false">_xlfn.IFNA(INDEX(Spectrum!$P:$P,MATCH(RIGHT($B82,13)&amp;"|"&amp;$C82&amp;"|"&amp;$D82&amp;"|"&amp;F$14&amp;"|"&amp;"CY2021Q3",Spectrum!$Q:$Q,0)),"")</f>
        <v>2</v>
      </c>
      <c r="H82" s="115" t="n">
        <f aca="false">_xlfn.IFNA(ROUND(INDEX(Spectrum!$N:$N,MATCH(RIGHT($B82,13)&amp;"|"&amp;$C82&amp;"|"&amp;$D82&amp;"|"&amp;H$14&amp;"|"&amp;"CY2021Q3",Spectrum!$Q:$Q,0)),0),"")</f>
        <v>959</v>
      </c>
      <c r="I82" s="123" t="n">
        <f aca="false">_xlfn.IFNA(INDEX(Spectrum!$P:$P,MATCH(RIGHT($B82,13)&amp;"|"&amp;$C82&amp;"|"&amp;$D82&amp;"|"&amp;H$14&amp;"|"&amp;"CY2021Q3",Spectrum!$Q:$Q,0)),"")</f>
        <v>35</v>
      </c>
      <c r="J82" s="117" t="n">
        <f aca="false">_xlfn.IFNA(INDEX(Spectrum!$N:$N,MATCH(RIGHT($B82,13)&amp;"|"&amp;$C82&amp;"|"&amp;$D82&amp;"|"&amp;J$14&amp;"|"&amp;"CY2021Q3",Spectrum!$Q:$Q,0)),"")</f>
        <v>0.3100917</v>
      </c>
      <c r="K82" s="123" t="n">
        <f aca="false">_xlfn.IFNA(INDEX(Spectrum!$P:$P,MATCH(RIGHT($B82,13)&amp;"|"&amp;$C82&amp;"|"&amp;$D82&amp;"|"&amp;J$14&amp;"|"&amp;"CY2021Q3",Spectrum!$Q:$Q,0)),"")</f>
        <v>34</v>
      </c>
      <c r="L82" s="115" t="n">
        <f aca="false">_xlfn.IFNA(ROUND(INDEX(Spectrum!$N:$N,MATCH(RIGHT($B82,13)&amp;"|"&amp;$C82&amp;"|"&amp;$D82&amp;"|"&amp;L$14&amp;"|"&amp;"CY2021Q3",Spectrum!$Q:$Q,0)),0),"")</f>
        <v>775</v>
      </c>
      <c r="M82" s="123" t="n">
        <f aca="false">IF(OR(SUM($H82)&lt;=0,SUM($L82)&lt;=0),"",SUM($L82)/$H82)</f>
        <v>0.808133472367049</v>
      </c>
      <c r="N82" s="115" t="str">
        <f aca="false">_xlfn.IFNA(ROUND(INDEX(Spectrum!$N:$N,MATCH(RIGHT($B82,13)&amp;"|"&amp;$C82&amp;"|"&amp;$D82&amp;"|"&amp;N$14&amp;"|"&amp;"CY2020Q4",Spectrum!$Q:$Q,0)),0),"")</f>
        <v/>
      </c>
      <c r="O82" s="123" t="str">
        <f aca="false">_xlfn.IFNA(INDEX(Spectrum!$P:$P,MATCH(RIGHT($B82,13)&amp;"|"&amp;$C82&amp;"|"&amp;$D82&amp;"|"&amp;N$14&amp;"|"&amp;"CY2020Q4",Spectrum!$Q:$Q,0)),"")</f>
        <v/>
      </c>
      <c r="P82" s="115" t="n">
        <f aca="false">_xlfn.IFNA(ROUND(INDEX(Spectrum!$N:$N,MATCH(RIGHT($B82,13)&amp;"|"&amp;$C82&amp;"|"&amp;$D82&amp;"|"&amp;P$14&amp;"|"&amp;"CY2021Q3",Spectrum!$Q:$Q,0)),0),"")</f>
        <v>669</v>
      </c>
      <c r="Q82" s="123" t="n">
        <f aca="false">_xlfn.IFNA(INDEX(Spectrum!$P:$P,MATCH(RIGHT($B82,13)&amp;"|"&amp;$C82&amp;"|"&amp;$D82&amp;"|"&amp;P$14&amp;"|"&amp;"CY2021Q3",Spectrum!$Q:$Q,0)),"")</f>
        <v>44</v>
      </c>
      <c r="R82" s="115"/>
      <c r="S82" s="123" t="str">
        <f aca="false">IF(OR(SUM($P82)&lt;=0,SUM($R82)&lt;=0),"",SUM($R82)/$P82)</f>
        <v/>
      </c>
      <c r="T82" s="139" t="n">
        <v>48</v>
      </c>
      <c r="U82" s="124" t="n">
        <v>44</v>
      </c>
      <c r="V82" s="124" t="n">
        <f aca="false">IF($U82-$T82=0,"",$U82-$T82)</f>
        <v>-4</v>
      </c>
      <c r="W82" s="123" t="n">
        <f aca="false">IF(LEFT($B82,4)="_Mil","",IFERROR(MIN(IF(SUM($N82)&lt;=0,SUM($U82)/SUM($P82),SUM($T82)/SUM($N82)),1),""))</f>
        <v>0.0657698056801196</v>
      </c>
      <c r="X82" s="123" t="n">
        <f aca="false">$W82</f>
        <v>0.0657698056801196</v>
      </c>
      <c r="Y82" s="123" t="n">
        <f aca="false">IFERROR(1/(1/INDEX(Spectrum!$N:$N,MATCH(RIGHT($B82,13)&amp;"|"&amp;$C82&amp;"|"&amp;$D82&amp;"|"&amp;Y$14&amp;"|"&amp;"CY2021Q3",Spectrum!$Q:$Q,0))),IF(SUM($H82)=0,"",MAX(SUM($P82),SUM($U82))/SUM($H82)))</f>
        <v>0.697601668404588</v>
      </c>
      <c r="Z82" s="123" t="n">
        <f aca="false">IF(SUM($Y82)=0,"",MAX(SUM($Y82),90%))</f>
        <v>0.9</v>
      </c>
      <c r="AA82" s="115" t="n">
        <f aca="false">IF(LEFT($B82,4)="_Mil","",ROUND(MAX(SUM($U82),SUM($P82))+IF(SUM($Z82)=0,0,MAX(SUM($Z82)-SUM($Y82),0)*SUM($H82)),0))</f>
        <v>863</v>
      </c>
      <c r="AB82" s="115" t="n">
        <f aca="false">IF(SUM($AA82)=0,"",ROUND(MAX(SUM($AA82)-MAX(SUM($P82),SUM($U82)),0),0))</f>
        <v>194</v>
      </c>
      <c r="AC82" s="126" t="str">
        <f aca="false">IF($C82="&lt;01",IFERROR(ROUND(INDEX(EID!$N:$N,MATCH($B82,EID!$B:$B,0))/2,0),""),"")</f>
        <v/>
      </c>
      <c r="AD82" s="115" t="n">
        <f aca="false">IF($C82="&lt;01",IF(SUM($AC82)=0,"",ROUND(SUM($AC82)/$AG82,0)),IF(SUM($AB82)=0,"",ROUND(MAX($X82,0)*SUM($AB82),0)))</f>
        <v>13</v>
      </c>
      <c r="AE82" s="115" t="n">
        <f aca="false">IF(AND(SUM($AD82)=0,SUM($U82)=0),"",ROUND(IF($C82="&lt;01",0,SUM($U82))+SUM($AD82),0))</f>
        <v>57</v>
      </c>
      <c r="AF82" s="122" t="n">
        <f aca="false">IF($C82="&lt;01","",100%)</f>
        <v>1</v>
      </c>
      <c r="AG82" s="123" t="n">
        <f aca="false">0.98</f>
        <v>0.98</v>
      </c>
      <c r="AH82" s="123" t="n">
        <f aca="false">0.98</f>
        <v>0.98</v>
      </c>
      <c r="AI82" s="124" t="n">
        <f aca="false">IF(OR($C82="&lt;01",SUM($U82)=0),"",ROUND(SUM($U82)*(1-$AH82),0))</f>
        <v>1</v>
      </c>
      <c r="AJ82" s="124" t="n">
        <f aca="false">IF(AND(SUM($AE82)=0,SUM($U82)=0),"",IF($C82="&lt;01",SUM($AD82),SUM($AE82) - ROUND(SUM($U82)*$AH82,0)))</f>
        <v>14</v>
      </c>
      <c r="AK82" s="124" t="n">
        <v>27</v>
      </c>
      <c r="AL82" s="124" t="n">
        <v>37</v>
      </c>
      <c r="AM82" s="115" t="n">
        <f aca="false">IF(AND(SUM($AD82)=0,SUM($U82)=0),"",IF($C82="&lt;01",SUM($AD82),ROUND(ROUND(SUM($AJ82)*$AF82,0)/$AG82,0)))</f>
        <v>14</v>
      </c>
      <c r="AN82" s="122" t="n">
        <f aca="false">0.7</f>
        <v>0.7</v>
      </c>
      <c r="AO82" s="123" t="n">
        <f aca="false">1</f>
        <v>1</v>
      </c>
      <c r="AP82" s="115" t="n">
        <f aca="false">IF(AND(SUM($U82)=0,SUM($AM82)=0),"",ROUND((SUM($AM82)*$AN82+IF($C82="&lt;01",0,$U82))*$AO82,0))</f>
        <v>54</v>
      </c>
      <c r="AQ82" s="122" t="n">
        <v>26</v>
      </c>
      <c r="AR82" s="123" t="n">
        <f aca="false">0.95</f>
        <v>0.95</v>
      </c>
      <c r="AS82" s="123" t="n">
        <f aca="false">0.95</f>
        <v>0.95</v>
      </c>
      <c r="AT82" s="115" t="n">
        <f aca="false">IF(SUM($AP82)=0,"",ROUND(SUM($AP82)*$AR82,0))</f>
        <v>51</v>
      </c>
      <c r="AU82" s="115" t="n">
        <f aca="false">IF(LEFT($B82,4)="_Mil","",ROUND(SUM($AA82)*SUM($AS82),0))</f>
        <v>820</v>
      </c>
      <c r="AV82" s="124" t="n">
        <f aca="false">IF(SUM($AU82)&lt;=0,"",MAX(SUM($AU82)-SUM($R82),0))</f>
        <v>820</v>
      </c>
      <c r="AW82" s="122" t="n">
        <f aca="false">0</f>
        <v>0</v>
      </c>
      <c r="AX82" s="124" t="n">
        <f aca="false">IF(SUM($AM82)=0,"",ROUND(SUM($AM82)*SUM($AW82),0))</f>
        <v>0</v>
      </c>
      <c r="AY82" s="124" t="n">
        <f aca="false">IF(SUM($AM82)=0,"",SUM($AM82)-SUM($AX82))</f>
        <v>14</v>
      </c>
      <c r="AZ82" s="123" t="n">
        <v>12</v>
      </c>
      <c r="BA82" s="123" t="n">
        <f aca="false">0.95</f>
        <v>0.95</v>
      </c>
      <c r="BB82" s="123"/>
      <c r="BC82" s="123" t="n">
        <f aca="false">IF(OR(SUM($AM82)&lt;=0,$C82="&lt;01"),"",MAX(IF(OR(SUM($Y82)&lt;70%,LEFT($B82,4)="_Mil"),30%,IF(SUM($Y82)&gt;=80%,75%,50%)),SUM($BB82)))</f>
        <v>0.3</v>
      </c>
      <c r="BD82" s="115" t="n">
        <f aca="false">IF($C82="&lt;01",IFERROR(ROUND(INDEX(EID!$M:$M,MATCH($B82,EID!$B:$B,0)),0)/2,""),IF(SUM($AY82)=0,"",ROUND(SUM($AY82)/SUM($BA82),0)))</f>
        <v>15</v>
      </c>
      <c r="BE82" s="115" t="n">
        <f aca="false">IF($C82="&lt;01","",IF(SUM($BD82)=0,"",ROUND(SUM($BD82)*SUM($BC82),0)))</f>
        <v>5</v>
      </c>
      <c r="BF82" s="115" t="str">
        <f aca="false">_xlfn.IFNA(INDEX(PMTCT!$AE:$AE,MATCH($E82,PMTCT!$E:$E,0)),"")</f>
        <v/>
      </c>
      <c r="BG82" s="115" t="str">
        <f aca="false">_xlfn.IFNA(INDEX(PMTCT!$AU:$AU,MATCH($E82,PMTCT!$E:$E,0)),"")</f>
        <v/>
      </c>
      <c r="BH82" s="115" t="n">
        <f aca="false">_xlfn.IFNA(INDEX(TB!$Q:$Q,MATCH($E82,TB!$E:$E,0)),"")</f>
        <v>-18816</v>
      </c>
      <c r="BI82" s="115" t="str">
        <f aca="false">_xlfn.IFNA(INDEX(VMMC!$AC:$AC,MATCH($E82,VMMC!$E:$E,0)),"")</f>
        <v/>
      </c>
      <c r="BJ82" s="115" t="str">
        <f aca="false">IF($C82="&lt;01",$BD82,"")</f>
        <v/>
      </c>
      <c r="BK82" s="115" t="n">
        <f aca="false">IF(SUM($BD82)=0,"",($BD82)-SUM($BE82:$BJ82))</f>
        <v>18826</v>
      </c>
      <c r="BL82" s="123" t="n">
        <f aca="false">IF(OR(SUM($BD82)=0,SUM($BE82)=0),"",SUM($BE82)/$BD82)</f>
        <v>0.333333333333333</v>
      </c>
      <c r="BM82" s="123" t="str">
        <f aca="false">IF(OR(SUM($BD82)=0,SUM($BF82)=0),"",SUM($BF82)/$BD82)</f>
        <v/>
      </c>
      <c r="BN82" s="123" t="str">
        <f aca="false">IF(OR(SUM($BD82)=0,SUM($BG82)=0),"",SUM($BG82)/$BD82)</f>
        <v/>
      </c>
      <c r="BO82" s="123" t="n">
        <f aca="false">IF(OR(SUM($BD82)=0,SUM($BH82)=0),"",SUM($BH82)/$BD82)</f>
        <v>-1254.4</v>
      </c>
      <c r="BP82" s="123" t="str">
        <f aca="false">IF(OR(SUM($BD82)=0,SUM($BI82)=0),"",SUM($BI82)/$BD82)</f>
        <v/>
      </c>
      <c r="BQ82" s="123" t="str">
        <f aca="false">IF(AND($C82="&lt;01",SUM($BJ82)&lt;&gt;0),$BJ82/SUM($BD82),"")</f>
        <v/>
      </c>
      <c r="BR82" s="123" t="n">
        <f aca="false">IF(OR(SUM($BD82)=0,SUM($BK82)=0),"",SUM($BK82)/$BD82)</f>
        <v>1255.06666666667</v>
      </c>
      <c r="BS82" s="122" t="n">
        <f aca="false">IF(SUM($X82)&lt;=0,"",$X82)</f>
        <v>0.0657698056801196</v>
      </c>
      <c r="BT82" s="115" t="n">
        <f aca="false">IF(LEFT($B82,4)="_Mil","",MAX(SUM($L82)+ROUND(SUM($BD82)/IF(SUM($BS82)&lt;=0,1,SUM($BS82)),0),0))</f>
        <v>1003</v>
      </c>
    </row>
    <row r="83" customFormat="false" ht="15" hidden="false" customHeight="false" outlineLevel="0" collapsed="false">
      <c r="A83" s="0" t="s">
        <v>143</v>
      </c>
      <c r="B83" s="0" t="s">
        <v>115</v>
      </c>
      <c r="C83" s="0" t="s">
        <v>80</v>
      </c>
      <c r="D83" s="0" t="s">
        <v>56</v>
      </c>
      <c r="E83" s="0" t="str">
        <f aca="false">B83&amp;"|"&amp;C83&amp;"|"&amp;D83</f>
        <v>Butha Buthe [#SNU] [mvPRqBFtVC0]|45-49|Female</v>
      </c>
      <c r="F83" s="115" t="n">
        <f aca="false">_xlfn.IFNA(ROUND(INDEX(Spectrum!$N:$N,MATCH(RIGHT($B83,13)&amp;"|"&amp;$C83&amp;"|"&amp;$D83&amp;"|"&amp;F$14&amp;"|"&amp;"CY2021Q3",Spectrum!$Q:$Q,0)),0),"")</f>
        <v>2189</v>
      </c>
      <c r="G83" s="123" t="n">
        <f aca="false">_xlfn.IFNA(INDEX(Spectrum!$P:$P,MATCH(RIGHT($B83,13)&amp;"|"&amp;$C83&amp;"|"&amp;$D83&amp;"|"&amp;F$14&amp;"|"&amp;"CY2021Q3",Spectrum!$Q:$Q,0)),"")</f>
        <v>6</v>
      </c>
      <c r="H83" s="115" t="n">
        <f aca="false">_xlfn.IFNA(ROUND(INDEX(Spectrum!$N:$N,MATCH(RIGHT($B83,13)&amp;"|"&amp;$C83&amp;"|"&amp;$D83&amp;"|"&amp;H$14&amp;"|"&amp;"CY2021Q3",Spectrum!$Q:$Q,0)),0),"")</f>
        <v>857</v>
      </c>
      <c r="I83" s="123" t="n">
        <f aca="false">_xlfn.IFNA(INDEX(Spectrum!$P:$P,MATCH(RIGHT($B83,13)&amp;"|"&amp;$C83&amp;"|"&amp;$D83&amp;"|"&amp;H$14&amp;"|"&amp;"CY2021Q3",Spectrum!$Q:$Q,0)),"")</f>
        <v>24</v>
      </c>
      <c r="J83" s="117" t="n">
        <f aca="false">_xlfn.IFNA(INDEX(Spectrum!$N:$N,MATCH(RIGHT($B83,13)&amp;"|"&amp;$C83&amp;"|"&amp;$D83&amp;"|"&amp;J$14&amp;"|"&amp;"CY2021Q3",Spectrum!$Q:$Q,0)),"")</f>
        <v>0.3916664</v>
      </c>
      <c r="K83" s="123" t="n">
        <f aca="false">_xlfn.IFNA(INDEX(Spectrum!$P:$P,MATCH(RIGHT($B83,13)&amp;"|"&amp;$C83&amp;"|"&amp;$D83&amp;"|"&amp;J$14&amp;"|"&amp;"CY2021Q3",Spectrum!$Q:$Q,0)),"")</f>
        <v>50</v>
      </c>
      <c r="L83" s="115" t="n">
        <f aca="false">_xlfn.IFNA(ROUND(INDEX(Spectrum!$N:$N,MATCH(RIGHT($B83,13)&amp;"|"&amp;$C83&amp;"|"&amp;$D83&amp;"|"&amp;L$14&amp;"|"&amp;"CY2021Q3",Spectrum!$Q:$Q,0)),0),"")</f>
        <v>882</v>
      </c>
      <c r="M83" s="123" t="n">
        <f aca="false">IF(OR(SUM($H83)&lt;=0,SUM($L83)&lt;=0),"",SUM($L83)/$H83)</f>
        <v>1.0291715285881</v>
      </c>
      <c r="N83" s="115" t="str">
        <f aca="false">_xlfn.IFNA(ROUND(INDEX(Spectrum!$N:$N,MATCH(RIGHT($B83,13)&amp;"|"&amp;$C83&amp;"|"&amp;$D83&amp;"|"&amp;N$14&amp;"|"&amp;"CY2020Q4",Spectrum!$Q:$Q,0)),0),"")</f>
        <v/>
      </c>
      <c r="O83" s="123" t="str">
        <f aca="false">_xlfn.IFNA(INDEX(Spectrum!$P:$P,MATCH(RIGHT($B83,13)&amp;"|"&amp;$C83&amp;"|"&amp;$D83&amp;"|"&amp;N$14&amp;"|"&amp;"CY2020Q4",Spectrum!$Q:$Q,0)),"")</f>
        <v/>
      </c>
      <c r="P83" s="115" t="n">
        <f aca="false">_xlfn.IFNA(ROUND(INDEX(Spectrum!$N:$N,MATCH(RIGHT($B83,13)&amp;"|"&amp;$C83&amp;"|"&amp;$D83&amp;"|"&amp;P$14&amp;"|"&amp;"CY2021Q3",Spectrum!$Q:$Q,0)),0),"")</f>
        <v>847</v>
      </c>
      <c r="Q83" s="123" t="n">
        <f aca="false">_xlfn.IFNA(INDEX(Spectrum!$P:$P,MATCH(RIGHT($B83,13)&amp;"|"&amp;$C83&amp;"|"&amp;$D83&amp;"|"&amp;P$14&amp;"|"&amp;"CY2021Q3",Spectrum!$Q:$Q,0)),"")</f>
        <v>19</v>
      </c>
      <c r="R83" s="115"/>
      <c r="S83" s="123" t="str">
        <f aca="false">IF(OR(SUM($P83)&lt;=0,SUM($R83)&lt;=0),"",SUM($R83)/$P83)</f>
        <v/>
      </c>
      <c r="T83" s="139" t="n">
        <v>20</v>
      </c>
      <c r="U83" s="124" t="n">
        <v>31</v>
      </c>
      <c r="V83" s="124" t="n">
        <f aca="false">IF($U83-$T83=0,"",$U83-$T83)</f>
        <v>11</v>
      </c>
      <c r="W83" s="123" t="n">
        <f aca="false">IF(LEFT($B83,4)="_Mil","",IFERROR(MIN(IF(SUM($N83)&lt;=0,SUM($U83)/SUM($P83),SUM($T83)/SUM($N83)),1),""))</f>
        <v>0.0365997638724911</v>
      </c>
      <c r="X83" s="123" t="n">
        <f aca="false">$W83</f>
        <v>0.0365997638724911</v>
      </c>
      <c r="Y83" s="123" t="n">
        <f aca="false">IFERROR(1/(1/INDEX(Spectrum!$N:$N,MATCH(RIGHT($B83,13)&amp;"|"&amp;$C83&amp;"|"&amp;$D83&amp;"|"&amp;Y$14&amp;"|"&amp;"CY2021Q3",Spectrum!$Q:$Q,0))),IF(SUM($H83)=0,"",MAX(SUM($P83),SUM($U83))/SUM($H83)))</f>
        <v>0.988331388564761</v>
      </c>
      <c r="Z83" s="123" t="n">
        <f aca="false">IF(SUM($Y83)=0,"",MAX(SUM($Y83),90%))</f>
        <v>0.988331388564761</v>
      </c>
      <c r="AA83" s="115" t="n">
        <f aca="false">IF(LEFT($B83,4)="_Mil","",ROUND(MAX(SUM($U83),SUM($P83))+IF(SUM($Z83)=0,0,MAX(SUM($Z83)-SUM($Y83),0)*SUM($H83)),0))</f>
        <v>847</v>
      </c>
      <c r="AB83" s="115" t="n">
        <f aca="false">IF(SUM($AA83)=0,"",ROUND(MAX(SUM($AA83)-MAX(SUM($P83),SUM($U83)),0),0))</f>
        <v>0</v>
      </c>
      <c r="AC83" s="126" t="str">
        <f aca="false">IF($C83="&lt;01",IFERROR(ROUND(INDEX(EID!$N:$N,MATCH($B83,EID!$B:$B,0))/2,0),""),"")</f>
        <v/>
      </c>
      <c r="AD83" s="115" t="str">
        <f aca="false">IF($C83="&lt;01",IF(SUM($AC83)=0,"",ROUND(SUM($AC83)/$AG83,0)),IF(SUM($AB83)=0,"",ROUND(MAX($X83,0)*SUM($AB83),0)))</f>
        <v/>
      </c>
      <c r="AE83" s="115" t="n">
        <f aca="false">IF(AND(SUM($AD83)=0,SUM($U83)=0),"",ROUND(IF($C83="&lt;01",0,SUM($U83))+SUM($AD83),0))</f>
        <v>31</v>
      </c>
      <c r="AF83" s="122" t="n">
        <f aca="false">IF($C83="&lt;01","",100%)</f>
        <v>1</v>
      </c>
      <c r="AG83" s="123" t="n">
        <f aca="false">0.98</f>
        <v>0.98</v>
      </c>
      <c r="AH83" s="123" t="n">
        <f aca="false">0.98</f>
        <v>0.98</v>
      </c>
      <c r="AI83" s="124" t="n">
        <f aca="false">IF(OR($C83="&lt;01",SUM($U83)=0),"",ROUND(SUM($U83)*(1-$AH83),0))</f>
        <v>1</v>
      </c>
      <c r="AJ83" s="124" t="n">
        <f aca="false">IF(AND(SUM($AE83)=0,SUM($U83)=0),"",IF($C83="&lt;01",SUM($AD83),SUM($AE83) - ROUND(SUM($U83)*$AH83,0)))</f>
        <v>1</v>
      </c>
      <c r="AK83" s="124" t="n">
        <v>1</v>
      </c>
      <c r="AL83" s="124" t="n">
        <v>46</v>
      </c>
      <c r="AM83" s="115" t="n">
        <f aca="false">IF(AND(SUM($AD83)=0,SUM($U83)=0),"",IF($C83="&lt;01",SUM($AD83),ROUND(ROUND(SUM($AJ83)*$AF83,0)/$AG83,0)))</f>
        <v>1</v>
      </c>
      <c r="AN83" s="122" t="n">
        <f aca="false">0.7</f>
        <v>0.7</v>
      </c>
      <c r="AO83" s="123" t="n">
        <f aca="false">1</f>
        <v>1</v>
      </c>
      <c r="AP83" s="115" t="n">
        <f aca="false">IF(AND(SUM($U83)=0,SUM($AM83)=0),"",ROUND((SUM($AM83)*$AN83+IF($C83="&lt;01",0,$U83))*$AO83,0))</f>
        <v>32</v>
      </c>
      <c r="AQ83" s="122" t="n">
        <v>21</v>
      </c>
      <c r="AR83" s="123" t="n">
        <f aca="false">0.95</f>
        <v>0.95</v>
      </c>
      <c r="AS83" s="123" t="n">
        <f aca="false">0.95</f>
        <v>0.95</v>
      </c>
      <c r="AT83" s="115" t="n">
        <f aca="false">IF(SUM($AP83)=0,"",ROUND(SUM($AP83)*$AR83,0))</f>
        <v>30</v>
      </c>
      <c r="AU83" s="115" t="n">
        <f aca="false">IF(LEFT($B83,4)="_Mil","",ROUND(SUM($AA83)*SUM($AS83),0))</f>
        <v>805</v>
      </c>
      <c r="AV83" s="124" t="n">
        <f aca="false">IF(SUM($AU83)&lt;=0,"",MAX(SUM($AU83)-SUM($R83),0))</f>
        <v>805</v>
      </c>
      <c r="AW83" s="122" t="n">
        <f aca="false">0</f>
        <v>0</v>
      </c>
      <c r="AX83" s="124" t="n">
        <f aca="false">IF(SUM($AM83)=0,"",ROUND(SUM($AM83)*SUM($AW83),0))</f>
        <v>0</v>
      </c>
      <c r="AY83" s="124" t="n">
        <f aca="false">IF(SUM($AM83)=0,"",SUM($AM83)-SUM($AX83))</f>
        <v>1</v>
      </c>
      <c r="AZ83" s="123" t="n">
        <v>46</v>
      </c>
      <c r="BA83" s="123" t="n">
        <f aca="false">0.95</f>
        <v>0.95</v>
      </c>
      <c r="BB83" s="123"/>
      <c r="BC83" s="123" t="n">
        <f aca="false">IF(OR(SUM($AM83)&lt;=0,$C83="&lt;01"),"",MAX(IF(OR(SUM($Y83)&lt;70%,LEFT($B83,4)="_Mil"),30%,IF(SUM($Y83)&gt;=80%,75%,50%)),SUM($BB83)))</f>
        <v>0.75</v>
      </c>
      <c r="BD83" s="115" t="n">
        <f aca="false">IF($C83="&lt;01",IFERROR(ROUND(INDEX(EID!$M:$M,MATCH($B83,EID!$B:$B,0)),0)/2,""),IF(SUM($AY83)=0,"",ROUND(SUM($AY83)/SUM($BA83),0)))</f>
        <v>1</v>
      </c>
      <c r="BE83" s="115" t="n">
        <f aca="false">IF($C83="&lt;01","",IF(SUM($BD83)=0,"",ROUND(SUM($BD83)*SUM($BC83),0)))</f>
        <v>1</v>
      </c>
      <c r="BF83" s="115" t="n">
        <f aca="false">_xlfn.IFNA(INDEX(PMTCT!$AE:$AE,MATCH($E83,PMTCT!$E:$E,0)),"")</f>
        <v>-0</v>
      </c>
      <c r="BG83" s="115" t="str">
        <f aca="false">_xlfn.IFNA(INDEX(PMTCT!$AU:$AU,MATCH($E83,PMTCT!$E:$E,0)),"")</f>
        <v/>
      </c>
      <c r="BH83" s="115" t="n">
        <f aca="false">_xlfn.IFNA(INDEX(TB!$Q:$Q,MATCH($E83,TB!$E:$E,0)),"")</f>
        <v>0</v>
      </c>
      <c r="BI83" s="115" t="str">
        <f aca="false">_xlfn.IFNA(INDEX(VMMC!$AC:$AC,MATCH($E83,VMMC!$E:$E,0)),"")</f>
        <v/>
      </c>
      <c r="BJ83" s="115" t="str">
        <f aca="false">IF($C83="&lt;01",$BD83,"")</f>
        <v/>
      </c>
      <c r="BK83" s="115" t="n">
        <f aca="false">IF(SUM($BD83)=0,"",($BD83)-SUM($BE83:$BJ83))</f>
        <v>0</v>
      </c>
      <c r="BL83" s="123" t="n">
        <f aca="false">IF(OR(SUM($BD83)=0,SUM($BE83)=0),"",SUM($BE83)/$BD83)</f>
        <v>1</v>
      </c>
      <c r="BM83" s="123" t="str">
        <f aca="false">IF(OR(SUM($BD83)=0,SUM($BF83)=0),"",SUM($BF83)/$BD83)</f>
        <v/>
      </c>
      <c r="BN83" s="123" t="str">
        <f aca="false">IF(OR(SUM($BD83)=0,SUM($BG83)=0),"",SUM($BG83)/$BD83)</f>
        <v/>
      </c>
      <c r="BO83" s="123" t="str">
        <f aca="false">IF(OR(SUM($BD83)=0,SUM($BH83)=0),"",SUM($BH83)/$BD83)</f>
        <v/>
      </c>
      <c r="BP83" s="123" t="str">
        <f aca="false">IF(OR(SUM($BD83)=0,SUM($BI83)=0),"",SUM($BI83)/$BD83)</f>
        <v/>
      </c>
      <c r="BQ83" s="123" t="str">
        <f aca="false">IF(AND($C83="&lt;01",SUM($BJ83)&lt;&gt;0),$BJ83/SUM($BD83),"")</f>
        <v/>
      </c>
      <c r="BR83" s="123" t="str">
        <f aca="false">IF(OR(SUM($BD83)=0,SUM($BK83)=0),"",SUM($BK83)/$BD83)</f>
        <v/>
      </c>
      <c r="BS83" s="122" t="n">
        <f aca="false">IF(SUM($X83)&lt;=0,"",$X83)</f>
        <v>0.0365997638724911</v>
      </c>
      <c r="BT83" s="115" t="n">
        <f aca="false">IF(LEFT($B83,4)="_Mil","",MAX(SUM($L83)+ROUND(SUM($BD83)/IF(SUM($BS83)&lt;=0,1,SUM($BS83)),0),0))</f>
        <v>909</v>
      </c>
    </row>
    <row r="84" customFormat="false" ht="15" hidden="false" customHeight="false" outlineLevel="0" collapsed="false">
      <c r="A84" s="0" t="s">
        <v>143</v>
      </c>
      <c r="B84" s="0" t="s">
        <v>115</v>
      </c>
      <c r="C84" s="0" t="s">
        <v>80</v>
      </c>
      <c r="D84" s="0" t="s">
        <v>58</v>
      </c>
      <c r="E84" s="0" t="str">
        <f aca="false">B84&amp;"|"&amp;C84&amp;"|"&amp;D84</f>
        <v>Butha Buthe [#SNU] [mvPRqBFtVC0]|45-49|Male</v>
      </c>
      <c r="F84" s="115" t="n">
        <f aca="false">_xlfn.IFNA(ROUND(INDEX(Spectrum!$N:$N,MATCH(RIGHT($B84,13)&amp;"|"&amp;$C84&amp;"|"&amp;$D84&amp;"|"&amp;F$14&amp;"|"&amp;"CY2021Q3",Spectrum!$Q:$Q,0)),0),"")</f>
        <v>2110</v>
      </c>
      <c r="G84" s="123" t="n">
        <f aca="false">_xlfn.IFNA(INDEX(Spectrum!$P:$P,MATCH(RIGHT($B84,13)&amp;"|"&amp;$C84&amp;"|"&amp;$D84&amp;"|"&amp;F$14&amp;"|"&amp;"CY2021Q3",Spectrum!$Q:$Q,0)),"")</f>
        <v>11</v>
      </c>
      <c r="H84" s="115" t="n">
        <f aca="false">_xlfn.IFNA(ROUND(INDEX(Spectrum!$N:$N,MATCH(RIGHT($B84,13)&amp;"|"&amp;$C84&amp;"|"&amp;$D84&amp;"|"&amp;H$14&amp;"|"&amp;"CY2021Q3",Spectrum!$Q:$Q,0)),0),"")</f>
        <v>787</v>
      </c>
      <c r="I84" s="123" t="n">
        <f aca="false">_xlfn.IFNA(INDEX(Spectrum!$P:$P,MATCH(RIGHT($B84,13)&amp;"|"&amp;$C84&amp;"|"&amp;$D84&amp;"|"&amp;H$14&amp;"|"&amp;"CY2021Q3",Spectrum!$Q:$Q,0)),"")</f>
        <v>45</v>
      </c>
      <c r="J84" s="117" t="n">
        <f aca="false">_xlfn.IFNA(INDEX(Spectrum!$N:$N,MATCH(RIGHT($B84,13)&amp;"|"&amp;$C84&amp;"|"&amp;$D84&amp;"|"&amp;J$14&amp;"|"&amp;"CY2021Q3",Spectrum!$Q:$Q,0)),"")</f>
        <v>0.3730022</v>
      </c>
      <c r="K84" s="123" t="n">
        <f aca="false">_xlfn.IFNA(INDEX(Spectrum!$P:$P,MATCH(RIGHT($B84,13)&amp;"|"&amp;$C84&amp;"|"&amp;$D84&amp;"|"&amp;J$14&amp;"|"&amp;"CY2021Q3",Spectrum!$Q:$Q,0)),"")</f>
        <v>46</v>
      </c>
      <c r="L84" s="115" t="n">
        <f aca="false">_xlfn.IFNA(ROUND(INDEX(Spectrum!$N:$N,MATCH(RIGHT($B84,13)&amp;"|"&amp;$C84&amp;"|"&amp;$D84&amp;"|"&amp;L$14&amp;"|"&amp;"CY2021Q3",Spectrum!$Q:$Q,0)),0),"")</f>
        <v>628</v>
      </c>
      <c r="M84" s="123" t="n">
        <f aca="false">IF(OR(SUM($H84)&lt;=0,SUM($L84)&lt;=0),"",SUM($L84)/$H84)</f>
        <v>0.797966963151207</v>
      </c>
      <c r="N84" s="115" t="str">
        <f aca="false">_xlfn.IFNA(ROUND(INDEX(Spectrum!$N:$N,MATCH(RIGHT($B84,13)&amp;"|"&amp;$C84&amp;"|"&amp;$D84&amp;"|"&amp;N$14&amp;"|"&amp;"CY2020Q4",Spectrum!$Q:$Q,0)),0),"")</f>
        <v/>
      </c>
      <c r="O84" s="123" t="str">
        <f aca="false">_xlfn.IFNA(INDEX(Spectrum!$P:$P,MATCH(RIGHT($B84,13)&amp;"|"&amp;$C84&amp;"|"&amp;$D84&amp;"|"&amp;N$14&amp;"|"&amp;"CY2020Q4",Spectrum!$Q:$Q,0)),"")</f>
        <v/>
      </c>
      <c r="P84" s="115" t="n">
        <f aca="false">_xlfn.IFNA(ROUND(INDEX(Spectrum!$N:$N,MATCH(RIGHT($B84,13)&amp;"|"&amp;$C84&amp;"|"&amp;$D84&amp;"|"&amp;P$14&amp;"|"&amp;"CY2021Q3",Spectrum!$Q:$Q,0)),0),"")</f>
        <v>569</v>
      </c>
      <c r="Q84" s="123" t="n">
        <f aca="false">_xlfn.IFNA(INDEX(Spectrum!$P:$P,MATCH(RIGHT($B84,13)&amp;"|"&amp;$C84&amp;"|"&amp;$D84&amp;"|"&amp;P$14&amp;"|"&amp;"CY2021Q3",Spectrum!$Q:$Q,0)),"")</f>
        <v>13</v>
      </c>
      <c r="R84" s="115"/>
      <c r="S84" s="123" t="str">
        <f aca="false">IF(OR(SUM($P84)&lt;=0,SUM($R84)&lt;=0),"",SUM($R84)/$P84)</f>
        <v/>
      </c>
      <c r="T84" s="139" t="n">
        <v>31</v>
      </c>
      <c r="U84" s="124" t="n">
        <v>13</v>
      </c>
      <c r="V84" s="124" t="n">
        <f aca="false">IF($U84-$T84=0,"",$U84-$T84)</f>
        <v>-18</v>
      </c>
      <c r="W84" s="123" t="n">
        <f aca="false">IF(LEFT($B84,4)="_Mil","",IFERROR(MIN(IF(SUM($N84)&lt;=0,SUM($U84)/SUM($P84),SUM($T84)/SUM($N84)),1),""))</f>
        <v>0.0228471001757469</v>
      </c>
      <c r="X84" s="123" t="n">
        <f aca="false">$W84</f>
        <v>0.0228471001757469</v>
      </c>
      <c r="Y84" s="123" t="n">
        <f aca="false">IFERROR(1/(1/INDEX(Spectrum!$N:$N,MATCH(RIGHT($B84,13)&amp;"|"&amp;$C84&amp;"|"&amp;$D84&amp;"|"&amp;Y$14&amp;"|"&amp;"CY2021Q3",Spectrum!$Q:$Q,0))),IF(SUM($H84)=0,"",MAX(SUM($P84),SUM($U84))/SUM($H84)))</f>
        <v>0.72299872935197</v>
      </c>
      <c r="Z84" s="123" t="n">
        <f aca="false">IF(SUM($Y84)=0,"",MAX(SUM($Y84),90%))</f>
        <v>0.9</v>
      </c>
      <c r="AA84" s="115" t="n">
        <f aca="false">IF(LEFT($B84,4)="_Mil","",ROUND(MAX(SUM($U84),SUM($P84))+IF(SUM($Z84)=0,0,MAX(SUM($Z84)-SUM($Y84),0)*SUM($H84)),0))</f>
        <v>708</v>
      </c>
      <c r="AB84" s="115" t="n">
        <f aca="false">IF(SUM($AA84)=0,"",ROUND(MAX(SUM($AA84)-MAX(SUM($P84),SUM($U84)),0),0))</f>
        <v>139</v>
      </c>
      <c r="AC84" s="126" t="str">
        <f aca="false">IF($C84="&lt;01",IFERROR(ROUND(INDEX(EID!$N:$N,MATCH($B84,EID!$B:$B,0))/2,0),""),"")</f>
        <v/>
      </c>
      <c r="AD84" s="115" t="n">
        <f aca="false">IF($C84="&lt;01",IF(SUM($AC84)=0,"",ROUND(SUM($AC84)/$AG84,0)),IF(SUM($AB84)=0,"",ROUND(MAX($X84,0)*SUM($AB84),0)))</f>
        <v>3</v>
      </c>
      <c r="AE84" s="115" t="n">
        <f aca="false">IF(AND(SUM($AD84)=0,SUM($U84)=0),"",ROUND(IF($C84="&lt;01",0,SUM($U84))+SUM($AD84),0))</f>
        <v>16</v>
      </c>
      <c r="AF84" s="122" t="n">
        <f aca="false">IF($C84="&lt;01","",100%)</f>
        <v>1</v>
      </c>
      <c r="AG84" s="123" t="n">
        <f aca="false">0.98</f>
        <v>0.98</v>
      </c>
      <c r="AH84" s="123" t="n">
        <f aca="false">0.98</f>
        <v>0.98</v>
      </c>
      <c r="AI84" s="124" t="n">
        <f aca="false">IF(OR($C84="&lt;01",SUM($U84)=0),"",ROUND(SUM($U84)*(1-$AH84),0))</f>
        <v>0</v>
      </c>
      <c r="AJ84" s="124" t="n">
        <f aca="false">IF(AND(SUM($AE84)=0,SUM($U84)=0),"",IF($C84="&lt;01",SUM($AD84),SUM($AE84) - ROUND(SUM($U84)*$AH84,0)))</f>
        <v>3</v>
      </c>
      <c r="AK84" s="124" t="n">
        <v>15</v>
      </c>
      <c r="AL84" s="124" t="n">
        <v>5</v>
      </c>
      <c r="AM84" s="115" t="n">
        <f aca="false">IF(AND(SUM($AD84)=0,SUM($U84)=0),"",IF($C84="&lt;01",SUM($AD84),ROUND(ROUND(SUM($AJ84)*$AF84,0)/$AG84,0)))</f>
        <v>3</v>
      </c>
      <c r="AN84" s="122" t="n">
        <f aca="false">0.7</f>
        <v>0.7</v>
      </c>
      <c r="AO84" s="123" t="n">
        <f aca="false">1</f>
        <v>1</v>
      </c>
      <c r="AP84" s="115" t="n">
        <f aca="false">IF(AND(SUM($U84)=0,SUM($AM84)=0),"",ROUND((SUM($AM84)*$AN84+IF($C84="&lt;01",0,$U84))*$AO84,0))</f>
        <v>15</v>
      </c>
      <c r="AQ84" s="122" t="n">
        <v>1</v>
      </c>
      <c r="AR84" s="123" t="n">
        <f aca="false">0.95</f>
        <v>0.95</v>
      </c>
      <c r="AS84" s="123" t="n">
        <f aca="false">0.95</f>
        <v>0.95</v>
      </c>
      <c r="AT84" s="115" t="n">
        <f aca="false">IF(SUM($AP84)=0,"",ROUND(SUM($AP84)*$AR84,0))</f>
        <v>14</v>
      </c>
      <c r="AU84" s="115" t="n">
        <f aca="false">IF(LEFT($B84,4)="_Mil","",ROUND(SUM($AA84)*SUM($AS84),0))</f>
        <v>673</v>
      </c>
      <c r="AV84" s="124" t="n">
        <f aca="false">IF(SUM($AU84)&lt;=0,"",MAX(SUM($AU84)-SUM($R84),0))</f>
        <v>673</v>
      </c>
      <c r="AW84" s="122" t="n">
        <f aca="false">0</f>
        <v>0</v>
      </c>
      <c r="AX84" s="124" t="n">
        <f aca="false">IF(SUM($AM84)=0,"",ROUND(SUM($AM84)*SUM($AW84),0))</f>
        <v>0</v>
      </c>
      <c r="AY84" s="124" t="n">
        <f aca="false">IF(SUM($AM84)=0,"",SUM($AM84)-SUM($AX84))</f>
        <v>3</v>
      </c>
      <c r="AZ84" s="123" t="n">
        <v>31</v>
      </c>
      <c r="BA84" s="123" t="n">
        <f aca="false">0.95</f>
        <v>0.95</v>
      </c>
      <c r="BB84" s="123"/>
      <c r="BC84" s="123" t="n">
        <f aca="false">IF(OR(SUM($AM84)&lt;=0,$C84="&lt;01"),"",MAX(IF(OR(SUM($Y84)&lt;70%,LEFT($B84,4)="_Mil"),30%,IF(SUM($Y84)&gt;=80%,75%,50%)),SUM($BB84)))</f>
        <v>0.5</v>
      </c>
      <c r="BD84" s="115" t="n">
        <f aca="false">IF($C84="&lt;01",IFERROR(ROUND(INDEX(EID!$M:$M,MATCH($B84,EID!$B:$B,0)),0)/2,""),IF(SUM($AY84)=0,"",ROUND(SUM($AY84)/SUM($BA84),0)))</f>
        <v>3</v>
      </c>
      <c r="BE84" s="115" t="n">
        <f aca="false">IF($C84="&lt;01","",IF(SUM($BD84)=0,"",ROUND(SUM($BD84)*SUM($BC84),0)))</f>
        <v>2</v>
      </c>
      <c r="BF84" s="115" t="str">
        <f aca="false">_xlfn.IFNA(INDEX(PMTCT!$AE:$AE,MATCH($E84,PMTCT!$E:$E,0)),"")</f>
        <v/>
      </c>
      <c r="BG84" s="115" t="str">
        <f aca="false">_xlfn.IFNA(INDEX(PMTCT!$AU:$AU,MATCH($E84,PMTCT!$E:$E,0)),"")</f>
        <v/>
      </c>
      <c r="BH84" s="115" t="n">
        <f aca="false">_xlfn.IFNA(INDEX(TB!$Q:$Q,MATCH($E84,TB!$E:$E,0)),"")</f>
        <v>-17640</v>
      </c>
      <c r="BI84" s="115" t="str">
        <f aca="false">_xlfn.IFNA(INDEX(VMMC!$AC:$AC,MATCH($E84,VMMC!$E:$E,0)),"")</f>
        <v/>
      </c>
      <c r="BJ84" s="115" t="str">
        <f aca="false">IF($C84="&lt;01",$BD84,"")</f>
        <v/>
      </c>
      <c r="BK84" s="115" t="n">
        <f aca="false">IF(SUM($BD84)=0,"",($BD84)-SUM($BE84:$BJ84))</f>
        <v>17641</v>
      </c>
      <c r="BL84" s="123" t="n">
        <f aca="false">IF(OR(SUM($BD84)=0,SUM($BE84)=0),"",SUM($BE84)/$BD84)</f>
        <v>0.666666666666667</v>
      </c>
      <c r="BM84" s="123" t="str">
        <f aca="false">IF(OR(SUM($BD84)=0,SUM($BF84)=0),"",SUM($BF84)/$BD84)</f>
        <v/>
      </c>
      <c r="BN84" s="123" t="str">
        <f aca="false">IF(OR(SUM($BD84)=0,SUM($BG84)=0),"",SUM($BG84)/$BD84)</f>
        <v/>
      </c>
      <c r="BO84" s="123" t="n">
        <f aca="false">IF(OR(SUM($BD84)=0,SUM($BH84)=0),"",SUM($BH84)/$BD84)</f>
        <v>-5880</v>
      </c>
      <c r="BP84" s="123" t="str">
        <f aca="false">IF(OR(SUM($BD84)=0,SUM($BI84)=0),"",SUM($BI84)/$BD84)</f>
        <v/>
      </c>
      <c r="BQ84" s="123" t="str">
        <f aca="false">IF(AND($C84="&lt;01",SUM($BJ84)&lt;&gt;0),$BJ84/SUM($BD84),"")</f>
        <v/>
      </c>
      <c r="BR84" s="123" t="n">
        <f aca="false">IF(OR(SUM($BD84)=0,SUM($BK84)=0),"",SUM($BK84)/$BD84)</f>
        <v>5880.33333333333</v>
      </c>
      <c r="BS84" s="122" t="n">
        <f aca="false">IF(SUM($X84)&lt;=0,"",$X84)</f>
        <v>0.0228471001757469</v>
      </c>
      <c r="BT84" s="115" t="n">
        <f aca="false">IF(LEFT($B84,4)="_Mil","",MAX(SUM($L84)+ROUND(SUM($BD84)/IF(SUM($BS84)&lt;=0,1,SUM($BS84)),0),0))</f>
        <v>759</v>
      </c>
    </row>
    <row r="85" customFormat="false" ht="15" hidden="false" customHeight="false" outlineLevel="0" collapsed="false">
      <c r="A85" s="0" t="s">
        <v>143</v>
      </c>
      <c r="B85" s="0" t="s">
        <v>115</v>
      </c>
      <c r="C85" s="0" t="s">
        <v>86</v>
      </c>
      <c r="D85" s="0" t="s">
        <v>56</v>
      </c>
      <c r="E85" s="0" t="str">
        <f aca="false">B85&amp;"|"&amp;C85&amp;"|"&amp;D85</f>
        <v>Butha Buthe [#SNU] [mvPRqBFtVC0]|50+|Female</v>
      </c>
      <c r="F85" s="115" t="n">
        <f aca="false">_xlfn.IFNA(ROUND(INDEX(Spectrum!$N:$N,MATCH(RIGHT($B85,13)&amp;"|"&amp;$C85&amp;"|"&amp;$D85&amp;"|"&amp;F$14&amp;"|"&amp;"CY2021Q3",Spectrum!$Q:$Q,0)),0),"")</f>
        <v>11901</v>
      </c>
      <c r="G85" s="123" t="n">
        <f aca="false">_xlfn.IFNA(INDEX(Spectrum!$P:$P,MATCH(RIGHT($B85,13)&amp;"|"&amp;$C85&amp;"|"&amp;$D85&amp;"|"&amp;F$14&amp;"|"&amp;"CY2021Q3",Spectrum!$Q:$Q,0)),"")</f>
        <v>14</v>
      </c>
      <c r="H85" s="115" t="n">
        <f aca="false">_xlfn.IFNA(ROUND(INDEX(Spectrum!$N:$N,MATCH(RIGHT($B85,13)&amp;"|"&amp;$C85&amp;"|"&amp;$D85&amp;"|"&amp;H$14&amp;"|"&amp;"CY2021Q3",Spectrum!$Q:$Q,0)),0),"")</f>
        <v>2412</v>
      </c>
      <c r="I85" s="123" t="n">
        <f aca="false">_xlfn.IFNA(INDEX(Spectrum!$P:$P,MATCH(RIGHT($B85,13)&amp;"|"&amp;$C85&amp;"|"&amp;$D85&amp;"|"&amp;H$14&amp;"|"&amp;"CY2021Q3",Spectrum!$Q:$Q,0)),"")</f>
        <v>10</v>
      </c>
      <c r="J85" s="117" t="n">
        <f aca="false">_xlfn.IFNA(INDEX(Spectrum!$N:$N,MATCH(RIGHT($B85,13)&amp;"|"&amp;$C85&amp;"|"&amp;$D85&amp;"|"&amp;J$14&amp;"|"&amp;"CY2021Q3",Spectrum!$Q:$Q,0)),"")</f>
        <v>0.2026606</v>
      </c>
      <c r="K85" s="123" t="n">
        <f aca="false">_xlfn.IFNA(INDEX(Spectrum!$P:$P,MATCH(RIGHT($B85,13)&amp;"|"&amp;$C85&amp;"|"&amp;$D85&amp;"|"&amp;J$14&amp;"|"&amp;"CY2021Q3",Spectrum!$Q:$Q,0)),"")</f>
        <v>12</v>
      </c>
      <c r="L85" s="115" t="n">
        <f aca="false">_xlfn.IFNA(ROUND(INDEX(Spectrum!$N:$N,MATCH(RIGHT($B85,13)&amp;"|"&amp;$C85&amp;"|"&amp;$D85&amp;"|"&amp;L$14&amp;"|"&amp;"CY2021Q3",Spectrum!$Q:$Q,0)),0),"")</f>
        <v>1974</v>
      </c>
      <c r="M85" s="123" t="n">
        <f aca="false">IF(OR(SUM($H85)&lt;=0,SUM($L85)&lt;=0),"",SUM($L85)/$H85)</f>
        <v>0.818407960199005</v>
      </c>
      <c r="N85" s="115" t="str">
        <f aca="false">_xlfn.IFNA(ROUND(INDEX(Spectrum!$N:$N,MATCH(RIGHT($B85,13)&amp;"|"&amp;$C85&amp;"|"&amp;$D85&amp;"|"&amp;N$14&amp;"|"&amp;"CY2020Q4",Spectrum!$Q:$Q,0)),0),"")</f>
        <v/>
      </c>
      <c r="O85" s="123" t="str">
        <f aca="false">_xlfn.IFNA(INDEX(Spectrum!$P:$P,MATCH(RIGHT($B85,13)&amp;"|"&amp;$C85&amp;"|"&amp;$D85&amp;"|"&amp;N$14&amp;"|"&amp;"CY2020Q4",Spectrum!$Q:$Q,0)),"")</f>
        <v/>
      </c>
      <c r="P85" s="115" t="n">
        <f aca="false">_xlfn.IFNA(ROUND(INDEX(Spectrum!$N:$N,MATCH(RIGHT($B85,13)&amp;"|"&amp;$C85&amp;"|"&amp;$D85&amp;"|"&amp;P$14&amp;"|"&amp;"CY2021Q3",Spectrum!$Q:$Q,0)),0),"")</f>
        <v>1915</v>
      </c>
      <c r="Q85" s="123" t="n">
        <f aca="false">_xlfn.IFNA(INDEX(Spectrum!$P:$P,MATCH(RIGHT($B85,13)&amp;"|"&amp;$C85&amp;"|"&amp;$D85&amp;"|"&amp;P$14&amp;"|"&amp;"CY2021Q3",Spectrum!$Q:$Q,0)),"")</f>
        <v>22</v>
      </c>
      <c r="R85" s="115"/>
      <c r="S85" s="123" t="str">
        <f aca="false">IF(OR(SUM($P85)&lt;=0,SUM($R85)&lt;=0),"",SUM($R85)/$P85)</f>
        <v/>
      </c>
      <c r="T85" s="139" t="n">
        <v>19</v>
      </c>
      <c r="U85" s="124" t="n">
        <v>36</v>
      </c>
      <c r="V85" s="124" t="n">
        <f aca="false">IF($U85-$T85=0,"",$U85-$T85)</f>
        <v>17</v>
      </c>
      <c r="W85" s="123" t="n">
        <f aca="false">IF(LEFT($B85,4)="_Mil","",IFERROR(MIN(IF(SUM($N85)&lt;=0,SUM($U85)/SUM($P85),SUM($T85)/SUM($N85)),1),""))</f>
        <v>0.018798955613577</v>
      </c>
      <c r="X85" s="123" t="n">
        <f aca="false">$W85</f>
        <v>0.018798955613577</v>
      </c>
      <c r="Y85" s="123" t="n">
        <f aca="false">IFERROR(1/(1/INDEX(Spectrum!$N:$N,MATCH(RIGHT($B85,13)&amp;"|"&amp;$C85&amp;"|"&amp;$D85&amp;"|"&amp;Y$14&amp;"|"&amp;"CY2021Q3",Spectrum!$Q:$Q,0))),IF(SUM($H85)=0,"",MAX(SUM($P85),SUM($U85))/SUM($H85)))</f>
        <v>0.793946932006633</v>
      </c>
      <c r="Z85" s="123" t="n">
        <f aca="false">IF(SUM($Y85)=0,"",MAX(SUM($Y85),90%))</f>
        <v>0.9</v>
      </c>
      <c r="AA85" s="115" t="n">
        <f aca="false">IF(LEFT($B85,4)="_Mil","",ROUND(MAX(SUM($U85),SUM($P85))+IF(SUM($Z85)=0,0,MAX(SUM($Z85)-SUM($Y85),0)*SUM($H85)),0))</f>
        <v>2171</v>
      </c>
      <c r="AB85" s="115" t="n">
        <f aca="false">IF(SUM($AA85)=0,"",ROUND(MAX(SUM($AA85)-MAX(SUM($P85),SUM($U85)),0),0))</f>
        <v>256</v>
      </c>
      <c r="AC85" s="126" t="str">
        <f aca="false">IF($C85="&lt;01",IFERROR(ROUND(INDEX(EID!$N:$N,MATCH($B85,EID!$B:$B,0))/2,0),""),"")</f>
        <v/>
      </c>
      <c r="AD85" s="115" t="n">
        <f aca="false">IF($C85="&lt;01",IF(SUM($AC85)=0,"",ROUND(SUM($AC85)/$AG85,0)),IF(SUM($AB85)=0,"",ROUND(MAX($X85,0)*SUM($AB85),0)))</f>
        <v>5</v>
      </c>
      <c r="AE85" s="115" t="n">
        <f aca="false">IF(AND(SUM($AD85)=0,SUM($U85)=0),"",ROUND(IF($C85="&lt;01",0,SUM($U85))+SUM($AD85),0))</f>
        <v>41</v>
      </c>
      <c r="AF85" s="122" t="n">
        <f aca="false">IF($C85="&lt;01","",100%)</f>
        <v>1</v>
      </c>
      <c r="AG85" s="123" t="n">
        <f aca="false">0.98</f>
        <v>0.98</v>
      </c>
      <c r="AH85" s="123" t="n">
        <f aca="false">0.98</f>
        <v>0.98</v>
      </c>
      <c r="AI85" s="124" t="n">
        <f aca="false">IF(OR($C85="&lt;01",SUM($U85)=0),"",ROUND(SUM($U85)*(1-$AH85),0))</f>
        <v>1</v>
      </c>
      <c r="AJ85" s="124" t="n">
        <f aca="false">IF(AND(SUM($AE85)=0,SUM($U85)=0),"",IF($C85="&lt;01",SUM($AD85),SUM($AE85) - ROUND(SUM($U85)*$AH85,0)))</f>
        <v>6</v>
      </c>
      <c r="AK85" s="124" t="n">
        <v>17</v>
      </c>
      <c r="AL85" s="124" t="n">
        <v>39</v>
      </c>
      <c r="AM85" s="115" t="n">
        <f aca="false">IF(AND(SUM($AD85)=0,SUM($U85)=0),"",IF($C85="&lt;01",SUM($AD85),ROUND(ROUND(SUM($AJ85)*$AF85,0)/$AG85,0)))</f>
        <v>6</v>
      </c>
      <c r="AN85" s="122" t="n">
        <f aca="false">0.7</f>
        <v>0.7</v>
      </c>
      <c r="AO85" s="123" t="n">
        <f aca="false">1</f>
        <v>1</v>
      </c>
      <c r="AP85" s="115" t="n">
        <f aca="false">IF(AND(SUM($U85)=0,SUM($AM85)=0),"",ROUND((SUM($AM85)*$AN85+IF($C85="&lt;01",0,$U85))*$AO85,0))</f>
        <v>40</v>
      </c>
      <c r="AQ85" s="122" t="n">
        <v>38</v>
      </c>
      <c r="AR85" s="123" t="n">
        <f aca="false">0.95</f>
        <v>0.95</v>
      </c>
      <c r="AS85" s="123" t="n">
        <f aca="false">0.95</f>
        <v>0.95</v>
      </c>
      <c r="AT85" s="115" t="n">
        <f aca="false">IF(SUM($AP85)=0,"",ROUND(SUM($AP85)*$AR85,0))</f>
        <v>38</v>
      </c>
      <c r="AU85" s="115" t="n">
        <f aca="false">IF(LEFT($B85,4)="_Mil","",ROUND(SUM($AA85)*SUM($AS85),0))</f>
        <v>2062</v>
      </c>
      <c r="AV85" s="124" t="n">
        <f aca="false">IF(SUM($AU85)&lt;=0,"",MAX(SUM($AU85)-SUM($R85),0))</f>
        <v>2062</v>
      </c>
      <c r="AW85" s="122" t="n">
        <f aca="false">0</f>
        <v>0</v>
      </c>
      <c r="AX85" s="124" t="n">
        <f aca="false">IF(SUM($AM85)=0,"",ROUND(SUM($AM85)*SUM($AW85),0))</f>
        <v>0</v>
      </c>
      <c r="AY85" s="124" t="n">
        <f aca="false">IF(SUM($AM85)=0,"",SUM($AM85)-SUM($AX85))</f>
        <v>6</v>
      </c>
      <c r="AZ85" s="123" t="n">
        <v>39</v>
      </c>
      <c r="BA85" s="123" t="n">
        <f aca="false">0.95</f>
        <v>0.95</v>
      </c>
      <c r="BB85" s="123"/>
      <c r="BC85" s="123" t="n">
        <f aca="false">IF(OR(SUM($AM85)&lt;=0,$C85="&lt;01"),"",MAX(IF(OR(SUM($Y85)&lt;70%,LEFT($B85,4)="_Mil"),30%,IF(SUM($Y85)&gt;=80%,75%,50%)),SUM($BB85)))</f>
        <v>0.5</v>
      </c>
      <c r="BD85" s="115" t="n">
        <f aca="false">IF($C85="&lt;01",IFERROR(ROUND(INDEX(EID!$M:$M,MATCH($B85,EID!$B:$B,0)),0)/2,""),IF(SUM($AY85)=0,"",ROUND(SUM($AY85)/SUM($BA85),0)))</f>
        <v>6</v>
      </c>
      <c r="BE85" s="115" t="n">
        <f aca="false">IF($C85="&lt;01","",IF(SUM($BD85)=0,"",ROUND(SUM($BD85)*SUM($BC85),0)))</f>
        <v>3</v>
      </c>
      <c r="BF85" s="115" t="str">
        <f aca="false">_xlfn.IFNA(INDEX(PMTCT!$AE:$AE,MATCH($E85,PMTCT!$E:$E,0)),"")</f>
        <v/>
      </c>
      <c r="BG85" s="115" t="str">
        <f aca="false">_xlfn.IFNA(INDEX(PMTCT!$AU:$AU,MATCH($E85,PMTCT!$E:$E,0)),"")</f>
        <v/>
      </c>
      <c r="BH85" s="115" t="n">
        <f aca="false">_xlfn.IFNA(INDEX(TB!$Q:$Q,MATCH($E85,TB!$E:$E,0)),"")</f>
        <v>432</v>
      </c>
      <c r="BI85" s="115" t="str">
        <f aca="false">_xlfn.IFNA(INDEX(VMMC!$AC:$AC,MATCH($E85,VMMC!$E:$E,0)),"")</f>
        <v/>
      </c>
      <c r="BJ85" s="115" t="str">
        <f aca="false">IF($C85="&lt;01",$BD85,"")</f>
        <v/>
      </c>
      <c r="BK85" s="115" t="n">
        <f aca="false">IF(SUM($BD85)=0,"",($BD85)-SUM($BE85:$BJ85))</f>
        <v>-429</v>
      </c>
      <c r="BL85" s="123" t="n">
        <f aca="false">IF(OR(SUM($BD85)=0,SUM($BE85)=0),"",SUM($BE85)/$BD85)</f>
        <v>0.5</v>
      </c>
      <c r="BM85" s="123" t="str">
        <f aca="false">IF(OR(SUM($BD85)=0,SUM($BF85)=0),"",SUM($BF85)/$BD85)</f>
        <v/>
      </c>
      <c r="BN85" s="123" t="str">
        <f aca="false">IF(OR(SUM($BD85)=0,SUM($BG85)=0),"",SUM($BG85)/$BD85)</f>
        <v/>
      </c>
      <c r="BO85" s="123" t="n">
        <f aca="false">IF(OR(SUM($BD85)=0,SUM($BH85)=0),"",SUM($BH85)/$BD85)</f>
        <v>72</v>
      </c>
      <c r="BP85" s="123" t="str">
        <f aca="false">IF(OR(SUM($BD85)=0,SUM($BI85)=0),"",SUM($BI85)/$BD85)</f>
        <v/>
      </c>
      <c r="BQ85" s="123" t="str">
        <f aca="false">IF(AND($C85="&lt;01",SUM($BJ85)&lt;&gt;0),$BJ85/SUM($BD85),"")</f>
        <v/>
      </c>
      <c r="BR85" s="123" t="n">
        <f aca="false">IF(OR(SUM($BD85)=0,SUM($BK85)=0),"",SUM($BK85)/$BD85)</f>
        <v>-71.5</v>
      </c>
      <c r="BS85" s="122" t="n">
        <f aca="false">IF(SUM($X85)&lt;=0,"",$X85)</f>
        <v>0.018798955613577</v>
      </c>
      <c r="BT85" s="115" t="n">
        <f aca="false">IF(LEFT($B85,4)="_Mil","",MAX(SUM($L85)+ROUND(SUM($BD85)/IF(SUM($BS85)&lt;=0,1,SUM($BS85)),0),0))</f>
        <v>2293</v>
      </c>
    </row>
    <row r="86" customFormat="false" ht="15" hidden="false" customHeight="false" outlineLevel="0" collapsed="false">
      <c r="A86" s="0" t="s">
        <v>143</v>
      </c>
      <c r="B86" s="0" t="s">
        <v>115</v>
      </c>
      <c r="C86" s="0" t="s">
        <v>86</v>
      </c>
      <c r="D86" s="0" t="s">
        <v>58</v>
      </c>
      <c r="E86" s="0" t="str">
        <f aca="false">B86&amp;"|"&amp;C86&amp;"|"&amp;D86</f>
        <v>Butha Buthe [#SNU] [mvPRqBFtVC0]|50+|Male</v>
      </c>
      <c r="F86" s="115" t="n">
        <f aca="false">_xlfn.IFNA(ROUND(INDEX(Spectrum!$N:$N,MATCH(RIGHT($B86,13)&amp;"|"&amp;$C86&amp;"|"&amp;$D86&amp;"|"&amp;F$14&amp;"|"&amp;"CY2021Q3",Spectrum!$Q:$Q,0)),0),"")</f>
        <v>8083</v>
      </c>
      <c r="G86" s="123" t="n">
        <f aca="false">_xlfn.IFNA(INDEX(Spectrum!$P:$P,MATCH(RIGHT($B86,13)&amp;"|"&amp;$C86&amp;"|"&amp;$D86&amp;"|"&amp;F$14&amp;"|"&amp;"CY2021Q3",Spectrum!$Q:$Q,0)),"")</f>
        <v>1</v>
      </c>
      <c r="H86" s="115" t="n">
        <f aca="false">_xlfn.IFNA(ROUND(INDEX(Spectrum!$N:$N,MATCH(RIGHT($B86,13)&amp;"|"&amp;$C86&amp;"|"&amp;$D86&amp;"|"&amp;H$14&amp;"|"&amp;"CY2021Q3",Spectrum!$Q:$Q,0)),0),"")</f>
        <v>1863</v>
      </c>
      <c r="I86" s="123" t="n">
        <f aca="false">_xlfn.IFNA(INDEX(Spectrum!$P:$P,MATCH(RIGHT($B86,13)&amp;"|"&amp;$C86&amp;"|"&amp;$D86&amp;"|"&amp;H$14&amp;"|"&amp;"CY2021Q3",Spectrum!$Q:$Q,0)),"")</f>
        <v>19</v>
      </c>
      <c r="J86" s="117" t="n">
        <f aca="false">_xlfn.IFNA(INDEX(Spectrum!$N:$N,MATCH(RIGHT($B86,13)&amp;"|"&amp;$C86&amp;"|"&amp;$D86&amp;"|"&amp;J$14&amp;"|"&amp;"CY2021Q3",Spectrum!$Q:$Q,0)),"")</f>
        <v>0.2304829</v>
      </c>
      <c r="K86" s="123" t="n">
        <f aca="false">_xlfn.IFNA(INDEX(Spectrum!$P:$P,MATCH(RIGHT($B86,13)&amp;"|"&amp;$C86&amp;"|"&amp;$D86&amp;"|"&amp;J$14&amp;"|"&amp;"CY2021Q3",Spectrum!$Q:$Q,0)),"")</f>
        <v>4</v>
      </c>
      <c r="L86" s="115" t="n">
        <f aca="false">_xlfn.IFNA(ROUND(INDEX(Spectrum!$N:$N,MATCH(RIGHT($B86,13)&amp;"|"&amp;$C86&amp;"|"&amp;$D86&amp;"|"&amp;L$14&amp;"|"&amp;"CY2021Q3",Spectrum!$Q:$Q,0)),0),"")</f>
        <v>1434</v>
      </c>
      <c r="M86" s="123" t="n">
        <f aca="false">IF(OR(SUM($H86)&lt;=0,SUM($L86)&lt;=0),"",SUM($L86)/$H86)</f>
        <v>0.769726247987118</v>
      </c>
      <c r="N86" s="115" t="str">
        <f aca="false">_xlfn.IFNA(ROUND(INDEX(Spectrum!$N:$N,MATCH(RIGHT($B86,13)&amp;"|"&amp;$C86&amp;"|"&amp;$D86&amp;"|"&amp;N$14&amp;"|"&amp;"CY2020Q4",Spectrum!$Q:$Q,0)),0),"")</f>
        <v/>
      </c>
      <c r="O86" s="123" t="str">
        <f aca="false">_xlfn.IFNA(INDEX(Spectrum!$P:$P,MATCH(RIGHT($B86,13)&amp;"|"&amp;$C86&amp;"|"&amp;$D86&amp;"|"&amp;N$14&amp;"|"&amp;"CY2020Q4",Spectrum!$Q:$Q,0)),"")</f>
        <v/>
      </c>
      <c r="P86" s="115" t="n">
        <f aca="false">_xlfn.IFNA(ROUND(INDEX(Spectrum!$N:$N,MATCH(RIGHT($B86,13)&amp;"|"&amp;$C86&amp;"|"&amp;$D86&amp;"|"&amp;P$14&amp;"|"&amp;"CY2021Q3",Spectrum!$Q:$Q,0)),0),"")</f>
        <v>1347</v>
      </c>
      <c r="Q86" s="123" t="n">
        <f aca="false">_xlfn.IFNA(INDEX(Spectrum!$P:$P,MATCH(RIGHT($B86,13)&amp;"|"&amp;$C86&amp;"|"&amp;$D86&amp;"|"&amp;P$14&amp;"|"&amp;"CY2021Q3",Spectrum!$Q:$Q,0)),"")</f>
        <v>20</v>
      </c>
      <c r="R86" s="115"/>
      <c r="S86" s="123" t="str">
        <f aca="false">IF(OR(SUM($P86)&lt;=0,SUM($R86)&lt;=0),"",SUM($R86)/$P86)</f>
        <v/>
      </c>
      <c r="T86" s="139" t="n">
        <v>49</v>
      </c>
      <c r="U86" s="124" t="n">
        <v>44</v>
      </c>
      <c r="V86" s="124" t="n">
        <f aca="false">IF($U86-$T86=0,"",$U86-$T86)</f>
        <v>-5</v>
      </c>
      <c r="W86" s="123" t="n">
        <f aca="false">IF(LEFT($B86,4)="_Mil","",IFERROR(MIN(IF(SUM($N86)&lt;=0,SUM($U86)/SUM($P86),SUM($T86)/SUM($N86)),1),""))</f>
        <v>0.0326651818856719</v>
      </c>
      <c r="X86" s="123" t="n">
        <f aca="false">$W86</f>
        <v>0.0326651818856719</v>
      </c>
      <c r="Y86" s="123" t="n">
        <f aca="false">IFERROR(1/(1/INDEX(Spectrum!$N:$N,MATCH(RIGHT($B86,13)&amp;"|"&amp;$C86&amp;"|"&amp;$D86&amp;"|"&amp;Y$14&amp;"|"&amp;"CY2021Q3",Spectrum!$Q:$Q,0))),IF(SUM($H86)=0,"",MAX(SUM($P86),SUM($U86))/SUM($H86)))</f>
        <v>0.723027375201288</v>
      </c>
      <c r="Z86" s="123" t="n">
        <f aca="false">IF(SUM($Y86)=0,"",MAX(SUM($Y86),90%))</f>
        <v>0.9</v>
      </c>
      <c r="AA86" s="115" t="n">
        <f aca="false">IF(LEFT($B86,4)="_Mil","",ROUND(MAX(SUM($U86),SUM($P86))+IF(SUM($Z86)=0,0,MAX(SUM($Z86)-SUM($Y86),0)*SUM($H86)),0))</f>
        <v>1677</v>
      </c>
      <c r="AB86" s="115" t="n">
        <f aca="false">IF(SUM($AA86)=0,"",ROUND(MAX(SUM($AA86)-MAX(SUM($P86),SUM($U86)),0),0))</f>
        <v>330</v>
      </c>
      <c r="AC86" s="126" t="str">
        <f aca="false">IF($C86="&lt;01",IFERROR(ROUND(INDEX(EID!$N:$N,MATCH($B86,EID!$B:$B,0))/2,0),""),"")</f>
        <v/>
      </c>
      <c r="AD86" s="115" t="n">
        <f aca="false">IF($C86="&lt;01",IF(SUM($AC86)=0,"",ROUND(SUM($AC86)/$AG86,0)),IF(SUM($AB86)=0,"",ROUND(MAX($X86,0)*SUM($AB86),0)))</f>
        <v>11</v>
      </c>
      <c r="AE86" s="115" t="n">
        <f aca="false">IF(AND(SUM($AD86)=0,SUM($U86)=0),"",ROUND(IF($C86="&lt;01",0,SUM($U86))+SUM($AD86),0))</f>
        <v>55</v>
      </c>
      <c r="AF86" s="122" t="n">
        <f aca="false">IF($C86="&lt;01","",100%)</f>
        <v>1</v>
      </c>
      <c r="AG86" s="123" t="n">
        <f aca="false">0.98</f>
        <v>0.98</v>
      </c>
      <c r="AH86" s="123" t="n">
        <f aca="false">0.98</f>
        <v>0.98</v>
      </c>
      <c r="AI86" s="124" t="n">
        <f aca="false">IF(OR($C86="&lt;01",SUM($U86)=0),"",ROUND(SUM($U86)*(1-$AH86),0))</f>
        <v>1</v>
      </c>
      <c r="AJ86" s="124" t="n">
        <f aca="false">IF(AND(SUM($AE86)=0,SUM($U86)=0),"",IF($C86="&lt;01",SUM($AD86),SUM($AE86) - ROUND(SUM($U86)*$AH86,0)))</f>
        <v>12</v>
      </c>
      <c r="AK86" s="124" t="n">
        <v>16</v>
      </c>
      <c r="AL86" s="124" t="n">
        <v>44</v>
      </c>
      <c r="AM86" s="115" t="n">
        <f aca="false">IF(AND(SUM($AD86)=0,SUM($U86)=0),"",IF($C86="&lt;01",SUM($AD86),ROUND(ROUND(SUM($AJ86)*$AF86,0)/$AG86,0)))</f>
        <v>12</v>
      </c>
      <c r="AN86" s="122" t="n">
        <f aca="false">0.7</f>
        <v>0.7</v>
      </c>
      <c r="AO86" s="123" t="n">
        <f aca="false">1</f>
        <v>1</v>
      </c>
      <c r="AP86" s="115" t="n">
        <f aca="false">IF(AND(SUM($U86)=0,SUM($AM86)=0),"",ROUND((SUM($AM86)*$AN86+IF($C86="&lt;01",0,$U86))*$AO86,0))</f>
        <v>52</v>
      </c>
      <c r="AQ86" s="122" t="n">
        <v>32</v>
      </c>
      <c r="AR86" s="123" t="n">
        <f aca="false">0.95</f>
        <v>0.95</v>
      </c>
      <c r="AS86" s="123" t="n">
        <f aca="false">0.95</f>
        <v>0.95</v>
      </c>
      <c r="AT86" s="115" t="n">
        <f aca="false">IF(SUM($AP86)=0,"",ROUND(SUM($AP86)*$AR86,0))</f>
        <v>49</v>
      </c>
      <c r="AU86" s="115" t="n">
        <f aca="false">IF(LEFT($B86,4)="_Mil","",ROUND(SUM($AA86)*SUM($AS86),0))</f>
        <v>1593</v>
      </c>
      <c r="AV86" s="124" t="n">
        <f aca="false">IF(SUM($AU86)&lt;=0,"",MAX(SUM($AU86)-SUM($R86),0))</f>
        <v>1593</v>
      </c>
      <c r="AW86" s="122" t="n">
        <f aca="false">0</f>
        <v>0</v>
      </c>
      <c r="AX86" s="124" t="n">
        <f aca="false">IF(SUM($AM86)=0,"",ROUND(SUM($AM86)*SUM($AW86),0))</f>
        <v>0</v>
      </c>
      <c r="AY86" s="124" t="n">
        <f aca="false">IF(SUM($AM86)=0,"",SUM($AM86)-SUM($AX86))</f>
        <v>12</v>
      </c>
      <c r="AZ86" s="123" t="n">
        <v>4</v>
      </c>
      <c r="BA86" s="123" t="n">
        <f aca="false">0.95</f>
        <v>0.95</v>
      </c>
      <c r="BB86" s="123"/>
      <c r="BC86" s="123" t="n">
        <f aca="false">IF(OR(SUM($AM86)&lt;=0,$C86="&lt;01"),"",MAX(IF(OR(SUM($Y86)&lt;70%,LEFT($B86,4)="_Mil"),30%,IF(SUM($Y86)&gt;=80%,75%,50%)),SUM($BB86)))</f>
        <v>0.5</v>
      </c>
      <c r="BD86" s="115" t="n">
        <f aca="false">IF($C86="&lt;01",IFERROR(ROUND(INDEX(EID!$M:$M,MATCH($B86,EID!$B:$B,0)),0)/2,""),IF(SUM($AY86)=0,"",ROUND(SUM($AY86)/SUM($BA86),0)))</f>
        <v>13</v>
      </c>
      <c r="BE86" s="115" t="n">
        <f aca="false">IF($C86="&lt;01","",IF(SUM($BD86)=0,"",ROUND(SUM($BD86)*SUM($BC86),0)))</f>
        <v>7</v>
      </c>
      <c r="BF86" s="115" t="str">
        <f aca="false">_xlfn.IFNA(INDEX(PMTCT!$AE:$AE,MATCH($E86,PMTCT!$E:$E,0)),"")</f>
        <v/>
      </c>
      <c r="BG86" s="115" t="str">
        <f aca="false">_xlfn.IFNA(INDEX(PMTCT!$AU:$AU,MATCH($E86,PMTCT!$E:$E,0)),"")</f>
        <v/>
      </c>
      <c r="BH86" s="115" t="n">
        <f aca="false">_xlfn.IFNA(INDEX(TB!$Q:$Q,MATCH($E86,TB!$E:$E,0)),"")</f>
        <v>-14520</v>
      </c>
      <c r="BI86" s="115" t="str">
        <f aca="false">_xlfn.IFNA(INDEX(VMMC!$AC:$AC,MATCH($E86,VMMC!$E:$E,0)),"")</f>
        <v/>
      </c>
      <c r="BJ86" s="115" t="str">
        <f aca="false">IF($C86="&lt;01",$BD86,"")</f>
        <v/>
      </c>
      <c r="BK86" s="115" t="n">
        <f aca="false">IF(SUM($BD86)=0,"",($BD86)-SUM($BE86:$BJ86))</f>
        <v>14526</v>
      </c>
      <c r="BL86" s="123" t="n">
        <f aca="false">IF(OR(SUM($BD86)=0,SUM($BE86)=0),"",SUM($BE86)/$BD86)</f>
        <v>0.538461538461538</v>
      </c>
      <c r="BM86" s="123" t="str">
        <f aca="false">IF(OR(SUM($BD86)=0,SUM($BF86)=0),"",SUM($BF86)/$BD86)</f>
        <v/>
      </c>
      <c r="BN86" s="123" t="str">
        <f aca="false">IF(OR(SUM($BD86)=0,SUM($BG86)=0),"",SUM($BG86)/$BD86)</f>
        <v/>
      </c>
      <c r="BO86" s="123" t="n">
        <f aca="false">IF(OR(SUM($BD86)=0,SUM($BH86)=0),"",SUM($BH86)/$BD86)</f>
        <v>-1116.92307692308</v>
      </c>
      <c r="BP86" s="123" t="str">
        <f aca="false">IF(OR(SUM($BD86)=0,SUM($BI86)=0),"",SUM($BI86)/$BD86)</f>
        <v/>
      </c>
      <c r="BQ86" s="123" t="str">
        <f aca="false">IF(AND($C86="&lt;01",SUM($BJ86)&lt;&gt;0),$BJ86/SUM($BD86),"")</f>
        <v/>
      </c>
      <c r="BR86" s="123" t="n">
        <f aca="false">IF(OR(SUM($BD86)=0,SUM($BK86)=0),"",SUM($BK86)/$BD86)</f>
        <v>1117.38461538462</v>
      </c>
      <c r="BS86" s="122" t="n">
        <f aca="false">IF(SUM($X86)&lt;=0,"",$X86)</f>
        <v>0.0326651818856719</v>
      </c>
      <c r="BT86" s="115" t="n">
        <f aca="false">IF(LEFT($B86,4)="_Mil","",MAX(SUM($L86)+ROUND(SUM($BD86)/IF(SUM($BS86)&lt;=0,1,SUM($BS86)),0),0))</f>
        <v>1832</v>
      </c>
    </row>
    <row r="87" customFormat="false" ht="15" hidden="false" customHeight="false" outlineLevel="0" collapsed="false">
      <c r="A87" s="0" t="s">
        <v>144</v>
      </c>
      <c r="B87" s="0" t="s">
        <v>103</v>
      </c>
      <c r="C87" s="0" t="s">
        <v>89</v>
      </c>
      <c r="D87" s="0" t="s">
        <v>56</v>
      </c>
      <c r="E87" s="0" t="str">
        <f aca="false">B87&amp;"|"&amp;C87&amp;"|"&amp;D87</f>
        <v>Leribe [#SNU] [FjSmRywOWUp]|&lt;01|Female</v>
      </c>
      <c r="F87" s="115" t="n">
        <f aca="false">_xlfn.IFNA(ROUND(INDEX(Spectrum!$N:$N,MATCH(RIGHT($B87,13)&amp;"|"&amp;$C87&amp;"|"&amp;$D87&amp;"|"&amp;F$14&amp;"|"&amp;"CY2021Q3",Spectrum!$Q:$Q,0)),0),"")</f>
        <v>2962</v>
      </c>
      <c r="G87" s="123" t="n">
        <f aca="false">_xlfn.IFNA(INDEX(Spectrum!$P:$P,MATCH(RIGHT($B87,13)&amp;"|"&amp;$C87&amp;"|"&amp;$D87&amp;"|"&amp;F$14&amp;"|"&amp;"CY2021Q3",Spectrum!$Q:$Q,0)),"")</f>
        <v>48</v>
      </c>
      <c r="H87" s="115" t="n">
        <f aca="false">_xlfn.IFNA(ROUND(INDEX(Spectrum!$N:$N,MATCH(RIGHT($B87,13)&amp;"|"&amp;$C87&amp;"|"&amp;$D87&amp;"|"&amp;H$14&amp;"|"&amp;"CY2021Q3",Spectrum!$Q:$Q,0)),0),"")</f>
        <v>21</v>
      </c>
      <c r="I87" s="123" t="n">
        <f aca="false">_xlfn.IFNA(INDEX(Spectrum!$P:$P,MATCH(RIGHT($B87,13)&amp;"|"&amp;$C87&amp;"|"&amp;$D87&amp;"|"&amp;H$14&amp;"|"&amp;"CY2021Q3",Spectrum!$Q:$Q,0)),"")</f>
        <v>32</v>
      </c>
      <c r="J87" s="117" t="n">
        <f aca="false">_xlfn.IFNA(INDEX(Spectrum!$N:$N,MATCH(RIGHT($B87,13)&amp;"|"&amp;$C87&amp;"|"&amp;$D87&amp;"|"&amp;J$14&amp;"|"&amp;"CY2021Q3",Spectrum!$Q:$Q,0)),"")</f>
        <v>0.0069765</v>
      </c>
      <c r="K87" s="123" t="n">
        <f aca="false">_xlfn.IFNA(INDEX(Spectrum!$P:$P,MATCH(RIGHT($B87,13)&amp;"|"&amp;$C87&amp;"|"&amp;$D87&amp;"|"&amp;J$14&amp;"|"&amp;"CY2021Q3",Spectrum!$Q:$Q,0)),"")</f>
        <v>12</v>
      </c>
      <c r="L87" s="115" t="n">
        <f aca="false">_xlfn.IFNA(ROUND(INDEX(Spectrum!$N:$N,MATCH(RIGHT($B87,13)&amp;"|"&amp;$C87&amp;"|"&amp;$D87&amp;"|"&amp;L$14&amp;"|"&amp;"CY2021Q3",Spectrum!$Q:$Q,0)),0),"")</f>
        <v>9</v>
      </c>
      <c r="M87" s="123" t="n">
        <f aca="false">IF(OR(SUM($H87)&lt;=0,SUM($L87)&lt;=0),"",SUM($L87)/$H87)</f>
        <v>0.428571428571429</v>
      </c>
      <c r="N87" s="115" t="str">
        <f aca="false">_xlfn.IFNA(ROUND(INDEX(Spectrum!$N:$N,MATCH(RIGHT($B87,13)&amp;"|"&amp;$C87&amp;"|"&amp;$D87&amp;"|"&amp;N$14&amp;"|"&amp;"CY2020Q4",Spectrum!$Q:$Q,0)),0),"")</f>
        <v/>
      </c>
      <c r="O87" s="123" t="str">
        <f aca="false">_xlfn.IFNA(INDEX(Spectrum!$P:$P,MATCH(RIGHT($B87,13)&amp;"|"&amp;$C87&amp;"|"&amp;$D87&amp;"|"&amp;N$14&amp;"|"&amp;"CY2020Q4",Spectrum!$Q:$Q,0)),"")</f>
        <v/>
      </c>
      <c r="P87" s="115" t="n">
        <f aca="false">_xlfn.IFNA(ROUND(INDEX(Spectrum!$N:$N,MATCH(RIGHT($B87,13)&amp;"|"&amp;$C87&amp;"|"&amp;$D87&amp;"|"&amp;P$14&amp;"|"&amp;"CY2021Q3",Spectrum!$Q:$Q,0)),0),"")</f>
        <v>10</v>
      </c>
      <c r="Q87" s="123" t="n">
        <f aca="false">_xlfn.IFNA(INDEX(Spectrum!$P:$P,MATCH(RIGHT($B87,13)&amp;"|"&amp;$C87&amp;"|"&amp;$D87&amp;"|"&amp;P$14&amp;"|"&amp;"CY2021Q3",Spectrum!$Q:$Q,0)),"")</f>
        <v>32</v>
      </c>
      <c r="R87" s="115"/>
      <c r="S87" s="123" t="str">
        <f aca="false">IF(OR(SUM($P87)&lt;=0,SUM($R87)&lt;=0),"",SUM($R87)/$P87)</f>
        <v/>
      </c>
      <c r="T87" s="139" t="n">
        <v>31</v>
      </c>
      <c r="U87" s="124" t="n">
        <v>12</v>
      </c>
      <c r="V87" s="124" t="n">
        <f aca="false">IF($U87-$T87=0,"",$U87-$T87)</f>
        <v>-19</v>
      </c>
      <c r="W87" s="123" t="n">
        <f aca="false">IF(LEFT($B87,4)="_Mil","",IFERROR(MIN(IF(SUM($N87)&lt;=0,SUM($U87)/SUM($P87),SUM($T87)/SUM($N87)),1),""))</f>
        <v>1</v>
      </c>
      <c r="X87" s="123" t="n">
        <f aca="false">$W87</f>
        <v>1</v>
      </c>
      <c r="Y87" s="123" t="n">
        <f aca="false">IFERROR(1/(1/INDEX(Spectrum!$N:$N,MATCH(RIGHT($B87,13)&amp;"|"&amp;$C87&amp;"|"&amp;$D87&amp;"|"&amp;Y$14&amp;"|"&amp;"CY2021Q3",Spectrum!$Q:$Q,0))),IF(SUM($H87)=0,"",MAX(SUM($P87),SUM($U87))/SUM($H87)))</f>
        <v>0.571428571428571</v>
      </c>
      <c r="Z87" s="123" t="n">
        <f aca="false">IF(SUM($Y87)=0,"",MAX(SUM($Y87),90%))</f>
        <v>0.9</v>
      </c>
      <c r="AA87" s="115" t="n">
        <f aca="false">IF(LEFT($B87,4)="_Mil","",ROUND(MAX(SUM($U87),SUM($P87))+IF(SUM($Z87)=0,0,MAX(SUM($Z87)-SUM($Y87),0)*SUM($H87)),0))</f>
        <v>19</v>
      </c>
      <c r="AB87" s="115" t="n">
        <f aca="false">IF(SUM($AA87)=0,"",ROUND(MAX(SUM($AA87)-MAX(SUM($P87),SUM($U87)),0),0))</f>
        <v>7</v>
      </c>
      <c r="AC87" s="126" t="n">
        <f aca="false">IF($C87="&lt;01",IFERROR(ROUND(INDEX(EID!$N:$N,MATCH($B87,EID!$B:$B,0))/2,0),""),"")</f>
        <v>916</v>
      </c>
      <c r="AD87" s="115" t="n">
        <f aca="false">IF($C87="&lt;01",IF(SUM($AC87)=0,"",ROUND(SUM($AC87)/$AG87,0)),IF(SUM($AB87)=0,"",ROUND(MAX($X87,0)*SUM($AB87),0)))</f>
        <v>935</v>
      </c>
      <c r="AE87" s="115" t="n">
        <f aca="false">IF(AND(SUM($AD87)=0,SUM($U87)=0),"",ROUND(IF($C87="&lt;01",0,SUM($U87))+SUM($AD87),0))</f>
        <v>935</v>
      </c>
      <c r="AF87" s="122" t="str">
        <f aca="false">IF($C87="&lt;01","",100%)</f>
        <v/>
      </c>
      <c r="AG87" s="123" t="n">
        <f aca="false">0.98</f>
        <v>0.98</v>
      </c>
      <c r="AH87" s="123" t="n">
        <f aca="false">0.98</f>
        <v>0.98</v>
      </c>
      <c r="AI87" s="124" t="str">
        <f aca="false">IF(OR($C87="&lt;01",SUM($U87)=0),"",ROUND(SUM($U87)*(1-$AH87),0))</f>
        <v/>
      </c>
      <c r="AJ87" s="124" t="n">
        <f aca="false">IF(AND(SUM($AE87)=0,SUM($U87)=0),"",IF($C87="&lt;01",SUM($AD87),SUM($AE87) - ROUND(SUM($U87)*$AH87,0)))</f>
        <v>935</v>
      </c>
      <c r="AK87" s="124" t="n">
        <v>42</v>
      </c>
      <c r="AL87" s="124" t="n">
        <v>34</v>
      </c>
      <c r="AM87" s="115" t="n">
        <f aca="false">IF(AND(SUM($AD87)=0,SUM($U87)=0),"",IF($C87="&lt;01",SUM($AD87),ROUND(ROUND(SUM($AJ87)*$AF87,0)/$AG87,0)))</f>
        <v>935</v>
      </c>
      <c r="AN87" s="122" t="n">
        <f aca="false">0.7</f>
        <v>0.7</v>
      </c>
      <c r="AO87" s="123" t="n">
        <f aca="false">1</f>
        <v>1</v>
      </c>
      <c r="AP87" s="115" t="n">
        <f aca="false">IF(AND(SUM($U87)=0,SUM($AM87)=0),"",ROUND((SUM($AM87)*$AN87+IF($C87="&lt;01",0,$U87))*$AO87,0))</f>
        <v>655</v>
      </c>
      <c r="AQ87" s="122" t="n">
        <v>40</v>
      </c>
      <c r="AR87" s="123" t="n">
        <f aca="false">0.95</f>
        <v>0.95</v>
      </c>
      <c r="AS87" s="123" t="n">
        <f aca="false">0.95</f>
        <v>0.95</v>
      </c>
      <c r="AT87" s="115" t="n">
        <f aca="false">IF(SUM($AP87)=0,"",ROUND(SUM($AP87)*$AR87,0))</f>
        <v>622</v>
      </c>
      <c r="AU87" s="115" t="n">
        <f aca="false">IF(LEFT($B87,4)="_Mil","",ROUND(SUM($AA87)*SUM($AS87),0))</f>
        <v>18</v>
      </c>
      <c r="AV87" s="124" t="n">
        <f aca="false">IF(SUM($AU87)&lt;=0,"",MAX(SUM($AU87)-SUM($R87),0))</f>
        <v>18</v>
      </c>
      <c r="AW87" s="122" t="n">
        <f aca="false">0</f>
        <v>0</v>
      </c>
      <c r="AX87" s="124" t="n">
        <f aca="false">IF(SUM($AM87)=0,"",ROUND(SUM($AM87)*SUM($AW87),0))</f>
        <v>0</v>
      </c>
      <c r="AY87" s="124" t="n">
        <f aca="false">IF(SUM($AM87)=0,"",SUM($AM87)-SUM($AX87))</f>
        <v>935</v>
      </c>
      <c r="AZ87" s="123" t="n">
        <v>8</v>
      </c>
      <c r="BA87" s="123" t="n">
        <f aca="false">0.95</f>
        <v>0.95</v>
      </c>
      <c r="BB87" s="123"/>
      <c r="BC87" s="123" t="str">
        <f aca="false">IF(OR(SUM($AM87)&lt;=0,$C87="&lt;01"),"",MAX(IF(OR(SUM($Y87)&lt;70%,LEFT($B87,4)="_Mil"),30%,IF(SUM($Y87)&gt;=80%,75%,50%)),SUM($BB87)))</f>
        <v/>
      </c>
      <c r="BD87" s="115" t="n">
        <f aca="false">IF($C87="&lt;01",IFERROR(ROUND(INDEX(EID!$M:$M,MATCH($B87,EID!$B:$B,0)),0)/2,""),IF(SUM($AY87)=0,"",ROUND(SUM($AY87)/SUM($BA87),0)))</f>
        <v>964</v>
      </c>
      <c r="BE87" s="115" t="str">
        <f aca="false">IF($C87="&lt;01","",IF(SUM($BD87)=0,"",ROUND(SUM($BD87)*SUM($BC87),0)))</f>
        <v/>
      </c>
      <c r="BF87" s="115" t="str">
        <f aca="false">_xlfn.IFNA(INDEX(PMTCT!$AE:$AE,MATCH($E87,PMTCT!$E:$E,0)),"")</f>
        <v/>
      </c>
      <c r="BG87" s="115" t="str">
        <f aca="false">_xlfn.IFNA(INDEX(PMTCT!$AU:$AU,MATCH($E87,PMTCT!$E:$E,0)),"")</f>
        <v/>
      </c>
      <c r="BH87" s="115" t="str">
        <f aca="false">_xlfn.IFNA(INDEX(TB!$Q:$Q,MATCH($E87,TB!$E:$E,0)),"")</f>
        <v/>
      </c>
      <c r="BI87" s="115" t="str">
        <f aca="false">_xlfn.IFNA(INDEX(VMMC!$AC:$AC,MATCH($E87,VMMC!$E:$E,0)),"")</f>
        <v/>
      </c>
      <c r="BJ87" s="115" t="n">
        <f aca="false">IF($C87="&lt;01",$BD87,"")</f>
        <v>964</v>
      </c>
      <c r="BK87" s="115" t="n">
        <f aca="false">IF(SUM($BD87)=0,"",($BD87)-SUM($BE87:$BJ87))</f>
        <v>0</v>
      </c>
      <c r="BL87" s="123" t="str">
        <f aca="false">IF(OR(SUM($BD87)=0,SUM($BE87)=0),"",SUM($BE87)/$BD87)</f>
        <v/>
      </c>
      <c r="BM87" s="123" t="str">
        <f aca="false">IF(OR(SUM($BD87)=0,SUM($BF87)=0),"",SUM($BF87)/$BD87)</f>
        <v/>
      </c>
      <c r="BN87" s="123" t="str">
        <f aca="false">IF(OR(SUM($BD87)=0,SUM($BG87)=0),"",SUM($BG87)/$BD87)</f>
        <v/>
      </c>
      <c r="BO87" s="123" t="str">
        <f aca="false">IF(OR(SUM($BD87)=0,SUM($BH87)=0),"",SUM($BH87)/$BD87)</f>
        <v/>
      </c>
      <c r="BP87" s="123" t="str">
        <f aca="false">IF(OR(SUM($BD87)=0,SUM($BI87)=0),"",SUM($BI87)/$BD87)</f>
        <v/>
      </c>
      <c r="BQ87" s="123" t="n">
        <f aca="false">IF(AND($C87="&lt;01",SUM($BJ87)&lt;&gt;0),$BJ87/SUM($BD87),"")</f>
        <v>1</v>
      </c>
      <c r="BR87" s="123" t="str">
        <f aca="false">IF(OR(SUM($BD87)=0,SUM($BK87)=0),"",SUM($BK87)/$BD87)</f>
        <v/>
      </c>
      <c r="BS87" s="122" t="n">
        <f aca="false">IF(SUM($X87)&lt;=0,"",$X87)</f>
        <v>1</v>
      </c>
      <c r="BT87" s="115" t="n">
        <f aca="false">IF(LEFT($B87,4)="_Mil","",MAX(SUM($L87)+ROUND(SUM($BD87)/IF(SUM($BS87)&lt;=0,1,SUM($BS87)),0),0))</f>
        <v>973</v>
      </c>
    </row>
    <row r="88" customFormat="false" ht="15" hidden="false" customHeight="false" outlineLevel="0" collapsed="false">
      <c r="A88" s="0" t="s">
        <v>144</v>
      </c>
      <c r="B88" s="0" t="s">
        <v>103</v>
      </c>
      <c r="C88" s="0" t="s">
        <v>89</v>
      </c>
      <c r="D88" s="0" t="s">
        <v>58</v>
      </c>
      <c r="E88" s="0" t="str">
        <f aca="false">B88&amp;"|"&amp;C88&amp;"|"&amp;D88</f>
        <v>Leribe [#SNU] [FjSmRywOWUp]|&lt;01|Male</v>
      </c>
      <c r="F88" s="115" t="n">
        <f aca="false">_xlfn.IFNA(ROUND(INDEX(Spectrum!$N:$N,MATCH(RIGHT($B88,13)&amp;"|"&amp;$C88&amp;"|"&amp;$D88&amp;"|"&amp;F$14&amp;"|"&amp;"CY2021Q3",Spectrum!$Q:$Q,0)),0),"")</f>
        <v>3007</v>
      </c>
      <c r="G88" s="123" t="n">
        <f aca="false">_xlfn.IFNA(INDEX(Spectrum!$P:$P,MATCH(RIGHT($B88,13)&amp;"|"&amp;$C88&amp;"|"&amp;$D88&amp;"|"&amp;F$14&amp;"|"&amp;"CY2021Q3",Spectrum!$Q:$Q,0)),"")</f>
        <v>15</v>
      </c>
      <c r="H88" s="115" t="n">
        <f aca="false">_xlfn.IFNA(ROUND(INDEX(Spectrum!$N:$N,MATCH(RIGHT($B88,13)&amp;"|"&amp;$C88&amp;"|"&amp;$D88&amp;"|"&amp;H$14&amp;"|"&amp;"CY2021Q3",Spectrum!$Q:$Q,0)),0),"")</f>
        <v>21</v>
      </c>
      <c r="I88" s="123" t="n">
        <f aca="false">_xlfn.IFNA(INDEX(Spectrum!$P:$P,MATCH(RIGHT($B88,13)&amp;"|"&amp;$C88&amp;"|"&amp;$D88&amp;"|"&amp;H$14&amp;"|"&amp;"CY2021Q3",Spectrum!$Q:$Q,0)),"")</f>
        <v>10</v>
      </c>
      <c r="J88" s="117" t="n">
        <f aca="false">_xlfn.IFNA(INDEX(Spectrum!$N:$N,MATCH(RIGHT($B88,13)&amp;"|"&amp;$C88&amp;"|"&amp;$D88&amp;"|"&amp;J$14&amp;"|"&amp;"CY2021Q3",Spectrum!$Q:$Q,0)),"")</f>
        <v>0.0069808</v>
      </c>
      <c r="K88" s="123" t="n">
        <f aca="false">_xlfn.IFNA(INDEX(Spectrum!$P:$P,MATCH(RIGHT($B88,13)&amp;"|"&amp;$C88&amp;"|"&amp;$D88&amp;"|"&amp;J$14&amp;"|"&amp;"CY2021Q3",Spectrum!$Q:$Q,0)),"")</f>
        <v>50</v>
      </c>
      <c r="L88" s="115" t="n">
        <f aca="false">_xlfn.IFNA(ROUND(INDEX(Spectrum!$N:$N,MATCH(RIGHT($B88,13)&amp;"|"&amp;$C88&amp;"|"&amp;$D88&amp;"|"&amp;L$14&amp;"|"&amp;"CY2021Q3",Spectrum!$Q:$Q,0)),0),"")</f>
        <v>10</v>
      </c>
      <c r="M88" s="123" t="n">
        <f aca="false">IF(OR(SUM($H88)&lt;=0,SUM($L88)&lt;=0),"",SUM($L88)/$H88)</f>
        <v>0.476190476190476</v>
      </c>
      <c r="N88" s="115" t="str">
        <f aca="false">_xlfn.IFNA(ROUND(INDEX(Spectrum!$N:$N,MATCH(RIGHT($B88,13)&amp;"|"&amp;$C88&amp;"|"&amp;$D88&amp;"|"&amp;N$14&amp;"|"&amp;"CY2020Q4",Spectrum!$Q:$Q,0)),0),"")</f>
        <v/>
      </c>
      <c r="O88" s="123" t="str">
        <f aca="false">_xlfn.IFNA(INDEX(Spectrum!$P:$P,MATCH(RIGHT($B88,13)&amp;"|"&amp;$C88&amp;"|"&amp;$D88&amp;"|"&amp;N$14&amp;"|"&amp;"CY2020Q4",Spectrum!$Q:$Q,0)),"")</f>
        <v/>
      </c>
      <c r="P88" s="115" t="n">
        <f aca="false">_xlfn.IFNA(ROUND(INDEX(Spectrum!$N:$N,MATCH(RIGHT($B88,13)&amp;"|"&amp;$C88&amp;"|"&amp;$D88&amp;"|"&amp;P$14&amp;"|"&amp;"CY2021Q3",Spectrum!$Q:$Q,0)),0),"")</f>
        <v>10</v>
      </c>
      <c r="Q88" s="123" t="n">
        <f aca="false">_xlfn.IFNA(INDEX(Spectrum!$P:$P,MATCH(RIGHT($B88,13)&amp;"|"&amp;$C88&amp;"|"&amp;$D88&amp;"|"&amp;P$14&amp;"|"&amp;"CY2021Q3",Spectrum!$Q:$Q,0)),"")</f>
        <v>14</v>
      </c>
      <c r="R88" s="115"/>
      <c r="S88" s="123" t="str">
        <f aca="false">IF(OR(SUM($P88)&lt;=0,SUM($R88)&lt;=0),"",SUM($R88)/$P88)</f>
        <v/>
      </c>
      <c r="T88" s="139"/>
      <c r="U88" s="124" t="n">
        <v>24</v>
      </c>
      <c r="V88" s="124" t="n">
        <f aca="false">IF($U88-$T88=0,"",$U88-$T88)</f>
        <v>24</v>
      </c>
      <c r="W88" s="123" t="n">
        <f aca="false">IF(LEFT($B88,4)="_Mil","",IFERROR(MIN(IF(SUM($N88)&lt;=0,SUM($U88)/SUM($P88),SUM($T88)/SUM($N88)),1),""))</f>
        <v>1</v>
      </c>
      <c r="X88" s="123" t="n">
        <f aca="false">$W88</f>
        <v>1</v>
      </c>
      <c r="Y88" s="123" t="n">
        <f aca="false">IFERROR(1/(1/INDEX(Spectrum!$N:$N,MATCH(RIGHT($B88,13)&amp;"|"&amp;$C88&amp;"|"&amp;$D88&amp;"|"&amp;Y$14&amp;"|"&amp;"CY2021Q3",Spectrum!$Q:$Q,0))),IF(SUM($H88)=0,"",MAX(SUM($P88),SUM($U88))/SUM($H88)))</f>
        <v>1.14285714285714</v>
      </c>
      <c r="Z88" s="123" t="n">
        <f aca="false">IF(SUM($Y88)=0,"",MAX(SUM($Y88),90%))</f>
        <v>1.14285714285714</v>
      </c>
      <c r="AA88" s="115" t="n">
        <f aca="false">IF(LEFT($B88,4)="_Mil","",ROUND(MAX(SUM($U88),SUM($P88))+IF(SUM($Z88)=0,0,MAX(SUM($Z88)-SUM($Y88),0)*SUM($H88)),0))</f>
        <v>24</v>
      </c>
      <c r="AB88" s="115" t="n">
        <f aca="false">IF(SUM($AA88)=0,"",ROUND(MAX(SUM($AA88)-MAX(SUM($P88),SUM($U88)),0),0))</f>
        <v>0</v>
      </c>
      <c r="AC88" s="126" t="n">
        <f aca="false">IF($C88="&lt;01",IFERROR(ROUND(INDEX(EID!$N:$N,MATCH($B88,EID!$B:$B,0))/2,0),""),"")</f>
        <v>916</v>
      </c>
      <c r="AD88" s="115" t="n">
        <f aca="false">IF($C88="&lt;01",IF(SUM($AC88)=0,"",ROUND(SUM($AC88)/$AG88,0)),IF(SUM($AB88)=0,"",ROUND(MAX($X88,0)*SUM($AB88),0)))</f>
        <v>935</v>
      </c>
      <c r="AE88" s="115" t="n">
        <f aca="false">IF(AND(SUM($AD88)=0,SUM($U88)=0),"",ROUND(IF($C88="&lt;01",0,SUM($U88))+SUM($AD88),0))</f>
        <v>935</v>
      </c>
      <c r="AF88" s="122" t="str">
        <f aca="false">IF($C88="&lt;01","",100%)</f>
        <v/>
      </c>
      <c r="AG88" s="123" t="n">
        <f aca="false">0.98</f>
        <v>0.98</v>
      </c>
      <c r="AH88" s="123" t="n">
        <f aca="false">0.98</f>
        <v>0.98</v>
      </c>
      <c r="AI88" s="124" t="str">
        <f aca="false">IF(OR($C88="&lt;01",SUM($U88)=0),"",ROUND(SUM($U88)*(1-$AH88),0))</f>
        <v/>
      </c>
      <c r="AJ88" s="124" t="n">
        <f aca="false">IF(AND(SUM($AE88)=0,SUM($U88)=0),"",IF($C88="&lt;01",SUM($AD88),SUM($AE88) - ROUND(SUM($U88)*$AH88,0)))</f>
        <v>935</v>
      </c>
      <c r="AK88" s="124" t="n">
        <v>21</v>
      </c>
      <c r="AL88" s="124" t="n">
        <v>0</v>
      </c>
      <c r="AM88" s="115" t="n">
        <f aca="false">IF(AND(SUM($AD88)=0,SUM($U88)=0),"",IF($C88="&lt;01",SUM($AD88),ROUND(ROUND(SUM($AJ88)*$AF88,0)/$AG88,0)))</f>
        <v>935</v>
      </c>
      <c r="AN88" s="122" t="n">
        <f aca="false">0.7</f>
        <v>0.7</v>
      </c>
      <c r="AO88" s="123" t="n">
        <f aca="false">1</f>
        <v>1</v>
      </c>
      <c r="AP88" s="115" t="n">
        <f aca="false">IF(AND(SUM($U88)=0,SUM($AM88)=0),"",ROUND((SUM($AM88)*$AN88+IF($C88="&lt;01",0,$U88))*$AO88,0))</f>
        <v>655</v>
      </c>
      <c r="AQ88" s="122"/>
      <c r="AR88" s="123" t="n">
        <f aca="false">0.95</f>
        <v>0.95</v>
      </c>
      <c r="AS88" s="123" t="n">
        <f aca="false">0.95</f>
        <v>0.95</v>
      </c>
      <c r="AT88" s="115" t="n">
        <f aca="false">IF(SUM($AP88)=0,"",ROUND(SUM($AP88)*$AR88,0))</f>
        <v>622</v>
      </c>
      <c r="AU88" s="115" t="n">
        <f aca="false">IF(LEFT($B88,4)="_Mil","",ROUND(SUM($AA88)*SUM($AS88),0))</f>
        <v>23</v>
      </c>
      <c r="AV88" s="124" t="n">
        <f aca="false">IF(SUM($AU88)&lt;=0,"",MAX(SUM($AU88)-SUM($R88),0))</f>
        <v>23</v>
      </c>
      <c r="AW88" s="122" t="n">
        <f aca="false">0</f>
        <v>0</v>
      </c>
      <c r="AX88" s="124" t="n">
        <f aca="false">IF(SUM($AM88)=0,"",ROUND(SUM($AM88)*SUM($AW88),0))</f>
        <v>0</v>
      </c>
      <c r="AY88" s="124" t="n">
        <f aca="false">IF(SUM($AM88)=0,"",SUM($AM88)-SUM($AX88))</f>
        <v>935</v>
      </c>
      <c r="AZ88" s="123" t="n">
        <v>34</v>
      </c>
      <c r="BA88" s="123" t="n">
        <f aca="false">0.95</f>
        <v>0.95</v>
      </c>
      <c r="BB88" s="123"/>
      <c r="BC88" s="123" t="str">
        <f aca="false">IF(OR(SUM($AM88)&lt;=0,$C88="&lt;01"),"",MAX(IF(OR(SUM($Y88)&lt;70%,LEFT($B88,4)="_Mil"),30%,IF(SUM($Y88)&gt;=80%,75%,50%)),SUM($BB88)))</f>
        <v/>
      </c>
      <c r="BD88" s="115" t="n">
        <f aca="false">IF($C88="&lt;01",IFERROR(ROUND(INDEX(EID!$M:$M,MATCH($B88,EID!$B:$B,0)),0)/2,""),IF(SUM($AY88)=0,"",ROUND(SUM($AY88)/SUM($BA88),0)))</f>
        <v>964</v>
      </c>
      <c r="BE88" s="115" t="str">
        <f aca="false">IF($C88="&lt;01","",IF(SUM($BD88)=0,"",ROUND(SUM($BD88)*SUM($BC88),0)))</f>
        <v/>
      </c>
      <c r="BF88" s="115" t="str">
        <f aca="false">_xlfn.IFNA(INDEX(PMTCT!$AE:$AE,MATCH($E88,PMTCT!$E:$E,0)),"")</f>
        <v/>
      </c>
      <c r="BG88" s="115" t="str">
        <f aca="false">_xlfn.IFNA(INDEX(PMTCT!$AU:$AU,MATCH($E88,PMTCT!$E:$E,0)),"")</f>
        <v/>
      </c>
      <c r="BH88" s="115" t="str">
        <f aca="false">_xlfn.IFNA(INDEX(TB!$Q:$Q,MATCH($E88,TB!$E:$E,0)),"")</f>
        <v/>
      </c>
      <c r="BI88" s="115" t="str">
        <f aca="false">_xlfn.IFNA(INDEX(VMMC!$AC:$AC,MATCH($E88,VMMC!$E:$E,0)),"")</f>
        <v/>
      </c>
      <c r="BJ88" s="115" t="n">
        <f aca="false">IF($C88="&lt;01",$BD88,"")</f>
        <v>964</v>
      </c>
      <c r="BK88" s="115" t="n">
        <f aca="false">IF(SUM($BD88)=0,"",($BD88)-SUM($BE88:$BJ88))</f>
        <v>0</v>
      </c>
      <c r="BL88" s="123" t="str">
        <f aca="false">IF(OR(SUM($BD88)=0,SUM($BE88)=0),"",SUM($BE88)/$BD88)</f>
        <v/>
      </c>
      <c r="BM88" s="123" t="str">
        <f aca="false">IF(OR(SUM($BD88)=0,SUM($BF88)=0),"",SUM($BF88)/$BD88)</f>
        <v/>
      </c>
      <c r="BN88" s="123" t="str">
        <f aca="false">IF(OR(SUM($BD88)=0,SUM($BG88)=0),"",SUM($BG88)/$BD88)</f>
        <v/>
      </c>
      <c r="BO88" s="123" t="str">
        <f aca="false">IF(OR(SUM($BD88)=0,SUM($BH88)=0),"",SUM($BH88)/$BD88)</f>
        <v/>
      </c>
      <c r="BP88" s="123" t="str">
        <f aca="false">IF(OR(SUM($BD88)=0,SUM($BI88)=0),"",SUM($BI88)/$BD88)</f>
        <v/>
      </c>
      <c r="BQ88" s="123" t="n">
        <f aca="false">IF(AND($C88="&lt;01",SUM($BJ88)&lt;&gt;0),$BJ88/SUM($BD88),"")</f>
        <v>1</v>
      </c>
      <c r="BR88" s="123" t="str">
        <f aca="false">IF(OR(SUM($BD88)=0,SUM($BK88)=0),"",SUM($BK88)/$BD88)</f>
        <v/>
      </c>
      <c r="BS88" s="122" t="n">
        <f aca="false">IF(SUM($X88)&lt;=0,"",$X88)</f>
        <v>1</v>
      </c>
      <c r="BT88" s="115" t="n">
        <f aca="false">IF(LEFT($B88,4)="_Mil","",MAX(SUM($L88)+ROUND(SUM($BD88)/IF(SUM($BS88)&lt;=0,1,SUM($BS88)),0),0))</f>
        <v>974</v>
      </c>
    </row>
    <row r="89" customFormat="false" ht="15" hidden="false" customHeight="false" outlineLevel="0" collapsed="false">
      <c r="A89" s="0" t="s">
        <v>144</v>
      </c>
      <c r="B89" s="0" t="s">
        <v>103</v>
      </c>
      <c r="C89" s="0" t="s">
        <v>54</v>
      </c>
      <c r="D89" s="0" t="s">
        <v>56</v>
      </c>
      <c r="E89" s="0" t="str">
        <f aca="false">B89&amp;"|"&amp;C89&amp;"|"&amp;D89</f>
        <v>Leribe [#SNU] [FjSmRywOWUp]|01-04|Female</v>
      </c>
      <c r="F89" s="115" t="n">
        <f aca="false">_xlfn.IFNA(ROUND(INDEX(Spectrum!$N:$N,MATCH(RIGHT($B89,13)&amp;"|"&amp;$C89&amp;"|"&amp;$D89&amp;"|"&amp;F$14&amp;"|"&amp;"CY2021Q3",Spectrum!$Q:$Q,0)),0),"")</f>
        <v>13760</v>
      </c>
      <c r="G89" s="123" t="n">
        <f aca="false">_xlfn.IFNA(INDEX(Spectrum!$P:$P,MATCH(RIGHT($B89,13)&amp;"|"&amp;$C89&amp;"|"&amp;$D89&amp;"|"&amp;F$14&amp;"|"&amp;"CY2021Q3",Spectrum!$Q:$Q,0)),"")</f>
        <v>19</v>
      </c>
      <c r="H89" s="115" t="n">
        <f aca="false">_xlfn.IFNA(ROUND(INDEX(Spectrum!$N:$N,MATCH(RIGHT($B89,13)&amp;"|"&amp;$C89&amp;"|"&amp;$D89&amp;"|"&amp;H$14&amp;"|"&amp;"CY2021Q3",Spectrum!$Q:$Q,0)),0),"")</f>
        <v>102</v>
      </c>
      <c r="I89" s="123" t="n">
        <f aca="false">_xlfn.IFNA(INDEX(Spectrum!$P:$P,MATCH(RIGHT($B89,13)&amp;"|"&amp;$C89&amp;"|"&amp;$D89&amp;"|"&amp;H$14&amp;"|"&amp;"CY2021Q3",Spectrum!$Q:$Q,0)),"")</f>
        <v>35</v>
      </c>
      <c r="J89" s="117" t="n">
        <f aca="false">_xlfn.IFNA(INDEX(Spectrum!$N:$N,MATCH(RIGHT($B89,13)&amp;"|"&amp;$C89&amp;"|"&amp;$D89&amp;"|"&amp;J$14&amp;"|"&amp;"CY2021Q3",Spectrum!$Q:$Q,0)),"")</f>
        <v>0.0073778</v>
      </c>
      <c r="K89" s="123" t="n">
        <f aca="false">_xlfn.IFNA(INDEX(Spectrum!$P:$P,MATCH(RIGHT($B89,13)&amp;"|"&amp;$C89&amp;"|"&amp;$D89&amp;"|"&amp;J$14&amp;"|"&amp;"CY2021Q3",Spectrum!$Q:$Q,0)),"")</f>
        <v>23</v>
      </c>
      <c r="L89" s="115" t="n">
        <f aca="false">_xlfn.IFNA(ROUND(INDEX(Spectrum!$N:$N,MATCH(RIGHT($B89,13)&amp;"|"&amp;$C89&amp;"|"&amp;$D89&amp;"|"&amp;L$14&amp;"|"&amp;"CY2021Q3",Spectrum!$Q:$Q,0)),0),"")</f>
        <v>46</v>
      </c>
      <c r="M89" s="123" t="n">
        <f aca="false">IF(OR(SUM($H89)&lt;=0,SUM($L89)&lt;=0),"",SUM($L89)/$H89)</f>
        <v>0.450980392156863</v>
      </c>
      <c r="N89" s="115" t="str">
        <f aca="false">_xlfn.IFNA(ROUND(INDEX(Spectrum!$N:$N,MATCH(RIGHT($B89,13)&amp;"|"&amp;$C89&amp;"|"&amp;$D89&amp;"|"&amp;N$14&amp;"|"&amp;"CY2020Q4",Spectrum!$Q:$Q,0)),0),"")</f>
        <v/>
      </c>
      <c r="O89" s="123" t="str">
        <f aca="false">_xlfn.IFNA(INDEX(Spectrum!$P:$P,MATCH(RIGHT($B89,13)&amp;"|"&amp;$C89&amp;"|"&amp;$D89&amp;"|"&amp;N$14&amp;"|"&amp;"CY2020Q4",Spectrum!$Q:$Q,0)),"")</f>
        <v/>
      </c>
      <c r="P89" s="115" t="n">
        <f aca="false">_xlfn.IFNA(ROUND(INDEX(Spectrum!$N:$N,MATCH(RIGHT($B89,13)&amp;"|"&amp;$C89&amp;"|"&amp;$D89&amp;"|"&amp;P$14&amp;"|"&amp;"CY2021Q3",Spectrum!$Q:$Q,0)),0),"")</f>
        <v>54</v>
      </c>
      <c r="Q89" s="123" t="n">
        <f aca="false">_xlfn.IFNA(INDEX(Spectrum!$P:$P,MATCH(RIGHT($B89,13)&amp;"|"&amp;$C89&amp;"|"&amp;$D89&amp;"|"&amp;P$14&amp;"|"&amp;"CY2021Q3",Spectrum!$Q:$Q,0)),"")</f>
        <v>26</v>
      </c>
      <c r="R89" s="115"/>
      <c r="S89" s="123" t="str">
        <f aca="false">IF(OR(SUM($P89)&lt;=0,SUM($R89)&lt;=0),"",SUM($R89)/$P89)</f>
        <v/>
      </c>
      <c r="T89" s="139" t="n">
        <v>15</v>
      </c>
      <c r="U89" s="124" t="n">
        <v>18</v>
      </c>
      <c r="V89" s="124" t="n">
        <f aca="false">IF($U89-$T89=0,"",$U89-$T89)</f>
        <v>3</v>
      </c>
      <c r="W89" s="123" t="n">
        <f aca="false">IF(LEFT($B89,4)="_Mil","",IFERROR(MIN(IF(SUM($N89)&lt;=0,SUM($U89)/SUM($P89),SUM($T89)/SUM($N89)),1),""))</f>
        <v>0.333333333333333</v>
      </c>
      <c r="X89" s="123" t="n">
        <f aca="false">$W89</f>
        <v>0.333333333333333</v>
      </c>
      <c r="Y89" s="123" t="n">
        <f aca="false">IFERROR(1/(1/INDEX(Spectrum!$N:$N,MATCH(RIGHT($B89,13)&amp;"|"&amp;$C89&amp;"|"&amp;$D89&amp;"|"&amp;Y$14&amp;"|"&amp;"CY2021Q3",Spectrum!$Q:$Q,0))),IF(SUM($H89)=0,"",MAX(SUM($P89),SUM($U89))/SUM($H89)))</f>
        <v>0.529411764705882</v>
      </c>
      <c r="Z89" s="123" t="n">
        <f aca="false">IF(SUM($Y89)=0,"",MAX(SUM($Y89),90%))</f>
        <v>0.9</v>
      </c>
      <c r="AA89" s="115" t="n">
        <f aca="false">IF(LEFT($B89,4)="_Mil","",ROUND(MAX(SUM($U89),SUM($P89))+IF(SUM($Z89)=0,0,MAX(SUM($Z89)-SUM($Y89),0)*SUM($H89)),0))</f>
        <v>92</v>
      </c>
      <c r="AB89" s="115" t="n">
        <f aca="false">IF(SUM($AA89)=0,"",ROUND(MAX(SUM($AA89)-MAX(SUM($P89),SUM($U89)),0),0))</f>
        <v>38</v>
      </c>
      <c r="AC89" s="126" t="str">
        <f aca="false">IF($C89="&lt;01",IFERROR(ROUND(INDEX(EID!$N:$N,MATCH($B89,EID!$B:$B,0))/2,0),""),"")</f>
        <v/>
      </c>
      <c r="AD89" s="115" t="n">
        <f aca="false">IF($C89="&lt;01",IF(SUM($AC89)=0,"",ROUND(SUM($AC89)/$AG89,0)),IF(SUM($AB89)=0,"",ROUND(MAX($X89,0)*SUM($AB89),0)))</f>
        <v>13</v>
      </c>
      <c r="AE89" s="115" t="n">
        <f aca="false">IF(AND(SUM($AD89)=0,SUM($U89)=0),"",ROUND(IF($C89="&lt;01",0,SUM($U89))+SUM($AD89),0))</f>
        <v>31</v>
      </c>
      <c r="AF89" s="122" t="n">
        <f aca="false">IF($C89="&lt;01","",100%)</f>
        <v>1</v>
      </c>
      <c r="AG89" s="123" t="n">
        <f aca="false">0.98</f>
        <v>0.98</v>
      </c>
      <c r="AH89" s="123" t="n">
        <f aca="false">0.98</f>
        <v>0.98</v>
      </c>
      <c r="AI89" s="124" t="n">
        <f aca="false">IF(OR($C89="&lt;01",SUM($U89)=0),"",ROUND(SUM($U89)*(1-$AH89),0))</f>
        <v>0</v>
      </c>
      <c r="AJ89" s="124" t="n">
        <f aca="false">IF(AND(SUM($AE89)=0,SUM($U89)=0),"",IF($C89="&lt;01",SUM($AD89),SUM($AE89) - ROUND(SUM($U89)*$AH89,0)))</f>
        <v>13</v>
      </c>
      <c r="AK89" s="124" t="n">
        <v>13</v>
      </c>
      <c r="AL89" s="124" t="n">
        <v>9</v>
      </c>
      <c r="AM89" s="115" t="n">
        <f aca="false">IF(AND(SUM($AD89)=0,SUM($U89)=0),"",IF($C89="&lt;01",SUM($AD89),ROUND(ROUND(SUM($AJ89)*$AF89,0)/$AG89,0)))</f>
        <v>13</v>
      </c>
      <c r="AN89" s="122" t="n">
        <f aca="false">0.7</f>
        <v>0.7</v>
      </c>
      <c r="AO89" s="123" t="n">
        <f aca="false">1</f>
        <v>1</v>
      </c>
      <c r="AP89" s="115" t="n">
        <f aca="false">IF(AND(SUM($U89)=0,SUM($AM89)=0),"",ROUND((SUM($AM89)*$AN89+IF($C89="&lt;01",0,$U89))*$AO89,0))</f>
        <v>27</v>
      </c>
      <c r="AQ89" s="122" t="n">
        <v>14</v>
      </c>
      <c r="AR89" s="123" t="n">
        <f aca="false">0.95</f>
        <v>0.95</v>
      </c>
      <c r="AS89" s="123" t="n">
        <f aca="false">0.95</f>
        <v>0.95</v>
      </c>
      <c r="AT89" s="115" t="n">
        <f aca="false">IF(SUM($AP89)=0,"",ROUND(SUM($AP89)*$AR89,0))</f>
        <v>26</v>
      </c>
      <c r="AU89" s="115" t="n">
        <f aca="false">IF(LEFT($B89,4)="_Mil","",ROUND(SUM($AA89)*SUM($AS89),0))</f>
        <v>87</v>
      </c>
      <c r="AV89" s="124" t="n">
        <f aca="false">IF(SUM($AU89)&lt;=0,"",MAX(SUM($AU89)-SUM($R89),0))</f>
        <v>87</v>
      </c>
      <c r="AW89" s="122" t="n">
        <f aca="false">0</f>
        <v>0</v>
      </c>
      <c r="AX89" s="124" t="n">
        <f aca="false">IF(SUM($AM89)=0,"",ROUND(SUM($AM89)*SUM($AW89),0))</f>
        <v>0</v>
      </c>
      <c r="AY89" s="124" t="n">
        <f aca="false">IF(SUM($AM89)=0,"",SUM($AM89)-SUM($AX89))</f>
        <v>13</v>
      </c>
      <c r="AZ89" s="123" t="n">
        <v>49</v>
      </c>
      <c r="BA89" s="123" t="n">
        <f aca="false">0.95</f>
        <v>0.95</v>
      </c>
      <c r="BB89" s="123"/>
      <c r="BC89" s="123" t="n">
        <f aca="false">IF(OR(SUM($AM89)&lt;=0,$C89="&lt;01"),"",MAX(IF(OR(SUM($Y89)&lt;70%,LEFT($B89,4)="_Mil"),30%,IF(SUM($Y89)&gt;=80%,75%,50%)),SUM($BB89)))</f>
        <v>0.3</v>
      </c>
      <c r="BD89" s="115" t="n">
        <f aca="false">IF($C89="&lt;01",IFERROR(ROUND(INDEX(EID!$M:$M,MATCH($B89,EID!$B:$B,0)),0)/2,""),IF(SUM($AY89)=0,"",ROUND(SUM($AY89)/SUM($BA89),0)))</f>
        <v>14</v>
      </c>
      <c r="BE89" s="115" t="n">
        <f aca="false">IF($C89="&lt;01","",IF(SUM($BD89)=0,"",ROUND(SUM($BD89)*SUM($BC89),0)))</f>
        <v>4</v>
      </c>
      <c r="BF89" s="115" t="str">
        <f aca="false">_xlfn.IFNA(INDEX(PMTCT!$AE:$AE,MATCH($E89,PMTCT!$E:$E,0)),"")</f>
        <v/>
      </c>
      <c r="BG89" s="115" t="str">
        <f aca="false">_xlfn.IFNA(INDEX(PMTCT!$AU:$AU,MATCH($E89,PMTCT!$E:$E,0)),"")</f>
        <v/>
      </c>
      <c r="BH89" s="115" t="n">
        <f aca="false">_xlfn.IFNA(INDEX(TB!$Q:$Q,MATCH($E89,TB!$E:$E,0)),"")</f>
        <v>0</v>
      </c>
      <c r="BI89" s="115" t="str">
        <f aca="false">_xlfn.IFNA(INDEX(VMMC!$AC:$AC,MATCH($E89,VMMC!$E:$E,0)),"")</f>
        <v/>
      </c>
      <c r="BJ89" s="115" t="str">
        <f aca="false">IF($C89="&lt;01",$BD89,"")</f>
        <v/>
      </c>
      <c r="BK89" s="115" t="n">
        <f aca="false">IF(SUM($BD89)=0,"",($BD89)-SUM($BE89:$BJ89))</f>
        <v>10</v>
      </c>
      <c r="BL89" s="123" t="n">
        <f aca="false">IF(OR(SUM($BD89)=0,SUM($BE89)=0),"",SUM($BE89)/$BD89)</f>
        <v>0.285714285714286</v>
      </c>
      <c r="BM89" s="123" t="str">
        <f aca="false">IF(OR(SUM($BD89)=0,SUM($BF89)=0),"",SUM($BF89)/$BD89)</f>
        <v/>
      </c>
      <c r="BN89" s="123" t="str">
        <f aca="false">IF(OR(SUM($BD89)=0,SUM($BG89)=0),"",SUM($BG89)/$BD89)</f>
        <v/>
      </c>
      <c r="BO89" s="123" t="str">
        <f aca="false">IF(OR(SUM($BD89)=0,SUM($BH89)=0),"",SUM($BH89)/$BD89)</f>
        <v/>
      </c>
      <c r="BP89" s="123" t="str">
        <f aca="false">IF(OR(SUM($BD89)=0,SUM($BI89)=0),"",SUM($BI89)/$BD89)</f>
        <v/>
      </c>
      <c r="BQ89" s="123" t="str">
        <f aca="false">IF(AND($C89="&lt;01",SUM($BJ89)&lt;&gt;0),$BJ89/SUM($BD89),"")</f>
        <v/>
      </c>
      <c r="BR89" s="123" t="n">
        <f aca="false">IF(OR(SUM($BD89)=0,SUM($BK89)=0),"",SUM($BK89)/$BD89)</f>
        <v>0.714285714285714</v>
      </c>
      <c r="BS89" s="122" t="n">
        <f aca="false">IF(SUM($X89)&lt;=0,"",$X89)</f>
        <v>0.333333333333333</v>
      </c>
      <c r="BT89" s="115" t="n">
        <f aca="false">IF(LEFT($B89,4)="_Mil","",MAX(SUM($L89)+ROUND(SUM($BD89)/IF(SUM($BS89)&lt;=0,1,SUM($BS89)),0),0))</f>
        <v>88</v>
      </c>
    </row>
    <row r="90" customFormat="false" ht="15" hidden="false" customHeight="false" outlineLevel="0" collapsed="false">
      <c r="A90" s="0" t="s">
        <v>144</v>
      </c>
      <c r="B90" s="0" t="s">
        <v>103</v>
      </c>
      <c r="C90" s="0" t="s">
        <v>54</v>
      </c>
      <c r="D90" s="0" t="s">
        <v>58</v>
      </c>
      <c r="E90" s="0" t="str">
        <f aca="false">B90&amp;"|"&amp;C90&amp;"|"&amp;D90</f>
        <v>Leribe [#SNU] [FjSmRywOWUp]|01-04|Male</v>
      </c>
      <c r="F90" s="115" t="n">
        <f aca="false">_xlfn.IFNA(ROUND(INDEX(Spectrum!$N:$N,MATCH(RIGHT($B90,13)&amp;"|"&amp;$C90&amp;"|"&amp;$D90&amp;"|"&amp;F$14&amp;"|"&amp;"CY2021Q3",Spectrum!$Q:$Q,0)),0),"")</f>
        <v>13971</v>
      </c>
      <c r="G90" s="123" t="n">
        <f aca="false">_xlfn.IFNA(INDEX(Spectrum!$P:$P,MATCH(RIGHT($B90,13)&amp;"|"&amp;$C90&amp;"|"&amp;$D90&amp;"|"&amp;F$14&amp;"|"&amp;"CY2021Q3",Spectrum!$Q:$Q,0)),"")</f>
        <v>5</v>
      </c>
      <c r="H90" s="115" t="n">
        <f aca="false">_xlfn.IFNA(ROUND(INDEX(Spectrum!$N:$N,MATCH(RIGHT($B90,13)&amp;"|"&amp;$C90&amp;"|"&amp;$D90&amp;"|"&amp;H$14&amp;"|"&amp;"CY2021Q3",Spectrum!$Q:$Q,0)),0),"")</f>
        <v>103</v>
      </c>
      <c r="I90" s="123" t="n">
        <f aca="false">_xlfn.IFNA(INDEX(Spectrum!$P:$P,MATCH(RIGHT($B90,13)&amp;"|"&amp;$C90&amp;"|"&amp;$D90&amp;"|"&amp;H$14&amp;"|"&amp;"CY2021Q3",Spectrum!$Q:$Q,0)),"")</f>
        <v>35</v>
      </c>
      <c r="J90" s="117" t="n">
        <f aca="false">_xlfn.IFNA(INDEX(Spectrum!$N:$N,MATCH(RIGHT($B90,13)&amp;"|"&amp;$C90&amp;"|"&amp;$D90&amp;"|"&amp;J$14&amp;"|"&amp;"CY2021Q3",Spectrum!$Q:$Q,0)),"")</f>
        <v>0.0073823</v>
      </c>
      <c r="K90" s="123" t="n">
        <f aca="false">_xlfn.IFNA(INDEX(Spectrum!$P:$P,MATCH(RIGHT($B90,13)&amp;"|"&amp;$C90&amp;"|"&amp;$D90&amp;"|"&amp;J$14&amp;"|"&amp;"CY2021Q3",Spectrum!$Q:$Q,0)),"")</f>
        <v>27</v>
      </c>
      <c r="L90" s="115" t="n">
        <f aca="false">_xlfn.IFNA(ROUND(INDEX(Spectrum!$N:$N,MATCH(RIGHT($B90,13)&amp;"|"&amp;$C90&amp;"|"&amp;$D90&amp;"|"&amp;L$14&amp;"|"&amp;"CY2021Q3",Spectrum!$Q:$Q,0)),0),"")</f>
        <v>46</v>
      </c>
      <c r="M90" s="123" t="n">
        <f aca="false">IF(OR(SUM($H90)&lt;=0,SUM($L90)&lt;=0),"",SUM($L90)/$H90)</f>
        <v>0.446601941747573</v>
      </c>
      <c r="N90" s="115" t="str">
        <f aca="false">_xlfn.IFNA(ROUND(INDEX(Spectrum!$N:$N,MATCH(RIGHT($B90,13)&amp;"|"&amp;$C90&amp;"|"&amp;$D90&amp;"|"&amp;N$14&amp;"|"&amp;"CY2020Q4",Spectrum!$Q:$Q,0)),0),"")</f>
        <v/>
      </c>
      <c r="O90" s="123" t="str">
        <f aca="false">_xlfn.IFNA(INDEX(Spectrum!$P:$P,MATCH(RIGHT($B90,13)&amp;"|"&amp;$C90&amp;"|"&amp;$D90&amp;"|"&amp;N$14&amp;"|"&amp;"CY2020Q4",Spectrum!$Q:$Q,0)),"")</f>
        <v/>
      </c>
      <c r="P90" s="115" t="n">
        <f aca="false">_xlfn.IFNA(ROUND(INDEX(Spectrum!$N:$N,MATCH(RIGHT($B90,13)&amp;"|"&amp;$C90&amp;"|"&amp;$D90&amp;"|"&amp;P$14&amp;"|"&amp;"CY2021Q3",Spectrum!$Q:$Q,0)),0),"")</f>
        <v>55</v>
      </c>
      <c r="Q90" s="123" t="n">
        <f aca="false">_xlfn.IFNA(INDEX(Spectrum!$P:$P,MATCH(RIGHT($B90,13)&amp;"|"&amp;$C90&amp;"|"&amp;$D90&amp;"|"&amp;P$14&amp;"|"&amp;"CY2021Q3",Spectrum!$Q:$Q,0)),"")</f>
        <v>15</v>
      </c>
      <c r="R90" s="115"/>
      <c r="S90" s="123" t="str">
        <f aca="false">IF(OR(SUM($P90)&lt;=0,SUM($R90)&lt;=0),"",SUM($R90)/$P90)</f>
        <v/>
      </c>
      <c r="T90" s="139" t="n">
        <v>43</v>
      </c>
      <c r="U90" s="124" t="n">
        <v>12</v>
      </c>
      <c r="V90" s="124" t="n">
        <f aca="false">IF($U90-$T90=0,"",$U90-$T90)</f>
        <v>-31</v>
      </c>
      <c r="W90" s="123" t="n">
        <f aca="false">IF(LEFT($B90,4)="_Mil","",IFERROR(MIN(IF(SUM($N90)&lt;=0,SUM($U90)/SUM($P90),SUM($T90)/SUM($N90)),1),""))</f>
        <v>0.218181818181818</v>
      </c>
      <c r="X90" s="123" t="n">
        <f aca="false">$W90</f>
        <v>0.218181818181818</v>
      </c>
      <c r="Y90" s="123" t="n">
        <f aca="false">IFERROR(1/(1/INDEX(Spectrum!$N:$N,MATCH(RIGHT($B90,13)&amp;"|"&amp;$C90&amp;"|"&amp;$D90&amp;"|"&amp;Y$14&amp;"|"&amp;"CY2021Q3",Spectrum!$Q:$Q,0))),IF(SUM($H90)=0,"",MAX(SUM($P90),SUM($U90))/SUM($H90)))</f>
        <v>0.533980582524272</v>
      </c>
      <c r="Z90" s="123" t="n">
        <f aca="false">IF(SUM($Y90)=0,"",MAX(SUM($Y90),90%))</f>
        <v>0.9</v>
      </c>
      <c r="AA90" s="115" t="n">
        <f aca="false">IF(LEFT($B90,4)="_Mil","",ROUND(MAX(SUM($U90),SUM($P90))+IF(SUM($Z90)=0,0,MAX(SUM($Z90)-SUM($Y90),0)*SUM($H90)),0))</f>
        <v>93</v>
      </c>
      <c r="AB90" s="115" t="n">
        <f aca="false">IF(SUM($AA90)=0,"",ROUND(MAX(SUM($AA90)-MAX(SUM($P90),SUM($U90)),0),0))</f>
        <v>38</v>
      </c>
      <c r="AC90" s="126" t="str">
        <f aca="false">IF($C90="&lt;01",IFERROR(ROUND(INDEX(EID!$N:$N,MATCH($B90,EID!$B:$B,0))/2,0),""),"")</f>
        <v/>
      </c>
      <c r="AD90" s="115" t="n">
        <f aca="false">IF($C90="&lt;01",IF(SUM($AC90)=0,"",ROUND(SUM($AC90)/$AG90,0)),IF(SUM($AB90)=0,"",ROUND(MAX($X90,0)*SUM($AB90),0)))</f>
        <v>8</v>
      </c>
      <c r="AE90" s="115" t="n">
        <f aca="false">IF(AND(SUM($AD90)=0,SUM($U90)=0),"",ROUND(IF($C90="&lt;01",0,SUM($U90))+SUM($AD90),0))</f>
        <v>20</v>
      </c>
      <c r="AF90" s="122" t="n">
        <f aca="false">IF($C90="&lt;01","",100%)</f>
        <v>1</v>
      </c>
      <c r="AG90" s="123" t="n">
        <f aca="false">0.98</f>
        <v>0.98</v>
      </c>
      <c r="AH90" s="123" t="n">
        <f aca="false">0.98</f>
        <v>0.98</v>
      </c>
      <c r="AI90" s="124" t="n">
        <f aca="false">IF(OR($C90="&lt;01",SUM($U90)=0),"",ROUND(SUM($U90)*(1-$AH90),0))</f>
        <v>0</v>
      </c>
      <c r="AJ90" s="124" t="n">
        <f aca="false">IF(AND(SUM($AE90)=0,SUM($U90)=0),"",IF($C90="&lt;01",SUM($AD90),SUM($AE90) - ROUND(SUM($U90)*$AH90,0)))</f>
        <v>8</v>
      </c>
      <c r="AK90" s="124" t="n">
        <v>7</v>
      </c>
      <c r="AL90" s="124" t="n">
        <v>30</v>
      </c>
      <c r="AM90" s="115" t="n">
        <f aca="false">IF(AND(SUM($AD90)=0,SUM($U90)=0),"",IF($C90="&lt;01",SUM($AD90),ROUND(ROUND(SUM($AJ90)*$AF90,0)/$AG90,0)))</f>
        <v>8</v>
      </c>
      <c r="AN90" s="122" t="n">
        <f aca="false">0.7</f>
        <v>0.7</v>
      </c>
      <c r="AO90" s="123" t="n">
        <f aca="false">1</f>
        <v>1</v>
      </c>
      <c r="AP90" s="115" t="n">
        <f aca="false">IF(AND(SUM($U90)=0,SUM($AM90)=0),"",ROUND((SUM($AM90)*$AN90+IF($C90="&lt;01",0,$U90))*$AO90,0))</f>
        <v>18</v>
      </c>
      <c r="AQ90" s="122" t="n">
        <v>32</v>
      </c>
      <c r="AR90" s="123" t="n">
        <f aca="false">0.95</f>
        <v>0.95</v>
      </c>
      <c r="AS90" s="123" t="n">
        <f aca="false">0.95</f>
        <v>0.95</v>
      </c>
      <c r="AT90" s="115" t="n">
        <f aca="false">IF(SUM($AP90)=0,"",ROUND(SUM($AP90)*$AR90,0))</f>
        <v>17</v>
      </c>
      <c r="AU90" s="115" t="n">
        <f aca="false">IF(LEFT($B90,4)="_Mil","",ROUND(SUM($AA90)*SUM($AS90),0))</f>
        <v>88</v>
      </c>
      <c r="AV90" s="124" t="n">
        <f aca="false">IF(SUM($AU90)&lt;=0,"",MAX(SUM($AU90)-SUM($R90),0))</f>
        <v>88</v>
      </c>
      <c r="AW90" s="122" t="n">
        <f aca="false">0</f>
        <v>0</v>
      </c>
      <c r="AX90" s="124" t="n">
        <f aca="false">IF(SUM($AM90)=0,"",ROUND(SUM($AM90)*SUM($AW90),0))</f>
        <v>0</v>
      </c>
      <c r="AY90" s="124" t="n">
        <f aca="false">IF(SUM($AM90)=0,"",SUM($AM90)-SUM($AX90))</f>
        <v>8</v>
      </c>
      <c r="AZ90" s="123" t="n">
        <v>40</v>
      </c>
      <c r="BA90" s="123" t="n">
        <f aca="false">0.95</f>
        <v>0.95</v>
      </c>
      <c r="BB90" s="123"/>
      <c r="BC90" s="123" t="n">
        <f aca="false">IF(OR(SUM($AM90)&lt;=0,$C90="&lt;01"),"",MAX(IF(OR(SUM($Y90)&lt;70%,LEFT($B90,4)="_Mil"),30%,IF(SUM($Y90)&gt;=80%,75%,50%)),SUM($BB90)))</f>
        <v>0.3</v>
      </c>
      <c r="BD90" s="115" t="n">
        <f aca="false">IF($C90="&lt;01",IFERROR(ROUND(INDEX(EID!$M:$M,MATCH($B90,EID!$B:$B,0)),0)/2,""),IF(SUM($AY90)=0,"",ROUND(SUM($AY90)/SUM($BA90),0)))</f>
        <v>8</v>
      </c>
      <c r="BE90" s="115" t="n">
        <f aca="false">IF($C90="&lt;01","",IF(SUM($BD90)=0,"",ROUND(SUM($BD90)*SUM($BC90),0)))</f>
        <v>2</v>
      </c>
      <c r="BF90" s="115" t="str">
        <f aca="false">_xlfn.IFNA(INDEX(PMTCT!$AE:$AE,MATCH($E90,PMTCT!$E:$E,0)),"")</f>
        <v/>
      </c>
      <c r="BG90" s="115" t="str">
        <f aca="false">_xlfn.IFNA(INDEX(PMTCT!$AU:$AU,MATCH($E90,PMTCT!$E:$E,0)),"")</f>
        <v/>
      </c>
      <c r="BH90" s="115" t="n">
        <f aca="false">_xlfn.IFNA(INDEX(TB!$Q:$Q,MATCH($E90,TB!$E:$E,0)),"")</f>
        <v>-0</v>
      </c>
      <c r="BI90" s="115" t="str">
        <f aca="false">_xlfn.IFNA(INDEX(VMMC!$AC:$AC,MATCH($E90,VMMC!$E:$E,0)),"")</f>
        <v/>
      </c>
      <c r="BJ90" s="115" t="str">
        <f aca="false">IF($C90="&lt;01",$BD90,"")</f>
        <v/>
      </c>
      <c r="BK90" s="115" t="n">
        <f aca="false">IF(SUM($BD90)=0,"",($BD90)-SUM($BE90:$BJ90))</f>
        <v>6</v>
      </c>
      <c r="BL90" s="123" t="n">
        <f aca="false">IF(OR(SUM($BD90)=0,SUM($BE90)=0),"",SUM($BE90)/$BD90)</f>
        <v>0.25</v>
      </c>
      <c r="BM90" s="123" t="str">
        <f aca="false">IF(OR(SUM($BD90)=0,SUM($BF90)=0),"",SUM($BF90)/$BD90)</f>
        <v/>
      </c>
      <c r="BN90" s="123" t="str">
        <f aca="false">IF(OR(SUM($BD90)=0,SUM($BG90)=0),"",SUM($BG90)/$BD90)</f>
        <v/>
      </c>
      <c r="BO90" s="123" t="str">
        <f aca="false">IF(OR(SUM($BD90)=0,SUM($BH90)=0),"",SUM($BH90)/$BD90)</f>
        <v/>
      </c>
      <c r="BP90" s="123" t="str">
        <f aca="false">IF(OR(SUM($BD90)=0,SUM($BI90)=0),"",SUM($BI90)/$BD90)</f>
        <v/>
      </c>
      <c r="BQ90" s="123" t="str">
        <f aca="false">IF(AND($C90="&lt;01",SUM($BJ90)&lt;&gt;0),$BJ90/SUM($BD90),"")</f>
        <v/>
      </c>
      <c r="BR90" s="123" t="n">
        <f aca="false">IF(OR(SUM($BD90)=0,SUM($BK90)=0),"",SUM($BK90)/$BD90)</f>
        <v>0.75</v>
      </c>
      <c r="BS90" s="122" t="n">
        <f aca="false">IF(SUM($X90)&lt;=0,"",$X90)</f>
        <v>0.218181818181818</v>
      </c>
      <c r="BT90" s="115" t="n">
        <f aca="false">IF(LEFT($B90,4)="_Mil","",MAX(SUM($L90)+ROUND(SUM($BD90)/IF(SUM($BS90)&lt;=0,1,SUM($BS90)),0),0))</f>
        <v>83</v>
      </c>
    </row>
    <row r="91" customFormat="false" ht="15" hidden="false" customHeight="false" outlineLevel="0" collapsed="false">
      <c r="A91" s="0" t="s">
        <v>144</v>
      </c>
      <c r="B91" s="0" t="s">
        <v>103</v>
      </c>
      <c r="C91" s="0" t="s">
        <v>83</v>
      </c>
      <c r="D91" s="0" t="s">
        <v>56</v>
      </c>
      <c r="E91" s="0" t="str">
        <f aca="false">B91&amp;"|"&amp;C91&amp;"|"&amp;D91</f>
        <v>Leribe [#SNU] [FjSmRywOWUp]|05-09|Female</v>
      </c>
      <c r="F91" s="115" t="n">
        <f aca="false">_xlfn.IFNA(ROUND(INDEX(Spectrum!$N:$N,MATCH(RIGHT($B91,13)&amp;"|"&amp;$C91&amp;"|"&amp;$D91&amp;"|"&amp;F$14&amp;"|"&amp;"CY2021Q3",Spectrum!$Q:$Q,0)),0),"")</f>
        <v>19479</v>
      </c>
      <c r="G91" s="123" t="n">
        <f aca="false">_xlfn.IFNA(INDEX(Spectrum!$P:$P,MATCH(RIGHT($B91,13)&amp;"|"&amp;$C91&amp;"|"&amp;$D91&amp;"|"&amp;F$14&amp;"|"&amp;"CY2021Q3",Spectrum!$Q:$Q,0)),"")</f>
        <v>46</v>
      </c>
      <c r="H91" s="115" t="n">
        <f aca="false">_xlfn.IFNA(ROUND(INDEX(Spectrum!$N:$N,MATCH(RIGHT($B91,13)&amp;"|"&amp;$C91&amp;"|"&amp;$D91&amp;"|"&amp;H$14&amp;"|"&amp;"CY2021Q3",Spectrum!$Q:$Q,0)),0),"")</f>
        <v>260</v>
      </c>
      <c r="I91" s="123" t="n">
        <f aca="false">_xlfn.IFNA(INDEX(Spectrum!$P:$P,MATCH(RIGHT($B91,13)&amp;"|"&amp;$C91&amp;"|"&amp;$D91&amp;"|"&amp;H$14&amp;"|"&amp;"CY2021Q3",Spectrum!$Q:$Q,0)),"")</f>
        <v>25</v>
      </c>
      <c r="J91" s="117" t="n">
        <f aca="false">_xlfn.IFNA(INDEX(Spectrum!$N:$N,MATCH(RIGHT($B91,13)&amp;"|"&amp;$C91&amp;"|"&amp;$D91&amp;"|"&amp;J$14&amp;"|"&amp;"CY2021Q3",Spectrum!$Q:$Q,0)),"")</f>
        <v>0.0133563</v>
      </c>
      <c r="K91" s="123" t="n">
        <f aca="false">_xlfn.IFNA(INDEX(Spectrum!$P:$P,MATCH(RIGHT($B91,13)&amp;"|"&amp;$C91&amp;"|"&amp;$D91&amp;"|"&amp;J$14&amp;"|"&amp;"CY2021Q3",Spectrum!$Q:$Q,0)),"")</f>
        <v>38</v>
      </c>
      <c r="L91" s="115" t="n">
        <f aca="false">_xlfn.IFNA(ROUND(INDEX(Spectrum!$N:$N,MATCH(RIGHT($B91,13)&amp;"|"&amp;$C91&amp;"|"&amp;$D91&amp;"|"&amp;L$14&amp;"|"&amp;"CY2021Q3",Spectrum!$Q:$Q,0)),0),"")</f>
        <v>156</v>
      </c>
      <c r="M91" s="123" t="n">
        <f aca="false">IF(OR(SUM($H91)&lt;=0,SUM($L91)&lt;=0),"",SUM($L91)/$H91)</f>
        <v>0.6</v>
      </c>
      <c r="N91" s="115" t="str">
        <f aca="false">_xlfn.IFNA(ROUND(INDEX(Spectrum!$N:$N,MATCH(RIGHT($B91,13)&amp;"|"&amp;$C91&amp;"|"&amp;$D91&amp;"|"&amp;N$14&amp;"|"&amp;"CY2020Q4",Spectrum!$Q:$Q,0)),0),"")</f>
        <v/>
      </c>
      <c r="O91" s="123" t="str">
        <f aca="false">_xlfn.IFNA(INDEX(Spectrum!$P:$P,MATCH(RIGHT($B91,13)&amp;"|"&amp;$C91&amp;"|"&amp;$D91&amp;"|"&amp;N$14&amp;"|"&amp;"CY2020Q4",Spectrum!$Q:$Q,0)),"")</f>
        <v/>
      </c>
      <c r="P91" s="115" t="n">
        <f aca="false">_xlfn.IFNA(ROUND(INDEX(Spectrum!$N:$N,MATCH(RIGHT($B91,13)&amp;"|"&amp;$C91&amp;"|"&amp;$D91&amp;"|"&amp;P$14&amp;"|"&amp;"CY2021Q3",Spectrum!$Q:$Q,0)),0),"")</f>
        <v>162</v>
      </c>
      <c r="Q91" s="123" t="n">
        <f aca="false">_xlfn.IFNA(INDEX(Spectrum!$P:$P,MATCH(RIGHT($B91,13)&amp;"|"&amp;$C91&amp;"|"&amp;$D91&amp;"|"&amp;P$14&amp;"|"&amp;"CY2021Q3",Spectrum!$Q:$Q,0)),"")</f>
        <v>28</v>
      </c>
      <c r="R91" s="115"/>
      <c r="S91" s="123" t="str">
        <f aca="false">IF(OR(SUM($P91)&lt;=0,SUM($R91)&lt;=0),"",SUM($R91)/$P91)</f>
        <v/>
      </c>
      <c r="T91" s="139" t="n">
        <v>0</v>
      </c>
      <c r="U91" s="124" t="n">
        <v>23</v>
      </c>
      <c r="V91" s="124" t="n">
        <f aca="false">IF($U91-$T91=0,"",$U91-$T91)</f>
        <v>23</v>
      </c>
      <c r="W91" s="123" t="n">
        <f aca="false">IF(LEFT($B91,4)="_Mil","",IFERROR(MIN(IF(SUM($N91)&lt;=0,SUM($U91)/SUM($P91),SUM($T91)/SUM($N91)),1),""))</f>
        <v>0.141975308641975</v>
      </c>
      <c r="X91" s="123" t="n">
        <f aca="false">$W91</f>
        <v>0.141975308641975</v>
      </c>
      <c r="Y91" s="123" t="n">
        <f aca="false">IFERROR(1/(1/INDEX(Spectrum!$N:$N,MATCH(RIGHT($B91,13)&amp;"|"&amp;$C91&amp;"|"&amp;$D91&amp;"|"&amp;Y$14&amp;"|"&amp;"CY2021Q3",Spectrum!$Q:$Q,0))),IF(SUM($H91)=0,"",MAX(SUM($P91),SUM($U91))/SUM($H91)))</f>
        <v>0.623076923076923</v>
      </c>
      <c r="Z91" s="123" t="n">
        <f aca="false">IF(SUM($Y91)=0,"",MAX(SUM($Y91),90%))</f>
        <v>0.9</v>
      </c>
      <c r="AA91" s="115" t="n">
        <f aca="false">IF(LEFT($B91,4)="_Mil","",ROUND(MAX(SUM($U91),SUM($P91))+IF(SUM($Z91)=0,0,MAX(SUM($Z91)-SUM($Y91),0)*SUM($H91)),0))</f>
        <v>234</v>
      </c>
      <c r="AB91" s="115" t="n">
        <f aca="false">IF(SUM($AA91)=0,"",ROUND(MAX(SUM($AA91)-MAX(SUM($P91),SUM($U91)),0),0))</f>
        <v>72</v>
      </c>
      <c r="AC91" s="126" t="str">
        <f aca="false">IF($C91="&lt;01",IFERROR(ROUND(INDEX(EID!$N:$N,MATCH($B91,EID!$B:$B,0))/2,0),""),"")</f>
        <v/>
      </c>
      <c r="AD91" s="115" t="n">
        <f aca="false">IF($C91="&lt;01",IF(SUM($AC91)=0,"",ROUND(SUM($AC91)/$AG91,0)),IF(SUM($AB91)=0,"",ROUND(MAX($X91,0)*SUM($AB91),0)))</f>
        <v>10</v>
      </c>
      <c r="AE91" s="115" t="n">
        <f aca="false">IF(AND(SUM($AD91)=0,SUM($U91)=0),"",ROUND(IF($C91="&lt;01",0,SUM($U91))+SUM($AD91),0))</f>
        <v>33</v>
      </c>
      <c r="AF91" s="122" t="n">
        <f aca="false">IF($C91="&lt;01","",100%)</f>
        <v>1</v>
      </c>
      <c r="AG91" s="123" t="n">
        <f aca="false">0.98</f>
        <v>0.98</v>
      </c>
      <c r="AH91" s="123" t="n">
        <f aca="false">0.98</f>
        <v>0.98</v>
      </c>
      <c r="AI91" s="124" t="n">
        <f aca="false">IF(OR($C91="&lt;01",SUM($U91)=0),"",ROUND(SUM($U91)*(1-$AH91),0))</f>
        <v>0</v>
      </c>
      <c r="AJ91" s="124" t="n">
        <f aca="false">IF(AND(SUM($AE91)=0,SUM($U91)=0),"",IF($C91="&lt;01",SUM($AD91),SUM($AE91) - ROUND(SUM($U91)*$AH91,0)))</f>
        <v>10</v>
      </c>
      <c r="AK91" s="124" t="n">
        <v>2</v>
      </c>
      <c r="AL91" s="124" t="n">
        <v>33</v>
      </c>
      <c r="AM91" s="115" t="n">
        <f aca="false">IF(AND(SUM($AD91)=0,SUM($U91)=0),"",IF($C91="&lt;01",SUM($AD91),ROUND(ROUND(SUM($AJ91)*$AF91,0)/$AG91,0)))</f>
        <v>10</v>
      </c>
      <c r="AN91" s="122" t="n">
        <f aca="false">0.7</f>
        <v>0.7</v>
      </c>
      <c r="AO91" s="123" t="n">
        <f aca="false">1</f>
        <v>1</v>
      </c>
      <c r="AP91" s="115" t="n">
        <f aca="false">IF(AND(SUM($U91)=0,SUM($AM91)=0),"",ROUND((SUM($AM91)*$AN91+IF($C91="&lt;01",0,$U91))*$AO91,0))</f>
        <v>30</v>
      </c>
      <c r="AQ91" s="122" t="n">
        <v>15</v>
      </c>
      <c r="AR91" s="123" t="n">
        <f aca="false">0.95</f>
        <v>0.95</v>
      </c>
      <c r="AS91" s="123" t="n">
        <f aca="false">0.95</f>
        <v>0.95</v>
      </c>
      <c r="AT91" s="115" t="n">
        <f aca="false">IF(SUM($AP91)=0,"",ROUND(SUM($AP91)*$AR91,0))</f>
        <v>29</v>
      </c>
      <c r="AU91" s="115" t="n">
        <f aca="false">IF(LEFT($B91,4)="_Mil","",ROUND(SUM($AA91)*SUM($AS91),0))</f>
        <v>222</v>
      </c>
      <c r="AV91" s="124" t="n">
        <f aca="false">IF(SUM($AU91)&lt;=0,"",MAX(SUM($AU91)-SUM($R91),0))</f>
        <v>222</v>
      </c>
      <c r="AW91" s="122" t="n">
        <f aca="false">0</f>
        <v>0</v>
      </c>
      <c r="AX91" s="124" t="n">
        <f aca="false">IF(SUM($AM91)=0,"",ROUND(SUM($AM91)*SUM($AW91),0))</f>
        <v>0</v>
      </c>
      <c r="AY91" s="124" t="n">
        <f aca="false">IF(SUM($AM91)=0,"",SUM($AM91)-SUM($AX91))</f>
        <v>10</v>
      </c>
      <c r="AZ91" s="123" t="n">
        <v>10</v>
      </c>
      <c r="BA91" s="123" t="n">
        <f aca="false">0.95</f>
        <v>0.95</v>
      </c>
      <c r="BB91" s="123"/>
      <c r="BC91" s="123" t="n">
        <f aca="false">IF(OR(SUM($AM91)&lt;=0,$C91="&lt;01"),"",MAX(IF(OR(SUM($Y91)&lt;70%,LEFT($B91,4)="_Mil"),30%,IF(SUM($Y91)&gt;=80%,75%,50%)),SUM($BB91)))</f>
        <v>0.3</v>
      </c>
      <c r="BD91" s="115" t="n">
        <f aca="false">IF($C91="&lt;01",IFERROR(ROUND(INDEX(EID!$M:$M,MATCH($B91,EID!$B:$B,0)),0)/2,""),IF(SUM($AY91)=0,"",ROUND(SUM($AY91)/SUM($BA91),0)))</f>
        <v>11</v>
      </c>
      <c r="BE91" s="115" t="n">
        <f aca="false">IF($C91="&lt;01","",IF(SUM($BD91)=0,"",ROUND(SUM($BD91)*SUM($BC91),0)))</f>
        <v>3</v>
      </c>
      <c r="BF91" s="115" t="str">
        <f aca="false">_xlfn.IFNA(INDEX(PMTCT!$AE:$AE,MATCH($E91,PMTCT!$E:$E,0)),"")</f>
        <v/>
      </c>
      <c r="BG91" s="115" t="str">
        <f aca="false">_xlfn.IFNA(INDEX(PMTCT!$AU:$AU,MATCH($E91,PMTCT!$E:$E,0)),"")</f>
        <v/>
      </c>
      <c r="BH91" s="115" t="n">
        <f aca="false">_xlfn.IFNA(INDEX(TB!$Q:$Q,MATCH($E91,TB!$E:$E,0)),"")</f>
        <v>0</v>
      </c>
      <c r="BI91" s="115" t="str">
        <f aca="false">_xlfn.IFNA(INDEX(VMMC!$AC:$AC,MATCH($E91,VMMC!$E:$E,0)),"")</f>
        <v/>
      </c>
      <c r="BJ91" s="115" t="str">
        <f aca="false">IF($C91="&lt;01",$BD91,"")</f>
        <v/>
      </c>
      <c r="BK91" s="115" t="n">
        <f aca="false">IF(SUM($BD91)=0,"",($BD91)-SUM($BE91:$BJ91))</f>
        <v>8</v>
      </c>
      <c r="BL91" s="123" t="n">
        <f aca="false">IF(OR(SUM($BD91)=0,SUM($BE91)=0),"",SUM($BE91)/$BD91)</f>
        <v>0.272727272727273</v>
      </c>
      <c r="BM91" s="123" t="str">
        <f aca="false">IF(OR(SUM($BD91)=0,SUM($BF91)=0),"",SUM($BF91)/$BD91)</f>
        <v/>
      </c>
      <c r="BN91" s="123" t="str">
        <f aca="false">IF(OR(SUM($BD91)=0,SUM($BG91)=0),"",SUM($BG91)/$BD91)</f>
        <v/>
      </c>
      <c r="BO91" s="123" t="str">
        <f aca="false">IF(OR(SUM($BD91)=0,SUM($BH91)=0),"",SUM($BH91)/$BD91)</f>
        <v/>
      </c>
      <c r="BP91" s="123" t="str">
        <f aca="false">IF(OR(SUM($BD91)=0,SUM($BI91)=0),"",SUM($BI91)/$BD91)</f>
        <v/>
      </c>
      <c r="BQ91" s="123" t="str">
        <f aca="false">IF(AND($C91="&lt;01",SUM($BJ91)&lt;&gt;0),$BJ91/SUM($BD91),"")</f>
        <v/>
      </c>
      <c r="BR91" s="123" t="n">
        <f aca="false">IF(OR(SUM($BD91)=0,SUM($BK91)=0),"",SUM($BK91)/$BD91)</f>
        <v>0.727272727272727</v>
      </c>
      <c r="BS91" s="122" t="n">
        <f aca="false">IF(SUM($X91)&lt;=0,"",$X91)</f>
        <v>0.141975308641975</v>
      </c>
      <c r="BT91" s="115" t="n">
        <f aca="false">IF(LEFT($B91,4)="_Mil","",MAX(SUM($L91)+ROUND(SUM($BD91)/IF(SUM($BS91)&lt;=0,1,SUM($BS91)),0),0))</f>
        <v>233</v>
      </c>
    </row>
    <row r="92" customFormat="false" ht="15" hidden="false" customHeight="false" outlineLevel="0" collapsed="false">
      <c r="A92" s="0" t="s">
        <v>144</v>
      </c>
      <c r="B92" s="0" t="s">
        <v>103</v>
      </c>
      <c r="C92" s="0" t="s">
        <v>83</v>
      </c>
      <c r="D92" s="0" t="s">
        <v>58</v>
      </c>
      <c r="E92" s="0" t="str">
        <f aca="false">B92&amp;"|"&amp;C92&amp;"|"&amp;D92</f>
        <v>Leribe [#SNU] [FjSmRywOWUp]|05-09|Male</v>
      </c>
      <c r="F92" s="115" t="n">
        <f aca="false">_xlfn.IFNA(ROUND(INDEX(Spectrum!$N:$N,MATCH(RIGHT($B92,13)&amp;"|"&amp;$C92&amp;"|"&amp;$D92&amp;"|"&amp;F$14&amp;"|"&amp;"CY2021Q3",Spectrum!$Q:$Q,0)),0),"")</f>
        <v>19148</v>
      </c>
      <c r="G92" s="123" t="n">
        <f aca="false">_xlfn.IFNA(INDEX(Spectrum!$P:$P,MATCH(RIGHT($B92,13)&amp;"|"&amp;$C92&amp;"|"&amp;$D92&amp;"|"&amp;F$14&amp;"|"&amp;"CY2021Q3",Spectrum!$Q:$Q,0)),"")</f>
        <v>32</v>
      </c>
      <c r="H92" s="115" t="n">
        <f aca="false">_xlfn.IFNA(ROUND(INDEX(Spectrum!$N:$N,MATCH(RIGHT($B92,13)&amp;"|"&amp;$C92&amp;"|"&amp;$D92&amp;"|"&amp;H$14&amp;"|"&amp;"CY2021Q3",Spectrum!$Q:$Q,0)),0),"")</f>
        <v>252</v>
      </c>
      <c r="I92" s="123" t="n">
        <f aca="false">_xlfn.IFNA(INDEX(Spectrum!$P:$P,MATCH(RIGHT($B92,13)&amp;"|"&amp;$C92&amp;"|"&amp;$D92&amp;"|"&amp;H$14&amp;"|"&amp;"CY2021Q3",Spectrum!$Q:$Q,0)),"")</f>
        <v>50</v>
      </c>
      <c r="J92" s="117" t="n">
        <f aca="false">_xlfn.IFNA(INDEX(Spectrum!$N:$N,MATCH(RIGHT($B92,13)&amp;"|"&amp;$C92&amp;"|"&amp;$D92&amp;"|"&amp;J$14&amp;"|"&amp;"CY2021Q3",Spectrum!$Q:$Q,0)),"")</f>
        <v>0.0131854</v>
      </c>
      <c r="K92" s="123" t="n">
        <f aca="false">_xlfn.IFNA(INDEX(Spectrum!$P:$P,MATCH(RIGHT($B92,13)&amp;"|"&amp;$C92&amp;"|"&amp;$D92&amp;"|"&amp;J$14&amp;"|"&amp;"CY2021Q3",Spectrum!$Q:$Q,0)),"")</f>
        <v>49</v>
      </c>
      <c r="L92" s="115" t="n">
        <f aca="false">_xlfn.IFNA(ROUND(INDEX(Spectrum!$N:$N,MATCH(RIGHT($B92,13)&amp;"|"&amp;$C92&amp;"|"&amp;$D92&amp;"|"&amp;L$14&amp;"|"&amp;"CY2021Q3",Spectrum!$Q:$Q,0)),0),"")</f>
        <v>158</v>
      </c>
      <c r="M92" s="123" t="n">
        <f aca="false">IF(OR(SUM($H92)&lt;=0,SUM($L92)&lt;=0),"",SUM($L92)/$H92)</f>
        <v>0.626984126984127</v>
      </c>
      <c r="N92" s="115" t="str">
        <f aca="false">_xlfn.IFNA(ROUND(INDEX(Spectrum!$N:$N,MATCH(RIGHT($B92,13)&amp;"|"&amp;$C92&amp;"|"&amp;$D92&amp;"|"&amp;N$14&amp;"|"&amp;"CY2020Q4",Spectrum!$Q:$Q,0)),0),"")</f>
        <v/>
      </c>
      <c r="O92" s="123" t="str">
        <f aca="false">_xlfn.IFNA(INDEX(Spectrum!$P:$P,MATCH(RIGHT($B92,13)&amp;"|"&amp;$C92&amp;"|"&amp;$D92&amp;"|"&amp;N$14&amp;"|"&amp;"CY2020Q4",Spectrum!$Q:$Q,0)),"")</f>
        <v/>
      </c>
      <c r="P92" s="115" t="n">
        <f aca="false">_xlfn.IFNA(ROUND(INDEX(Spectrum!$N:$N,MATCH(RIGHT($B92,13)&amp;"|"&amp;$C92&amp;"|"&amp;$D92&amp;"|"&amp;P$14&amp;"|"&amp;"CY2021Q3",Spectrum!$Q:$Q,0)),0),"")</f>
        <v>165</v>
      </c>
      <c r="Q92" s="123" t="n">
        <f aca="false">_xlfn.IFNA(INDEX(Spectrum!$P:$P,MATCH(RIGHT($B92,13)&amp;"|"&amp;$C92&amp;"|"&amp;$D92&amp;"|"&amp;P$14&amp;"|"&amp;"CY2021Q3",Spectrum!$Q:$Q,0)),"")</f>
        <v>46</v>
      </c>
      <c r="R92" s="115"/>
      <c r="S92" s="123" t="str">
        <f aca="false">IF(OR(SUM($P92)&lt;=0,SUM($R92)&lt;=0),"",SUM($R92)/$P92)</f>
        <v/>
      </c>
      <c r="T92" s="139" t="n">
        <v>15</v>
      </c>
      <c r="U92" s="124" t="n">
        <v>18</v>
      </c>
      <c r="V92" s="124" t="n">
        <f aca="false">IF($U92-$T92=0,"",$U92-$T92)</f>
        <v>3</v>
      </c>
      <c r="W92" s="123" t="n">
        <f aca="false">IF(LEFT($B92,4)="_Mil","",IFERROR(MIN(IF(SUM($N92)&lt;=0,SUM($U92)/SUM($P92),SUM($T92)/SUM($N92)),1),""))</f>
        <v>0.109090909090909</v>
      </c>
      <c r="X92" s="123" t="n">
        <f aca="false">$W92</f>
        <v>0.109090909090909</v>
      </c>
      <c r="Y92" s="123" t="n">
        <f aca="false">IFERROR(1/(1/INDEX(Spectrum!$N:$N,MATCH(RIGHT($B92,13)&amp;"|"&amp;$C92&amp;"|"&amp;$D92&amp;"|"&amp;Y$14&amp;"|"&amp;"CY2021Q3",Spectrum!$Q:$Q,0))),IF(SUM($H92)=0,"",MAX(SUM($P92),SUM($U92))/SUM($H92)))</f>
        <v>0.654761904761905</v>
      </c>
      <c r="Z92" s="123" t="n">
        <f aca="false">IF(SUM($Y92)=0,"",MAX(SUM($Y92),90%))</f>
        <v>0.9</v>
      </c>
      <c r="AA92" s="115" t="n">
        <f aca="false">IF(LEFT($B92,4)="_Mil","",ROUND(MAX(SUM($U92),SUM($P92))+IF(SUM($Z92)=0,0,MAX(SUM($Z92)-SUM($Y92),0)*SUM($H92)),0))</f>
        <v>227</v>
      </c>
      <c r="AB92" s="115" t="n">
        <f aca="false">IF(SUM($AA92)=0,"",ROUND(MAX(SUM($AA92)-MAX(SUM($P92),SUM($U92)),0),0))</f>
        <v>62</v>
      </c>
      <c r="AC92" s="126" t="str">
        <f aca="false">IF($C92="&lt;01",IFERROR(ROUND(INDEX(EID!$N:$N,MATCH($B92,EID!$B:$B,0))/2,0),""),"")</f>
        <v/>
      </c>
      <c r="AD92" s="115" t="n">
        <f aca="false">IF($C92="&lt;01",IF(SUM($AC92)=0,"",ROUND(SUM($AC92)/$AG92,0)),IF(SUM($AB92)=0,"",ROUND(MAX($X92,0)*SUM($AB92),0)))</f>
        <v>7</v>
      </c>
      <c r="AE92" s="115" t="n">
        <f aca="false">IF(AND(SUM($AD92)=0,SUM($U92)=0),"",ROUND(IF($C92="&lt;01",0,SUM($U92))+SUM($AD92),0))</f>
        <v>25</v>
      </c>
      <c r="AF92" s="122" t="n">
        <f aca="false">IF($C92="&lt;01","",100%)</f>
        <v>1</v>
      </c>
      <c r="AG92" s="123" t="n">
        <f aca="false">0.98</f>
        <v>0.98</v>
      </c>
      <c r="AH92" s="123" t="n">
        <f aca="false">0.98</f>
        <v>0.98</v>
      </c>
      <c r="AI92" s="124" t="n">
        <f aca="false">IF(OR($C92="&lt;01",SUM($U92)=0),"",ROUND(SUM($U92)*(1-$AH92),0))</f>
        <v>0</v>
      </c>
      <c r="AJ92" s="124" t="n">
        <f aca="false">IF(AND(SUM($AE92)=0,SUM($U92)=0),"",IF($C92="&lt;01",SUM($AD92),SUM($AE92) - ROUND(SUM($U92)*$AH92,0)))</f>
        <v>7</v>
      </c>
      <c r="AK92" s="124" t="n">
        <v>37</v>
      </c>
      <c r="AL92" s="124" t="n">
        <v>10</v>
      </c>
      <c r="AM92" s="115" t="n">
        <f aca="false">IF(AND(SUM($AD92)=0,SUM($U92)=0),"",IF($C92="&lt;01",SUM($AD92),ROUND(ROUND(SUM($AJ92)*$AF92,0)/$AG92,0)))</f>
        <v>7</v>
      </c>
      <c r="AN92" s="122" t="n">
        <f aca="false">0.7</f>
        <v>0.7</v>
      </c>
      <c r="AO92" s="123" t="n">
        <f aca="false">1</f>
        <v>1</v>
      </c>
      <c r="AP92" s="115" t="n">
        <f aca="false">IF(AND(SUM($U92)=0,SUM($AM92)=0),"",ROUND((SUM($AM92)*$AN92+IF($C92="&lt;01",0,$U92))*$AO92,0))</f>
        <v>23</v>
      </c>
      <c r="AQ92" s="122" t="n">
        <v>4</v>
      </c>
      <c r="AR92" s="123" t="n">
        <f aca="false">0.95</f>
        <v>0.95</v>
      </c>
      <c r="AS92" s="123" t="n">
        <f aca="false">0.95</f>
        <v>0.95</v>
      </c>
      <c r="AT92" s="115" t="n">
        <f aca="false">IF(SUM($AP92)=0,"",ROUND(SUM($AP92)*$AR92,0))</f>
        <v>22</v>
      </c>
      <c r="AU92" s="115" t="n">
        <f aca="false">IF(LEFT($B92,4)="_Mil","",ROUND(SUM($AA92)*SUM($AS92),0))</f>
        <v>216</v>
      </c>
      <c r="AV92" s="124" t="n">
        <f aca="false">IF(SUM($AU92)&lt;=0,"",MAX(SUM($AU92)-SUM($R92),0))</f>
        <v>216</v>
      </c>
      <c r="AW92" s="122" t="n">
        <f aca="false">0</f>
        <v>0</v>
      </c>
      <c r="AX92" s="124" t="n">
        <f aca="false">IF(SUM($AM92)=0,"",ROUND(SUM($AM92)*SUM($AW92),0))</f>
        <v>0</v>
      </c>
      <c r="AY92" s="124" t="n">
        <f aca="false">IF(SUM($AM92)=0,"",SUM($AM92)-SUM($AX92))</f>
        <v>7</v>
      </c>
      <c r="AZ92" s="123" t="n">
        <v>12</v>
      </c>
      <c r="BA92" s="123" t="n">
        <f aca="false">0.95</f>
        <v>0.95</v>
      </c>
      <c r="BB92" s="123"/>
      <c r="BC92" s="123" t="n">
        <f aca="false">IF(OR(SUM($AM92)&lt;=0,$C92="&lt;01"),"",MAX(IF(OR(SUM($Y92)&lt;70%,LEFT($B92,4)="_Mil"),30%,IF(SUM($Y92)&gt;=80%,75%,50%)),SUM($BB92)))</f>
        <v>0.3</v>
      </c>
      <c r="BD92" s="115" t="n">
        <f aca="false">IF($C92="&lt;01",IFERROR(ROUND(INDEX(EID!$M:$M,MATCH($B92,EID!$B:$B,0)),0)/2,""),IF(SUM($AY92)=0,"",ROUND(SUM($AY92)/SUM($BA92),0)))</f>
        <v>7</v>
      </c>
      <c r="BE92" s="115" t="n">
        <f aca="false">IF($C92="&lt;01","",IF(SUM($BD92)=0,"",ROUND(SUM($BD92)*SUM($BC92),0)))</f>
        <v>2</v>
      </c>
      <c r="BF92" s="115" t="str">
        <f aca="false">_xlfn.IFNA(INDEX(PMTCT!$AE:$AE,MATCH($E92,PMTCT!$E:$E,0)),"")</f>
        <v/>
      </c>
      <c r="BG92" s="115" t="str">
        <f aca="false">_xlfn.IFNA(INDEX(PMTCT!$AU:$AU,MATCH($E92,PMTCT!$E:$E,0)),"")</f>
        <v/>
      </c>
      <c r="BH92" s="115" t="n">
        <f aca="false">_xlfn.IFNA(INDEX(TB!$Q:$Q,MATCH($E92,TB!$E:$E,0)),"")</f>
        <v>-0</v>
      </c>
      <c r="BI92" s="115" t="str">
        <f aca="false">_xlfn.IFNA(INDEX(VMMC!$AC:$AC,MATCH($E92,VMMC!$E:$E,0)),"")</f>
        <v/>
      </c>
      <c r="BJ92" s="115" t="str">
        <f aca="false">IF($C92="&lt;01",$BD92,"")</f>
        <v/>
      </c>
      <c r="BK92" s="115" t="n">
        <f aca="false">IF(SUM($BD92)=0,"",($BD92)-SUM($BE92:$BJ92))</f>
        <v>5</v>
      </c>
      <c r="BL92" s="123" t="n">
        <f aca="false">IF(OR(SUM($BD92)=0,SUM($BE92)=0),"",SUM($BE92)/$BD92)</f>
        <v>0.285714285714286</v>
      </c>
      <c r="BM92" s="123" t="str">
        <f aca="false">IF(OR(SUM($BD92)=0,SUM($BF92)=0),"",SUM($BF92)/$BD92)</f>
        <v/>
      </c>
      <c r="BN92" s="123" t="str">
        <f aca="false">IF(OR(SUM($BD92)=0,SUM($BG92)=0),"",SUM($BG92)/$BD92)</f>
        <v/>
      </c>
      <c r="BO92" s="123" t="str">
        <f aca="false">IF(OR(SUM($BD92)=0,SUM($BH92)=0),"",SUM($BH92)/$BD92)</f>
        <v/>
      </c>
      <c r="BP92" s="123" t="str">
        <f aca="false">IF(OR(SUM($BD92)=0,SUM($BI92)=0),"",SUM($BI92)/$BD92)</f>
        <v/>
      </c>
      <c r="BQ92" s="123" t="str">
        <f aca="false">IF(AND($C92="&lt;01",SUM($BJ92)&lt;&gt;0),$BJ92/SUM($BD92),"")</f>
        <v/>
      </c>
      <c r="BR92" s="123" t="n">
        <f aca="false">IF(OR(SUM($BD92)=0,SUM($BK92)=0),"",SUM($BK92)/$BD92)</f>
        <v>0.714285714285714</v>
      </c>
      <c r="BS92" s="122" t="n">
        <f aca="false">IF(SUM($X92)&lt;=0,"",$X92)</f>
        <v>0.109090909090909</v>
      </c>
      <c r="BT92" s="115" t="n">
        <f aca="false">IF(LEFT($B92,4)="_Mil","",MAX(SUM($L92)+ROUND(SUM($BD92)/IF(SUM($BS92)&lt;=0,1,SUM($BS92)),0),0))</f>
        <v>222</v>
      </c>
    </row>
    <row r="93" customFormat="false" ht="15" hidden="false" customHeight="false" outlineLevel="0" collapsed="false">
      <c r="A93" s="0" t="s">
        <v>144</v>
      </c>
      <c r="B93" s="0" t="s">
        <v>103</v>
      </c>
      <c r="C93" s="0" t="s">
        <v>61</v>
      </c>
      <c r="D93" s="0" t="s">
        <v>56</v>
      </c>
      <c r="E93" s="0" t="str">
        <f aca="false">B93&amp;"|"&amp;C93&amp;"|"&amp;D93</f>
        <v>Leribe [#SNU] [FjSmRywOWUp]|10-14|Female</v>
      </c>
      <c r="F93" s="115" t="n">
        <f aca="false">_xlfn.IFNA(ROUND(INDEX(Spectrum!$N:$N,MATCH(RIGHT($B93,13)&amp;"|"&amp;$C93&amp;"|"&amp;$D93&amp;"|"&amp;F$14&amp;"|"&amp;"CY2021Q3",Spectrum!$Q:$Q,0)),0),"")</f>
        <v>17911</v>
      </c>
      <c r="G93" s="123" t="n">
        <f aca="false">_xlfn.IFNA(INDEX(Spectrum!$P:$P,MATCH(RIGHT($B93,13)&amp;"|"&amp;$C93&amp;"|"&amp;$D93&amp;"|"&amp;F$14&amp;"|"&amp;"CY2021Q3",Spectrum!$Q:$Q,0)),"")</f>
        <v>15</v>
      </c>
      <c r="H93" s="115" t="n">
        <f aca="false">_xlfn.IFNA(ROUND(INDEX(Spectrum!$N:$N,MATCH(RIGHT($B93,13)&amp;"|"&amp;$C93&amp;"|"&amp;$D93&amp;"|"&amp;H$14&amp;"|"&amp;"CY2021Q3",Spectrum!$Q:$Q,0)),0),"")</f>
        <v>404</v>
      </c>
      <c r="I93" s="123" t="n">
        <f aca="false">_xlfn.IFNA(INDEX(Spectrum!$P:$P,MATCH(RIGHT($B93,13)&amp;"|"&amp;$C93&amp;"|"&amp;$D93&amp;"|"&amp;H$14&amp;"|"&amp;"CY2021Q3",Spectrum!$Q:$Q,0)),"")</f>
        <v>38</v>
      </c>
      <c r="J93" s="117" t="n">
        <f aca="false">_xlfn.IFNA(INDEX(Spectrum!$N:$N,MATCH(RIGHT($B93,13)&amp;"|"&amp;$C93&amp;"|"&amp;$D93&amp;"|"&amp;J$14&amp;"|"&amp;"CY2021Q3",Spectrum!$Q:$Q,0)),"")</f>
        <v>0.0225337</v>
      </c>
      <c r="K93" s="123" t="n">
        <f aca="false">_xlfn.IFNA(INDEX(Spectrum!$P:$P,MATCH(RIGHT($B93,13)&amp;"|"&amp;$C93&amp;"|"&amp;$D93&amp;"|"&amp;J$14&amp;"|"&amp;"CY2021Q3",Spectrum!$Q:$Q,0)),"")</f>
        <v>25</v>
      </c>
      <c r="L93" s="115" t="n">
        <f aca="false">_xlfn.IFNA(ROUND(INDEX(Spectrum!$N:$N,MATCH(RIGHT($B93,13)&amp;"|"&amp;$C93&amp;"|"&amp;$D93&amp;"|"&amp;L$14&amp;"|"&amp;"CY2021Q3",Spectrum!$Q:$Q,0)),0),"")</f>
        <v>293</v>
      </c>
      <c r="M93" s="123" t="n">
        <f aca="false">IF(OR(SUM($H93)&lt;=0,SUM($L93)&lt;=0),"",SUM($L93)/$H93)</f>
        <v>0.725247524752475</v>
      </c>
      <c r="N93" s="115" t="str">
        <f aca="false">_xlfn.IFNA(ROUND(INDEX(Spectrum!$N:$N,MATCH(RIGHT($B93,13)&amp;"|"&amp;$C93&amp;"|"&amp;$D93&amp;"|"&amp;N$14&amp;"|"&amp;"CY2020Q4",Spectrum!$Q:$Q,0)),0),"")</f>
        <v/>
      </c>
      <c r="O93" s="123" t="str">
        <f aca="false">_xlfn.IFNA(INDEX(Spectrum!$P:$P,MATCH(RIGHT($B93,13)&amp;"|"&amp;$C93&amp;"|"&amp;$D93&amp;"|"&amp;N$14&amp;"|"&amp;"CY2020Q4",Spectrum!$Q:$Q,0)),"")</f>
        <v/>
      </c>
      <c r="P93" s="115" t="n">
        <f aca="false">_xlfn.IFNA(ROUND(INDEX(Spectrum!$N:$N,MATCH(RIGHT($B93,13)&amp;"|"&amp;$C93&amp;"|"&amp;$D93&amp;"|"&amp;P$14&amp;"|"&amp;"CY2021Q3",Spectrum!$Q:$Q,0)),0),"")</f>
        <v>329</v>
      </c>
      <c r="Q93" s="123" t="n">
        <f aca="false">_xlfn.IFNA(INDEX(Spectrum!$P:$P,MATCH(RIGHT($B93,13)&amp;"|"&amp;$C93&amp;"|"&amp;$D93&amp;"|"&amp;P$14&amp;"|"&amp;"CY2021Q3",Spectrum!$Q:$Q,0)),"")</f>
        <v>35</v>
      </c>
      <c r="R93" s="115"/>
      <c r="S93" s="123" t="str">
        <f aca="false">IF(OR(SUM($P93)&lt;=0,SUM($R93)&lt;=0),"",SUM($R93)/$P93)</f>
        <v/>
      </c>
      <c r="T93" s="139" t="n">
        <v>17</v>
      </c>
      <c r="U93" s="124" t="n">
        <v>34</v>
      </c>
      <c r="V93" s="124" t="n">
        <f aca="false">IF($U93-$T93=0,"",$U93-$T93)</f>
        <v>17</v>
      </c>
      <c r="W93" s="123" t="n">
        <f aca="false">IF(LEFT($B93,4)="_Mil","",IFERROR(MIN(IF(SUM($N93)&lt;=0,SUM($U93)/SUM($P93),SUM($T93)/SUM($N93)),1),""))</f>
        <v>0.103343465045593</v>
      </c>
      <c r="X93" s="123" t="n">
        <f aca="false">$W93</f>
        <v>0.103343465045593</v>
      </c>
      <c r="Y93" s="123" t="n">
        <f aca="false">IFERROR(1/(1/INDEX(Spectrum!$N:$N,MATCH(RIGHT($B93,13)&amp;"|"&amp;$C93&amp;"|"&amp;$D93&amp;"|"&amp;Y$14&amp;"|"&amp;"CY2021Q3",Spectrum!$Q:$Q,0))),IF(SUM($H93)=0,"",MAX(SUM($P93),SUM($U93))/SUM($H93)))</f>
        <v>0.814356435643564</v>
      </c>
      <c r="Z93" s="123" t="n">
        <f aca="false">IF(SUM($Y93)=0,"",MAX(SUM($Y93),90%))</f>
        <v>0.9</v>
      </c>
      <c r="AA93" s="115" t="n">
        <f aca="false">IF(LEFT($B93,4)="_Mil","",ROUND(MAX(SUM($U93),SUM($P93))+IF(SUM($Z93)=0,0,MAX(SUM($Z93)-SUM($Y93),0)*SUM($H93)),0))</f>
        <v>364</v>
      </c>
      <c r="AB93" s="115" t="n">
        <f aca="false">IF(SUM($AA93)=0,"",ROUND(MAX(SUM($AA93)-MAX(SUM($P93),SUM($U93)),0),0))</f>
        <v>35</v>
      </c>
      <c r="AC93" s="126" t="str">
        <f aca="false">IF($C93="&lt;01",IFERROR(ROUND(INDEX(EID!$N:$N,MATCH($B93,EID!$B:$B,0))/2,0),""),"")</f>
        <v/>
      </c>
      <c r="AD93" s="115" t="n">
        <f aca="false">IF($C93="&lt;01",IF(SUM($AC93)=0,"",ROUND(SUM($AC93)/$AG93,0)),IF(SUM($AB93)=0,"",ROUND(MAX($X93,0)*SUM($AB93),0)))</f>
        <v>4</v>
      </c>
      <c r="AE93" s="115" t="n">
        <f aca="false">IF(AND(SUM($AD93)=0,SUM($U93)=0),"",ROUND(IF($C93="&lt;01",0,SUM($U93))+SUM($AD93),0))</f>
        <v>38</v>
      </c>
      <c r="AF93" s="122" t="n">
        <f aca="false">IF($C93="&lt;01","",100%)</f>
        <v>1</v>
      </c>
      <c r="AG93" s="123" t="n">
        <f aca="false">0.98</f>
        <v>0.98</v>
      </c>
      <c r="AH93" s="123" t="n">
        <f aca="false">0.98</f>
        <v>0.98</v>
      </c>
      <c r="AI93" s="124" t="n">
        <f aca="false">IF(OR($C93="&lt;01",SUM($U93)=0),"",ROUND(SUM($U93)*(1-$AH93),0))</f>
        <v>1</v>
      </c>
      <c r="AJ93" s="124" t="n">
        <f aca="false">IF(AND(SUM($AE93)=0,SUM($U93)=0),"",IF($C93="&lt;01",SUM($AD93),SUM($AE93) - ROUND(SUM($U93)*$AH93,0)))</f>
        <v>5</v>
      </c>
      <c r="AK93" s="124" t="n">
        <v>39</v>
      </c>
      <c r="AL93" s="124" t="n">
        <v>8</v>
      </c>
      <c r="AM93" s="115" t="n">
        <f aca="false">IF(AND(SUM($AD93)=0,SUM($U93)=0),"",IF($C93="&lt;01",SUM($AD93),ROUND(ROUND(SUM($AJ93)*$AF93,0)/$AG93,0)))</f>
        <v>5</v>
      </c>
      <c r="AN93" s="122" t="n">
        <f aca="false">0.7</f>
        <v>0.7</v>
      </c>
      <c r="AO93" s="123" t="n">
        <f aca="false">1</f>
        <v>1</v>
      </c>
      <c r="AP93" s="115" t="n">
        <f aca="false">IF(AND(SUM($U93)=0,SUM($AM93)=0),"",ROUND((SUM($AM93)*$AN93+IF($C93="&lt;01",0,$U93))*$AO93,0))</f>
        <v>38</v>
      </c>
      <c r="AQ93" s="122" t="n">
        <v>26</v>
      </c>
      <c r="AR93" s="123" t="n">
        <f aca="false">0.95</f>
        <v>0.95</v>
      </c>
      <c r="AS93" s="123" t="n">
        <f aca="false">0.95</f>
        <v>0.95</v>
      </c>
      <c r="AT93" s="115" t="n">
        <f aca="false">IF(SUM($AP93)=0,"",ROUND(SUM($AP93)*$AR93,0))</f>
        <v>36</v>
      </c>
      <c r="AU93" s="115" t="n">
        <f aca="false">IF(LEFT($B93,4)="_Mil","",ROUND(SUM($AA93)*SUM($AS93),0))</f>
        <v>346</v>
      </c>
      <c r="AV93" s="124" t="n">
        <f aca="false">IF(SUM($AU93)&lt;=0,"",MAX(SUM($AU93)-SUM($R93),0))</f>
        <v>346</v>
      </c>
      <c r="AW93" s="122" t="n">
        <f aca="false">0</f>
        <v>0</v>
      </c>
      <c r="AX93" s="124" t="n">
        <f aca="false">IF(SUM($AM93)=0,"",ROUND(SUM($AM93)*SUM($AW93),0))</f>
        <v>0</v>
      </c>
      <c r="AY93" s="124" t="n">
        <f aca="false">IF(SUM($AM93)=0,"",SUM($AM93)-SUM($AX93))</f>
        <v>5</v>
      </c>
      <c r="AZ93" s="123" t="n">
        <v>34</v>
      </c>
      <c r="BA93" s="123" t="n">
        <f aca="false">0.95</f>
        <v>0.95</v>
      </c>
      <c r="BB93" s="123"/>
      <c r="BC93" s="123" t="n">
        <f aca="false">IF(OR(SUM($AM93)&lt;=0,$C93="&lt;01"),"",MAX(IF(OR(SUM($Y93)&lt;70%,LEFT($B93,4)="_Mil"),30%,IF(SUM($Y93)&gt;=80%,75%,50%)),SUM($BB93)))</f>
        <v>0.75</v>
      </c>
      <c r="BD93" s="115" t="n">
        <f aca="false">IF($C93="&lt;01",IFERROR(ROUND(INDEX(EID!$M:$M,MATCH($B93,EID!$B:$B,0)),0)/2,""),IF(SUM($AY93)=0,"",ROUND(SUM($AY93)/SUM($BA93),0)))</f>
        <v>5</v>
      </c>
      <c r="BE93" s="115" t="n">
        <f aca="false">IF($C93="&lt;01","",IF(SUM($BD93)=0,"",ROUND(SUM($BD93)*SUM($BC93),0)))</f>
        <v>4</v>
      </c>
      <c r="BF93" s="115" t="n">
        <f aca="false">_xlfn.IFNA(INDEX(PMTCT!$AE:$AE,MATCH($E93,PMTCT!$E:$E,0)),"")</f>
        <v>0</v>
      </c>
      <c r="BG93" s="115" t="n">
        <f aca="false">_xlfn.IFNA(INDEX(PMTCT!$AU:$AU,MATCH($E93,PMTCT!$E:$E,0)),"")</f>
        <v>0</v>
      </c>
      <c r="BH93" s="115" t="n">
        <f aca="false">_xlfn.IFNA(INDEX(TB!$Q:$Q,MATCH($E93,TB!$E:$E,0)),"")</f>
        <v>-10332</v>
      </c>
      <c r="BI93" s="115" t="str">
        <f aca="false">_xlfn.IFNA(INDEX(VMMC!$AC:$AC,MATCH($E93,VMMC!$E:$E,0)),"")</f>
        <v/>
      </c>
      <c r="BJ93" s="115" t="str">
        <f aca="false">IF($C93="&lt;01",$BD93,"")</f>
        <v/>
      </c>
      <c r="BK93" s="115" t="n">
        <f aca="false">IF(SUM($BD93)=0,"",($BD93)-SUM($BE93:$BJ93))</f>
        <v>10333</v>
      </c>
      <c r="BL93" s="123" t="n">
        <f aca="false">IF(OR(SUM($BD93)=0,SUM($BE93)=0),"",SUM($BE93)/$BD93)</f>
        <v>0.8</v>
      </c>
      <c r="BM93" s="123" t="str">
        <f aca="false">IF(OR(SUM($BD93)=0,SUM($BF93)=0),"",SUM($BF93)/$BD93)</f>
        <v/>
      </c>
      <c r="BN93" s="123" t="str">
        <f aca="false">IF(OR(SUM($BD93)=0,SUM($BG93)=0),"",SUM($BG93)/$BD93)</f>
        <v/>
      </c>
      <c r="BO93" s="123" t="n">
        <f aca="false">IF(OR(SUM($BD93)=0,SUM($BH93)=0),"",SUM($BH93)/$BD93)</f>
        <v>-2066.4</v>
      </c>
      <c r="BP93" s="123" t="str">
        <f aca="false">IF(OR(SUM($BD93)=0,SUM($BI93)=0),"",SUM($BI93)/$BD93)</f>
        <v/>
      </c>
      <c r="BQ93" s="123" t="str">
        <f aca="false">IF(AND($C93="&lt;01",SUM($BJ93)&lt;&gt;0),$BJ93/SUM($BD93),"")</f>
        <v/>
      </c>
      <c r="BR93" s="123" t="n">
        <f aca="false">IF(OR(SUM($BD93)=0,SUM($BK93)=0),"",SUM($BK93)/$BD93)</f>
        <v>2066.6</v>
      </c>
      <c r="BS93" s="122" t="n">
        <f aca="false">IF(SUM($X93)&lt;=0,"",$X93)</f>
        <v>0.103343465045593</v>
      </c>
      <c r="BT93" s="115" t="n">
        <f aca="false">IF(LEFT($B93,4)="_Mil","",MAX(SUM($L93)+ROUND(SUM($BD93)/IF(SUM($BS93)&lt;=0,1,SUM($BS93)),0),0))</f>
        <v>341</v>
      </c>
    </row>
    <row r="94" customFormat="false" ht="15" hidden="false" customHeight="false" outlineLevel="0" collapsed="false">
      <c r="A94" s="0" t="s">
        <v>144</v>
      </c>
      <c r="B94" s="0" t="s">
        <v>103</v>
      </c>
      <c r="C94" s="0" t="s">
        <v>61</v>
      </c>
      <c r="D94" s="0" t="s">
        <v>58</v>
      </c>
      <c r="E94" s="0" t="str">
        <f aca="false">B94&amp;"|"&amp;C94&amp;"|"&amp;D94</f>
        <v>Leribe [#SNU] [FjSmRywOWUp]|10-14|Male</v>
      </c>
      <c r="F94" s="115" t="n">
        <f aca="false">_xlfn.IFNA(ROUND(INDEX(Spectrum!$N:$N,MATCH(RIGHT($B94,13)&amp;"|"&amp;$C94&amp;"|"&amp;$D94&amp;"|"&amp;F$14&amp;"|"&amp;"CY2021Q3",Spectrum!$Q:$Q,0)),0),"")</f>
        <v>17398</v>
      </c>
      <c r="G94" s="123" t="n">
        <f aca="false">_xlfn.IFNA(INDEX(Spectrum!$P:$P,MATCH(RIGHT($B94,13)&amp;"|"&amp;$C94&amp;"|"&amp;$D94&amp;"|"&amp;F$14&amp;"|"&amp;"CY2021Q3",Spectrum!$Q:$Q,0)),"")</f>
        <v>44</v>
      </c>
      <c r="H94" s="115" t="n">
        <f aca="false">_xlfn.IFNA(ROUND(INDEX(Spectrum!$N:$N,MATCH(RIGHT($B94,13)&amp;"|"&amp;$C94&amp;"|"&amp;$D94&amp;"|"&amp;H$14&amp;"|"&amp;"CY2021Q3",Spectrum!$Q:$Q,0)),0),"")</f>
        <v>406</v>
      </c>
      <c r="I94" s="123" t="n">
        <f aca="false">_xlfn.IFNA(INDEX(Spectrum!$P:$P,MATCH(RIGHT($B94,13)&amp;"|"&amp;$C94&amp;"|"&amp;$D94&amp;"|"&amp;H$14&amp;"|"&amp;"CY2021Q3",Spectrum!$Q:$Q,0)),"")</f>
        <v>34</v>
      </c>
      <c r="J94" s="117" t="n">
        <f aca="false">_xlfn.IFNA(INDEX(Spectrum!$N:$N,MATCH(RIGHT($B94,13)&amp;"|"&amp;$C94&amp;"|"&amp;$D94&amp;"|"&amp;J$14&amp;"|"&amp;"CY2021Q3",Spectrum!$Q:$Q,0)),"")</f>
        <v>0.0233603</v>
      </c>
      <c r="K94" s="123" t="n">
        <f aca="false">_xlfn.IFNA(INDEX(Spectrum!$P:$P,MATCH(RIGHT($B94,13)&amp;"|"&amp;$C94&amp;"|"&amp;$D94&amp;"|"&amp;J$14&amp;"|"&amp;"CY2021Q3",Spectrum!$Q:$Q,0)),"")</f>
        <v>40</v>
      </c>
      <c r="L94" s="115" t="n">
        <f aca="false">_xlfn.IFNA(ROUND(INDEX(Spectrum!$N:$N,MATCH(RIGHT($B94,13)&amp;"|"&amp;$C94&amp;"|"&amp;$D94&amp;"|"&amp;L$14&amp;"|"&amp;"CY2021Q3",Spectrum!$Q:$Q,0)),0),"")</f>
        <v>298</v>
      </c>
      <c r="M94" s="123" t="n">
        <f aca="false">IF(OR(SUM($H94)&lt;=0,SUM($L94)&lt;=0),"",SUM($L94)/$H94)</f>
        <v>0.733990147783251</v>
      </c>
      <c r="N94" s="115" t="str">
        <f aca="false">_xlfn.IFNA(ROUND(INDEX(Spectrum!$N:$N,MATCH(RIGHT($B94,13)&amp;"|"&amp;$C94&amp;"|"&amp;$D94&amp;"|"&amp;N$14&amp;"|"&amp;"CY2020Q4",Spectrum!$Q:$Q,0)),0),"")</f>
        <v/>
      </c>
      <c r="O94" s="123" t="str">
        <f aca="false">_xlfn.IFNA(INDEX(Spectrum!$P:$P,MATCH(RIGHT($B94,13)&amp;"|"&amp;$C94&amp;"|"&amp;$D94&amp;"|"&amp;N$14&amp;"|"&amp;"CY2020Q4",Spectrum!$Q:$Q,0)),"")</f>
        <v/>
      </c>
      <c r="P94" s="115" t="n">
        <f aca="false">_xlfn.IFNA(ROUND(INDEX(Spectrum!$N:$N,MATCH(RIGHT($B94,13)&amp;"|"&amp;$C94&amp;"|"&amp;$D94&amp;"|"&amp;P$14&amp;"|"&amp;"CY2021Q3",Spectrum!$Q:$Q,0)),0),"")</f>
        <v>334</v>
      </c>
      <c r="Q94" s="123" t="n">
        <f aca="false">_xlfn.IFNA(INDEX(Spectrum!$P:$P,MATCH(RIGHT($B94,13)&amp;"|"&amp;$C94&amp;"|"&amp;$D94&amp;"|"&amp;P$14&amp;"|"&amp;"CY2021Q3",Spectrum!$Q:$Q,0)),"")</f>
        <v>47</v>
      </c>
      <c r="R94" s="115"/>
      <c r="S94" s="123" t="str">
        <f aca="false">IF(OR(SUM($P94)&lt;=0,SUM($R94)&lt;=0),"",SUM($R94)/$P94)</f>
        <v/>
      </c>
      <c r="T94" s="139" t="n">
        <v>25</v>
      </c>
      <c r="U94" s="124" t="n">
        <v>9</v>
      </c>
      <c r="V94" s="124" t="n">
        <f aca="false">IF($U94-$T94=0,"",$U94-$T94)</f>
        <v>-16</v>
      </c>
      <c r="W94" s="123" t="n">
        <f aca="false">IF(LEFT($B94,4)="_Mil","",IFERROR(MIN(IF(SUM($N94)&lt;=0,SUM($U94)/SUM($P94),SUM($T94)/SUM($N94)),1),""))</f>
        <v>0.0269461077844311</v>
      </c>
      <c r="X94" s="123" t="n">
        <f aca="false">$W94</f>
        <v>0.0269461077844311</v>
      </c>
      <c r="Y94" s="123" t="n">
        <f aca="false">IFERROR(1/(1/INDEX(Spectrum!$N:$N,MATCH(RIGHT($B94,13)&amp;"|"&amp;$C94&amp;"|"&amp;$D94&amp;"|"&amp;Y$14&amp;"|"&amp;"CY2021Q3",Spectrum!$Q:$Q,0))),IF(SUM($H94)=0,"",MAX(SUM($P94),SUM($U94))/SUM($H94)))</f>
        <v>0.822660098522167</v>
      </c>
      <c r="Z94" s="123" t="n">
        <f aca="false">IF(SUM($Y94)=0,"",MAX(SUM($Y94),90%))</f>
        <v>0.9</v>
      </c>
      <c r="AA94" s="115" t="n">
        <f aca="false">IF(LEFT($B94,4)="_Mil","",ROUND(MAX(SUM($U94),SUM($P94))+IF(SUM($Z94)=0,0,MAX(SUM($Z94)-SUM($Y94),0)*SUM($H94)),0))</f>
        <v>365</v>
      </c>
      <c r="AB94" s="115" t="n">
        <f aca="false">IF(SUM($AA94)=0,"",ROUND(MAX(SUM($AA94)-MAX(SUM($P94),SUM($U94)),0),0))</f>
        <v>31</v>
      </c>
      <c r="AC94" s="126" t="str">
        <f aca="false">IF($C94="&lt;01",IFERROR(ROUND(INDEX(EID!$N:$N,MATCH($B94,EID!$B:$B,0))/2,0),""),"")</f>
        <v/>
      </c>
      <c r="AD94" s="115" t="n">
        <f aca="false">IF($C94="&lt;01",IF(SUM($AC94)=0,"",ROUND(SUM($AC94)/$AG94,0)),IF(SUM($AB94)=0,"",ROUND(MAX($X94,0)*SUM($AB94),0)))</f>
        <v>1</v>
      </c>
      <c r="AE94" s="115" t="n">
        <f aca="false">IF(AND(SUM($AD94)=0,SUM($U94)=0),"",ROUND(IF($C94="&lt;01",0,SUM($U94))+SUM($AD94),0))</f>
        <v>10</v>
      </c>
      <c r="AF94" s="122" t="n">
        <f aca="false">IF($C94="&lt;01","",100%)</f>
        <v>1</v>
      </c>
      <c r="AG94" s="123" t="n">
        <f aca="false">0.98</f>
        <v>0.98</v>
      </c>
      <c r="AH94" s="123" t="n">
        <f aca="false">0.98</f>
        <v>0.98</v>
      </c>
      <c r="AI94" s="124" t="n">
        <f aca="false">IF(OR($C94="&lt;01",SUM($U94)=0),"",ROUND(SUM($U94)*(1-$AH94),0))</f>
        <v>0</v>
      </c>
      <c r="AJ94" s="124" t="n">
        <f aca="false">IF(AND(SUM($AE94)=0,SUM($U94)=0),"",IF($C94="&lt;01",SUM($AD94),SUM($AE94) - ROUND(SUM($U94)*$AH94,0)))</f>
        <v>1</v>
      </c>
      <c r="AK94" s="124" t="n">
        <v>30</v>
      </c>
      <c r="AL94" s="124" t="n">
        <v>49</v>
      </c>
      <c r="AM94" s="115" t="n">
        <f aca="false">IF(AND(SUM($AD94)=0,SUM($U94)=0),"",IF($C94="&lt;01",SUM($AD94),ROUND(ROUND(SUM($AJ94)*$AF94,0)/$AG94,0)))</f>
        <v>1</v>
      </c>
      <c r="AN94" s="122" t="n">
        <f aca="false">0.7</f>
        <v>0.7</v>
      </c>
      <c r="AO94" s="123" t="n">
        <f aca="false">1</f>
        <v>1</v>
      </c>
      <c r="AP94" s="115" t="n">
        <f aca="false">IF(AND(SUM($U94)=0,SUM($AM94)=0),"",ROUND((SUM($AM94)*$AN94+IF($C94="&lt;01",0,$U94))*$AO94,0))</f>
        <v>10</v>
      </c>
      <c r="AQ94" s="122" t="n">
        <v>2</v>
      </c>
      <c r="AR94" s="123" t="n">
        <f aca="false">0.95</f>
        <v>0.95</v>
      </c>
      <c r="AS94" s="123" t="n">
        <f aca="false">0.95</f>
        <v>0.95</v>
      </c>
      <c r="AT94" s="115" t="n">
        <f aca="false">IF(SUM($AP94)=0,"",ROUND(SUM($AP94)*$AR94,0))</f>
        <v>10</v>
      </c>
      <c r="AU94" s="115" t="n">
        <f aca="false">IF(LEFT($B94,4)="_Mil","",ROUND(SUM($AA94)*SUM($AS94),0))</f>
        <v>347</v>
      </c>
      <c r="AV94" s="124" t="n">
        <f aca="false">IF(SUM($AU94)&lt;=0,"",MAX(SUM($AU94)-SUM($R94),0))</f>
        <v>347</v>
      </c>
      <c r="AW94" s="122" t="n">
        <f aca="false">0</f>
        <v>0</v>
      </c>
      <c r="AX94" s="124" t="n">
        <f aca="false">IF(SUM($AM94)=0,"",ROUND(SUM($AM94)*SUM($AW94),0))</f>
        <v>0</v>
      </c>
      <c r="AY94" s="124" t="n">
        <f aca="false">IF(SUM($AM94)=0,"",SUM($AM94)-SUM($AX94))</f>
        <v>1</v>
      </c>
      <c r="AZ94" s="123" t="n">
        <v>11</v>
      </c>
      <c r="BA94" s="123" t="n">
        <f aca="false">0.95</f>
        <v>0.95</v>
      </c>
      <c r="BB94" s="123"/>
      <c r="BC94" s="123" t="n">
        <f aca="false">IF(OR(SUM($AM94)&lt;=0,$C94="&lt;01"),"",MAX(IF(OR(SUM($Y94)&lt;70%,LEFT($B94,4)="_Mil"),30%,IF(SUM($Y94)&gt;=80%,75%,50%)),SUM($BB94)))</f>
        <v>0.75</v>
      </c>
      <c r="BD94" s="115" t="n">
        <f aca="false">IF($C94="&lt;01",IFERROR(ROUND(INDEX(EID!$M:$M,MATCH($B94,EID!$B:$B,0)),0)/2,""),IF(SUM($AY94)=0,"",ROUND(SUM($AY94)/SUM($BA94),0)))</f>
        <v>1</v>
      </c>
      <c r="BE94" s="115" t="n">
        <f aca="false">IF($C94="&lt;01","",IF(SUM($BD94)=0,"",ROUND(SUM($BD94)*SUM($BC94),0)))</f>
        <v>1</v>
      </c>
      <c r="BF94" s="115" t="str">
        <f aca="false">_xlfn.IFNA(INDEX(PMTCT!$AE:$AE,MATCH($E94,PMTCT!$E:$E,0)),"")</f>
        <v/>
      </c>
      <c r="BG94" s="115" t="str">
        <f aca="false">_xlfn.IFNA(INDEX(PMTCT!$AU:$AU,MATCH($E94,PMTCT!$E:$E,0)),"")</f>
        <v/>
      </c>
      <c r="BH94" s="115" t="n">
        <f aca="false">_xlfn.IFNA(INDEX(TB!$Q:$Q,MATCH($E94,TB!$E:$E,0)),"")</f>
        <v>-0</v>
      </c>
      <c r="BI94" s="115" t="str">
        <f aca="false">_xlfn.IFNA(INDEX(VMMC!$AC:$AC,MATCH($E94,VMMC!$E:$E,0)),"")</f>
        <v/>
      </c>
      <c r="BJ94" s="115" t="str">
        <f aca="false">IF($C94="&lt;01",$BD94,"")</f>
        <v/>
      </c>
      <c r="BK94" s="115" t="n">
        <f aca="false">IF(SUM($BD94)=0,"",($BD94)-SUM($BE94:$BJ94))</f>
        <v>0</v>
      </c>
      <c r="BL94" s="123" t="n">
        <f aca="false">IF(OR(SUM($BD94)=0,SUM($BE94)=0),"",SUM($BE94)/$BD94)</f>
        <v>1</v>
      </c>
      <c r="BM94" s="123" t="str">
        <f aca="false">IF(OR(SUM($BD94)=0,SUM($BF94)=0),"",SUM($BF94)/$BD94)</f>
        <v/>
      </c>
      <c r="BN94" s="123" t="str">
        <f aca="false">IF(OR(SUM($BD94)=0,SUM($BG94)=0),"",SUM($BG94)/$BD94)</f>
        <v/>
      </c>
      <c r="BO94" s="123" t="str">
        <f aca="false">IF(OR(SUM($BD94)=0,SUM($BH94)=0),"",SUM($BH94)/$BD94)</f>
        <v/>
      </c>
      <c r="BP94" s="123" t="str">
        <f aca="false">IF(OR(SUM($BD94)=0,SUM($BI94)=0),"",SUM($BI94)/$BD94)</f>
        <v/>
      </c>
      <c r="BQ94" s="123" t="str">
        <f aca="false">IF(AND($C94="&lt;01",SUM($BJ94)&lt;&gt;0),$BJ94/SUM($BD94),"")</f>
        <v/>
      </c>
      <c r="BR94" s="123" t="str">
        <f aca="false">IF(OR(SUM($BD94)=0,SUM($BK94)=0),"",SUM($BK94)/$BD94)</f>
        <v/>
      </c>
      <c r="BS94" s="122" t="n">
        <f aca="false">IF(SUM($X94)&lt;=0,"",$X94)</f>
        <v>0.0269461077844311</v>
      </c>
      <c r="BT94" s="115" t="n">
        <f aca="false">IF(LEFT($B94,4)="_Mil","",MAX(SUM($L94)+ROUND(SUM($BD94)/IF(SUM($BS94)&lt;=0,1,SUM($BS94)),0),0))</f>
        <v>335</v>
      </c>
    </row>
    <row r="95" customFormat="false" ht="15" hidden="false" customHeight="false" outlineLevel="0" collapsed="false">
      <c r="A95" s="0" t="s">
        <v>144</v>
      </c>
      <c r="B95" s="0" t="s">
        <v>103</v>
      </c>
      <c r="C95" s="0" t="s">
        <v>63</v>
      </c>
      <c r="D95" s="0" t="s">
        <v>56</v>
      </c>
      <c r="E95" s="0" t="str">
        <f aca="false">B95&amp;"|"&amp;C95&amp;"|"&amp;D95</f>
        <v>Leribe [#SNU] [FjSmRywOWUp]|15-19|Female</v>
      </c>
      <c r="F95" s="115" t="n">
        <f aca="false">_xlfn.IFNA(ROUND(INDEX(Spectrum!$N:$N,MATCH(RIGHT($B95,13)&amp;"|"&amp;$C95&amp;"|"&amp;$D95&amp;"|"&amp;F$14&amp;"|"&amp;"CY2021Q3",Spectrum!$Q:$Q,0)),0),"")</f>
        <v>16611</v>
      </c>
      <c r="G95" s="123" t="n">
        <f aca="false">_xlfn.IFNA(INDEX(Spectrum!$P:$P,MATCH(RIGHT($B95,13)&amp;"|"&amp;$C95&amp;"|"&amp;$D95&amp;"|"&amp;F$14&amp;"|"&amp;"CY2021Q3",Spectrum!$Q:$Q,0)),"")</f>
        <v>45</v>
      </c>
      <c r="H95" s="115" t="n">
        <f aca="false">_xlfn.IFNA(ROUND(INDEX(Spectrum!$N:$N,MATCH(RIGHT($B95,13)&amp;"|"&amp;$C95&amp;"|"&amp;$D95&amp;"|"&amp;H$14&amp;"|"&amp;"CY2021Q3",Spectrum!$Q:$Q,0)),0),"")</f>
        <v>689</v>
      </c>
      <c r="I95" s="123" t="n">
        <f aca="false">_xlfn.IFNA(INDEX(Spectrum!$P:$P,MATCH(RIGHT($B95,13)&amp;"|"&amp;$C95&amp;"|"&amp;$D95&amp;"|"&amp;H$14&amp;"|"&amp;"CY2021Q3",Spectrum!$Q:$Q,0)),"")</f>
        <v>44</v>
      </c>
      <c r="J95" s="117" t="n">
        <f aca="false">_xlfn.IFNA(INDEX(Spectrum!$N:$N,MATCH(RIGHT($B95,13)&amp;"|"&amp;$C95&amp;"|"&amp;$D95&amp;"|"&amp;J$14&amp;"|"&amp;"CY2021Q3",Spectrum!$Q:$Q,0)),"")</f>
        <v>0.0414761</v>
      </c>
      <c r="K95" s="123" t="n">
        <f aca="false">_xlfn.IFNA(INDEX(Spectrum!$P:$P,MATCH(RIGHT($B95,13)&amp;"|"&amp;$C95&amp;"|"&amp;$D95&amp;"|"&amp;J$14&amp;"|"&amp;"CY2021Q3",Spectrum!$Q:$Q,0)),"")</f>
        <v>12</v>
      </c>
      <c r="L95" s="115" t="n">
        <f aca="false">_xlfn.IFNA(ROUND(INDEX(Spectrum!$N:$N,MATCH(RIGHT($B95,13)&amp;"|"&amp;$C95&amp;"|"&amp;$D95&amp;"|"&amp;L$14&amp;"|"&amp;"CY2021Q3",Spectrum!$Q:$Q,0)),0),"")</f>
        <v>596</v>
      </c>
      <c r="M95" s="123" t="n">
        <f aca="false">IF(OR(SUM($H95)&lt;=0,SUM($L95)&lt;=0),"",SUM($L95)/$H95)</f>
        <v>0.865021770682148</v>
      </c>
      <c r="N95" s="115" t="str">
        <f aca="false">_xlfn.IFNA(ROUND(INDEX(Spectrum!$N:$N,MATCH(RIGHT($B95,13)&amp;"|"&amp;$C95&amp;"|"&amp;$D95&amp;"|"&amp;N$14&amp;"|"&amp;"CY2020Q4",Spectrum!$Q:$Q,0)),0),"")</f>
        <v/>
      </c>
      <c r="O95" s="123" t="str">
        <f aca="false">_xlfn.IFNA(INDEX(Spectrum!$P:$P,MATCH(RIGHT($B95,13)&amp;"|"&amp;$C95&amp;"|"&amp;$D95&amp;"|"&amp;N$14&amp;"|"&amp;"CY2020Q4",Spectrum!$Q:$Q,0)),"")</f>
        <v/>
      </c>
      <c r="P95" s="115" t="n">
        <f aca="false">_xlfn.IFNA(ROUND(INDEX(Spectrum!$N:$N,MATCH(RIGHT($B95,13)&amp;"|"&amp;$C95&amp;"|"&amp;$D95&amp;"|"&amp;P$14&amp;"|"&amp;"CY2021Q3",Spectrum!$Q:$Q,0)),0),"")</f>
        <v>516</v>
      </c>
      <c r="Q95" s="123" t="n">
        <f aca="false">_xlfn.IFNA(INDEX(Spectrum!$P:$P,MATCH(RIGHT($B95,13)&amp;"|"&amp;$C95&amp;"|"&amp;$D95&amp;"|"&amp;P$14&amp;"|"&amp;"CY2021Q3",Spectrum!$Q:$Q,0)),"")</f>
        <v>36</v>
      </c>
      <c r="R95" s="115"/>
      <c r="S95" s="123" t="str">
        <f aca="false">IF(OR(SUM($P95)&lt;=0,SUM($R95)&lt;=0),"",SUM($R95)/$P95)</f>
        <v/>
      </c>
      <c r="T95" s="139" t="n">
        <v>41</v>
      </c>
      <c r="U95" s="124" t="n">
        <v>11</v>
      </c>
      <c r="V95" s="124" t="n">
        <f aca="false">IF($U95-$T95=0,"",$U95-$T95)</f>
        <v>-30</v>
      </c>
      <c r="W95" s="123" t="n">
        <f aca="false">IF(LEFT($B95,4)="_Mil","",IFERROR(MIN(IF(SUM($N95)&lt;=0,SUM($U95)/SUM($P95),SUM($T95)/SUM($N95)),1),""))</f>
        <v>0.0213178294573643</v>
      </c>
      <c r="X95" s="123" t="n">
        <f aca="false">$W95</f>
        <v>0.0213178294573643</v>
      </c>
      <c r="Y95" s="123" t="n">
        <f aca="false">IFERROR(1/(1/INDEX(Spectrum!$N:$N,MATCH(RIGHT($B95,13)&amp;"|"&amp;$C95&amp;"|"&amp;$D95&amp;"|"&amp;Y$14&amp;"|"&amp;"CY2021Q3",Spectrum!$Q:$Q,0))),IF(SUM($H95)=0,"",MAX(SUM($P95),SUM($U95))/SUM($H95)))</f>
        <v>0.748911465892598</v>
      </c>
      <c r="Z95" s="123" t="n">
        <f aca="false">IF(SUM($Y95)=0,"",MAX(SUM($Y95),90%))</f>
        <v>0.9</v>
      </c>
      <c r="AA95" s="115" t="n">
        <f aca="false">IF(LEFT($B95,4)="_Mil","",ROUND(MAX(SUM($U95),SUM($P95))+IF(SUM($Z95)=0,0,MAX(SUM($Z95)-SUM($Y95),0)*SUM($H95)),0))</f>
        <v>620</v>
      </c>
      <c r="AB95" s="115" t="n">
        <f aca="false">IF(SUM($AA95)=0,"",ROUND(MAX(SUM($AA95)-MAX(SUM($P95),SUM($U95)),0),0))</f>
        <v>104</v>
      </c>
      <c r="AC95" s="126" t="str">
        <f aca="false">IF($C95="&lt;01",IFERROR(ROUND(INDEX(EID!$N:$N,MATCH($B95,EID!$B:$B,0))/2,0),""),"")</f>
        <v/>
      </c>
      <c r="AD95" s="115" t="n">
        <f aca="false">IF($C95="&lt;01",IF(SUM($AC95)=0,"",ROUND(SUM($AC95)/$AG95,0)),IF(SUM($AB95)=0,"",ROUND(MAX($X95,0)*SUM($AB95),0)))</f>
        <v>2</v>
      </c>
      <c r="AE95" s="115" t="n">
        <f aca="false">IF(AND(SUM($AD95)=0,SUM($U95)=0),"",ROUND(IF($C95="&lt;01",0,SUM($U95))+SUM($AD95),0))</f>
        <v>13</v>
      </c>
      <c r="AF95" s="122" t="n">
        <f aca="false">IF($C95="&lt;01","",100%)</f>
        <v>1</v>
      </c>
      <c r="AG95" s="123" t="n">
        <f aca="false">0.98</f>
        <v>0.98</v>
      </c>
      <c r="AH95" s="123" t="n">
        <f aca="false">0.98</f>
        <v>0.98</v>
      </c>
      <c r="AI95" s="124" t="n">
        <f aca="false">IF(OR($C95="&lt;01",SUM($U95)=0),"",ROUND(SUM($U95)*(1-$AH95),0))</f>
        <v>0</v>
      </c>
      <c r="AJ95" s="124" t="n">
        <f aca="false">IF(AND(SUM($AE95)=0,SUM($U95)=0),"",IF($C95="&lt;01",SUM($AD95),SUM($AE95) - ROUND(SUM($U95)*$AH95,0)))</f>
        <v>2</v>
      </c>
      <c r="AK95" s="124" t="n">
        <v>8</v>
      </c>
      <c r="AL95" s="124" t="n">
        <v>28</v>
      </c>
      <c r="AM95" s="115" t="n">
        <f aca="false">IF(AND(SUM($AD95)=0,SUM($U95)=0),"",IF($C95="&lt;01",SUM($AD95),ROUND(ROUND(SUM($AJ95)*$AF95,0)/$AG95,0)))</f>
        <v>2</v>
      </c>
      <c r="AN95" s="122" t="n">
        <f aca="false">0.7</f>
        <v>0.7</v>
      </c>
      <c r="AO95" s="123" t="n">
        <f aca="false">1</f>
        <v>1</v>
      </c>
      <c r="AP95" s="115" t="n">
        <f aca="false">IF(AND(SUM($U95)=0,SUM($AM95)=0),"",ROUND((SUM($AM95)*$AN95+IF($C95="&lt;01",0,$U95))*$AO95,0))</f>
        <v>12</v>
      </c>
      <c r="AQ95" s="122" t="n">
        <v>33</v>
      </c>
      <c r="AR95" s="123" t="n">
        <f aca="false">0.95</f>
        <v>0.95</v>
      </c>
      <c r="AS95" s="123" t="n">
        <f aca="false">0.95</f>
        <v>0.95</v>
      </c>
      <c r="AT95" s="115" t="n">
        <f aca="false">IF(SUM($AP95)=0,"",ROUND(SUM($AP95)*$AR95,0))</f>
        <v>11</v>
      </c>
      <c r="AU95" s="115" t="n">
        <f aca="false">IF(LEFT($B95,4)="_Mil","",ROUND(SUM($AA95)*SUM($AS95),0))</f>
        <v>589</v>
      </c>
      <c r="AV95" s="124" t="n">
        <f aca="false">IF(SUM($AU95)&lt;=0,"",MAX(SUM($AU95)-SUM($R95),0))</f>
        <v>589</v>
      </c>
      <c r="AW95" s="122" t="n">
        <f aca="false">0</f>
        <v>0</v>
      </c>
      <c r="AX95" s="124" t="n">
        <f aca="false">IF(SUM($AM95)=0,"",ROUND(SUM($AM95)*SUM($AW95),0))</f>
        <v>0</v>
      </c>
      <c r="AY95" s="124" t="n">
        <f aca="false">IF(SUM($AM95)=0,"",SUM($AM95)-SUM($AX95))</f>
        <v>2</v>
      </c>
      <c r="AZ95" s="123" t="n">
        <v>25</v>
      </c>
      <c r="BA95" s="123" t="n">
        <f aca="false">0.95</f>
        <v>0.95</v>
      </c>
      <c r="BB95" s="123"/>
      <c r="BC95" s="123" t="n">
        <f aca="false">IF(OR(SUM($AM95)&lt;=0,$C95="&lt;01"),"",MAX(IF(OR(SUM($Y95)&lt;70%,LEFT($B95,4)="_Mil"),30%,IF(SUM($Y95)&gt;=80%,75%,50%)),SUM($BB95)))</f>
        <v>0.5</v>
      </c>
      <c r="BD95" s="115" t="n">
        <f aca="false">IF($C95="&lt;01",IFERROR(ROUND(INDEX(EID!$M:$M,MATCH($B95,EID!$B:$B,0)),0)/2,""),IF(SUM($AY95)=0,"",ROUND(SUM($AY95)/SUM($BA95),0)))</f>
        <v>2</v>
      </c>
      <c r="BE95" s="115" t="n">
        <f aca="false">IF($C95="&lt;01","",IF(SUM($BD95)=0,"",ROUND(SUM($BD95)*SUM($BC95),0)))</f>
        <v>1</v>
      </c>
      <c r="BF95" s="115" t="n">
        <f aca="false">_xlfn.IFNA(INDEX(PMTCT!$AE:$AE,MATCH($E95,PMTCT!$E:$E,0)),"")</f>
        <v>-1178</v>
      </c>
      <c r="BG95" s="115" t="str">
        <f aca="false">_xlfn.IFNA(INDEX(PMTCT!$AU:$AU,MATCH($E95,PMTCT!$E:$E,0)),"")</f>
        <v/>
      </c>
      <c r="BH95" s="115" t="n">
        <f aca="false">_xlfn.IFNA(INDEX(TB!$Q:$Q,MATCH($E95,TB!$E:$E,0)),"")</f>
        <v>-11319</v>
      </c>
      <c r="BI95" s="115" t="str">
        <f aca="false">_xlfn.IFNA(INDEX(VMMC!$AC:$AC,MATCH($E95,VMMC!$E:$E,0)),"")</f>
        <v/>
      </c>
      <c r="BJ95" s="115" t="str">
        <f aca="false">IF($C95="&lt;01",$BD95,"")</f>
        <v/>
      </c>
      <c r="BK95" s="115" t="n">
        <f aca="false">IF(SUM($BD95)=0,"",($BD95)-SUM($BE95:$BJ95))</f>
        <v>12498</v>
      </c>
      <c r="BL95" s="123" t="n">
        <f aca="false">IF(OR(SUM($BD95)=0,SUM($BE95)=0),"",SUM($BE95)/$BD95)</f>
        <v>0.5</v>
      </c>
      <c r="BM95" s="123" t="n">
        <f aca="false">IF(OR(SUM($BD95)=0,SUM($BF95)=0),"",SUM($BF95)/$BD95)</f>
        <v>-589</v>
      </c>
      <c r="BN95" s="123" t="str">
        <f aca="false">IF(OR(SUM($BD95)=0,SUM($BG95)=0),"",SUM($BG95)/$BD95)</f>
        <v/>
      </c>
      <c r="BO95" s="123" t="n">
        <f aca="false">IF(OR(SUM($BD95)=0,SUM($BH95)=0),"",SUM($BH95)/$BD95)</f>
        <v>-5659.5</v>
      </c>
      <c r="BP95" s="123" t="str">
        <f aca="false">IF(OR(SUM($BD95)=0,SUM($BI95)=0),"",SUM($BI95)/$BD95)</f>
        <v/>
      </c>
      <c r="BQ95" s="123" t="str">
        <f aca="false">IF(AND($C95="&lt;01",SUM($BJ95)&lt;&gt;0),$BJ95/SUM($BD95),"")</f>
        <v/>
      </c>
      <c r="BR95" s="123" t="n">
        <f aca="false">IF(OR(SUM($BD95)=0,SUM($BK95)=0),"",SUM($BK95)/$BD95)</f>
        <v>6249</v>
      </c>
      <c r="BS95" s="122" t="n">
        <f aca="false">IF(SUM($X95)&lt;=0,"",$X95)</f>
        <v>0.0213178294573643</v>
      </c>
      <c r="BT95" s="115" t="n">
        <f aca="false">IF(LEFT($B95,4)="_Mil","",MAX(SUM($L95)+ROUND(SUM($BD95)/IF(SUM($BS95)&lt;=0,1,SUM($BS95)),0),0))</f>
        <v>690</v>
      </c>
    </row>
    <row r="96" customFormat="false" ht="15" hidden="false" customHeight="false" outlineLevel="0" collapsed="false">
      <c r="A96" s="0" t="s">
        <v>144</v>
      </c>
      <c r="B96" s="0" t="s">
        <v>103</v>
      </c>
      <c r="C96" s="0" t="s">
        <v>63</v>
      </c>
      <c r="D96" s="0" t="s">
        <v>58</v>
      </c>
      <c r="E96" s="0" t="str">
        <f aca="false">B96&amp;"|"&amp;C96&amp;"|"&amp;D96</f>
        <v>Leribe [#SNU] [FjSmRywOWUp]|15-19|Male</v>
      </c>
      <c r="F96" s="115" t="n">
        <f aca="false">_xlfn.IFNA(ROUND(INDEX(Spectrum!$N:$N,MATCH(RIGHT($B96,13)&amp;"|"&amp;$C96&amp;"|"&amp;$D96&amp;"|"&amp;F$14&amp;"|"&amp;"CY2021Q3",Spectrum!$Q:$Q,0)),0),"")</f>
        <v>17285</v>
      </c>
      <c r="G96" s="123" t="n">
        <f aca="false">_xlfn.IFNA(INDEX(Spectrum!$P:$P,MATCH(RIGHT($B96,13)&amp;"|"&amp;$C96&amp;"|"&amp;$D96&amp;"|"&amp;F$14&amp;"|"&amp;"CY2021Q3",Spectrum!$Q:$Q,0)),"")</f>
        <v>37</v>
      </c>
      <c r="H96" s="115" t="n">
        <f aca="false">_xlfn.IFNA(ROUND(INDEX(Spectrum!$N:$N,MATCH(RIGHT($B96,13)&amp;"|"&amp;$C96&amp;"|"&amp;$D96&amp;"|"&amp;H$14&amp;"|"&amp;"CY2021Q3",Spectrum!$Q:$Q,0)),0),"")</f>
        <v>408</v>
      </c>
      <c r="I96" s="123" t="n">
        <f aca="false">_xlfn.IFNA(INDEX(Spectrum!$P:$P,MATCH(RIGHT($B96,13)&amp;"|"&amp;$C96&amp;"|"&amp;$D96&amp;"|"&amp;H$14&amp;"|"&amp;"CY2021Q3",Spectrum!$Q:$Q,0)),"")</f>
        <v>3</v>
      </c>
      <c r="J96" s="117" t="n">
        <f aca="false">_xlfn.IFNA(INDEX(Spectrum!$N:$N,MATCH(RIGHT($B96,13)&amp;"|"&amp;$C96&amp;"|"&amp;$D96&amp;"|"&amp;J$14&amp;"|"&amp;"CY2021Q3",Spectrum!$Q:$Q,0)),"")</f>
        <v>0.0236021</v>
      </c>
      <c r="K96" s="123" t="n">
        <f aca="false">_xlfn.IFNA(INDEX(Spectrum!$P:$P,MATCH(RIGHT($B96,13)&amp;"|"&amp;$C96&amp;"|"&amp;$D96&amp;"|"&amp;J$14&amp;"|"&amp;"CY2021Q3",Spectrum!$Q:$Q,0)),"")</f>
        <v>49</v>
      </c>
      <c r="L96" s="115" t="n">
        <f aca="false">_xlfn.IFNA(ROUND(INDEX(Spectrum!$N:$N,MATCH(RIGHT($B96,13)&amp;"|"&amp;$C96&amp;"|"&amp;$D96&amp;"|"&amp;L$14&amp;"|"&amp;"CY2021Q3",Spectrum!$Q:$Q,0)),0),"")</f>
        <v>416</v>
      </c>
      <c r="M96" s="123" t="n">
        <f aca="false">IF(OR(SUM($H96)&lt;=0,SUM($L96)&lt;=0),"",SUM($L96)/$H96)</f>
        <v>1.01960784313725</v>
      </c>
      <c r="N96" s="115" t="str">
        <f aca="false">_xlfn.IFNA(ROUND(INDEX(Spectrum!$N:$N,MATCH(RIGHT($B96,13)&amp;"|"&amp;$C96&amp;"|"&amp;$D96&amp;"|"&amp;N$14&amp;"|"&amp;"CY2020Q4",Spectrum!$Q:$Q,0)),0),"")</f>
        <v/>
      </c>
      <c r="O96" s="123" t="str">
        <f aca="false">_xlfn.IFNA(INDEX(Spectrum!$P:$P,MATCH(RIGHT($B96,13)&amp;"|"&amp;$C96&amp;"|"&amp;$D96&amp;"|"&amp;N$14&amp;"|"&amp;"CY2020Q4",Spectrum!$Q:$Q,0)),"")</f>
        <v/>
      </c>
      <c r="P96" s="115" t="n">
        <f aca="false">_xlfn.IFNA(ROUND(INDEX(Spectrum!$N:$N,MATCH(RIGHT($B96,13)&amp;"|"&amp;$C96&amp;"|"&amp;$D96&amp;"|"&amp;P$14&amp;"|"&amp;"CY2021Q3",Spectrum!$Q:$Q,0)),0),"")</f>
        <v>369</v>
      </c>
      <c r="Q96" s="123" t="n">
        <f aca="false">_xlfn.IFNA(INDEX(Spectrum!$P:$P,MATCH(RIGHT($B96,13)&amp;"|"&amp;$C96&amp;"|"&amp;$D96&amp;"|"&amp;P$14&amp;"|"&amp;"CY2021Q3",Spectrum!$Q:$Q,0)),"")</f>
        <v>30</v>
      </c>
      <c r="R96" s="115"/>
      <c r="S96" s="123" t="str">
        <f aca="false">IF(OR(SUM($P96)&lt;=0,SUM($R96)&lt;=0),"",SUM($R96)/$P96)</f>
        <v/>
      </c>
      <c r="T96" s="139" t="n">
        <v>42</v>
      </c>
      <c r="U96" s="124" t="n">
        <v>48</v>
      </c>
      <c r="V96" s="124" t="n">
        <f aca="false">IF($U96-$T96=0,"",$U96-$T96)</f>
        <v>6</v>
      </c>
      <c r="W96" s="123" t="n">
        <f aca="false">IF(LEFT($B96,4)="_Mil","",IFERROR(MIN(IF(SUM($N96)&lt;=0,SUM($U96)/SUM($P96),SUM($T96)/SUM($N96)),1),""))</f>
        <v>0.130081300813008</v>
      </c>
      <c r="X96" s="123" t="n">
        <f aca="false">$W96</f>
        <v>0.130081300813008</v>
      </c>
      <c r="Y96" s="123" t="n">
        <f aca="false">IFERROR(1/(1/INDEX(Spectrum!$N:$N,MATCH(RIGHT($B96,13)&amp;"|"&amp;$C96&amp;"|"&amp;$D96&amp;"|"&amp;Y$14&amp;"|"&amp;"CY2021Q3",Spectrum!$Q:$Q,0))),IF(SUM($H96)=0,"",MAX(SUM($P96),SUM($U96))/SUM($H96)))</f>
        <v>0.904411764705882</v>
      </c>
      <c r="Z96" s="123" t="n">
        <f aca="false">IF(SUM($Y96)=0,"",MAX(SUM($Y96),90%))</f>
        <v>0.904411764705882</v>
      </c>
      <c r="AA96" s="115" t="n">
        <f aca="false">IF(LEFT($B96,4)="_Mil","",ROUND(MAX(SUM($U96),SUM($P96))+IF(SUM($Z96)=0,0,MAX(SUM($Z96)-SUM($Y96),0)*SUM($H96)),0))</f>
        <v>369</v>
      </c>
      <c r="AB96" s="115" t="n">
        <f aca="false">IF(SUM($AA96)=0,"",ROUND(MAX(SUM($AA96)-MAX(SUM($P96),SUM($U96)),0),0))</f>
        <v>0</v>
      </c>
      <c r="AC96" s="126" t="str">
        <f aca="false">IF($C96="&lt;01",IFERROR(ROUND(INDEX(EID!$N:$N,MATCH($B96,EID!$B:$B,0))/2,0),""),"")</f>
        <v/>
      </c>
      <c r="AD96" s="115" t="str">
        <f aca="false">IF($C96="&lt;01",IF(SUM($AC96)=0,"",ROUND(SUM($AC96)/$AG96,0)),IF(SUM($AB96)=0,"",ROUND(MAX($X96,0)*SUM($AB96),0)))</f>
        <v/>
      </c>
      <c r="AE96" s="115" t="n">
        <f aca="false">IF(AND(SUM($AD96)=0,SUM($U96)=0),"",ROUND(IF($C96="&lt;01",0,SUM($U96))+SUM($AD96),0))</f>
        <v>48</v>
      </c>
      <c r="AF96" s="122" t="n">
        <f aca="false">IF($C96="&lt;01","",100%)</f>
        <v>1</v>
      </c>
      <c r="AG96" s="123" t="n">
        <f aca="false">0.98</f>
        <v>0.98</v>
      </c>
      <c r="AH96" s="123" t="n">
        <f aca="false">0.98</f>
        <v>0.98</v>
      </c>
      <c r="AI96" s="124" t="n">
        <f aca="false">IF(OR($C96="&lt;01",SUM($U96)=0),"",ROUND(SUM($U96)*(1-$AH96),0))</f>
        <v>1</v>
      </c>
      <c r="AJ96" s="124" t="n">
        <f aca="false">IF(AND(SUM($AE96)=0,SUM($U96)=0),"",IF($C96="&lt;01",SUM($AD96),SUM($AE96) - ROUND(SUM($U96)*$AH96,0)))</f>
        <v>1</v>
      </c>
      <c r="AK96" s="124" t="n">
        <v>47</v>
      </c>
      <c r="AL96" s="124" t="n">
        <v>49</v>
      </c>
      <c r="AM96" s="115" t="n">
        <f aca="false">IF(AND(SUM($AD96)=0,SUM($U96)=0),"",IF($C96="&lt;01",SUM($AD96),ROUND(ROUND(SUM($AJ96)*$AF96,0)/$AG96,0)))</f>
        <v>1</v>
      </c>
      <c r="AN96" s="122" t="n">
        <f aca="false">0.7</f>
        <v>0.7</v>
      </c>
      <c r="AO96" s="123" t="n">
        <f aca="false">1</f>
        <v>1</v>
      </c>
      <c r="AP96" s="115" t="n">
        <f aca="false">IF(AND(SUM($U96)=0,SUM($AM96)=0),"",ROUND((SUM($AM96)*$AN96+IF($C96="&lt;01",0,$U96))*$AO96,0))</f>
        <v>49</v>
      </c>
      <c r="AQ96" s="122" t="n">
        <v>41</v>
      </c>
      <c r="AR96" s="123" t="n">
        <f aca="false">0.95</f>
        <v>0.95</v>
      </c>
      <c r="AS96" s="123" t="n">
        <f aca="false">0.95</f>
        <v>0.95</v>
      </c>
      <c r="AT96" s="115" t="n">
        <f aca="false">IF(SUM($AP96)=0,"",ROUND(SUM($AP96)*$AR96,0))</f>
        <v>47</v>
      </c>
      <c r="AU96" s="115" t="n">
        <f aca="false">IF(LEFT($B96,4)="_Mil","",ROUND(SUM($AA96)*SUM($AS96),0))</f>
        <v>351</v>
      </c>
      <c r="AV96" s="124" t="n">
        <f aca="false">IF(SUM($AU96)&lt;=0,"",MAX(SUM($AU96)-SUM($R96),0))</f>
        <v>351</v>
      </c>
      <c r="AW96" s="122" t="n">
        <f aca="false">0</f>
        <v>0</v>
      </c>
      <c r="AX96" s="124" t="n">
        <f aca="false">IF(SUM($AM96)=0,"",ROUND(SUM($AM96)*SUM($AW96),0))</f>
        <v>0</v>
      </c>
      <c r="AY96" s="124" t="n">
        <f aca="false">IF(SUM($AM96)=0,"",SUM($AM96)-SUM($AX96))</f>
        <v>1</v>
      </c>
      <c r="AZ96" s="123" t="n">
        <v>48</v>
      </c>
      <c r="BA96" s="123" t="n">
        <f aca="false">0.95</f>
        <v>0.95</v>
      </c>
      <c r="BB96" s="123"/>
      <c r="BC96" s="123" t="n">
        <f aca="false">IF(OR(SUM($AM96)&lt;=0,$C96="&lt;01"),"",MAX(IF(OR(SUM($Y96)&lt;70%,LEFT($B96,4)="_Mil"),30%,IF(SUM($Y96)&gt;=80%,75%,50%)),SUM($BB96)))</f>
        <v>0.75</v>
      </c>
      <c r="BD96" s="115" t="n">
        <f aca="false">IF($C96="&lt;01",IFERROR(ROUND(INDEX(EID!$M:$M,MATCH($B96,EID!$B:$B,0)),0)/2,""),IF(SUM($AY96)=0,"",ROUND(SUM($AY96)/SUM($BA96),0)))</f>
        <v>1</v>
      </c>
      <c r="BE96" s="115" t="n">
        <f aca="false">IF($C96="&lt;01","",IF(SUM($BD96)=0,"",ROUND(SUM($BD96)*SUM($BC96),0)))</f>
        <v>1</v>
      </c>
      <c r="BF96" s="115" t="str">
        <f aca="false">_xlfn.IFNA(INDEX(PMTCT!$AE:$AE,MATCH($E96,PMTCT!$E:$E,0)),"")</f>
        <v/>
      </c>
      <c r="BG96" s="115" t="str">
        <f aca="false">_xlfn.IFNA(INDEX(PMTCT!$AU:$AU,MATCH($E96,PMTCT!$E:$E,0)),"")</f>
        <v/>
      </c>
      <c r="BH96" s="115" t="n">
        <f aca="false">_xlfn.IFNA(INDEX(TB!$Q:$Q,MATCH($E96,TB!$E:$E,0)),"")</f>
        <v>-30888</v>
      </c>
      <c r="BI96" s="115" t="str">
        <f aca="false">_xlfn.IFNA(INDEX(VMMC!$AC:$AC,MATCH($E96,VMMC!$E:$E,0)),"")</f>
        <v/>
      </c>
      <c r="BJ96" s="115" t="str">
        <f aca="false">IF($C96="&lt;01",$BD96,"")</f>
        <v/>
      </c>
      <c r="BK96" s="115" t="n">
        <f aca="false">IF(SUM($BD96)=0,"",($BD96)-SUM($BE96:$BJ96))</f>
        <v>30888</v>
      </c>
      <c r="BL96" s="123" t="n">
        <f aca="false">IF(OR(SUM($BD96)=0,SUM($BE96)=0),"",SUM($BE96)/$BD96)</f>
        <v>1</v>
      </c>
      <c r="BM96" s="123" t="str">
        <f aca="false">IF(OR(SUM($BD96)=0,SUM($BF96)=0),"",SUM($BF96)/$BD96)</f>
        <v/>
      </c>
      <c r="BN96" s="123" t="str">
        <f aca="false">IF(OR(SUM($BD96)=0,SUM($BG96)=0),"",SUM($BG96)/$BD96)</f>
        <v/>
      </c>
      <c r="BO96" s="123" t="n">
        <f aca="false">IF(OR(SUM($BD96)=0,SUM($BH96)=0),"",SUM($BH96)/$BD96)</f>
        <v>-30888</v>
      </c>
      <c r="BP96" s="123" t="str">
        <f aca="false">IF(OR(SUM($BD96)=0,SUM($BI96)=0),"",SUM($BI96)/$BD96)</f>
        <v/>
      </c>
      <c r="BQ96" s="123" t="str">
        <f aca="false">IF(AND($C96="&lt;01",SUM($BJ96)&lt;&gt;0),$BJ96/SUM($BD96),"")</f>
        <v/>
      </c>
      <c r="BR96" s="123" t="n">
        <f aca="false">IF(OR(SUM($BD96)=0,SUM($BK96)=0),"",SUM($BK96)/$BD96)</f>
        <v>30888</v>
      </c>
      <c r="BS96" s="122" t="n">
        <f aca="false">IF(SUM($X96)&lt;=0,"",$X96)</f>
        <v>0.130081300813008</v>
      </c>
      <c r="BT96" s="115" t="n">
        <f aca="false">IF(LEFT($B96,4)="_Mil","",MAX(SUM($L96)+ROUND(SUM($BD96)/IF(SUM($BS96)&lt;=0,1,SUM($BS96)),0),0))</f>
        <v>424</v>
      </c>
    </row>
    <row r="97" customFormat="false" ht="15" hidden="false" customHeight="false" outlineLevel="0" collapsed="false">
      <c r="A97" s="0" t="s">
        <v>144</v>
      </c>
      <c r="B97" s="0" t="s">
        <v>103</v>
      </c>
      <c r="C97" s="0" t="s">
        <v>66</v>
      </c>
      <c r="D97" s="0" t="s">
        <v>56</v>
      </c>
      <c r="E97" s="0" t="str">
        <f aca="false">B97&amp;"|"&amp;C97&amp;"|"&amp;D97</f>
        <v>Leribe [#SNU] [FjSmRywOWUp]|20-24|Female</v>
      </c>
      <c r="F97" s="115" t="n">
        <f aca="false">_xlfn.IFNA(ROUND(INDEX(Spectrum!$N:$N,MATCH(RIGHT($B97,13)&amp;"|"&amp;$C97&amp;"|"&amp;$D97&amp;"|"&amp;F$14&amp;"|"&amp;"CY2021Q3",Spectrum!$Q:$Q,0)),0),"")</f>
        <v>16902</v>
      </c>
      <c r="G97" s="123" t="n">
        <f aca="false">_xlfn.IFNA(INDEX(Spectrum!$P:$P,MATCH(RIGHT($B97,13)&amp;"|"&amp;$C97&amp;"|"&amp;$D97&amp;"|"&amp;F$14&amp;"|"&amp;"CY2021Q3",Spectrum!$Q:$Q,0)),"")</f>
        <v>35</v>
      </c>
      <c r="H97" s="115" t="n">
        <f aca="false">_xlfn.IFNA(ROUND(INDEX(Spectrum!$N:$N,MATCH(RIGHT($B97,13)&amp;"|"&amp;$C97&amp;"|"&amp;$D97&amp;"|"&amp;H$14&amp;"|"&amp;"CY2021Q3",Spectrum!$Q:$Q,0)),0),"")</f>
        <v>1905</v>
      </c>
      <c r="I97" s="123" t="n">
        <f aca="false">_xlfn.IFNA(INDEX(Spectrum!$P:$P,MATCH(RIGHT($B97,13)&amp;"|"&amp;$C97&amp;"|"&amp;$D97&amp;"|"&amp;H$14&amp;"|"&amp;"CY2021Q3",Spectrum!$Q:$Q,0)),"")</f>
        <v>1</v>
      </c>
      <c r="J97" s="117" t="n">
        <f aca="false">_xlfn.IFNA(INDEX(Spectrum!$N:$N,MATCH(RIGHT($B97,13)&amp;"|"&amp;$C97&amp;"|"&amp;$D97&amp;"|"&amp;J$14&amp;"|"&amp;"CY2021Q3",Spectrum!$Q:$Q,0)),"")</f>
        <v>0.1126852</v>
      </c>
      <c r="K97" s="123" t="n">
        <f aca="false">_xlfn.IFNA(INDEX(Spectrum!$P:$P,MATCH(RIGHT($B97,13)&amp;"|"&amp;$C97&amp;"|"&amp;$D97&amp;"|"&amp;J$14&amp;"|"&amp;"CY2021Q3",Spectrum!$Q:$Q,0)),"")</f>
        <v>2</v>
      </c>
      <c r="L97" s="115" t="n">
        <f aca="false">_xlfn.IFNA(ROUND(INDEX(Spectrum!$N:$N,MATCH(RIGHT($B97,13)&amp;"|"&amp;$C97&amp;"|"&amp;$D97&amp;"|"&amp;L$14&amp;"|"&amp;"CY2021Q3",Spectrum!$Q:$Q,0)),0),"")</f>
        <v>1545</v>
      </c>
      <c r="M97" s="123" t="n">
        <f aca="false">IF(OR(SUM($H97)&lt;=0,SUM($L97)&lt;=0),"",SUM($L97)/$H97)</f>
        <v>0.811023622047244</v>
      </c>
      <c r="N97" s="115" t="str">
        <f aca="false">_xlfn.IFNA(ROUND(INDEX(Spectrum!$N:$N,MATCH(RIGHT($B97,13)&amp;"|"&amp;$C97&amp;"|"&amp;$D97&amp;"|"&amp;N$14&amp;"|"&amp;"CY2020Q4",Spectrum!$Q:$Q,0)),0),"")</f>
        <v/>
      </c>
      <c r="O97" s="123" t="str">
        <f aca="false">_xlfn.IFNA(INDEX(Spectrum!$P:$P,MATCH(RIGHT($B97,13)&amp;"|"&amp;$C97&amp;"|"&amp;$D97&amp;"|"&amp;N$14&amp;"|"&amp;"CY2020Q4",Spectrum!$Q:$Q,0)),"")</f>
        <v/>
      </c>
      <c r="P97" s="115" t="n">
        <f aca="false">_xlfn.IFNA(ROUND(INDEX(Spectrum!$N:$N,MATCH(RIGHT($B97,13)&amp;"|"&amp;$C97&amp;"|"&amp;$D97&amp;"|"&amp;P$14&amp;"|"&amp;"CY2021Q3",Spectrum!$Q:$Q,0)),0),"")</f>
        <v>1304</v>
      </c>
      <c r="Q97" s="123" t="n">
        <f aca="false">_xlfn.IFNA(INDEX(Spectrum!$P:$P,MATCH(RIGHT($B97,13)&amp;"|"&amp;$C97&amp;"|"&amp;$D97&amp;"|"&amp;P$14&amp;"|"&amp;"CY2021Q3",Spectrum!$Q:$Q,0)),"")</f>
        <v>41</v>
      </c>
      <c r="R97" s="115"/>
      <c r="S97" s="123" t="str">
        <f aca="false">IF(OR(SUM($P97)&lt;=0,SUM($R97)&lt;=0),"",SUM($R97)/$P97)</f>
        <v/>
      </c>
      <c r="T97" s="139" t="n">
        <v>12</v>
      </c>
      <c r="U97" s="124" t="n">
        <v>48</v>
      </c>
      <c r="V97" s="124" t="n">
        <f aca="false">IF($U97-$T97=0,"",$U97-$T97)</f>
        <v>36</v>
      </c>
      <c r="W97" s="123" t="n">
        <f aca="false">IF(LEFT($B97,4)="_Mil","",IFERROR(MIN(IF(SUM($N97)&lt;=0,SUM($U97)/SUM($P97),SUM($T97)/SUM($N97)),1),""))</f>
        <v>0.0368098159509202</v>
      </c>
      <c r="X97" s="123" t="n">
        <f aca="false">$W97</f>
        <v>0.0368098159509202</v>
      </c>
      <c r="Y97" s="123" t="n">
        <f aca="false">IFERROR(1/(1/INDEX(Spectrum!$N:$N,MATCH(RIGHT($B97,13)&amp;"|"&amp;$C97&amp;"|"&amp;$D97&amp;"|"&amp;Y$14&amp;"|"&amp;"CY2021Q3",Spectrum!$Q:$Q,0))),IF(SUM($H97)=0,"",MAX(SUM($P97),SUM($U97))/SUM($H97)))</f>
        <v>0.684514435695538</v>
      </c>
      <c r="Z97" s="123" t="n">
        <f aca="false">IF(SUM($Y97)=0,"",MAX(SUM($Y97),90%))</f>
        <v>0.9</v>
      </c>
      <c r="AA97" s="115" t="n">
        <f aca="false">IF(LEFT($B97,4)="_Mil","",ROUND(MAX(SUM($U97),SUM($P97))+IF(SUM($Z97)=0,0,MAX(SUM($Z97)-SUM($Y97),0)*SUM($H97)),0))</f>
        <v>1715</v>
      </c>
      <c r="AB97" s="115" t="n">
        <f aca="false">IF(SUM($AA97)=0,"",ROUND(MAX(SUM($AA97)-MAX(SUM($P97),SUM($U97)),0),0))</f>
        <v>411</v>
      </c>
      <c r="AC97" s="126" t="str">
        <f aca="false">IF($C97="&lt;01",IFERROR(ROUND(INDEX(EID!$N:$N,MATCH($B97,EID!$B:$B,0))/2,0),""),"")</f>
        <v/>
      </c>
      <c r="AD97" s="115" t="n">
        <f aca="false">IF($C97="&lt;01",IF(SUM($AC97)=0,"",ROUND(SUM($AC97)/$AG97,0)),IF(SUM($AB97)=0,"",ROUND(MAX($X97,0)*SUM($AB97),0)))</f>
        <v>15</v>
      </c>
      <c r="AE97" s="115" t="n">
        <f aca="false">IF(AND(SUM($AD97)=0,SUM($U97)=0),"",ROUND(IF($C97="&lt;01",0,SUM($U97))+SUM($AD97),0))</f>
        <v>63</v>
      </c>
      <c r="AF97" s="122" t="n">
        <f aca="false">IF($C97="&lt;01","",100%)</f>
        <v>1</v>
      </c>
      <c r="AG97" s="123" t="n">
        <f aca="false">0.98</f>
        <v>0.98</v>
      </c>
      <c r="AH97" s="123" t="n">
        <f aca="false">0.98</f>
        <v>0.98</v>
      </c>
      <c r="AI97" s="124" t="n">
        <f aca="false">IF(OR($C97="&lt;01",SUM($U97)=0),"",ROUND(SUM($U97)*(1-$AH97),0))</f>
        <v>1</v>
      </c>
      <c r="AJ97" s="124" t="n">
        <f aca="false">IF(AND(SUM($AE97)=0,SUM($U97)=0),"",IF($C97="&lt;01",SUM($AD97),SUM($AE97) - ROUND(SUM($U97)*$AH97,0)))</f>
        <v>16</v>
      </c>
      <c r="AK97" s="124" t="n">
        <v>47</v>
      </c>
      <c r="AL97" s="124" t="n">
        <v>16</v>
      </c>
      <c r="AM97" s="115" t="n">
        <f aca="false">IF(AND(SUM($AD97)=0,SUM($U97)=0),"",IF($C97="&lt;01",SUM($AD97),ROUND(ROUND(SUM($AJ97)*$AF97,0)/$AG97,0)))</f>
        <v>16</v>
      </c>
      <c r="AN97" s="122" t="n">
        <f aca="false">0.7</f>
        <v>0.7</v>
      </c>
      <c r="AO97" s="123" t="n">
        <f aca="false">1</f>
        <v>1</v>
      </c>
      <c r="AP97" s="115" t="n">
        <f aca="false">IF(AND(SUM($U97)=0,SUM($AM97)=0),"",ROUND((SUM($AM97)*$AN97+IF($C97="&lt;01",0,$U97))*$AO97,0))</f>
        <v>59</v>
      </c>
      <c r="AQ97" s="122" t="n">
        <v>37</v>
      </c>
      <c r="AR97" s="123" t="n">
        <f aca="false">0.95</f>
        <v>0.95</v>
      </c>
      <c r="AS97" s="123" t="n">
        <f aca="false">0.95</f>
        <v>0.95</v>
      </c>
      <c r="AT97" s="115" t="n">
        <f aca="false">IF(SUM($AP97)=0,"",ROUND(SUM($AP97)*$AR97,0))</f>
        <v>56</v>
      </c>
      <c r="AU97" s="115" t="n">
        <f aca="false">IF(LEFT($B97,4)="_Mil","",ROUND(SUM($AA97)*SUM($AS97),0))</f>
        <v>1629</v>
      </c>
      <c r="AV97" s="124" t="n">
        <f aca="false">IF(SUM($AU97)&lt;=0,"",MAX(SUM($AU97)-SUM($R97),0))</f>
        <v>1629</v>
      </c>
      <c r="AW97" s="122" t="n">
        <f aca="false">0</f>
        <v>0</v>
      </c>
      <c r="AX97" s="124" t="n">
        <f aca="false">IF(SUM($AM97)=0,"",ROUND(SUM($AM97)*SUM($AW97),0))</f>
        <v>0</v>
      </c>
      <c r="AY97" s="124" t="n">
        <f aca="false">IF(SUM($AM97)=0,"",SUM($AM97)-SUM($AX97))</f>
        <v>16</v>
      </c>
      <c r="AZ97" s="123" t="n">
        <v>19</v>
      </c>
      <c r="BA97" s="123" t="n">
        <f aca="false">0.95</f>
        <v>0.95</v>
      </c>
      <c r="BB97" s="123"/>
      <c r="BC97" s="123" t="n">
        <f aca="false">IF(OR(SUM($AM97)&lt;=0,$C97="&lt;01"),"",MAX(IF(OR(SUM($Y97)&lt;70%,LEFT($B97,4)="_Mil"),30%,IF(SUM($Y97)&gt;=80%,75%,50%)),SUM($BB97)))</f>
        <v>0.3</v>
      </c>
      <c r="BD97" s="115" t="n">
        <f aca="false">IF($C97="&lt;01",IFERROR(ROUND(INDEX(EID!$M:$M,MATCH($B97,EID!$B:$B,0)),0)/2,""),IF(SUM($AY97)=0,"",ROUND(SUM($AY97)/SUM($BA97),0)))</f>
        <v>17</v>
      </c>
      <c r="BE97" s="115" t="n">
        <f aca="false">IF($C97="&lt;01","",IF(SUM($BD97)=0,"",ROUND(SUM($BD97)*SUM($BC97),0)))</f>
        <v>5</v>
      </c>
      <c r="BF97" s="115" t="n">
        <f aca="false">_xlfn.IFNA(INDEX(PMTCT!$AE:$AE,MATCH($E97,PMTCT!$E:$E,0)),"")</f>
        <v>-20</v>
      </c>
      <c r="BG97" s="115" t="str">
        <f aca="false">_xlfn.IFNA(INDEX(PMTCT!$AU:$AU,MATCH($E97,PMTCT!$E:$E,0)),"")</f>
        <v/>
      </c>
      <c r="BH97" s="115" t="n">
        <f aca="false">_xlfn.IFNA(INDEX(TB!$Q:$Q,MATCH($E97,TB!$E:$E,0)),"")</f>
        <v>-0</v>
      </c>
      <c r="BI97" s="115" t="str">
        <f aca="false">_xlfn.IFNA(INDEX(VMMC!$AC:$AC,MATCH($E97,VMMC!$E:$E,0)),"")</f>
        <v/>
      </c>
      <c r="BJ97" s="115" t="str">
        <f aca="false">IF($C97="&lt;01",$BD97,"")</f>
        <v/>
      </c>
      <c r="BK97" s="115" t="n">
        <f aca="false">IF(SUM($BD97)=0,"",($BD97)-SUM($BE97:$BJ97))</f>
        <v>32</v>
      </c>
      <c r="BL97" s="123" t="n">
        <f aca="false">IF(OR(SUM($BD97)=0,SUM($BE97)=0),"",SUM($BE97)/$BD97)</f>
        <v>0.294117647058823</v>
      </c>
      <c r="BM97" s="123" t="n">
        <f aca="false">IF(OR(SUM($BD97)=0,SUM($BF97)=0),"",SUM($BF97)/$BD97)</f>
        <v>-1.17647058823529</v>
      </c>
      <c r="BN97" s="123" t="str">
        <f aca="false">IF(OR(SUM($BD97)=0,SUM($BG97)=0),"",SUM($BG97)/$BD97)</f>
        <v/>
      </c>
      <c r="BO97" s="123" t="str">
        <f aca="false">IF(OR(SUM($BD97)=0,SUM($BH97)=0),"",SUM($BH97)/$BD97)</f>
        <v/>
      </c>
      <c r="BP97" s="123" t="str">
        <f aca="false">IF(OR(SUM($BD97)=0,SUM($BI97)=0),"",SUM($BI97)/$BD97)</f>
        <v/>
      </c>
      <c r="BQ97" s="123" t="str">
        <f aca="false">IF(AND($C97="&lt;01",SUM($BJ97)&lt;&gt;0),$BJ97/SUM($BD97),"")</f>
        <v/>
      </c>
      <c r="BR97" s="123" t="n">
        <f aca="false">IF(OR(SUM($BD97)=0,SUM($BK97)=0),"",SUM($BK97)/$BD97)</f>
        <v>1.88235294117647</v>
      </c>
      <c r="BS97" s="122" t="n">
        <f aca="false">IF(SUM($X97)&lt;=0,"",$X97)</f>
        <v>0.0368098159509202</v>
      </c>
      <c r="BT97" s="115" t="n">
        <f aca="false">IF(LEFT($B97,4)="_Mil","",MAX(SUM($L97)+ROUND(SUM($BD97)/IF(SUM($BS97)&lt;=0,1,SUM($BS97)),0),0))</f>
        <v>2007</v>
      </c>
    </row>
    <row r="98" customFormat="false" ht="15" hidden="false" customHeight="false" outlineLevel="0" collapsed="false">
      <c r="A98" s="0" t="s">
        <v>144</v>
      </c>
      <c r="B98" s="0" t="s">
        <v>103</v>
      </c>
      <c r="C98" s="0" t="s">
        <v>66</v>
      </c>
      <c r="D98" s="0" t="s">
        <v>58</v>
      </c>
      <c r="E98" s="0" t="str">
        <f aca="false">B98&amp;"|"&amp;C98&amp;"|"&amp;D98</f>
        <v>Leribe [#SNU] [FjSmRywOWUp]|20-24|Male</v>
      </c>
      <c r="F98" s="115" t="n">
        <f aca="false">_xlfn.IFNA(ROUND(INDEX(Spectrum!$N:$N,MATCH(RIGHT($B98,13)&amp;"|"&amp;$C98&amp;"|"&amp;$D98&amp;"|"&amp;F$14&amp;"|"&amp;"CY2021Q3",Spectrum!$Q:$Q,0)),0),"")</f>
        <v>16334</v>
      </c>
      <c r="G98" s="123" t="n">
        <f aca="false">_xlfn.IFNA(INDEX(Spectrum!$P:$P,MATCH(RIGHT($B98,13)&amp;"|"&amp;$C98&amp;"|"&amp;$D98&amp;"|"&amp;F$14&amp;"|"&amp;"CY2021Q3",Spectrum!$Q:$Q,0)),"")</f>
        <v>28</v>
      </c>
      <c r="H98" s="115" t="n">
        <f aca="false">_xlfn.IFNA(ROUND(INDEX(Spectrum!$N:$N,MATCH(RIGHT($B98,13)&amp;"|"&amp;$C98&amp;"|"&amp;$D98&amp;"|"&amp;H$14&amp;"|"&amp;"CY2021Q3",Spectrum!$Q:$Q,0)),0),"")</f>
        <v>690</v>
      </c>
      <c r="I98" s="123" t="n">
        <f aca="false">_xlfn.IFNA(INDEX(Spectrum!$P:$P,MATCH(RIGHT($B98,13)&amp;"|"&amp;$C98&amp;"|"&amp;$D98&amp;"|"&amp;H$14&amp;"|"&amp;"CY2021Q3",Spectrum!$Q:$Q,0)),"")</f>
        <v>25</v>
      </c>
      <c r="J98" s="117" t="n">
        <f aca="false">_xlfn.IFNA(INDEX(Spectrum!$N:$N,MATCH(RIGHT($B98,13)&amp;"|"&amp;$C98&amp;"|"&amp;$D98&amp;"|"&amp;J$14&amp;"|"&amp;"CY2021Q3",Spectrum!$Q:$Q,0)),"")</f>
        <v>0.0422183</v>
      </c>
      <c r="K98" s="123" t="n">
        <f aca="false">_xlfn.IFNA(INDEX(Spectrum!$P:$P,MATCH(RIGHT($B98,13)&amp;"|"&amp;$C98&amp;"|"&amp;$D98&amp;"|"&amp;J$14&amp;"|"&amp;"CY2021Q3",Spectrum!$Q:$Q,0)),"")</f>
        <v>45</v>
      </c>
      <c r="L98" s="115" t="n">
        <f aca="false">_xlfn.IFNA(ROUND(INDEX(Spectrum!$N:$N,MATCH(RIGHT($B98,13)&amp;"|"&amp;$C98&amp;"|"&amp;$D98&amp;"|"&amp;L$14&amp;"|"&amp;"CY2021Q3",Spectrum!$Q:$Q,0)),0),"")</f>
        <v>551</v>
      </c>
      <c r="M98" s="123" t="n">
        <f aca="false">IF(OR(SUM($H98)&lt;=0,SUM($L98)&lt;=0),"",SUM($L98)/$H98)</f>
        <v>0.798550724637681</v>
      </c>
      <c r="N98" s="115" t="str">
        <f aca="false">_xlfn.IFNA(ROUND(INDEX(Spectrum!$N:$N,MATCH(RIGHT($B98,13)&amp;"|"&amp;$C98&amp;"|"&amp;$D98&amp;"|"&amp;N$14&amp;"|"&amp;"CY2020Q4",Spectrum!$Q:$Q,0)),0),"")</f>
        <v/>
      </c>
      <c r="O98" s="123" t="str">
        <f aca="false">_xlfn.IFNA(INDEX(Spectrum!$P:$P,MATCH(RIGHT($B98,13)&amp;"|"&amp;$C98&amp;"|"&amp;$D98&amp;"|"&amp;N$14&amp;"|"&amp;"CY2020Q4",Spectrum!$Q:$Q,0)),"")</f>
        <v/>
      </c>
      <c r="P98" s="115" t="n">
        <f aca="false">_xlfn.IFNA(ROUND(INDEX(Spectrum!$N:$N,MATCH(RIGHT($B98,13)&amp;"|"&amp;$C98&amp;"|"&amp;$D98&amp;"|"&amp;P$14&amp;"|"&amp;"CY2021Q3",Spectrum!$Q:$Q,0)),0),"")</f>
        <v>409</v>
      </c>
      <c r="Q98" s="123" t="n">
        <f aca="false">_xlfn.IFNA(INDEX(Spectrum!$P:$P,MATCH(RIGHT($B98,13)&amp;"|"&amp;$C98&amp;"|"&amp;$D98&amp;"|"&amp;P$14&amp;"|"&amp;"CY2021Q3",Spectrum!$Q:$Q,0)),"")</f>
        <v>50</v>
      </c>
      <c r="R98" s="115"/>
      <c r="S98" s="123" t="str">
        <f aca="false">IF(OR(SUM($P98)&lt;=0,SUM($R98)&lt;=0),"",SUM($R98)/$P98)</f>
        <v/>
      </c>
      <c r="T98" s="139" t="n">
        <v>12</v>
      </c>
      <c r="U98" s="124" t="n">
        <v>2</v>
      </c>
      <c r="V98" s="124" t="n">
        <f aca="false">IF($U98-$T98=0,"",$U98-$T98)</f>
        <v>-10</v>
      </c>
      <c r="W98" s="123" t="n">
        <f aca="false">IF(LEFT($B98,4)="_Mil","",IFERROR(MIN(IF(SUM($N98)&lt;=0,SUM($U98)/SUM($P98),SUM($T98)/SUM($N98)),1),""))</f>
        <v>0.00488997555012225</v>
      </c>
      <c r="X98" s="123" t="n">
        <f aca="false">$W98</f>
        <v>0.00488997555012225</v>
      </c>
      <c r="Y98" s="123" t="n">
        <f aca="false">IFERROR(1/(1/INDEX(Spectrum!$N:$N,MATCH(RIGHT($B98,13)&amp;"|"&amp;$C98&amp;"|"&amp;$D98&amp;"|"&amp;Y$14&amp;"|"&amp;"CY2021Q3",Spectrum!$Q:$Q,0))),IF(SUM($H98)=0,"",MAX(SUM($P98),SUM($U98))/SUM($H98)))</f>
        <v>0.592753623188406</v>
      </c>
      <c r="Z98" s="123" t="n">
        <f aca="false">IF(SUM($Y98)=0,"",MAX(SUM($Y98),90%))</f>
        <v>0.9</v>
      </c>
      <c r="AA98" s="115" t="n">
        <f aca="false">IF(LEFT($B98,4)="_Mil","",ROUND(MAX(SUM($U98),SUM($P98))+IF(SUM($Z98)=0,0,MAX(SUM($Z98)-SUM($Y98),0)*SUM($H98)),0))</f>
        <v>621</v>
      </c>
      <c r="AB98" s="115" t="n">
        <f aca="false">IF(SUM($AA98)=0,"",ROUND(MAX(SUM($AA98)-MAX(SUM($P98),SUM($U98)),0),0))</f>
        <v>212</v>
      </c>
      <c r="AC98" s="126" t="str">
        <f aca="false">IF($C98="&lt;01",IFERROR(ROUND(INDEX(EID!$N:$N,MATCH($B98,EID!$B:$B,0))/2,0),""),"")</f>
        <v/>
      </c>
      <c r="AD98" s="115" t="n">
        <f aca="false">IF($C98="&lt;01",IF(SUM($AC98)=0,"",ROUND(SUM($AC98)/$AG98,0)),IF(SUM($AB98)=0,"",ROUND(MAX($X98,0)*SUM($AB98),0)))</f>
        <v>1</v>
      </c>
      <c r="AE98" s="115" t="n">
        <f aca="false">IF(AND(SUM($AD98)=0,SUM($U98)=0),"",ROUND(IF($C98="&lt;01",0,SUM($U98))+SUM($AD98),0))</f>
        <v>3</v>
      </c>
      <c r="AF98" s="122" t="n">
        <f aca="false">IF($C98="&lt;01","",100%)</f>
        <v>1</v>
      </c>
      <c r="AG98" s="123" t="n">
        <f aca="false">0.98</f>
        <v>0.98</v>
      </c>
      <c r="AH98" s="123" t="n">
        <f aca="false">0.98</f>
        <v>0.98</v>
      </c>
      <c r="AI98" s="124" t="n">
        <f aca="false">IF(OR($C98="&lt;01",SUM($U98)=0),"",ROUND(SUM($U98)*(1-$AH98),0))</f>
        <v>0</v>
      </c>
      <c r="AJ98" s="124" t="n">
        <f aca="false">IF(AND(SUM($AE98)=0,SUM($U98)=0),"",IF($C98="&lt;01",SUM($AD98),SUM($AE98) - ROUND(SUM($U98)*$AH98,0)))</f>
        <v>1</v>
      </c>
      <c r="AK98" s="124" t="n">
        <v>20</v>
      </c>
      <c r="AL98" s="124" t="n">
        <v>10</v>
      </c>
      <c r="AM98" s="115" t="n">
        <f aca="false">IF(AND(SUM($AD98)=0,SUM($U98)=0),"",IF($C98="&lt;01",SUM($AD98),ROUND(ROUND(SUM($AJ98)*$AF98,0)/$AG98,0)))</f>
        <v>1</v>
      </c>
      <c r="AN98" s="122" t="n">
        <f aca="false">0.7</f>
        <v>0.7</v>
      </c>
      <c r="AO98" s="123" t="n">
        <f aca="false">1</f>
        <v>1</v>
      </c>
      <c r="AP98" s="115" t="n">
        <f aca="false">IF(AND(SUM($U98)=0,SUM($AM98)=0),"",ROUND((SUM($AM98)*$AN98+IF($C98="&lt;01",0,$U98))*$AO98,0))</f>
        <v>3</v>
      </c>
      <c r="AQ98" s="122" t="n">
        <v>13</v>
      </c>
      <c r="AR98" s="123" t="n">
        <f aca="false">0.95</f>
        <v>0.95</v>
      </c>
      <c r="AS98" s="123" t="n">
        <f aca="false">0.95</f>
        <v>0.95</v>
      </c>
      <c r="AT98" s="115" t="n">
        <f aca="false">IF(SUM($AP98)=0,"",ROUND(SUM($AP98)*$AR98,0))</f>
        <v>3</v>
      </c>
      <c r="AU98" s="115" t="n">
        <f aca="false">IF(LEFT($B98,4)="_Mil","",ROUND(SUM($AA98)*SUM($AS98),0))</f>
        <v>590</v>
      </c>
      <c r="AV98" s="124" t="n">
        <f aca="false">IF(SUM($AU98)&lt;=0,"",MAX(SUM($AU98)-SUM($R98),0))</f>
        <v>590</v>
      </c>
      <c r="AW98" s="122" t="n">
        <f aca="false">0</f>
        <v>0</v>
      </c>
      <c r="AX98" s="124" t="n">
        <f aca="false">IF(SUM($AM98)=0,"",ROUND(SUM($AM98)*SUM($AW98),0))</f>
        <v>0</v>
      </c>
      <c r="AY98" s="124" t="n">
        <f aca="false">IF(SUM($AM98)=0,"",SUM($AM98)-SUM($AX98))</f>
        <v>1</v>
      </c>
      <c r="AZ98" s="123" t="n">
        <v>31</v>
      </c>
      <c r="BA98" s="123" t="n">
        <f aca="false">0.95</f>
        <v>0.95</v>
      </c>
      <c r="BB98" s="123"/>
      <c r="BC98" s="123" t="n">
        <f aca="false">IF(OR(SUM($AM98)&lt;=0,$C98="&lt;01"),"",MAX(IF(OR(SUM($Y98)&lt;70%,LEFT($B98,4)="_Mil"),30%,IF(SUM($Y98)&gt;=80%,75%,50%)),SUM($BB98)))</f>
        <v>0.3</v>
      </c>
      <c r="BD98" s="115" t="n">
        <f aca="false">IF($C98="&lt;01",IFERROR(ROUND(INDEX(EID!$M:$M,MATCH($B98,EID!$B:$B,0)),0)/2,""),IF(SUM($AY98)=0,"",ROUND(SUM($AY98)/SUM($BA98),0)))</f>
        <v>1</v>
      </c>
      <c r="BE98" s="115" t="n">
        <f aca="false">IF($C98="&lt;01","",IF(SUM($BD98)=0,"",ROUND(SUM($BD98)*SUM($BC98),0)))</f>
        <v>0</v>
      </c>
      <c r="BF98" s="115" t="str">
        <f aca="false">_xlfn.IFNA(INDEX(PMTCT!$AE:$AE,MATCH($E98,PMTCT!$E:$E,0)),"")</f>
        <v/>
      </c>
      <c r="BG98" s="115" t="str">
        <f aca="false">_xlfn.IFNA(INDEX(PMTCT!$AU:$AU,MATCH($E98,PMTCT!$E:$E,0)),"")</f>
        <v/>
      </c>
      <c r="BH98" s="115" t="n">
        <f aca="false">_xlfn.IFNA(INDEX(TB!$Q:$Q,MATCH($E98,TB!$E:$E,0)),"")</f>
        <v>-0</v>
      </c>
      <c r="BI98" s="115" t="str">
        <f aca="false">_xlfn.IFNA(INDEX(VMMC!$AC:$AC,MATCH($E98,VMMC!$E:$E,0)),"")</f>
        <v/>
      </c>
      <c r="BJ98" s="115" t="str">
        <f aca="false">IF($C98="&lt;01",$BD98,"")</f>
        <v/>
      </c>
      <c r="BK98" s="115" t="n">
        <f aca="false">IF(SUM($BD98)=0,"",($BD98)-SUM($BE98:$BJ98))</f>
        <v>1</v>
      </c>
      <c r="BL98" s="123" t="str">
        <f aca="false">IF(OR(SUM($BD98)=0,SUM($BE98)=0),"",SUM($BE98)/$BD98)</f>
        <v/>
      </c>
      <c r="BM98" s="123" t="str">
        <f aca="false">IF(OR(SUM($BD98)=0,SUM($BF98)=0),"",SUM($BF98)/$BD98)</f>
        <v/>
      </c>
      <c r="BN98" s="123" t="str">
        <f aca="false">IF(OR(SUM($BD98)=0,SUM($BG98)=0),"",SUM($BG98)/$BD98)</f>
        <v/>
      </c>
      <c r="BO98" s="123" t="str">
        <f aca="false">IF(OR(SUM($BD98)=0,SUM($BH98)=0),"",SUM($BH98)/$BD98)</f>
        <v/>
      </c>
      <c r="BP98" s="123" t="str">
        <f aca="false">IF(OR(SUM($BD98)=0,SUM($BI98)=0),"",SUM($BI98)/$BD98)</f>
        <v/>
      </c>
      <c r="BQ98" s="123" t="str">
        <f aca="false">IF(AND($C98="&lt;01",SUM($BJ98)&lt;&gt;0),$BJ98/SUM($BD98),"")</f>
        <v/>
      </c>
      <c r="BR98" s="123" t="n">
        <f aca="false">IF(OR(SUM($BD98)=0,SUM($BK98)=0),"",SUM($BK98)/$BD98)</f>
        <v>1</v>
      </c>
      <c r="BS98" s="122" t="n">
        <f aca="false">IF(SUM($X98)&lt;=0,"",$X98)</f>
        <v>0.00488997555012225</v>
      </c>
      <c r="BT98" s="115" t="n">
        <f aca="false">IF(LEFT($B98,4)="_Mil","",MAX(SUM($L98)+ROUND(SUM($BD98)/IF(SUM($BS98)&lt;=0,1,SUM($BS98)),0),0))</f>
        <v>756</v>
      </c>
    </row>
    <row r="99" customFormat="false" ht="15" hidden="false" customHeight="false" outlineLevel="0" collapsed="false">
      <c r="A99" s="0" t="s">
        <v>144</v>
      </c>
      <c r="B99" s="0" t="s">
        <v>103</v>
      </c>
      <c r="C99" s="0" t="s">
        <v>69</v>
      </c>
      <c r="D99" s="0" t="s">
        <v>56</v>
      </c>
      <c r="E99" s="0" t="str">
        <f aca="false">B99&amp;"|"&amp;C99&amp;"|"&amp;D99</f>
        <v>Leribe [#SNU] [FjSmRywOWUp]|25-29|Female</v>
      </c>
      <c r="F99" s="115" t="n">
        <f aca="false">_xlfn.IFNA(ROUND(INDEX(Spectrum!$N:$N,MATCH(RIGHT($B99,13)&amp;"|"&amp;$C99&amp;"|"&amp;$D99&amp;"|"&amp;F$14&amp;"|"&amp;"CY2021Q3",Spectrum!$Q:$Q,0)),0),"")</f>
        <v>17366</v>
      </c>
      <c r="G99" s="123" t="n">
        <f aca="false">_xlfn.IFNA(INDEX(Spectrum!$P:$P,MATCH(RIGHT($B99,13)&amp;"|"&amp;$C99&amp;"|"&amp;$D99&amp;"|"&amp;F$14&amp;"|"&amp;"CY2021Q3",Spectrum!$Q:$Q,0)),"")</f>
        <v>40</v>
      </c>
      <c r="H99" s="115" t="n">
        <f aca="false">_xlfn.IFNA(ROUND(INDEX(Spectrum!$N:$N,MATCH(RIGHT($B99,13)&amp;"|"&amp;$C99&amp;"|"&amp;$D99&amp;"|"&amp;H$14&amp;"|"&amp;"CY2021Q3",Spectrum!$Q:$Q,0)),0),"")</f>
        <v>3689</v>
      </c>
      <c r="I99" s="123" t="n">
        <f aca="false">_xlfn.IFNA(INDEX(Spectrum!$P:$P,MATCH(RIGHT($B99,13)&amp;"|"&amp;$C99&amp;"|"&amp;$D99&amp;"|"&amp;H$14&amp;"|"&amp;"CY2021Q3",Spectrum!$Q:$Q,0)),"")</f>
        <v>10</v>
      </c>
      <c r="J99" s="117" t="n">
        <f aca="false">_xlfn.IFNA(INDEX(Spectrum!$N:$N,MATCH(RIGHT($B99,13)&amp;"|"&amp;$C99&amp;"|"&amp;$D99&amp;"|"&amp;J$14&amp;"|"&amp;"CY2021Q3",Spectrum!$Q:$Q,0)),"")</f>
        <v>0.2124353</v>
      </c>
      <c r="K99" s="123" t="n">
        <f aca="false">_xlfn.IFNA(INDEX(Spectrum!$P:$P,MATCH(RIGHT($B99,13)&amp;"|"&amp;$C99&amp;"|"&amp;$D99&amp;"|"&amp;J$14&amp;"|"&amp;"CY2021Q3",Spectrum!$Q:$Q,0)),"")</f>
        <v>46</v>
      </c>
      <c r="L99" s="115" t="n">
        <f aca="false">_xlfn.IFNA(ROUND(INDEX(Spectrum!$N:$N,MATCH(RIGHT($B99,13)&amp;"|"&amp;$C99&amp;"|"&amp;$D99&amp;"|"&amp;L$14&amp;"|"&amp;"CY2021Q3",Spectrum!$Q:$Q,0)),0),"")</f>
        <v>2894</v>
      </c>
      <c r="M99" s="123" t="n">
        <f aca="false">IF(OR(SUM($H99)&lt;=0,SUM($L99)&lt;=0),"",SUM($L99)/$H99)</f>
        <v>0.784494442938466</v>
      </c>
      <c r="N99" s="115" t="str">
        <f aca="false">_xlfn.IFNA(ROUND(INDEX(Spectrum!$N:$N,MATCH(RIGHT($B99,13)&amp;"|"&amp;$C99&amp;"|"&amp;$D99&amp;"|"&amp;N$14&amp;"|"&amp;"CY2020Q4",Spectrum!$Q:$Q,0)),0),"")</f>
        <v/>
      </c>
      <c r="O99" s="123" t="str">
        <f aca="false">_xlfn.IFNA(INDEX(Spectrum!$P:$P,MATCH(RIGHT($B99,13)&amp;"|"&amp;$C99&amp;"|"&amp;$D99&amp;"|"&amp;N$14&amp;"|"&amp;"CY2020Q4",Spectrum!$Q:$Q,0)),"")</f>
        <v/>
      </c>
      <c r="P99" s="115" t="n">
        <f aca="false">_xlfn.IFNA(ROUND(INDEX(Spectrum!$N:$N,MATCH(RIGHT($B99,13)&amp;"|"&amp;$C99&amp;"|"&amp;$D99&amp;"|"&amp;P$14&amp;"|"&amp;"CY2021Q3",Spectrum!$Q:$Q,0)),0),"")</f>
        <v>2561</v>
      </c>
      <c r="Q99" s="123" t="n">
        <f aca="false">_xlfn.IFNA(INDEX(Spectrum!$P:$P,MATCH(RIGHT($B99,13)&amp;"|"&amp;$C99&amp;"|"&amp;$D99&amp;"|"&amp;P$14&amp;"|"&amp;"CY2021Q3",Spectrum!$Q:$Q,0)),"")</f>
        <v>47</v>
      </c>
      <c r="R99" s="115"/>
      <c r="S99" s="123" t="str">
        <f aca="false">IF(OR(SUM($P99)&lt;=0,SUM($R99)&lt;=0),"",SUM($R99)/$P99)</f>
        <v/>
      </c>
      <c r="T99" s="139" t="n">
        <v>15</v>
      </c>
      <c r="U99" s="124" t="n">
        <v>21</v>
      </c>
      <c r="V99" s="124" t="n">
        <f aca="false">IF($U99-$T99=0,"",$U99-$T99)</f>
        <v>6</v>
      </c>
      <c r="W99" s="123" t="n">
        <f aca="false">IF(LEFT($B99,4)="_Mil","",IFERROR(MIN(IF(SUM($N99)&lt;=0,SUM($U99)/SUM($P99),SUM($T99)/SUM($N99)),1),""))</f>
        <v>0.00819992190550566</v>
      </c>
      <c r="X99" s="123" t="n">
        <f aca="false">$W99</f>
        <v>0.00819992190550566</v>
      </c>
      <c r="Y99" s="123" t="n">
        <f aca="false">IFERROR(1/(1/INDEX(Spectrum!$N:$N,MATCH(RIGHT($B99,13)&amp;"|"&amp;$C99&amp;"|"&amp;$D99&amp;"|"&amp;Y$14&amp;"|"&amp;"CY2021Q3",Spectrum!$Q:$Q,0))),IF(SUM($H99)=0,"",MAX(SUM($P99),SUM($U99))/SUM($H99)))</f>
        <v>0.694226077527785</v>
      </c>
      <c r="Z99" s="123" t="n">
        <f aca="false">IF(SUM($Y99)=0,"",MAX(SUM($Y99),90%))</f>
        <v>0.9</v>
      </c>
      <c r="AA99" s="115" t="n">
        <f aca="false">IF(LEFT($B99,4)="_Mil","",ROUND(MAX(SUM($U99),SUM($P99))+IF(SUM($Z99)=0,0,MAX(SUM($Z99)-SUM($Y99),0)*SUM($H99)),0))</f>
        <v>3320</v>
      </c>
      <c r="AB99" s="115" t="n">
        <f aca="false">IF(SUM($AA99)=0,"",ROUND(MAX(SUM($AA99)-MAX(SUM($P99),SUM($U99)),0),0))</f>
        <v>759</v>
      </c>
      <c r="AC99" s="126" t="str">
        <f aca="false">IF($C99="&lt;01",IFERROR(ROUND(INDEX(EID!$N:$N,MATCH($B99,EID!$B:$B,0))/2,0),""),"")</f>
        <v/>
      </c>
      <c r="AD99" s="115" t="n">
        <f aca="false">IF($C99="&lt;01",IF(SUM($AC99)=0,"",ROUND(SUM($AC99)/$AG99,0)),IF(SUM($AB99)=0,"",ROUND(MAX($X99,0)*SUM($AB99),0)))</f>
        <v>6</v>
      </c>
      <c r="AE99" s="115" t="n">
        <f aca="false">IF(AND(SUM($AD99)=0,SUM($U99)=0),"",ROUND(IF($C99="&lt;01",0,SUM($U99))+SUM($AD99),0))</f>
        <v>27</v>
      </c>
      <c r="AF99" s="122" t="n">
        <f aca="false">IF($C99="&lt;01","",100%)</f>
        <v>1</v>
      </c>
      <c r="AG99" s="123" t="n">
        <f aca="false">0.98</f>
        <v>0.98</v>
      </c>
      <c r="AH99" s="123" t="n">
        <f aca="false">0.98</f>
        <v>0.98</v>
      </c>
      <c r="AI99" s="124" t="n">
        <f aca="false">IF(OR($C99="&lt;01",SUM($U99)=0),"",ROUND(SUM($U99)*(1-$AH99),0))</f>
        <v>0</v>
      </c>
      <c r="AJ99" s="124" t="n">
        <f aca="false">IF(AND(SUM($AE99)=0,SUM($U99)=0),"",IF($C99="&lt;01",SUM($AD99),SUM($AE99) - ROUND(SUM($U99)*$AH99,0)))</f>
        <v>6</v>
      </c>
      <c r="AK99" s="124" t="n">
        <v>14</v>
      </c>
      <c r="AL99" s="124" t="n">
        <v>47</v>
      </c>
      <c r="AM99" s="115" t="n">
        <f aca="false">IF(AND(SUM($AD99)=0,SUM($U99)=0),"",IF($C99="&lt;01",SUM($AD99),ROUND(ROUND(SUM($AJ99)*$AF99,0)/$AG99,0)))</f>
        <v>6</v>
      </c>
      <c r="AN99" s="122" t="n">
        <f aca="false">0.7</f>
        <v>0.7</v>
      </c>
      <c r="AO99" s="123" t="n">
        <f aca="false">1</f>
        <v>1</v>
      </c>
      <c r="AP99" s="115" t="n">
        <f aca="false">IF(AND(SUM($U99)=0,SUM($AM99)=0),"",ROUND((SUM($AM99)*$AN99+IF($C99="&lt;01",0,$U99))*$AO99,0))</f>
        <v>25</v>
      </c>
      <c r="AQ99" s="122" t="n">
        <v>17</v>
      </c>
      <c r="AR99" s="123" t="n">
        <f aca="false">0.95</f>
        <v>0.95</v>
      </c>
      <c r="AS99" s="123" t="n">
        <f aca="false">0.95</f>
        <v>0.95</v>
      </c>
      <c r="AT99" s="115" t="n">
        <f aca="false">IF(SUM($AP99)=0,"",ROUND(SUM($AP99)*$AR99,0))</f>
        <v>24</v>
      </c>
      <c r="AU99" s="115" t="n">
        <f aca="false">IF(LEFT($B99,4)="_Mil","",ROUND(SUM($AA99)*SUM($AS99),0))</f>
        <v>3154</v>
      </c>
      <c r="AV99" s="124" t="n">
        <f aca="false">IF(SUM($AU99)&lt;=0,"",MAX(SUM($AU99)-SUM($R99),0))</f>
        <v>3154</v>
      </c>
      <c r="AW99" s="122" t="n">
        <f aca="false">0</f>
        <v>0</v>
      </c>
      <c r="AX99" s="124" t="n">
        <f aca="false">IF(SUM($AM99)=0,"",ROUND(SUM($AM99)*SUM($AW99),0))</f>
        <v>0</v>
      </c>
      <c r="AY99" s="124" t="n">
        <f aca="false">IF(SUM($AM99)=0,"",SUM($AM99)-SUM($AX99))</f>
        <v>6</v>
      </c>
      <c r="AZ99" s="123" t="n">
        <v>35</v>
      </c>
      <c r="BA99" s="123" t="n">
        <f aca="false">0.95</f>
        <v>0.95</v>
      </c>
      <c r="BB99" s="123"/>
      <c r="BC99" s="123" t="n">
        <f aca="false">IF(OR(SUM($AM99)&lt;=0,$C99="&lt;01"),"",MAX(IF(OR(SUM($Y99)&lt;70%,LEFT($B99,4)="_Mil"),30%,IF(SUM($Y99)&gt;=80%,75%,50%)),SUM($BB99)))</f>
        <v>0.3</v>
      </c>
      <c r="BD99" s="115" t="n">
        <f aca="false">IF($C99="&lt;01",IFERROR(ROUND(INDEX(EID!$M:$M,MATCH($B99,EID!$B:$B,0)),0)/2,""),IF(SUM($AY99)=0,"",ROUND(SUM($AY99)/SUM($BA99),0)))</f>
        <v>6</v>
      </c>
      <c r="BE99" s="115" t="n">
        <f aca="false">IF($C99="&lt;01","",IF(SUM($BD99)=0,"",ROUND(SUM($BD99)*SUM($BC99),0)))</f>
        <v>2</v>
      </c>
      <c r="BF99" s="115" t="n">
        <f aca="false">_xlfn.IFNA(INDEX(PMTCT!$AE:$AE,MATCH($E99,PMTCT!$E:$E,0)),"")</f>
        <v>-20592</v>
      </c>
      <c r="BG99" s="115" t="str">
        <f aca="false">_xlfn.IFNA(INDEX(PMTCT!$AU:$AU,MATCH($E99,PMTCT!$E:$E,0)),"")</f>
        <v/>
      </c>
      <c r="BH99" s="115" t="n">
        <f aca="false">_xlfn.IFNA(INDEX(TB!$Q:$Q,MATCH($E99,TB!$E:$E,0)),"")</f>
        <v>-12005</v>
      </c>
      <c r="BI99" s="115" t="str">
        <f aca="false">_xlfn.IFNA(INDEX(VMMC!$AC:$AC,MATCH($E99,VMMC!$E:$E,0)),"")</f>
        <v/>
      </c>
      <c r="BJ99" s="115" t="str">
        <f aca="false">IF($C99="&lt;01",$BD99,"")</f>
        <v/>
      </c>
      <c r="BK99" s="115" t="n">
        <f aca="false">IF(SUM($BD99)=0,"",($BD99)-SUM($BE99:$BJ99))</f>
        <v>32601</v>
      </c>
      <c r="BL99" s="123" t="n">
        <f aca="false">IF(OR(SUM($BD99)=0,SUM($BE99)=0),"",SUM($BE99)/$BD99)</f>
        <v>0.333333333333333</v>
      </c>
      <c r="BM99" s="123" t="n">
        <f aca="false">IF(OR(SUM($BD99)=0,SUM($BF99)=0),"",SUM($BF99)/$BD99)</f>
        <v>-3432</v>
      </c>
      <c r="BN99" s="123" t="str">
        <f aca="false">IF(OR(SUM($BD99)=0,SUM($BG99)=0),"",SUM($BG99)/$BD99)</f>
        <v/>
      </c>
      <c r="BO99" s="123" t="n">
        <f aca="false">IF(OR(SUM($BD99)=0,SUM($BH99)=0),"",SUM($BH99)/$BD99)</f>
        <v>-2000.83333333333</v>
      </c>
      <c r="BP99" s="123" t="str">
        <f aca="false">IF(OR(SUM($BD99)=0,SUM($BI99)=0),"",SUM($BI99)/$BD99)</f>
        <v/>
      </c>
      <c r="BQ99" s="123" t="str">
        <f aca="false">IF(AND($C99="&lt;01",SUM($BJ99)&lt;&gt;0),$BJ99/SUM($BD99),"")</f>
        <v/>
      </c>
      <c r="BR99" s="123" t="n">
        <f aca="false">IF(OR(SUM($BD99)=0,SUM($BK99)=0),"",SUM($BK99)/$BD99)</f>
        <v>5433.5</v>
      </c>
      <c r="BS99" s="122" t="n">
        <f aca="false">IF(SUM($X99)&lt;=0,"",$X99)</f>
        <v>0.00819992190550566</v>
      </c>
      <c r="BT99" s="115" t="n">
        <f aca="false">IF(LEFT($B99,4)="_Mil","",MAX(SUM($L99)+ROUND(SUM($BD99)/IF(SUM($BS99)&lt;=0,1,SUM($BS99)),0),0))</f>
        <v>3626</v>
      </c>
    </row>
    <row r="100" customFormat="false" ht="15" hidden="false" customHeight="false" outlineLevel="0" collapsed="false">
      <c r="A100" s="0" t="s">
        <v>144</v>
      </c>
      <c r="B100" s="0" t="s">
        <v>103</v>
      </c>
      <c r="C100" s="0" t="s">
        <v>69</v>
      </c>
      <c r="D100" s="0" t="s">
        <v>58</v>
      </c>
      <c r="E100" s="0" t="str">
        <f aca="false">B100&amp;"|"&amp;C100&amp;"|"&amp;D100</f>
        <v>Leribe [#SNU] [FjSmRywOWUp]|25-29|Male</v>
      </c>
      <c r="F100" s="115" t="n">
        <f aca="false">_xlfn.IFNA(ROUND(INDEX(Spectrum!$N:$N,MATCH(RIGHT($B100,13)&amp;"|"&amp;$C100&amp;"|"&amp;$D100&amp;"|"&amp;F$14&amp;"|"&amp;"CY2021Q3",Spectrum!$Q:$Q,0)),0),"")</f>
        <v>17577</v>
      </c>
      <c r="G100" s="123" t="n">
        <f aca="false">_xlfn.IFNA(INDEX(Spectrum!$P:$P,MATCH(RIGHT($B100,13)&amp;"|"&amp;$C100&amp;"|"&amp;$D100&amp;"|"&amp;F$14&amp;"|"&amp;"CY2021Q3",Spectrum!$Q:$Q,0)),"")</f>
        <v>32</v>
      </c>
      <c r="H100" s="115" t="n">
        <f aca="false">_xlfn.IFNA(ROUND(INDEX(Spectrum!$N:$N,MATCH(RIGHT($B100,13)&amp;"|"&amp;$C100&amp;"|"&amp;$D100&amp;"|"&amp;H$14&amp;"|"&amp;"CY2021Q3",Spectrum!$Q:$Q,0)),0),"")</f>
        <v>1574</v>
      </c>
      <c r="I100" s="123" t="n">
        <f aca="false">_xlfn.IFNA(INDEX(Spectrum!$P:$P,MATCH(RIGHT($B100,13)&amp;"|"&amp;$C100&amp;"|"&amp;$D100&amp;"|"&amp;H$14&amp;"|"&amp;"CY2021Q3",Spectrum!$Q:$Q,0)),"")</f>
        <v>2</v>
      </c>
      <c r="J100" s="117" t="n">
        <f aca="false">_xlfn.IFNA(INDEX(Spectrum!$N:$N,MATCH(RIGHT($B100,13)&amp;"|"&amp;$C100&amp;"|"&amp;$D100&amp;"|"&amp;J$14&amp;"|"&amp;"CY2021Q3",Spectrum!$Q:$Q,0)),"")</f>
        <v>0.0895399</v>
      </c>
      <c r="K100" s="123" t="n">
        <f aca="false">_xlfn.IFNA(INDEX(Spectrum!$P:$P,MATCH(RIGHT($B100,13)&amp;"|"&amp;$C100&amp;"|"&amp;$D100&amp;"|"&amp;J$14&amp;"|"&amp;"CY2021Q3",Spectrum!$Q:$Q,0)),"")</f>
        <v>28</v>
      </c>
      <c r="L100" s="115" t="n">
        <f aca="false">_xlfn.IFNA(ROUND(INDEX(Spectrum!$N:$N,MATCH(RIGHT($B100,13)&amp;"|"&amp;$C100&amp;"|"&amp;$D100&amp;"|"&amp;L$14&amp;"|"&amp;"CY2021Q3",Spectrum!$Q:$Q,0)),0),"")</f>
        <v>1064</v>
      </c>
      <c r="M100" s="123" t="n">
        <f aca="false">IF(OR(SUM($H100)&lt;=0,SUM($L100)&lt;=0),"",SUM($L100)/$H100)</f>
        <v>0.675984752223634</v>
      </c>
      <c r="N100" s="115" t="str">
        <f aca="false">_xlfn.IFNA(ROUND(INDEX(Spectrum!$N:$N,MATCH(RIGHT($B100,13)&amp;"|"&amp;$C100&amp;"|"&amp;$D100&amp;"|"&amp;N$14&amp;"|"&amp;"CY2020Q4",Spectrum!$Q:$Q,0)),0),"")</f>
        <v/>
      </c>
      <c r="O100" s="123" t="str">
        <f aca="false">_xlfn.IFNA(INDEX(Spectrum!$P:$P,MATCH(RIGHT($B100,13)&amp;"|"&amp;$C100&amp;"|"&amp;$D100&amp;"|"&amp;N$14&amp;"|"&amp;"CY2020Q4",Spectrum!$Q:$Q,0)),"")</f>
        <v/>
      </c>
      <c r="P100" s="115" t="n">
        <f aca="false">_xlfn.IFNA(ROUND(INDEX(Spectrum!$N:$N,MATCH(RIGHT($B100,13)&amp;"|"&amp;$C100&amp;"|"&amp;$D100&amp;"|"&amp;P$14&amp;"|"&amp;"CY2021Q3",Spectrum!$Q:$Q,0)),0),"")</f>
        <v>796</v>
      </c>
      <c r="Q100" s="123" t="n">
        <f aca="false">_xlfn.IFNA(INDEX(Spectrum!$P:$P,MATCH(RIGHT($B100,13)&amp;"|"&amp;$C100&amp;"|"&amp;$D100&amp;"|"&amp;P$14&amp;"|"&amp;"CY2021Q3",Spectrum!$Q:$Q,0)),"")</f>
        <v>44</v>
      </c>
      <c r="R100" s="115"/>
      <c r="S100" s="123" t="str">
        <f aca="false">IF(OR(SUM($P100)&lt;=0,SUM($R100)&lt;=0),"",SUM($R100)/$P100)</f>
        <v/>
      </c>
      <c r="T100" s="139" t="n">
        <v>43</v>
      </c>
      <c r="U100" s="124" t="n">
        <v>6</v>
      </c>
      <c r="V100" s="124" t="n">
        <f aca="false">IF($U100-$T100=0,"",$U100-$T100)</f>
        <v>-37</v>
      </c>
      <c r="W100" s="123" t="n">
        <f aca="false">IF(LEFT($B100,4)="_Mil","",IFERROR(MIN(IF(SUM($N100)&lt;=0,SUM($U100)/SUM($P100),SUM($T100)/SUM($N100)),1),""))</f>
        <v>0.00753768844221105</v>
      </c>
      <c r="X100" s="123" t="n">
        <f aca="false">$W100</f>
        <v>0.00753768844221105</v>
      </c>
      <c r="Y100" s="123" t="n">
        <f aca="false">IFERROR(1/(1/INDEX(Spectrum!$N:$N,MATCH(RIGHT($B100,13)&amp;"|"&amp;$C100&amp;"|"&amp;$D100&amp;"|"&amp;Y$14&amp;"|"&amp;"CY2021Q3",Spectrum!$Q:$Q,0))),IF(SUM($H100)=0,"",MAX(SUM($P100),SUM($U100))/SUM($H100)))</f>
        <v>0.50571791613723</v>
      </c>
      <c r="Z100" s="123" t="n">
        <f aca="false">IF(SUM($Y100)=0,"",MAX(SUM($Y100),90%))</f>
        <v>0.9</v>
      </c>
      <c r="AA100" s="115" t="n">
        <f aca="false">IF(LEFT($B100,4)="_Mil","",ROUND(MAX(SUM($U100),SUM($P100))+IF(SUM($Z100)=0,0,MAX(SUM($Z100)-SUM($Y100),0)*SUM($H100)),0))</f>
        <v>1417</v>
      </c>
      <c r="AB100" s="115" t="n">
        <f aca="false">IF(SUM($AA100)=0,"",ROUND(MAX(SUM($AA100)-MAX(SUM($P100),SUM($U100)),0),0))</f>
        <v>621</v>
      </c>
      <c r="AC100" s="126" t="str">
        <f aca="false">IF($C100="&lt;01",IFERROR(ROUND(INDEX(EID!$N:$N,MATCH($B100,EID!$B:$B,0))/2,0),""),"")</f>
        <v/>
      </c>
      <c r="AD100" s="115" t="n">
        <f aca="false">IF($C100="&lt;01",IF(SUM($AC100)=0,"",ROUND(SUM($AC100)/$AG100,0)),IF(SUM($AB100)=0,"",ROUND(MAX($X100,0)*SUM($AB100),0)))</f>
        <v>5</v>
      </c>
      <c r="AE100" s="115" t="n">
        <f aca="false">IF(AND(SUM($AD100)=0,SUM($U100)=0),"",ROUND(IF($C100="&lt;01",0,SUM($U100))+SUM($AD100),0))</f>
        <v>11</v>
      </c>
      <c r="AF100" s="122" t="n">
        <f aca="false">IF($C100="&lt;01","",100%)</f>
        <v>1</v>
      </c>
      <c r="AG100" s="123" t="n">
        <f aca="false">0.98</f>
        <v>0.98</v>
      </c>
      <c r="AH100" s="123" t="n">
        <f aca="false">0.98</f>
        <v>0.98</v>
      </c>
      <c r="AI100" s="124" t="n">
        <f aca="false">IF(OR($C100="&lt;01",SUM($U100)=0),"",ROUND(SUM($U100)*(1-$AH100),0))</f>
        <v>0</v>
      </c>
      <c r="AJ100" s="124" t="n">
        <f aca="false">IF(AND(SUM($AE100)=0,SUM($U100)=0),"",IF($C100="&lt;01",SUM($AD100),SUM($AE100) - ROUND(SUM($U100)*$AH100,0)))</f>
        <v>5</v>
      </c>
      <c r="AK100" s="124" t="n">
        <v>1</v>
      </c>
      <c r="AL100" s="124" t="n">
        <v>3</v>
      </c>
      <c r="AM100" s="115" t="n">
        <f aca="false">IF(AND(SUM($AD100)=0,SUM($U100)=0),"",IF($C100="&lt;01",SUM($AD100),ROUND(ROUND(SUM($AJ100)*$AF100,0)/$AG100,0)))</f>
        <v>5</v>
      </c>
      <c r="AN100" s="122" t="n">
        <f aca="false">0.7</f>
        <v>0.7</v>
      </c>
      <c r="AO100" s="123" t="n">
        <f aca="false">1</f>
        <v>1</v>
      </c>
      <c r="AP100" s="115" t="n">
        <f aca="false">IF(AND(SUM($U100)=0,SUM($AM100)=0),"",ROUND((SUM($AM100)*$AN100+IF($C100="&lt;01",0,$U100))*$AO100,0))</f>
        <v>10</v>
      </c>
      <c r="AQ100" s="122" t="n">
        <v>43</v>
      </c>
      <c r="AR100" s="123" t="n">
        <f aca="false">0.95</f>
        <v>0.95</v>
      </c>
      <c r="AS100" s="123" t="n">
        <f aca="false">0.95</f>
        <v>0.95</v>
      </c>
      <c r="AT100" s="115" t="n">
        <f aca="false">IF(SUM($AP100)=0,"",ROUND(SUM($AP100)*$AR100,0))</f>
        <v>10</v>
      </c>
      <c r="AU100" s="115" t="n">
        <f aca="false">IF(LEFT($B100,4)="_Mil","",ROUND(SUM($AA100)*SUM($AS100),0))</f>
        <v>1346</v>
      </c>
      <c r="AV100" s="124" t="n">
        <f aca="false">IF(SUM($AU100)&lt;=0,"",MAX(SUM($AU100)-SUM($R100),0))</f>
        <v>1346</v>
      </c>
      <c r="AW100" s="122" t="n">
        <f aca="false">0</f>
        <v>0</v>
      </c>
      <c r="AX100" s="124" t="n">
        <f aca="false">IF(SUM($AM100)=0,"",ROUND(SUM($AM100)*SUM($AW100),0))</f>
        <v>0</v>
      </c>
      <c r="AY100" s="124" t="n">
        <f aca="false">IF(SUM($AM100)=0,"",SUM($AM100)-SUM($AX100))</f>
        <v>5</v>
      </c>
      <c r="AZ100" s="123" t="n">
        <v>37</v>
      </c>
      <c r="BA100" s="123" t="n">
        <f aca="false">0.95</f>
        <v>0.95</v>
      </c>
      <c r="BB100" s="123"/>
      <c r="BC100" s="123" t="n">
        <f aca="false">IF(OR(SUM($AM100)&lt;=0,$C100="&lt;01"),"",MAX(IF(OR(SUM($Y100)&lt;70%,LEFT($B100,4)="_Mil"),30%,IF(SUM($Y100)&gt;=80%,75%,50%)),SUM($BB100)))</f>
        <v>0.3</v>
      </c>
      <c r="BD100" s="115" t="n">
        <f aca="false">IF($C100="&lt;01",IFERROR(ROUND(INDEX(EID!$M:$M,MATCH($B100,EID!$B:$B,0)),0)/2,""),IF(SUM($AY100)=0,"",ROUND(SUM($AY100)/SUM($BA100),0)))</f>
        <v>5</v>
      </c>
      <c r="BE100" s="115" t="n">
        <f aca="false">IF($C100="&lt;01","",IF(SUM($BD100)=0,"",ROUND(SUM($BD100)*SUM($BC100),0)))</f>
        <v>2</v>
      </c>
      <c r="BF100" s="115" t="str">
        <f aca="false">_xlfn.IFNA(INDEX(PMTCT!$AE:$AE,MATCH($E100,PMTCT!$E:$E,0)),"")</f>
        <v/>
      </c>
      <c r="BG100" s="115" t="str">
        <f aca="false">_xlfn.IFNA(INDEX(PMTCT!$AU:$AU,MATCH($E100,PMTCT!$E:$E,0)),"")</f>
        <v/>
      </c>
      <c r="BH100" s="115" t="n">
        <f aca="false">_xlfn.IFNA(INDEX(TB!$Q:$Q,MATCH($E100,TB!$E:$E,0)),"")</f>
        <v>-20832</v>
      </c>
      <c r="BI100" s="115" t="str">
        <f aca="false">_xlfn.IFNA(INDEX(VMMC!$AC:$AC,MATCH($E100,VMMC!$E:$E,0)),"")</f>
        <v/>
      </c>
      <c r="BJ100" s="115" t="str">
        <f aca="false">IF($C100="&lt;01",$BD100,"")</f>
        <v/>
      </c>
      <c r="BK100" s="115" t="n">
        <f aca="false">IF(SUM($BD100)=0,"",($BD100)-SUM($BE100:$BJ100))</f>
        <v>20835</v>
      </c>
      <c r="BL100" s="123" t="n">
        <f aca="false">IF(OR(SUM($BD100)=0,SUM($BE100)=0),"",SUM($BE100)/$BD100)</f>
        <v>0.4</v>
      </c>
      <c r="BM100" s="123" t="str">
        <f aca="false">IF(OR(SUM($BD100)=0,SUM($BF100)=0),"",SUM($BF100)/$BD100)</f>
        <v/>
      </c>
      <c r="BN100" s="123" t="str">
        <f aca="false">IF(OR(SUM($BD100)=0,SUM($BG100)=0),"",SUM($BG100)/$BD100)</f>
        <v/>
      </c>
      <c r="BO100" s="123" t="n">
        <f aca="false">IF(OR(SUM($BD100)=0,SUM($BH100)=0),"",SUM($BH100)/$BD100)</f>
        <v>-4166.4</v>
      </c>
      <c r="BP100" s="123" t="str">
        <f aca="false">IF(OR(SUM($BD100)=0,SUM($BI100)=0),"",SUM($BI100)/$BD100)</f>
        <v/>
      </c>
      <c r="BQ100" s="123" t="str">
        <f aca="false">IF(AND($C100="&lt;01",SUM($BJ100)&lt;&gt;0),$BJ100/SUM($BD100),"")</f>
        <v/>
      </c>
      <c r="BR100" s="123" t="n">
        <f aca="false">IF(OR(SUM($BD100)=0,SUM($BK100)=0),"",SUM($BK100)/$BD100)</f>
        <v>4167</v>
      </c>
      <c r="BS100" s="122" t="n">
        <f aca="false">IF(SUM($X100)&lt;=0,"",$X100)</f>
        <v>0.00753768844221105</v>
      </c>
      <c r="BT100" s="115" t="n">
        <f aca="false">IF(LEFT($B100,4)="_Mil","",MAX(SUM($L100)+ROUND(SUM($BD100)/IF(SUM($BS100)&lt;=0,1,SUM($BS100)),0),0))</f>
        <v>1727</v>
      </c>
    </row>
    <row r="101" customFormat="false" ht="15" hidden="false" customHeight="false" outlineLevel="0" collapsed="false">
      <c r="A101" s="0" t="s">
        <v>144</v>
      </c>
      <c r="B101" s="0" t="s">
        <v>103</v>
      </c>
      <c r="C101" s="0" t="s">
        <v>72</v>
      </c>
      <c r="D101" s="0" t="s">
        <v>56</v>
      </c>
      <c r="E101" s="0" t="str">
        <f aca="false">B101&amp;"|"&amp;C101&amp;"|"&amp;D101</f>
        <v>Leribe [#SNU] [FjSmRywOWUp]|30-34|Female</v>
      </c>
      <c r="F101" s="115" t="n">
        <f aca="false">_xlfn.IFNA(ROUND(INDEX(Spectrum!$N:$N,MATCH(RIGHT($B101,13)&amp;"|"&amp;$C101&amp;"|"&amp;$D101&amp;"|"&amp;F$14&amp;"|"&amp;"CY2021Q3",Spectrum!$Q:$Q,0)),0),"")</f>
        <v>16090</v>
      </c>
      <c r="G101" s="123" t="n">
        <f aca="false">_xlfn.IFNA(INDEX(Spectrum!$P:$P,MATCH(RIGHT($B101,13)&amp;"|"&amp;$C101&amp;"|"&amp;$D101&amp;"|"&amp;F$14&amp;"|"&amp;"CY2021Q3",Spectrum!$Q:$Q,0)),"")</f>
        <v>36</v>
      </c>
      <c r="H101" s="115" t="n">
        <f aca="false">_xlfn.IFNA(ROUND(INDEX(Spectrum!$N:$N,MATCH(RIGHT($B101,13)&amp;"|"&amp;$C101&amp;"|"&amp;$D101&amp;"|"&amp;H$14&amp;"|"&amp;"CY2021Q3",Spectrum!$Q:$Q,0)),0),"")</f>
        <v>5198</v>
      </c>
      <c r="I101" s="123" t="n">
        <f aca="false">_xlfn.IFNA(INDEX(Spectrum!$P:$P,MATCH(RIGHT($B101,13)&amp;"|"&amp;$C101&amp;"|"&amp;$D101&amp;"|"&amp;H$14&amp;"|"&amp;"CY2021Q3",Spectrum!$Q:$Q,0)),"")</f>
        <v>14</v>
      </c>
      <c r="J101" s="117" t="n">
        <f aca="false">_xlfn.IFNA(INDEX(Spectrum!$N:$N,MATCH(RIGHT($B101,13)&amp;"|"&amp;$C101&amp;"|"&amp;$D101&amp;"|"&amp;J$14&amp;"|"&amp;"CY2021Q3",Spectrum!$Q:$Q,0)),"")</f>
        <v>0.3230409</v>
      </c>
      <c r="K101" s="123" t="n">
        <f aca="false">_xlfn.IFNA(INDEX(Spectrum!$P:$P,MATCH(RIGHT($B101,13)&amp;"|"&amp;$C101&amp;"|"&amp;$D101&amp;"|"&amp;J$14&amp;"|"&amp;"CY2021Q3",Spectrum!$Q:$Q,0)),"")</f>
        <v>28</v>
      </c>
      <c r="L101" s="115" t="n">
        <f aca="false">_xlfn.IFNA(ROUND(INDEX(Spectrum!$N:$N,MATCH(RIGHT($B101,13)&amp;"|"&amp;$C101&amp;"|"&amp;$D101&amp;"|"&amp;L$14&amp;"|"&amp;"CY2021Q3",Spectrum!$Q:$Q,0)),0),"")</f>
        <v>3834</v>
      </c>
      <c r="M101" s="123" t="n">
        <f aca="false">IF(OR(SUM($H101)&lt;=0,SUM($L101)&lt;=0),"",SUM($L101)/$H101)</f>
        <v>0.7375913813005</v>
      </c>
      <c r="N101" s="115" t="str">
        <f aca="false">_xlfn.IFNA(ROUND(INDEX(Spectrum!$N:$N,MATCH(RIGHT($B101,13)&amp;"|"&amp;$C101&amp;"|"&amp;$D101&amp;"|"&amp;N$14&amp;"|"&amp;"CY2020Q4",Spectrum!$Q:$Q,0)),0),"")</f>
        <v/>
      </c>
      <c r="O101" s="123" t="str">
        <f aca="false">_xlfn.IFNA(INDEX(Spectrum!$P:$P,MATCH(RIGHT($B101,13)&amp;"|"&amp;$C101&amp;"|"&amp;$D101&amp;"|"&amp;N$14&amp;"|"&amp;"CY2020Q4",Spectrum!$Q:$Q,0)),"")</f>
        <v/>
      </c>
      <c r="P101" s="115" t="n">
        <f aca="false">_xlfn.IFNA(ROUND(INDEX(Spectrum!$N:$N,MATCH(RIGHT($B101,13)&amp;"|"&amp;$C101&amp;"|"&amp;$D101&amp;"|"&amp;P$14&amp;"|"&amp;"CY2021Q3",Spectrum!$Q:$Q,0)),0),"")</f>
        <v>3512</v>
      </c>
      <c r="Q101" s="123" t="n">
        <f aca="false">_xlfn.IFNA(INDEX(Spectrum!$P:$P,MATCH(RIGHT($B101,13)&amp;"|"&amp;$C101&amp;"|"&amp;$D101&amp;"|"&amp;P$14&amp;"|"&amp;"CY2021Q3",Spectrum!$Q:$Q,0)),"")</f>
        <v>50</v>
      </c>
      <c r="R101" s="115"/>
      <c r="S101" s="123" t="str">
        <f aca="false">IF(OR(SUM($P101)&lt;=0,SUM($R101)&lt;=0),"",SUM($R101)/$P101)</f>
        <v/>
      </c>
      <c r="T101" s="139" t="n">
        <v>10</v>
      </c>
      <c r="U101" s="124" t="n">
        <v>47</v>
      </c>
      <c r="V101" s="124" t="n">
        <f aca="false">IF($U101-$T101=0,"",$U101-$T101)</f>
        <v>37</v>
      </c>
      <c r="W101" s="123" t="n">
        <f aca="false">IF(LEFT($B101,4)="_Mil","",IFERROR(MIN(IF(SUM($N101)&lt;=0,SUM($U101)/SUM($P101),SUM($T101)/SUM($N101)),1),""))</f>
        <v>0.0133826879271071</v>
      </c>
      <c r="X101" s="123" t="n">
        <f aca="false">$W101</f>
        <v>0.0133826879271071</v>
      </c>
      <c r="Y101" s="123" t="n">
        <f aca="false">IFERROR(1/(1/INDEX(Spectrum!$N:$N,MATCH(RIGHT($B101,13)&amp;"|"&amp;$C101&amp;"|"&amp;$D101&amp;"|"&amp;Y$14&amp;"|"&amp;"CY2021Q3",Spectrum!$Q:$Q,0))),IF(SUM($H101)=0,"",MAX(SUM($P101),SUM($U101))/SUM($H101)))</f>
        <v>0.675644478645633</v>
      </c>
      <c r="Z101" s="123" t="n">
        <f aca="false">IF(SUM($Y101)=0,"",MAX(SUM($Y101),90%))</f>
        <v>0.9</v>
      </c>
      <c r="AA101" s="115" t="n">
        <f aca="false">IF(LEFT($B101,4)="_Mil","",ROUND(MAX(SUM($U101),SUM($P101))+IF(SUM($Z101)=0,0,MAX(SUM($Z101)-SUM($Y101),0)*SUM($H101)),0))</f>
        <v>4678</v>
      </c>
      <c r="AB101" s="115" t="n">
        <f aca="false">IF(SUM($AA101)=0,"",ROUND(MAX(SUM($AA101)-MAX(SUM($P101),SUM($U101)),0),0))</f>
        <v>1166</v>
      </c>
      <c r="AC101" s="126" t="str">
        <f aca="false">IF($C101="&lt;01",IFERROR(ROUND(INDEX(EID!$N:$N,MATCH($B101,EID!$B:$B,0))/2,0),""),"")</f>
        <v/>
      </c>
      <c r="AD101" s="115" t="n">
        <f aca="false">IF($C101="&lt;01",IF(SUM($AC101)=0,"",ROUND(SUM($AC101)/$AG101,0)),IF(SUM($AB101)=0,"",ROUND(MAX($X101,0)*SUM($AB101),0)))</f>
        <v>16</v>
      </c>
      <c r="AE101" s="115" t="n">
        <f aca="false">IF(AND(SUM($AD101)=0,SUM($U101)=0),"",ROUND(IF($C101="&lt;01",0,SUM($U101))+SUM($AD101),0))</f>
        <v>63</v>
      </c>
      <c r="AF101" s="122" t="n">
        <f aca="false">IF($C101="&lt;01","",100%)</f>
        <v>1</v>
      </c>
      <c r="AG101" s="123" t="n">
        <f aca="false">0.98</f>
        <v>0.98</v>
      </c>
      <c r="AH101" s="123" t="n">
        <f aca="false">0.98</f>
        <v>0.98</v>
      </c>
      <c r="AI101" s="124" t="n">
        <f aca="false">IF(OR($C101="&lt;01",SUM($U101)=0),"",ROUND(SUM($U101)*(1-$AH101),0))</f>
        <v>1</v>
      </c>
      <c r="AJ101" s="124" t="n">
        <f aca="false">IF(AND(SUM($AE101)=0,SUM($U101)=0),"",IF($C101="&lt;01",SUM($AD101),SUM($AE101) - ROUND(SUM($U101)*$AH101,0)))</f>
        <v>17</v>
      </c>
      <c r="AK101" s="124" t="n">
        <v>1</v>
      </c>
      <c r="AL101" s="124" t="n">
        <v>38</v>
      </c>
      <c r="AM101" s="115" t="n">
        <f aca="false">IF(AND(SUM($AD101)=0,SUM($U101)=0),"",IF($C101="&lt;01",SUM($AD101),ROUND(ROUND(SUM($AJ101)*$AF101,0)/$AG101,0)))</f>
        <v>17</v>
      </c>
      <c r="AN101" s="122" t="n">
        <f aca="false">0.7</f>
        <v>0.7</v>
      </c>
      <c r="AO101" s="123" t="n">
        <f aca="false">1</f>
        <v>1</v>
      </c>
      <c r="AP101" s="115" t="n">
        <f aca="false">IF(AND(SUM($U101)=0,SUM($AM101)=0),"",ROUND((SUM($AM101)*$AN101+IF($C101="&lt;01",0,$U101))*$AO101,0))</f>
        <v>59</v>
      </c>
      <c r="AQ101" s="122" t="n">
        <v>15</v>
      </c>
      <c r="AR101" s="123" t="n">
        <f aca="false">0.95</f>
        <v>0.95</v>
      </c>
      <c r="AS101" s="123" t="n">
        <f aca="false">0.95</f>
        <v>0.95</v>
      </c>
      <c r="AT101" s="115" t="n">
        <f aca="false">IF(SUM($AP101)=0,"",ROUND(SUM($AP101)*$AR101,0))</f>
        <v>56</v>
      </c>
      <c r="AU101" s="115" t="n">
        <f aca="false">IF(LEFT($B101,4)="_Mil","",ROUND(SUM($AA101)*SUM($AS101),0))</f>
        <v>4444</v>
      </c>
      <c r="AV101" s="124" t="n">
        <f aca="false">IF(SUM($AU101)&lt;=0,"",MAX(SUM($AU101)-SUM($R101),0))</f>
        <v>4444</v>
      </c>
      <c r="AW101" s="122" t="n">
        <f aca="false">0</f>
        <v>0</v>
      </c>
      <c r="AX101" s="124" t="n">
        <f aca="false">IF(SUM($AM101)=0,"",ROUND(SUM($AM101)*SUM($AW101),0))</f>
        <v>0</v>
      </c>
      <c r="AY101" s="124" t="n">
        <f aca="false">IF(SUM($AM101)=0,"",SUM($AM101)-SUM($AX101))</f>
        <v>17</v>
      </c>
      <c r="AZ101" s="123" t="n">
        <v>44</v>
      </c>
      <c r="BA101" s="123" t="n">
        <f aca="false">0.95</f>
        <v>0.95</v>
      </c>
      <c r="BB101" s="123"/>
      <c r="BC101" s="123" t="n">
        <f aca="false">IF(OR(SUM($AM101)&lt;=0,$C101="&lt;01"),"",MAX(IF(OR(SUM($Y101)&lt;70%,LEFT($B101,4)="_Mil"),30%,IF(SUM($Y101)&gt;=80%,75%,50%)),SUM($BB101)))</f>
        <v>0.3</v>
      </c>
      <c r="BD101" s="115" t="n">
        <f aca="false">IF($C101="&lt;01",IFERROR(ROUND(INDEX(EID!$M:$M,MATCH($B101,EID!$B:$B,0)),0)/2,""),IF(SUM($AY101)=0,"",ROUND(SUM($AY101)/SUM($BA101),0)))</f>
        <v>18</v>
      </c>
      <c r="BE101" s="115" t="n">
        <f aca="false">IF($C101="&lt;01","",IF(SUM($BD101)=0,"",ROUND(SUM($BD101)*SUM($BC101),0)))</f>
        <v>5</v>
      </c>
      <c r="BF101" s="115" t="n">
        <f aca="false">_xlfn.IFNA(INDEX(PMTCT!$AE:$AE,MATCH($E101,PMTCT!$E:$E,0)),"")</f>
        <v>-32683</v>
      </c>
      <c r="BG101" s="115" t="str">
        <f aca="false">_xlfn.IFNA(INDEX(PMTCT!$AU:$AU,MATCH($E101,PMTCT!$E:$E,0)),"")</f>
        <v/>
      </c>
      <c r="BH101" s="115" t="n">
        <f aca="false">_xlfn.IFNA(INDEX(TB!$Q:$Q,MATCH($E101,TB!$E:$E,0)),"")</f>
        <v>-288</v>
      </c>
      <c r="BI101" s="115" t="str">
        <f aca="false">_xlfn.IFNA(INDEX(VMMC!$AC:$AC,MATCH($E101,VMMC!$E:$E,0)),"")</f>
        <v/>
      </c>
      <c r="BJ101" s="115" t="str">
        <f aca="false">IF($C101="&lt;01",$BD101,"")</f>
        <v/>
      </c>
      <c r="BK101" s="115" t="n">
        <f aca="false">IF(SUM($BD101)=0,"",($BD101)-SUM($BE101:$BJ101))</f>
        <v>32984</v>
      </c>
      <c r="BL101" s="123" t="n">
        <f aca="false">IF(OR(SUM($BD101)=0,SUM($BE101)=0),"",SUM($BE101)/$BD101)</f>
        <v>0.277777777777778</v>
      </c>
      <c r="BM101" s="123" t="n">
        <f aca="false">IF(OR(SUM($BD101)=0,SUM($BF101)=0),"",SUM($BF101)/$BD101)</f>
        <v>-1815.72222222222</v>
      </c>
      <c r="BN101" s="123" t="str">
        <f aca="false">IF(OR(SUM($BD101)=0,SUM($BG101)=0),"",SUM($BG101)/$BD101)</f>
        <v/>
      </c>
      <c r="BO101" s="123" t="n">
        <f aca="false">IF(OR(SUM($BD101)=0,SUM($BH101)=0),"",SUM($BH101)/$BD101)</f>
        <v>-16</v>
      </c>
      <c r="BP101" s="123" t="str">
        <f aca="false">IF(OR(SUM($BD101)=0,SUM($BI101)=0),"",SUM($BI101)/$BD101)</f>
        <v/>
      </c>
      <c r="BQ101" s="123" t="str">
        <f aca="false">IF(AND($C101="&lt;01",SUM($BJ101)&lt;&gt;0),$BJ101/SUM($BD101),"")</f>
        <v/>
      </c>
      <c r="BR101" s="123" t="n">
        <f aca="false">IF(OR(SUM($BD101)=0,SUM($BK101)=0),"",SUM($BK101)/$BD101)</f>
        <v>1832.44444444444</v>
      </c>
      <c r="BS101" s="122" t="n">
        <f aca="false">IF(SUM($X101)&lt;=0,"",$X101)</f>
        <v>0.0133826879271071</v>
      </c>
      <c r="BT101" s="115" t="n">
        <f aca="false">IF(LEFT($B101,4)="_Mil","",MAX(SUM($L101)+ROUND(SUM($BD101)/IF(SUM($BS101)&lt;=0,1,SUM($BS101)),0),0))</f>
        <v>5179</v>
      </c>
    </row>
    <row r="102" customFormat="false" ht="15" hidden="false" customHeight="false" outlineLevel="0" collapsed="false">
      <c r="A102" s="0" t="s">
        <v>144</v>
      </c>
      <c r="B102" s="0" t="s">
        <v>103</v>
      </c>
      <c r="C102" s="0" t="s">
        <v>72</v>
      </c>
      <c r="D102" s="0" t="s">
        <v>58</v>
      </c>
      <c r="E102" s="0" t="str">
        <f aca="false">B102&amp;"|"&amp;C102&amp;"|"&amp;D102</f>
        <v>Leribe [#SNU] [FjSmRywOWUp]|30-34|Male</v>
      </c>
      <c r="F102" s="115" t="n">
        <f aca="false">_xlfn.IFNA(ROUND(INDEX(Spectrum!$N:$N,MATCH(RIGHT($B102,13)&amp;"|"&amp;$C102&amp;"|"&amp;$D102&amp;"|"&amp;F$14&amp;"|"&amp;"CY2021Q3",Spectrum!$Q:$Q,0)),0),"")</f>
        <v>17354</v>
      </c>
      <c r="G102" s="123" t="n">
        <f aca="false">_xlfn.IFNA(INDEX(Spectrum!$P:$P,MATCH(RIGHT($B102,13)&amp;"|"&amp;$C102&amp;"|"&amp;$D102&amp;"|"&amp;F$14&amp;"|"&amp;"CY2021Q3",Spectrum!$Q:$Q,0)),"")</f>
        <v>5</v>
      </c>
      <c r="H102" s="115" t="n">
        <f aca="false">_xlfn.IFNA(ROUND(INDEX(Spectrum!$N:$N,MATCH(RIGHT($B102,13)&amp;"|"&amp;$C102&amp;"|"&amp;$D102&amp;"|"&amp;H$14&amp;"|"&amp;"CY2021Q3",Spectrum!$Q:$Q,0)),0),"")</f>
        <v>2910</v>
      </c>
      <c r="I102" s="123" t="n">
        <f aca="false">_xlfn.IFNA(INDEX(Spectrum!$P:$P,MATCH(RIGHT($B102,13)&amp;"|"&amp;$C102&amp;"|"&amp;$D102&amp;"|"&amp;H$14&amp;"|"&amp;"CY2021Q3",Spectrum!$Q:$Q,0)),"")</f>
        <v>28</v>
      </c>
      <c r="J102" s="117" t="n">
        <f aca="false">_xlfn.IFNA(INDEX(Spectrum!$N:$N,MATCH(RIGHT($B102,13)&amp;"|"&amp;$C102&amp;"|"&amp;$D102&amp;"|"&amp;J$14&amp;"|"&amp;"CY2021Q3",Spectrum!$Q:$Q,0)),"")</f>
        <v>0.167709</v>
      </c>
      <c r="K102" s="123" t="n">
        <f aca="false">_xlfn.IFNA(INDEX(Spectrum!$P:$P,MATCH(RIGHT($B102,13)&amp;"|"&amp;$C102&amp;"|"&amp;$D102&amp;"|"&amp;J$14&amp;"|"&amp;"CY2021Q3",Spectrum!$Q:$Q,0)),"")</f>
        <v>3</v>
      </c>
      <c r="L102" s="115" t="n">
        <f aca="false">_xlfn.IFNA(ROUND(INDEX(Spectrum!$N:$N,MATCH(RIGHT($B102,13)&amp;"|"&amp;$C102&amp;"|"&amp;$D102&amp;"|"&amp;L$14&amp;"|"&amp;"CY2021Q3",Spectrum!$Q:$Q,0)),0),"")</f>
        <v>1824</v>
      </c>
      <c r="M102" s="123" t="n">
        <f aca="false">IF(OR(SUM($H102)&lt;=0,SUM($L102)&lt;=0),"",SUM($L102)/$H102)</f>
        <v>0.62680412371134</v>
      </c>
      <c r="N102" s="115" t="str">
        <f aca="false">_xlfn.IFNA(ROUND(INDEX(Spectrum!$N:$N,MATCH(RIGHT($B102,13)&amp;"|"&amp;$C102&amp;"|"&amp;$D102&amp;"|"&amp;N$14&amp;"|"&amp;"CY2020Q4",Spectrum!$Q:$Q,0)),0),"")</f>
        <v/>
      </c>
      <c r="O102" s="123" t="str">
        <f aca="false">_xlfn.IFNA(INDEX(Spectrum!$P:$P,MATCH(RIGHT($B102,13)&amp;"|"&amp;$C102&amp;"|"&amp;$D102&amp;"|"&amp;N$14&amp;"|"&amp;"CY2020Q4",Spectrum!$Q:$Q,0)),"")</f>
        <v/>
      </c>
      <c r="P102" s="115" t="n">
        <f aca="false">_xlfn.IFNA(ROUND(INDEX(Spectrum!$N:$N,MATCH(RIGHT($B102,13)&amp;"|"&amp;$C102&amp;"|"&amp;$D102&amp;"|"&amp;P$14&amp;"|"&amp;"CY2021Q3",Spectrum!$Q:$Q,0)),0),"")</f>
        <v>1456</v>
      </c>
      <c r="Q102" s="123" t="n">
        <f aca="false">_xlfn.IFNA(INDEX(Spectrum!$P:$P,MATCH(RIGHT($B102,13)&amp;"|"&amp;$C102&amp;"|"&amp;$D102&amp;"|"&amp;P$14&amp;"|"&amp;"CY2021Q3",Spectrum!$Q:$Q,0)),"")</f>
        <v>44</v>
      </c>
      <c r="R102" s="115"/>
      <c r="S102" s="123" t="str">
        <f aca="false">IF(OR(SUM($P102)&lt;=0,SUM($R102)&lt;=0),"",SUM($R102)/$P102)</f>
        <v/>
      </c>
      <c r="T102" s="139" t="n">
        <v>1</v>
      </c>
      <c r="U102" s="124" t="n">
        <v>34</v>
      </c>
      <c r="V102" s="124" t="n">
        <f aca="false">IF($U102-$T102=0,"",$U102-$T102)</f>
        <v>33</v>
      </c>
      <c r="W102" s="123" t="n">
        <f aca="false">IF(LEFT($B102,4)="_Mil","",IFERROR(MIN(IF(SUM($N102)&lt;=0,SUM($U102)/SUM($P102),SUM($T102)/SUM($N102)),1),""))</f>
        <v>0.0233516483516484</v>
      </c>
      <c r="X102" s="123" t="n">
        <f aca="false">$W102</f>
        <v>0.0233516483516484</v>
      </c>
      <c r="Y102" s="123" t="n">
        <f aca="false">IFERROR(1/(1/INDEX(Spectrum!$N:$N,MATCH(RIGHT($B102,13)&amp;"|"&amp;$C102&amp;"|"&amp;$D102&amp;"|"&amp;Y$14&amp;"|"&amp;"CY2021Q3",Spectrum!$Q:$Q,0))),IF(SUM($H102)=0,"",MAX(SUM($P102),SUM($U102))/SUM($H102)))</f>
        <v>0.500343642611684</v>
      </c>
      <c r="Z102" s="123" t="n">
        <f aca="false">IF(SUM($Y102)=0,"",MAX(SUM($Y102),90%))</f>
        <v>0.9</v>
      </c>
      <c r="AA102" s="115" t="n">
        <f aca="false">IF(LEFT($B102,4)="_Mil","",ROUND(MAX(SUM($U102),SUM($P102))+IF(SUM($Z102)=0,0,MAX(SUM($Z102)-SUM($Y102),0)*SUM($H102)),0))</f>
        <v>2619</v>
      </c>
      <c r="AB102" s="115" t="n">
        <f aca="false">IF(SUM($AA102)=0,"",ROUND(MAX(SUM($AA102)-MAX(SUM($P102),SUM($U102)),0),0))</f>
        <v>1163</v>
      </c>
      <c r="AC102" s="126" t="str">
        <f aca="false">IF($C102="&lt;01",IFERROR(ROUND(INDEX(EID!$N:$N,MATCH($B102,EID!$B:$B,0))/2,0),""),"")</f>
        <v/>
      </c>
      <c r="AD102" s="115" t="n">
        <f aca="false">IF($C102="&lt;01",IF(SUM($AC102)=0,"",ROUND(SUM($AC102)/$AG102,0)),IF(SUM($AB102)=0,"",ROUND(MAX($X102,0)*SUM($AB102),0)))</f>
        <v>27</v>
      </c>
      <c r="AE102" s="115" t="n">
        <f aca="false">IF(AND(SUM($AD102)=0,SUM($U102)=0),"",ROUND(IF($C102="&lt;01",0,SUM($U102))+SUM($AD102),0))</f>
        <v>61</v>
      </c>
      <c r="AF102" s="122" t="n">
        <f aca="false">IF($C102="&lt;01","",100%)</f>
        <v>1</v>
      </c>
      <c r="AG102" s="123" t="n">
        <f aca="false">0.98</f>
        <v>0.98</v>
      </c>
      <c r="AH102" s="123" t="n">
        <f aca="false">0.98</f>
        <v>0.98</v>
      </c>
      <c r="AI102" s="124" t="n">
        <f aca="false">IF(OR($C102="&lt;01",SUM($U102)=0),"",ROUND(SUM($U102)*(1-$AH102),0))</f>
        <v>1</v>
      </c>
      <c r="AJ102" s="124" t="n">
        <f aca="false">IF(AND(SUM($AE102)=0,SUM($U102)=0),"",IF($C102="&lt;01",SUM($AD102),SUM($AE102) - ROUND(SUM($U102)*$AH102,0)))</f>
        <v>28</v>
      </c>
      <c r="AK102" s="124" t="n">
        <v>18</v>
      </c>
      <c r="AL102" s="124" t="n">
        <v>16</v>
      </c>
      <c r="AM102" s="115" t="n">
        <f aca="false">IF(AND(SUM($AD102)=0,SUM($U102)=0),"",IF($C102="&lt;01",SUM($AD102),ROUND(ROUND(SUM($AJ102)*$AF102,0)/$AG102,0)))</f>
        <v>29</v>
      </c>
      <c r="AN102" s="122" t="n">
        <f aca="false">0.7</f>
        <v>0.7</v>
      </c>
      <c r="AO102" s="123" t="n">
        <f aca="false">1</f>
        <v>1</v>
      </c>
      <c r="AP102" s="115" t="n">
        <f aca="false">IF(AND(SUM($U102)=0,SUM($AM102)=0),"",ROUND((SUM($AM102)*$AN102+IF($C102="&lt;01",0,$U102))*$AO102,0))</f>
        <v>54</v>
      </c>
      <c r="AQ102" s="122" t="n">
        <v>41</v>
      </c>
      <c r="AR102" s="123" t="n">
        <f aca="false">0.95</f>
        <v>0.95</v>
      </c>
      <c r="AS102" s="123" t="n">
        <f aca="false">0.95</f>
        <v>0.95</v>
      </c>
      <c r="AT102" s="115" t="n">
        <f aca="false">IF(SUM($AP102)=0,"",ROUND(SUM($AP102)*$AR102,0))</f>
        <v>51</v>
      </c>
      <c r="AU102" s="115" t="n">
        <f aca="false">IF(LEFT($B102,4)="_Mil","",ROUND(SUM($AA102)*SUM($AS102),0))</f>
        <v>2488</v>
      </c>
      <c r="AV102" s="124" t="n">
        <f aca="false">IF(SUM($AU102)&lt;=0,"",MAX(SUM($AU102)-SUM($R102),0))</f>
        <v>2488</v>
      </c>
      <c r="AW102" s="122" t="n">
        <f aca="false">0</f>
        <v>0</v>
      </c>
      <c r="AX102" s="124" t="n">
        <f aca="false">IF(SUM($AM102)=0,"",ROUND(SUM($AM102)*SUM($AW102),0))</f>
        <v>0</v>
      </c>
      <c r="AY102" s="124" t="n">
        <f aca="false">IF(SUM($AM102)=0,"",SUM($AM102)-SUM($AX102))</f>
        <v>29</v>
      </c>
      <c r="AZ102" s="123" t="n">
        <v>28</v>
      </c>
      <c r="BA102" s="123" t="n">
        <f aca="false">0.95</f>
        <v>0.95</v>
      </c>
      <c r="BB102" s="123"/>
      <c r="BC102" s="123" t="n">
        <f aca="false">IF(OR(SUM($AM102)&lt;=0,$C102="&lt;01"),"",MAX(IF(OR(SUM($Y102)&lt;70%,LEFT($B102,4)="_Mil"),30%,IF(SUM($Y102)&gt;=80%,75%,50%)),SUM($BB102)))</f>
        <v>0.3</v>
      </c>
      <c r="BD102" s="115" t="n">
        <f aca="false">IF($C102="&lt;01",IFERROR(ROUND(INDEX(EID!$M:$M,MATCH($B102,EID!$B:$B,0)),0)/2,""),IF(SUM($AY102)=0,"",ROUND(SUM($AY102)/SUM($BA102),0)))</f>
        <v>31</v>
      </c>
      <c r="BE102" s="115" t="n">
        <f aca="false">IF($C102="&lt;01","",IF(SUM($BD102)=0,"",ROUND(SUM($BD102)*SUM($BC102),0)))</f>
        <v>9</v>
      </c>
      <c r="BF102" s="115" t="str">
        <f aca="false">_xlfn.IFNA(INDEX(PMTCT!$AE:$AE,MATCH($E102,PMTCT!$E:$E,0)),"")</f>
        <v/>
      </c>
      <c r="BG102" s="115" t="str">
        <f aca="false">_xlfn.IFNA(INDEX(PMTCT!$AU:$AU,MATCH($E102,PMTCT!$E:$E,0)),"")</f>
        <v/>
      </c>
      <c r="BH102" s="115" t="n">
        <f aca="false">_xlfn.IFNA(INDEX(TB!$Q:$Q,MATCH($E102,TB!$E:$E,0)),"")</f>
        <v>-35420</v>
      </c>
      <c r="BI102" s="115" t="str">
        <f aca="false">_xlfn.IFNA(INDEX(VMMC!$AC:$AC,MATCH($E102,VMMC!$E:$E,0)),"")</f>
        <v/>
      </c>
      <c r="BJ102" s="115" t="str">
        <f aca="false">IF($C102="&lt;01",$BD102,"")</f>
        <v/>
      </c>
      <c r="BK102" s="115" t="n">
        <f aca="false">IF(SUM($BD102)=0,"",($BD102)-SUM($BE102:$BJ102))</f>
        <v>35442</v>
      </c>
      <c r="BL102" s="123" t="n">
        <f aca="false">IF(OR(SUM($BD102)=0,SUM($BE102)=0),"",SUM($BE102)/$BD102)</f>
        <v>0.290322580645161</v>
      </c>
      <c r="BM102" s="123" t="str">
        <f aca="false">IF(OR(SUM($BD102)=0,SUM($BF102)=0),"",SUM($BF102)/$BD102)</f>
        <v/>
      </c>
      <c r="BN102" s="123" t="str">
        <f aca="false">IF(OR(SUM($BD102)=0,SUM($BG102)=0),"",SUM($BG102)/$BD102)</f>
        <v/>
      </c>
      <c r="BO102" s="123" t="n">
        <f aca="false">IF(OR(SUM($BD102)=0,SUM($BH102)=0),"",SUM($BH102)/$BD102)</f>
        <v>-1142.58064516129</v>
      </c>
      <c r="BP102" s="123" t="str">
        <f aca="false">IF(OR(SUM($BD102)=0,SUM($BI102)=0),"",SUM($BI102)/$BD102)</f>
        <v/>
      </c>
      <c r="BQ102" s="123" t="str">
        <f aca="false">IF(AND($C102="&lt;01",SUM($BJ102)&lt;&gt;0),$BJ102/SUM($BD102),"")</f>
        <v/>
      </c>
      <c r="BR102" s="123" t="n">
        <f aca="false">IF(OR(SUM($BD102)=0,SUM($BK102)=0),"",SUM($BK102)/$BD102)</f>
        <v>1143.29032258065</v>
      </c>
      <c r="BS102" s="122" t="n">
        <f aca="false">IF(SUM($X102)&lt;=0,"",$X102)</f>
        <v>0.0233516483516484</v>
      </c>
      <c r="BT102" s="115" t="n">
        <f aca="false">IF(LEFT($B102,4)="_Mil","",MAX(SUM($L102)+ROUND(SUM($BD102)/IF(SUM($BS102)&lt;=0,1,SUM($BS102)),0),0))</f>
        <v>3152</v>
      </c>
    </row>
    <row r="103" customFormat="false" ht="15" hidden="false" customHeight="false" outlineLevel="0" collapsed="false">
      <c r="A103" s="0" t="s">
        <v>144</v>
      </c>
      <c r="B103" s="0" t="s">
        <v>103</v>
      </c>
      <c r="C103" s="0" t="s">
        <v>75</v>
      </c>
      <c r="D103" s="0" t="s">
        <v>56</v>
      </c>
      <c r="E103" s="0" t="str">
        <f aca="false">B103&amp;"|"&amp;C103&amp;"|"&amp;D103</f>
        <v>Leribe [#SNU] [FjSmRywOWUp]|35-39|Female</v>
      </c>
      <c r="F103" s="115" t="n">
        <f aca="false">_xlfn.IFNA(ROUND(INDEX(Spectrum!$N:$N,MATCH(RIGHT($B103,13)&amp;"|"&amp;$C103&amp;"|"&amp;$D103&amp;"|"&amp;F$14&amp;"|"&amp;"CY2021Q3",Spectrum!$Q:$Q,0)),0),"")</f>
        <v>12025</v>
      </c>
      <c r="G103" s="123" t="n">
        <f aca="false">_xlfn.IFNA(INDEX(Spectrum!$P:$P,MATCH(RIGHT($B103,13)&amp;"|"&amp;$C103&amp;"|"&amp;$D103&amp;"|"&amp;F$14&amp;"|"&amp;"CY2021Q3",Spectrum!$Q:$Q,0)),"")</f>
        <v>28</v>
      </c>
      <c r="H103" s="115" t="n">
        <f aca="false">_xlfn.IFNA(ROUND(INDEX(Spectrum!$N:$N,MATCH(RIGHT($B103,13)&amp;"|"&amp;$C103&amp;"|"&amp;$D103&amp;"|"&amp;H$14&amp;"|"&amp;"CY2021Q3",Spectrum!$Q:$Q,0)),0),"")</f>
        <v>4971</v>
      </c>
      <c r="I103" s="123" t="n">
        <f aca="false">_xlfn.IFNA(INDEX(Spectrum!$P:$P,MATCH(RIGHT($B103,13)&amp;"|"&amp;$C103&amp;"|"&amp;$D103&amp;"|"&amp;H$14&amp;"|"&amp;"CY2021Q3",Spectrum!$Q:$Q,0)),"")</f>
        <v>10</v>
      </c>
      <c r="J103" s="117" t="n">
        <f aca="false">_xlfn.IFNA(INDEX(Spectrum!$N:$N,MATCH(RIGHT($B103,13)&amp;"|"&amp;$C103&amp;"|"&amp;$D103&amp;"|"&amp;J$14&amp;"|"&amp;"CY2021Q3",Spectrum!$Q:$Q,0)),"")</f>
        <v>0.4133909</v>
      </c>
      <c r="K103" s="123" t="n">
        <f aca="false">_xlfn.IFNA(INDEX(Spectrum!$P:$P,MATCH(RIGHT($B103,13)&amp;"|"&amp;$C103&amp;"|"&amp;$D103&amp;"|"&amp;J$14&amp;"|"&amp;"CY2021Q3",Spectrum!$Q:$Q,0)),"")</f>
        <v>28</v>
      </c>
      <c r="L103" s="115" t="n">
        <f aca="false">_xlfn.IFNA(ROUND(INDEX(Spectrum!$N:$N,MATCH(RIGHT($B103,13)&amp;"|"&amp;$C103&amp;"|"&amp;$D103&amp;"|"&amp;L$14&amp;"|"&amp;"CY2021Q3",Spectrum!$Q:$Q,0)),0),"")</f>
        <v>4192</v>
      </c>
      <c r="M103" s="123" t="n">
        <f aca="false">IF(OR(SUM($H103)&lt;=0,SUM($L103)&lt;=0),"",SUM($L103)/$H103)</f>
        <v>0.843291088312211</v>
      </c>
      <c r="N103" s="115" t="str">
        <f aca="false">_xlfn.IFNA(ROUND(INDEX(Spectrum!$N:$N,MATCH(RIGHT($B103,13)&amp;"|"&amp;$C103&amp;"|"&amp;$D103&amp;"|"&amp;N$14&amp;"|"&amp;"CY2020Q4",Spectrum!$Q:$Q,0)),0),"")</f>
        <v/>
      </c>
      <c r="O103" s="123" t="str">
        <f aca="false">_xlfn.IFNA(INDEX(Spectrum!$P:$P,MATCH(RIGHT($B103,13)&amp;"|"&amp;$C103&amp;"|"&amp;$D103&amp;"|"&amp;N$14&amp;"|"&amp;"CY2020Q4",Spectrum!$Q:$Q,0)),"")</f>
        <v/>
      </c>
      <c r="P103" s="115" t="n">
        <f aca="false">_xlfn.IFNA(ROUND(INDEX(Spectrum!$N:$N,MATCH(RIGHT($B103,13)&amp;"|"&amp;$C103&amp;"|"&amp;$D103&amp;"|"&amp;P$14&amp;"|"&amp;"CY2021Q3",Spectrum!$Q:$Q,0)),0),"")</f>
        <v>3941</v>
      </c>
      <c r="Q103" s="123" t="n">
        <f aca="false">_xlfn.IFNA(INDEX(Spectrum!$P:$P,MATCH(RIGHT($B103,13)&amp;"|"&amp;$C103&amp;"|"&amp;$D103&amp;"|"&amp;P$14&amp;"|"&amp;"CY2021Q3",Spectrum!$Q:$Q,0)),"")</f>
        <v>47</v>
      </c>
      <c r="R103" s="115"/>
      <c r="S103" s="123" t="str">
        <f aca="false">IF(OR(SUM($P103)&lt;=0,SUM($R103)&lt;=0),"",SUM($R103)/$P103)</f>
        <v/>
      </c>
      <c r="T103" s="139" t="n">
        <v>11</v>
      </c>
      <c r="U103" s="124" t="n">
        <v>14</v>
      </c>
      <c r="V103" s="124" t="n">
        <f aca="false">IF($U103-$T103=0,"",$U103-$T103)</f>
        <v>3</v>
      </c>
      <c r="W103" s="123" t="n">
        <f aca="false">IF(LEFT($B103,4)="_Mil","",IFERROR(MIN(IF(SUM($N103)&lt;=0,SUM($U103)/SUM($P103),SUM($T103)/SUM($N103)),1),""))</f>
        <v>0.00355239786856128</v>
      </c>
      <c r="X103" s="123" t="n">
        <f aca="false">$W103</f>
        <v>0.00355239786856128</v>
      </c>
      <c r="Y103" s="123" t="n">
        <f aca="false">IFERROR(1/(1/INDEX(Spectrum!$N:$N,MATCH(RIGHT($B103,13)&amp;"|"&amp;$C103&amp;"|"&amp;$D103&amp;"|"&amp;Y$14&amp;"|"&amp;"CY2021Q3",Spectrum!$Q:$Q,0))),IF(SUM($H103)=0,"",MAX(SUM($P103),SUM($U103))/SUM($H103)))</f>
        <v>0.792798229732448</v>
      </c>
      <c r="Z103" s="123" t="n">
        <f aca="false">IF(SUM($Y103)=0,"",MAX(SUM($Y103),90%))</f>
        <v>0.9</v>
      </c>
      <c r="AA103" s="115" t="n">
        <f aca="false">IF(LEFT($B103,4)="_Mil","",ROUND(MAX(SUM($U103),SUM($P103))+IF(SUM($Z103)=0,0,MAX(SUM($Z103)-SUM($Y103),0)*SUM($H103)),0))</f>
        <v>4474</v>
      </c>
      <c r="AB103" s="115" t="n">
        <f aca="false">IF(SUM($AA103)=0,"",ROUND(MAX(SUM($AA103)-MAX(SUM($P103),SUM($U103)),0),0))</f>
        <v>533</v>
      </c>
      <c r="AC103" s="126" t="str">
        <f aca="false">IF($C103="&lt;01",IFERROR(ROUND(INDEX(EID!$N:$N,MATCH($B103,EID!$B:$B,0))/2,0),""),"")</f>
        <v/>
      </c>
      <c r="AD103" s="115" t="n">
        <f aca="false">IF($C103="&lt;01",IF(SUM($AC103)=0,"",ROUND(SUM($AC103)/$AG103,0)),IF(SUM($AB103)=0,"",ROUND(MAX($X103,0)*SUM($AB103),0)))</f>
        <v>2</v>
      </c>
      <c r="AE103" s="115" t="n">
        <f aca="false">IF(AND(SUM($AD103)=0,SUM($U103)=0),"",ROUND(IF($C103="&lt;01",0,SUM($U103))+SUM($AD103),0))</f>
        <v>16</v>
      </c>
      <c r="AF103" s="122" t="n">
        <f aca="false">IF($C103="&lt;01","",100%)</f>
        <v>1</v>
      </c>
      <c r="AG103" s="123" t="n">
        <f aca="false">0.98</f>
        <v>0.98</v>
      </c>
      <c r="AH103" s="123" t="n">
        <f aca="false">0.98</f>
        <v>0.98</v>
      </c>
      <c r="AI103" s="124" t="n">
        <f aca="false">IF(OR($C103="&lt;01",SUM($U103)=0),"",ROUND(SUM($U103)*(1-$AH103),0))</f>
        <v>0</v>
      </c>
      <c r="AJ103" s="124" t="n">
        <f aca="false">IF(AND(SUM($AE103)=0,SUM($U103)=0),"",IF($C103="&lt;01",SUM($AD103),SUM($AE103) - ROUND(SUM($U103)*$AH103,0)))</f>
        <v>2</v>
      </c>
      <c r="AK103" s="124" t="n">
        <v>40</v>
      </c>
      <c r="AL103" s="124" t="n">
        <v>26</v>
      </c>
      <c r="AM103" s="115" t="n">
        <f aca="false">IF(AND(SUM($AD103)=0,SUM($U103)=0),"",IF($C103="&lt;01",SUM($AD103),ROUND(ROUND(SUM($AJ103)*$AF103,0)/$AG103,0)))</f>
        <v>2</v>
      </c>
      <c r="AN103" s="122" t="n">
        <f aca="false">0.7</f>
        <v>0.7</v>
      </c>
      <c r="AO103" s="123" t="n">
        <f aca="false">1</f>
        <v>1</v>
      </c>
      <c r="AP103" s="115" t="n">
        <f aca="false">IF(AND(SUM($U103)=0,SUM($AM103)=0),"",ROUND((SUM($AM103)*$AN103+IF($C103="&lt;01",0,$U103))*$AO103,0))</f>
        <v>15</v>
      </c>
      <c r="AQ103" s="122" t="n">
        <v>28</v>
      </c>
      <c r="AR103" s="123" t="n">
        <f aca="false">0.95</f>
        <v>0.95</v>
      </c>
      <c r="AS103" s="123" t="n">
        <f aca="false">0.95</f>
        <v>0.95</v>
      </c>
      <c r="AT103" s="115" t="n">
        <f aca="false">IF(SUM($AP103)=0,"",ROUND(SUM($AP103)*$AR103,0))</f>
        <v>14</v>
      </c>
      <c r="AU103" s="115" t="n">
        <f aca="false">IF(LEFT($B103,4)="_Mil","",ROUND(SUM($AA103)*SUM($AS103),0))</f>
        <v>4250</v>
      </c>
      <c r="AV103" s="124" t="n">
        <f aca="false">IF(SUM($AU103)&lt;=0,"",MAX(SUM($AU103)-SUM($R103),0))</f>
        <v>4250</v>
      </c>
      <c r="AW103" s="122" t="n">
        <f aca="false">0</f>
        <v>0</v>
      </c>
      <c r="AX103" s="124" t="n">
        <f aca="false">IF(SUM($AM103)=0,"",ROUND(SUM($AM103)*SUM($AW103),0))</f>
        <v>0</v>
      </c>
      <c r="AY103" s="124" t="n">
        <f aca="false">IF(SUM($AM103)=0,"",SUM($AM103)-SUM($AX103))</f>
        <v>2</v>
      </c>
      <c r="AZ103" s="123" t="n">
        <v>18</v>
      </c>
      <c r="BA103" s="123" t="n">
        <f aca="false">0.95</f>
        <v>0.95</v>
      </c>
      <c r="BB103" s="123"/>
      <c r="BC103" s="123" t="n">
        <f aca="false">IF(OR(SUM($AM103)&lt;=0,$C103="&lt;01"),"",MAX(IF(OR(SUM($Y103)&lt;70%,LEFT($B103,4)="_Mil"),30%,IF(SUM($Y103)&gt;=80%,75%,50%)),SUM($BB103)))</f>
        <v>0.5</v>
      </c>
      <c r="BD103" s="115" t="n">
        <f aca="false">IF($C103="&lt;01",IFERROR(ROUND(INDEX(EID!$M:$M,MATCH($B103,EID!$B:$B,0)),0)/2,""),IF(SUM($AY103)=0,"",ROUND(SUM($AY103)/SUM($BA103),0)))</f>
        <v>2</v>
      </c>
      <c r="BE103" s="115" t="n">
        <f aca="false">IF($C103="&lt;01","",IF(SUM($BD103)=0,"",ROUND(SUM($BD103)*SUM($BC103),0)))</f>
        <v>1</v>
      </c>
      <c r="BF103" s="115" t="n">
        <f aca="false">_xlfn.IFNA(INDEX(PMTCT!$AE:$AE,MATCH($E103,PMTCT!$E:$E,0)),"")</f>
        <v>-5850</v>
      </c>
      <c r="BG103" s="115" t="str">
        <f aca="false">_xlfn.IFNA(INDEX(PMTCT!$AU:$AU,MATCH($E103,PMTCT!$E:$E,0)),"")</f>
        <v/>
      </c>
      <c r="BH103" s="115" t="n">
        <f aca="false">_xlfn.IFNA(INDEX(TB!$Q:$Q,MATCH($E103,TB!$E:$E,0)),"")</f>
        <v>-2460</v>
      </c>
      <c r="BI103" s="115" t="str">
        <f aca="false">_xlfn.IFNA(INDEX(VMMC!$AC:$AC,MATCH($E103,VMMC!$E:$E,0)),"")</f>
        <v/>
      </c>
      <c r="BJ103" s="115" t="str">
        <f aca="false">IF($C103="&lt;01",$BD103,"")</f>
        <v/>
      </c>
      <c r="BK103" s="115" t="n">
        <f aca="false">IF(SUM($BD103)=0,"",($BD103)-SUM($BE103:$BJ103))</f>
        <v>8311</v>
      </c>
      <c r="BL103" s="123" t="n">
        <f aca="false">IF(OR(SUM($BD103)=0,SUM($BE103)=0),"",SUM($BE103)/$BD103)</f>
        <v>0.5</v>
      </c>
      <c r="BM103" s="123" t="n">
        <f aca="false">IF(OR(SUM($BD103)=0,SUM($BF103)=0),"",SUM($BF103)/$BD103)</f>
        <v>-2925</v>
      </c>
      <c r="BN103" s="123" t="str">
        <f aca="false">IF(OR(SUM($BD103)=0,SUM($BG103)=0),"",SUM($BG103)/$BD103)</f>
        <v/>
      </c>
      <c r="BO103" s="123" t="n">
        <f aca="false">IF(OR(SUM($BD103)=0,SUM($BH103)=0),"",SUM($BH103)/$BD103)</f>
        <v>-1230</v>
      </c>
      <c r="BP103" s="123" t="str">
        <f aca="false">IF(OR(SUM($BD103)=0,SUM($BI103)=0),"",SUM($BI103)/$BD103)</f>
        <v/>
      </c>
      <c r="BQ103" s="123" t="str">
        <f aca="false">IF(AND($C103="&lt;01",SUM($BJ103)&lt;&gt;0),$BJ103/SUM($BD103),"")</f>
        <v/>
      </c>
      <c r="BR103" s="123" t="n">
        <f aca="false">IF(OR(SUM($BD103)=0,SUM($BK103)=0),"",SUM($BK103)/$BD103)</f>
        <v>4155.5</v>
      </c>
      <c r="BS103" s="122" t="n">
        <f aca="false">IF(SUM($X103)&lt;=0,"",$X103)</f>
        <v>0.00355239786856128</v>
      </c>
      <c r="BT103" s="115" t="n">
        <f aca="false">IF(LEFT($B103,4)="_Mil","",MAX(SUM($L103)+ROUND(SUM($BD103)/IF(SUM($BS103)&lt;=0,1,SUM($BS103)),0),0))</f>
        <v>4755</v>
      </c>
    </row>
    <row r="104" customFormat="false" ht="15" hidden="false" customHeight="false" outlineLevel="0" collapsed="false">
      <c r="A104" s="0" t="s">
        <v>144</v>
      </c>
      <c r="B104" s="0" t="s">
        <v>103</v>
      </c>
      <c r="C104" s="0" t="s">
        <v>75</v>
      </c>
      <c r="D104" s="0" t="s">
        <v>58</v>
      </c>
      <c r="E104" s="0" t="str">
        <f aca="false">B104&amp;"|"&amp;C104&amp;"|"&amp;D104</f>
        <v>Leribe [#SNU] [FjSmRywOWUp]|35-39|Male</v>
      </c>
      <c r="F104" s="115" t="n">
        <f aca="false">_xlfn.IFNA(ROUND(INDEX(Spectrum!$N:$N,MATCH(RIGHT($B104,13)&amp;"|"&amp;$C104&amp;"|"&amp;$D104&amp;"|"&amp;F$14&amp;"|"&amp;"CY2021Q3",Spectrum!$Q:$Q,0)),0),"")</f>
        <v>13426</v>
      </c>
      <c r="G104" s="123" t="n">
        <f aca="false">_xlfn.IFNA(INDEX(Spectrum!$P:$P,MATCH(RIGHT($B104,13)&amp;"|"&amp;$C104&amp;"|"&amp;$D104&amp;"|"&amp;F$14&amp;"|"&amp;"CY2021Q3",Spectrum!$Q:$Q,0)),"")</f>
        <v>7</v>
      </c>
      <c r="H104" s="115" t="n">
        <f aca="false">_xlfn.IFNA(ROUND(INDEX(Spectrum!$N:$N,MATCH(RIGHT($B104,13)&amp;"|"&amp;$C104&amp;"|"&amp;$D104&amp;"|"&amp;H$14&amp;"|"&amp;"CY2021Q3",Spectrum!$Q:$Q,0)),0),"")</f>
        <v>3549</v>
      </c>
      <c r="I104" s="123" t="n">
        <f aca="false">_xlfn.IFNA(INDEX(Spectrum!$P:$P,MATCH(RIGHT($B104,13)&amp;"|"&amp;$C104&amp;"|"&amp;$D104&amp;"|"&amp;H$14&amp;"|"&amp;"CY2021Q3",Spectrum!$Q:$Q,0)),"")</f>
        <v>36</v>
      </c>
      <c r="J104" s="117" t="n">
        <f aca="false">_xlfn.IFNA(INDEX(Spectrum!$N:$N,MATCH(RIGHT($B104,13)&amp;"|"&amp;$C104&amp;"|"&amp;$D104&amp;"|"&amp;J$14&amp;"|"&amp;"CY2021Q3",Spectrum!$Q:$Q,0)),"")</f>
        <v>0.2643267</v>
      </c>
      <c r="K104" s="123" t="n">
        <f aca="false">_xlfn.IFNA(INDEX(Spectrum!$P:$P,MATCH(RIGHT($B104,13)&amp;"|"&amp;$C104&amp;"|"&amp;$D104&amp;"|"&amp;J$14&amp;"|"&amp;"CY2021Q3",Spectrum!$Q:$Q,0)),"")</f>
        <v>37</v>
      </c>
      <c r="L104" s="115" t="n">
        <f aca="false">_xlfn.IFNA(ROUND(INDEX(Spectrum!$N:$N,MATCH(RIGHT($B104,13)&amp;"|"&amp;$C104&amp;"|"&amp;$D104&amp;"|"&amp;L$14&amp;"|"&amp;"CY2021Q3",Spectrum!$Q:$Q,0)),0),"")</f>
        <v>2519</v>
      </c>
      <c r="M104" s="123" t="n">
        <f aca="false">IF(OR(SUM($H104)&lt;=0,SUM($L104)&lt;=0),"",SUM($L104)/$H104)</f>
        <v>0.709777402085094</v>
      </c>
      <c r="N104" s="115" t="str">
        <f aca="false">_xlfn.IFNA(ROUND(INDEX(Spectrum!$N:$N,MATCH(RIGHT($B104,13)&amp;"|"&amp;$C104&amp;"|"&amp;$D104&amp;"|"&amp;N$14&amp;"|"&amp;"CY2020Q4",Spectrum!$Q:$Q,0)),0),"")</f>
        <v/>
      </c>
      <c r="O104" s="123" t="str">
        <f aca="false">_xlfn.IFNA(INDEX(Spectrum!$P:$P,MATCH(RIGHT($B104,13)&amp;"|"&amp;$C104&amp;"|"&amp;$D104&amp;"|"&amp;N$14&amp;"|"&amp;"CY2020Q4",Spectrum!$Q:$Q,0)),"")</f>
        <v/>
      </c>
      <c r="P104" s="115" t="n">
        <f aca="false">_xlfn.IFNA(ROUND(INDEX(Spectrum!$N:$N,MATCH(RIGHT($B104,13)&amp;"|"&amp;$C104&amp;"|"&amp;$D104&amp;"|"&amp;P$14&amp;"|"&amp;"CY2021Q3",Spectrum!$Q:$Q,0)),0),"")</f>
        <v>2117</v>
      </c>
      <c r="Q104" s="123" t="n">
        <f aca="false">_xlfn.IFNA(INDEX(Spectrum!$P:$P,MATCH(RIGHT($B104,13)&amp;"|"&amp;$C104&amp;"|"&amp;$D104&amp;"|"&amp;P$14&amp;"|"&amp;"CY2021Q3",Spectrum!$Q:$Q,0)),"")</f>
        <v>42</v>
      </c>
      <c r="R104" s="115"/>
      <c r="S104" s="123" t="str">
        <f aca="false">IF(OR(SUM($P104)&lt;=0,SUM($R104)&lt;=0),"",SUM($R104)/$P104)</f>
        <v/>
      </c>
      <c r="T104" s="139" t="n">
        <v>36</v>
      </c>
      <c r="U104" s="124" t="n">
        <v>0</v>
      </c>
      <c r="V104" s="124" t="n">
        <f aca="false">IF($U104-$T104=0,"",$U104-$T104)</f>
        <v>-36</v>
      </c>
      <c r="W104" s="123" t="n">
        <f aca="false">IF(LEFT($B104,4)="_Mil","",IFERROR(MIN(IF(SUM($N104)&lt;=0,SUM($U104)/SUM($P104),SUM($T104)/SUM($N104)),1),""))</f>
        <v>0</v>
      </c>
      <c r="X104" s="123" t="n">
        <f aca="false">$W104</f>
        <v>0</v>
      </c>
      <c r="Y104" s="123" t="n">
        <f aca="false">IFERROR(1/(1/INDEX(Spectrum!$N:$N,MATCH(RIGHT($B104,13)&amp;"|"&amp;$C104&amp;"|"&amp;$D104&amp;"|"&amp;Y$14&amp;"|"&amp;"CY2021Q3",Spectrum!$Q:$Q,0))),IF(SUM($H104)=0,"",MAX(SUM($P104),SUM($U104))/SUM($H104)))</f>
        <v>0.59650605804452</v>
      </c>
      <c r="Z104" s="123" t="n">
        <f aca="false">IF(SUM($Y104)=0,"",MAX(SUM($Y104),90%))</f>
        <v>0.9</v>
      </c>
      <c r="AA104" s="115" t="n">
        <f aca="false">IF(LEFT($B104,4)="_Mil","",ROUND(MAX(SUM($U104),SUM($P104))+IF(SUM($Z104)=0,0,MAX(SUM($Z104)-SUM($Y104),0)*SUM($H104)),0))</f>
        <v>3194</v>
      </c>
      <c r="AB104" s="115" t="n">
        <f aca="false">IF(SUM($AA104)=0,"",ROUND(MAX(SUM($AA104)-MAX(SUM($P104),SUM($U104)),0),0))</f>
        <v>1077</v>
      </c>
      <c r="AC104" s="126" t="str">
        <f aca="false">IF($C104="&lt;01",IFERROR(ROUND(INDEX(EID!$N:$N,MATCH($B104,EID!$B:$B,0))/2,0),""),"")</f>
        <v/>
      </c>
      <c r="AD104" s="115" t="n">
        <f aca="false">IF($C104="&lt;01",IF(SUM($AC104)=0,"",ROUND(SUM($AC104)/$AG104,0)),IF(SUM($AB104)=0,"",ROUND(MAX($X104,0)*SUM($AB104),0)))</f>
        <v>0</v>
      </c>
      <c r="AE104" s="115" t="str">
        <f aca="false">IF(AND(SUM($AD104)=0,SUM($U104)=0),"",ROUND(IF($C104="&lt;01",0,SUM($U104))+SUM($AD104),0))</f>
        <v/>
      </c>
      <c r="AF104" s="122" t="n">
        <f aca="false">IF($C104="&lt;01","",100%)</f>
        <v>1</v>
      </c>
      <c r="AG104" s="123" t="n">
        <f aca="false">0.98</f>
        <v>0.98</v>
      </c>
      <c r="AH104" s="123" t="n">
        <f aca="false">0.98</f>
        <v>0.98</v>
      </c>
      <c r="AI104" s="124" t="str">
        <f aca="false">IF(OR($C104="&lt;01",SUM($U104)=0),"",ROUND(SUM($U104)*(1-$AH104),0))</f>
        <v/>
      </c>
      <c r="AJ104" s="124" t="str">
        <f aca="false">IF(AND(SUM($AE104)=0,SUM($U104)=0),"",IF($C104="&lt;01",SUM($AD104),SUM($AE104) - ROUND(SUM($U104)*$AH104,0)))</f>
        <v/>
      </c>
      <c r="AK104" s="124" t="n">
        <v>32</v>
      </c>
      <c r="AL104" s="124" t="n">
        <v>30</v>
      </c>
      <c r="AM104" s="115" t="str">
        <f aca="false">IF(AND(SUM($AD104)=0,SUM($U104)=0),"",IF($C104="&lt;01",SUM($AD104),ROUND(ROUND(SUM($AJ104)*$AF104,0)/$AG104,0)))</f>
        <v/>
      </c>
      <c r="AN104" s="122" t="n">
        <f aca="false">0.7</f>
        <v>0.7</v>
      </c>
      <c r="AO104" s="123" t="n">
        <f aca="false">1</f>
        <v>1</v>
      </c>
      <c r="AP104" s="115" t="str">
        <f aca="false">IF(AND(SUM($U104)=0,SUM($AM104)=0),"",ROUND((SUM($AM104)*$AN104+IF($C104="&lt;01",0,$U104))*$AO104,0))</f>
        <v/>
      </c>
      <c r="AQ104" s="122" t="n">
        <v>23</v>
      </c>
      <c r="AR104" s="123" t="n">
        <f aca="false">0.95</f>
        <v>0.95</v>
      </c>
      <c r="AS104" s="123" t="n">
        <f aca="false">0.95</f>
        <v>0.95</v>
      </c>
      <c r="AT104" s="115" t="str">
        <f aca="false">IF(SUM($AP104)=0,"",ROUND(SUM($AP104)*$AR104,0))</f>
        <v/>
      </c>
      <c r="AU104" s="115" t="n">
        <f aca="false">IF(LEFT($B104,4)="_Mil","",ROUND(SUM($AA104)*SUM($AS104),0))</f>
        <v>3034</v>
      </c>
      <c r="AV104" s="124" t="n">
        <f aca="false">IF(SUM($AU104)&lt;=0,"",MAX(SUM($AU104)-SUM($R104),0))</f>
        <v>3034</v>
      </c>
      <c r="AW104" s="122" t="n">
        <f aca="false">0</f>
        <v>0</v>
      </c>
      <c r="AX104" s="124" t="str">
        <f aca="false">IF(SUM($AM104)=0,"",ROUND(SUM($AM104)*SUM($AW104),0))</f>
        <v/>
      </c>
      <c r="AY104" s="124" t="str">
        <f aca="false">IF(SUM($AM104)=0,"",SUM($AM104)-SUM($AX104))</f>
        <v/>
      </c>
      <c r="AZ104" s="123" t="n">
        <v>44</v>
      </c>
      <c r="BA104" s="123" t="n">
        <f aca="false">0.95</f>
        <v>0.95</v>
      </c>
      <c r="BB104" s="123"/>
      <c r="BC104" s="123" t="str">
        <f aca="false">IF(OR(SUM($AM104)&lt;=0,$C104="&lt;01"),"",MAX(IF(OR(SUM($Y104)&lt;70%,LEFT($B104,4)="_Mil"),30%,IF(SUM($Y104)&gt;=80%,75%,50%)),SUM($BB104)))</f>
        <v/>
      </c>
      <c r="BD104" s="115" t="str">
        <f aca="false">IF($C104="&lt;01",IFERROR(ROUND(INDEX(EID!$M:$M,MATCH($B104,EID!$B:$B,0)),0)/2,""),IF(SUM($AY104)=0,"",ROUND(SUM($AY104)/SUM($BA104),0)))</f>
        <v/>
      </c>
      <c r="BE104" s="115" t="str">
        <f aca="false">IF($C104="&lt;01","",IF(SUM($BD104)=0,"",ROUND(SUM($BD104)*SUM($BC104),0)))</f>
        <v/>
      </c>
      <c r="BF104" s="115" t="str">
        <f aca="false">_xlfn.IFNA(INDEX(PMTCT!$AE:$AE,MATCH($E104,PMTCT!$E:$E,0)),"")</f>
        <v/>
      </c>
      <c r="BG104" s="115" t="str">
        <f aca="false">_xlfn.IFNA(INDEX(PMTCT!$AU:$AU,MATCH($E104,PMTCT!$E:$E,0)),"")</f>
        <v/>
      </c>
      <c r="BH104" s="115" t="n">
        <f aca="false">_xlfn.IFNA(INDEX(TB!$Q:$Q,MATCH($E104,TB!$E:$E,0)),"")</f>
        <v>-3321</v>
      </c>
      <c r="BI104" s="115" t="str">
        <f aca="false">_xlfn.IFNA(INDEX(VMMC!$AC:$AC,MATCH($E104,VMMC!$E:$E,0)),"")</f>
        <v/>
      </c>
      <c r="BJ104" s="115" t="str">
        <f aca="false">IF($C104="&lt;01",$BD104,"")</f>
        <v/>
      </c>
      <c r="BK104" s="115" t="str">
        <f aca="false">IF(SUM($BD104)=0,"",($BD104)-SUM($BE104:$BJ104))</f>
        <v/>
      </c>
      <c r="BL104" s="123" t="str">
        <f aca="false">IF(OR(SUM($BD104)=0,SUM($BE104)=0),"",SUM($BE104)/$BD104)</f>
        <v/>
      </c>
      <c r="BM104" s="123" t="str">
        <f aca="false">IF(OR(SUM($BD104)=0,SUM($BF104)=0),"",SUM($BF104)/$BD104)</f>
        <v/>
      </c>
      <c r="BN104" s="123" t="str">
        <f aca="false">IF(OR(SUM($BD104)=0,SUM($BG104)=0),"",SUM($BG104)/$BD104)</f>
        <v/>
      </c>
      <c r="BO104" s="123" t="str">
        <f aca="false">IF(OR(SUM($BD104)=0,SUM($BH104)=0),"",SUM($BH104)/$BD104)</f>
        <v/>
      </c>
      <c r="BP104" s="123" t="str">
        <f aca="false">IF(OR(SUM($BD104)=0,SUM($BI104)=0),"",SUM($BI104)/$BD104)</f>
        <v/>
      </c>
      <c r="BQ104" s="123" t="str">
        <f aca="false">IF(AND($C104="&lt;01",SUM($BJ104)&lt;&gt;0),$BJ104/SUM($BD104),"")</f>
        <v/>
      </c>
      <c r="BR104" s="123" t="str">
        <f aca="false">IF(OR(SUM($BD104)=0,SUM($BK104)=0),"",SUM($BK104)/$BD104)</f>
        <v/>
      </c>
      <c r="BS104" s="122" t="str">
        <f aca="false">IF(SUM($X104)&lt;=0,"",$X104)</f>
        <v/>
      </c>
      <c r="BT104" s="115" t="n">
        <f aca="false">IF(LEFT($B104,4)="_Mil","",MAX(SUM($L104)+ROUND(SUM($BD104)/IF(SUM($BS104)&lt;=0,1,SUM($BS104)),0),0))</f>
        <v>2519</v>
      </c>
    </row>
    <row r="105" customFormat="false" ht="15" hidden="false" customHeight="false" outlineLevel="0" collapsed="false">
      <c r="A105" s="0" t="s">
        <v>144</v>
      </c>
      <c r="B105" s="0" t="s">
        <v>103</v>
      </c>
      <c r="C105" s="0" t="s">
        <v>77</v>
      </c>
      <c r="D105" s="0" t="s">
        <v>56</v>
      </c>
      <c r="E105" s="0" t="str">
        <f aca="false">B105&amp;"|"&amp;C105&amp;"|"&amp;D105</f>
        <v>Leribe [#SNU] [FjSmRywOWUp]|40-44|Female</v>
      </c>
      <c r="F105" s="115" t="n">
        <f aca="false">_xlfn.IFNA(ROUND(INDEX(Spectrum!$N:$N,MATCH(RIGHT($B105,13)&amp;"|"&amp;$C105&amp;"|"&amp;$D105&amp;"|"&amp;F$14&amp;"|"&amp;"CY2021Q3",Spectrum!$Q:$Q,0)),0),"")</f>
        <v>8664</v>
      </c>
      <c r="G105" s="123" t="n">
        <f aca="false">_xlfn.IFNA(INDEX(Spectrum!$P:$P,MATCH(RIGHT($B105,13)&amp;"|"&amp;$C105&amp;"|"&amp;$D105&amp;"|"&amp;F$14&amp;"|"&amp;"CY2021Q3",Spectrum!$Q:$Q,0)),"")</f>
        <v>24</v>
      </c>
      <c r="H105" s="115" t="n">
        <f aca="false">_xlfn.IFNA(ROUND(INDEX(Spectrum!$N:$N,MATCH(RIGHT($B105,13)&amp;"|"&amp;$C105&amp;"|"&amp;$D105&amp;"|"&amp;H$14&amp;"|"&amp;"CY2021Q3",Spectrum!$Q:$Q,0)),0),"")</f>
        <v>3984</v>
      </c>
      <c r="I105" s="123" t="n">
        <f aca="false">_xlfn.IFNA(INDEX(Spectrum!$P:$P,MATCH(RIGHT($B105,13)&amp;"|"&amp;$C105&amp;"|"&amp;$D105&amp;"|"&amp;H$14&amp;"|"&amp;"CY2021Q3",Spectrum!$Q:$Q,0)),"")</f>
        <v>16</v>
      </c>
      <c r="J105" s="117" t="n">
        <f aca="false">_xlfn.IFNA(INDEX(Spectrum!$N:$N,MATCH(RIGHT($B105,13)&amp;"|"&amp;$C105&amp;"|"&amp;$D105&amp;"|"&amp;J$14&amp;"|"&amp;"CY2021Q3",Spectrum!$Q:$Q,0)),"")</f>
        <v>0.4597975</v>
      </c>
      <c r="K105" s="123" t="n">
        <f aca="false">_xlfn.IFNA(INDEX(Spectrum!$P:$P,MATCH(RIGHT($B105,13)&amp;"|"&amp;$C105&amp;"|"&amp;$D105&amp;"|"&amp;J$14&amp;"|"&amp;"CY2021Q3",Spectrum!$Q:$Q,0)),"")</f>
        <v>4</v>
      </c>
      <c r="L105" s="115" t="n">
        <f aca="false">_xlfn.IFNA(ROUND(INDEX(Spectrum!$N:$N,MATCH(RIGHT($B105,13)&amp;"|"&amp;$C105&amp;"|"&amp;$D105&amp;"|"&amp;L$14&amp;"|"&amp;"CY2021Q3",Spectrum!$Q:$Q,0)),0),"")</f>
        <v>3973</v>
      </c>
      <c r="M105" s="123" t="n">
        <f aca="false">IF(OR(SUM($H105)&lt;=0,SUM($L105)&lt;=0),"",SUM($L105)/$H105)</f>
        <v>0.997238955823293</v>
      </c>
      <c r="N105" s="115" t="str">
        <f aca="false">_xlfn.IFNA(ROUND(INDEX(Spectrum!$N:$N,MATCH(RIGHT($B105,13)&amp;"|"&amp;$C105&amp;"|"&amp;$D105&amp;"|"&amp;N$14&amp;"|"&amp;"CY2020Q4",Spectrum!$Q:$Q,0)),0),"")</f>
        <v/>
      </c>
      <c r="O105" s="123" t="str">
        <f aca="false">_xlfn.IFNA(INDEX(Spectrum!$P:$P,MATCH(RIGHT($B105,13)&amp;"|"&amp;$C105&amp;"|"&amp;$D105&amp;"|"&amp;N$14&amp;"|"&amp;"CY2020Q4",Spectrum!$Q:$Q,0)),"")</f>
        <v/>
      </c>
      <c r="P105" s="115" t="n">
        <f aca="false">_xlfn.IFNA(ROUND(INDEX(Spectrum!$N:$N,MATCH(RIGHT($B105,13)&amp;"|"&amp;$C105&amp;"|"&amp;$D105&amp;"|"&amp;P$14&amp;"|"&amp;"CY2021Q3",Spectrum!$Q:$Q,0)),0),"")</f>
        <v>3768</v>
      </c>
      <c r="Q105" s="123" t="n">
        <f aca="false">_xlfn.IFNA(INDEX(Spectrum!$P:$P,MATCH(RIGHT($B105,13)&amp;"|"&amp;$C105&amp;"|"&amp;$D105&amp;"|"&amp;P$14&amp;"|"&amp;"CY2021Q3",Spectrum!$Q:$Q,0)),"")</f>
        <v>7</v>
      </c>
      <c r="R105" s="115"/>
      <c r="S105" s="123" t="str">
        <f aca="false">IF(OR(SUM($P105)&lt;=0,SUM($R105)&lt;=0),"",SUM($R105)/$P105)</f>
        <v/>
      </c>
      <c r="T105" s="139" t="n">
        <v>15</v>
      </c>
      <c r="U105" s="124" t="n">
        <v>8</v>
      </c>
      <c r="V105" s="124" t="n">
        <f aca="false">IF($U105-$T105=0,"",$U105-$T105)</f>
        <v>-7</v>
      </c>
      <c r="W105" s="123" t="n">
        <f aca="false">IF(LEFT($B105,4)="_Mil","",IFERROR(MIN(IF(SUM($N105)&lt;=0,SUM($U105)/SUM($P105),SUM($T105)/SUM($N105)),1),""))</f>
        <v>0.00212314225053079</v>
      </c>
      <c r="X105" s="123" t="n">
        <f aca="false">$W105</f>
        <v>0.00212314225053079</v>
      </c>
      <c r="Y105" s="123" t="n">
        <f aca="false">IFERROR(1/(1/INDEX(Spectrum!$N:$N,MATCH(RIGHT($B105,13)&amp;"|"&amp;$C105&amp;"|"&amp;$D105&amp;"|"&amp;Y$14&amp;"|"&amp;"CY2021Q3",Spectrum!$Q:$Q,0))),IF(SUM($H105)=0,"",MAX(SUM($P105),SUM($U105))/SUM($H105)))</f>
        <v>0.94578313253012</v>
      </c>
      <c r="Z105" s="123" t="n">
        <f aca="false">IF(SUM($Y105)=0,"",MAX(SUM($Y105),90%))</f>
        <v>0.94578313253012</v>
      </c>
      <c r="AA105" s="115" t="n">
        <f aca="false">IF(LEFT($B105,4)="_Mil","",ROUND(MAX(SUM($U105),SUM($P105))+IF(SUM($Z105)=0,0,MAX(SUM($Z105)-SUM($Y105),0)*SUM($H105)),0))</f>
        <v>3768</v>
      </c>
      <c r="AB105" s="115" t="n">
        <f aca="false">IF(SUM($AA105)=0,"",ROUND(MAX(SUM($AA105)-MAX(SUM($P105),SUM($U105)),0),0))</f>
        <v>0</v>
      </c>
      <c r="AC105" s="126" t="str">
        <f aca="false">IF($C105="&lt;01",IFERROR(ROUND(INDEX(EID!$N:$N,MATCH($B105,EID!$B:$B,0))/2,0),""),"")</f>
        <v/>
      </c>
      <c r="AD105" s="115" t="str">
        <f aca="false">IF($C105="&lt;01",IF(SUM($AC105)=0,"",ROUND(SUM($AC105)/$AG105,0)),IF(SUM($AB105)=0,"",ROUND(MAX($X105,0)*SUM($AB105),0)))</f>
        <v/>
      </c>
      <c r="AE105" s="115" t="n">
        <f aca="false">IF(AND(SUM($AD105)=0,SUM($U105)=0),"",ROUND(IF($C105="&lt;01",0,SUM($U105))+SUM($AD105),0))</f>
        <v>8</v>
      </c>
      <c r="AF105" s="122" t="n">
        <f aca="false">IF($C105="&lt;01","",100%)</f>
        <v>1</v>
      </c>
      <c r="AG105" s="123" t="n">
        <f aca="false">0.98</f>
        <v>0.98</v>
      </c>
      <c r="AH105" s="123" t="n">
        <f aca="false">0.98</f>
        <v>0.98</v>
      </c>
      <c r="AI105" s="124" t="n">
        <f aca="false">IF(OR($C105="&lt;01",SUM($U105)=0),"",ROUND(SUM($U105)*(1-$AH105),0))</f>
        <v>0</v>
      </c>
      <c r="AJ105" s="124" t="n">
        <f aca="false">IF(AND(SUM($AE105)=0,SUM($U105)=0),"",IF($C105="&lt;01",SUM($AD105),SUM($AE105) - ROUND(SUM($U105)*$AH105,0)))</f>
        <v>0</v>
      </c>
      <c r="AK105" s="124" t="n">
        <v>24</v>
      </c>
      <c r="AL105" s="124" t="n">
        <v>42</v>
      </c>
      <c r="AM105" s="115" t="n">
        <f aca="false">IF(AND(SUM($AD105)=0,SUM($U105)=0),"",IF($C105="&lt;01",SUM($AD105),ROUND(ROUND(SUM($AJ105)*$AF105,0)/$AG105,0)))</f>
        <v>0</v>
      </c>
      <c r="AN105" s="122" t="n">
        <f aca="false">0.7</f>
        <v>0.7</v>
      </c>
      <c r="AO105" s="123" t="n">
        <f aca="false">1</f>
        <v>1</v>
      </c>
      <c r="AP105" s="115" t="n">
        <f aca="false">IF(AND(SUM($U105)=0,SUM($AM105)=0),"",ROUND((SUM($AM105)*$AN105+IF($C105="&lt;01",0,$U105))*$AO105,0))</f>
        <v>8</v>
      </c>
      <c r="AQ105" s="122" t="n">
        <v>21</v>
      </c>
      <c r="AR105" s="123" t="n">
        <f aca="false">0.95</f>
        <v>0.95</v>
      </c>
      <c r="AS105" s="123" t="n">
        <f aca="false">0.95</f>
        <v>0.95</v>
      </c>
      <c r="AT105" s="115" t="n">
        <f aca="false">IF(SUM($AP105)=0,"",ROUND(SUM($AP105)*$AR105,0))</f>
        <v>8</v>
      </c>
      <c r="AU105" s="115" t="n">
        <f aca="false">IF(LEFT($B105,4)="_Mil","",ROUND(SUM($AA105)*SUM($AS105),0))</f>
        <v>3580</v>
      </c>
      <c r="AV105" s="124" t="n">
        <f aca="false">IF(SUM($AU105)&lt;=0,"",MAX(SUM($AU105)-SUM($R105),0))</f>
        <v>3580</v>
      </c>
      <c r="AW105" s="122" t="n">
        <f aca="false">0</f>
        <v>0</v>
      </c>
      <c r="AX105" s="124" t="str">
        <f aca="false">IF(SUM($AM105)=0,"",ROUND(SUM($AM105)*SUM($AW105),0))</f>
        <v/>
      </c>
      <c r="AY105" s="124" t="str">
        <f aca="false">IF(SUM($AM105)=0,"",SUM($AM105)-SUM($AX105))</f>
        <v/>
      </c>
      <c r="AZ105" s="123" t="n">
        <v>19</v>
      </c>
      <c r="BA105" s="123" t="n">
        <f aca="false">0.95</f>
        <v>0.95</v>
      </c>
      <c r="BB105" s="123"/>
      <c r="BC105" s="123" t="str">
        <f aca="false">IF(OR(SUM($AM105)&lt;=0,$C105="&lt;01"),"",MAX(IF(OR(SUM($Y105)&lt;70%,LEFT($B105,4)="_Mil"),30%,IF(SUM($Y105)&gt;=80%,75%,50%)),SUM($BB105)))</f>
        <v/>
      </c>
      <c r="BD105" s="115" t="str">
        <f aca="false">IF($C105="&lt;01",IFERROR(ROUND(INDEX(EID!$M:$M,MATCH($B105,EID!$B:$B,0)),0)/2,""),IF(SUM($AY105)=0,"",ROUND(SUM($AY105)/SUM($BA105),0)))</f>
        <v/>
      </c>
      <c r="BE105" s="115" t="str">
        <f aca="false">IF($C105="&lt;01","",IF(SUM($BD105)=0,"",ROUND(SUM($BD105)*SUM($BC105),0)))</f>
        <v/>
      </c>
      <c r="BF105" s="115" t="n">
        <f aca="false">_xlfn.IFNA(INDEX(PMTCT!$AE:$AE,MATCH($E105,PMTCT!$E:$E,0)),"")</f>
        <v>-90</v>
      </c>
      <c r="BG105" s="115" t="str">
        <f aca="false">_xlfn.IFNA(INDEX(PMTCT!$AU:$AU,MATCH($E105,PMTCT!$E:$E,0)),"")</f>
        <v/>
      </c>
      <c r="BH105" s="115" t="n">
        <f aca="false">_xlfn.IFNA(INDEX(TB!$Q:$Q,MATCH($E105,TB!$E:$E,0)),"")</f>
        <v>-12250</v>
      </c>
      <c r="BI105" s="115" t="str">
        <f aca="false">_xlfn.IFNA(INDEX(VMMC!$AC:$AC,MATCH($E105,VMMC!$E:$E,0)),"")</f>
        <v/>
      </c>
      <c r="BJ105" s="115" t="str">
        <f aca="false">IF($C105="&lt;01",$BD105,"")</f>
        <v/>
      </c>
      <c r="BK105" s="115" t="str">
        <f aca="false">IF(SUM($BD105)=0,"",($BD105)-SUM($BE105:$BJ105))</f>
        <v/>
      </c>
      <c r="BL105" s="123" t="str">
        <f aca="false">IF(OR(SUM($BD105)=0,SUM($BE105)=0),"",SUM($BE105)/$BD105)</f>
        <v/>
      </c>
      <c r="BM105" s="123" t="str">
        <f aca="false">IF(OR(SUM($BD105)=0,SUM($BF105)=0),"",SUM($BF105)/$BD105)</f>
        <v/>
      </c>
      <c r="BN105" s="123" t="str">
        <f aca="false">IF(OR(SUM($BD105)=0,SUM($BG105)=0),"",SUM($BG105)/$BD105)</f>
        <v/>
      </c>
      <c r="BO105" s="123" t="str">
        <f aca="false">IF(OR(SUM($BD105)=0,SUM($BH105)=0),"",SUM($BH105)/$BD105)</f>
        <v/>
      </c>
      <c r="BP105" s="123" t="str">
        <f aca="false">IF(OR(SUM($BD105)=0,SUM($BI105)=0),"",SUM($BI105)/$BD105)</f>
        <v/>
      </c>
      <c r="BQ105" s="123" t="str">
        <f aca="false">IF(AND($C105="&lt;01",SUM($BJ105)&lt;&gt;0),$BJ105/SUM($BD105),"")</f>
        <v/>
      </c>
      <c r="BR105" s="123" t="str">
        <f aca="false">IF(OR(SUM($BD105)=0,SUM($BK105)=0),"",SUM($BK105)/$BD105)</f>
        <v/>
      </c>
      <c r="BS105" s="122" t="n">
        <f aca="false">IF(SUM($X105)&lt;=0,"",$X105)</f>
        <v>0.00212314225053079</v>
      </c>
      <c r="BT105" s="115" t="n">
        <f aca="false">IF(LEFT($B105,4)="_Mil","",MAX(SUM($L105)+ROUND(SUM($BD105)/IF(SUM($BS105)&lt;=0,1,SUM($BS105)),0),0))</f>
        <v>3973</v>
      </c>
    </row>
    <row r="106" customFormat="false" ht="15" hidden="false" customHeight="false" outlineLevel="0" collapsed="false">
      <c r="A106" s="0" t="s">
        <v>144</v>
      </c>
      <c r="B106" s="0" t="s">
        <v>103</v>
      </c>
      <c r="C106" s="0" t="s">
        <v>77</v>
      </c>
      <c r="D106" s="0" t="s">
        <v>58</v>
      </c>
      <c r="E106" s="0" t="str">
        <f aca="false">B106&amp;"|"&amp;C106&amp;"|"&amp;D106</f>
        <v>Leribe [#SNU] [FjSmRywOWUp]|40-44|Male</v>
      </c>
      <c r="F106" s="115" t="n">
        <f aca="false">_xlfn.IFNA(ROUND(INDEX(Spectrum!$N:$N,MATCH(RIGHT($B106,13)&amp;"|"&amp;$C106&amp;"|"&amp;$D106&amp;"|"&amp;F$14&amp;"|"&amp;"CY2021Q3",Spectrum!$Q:$Q,0)),0),"")</f>
        <v>8954</v>
      </c>
      <c r="G106" s="123" t="n">
        <f aca="false">_xlfn.IFNA(INDEX(Spectrum!$P:$P,MATCH(RIGHT($B106,13)&amp;"|"&amp;$C106&amp;"|"&amp;$D106&amp;"|"&amp;F$14&amp;"|"&amp;"CY2021Q3",Spectrum!$Q:$Q,0)),"")</f>
        <v>27</v>
      </c>
      <c r="H106" s="115" t="n">
        <f aca="false">_xlfn.IFNA(ROUND(INDEX(Spectrum!$N:$N,MATCH(RIGHT($B106,13)&amp;"|"&amp;$C106&amp;"|"&amp;$D106&amp;"|"&amp;H$14&amp;"|"&amp;"CY2021Q3",Spectrum!$Q:$Q,0)),0),"")</f>
        <v>3141</v>
      </c>
      <c r="I106" s="123" t="n">
        <f aca="false">_xlfn.IFNA(INDEX(Spectrum!$P:$P,MATCH(RIGHT($B106,13)&amp;"|"&amp;$C106&amp;"|"&amp;$D106&amp;"|"&amp;H$14&amp;"|"&amp;"CY2021Q3",Spectrum!$Q:$Q,0)),"")</f>
        <v>29</v>
      </c>
      <c r="J106" s="117" t="n">
        <f aca="false">_xlfn.IFNA(INDEX(Spectrum!$N:$N,MATCH(RIGHT($B106,13)&amp;"|"&amp;$C106&amp;"|"&amp;$D106&amp;"|"&amp;J$14&amp;"|"&amp;"CY2021Q3",Spectrum!$Q:$Q,0)),"")</f>
        <v>0.3507236</v>
      </c>
      <c r="K106" s="123" t="n">
        <f aca="false">_xlfn.IFNA(INDEX(Spectrum!$P:$P,MATCH(RIGHT($B106,13)&amp;"|"&amp;$C106&amp;"|"&amp;$D106&amp;"|"&amp;J$14&amp;"|"&amp;"CY2021Q3",Spectrum!$Q:$Q,0)),"")</f>
        <v>27</v>
      </c>
      <c r="L106" s="115" t="n">
        <f aca="false">_xlfn.IFNA(ROUND(INDEX(Spectrum!$N:$N,MATCH(RIGHT($B106,13)&amp;"|"&amp;$C106&amp;"|"&amp;$D106&amp;"|"&amp;L$14&amp;"|"&amp;"CY2021Q3",Spectrum!$Q:$Q,0)),0),"")</f>
        <v>2587</v>
      </c>
      <c r="M106" s="123" t="n">
        <f aca="false">IF(OR(SUM($H106)&lt;=0,SUM($L106)&lt;=0),"",SUM($L106)/$H106)</f>
        <v>0.823623049984082</v>
      </c>
      <c r="N106" s="115" t="str">
        <f aca="false">_xlfn.IFNA(ROUND(INDEX(Spectrum!$N:$N,MATCH(RIGHT($B106,13)&amp;"|"&amp;$C106&amp;"|"&amp;$D106&amp;"|"&amp;N$14&amp;"|"&amp;"CY2020Q4",Spectrum!$Q:$Q,0)),0),"")</f>
        <v/>
      </c>
      <c r="O106" s="123" t="str">
        <f aca="false">_xlfn.IFNA(INDEX(Spectrum!$P:$P,MATCH(RIGHT($B106,13)&amp;"|"&amp;$C106&amp;"|"&amp;$D106&amp;"|"&amp;N$14&amp;"|"&amp;"CY2020Q4",Spectrum!$Q:$Q,0)),"")</f>
        <v/>
      </c>
      <c r="P106" s="115" t="n">
        <f aca="false">_xlfn.IFNA(ROUND(INDEX(Spectrum!$N:$N,MATCH(RIGHT($B106,13)&amp;"|"&amp;$C106&amp;"|"&amp;$D106&amp;"|"&amp;P$14&amp;"|"&amp;"CY2021Q3",Spectrum!$Q:$Q,0)),0),"")</f>
        <v>2217</v>
      </c>
      <c r="Q106" s="123" t="n">
        <f aca="false">_xlfn.IFNA(INDEX(Spectrum!$P:$P,MATCH(RIGHT($B106,13)&amp;"|"&amp;$C106&amp;"|"&amp;$D106&amp;"|"&amp;P$14&amp;"|"&amp;"CY2021Q3",Spectrum!$Q:$Q,0)),"")</f>
        <v>8</v>
      </c>
      <c r="R106" s="115"/>
      <c r="S106" s="123" t="str">
        <f aca="false">IF(OR(SUM($P106)&lt;=0,SUM($R106)&lt;=0),"",SUM($R106)/$P106)</f>
        <v/>
      </c>
      <c r="T106" s="139" t="n">
        <v>11</v>
      </c>
      <c r="U106" s="124" t="n">
        <v>39</v>
      </c>
      <c r="V106" s="124" t="n">
        <f aca="false">IF($U106-$T106=0,"",$U106-$T106)</f>
        <v>28</v>
      </c>
      <c r="W106" s="123" t="n">
        <f aca="false">IF(LEFT($B106,4)="_Mil","",IFERROR(MIN(IF(SUM($N106)&lt;=0,SUM($U106)/SUM($P106),SUM($T106)/SUM($N106)),1),""))</f>
        <v>0.0175913396481732</v>
      </c>
      <c r="X106" s="123" t="n">
        <f aca="false">$W106</f>
        <v>0.0175913396481732</v>
      </c>
      <c r="Y106" s="123" t="n">
        <f aca="false">IFERROR(1/(1/INDEX(Spectrum!$N:$N,MATCH(RIGHT($B106,13)&amp;"|"&amp;$C106&amp;"|"&amp;$D106&amp;"|"&amp;Y$14&amp;"|"&amp;"CY2021Q3",Spectrum!$Q:$Q,0))),IF(SUM($H106)=0,"",MAX(SUM($P106),SUM($U106))/SUM($H106)))</f>
        <v>0.705826170009551</v>
      </c>
      <c r="Z106" s="123" t="n">
        <f aca="false">IF(SUM($Y106)=0,"",MAX(SUM($Y106),90%))</f>
        <v>0.9</v>
      </c>
      <c r="AA106" s="115" t="n">
        <f aca="false">IF(LEFT($B106,4)="_Mil","",ROUND(MAX(SUM($U106),SUM($P106))+IF(SUM($Z106)=0,0,MAX(SUM($Z106)-SUM($Y106),0)*SUM($H106)),0))</f>
        <v>2827</v>
      </c>
      <c r="AB106" s="115" t="n">
        <f aca="false">IF(SUM($AA106)=0,"",ROUND(MAX(SUM($AA106)-MAX(SUM($P106),SUM($U106)),0),0))</f>
        <v>610</v>
      </c>
      <c r="AC106" s="126" t="str">
        <f aca="false">IF($C106="&lt;01",IFERROR(ROUND(INDEX(EID!$N:$N,MATCH($B106,EID!$B:$B,0))/2,0),""),"")</f>
        <v/>
      </c>
      <c r="AD106" s="115" t="n">
        <f aca="false">IF($C106="&lt;01",IF(SUM($AC106)=0,"",ROUND(SUM($AC106)/$AG106,0)),IF(SUM($AB106)=0,"",ROUND(MAX($X106,0)*SUM($AB106),0)))</f>
        <v>11</v>
      </c>
      <c r="AE106" s="115" t="n">
        <f aca="false">IF(AND(SUM($AD106)=0,SUM($U106)=0),"",ROUND(IF($C106="&lt;01",0,SUM($U106))+SUM($AD106),0))</f>
        <v>50</v>
      </c>
      <c r="AF106" s="122" t="n">
        <f aca="false">IF($C106="&lt;01","",100%)</f>
        <v>1</v>
      </c>
      <c r="AG106" s="123" t="n">
        <f aca="false">0.98</f>
        <v>0.98</v>
      </c>
      <c r="AH106" s="123" t="n">
        <f aca="false">0.98</f>
        <v>0.98</v>
      </c>
      <c r="AI106" s="124" t="n">
        <f aca="false">IF(OR($C106="&lt;01",SUM($U106)=0),"",ROUND(SUM($U106)*(1-$AH106),0))</f>
        <v>1</v>
      </c>
      <c r="AJ106" s="124" t="n">
        <f aca="false">IF(AND(SUM($AE106)=0,SUM($U106)=0),"",IF($C106="&lt;01",SUM($AD106),SUM($AE106) - ROUND(SUM($U106)*$AH106,0)))</f>
        <v>12</v>
      </c>
      <c r="AK106" s="124" t="n">
        <v>31</v>
      </c>
      <c r="AL106" s="124" t="n">
        <v>2</v>
      </c>
      <c r="AM106" s="115" t="n">
        <f aca="false">IF(AND(SUM($AD106)=0,SUM($U106)=0),"",IF($C106="&lt;01",SUM($AD106),ROUND(ROUND(SUM($AJ106)*$AF106,0)/$AG106,0)))</f>
        <v>12</v>
      </c>
      <c r="AN106" s="122" t="n">
        <f aca="false">0.7</f>
        <v>0.7</v>
      </c>
      <c r="AO106" s="123" t="n">
        <f aca="false">1</f>
        <v>1</v>
      </c>
      <c r="AP106" s="115" t="n">
        <f aca="false">IF(AND(SUM($U106)=0,SUM($AM106)=0),"",ROUND((SUM($AM106)*$AN106+IF($C106="&lt;01",0,$U106))*$AO106,0))</f>
        <v>47</v>
      </c>
      <c r="AQ106" s="122" t="n">
        <v>2</v>
      </c>
      <c r="AR106" s="123" t="n">
        <f aca="false">0.95</f>
        <v>0.95</v>
      </c>
      <c r="AS106" s="123" t="n">
        <f aca="false">0.95</f>
        <v>0.95</v>
      </c>
      <c r="AT106" s="115" t="n">
        <f aca="false">IF(SUM($AP106)=0,"",ROUND(SUM($AP106)*$AR106,0))</f>
        <v>45</v>
      </c>
      <c r="AU106" s="115" t="n">
        <f aca="false">IF(LEFT($B106,4)="_Mil","",ROUND(SUM($AA106)*SUM($AS106),0))</f>
        <v>2686</v>
      </c>
      <c r="AV106" s="124" t="n">
        <f aca="false">IF(SUM($AU106)&lt;=0,"",MAX(SUM($AU106)-SUM($R106),0))</f>
        <v>2686</v>
      </c>
      <c r="AW106" s="122" t="n">
        <f aca="false">0</f>
        <v>0</v>
      </c>
      <c r="AX106" s="124" t="n">
        <f aca="false">IF(SUM($AM106)=0,"",ROUND(SUM($AM106)*SUM($AW106),0))</f>
        <v>0</v>
      </c>
      <c r="AY106" s="124" t="n">
        <f aca="false">IF(SUM($AM106)=0,"",SUM($AM106)-SUM($AX106))</f>
        <v>12</v>
      </c>
      <c r="AZ106" s="123" t="n">
        <v>40</v>
      </c>
      <c r="BA106" s="123" t="n">
        <f aca="false">0.95</f>
        <v>0.95</v>
      </c>
      <c r="BB106" s="123"/>
      <c r="BC106" s="123" t="n">
        <f aca="false">IF(OR(SUM($AM106)&lt;=0,$C106="&lt;01"),"",MAX(IF(OR(SUM($Y106)&lt;70%,LEFT($B106,4)="_Mil"),30%,IF(SUM($Y106)&gt;=80%,75%,50%)),SUM($BB106)))</f>
        <v>0.5</v>
      </c>
      <c r="BD106" s="115" t="n">
        <f aca="false">IF($C106="&lt;01",IFERROR(ROUND(INDEX(EID!$M:$M,MATCH($B106,EID!$B:$B,0)),0)/2,""),IF(SUM($AY106)=0,"",ROUND(SUM($AY106)/SUM($BA106),0)))</f>
        <v>13</v>
      </c>
      <c r="BE106" s="115" t="n">
        <f aca="false">IF($C106="&lt;01","",IF(SUM($BD106)=0,"",ROUND(SUM($BD106)*SUM($BC106),0)))</f>
        <v>7</v>
      </c>
      <c r="BF106" s="115" t="str">
        <f aca="false">_xlfn.IFNA(INDEX(PMTCT!$AE:$AE,MATCH($E106,PMTCT!$E:$E,0)),"")</f>
        <v/>
      </c>
      <c r="BG106" s="115" t="str">
        <f aca="false">_xlfn.IFNA(INDEX(PMTCT!$AU:$AU,MATCH($E106,PMTCT!$E:$E,0)),"")</f>
        <v/>
      </c>
      <c r="BH106" s="115" t="n">
        <f aca="false">_xlfn.IFNA(INDEX(TB!$Q:$Q,MATCH($E106,TB!$E:$E,0)),"")</f>
        <v>-16800</v>
      </c>
      <c r="BI106" s="115" t="str">
        <f aca="false">_xlfn.IFNA(INDEX(VMMC!$AC:$AC,MATCH($E106,VMMC!$E:$E,0)),"")</f>
        <v/>
      </c>
      <c r="BJ106" s="115" t="str">
        <f aca="false">IF($C106="&lt;01",$BD106,"")</f>
        <v/>
      </c>
      <c r="BK106" s="115" t="n">
        <f aca="false">IF(SUM($BD106)=0,"",($BD106)-SUM($BE106:$BJ106))</f>
        <v>16806</v>
      </c>
      <c r="BL106" s="123" t="n">
        <f aca="false">IF(OR(SUM($BD106)=0,SUM($BE106)=0),"",SUM($BE106)/$BD106)</f>
        <v>0.538461538461538</v>
      </c>
      <c r="BM106" s="123" t="str">
        <f aca="false">IF(OR(SUM($BD106)=0,SUM($BF106)=0),"",SUM($BF106)/$BD106)</f>
        <v/>
      </c>
      <c r="BN106" s="123" t="str">
        <f aca="false">IF(OR(SUM($BD106)=0,SUM($BG106)=0),"",SUM($BG106)/$BD106)</f>
        <v/>
      </c>
      <c r="BO106" s="123" t="n">
        <f aca="false">IF(OR(SUM($BD106)=0,SUM($BH106)=0),"",SUM($BH106)/$BD106)</f>
        <v>-1292.30769230769</v>
      </c>
      <c r="BP106" s="123" t="str">
        <f aca="false">IF(OR(SUM($BD106)=0,SUM($BI106)=0),"",SUM($BI106)/$BD106)</f>
        <v/>
      </c>
      <c r="BQ106" s="123" t="str">
        <f aca="false">IF(AND($C106="&lt;01",SUM($BJ106)&lt;&gt;0),$BJ106/SUM($BD106),"")</f>
        <v/>
      </c>
      <c r="BR106" s="123" t="n">
        <f aca="false">IF(OR(SUM($BD106)=0,SUM($BK106)=0),"",SUM($BK106)/$BD106)</f>
        <v>1292.76923076923</v>
      </c>
      <c r="BS106" s="122" t="n">
        <f aca="false">IF(SUM($X106)&lt;=0,"",$X106)</f>
        <v>0.0175913396481732</v>
      </c>
      <c r="BT106" s="115" t="n">
        <f aca="false">IF(LEFT($B106,4)="_Mil","",MAX(SUM($L106)+ROUND(SUM($BD106)/IF(SUM($BS106)&lt;=0,1,SUM($BS106)),0),0))</f>
        <v>3326</v>
      </c>
    </row>
    <row r="107" customFormat="false" ht="15" hidden="false" customHeight="false" outlineLevel="0" collapsed="false">
      <c r="A107" s="0" t="s">
        <v>144</v>
      </c>
      <c r="B107" s="0" t="s">
        <v>103</v>
      </c>
      <c r="C107" s="0" t="s">
        <v>80</v>
      </c>
      <c r="D107" s="0" t="s">
        <v>56</v>
      </c>
      <c r="E107" s="0" t="str">
        <f aca="false">B107&amp;"|"&amp;C107&amp;"|"&amp;D107</f>
        <v>Leribe [#SNU] [FjSmRywOWUp]|45-49|Female</v>
      </c>
      <c r="F107" s="115" t="n">
        <f aca="false">_xlfn.IFNA(ROUND(INDEX(Spectrum!$N:$N,MATCH(RIGHT($B107,13)&amp;"|"&amp;$C107&amp;"|"&amp;$D107&amp;"|"&amp;F$14&amp;"|"&amp;"CY2021Q3",Spectrum!$Q:$Q,0)),0),"")</f>
        <v>6819</v>
      </c>
      <c r="G107" s="123" t="n">
        <f aca="false">_xlfn.IFNA(INDEX(Spectrum!$P:$P,MATCH(RIGHT($B107,13)&amp;"|"&amp;$C107&amp;"|"&amp;$D107&amp;"|"&amp;F$14&amp;"|"&amp;"CY2021Q3",Spectrum!$Q:$Q,0)),"")</f>
        <v>38</v>
      </c>
      <c r="H107" s="115" t="n">
        <f aca="false">_xlfn.IFNA(ROUND(INDEX(Spectrum!$N:$N,MATCH(RIGHT($B107,13)&amp;"|"&amp;$C107&amp;"|"&amp;$D107&amp;"|"&amp;H$14&amp;"|"&amp;"CY2021Q3",Spectrum!$Q:$Q,0)),0),"")</f>
        <v>2981</v>
      </c>
      <c r="I107" s="123" t="n">
        <f aca="false">_xlfn.IFNA(INDEX(Spectrum!$P:$P,MATCH(RIGHT($B107,13)&amp;"|"&amp;$C107&amp;"|"&amp;$D107&amp;"|"&amp;H$14&amp;"|"&amp;"CY2021Q3",Spectrum!$Q:$Q,0)),"")</f>
        <v>31</v>
      </c>
      <c r="J107" s="117" t="n">
        <f aca="false">_xlfn.IFNA(INDEX(Spectrum!$N:$N,MATCH(RIGHT($B107,13)&amp;"|"&amp;$C107&amp;"|"&amp;$D107&amp;"|"&amp;J$14&amp;"|"&amp;"CY2021Q3",Spectrum!$Q:$Q,0)),"")</f>
        <v>0.4371742</v>
      </c>
      <c r="K107" s="123" t="n">
        <f aca="false">_xlfn.IFNA(INDEX(Spectrum!$P:$P,MATCH(RIGHT($B107,13)&amp;"|"&amp;$C107&amp;"|"&amp;$D107&amp;"|"&amp;J$14&amp;"|"&amp;"CY2021Q3",Spectrum!$Q:$Q,0)),"")</f>
        <v>15</v>
      </c>
      <c r="L107" s="115" t="n">
        <f aca="false">_xlfn.IFNA(ROUND(INDEX(Spectrum!$N:$N,MATCH(RIGHT($B107,13)&amp;"|"&amp;$C107&amp;"|"&amp;$D107&amp;"|"&amp;L$14&amp;"|"&amp;"CY2021Q3",Spectrum!$Q:$Q,0)),0),"")</f>
        <v>2986</v>
      </c>
      <c r="M107" s="123" t="n">
        <f aca="false">IF(OR(SUM($H107)&lt;=0,SUM($L107)&lt;=0),"",SUM($L107)/$H107)</f>
        <v>1.00167728950017</v>
      </c>
      <c r="N107" s="115" t="str">
        <f aca="false">_xlfn.IFNA(ROUND(INDEX(Spectrum!$N:$N,MATCH(RIGHT($B107,13)&amp;"|"&amp;$C107&amp;"|"&amp;$D107&amp;"|"&amp;N$14&amp;"|"&amp;"CY2020Q4",Spectrum!$Q:$Q,0)),0),"")</f>
        <v/>
      </c>
      <c r="O107" s="123" t="str">
        <f aca="false">_xlfn.IFNA(INDEX(Spectrum!$P:$P,MATCH(RIGHT($B107,13)&amp;"|"&amp;$C107&amp;"|"&amp;$D107&amp;"|"&amp;N$14&amp;"|"&amp;"CY2020Q4",Spectrum!$Q:$Q,0)),"")</f>
        <v/>
      </c>
      <c r="P107" s="115" t="n">
        <f aca="false">_xlfn.IFNA(ROUND(INDEX(Spectrum!$N:$N,MATCH(RIGHT($B107,13)&amp;"|"&amp;$C107&amp;"|"&amp;$D107&amp;"|"&amp;P$14&amp;"|"&amp;"CY2021Q3",Spectrum!$Q:$Q,0)),0),"")</f>
        <v>2882</v>
      </c>
      <c r="Q107" s="123" t="n">
        <f aca="false">_xlfn.IFNA(INDEX(Spectrum!$P:$P,MATCH(RIGHT($B107,13)&amp;"|"&amp;$C107&amp;"|"&amp;$D107&amp;"|"&amp;P$14&amp;"|"&amp;"CY2021Q3",Spectrum!$Q:$Q,0)),"")</f>
        <v>34</v>
      </c>
      <c r="R107" s="115"/>
      <c r="S107" s="123" t="str">
        <f aca="false">IF(OR(SUM($P107)&lt;=0,SUM($R107)&lt;=0),"",SUM($R107)/$P107)</f>
        <v/>
      </c>
      <c r="T107" s="139" t="n">
        <v>4</v>
      </c>
      <c r="U107" s="124" t="n">
        <v>38</v>
      </c>
      <c r="V107" s="124" t="n">
        <f aca="false">IF($U107-$T107=0,"",$U107-$T107)</f>
        <v>34</v>
      </c>
      <c r="W107" s="123" t="n">
        <f aca="false">IF(LEFT($B107,4)="_Mil","",IFERROR(MIN(IF(SUM($N107)&lt;=0,SUM($U107)/SUM($P107),SUM($T107)/SUM($N107)),1),""))</f>
        <v>0.0131852879944483</v>
      </c>
      <c r="X107" s="123" t="n">
        <f aca="false">$W107</f>
        <v>0.0131852879944483</v>
      </c>
      <c r="Y107" s="123" t="n">
        <f aca="false">IFERROR(1/(1/INDEX(Spectrum!$N:$N,MATCH(RIGHT($B107,13)&amp;"|"&amp;$C107&amp;"|"&amp;$D107&amp;"|"&amp;Y$14&amp;"|"&amp;"CY2021Q3",Spectrum!$Q:$Q,0))),IF(SUM($H107)=0,"",MAX(SUM($P107),SUM($U107))/SUM($H107)))</f>
        <v>0.966789667896679</v>
      </c>
      <c r="Z107" s="123" t="n">
        <f aca="false">IF(SUM($Y107)=0,"",MAX(SUM($Y107),90%))</f>
        <v>0.966789667896679</v>
      </c>
      <c r="AA107" s="115" t="n">
        <f aca="false">IF(LEFT($B107,4)="_Mil","",ROUND(MAX(SUM($U107),SUM($P107))+IF(SUM($Z107)=0,0,MAX(SUM($Z107)-SUM($Y107),0)*SUM($H107)),0))</f>
        <v>2882</v>
      </c>
      <c r="AB107" s="115" t="n">
        <f aca="false">IF(SUM($AA107)=0,"",ROUND(MAX(SUM($AA107)-MAX(SUM($P107),SUM($U107)),0),0))</f>
        <v>0</v>
      </c>
      <c r="AC107" s="126" t="str">
        <f aca="false">IF($C107="&lt;01",IFERROR(ROUND(INDEX(EID!$N:$N,MATCH($B107,EID!$B:$B,0))/2,0),""),"")</f>
        <v/>
      </c>
      <c r="AD107" s="115" t="str">
        <f aca="false">IF($C107="&lt;01",IF(SUM($AC107)=0,"",ROUND(SUM($AC107)/$AG107,0)),IF(SUM($AB107)=0,"",ROUND(MAX($X107,0)*SUM($AB107),0)))</f>
        <v/>
      </c>
      <c r="AE107" s="115" t="n">
        <f aca="false">IF(AND(SUM($AD107)=0,SUM($U107)=0),"",ROUND(IF($C107="&lt;01",0,SUM($U107))+SUM($AD107),0))</f>
        <v>38</v>
      </c>
      <c r="AF107" s="122" t="n">
        <f aca="false">IF($C107="&lt;01","",100%)</f>
        <v>1</v>
      </c>
      <c r="AG107" s="123" t="n">
        <f aca="false">0.98</f>
        <v>0.98</v>
      </c>
      <c r="AH107" s="123" t="n">
        <f aca="false">0.98</f>
        <v>0.98</v>
      </c>
      <c r="AI107" s="124" t="n">
        <f aca="false">IF(OR($C107="&lt;01",SUM($U107)=0),"",ROUND(SUM($U107)*(1-$AH107),0))</f>
        <v>1</v>
      </c>
      <c r="AJ107" s="124" t="n">
        <f aca="false">IF(AND(SUM($AE107)=0,SUM($U107)=0),"",IF($C107="&lt;01",SUM($AD107),SUM($AE107) - ROUND(SUM($U107)*$AH107,0)))</f>
        <v>1</v>
      </c>
      <c r="AK107" s="124" t="n">
        <v>22</v>
      </c>
      <c r="AL107" s="124" t="n">
        <v>3</v>
      </c>
      <c r="AM107" s="115" t="n">
        <f aca="false">IF(AND(SUM($AD107)=0,SUM($U107)=0),"",IF($C107="&lt;01",SUM($AD107),ROUND(ROUND(SUM($AJ107)*$AF107,0)/$AG107,0)))</f>
        <v>1</v>
      </c>
      <c r="AN107" s="122" t="n">
        <f aca="false">0.7</f>
        <v>0.7</v>
      </c>
      <c r="AO107" s="123" t="n">
        <f aca="false">1</f>
        <v>1</v>
      </c>
      <c r="AP107" s="115" t="n">
        <f aca="false">IF(AND(SUM($U107)=0,SUM($AM107)=0),"",ROUND((SUM($AM107)*$AN107+IF($C107="&lt;01",0,$U107))*$AO107,0))</f>
        <v>39</v>
      </c>
      <c r="AQ107" s="122" t="n">
        <v>42</v>
      </c>
      <c r="AR107" s="123" t="n">
        <f aca="false">0.95</f>
        <v>0.95</v>
      </c>
      <c r="AS107" s="123" t="n">
        <f aca="false">0.95</f>
        <v>0.95</v>
      </c>
      <c r="AT107" s="115" t="n">
        <f aca="false">IF(SUM($AP107)=0,"",ROUND(SUM($AP107)*$AR107,0))</f>
        <v>37</v>
      </c>
      <c r="AU107" s="115" t="n">
        <f aca="false">IF(LEFT($B107,4)="_Mil","",ROUND(SUM($AA107)*SUM($AS107),0))</f>
        <v>2738</v>
      </c>
      <c r="AV107" s="124" t="n">
        <f aca="false">IF(SUM($AU107)&lt;=0,"",MAX(SUM($AU107)-SUM($R107),0))</f>
        <v>2738</v>
      </c>
      <c r="AW107" s="122" t="n">
        <f aca="false">0</f>
        <v>0</v>
      </c>
      <c r="AX107" s="124" t="n">
        <f aca="false">IF(SUM($AM107)=0,"",ROUND(SUM($AM107)*SUM($AW107),0))</f>
        <v>0</v>
      </c>
      <c r="AY107" s="124" t="n">
        <f aca="false">IF(SUM($AM107)=0,"",SUM($AM107)-SUM($AX107))</f>
        <v>1</v>
      </c>
      <c r="AZ107" s="123" t="n">
        <v>14</v>
      </c>
      <c r="BA107" s="123" t="n">
        <f aca="false">0.95</f>
        <v>0.95</v>
      </c>
      <c r="BB107" s="123"/>
      <c r="BC107" s="123" t="n">
        <f aca="false">IF(OR(SUM($AM107)&lt;=0,$C107="&lt;01"),"",MAX(IF(OR(SUM($Y107)&lt;70%,LEFT($B107,4)="_Mil"),30%,IF(SUM($Y107)&gt;=80%,75%,50%)),SUM($BB107)))</f>
        <v>0.75</v>
      </c>
      <c r="BD107" s="115" t="n">
        <f aca="false">IF($C107="&lt;01",IFERROR(ROUND(INDEX(EID!$M:$M,MATCH($B107,EID!$B:$B,0)),0)/2,""),IF(SUM($AY107)=0,"",ROUND(SUM($AY107)/SUM($BA107),0)))</f>
        <v>1</v>
      </c>
      <c r="BE107" s="115" t="n">
        <f aca="false">IF($C107="&lt;01","",IF(SUM($BD107)=0,"",ROUND(SUM($BD107)*SUM($BC107),0)))</f>
        <v>1</v>
      </c>
      <c r="BF107" s="115" t="n">
        <f aca="false">_xlfn.IFNA(INDEX(PMTCT!$AE:$AE,MATCH($E107,PMTCT!$E:$E,0)),"")</f>
        <v>-0</v>
      </c>
      <c r="BG107" s="115" t="str">
        <f aca="false">_xlfn.IFNA(INDEX(PMTCT!$AU:$AU,MATCH($E107,PMTCT!$E:$E,0)),"")</f>
        <v/>
      </c>
      <c r="BH107" s="115" t="n">
        <f aca="false">_xlfn.IFNA(INDEX(TB!$Q:$Q,MATCH($E107,TB!$E:$E,0)),"")</f>
        <v>-3780</v>
      </c>
      <c r="BI107" s="115" t="str">
        <f aca="false">_xlfn.IFNA(INDEX(VMMC!$AC:$AC,MATCH($E107,VMMC!$E:$E,0)),"")</f>
        <v/>
      </c>
      <c r="BJ107" s="115" t="str">
        <f aca="false">IF($C107="&lt;01",$BD107,"")</f>
        <v/>
      </c>
      <c r="BK107" s="115" t="n">
        <f aca="false">IF(SUM($BD107)=0,"",($BD107)-SUM($BE107:$BJ107))</f>
        <v>3780</v>
      </c>
      <c r="BL107" s="123" t="n">
        <f aca="false">IF(OR(SUM($BD107)=0,SUM($BE107)=0),"",SUM($BE107)/$BD107)</f>
        <v>1</v>
      </c>
      <c r="BM107" s="123" t="str">
        <f aca="false">IF(OR(SUM($BD107)=0,SUM($BF107)=0),"",SUM($BF107)/$BD107)</f>
        <v/>
      </c>
      <c r="BN107" s="123" t="str">
        <f aca="false">IF(OR(SUM($BD107)=0,SUM($BG107)=0),"",SUM($BG107)/$BD107)</f>
        <v/>
      </c>
      <c r="BO107" s="123" t="n">
        <f aca="false">IF(OR(SUM($BD107)=0,SUM($BH107)=0),"",SUM($BH107)/$BD107)</f>
        <v>-3780</v>
      </c>
      <c r="BP107" s="123" t="str">
        <f aca="false">IF(OR(SUM($BD107)=0,SUM($BI107)=0),"",SUM($BI107)/$BD107)</f>
        <v/>
      </c>
      <c r="BQ107" s="123" t="str">
        <f aca="false">IF(AND($C107="&lt;01",SUM($BJ107)&lt;&gt;0),$BJ107/SUM($BD107),"")</f>
        <v/>
      </c>
      <c r="BR107" s="123" t="n">
        <f aca="false">IF(OR(SUM($BD107)=0,SUM($BK107)=0),"",SUM($BK107)/$BD107)</f>
        <v>3780</v>
      </c>
      <c r="BS107" s="122" t="n">
        <f aca="false">IF(SUM($X107)&lt;=0,"",$X107)</f>
        <v>0.0131852879944483</v>
      </c>
      <c r="BT107" s="115" t="n">
        <f aca="false">IF(LEFT($B107,4)="_Mil","",MAX(SUM($L107)+ROUND(SUM($BD107)/IF(SUM($BS107)&lt;=0,1,SUM($BS107)),0),0))</f>
        <v>3062</v>
      </c>
    </row>
    <row r="108" customFormat="false" ht="15" hidden="false" customHeight="false" outlineLevel="0" collapsed="false">
      <c r="A108" s="0" t="s">
        <v>144</v>
      </c>
      <c r="B108" s="0" t="s">
        <v>103</v>
      </c>
      <c r="C108" s="0" t="s">
        <v>80</v>
      </c>
      <c r="D108" s="0" t="s">
        <v>58</v>
      </c>
      <c r="E108" s="0" t="str">
        <f aca="false">B108&amp;"|"&amp;C108&amp;"|"&amp;D108</f>
        <v>Leribe [#SNU] [FjSmRywOWUp]|45-49|Male</v>
      </c>
      <c r="F108" s="115" t="n">
        <f aca="false">_xlfn.IFNA(ROUND(INDEX(Spectrum!$N:$N,MATCH(RIGHT($B108,13)&amp;"|"&amp;$C108&amp;"|"&amp;$D108&amp;"|"&amp;F$14&amp;"|"&amp;"CY2021Q3",Spectrum!$Q:$Q,0)),0),"")</f>
        <v>6587</v>
      </c>
      <c r="G108" s="123" t="n">
        <f aca="false">_xlfn.IFNA(INDEX(Spectrum!$P:$P,MATCH(RIGHT($B108,13)&amp;"|"&amp;$C108&amp;"|"&amp;$D108&amp;"|"&amp;F$14&amp;"|"&amp;"CY2021Q3",Spectrum!$Q:$Q,0)),"")</f>
        <v>33</v>
      </c>
      <c r="H108" s="115" t="n">
        <f aca="false">_xlfn.IFNA(ROUND(INDEX(Spectrum!$N:$N,MATCH(RIGHT($B108,13)&amp;"|"&amp;$C108&amp;"|"&amp;$D108&amp;"|"&amp;H$14&amp;"|"&amp;"CY2021Q3",Spectrum!$Q:$Q,0)),0),"")</f>
        <v>2613</v>
      </c>
      <c r="I108" s="123" t="n">
        <f aca="false">_xlfn.IFNA(INDEX(Spectrum!$P:$P,MATCH(RIGHT($B108,13)&amp;"|"&amp;$C108&amp;"|"&amp;$D108&amp;"|"&amp;H$14&amp;"|"&amp;"CY2021Q3",Spectrum!$Q:$Q,0)),"")</f>
        <v>10</v>
      </c>
      <c r="J108" s="117" t="n">
        <f aca="false">_xlfn.IFNA(INDEX(Spectrum!$N:$N,MATCH(RIGHT($B108,13)&amp;"|"&amp;$C108&amp;"|"&amp;$D108&amp;"|"&amp;J$14&amp;"|"&amp;"CY2021Q3",Spectrum!$Q:$Q,0)),"")</f>
        <v>0.3966871</v>
      </c>
      <c r="K108" s="123" t="n">
        <f aca="false">_xlfn.IFNA(INDEX(Spectrum!$P:$P,MATCH(RIGHT($B108,13)&amp;"|"&amp;$C108&amp;"|"&amp;$D108&amp;"|"&amp;J$14&amp;"|"&amp;"CY2021Q3",Spectrum!$Q:$Q,0)),"")</f>
        <v>48</v>
      </c>
      <c r="L108" s="115" t="n">
        <f aca="false">_xlfn.IFNA(ROUND(INDEX(Spectrum!$N:$N,MATCH(RIGHT($B108,13)&amp;"|"&amp;$C108&amp;"|"&amp;$D108&amp;"|"&amp;L$14&amp;"|"&amp;"CY2021Q3",Spectrum!$Q:$Q,0)),0),"")</f>
        <v>2053</v>
      </c>
      <c r="M108" s="123" t="n">
        <f aca="false">IF(OR(SUM($H108)&lt;=0,SUM($L108)&lt;=0),"",SUM($L108)/$H108)</f>
        <v>0.785686949866054</v>
      </c>
      <c r="N108" s="115" t="str">
        <f aca="false">_xlfn.IFNA(ROUND(INDEX(Spectrum!$N:$N,MATCH(RIGHT($B108,13)&amp;"|"&amp;$C108&amp;"|"&amp;$D108&amp;"|"&amp;N$14&amp;"|"&amp;"CY2020Q4",Spectrum!$Q:$Q,0)),0),"")</f>
        <v/>
      </c>
      <c r="O108" s="123" t="str">
        <f aca="false">_xlfn.IFNA(INDEX(Spectrum!$P:$P,MATCH(RIGHT($B108,13)&amp;"|"&amp;$C108&amp;"|"&amp;$D108&amp;"|"&amp;N$14&amp;"|"&amp;"CY2020Q4",Spectrum!$Q:$Q,0)),"")</f>
        <v/>
      </c>
      <c r="P108" s="115" t="n">
        <f aca="false">_xlfn.IFNA(ROUND(INDEX(Spectrum!$N:$N,MATCH(RIGHT($B108,13)&amp;"|"&amp;$C108&amp;"|"&amp;$D108&amp;"|"&amp;P$14&amp;"|"&amp;"CY2021Q3",Spectrum!$Q:$Q,0)),0),"")</f>
        <v>1852</v>
      </c>
      <c r="Q108" s="123" t="n">
        <f aca="false">_xlfn.IFNA(INDEX(Spectrum!$P:$P,MATCH(RIGHT($B108,13)&amp;"|"&amp;$C108&amp;"|"&amp;$D108&amp;"|"&amp;P$14&amp;"|"&amp;"CY2021Q3",Spectrum!$Q:$Q,0)),"")</f>
        <v>17</v>
      </c>
      <c r="R108" s="115"/>
      <c r="S108" s="123" t="str">
        <f aca="false">IF(OR(SUM($P108)&lt;=0,SUM($R108)&lt;=0),"",SUM($R108)/$P108)</f>
        <v/>
      </c>
      <c r="T108" s="139" t="n">
        <v>26</v>
      </c>
      <c r="U108" s="124" t="n">
        <v>20</v>
      </c>
      <c r="V108" s="124" t="n">
        <f aca="false">IF($U108-$T108=0,"",$U108-$T108)</f>
        <v>-6</v>
      </c>
      <c r="W108" s="123" t="n">
        <f aca="false">IF(LEFT($B108,4)="_Mil","",IFERROR(MIN(IF(SUM($N108)&lt;=0,SUM($U108)/SUM($P108),SUM($T108)/SUM($N108)),1),""))</f>
        <v>0.0107991360691145</v>
      </c>
      <c r="X108" s="123" t="n">
        <f aca="false">$W108</f>
        <v>0.0107991360691145</v>
      </c>
      <c r="Y108" s="123" t="n">
        <f aca="false">IFERROR(1/(1/INDEX(Spectrum!$N:$N,MATCH(RIGHT($B108,13)&amp;"|"&amp;$C108&amp;"|"&amp;$D108&amp;"|"&amp;Y$14&amp;"|"&amp;"CY2021Q3",Spectrum!$Q:$Q,0))),IF(SUM($H108)=0,"",MAX(SUM($P108),SUM($U108))/SUM($H108)))</f>
        <v>0.708763872942977</v>
      </c>
      <c r="Z108" s="123" t="n">
        <f aca="false">IF(SUM($Y108)=0,"",MAX(SUM($Y108),90%))</f>
        <v>0.9</v>
      </c>
      <c r="AA108" s="115" t="n">
        <f aca="false">IF(LEFT($B108,4)="_Mil","",ROUND(MAX(SUM($U108),SUM($P108))+IF(SUM($Z108)=0,0,MAX(SUM($Z108)-SUM($Y108),0)*SUM($H108)),0))</f>
        <v>2352</v>
      </c>
      <c r="AB108" s="115" t="n">
        <f aca="false">IF(SUM($AA108)=0,"",ROUND(MAX(SUM($AA108)-MAX(SUM($P108),SUM($U108)),0),0))</f>
        <v>500</v>
      </c>
      <c r="AC108" s="126" t="str">
        <f aca="false">IF($C108="&lt;01",IFERROR(ROUND(INDEX(EID!$N:$N,MATCH($B108,EID!$B:$B,0))/2,0),""),"")</f>
        <v/>
      </c>
      <c r="AD108" s="115" t="n">
        <f aca="false">IF($C108="&lt;01",IF(SUM($AC108)=0,"",ROUND(SUM($AC108)/$AG108,0)),IF(SUM($AB108)=0,"",ROUND(MAX($X108,0)*SUM($AB108),0)))</f>
        <v>5</v>
      </c>
      <c r="AE108" s="115" t="n">
        <f aca="false">IF(AND(SUM($AD108)=0,SUM($U108)=0),"",ROUND(IF($C108="&lt;01",0,SUM($U108))+SUM($AD108),0))</f>
        <v>25</v>
      </c>
      <c r="AF108" s="122" t="n">
        <f aca="false">IF($C108="&lt;01","",100%)</f>
        <v>1</v>
      </c>
      <c r="AG108" s="123" t="n">
        <f aca="false">0.98</f>
        <v>0.98</v>
      </c>
      <c r="AH108" s="123" t="n">
        <f aca="false">0.98</f>
        <v>0.98</v>
      </c>
      <c r="AI108" s="124" t="n">
        <f aca="false">IF(OR($C108="&lt;01",SUM($U108)=0),"",ROUND(SUM($U108)*(1-$AH108),0))</f>
        <v>0</v>
      </c>
      <c r="AJ108" s="124" t="n">
        <f aca="false">IF(AND(SUM($AE108)=0,SUM($U108)=0),"",IF($C108="&lt;01",SUM($AD108),SUM($AE108) - ROUND(SUM($U108)*$AH108,0)))</f>
        <v>5</v>
      </c>
      <c r="AK108" s="124" t="n">
        <v>17</v>
      </c>
      <c r="AL108" s="124" t="n">
        <v>45</v>
      </c>
      <c r="AM108" s="115" t="n">
        <f aca="false">IF(AND(SUM($AD108)=0,SUM($U108)=0),"",IF($C108="&lt;01",SUM($AD108),ROUND(ROUND(SUM($AJ108)*$AF108,0)/$AG108,0)))</f>
        <v>5</v>
      </c>
      <c r="AN108" s="122" t="n">
        <f aca="false">0.7</f>
        <v>0.7</v>
      </c>
      <c r="AO108" s="123" t="n">
        <f aca="false">1</f>
        <v>1</v>
      </c>
      <c r="AP108" s="115" t="n">
        <f aca="false">IF(AND(SUM($U108)=0,SUM($AM108)=0),"",ROUND((SUM($AM108)*$AN108+IF($C108="&lt;01",0,$U108))*$AO108,0))</f>
        <v>24</v>
      </c>
      <c r="AQ108" s="122" t="n">
        <v>30</v>
      </c>
      <c r="AR108" s="123" t="n">
        <f aca="false">0.95</f>
        <v>0.95</v>
      </c>
      <c r="AS108" s="123" t="n">
        <f aca="false">0.95</f>
        <v>0.95</v>
      </c>
      <c r="AT108" s="115" t="n">
        <f aca="false">IF(SUM($AP108)=0,"",ROUND(SUM($AP108)*$AR108,0))</f>
        <v>23</v>
      </c>
      <c r="AU108" s="115" t="n">
        <f aca="false">IF(LEFT($B108,4)="_Mil","",ROUND(SUM($AA108)*SUM($AS108),0))</f>
        <v>2234</v>
      </c>
      <c r="AV108" s="124" t="n">
        <f aca="false">IF(SUM($AU108)&lt;=0,"",MAX(SUM($AU108)-SUM($R108),0))</f>
        <v>2234</v>
      </c>
      <c r="AW108" s="122" t="n">
        <f aca="false">0</f>
        <v>0</v>
      </c>
      <c r="AX108" s="124" t="n">
        <f aca="false">IF(SUM($AM108)=0,"",ROUND(SUM($AM108)*SUM($AW108),0))</f>
        <v>0</v>
      </c>
      <c r="AY108" s="124" t="n">
        <f aca="false">IF(SUM($AM108)=0,"",SUM($AM108)-SUM($AX108))</f>
        <v>5</v>
      </c>
      <c r="AZ108" s="123" t="n">
        <v>35</v>
      </c>
      <c r="BA108" s="123" t="n">
        <f aca="false">0.95</f>
        <v>0.95</v>
      </c>
      <c r="BB108" s="123"/>
      <c r="BC108" s="123" t="n">
        <f aca="false">IF(OR(SUM($AM108)&lt;=0,$C108="&lt;01"),"",MAX(IF(OR(SUM($Y108)&lt;70%,LEFT($B108,4)="_Mil"),30%,IF(SUM($Y108)&gt;=80%,75%,50%)),SUM($BB108)))</f>
        <v>0.5</v>
      </c>
      <c r="BD108" s="115" t="n">
        <f aca="false">IF($C108="&lt;01",IFERROR(ROUND(INDEX(EID!$M:$M,MATCH($B108,EID!$B:$B,0)),0)/2,""),IF(SUM($AY108)=0,"",ROUND(SUM($AY108)/SUM($BA108),0)))</f>
        <v>5</v>
      </c>
      <c r="BE108" s="115" t="n">
        <f aca="false">IF($C108="&lt;01","",IF(SUM($BD108)=0,"",ROUND(SUM($BD108)*SUM($BC108),0)))</f>
        <v>3</v>
      </c>
      <c r="BF108" s="115" t="str">
        <f aca="false">_xlfn.IFNA(INDEX(PMTCT!$AE:$AE,MATCH($E108,PMTCT!$E:$E,0)),"")</f>
        <v/>
      </c>
      <c r="BG108" s="115" t="str">
        <f aca="false">_xlfn.IFNA(INDEX(PMTCT!$AU:$AU,MATCH($E108,PMTCT!$E:$E,0)),"")</f>
        <v/>
      </c>
      <c r="BH108" s="115" t="n">
        <f aca="false">_xlfn.IFNA(INDEX(TB!$Q:$Q,MATCH($E108,TB!$E:$E,0)),"")</f>
        <v>1530</v>
      </c>
      <c r="BI108" s="115" t="str">
        <f aca="false">_xlfn.IFNA(INDEX(VMMC!$AC:$AC,MATCH($E108,VMMC!$E:$E,0)),"")</f>
        <v/>
      </c>
      <c r="BJ108" s="115" t="str">
        <f aca="false">IF($C108="&lt;01",$BD108,"")</f>
        <v/>
      </c>
      <c r="BK108" s="115" t="n">
        <f aca="false">IF(SUM($BD108)=0,"",($BD108)-SUM($BE108:$BJ108))</f>
        <v>-1528</v>
      </c>
      <c r="BL108" s="123" t="n">
        <f aca="false">IF(OR(SUM($BD108)=0,SUM($BE108)=0),"",SUM($BE108)/$BD108)</f>
        <v>0.6</v>
      </c>
      <c r="BM108" s="123" t="str">
        <f aca="false">IF(OR(SUM($BD108)=0,SUM($BF108)=0),"",SUM($BF108)/$BD108)</f>
        <v/>
      </c>
      <c r="BN108" s="123" t="str">
        <f aca="false">IF(OR(SUM($BD108)=0,SUM($BG108)=0),"",SUM($BG108)/$BD108)</f>
        <v/>
      </c>
      <c r="BO108" s="123" t="n">
        <f aca="false">IF(OR(SUM($BD108)=0,SUM($BH108)=0),"",SUM($BH108)/$BD108)</f>
        <v>306</v>
      </c>
      <c r="BP108" s="123" t="str">
        <f aca="false">IF(OR(SUM($BD108)=0,SUM($BI108)=0),"",SUM($BI108)/$BD108)</f>
        <v/>
      </c>
      <c r="BQ108" s="123" t="str">
        <f aca="false">IF(AND($C108="&lt;01",SUM($BJ108)&lt;&gt;0),$BJ108/SUM($BD108),"")</f>
        <v/>
      </c>
      <c r="BR108" s="123" t="n">
        <f aca="false">IF(OR(SUM($BD108)=0,SUM($BK108)=0),"",SUM($BK108)/$BD108)</f>
        <v>-305.6</v>
      </c>
      <c r="BS108" s="122" t="n">
        <f aca="false">IF(SUM($X108)&lt;=0,"",$X108)</f>
        <v>0.0107991360691145</v>
      </c>
      <c r="BT108" s="115" t="n">
        <f aca="false">IF(LEFT($B108,4)="_Mil","",MAX(SUM($L108)+ROUND(SUM($BD108)/IF(SUM($BS108)&lt;=0,1,SUM($BS108)),0),0))</f>
        <v>2516</v>
      </c>
    </row>
    <row r="109" customFormat="false" ht="15" hidden="false" customHeight="false" outlineLevel="0" collapsed="false">
      <c r="A109" s="0" t="s">
        <v>144</v>
      </c>
      <c r="B109" s="0" t="s">
        <v>103</v>
      </c>
      <c r="C109" s="0" t="s">
        <v>86</v>
      </c>
      <c r="D109" s="0" t="s">
        <v>56</v>
      </c>
      <c r="E109" s="0" t="str">
        <f aca="false">B109&amp;"|"&amp;C109&amp;"|"&amp;D109</f>
        <v>Leribe [#SNU] [FjSmRywOWUp]|50+|Female</v>
      </c>
      <c r="F109" s="115" t="n">
        <f aca="false">_xlfn.IFNA(ROUND(INDEX(Spectrum!$N:$N,MATCH(RIGHT($B109,13)&amp;"|"&amp;$C109&amp;"|"&amp;$D109&amp;"|"&amp;F$14&amp;"|"&amp;"CY2021Q3",Spectrum!$Q:$Q,0)),0),"")</f>
        <v>32480</v>
      </c>
      <c r="G109" s="123" t="n">
        <f aca="false">_xlfn.IFNA(INDEX(Spectrum!$P:$P,MATCH(RIGHT($B109,13)&amp;"|"&amp;$C109&amp;"|"&amp;$D109&amp;"|"&amp;F$14&amp;"|"&amp;"CY2021Q3",Spectrum!$Q:$Q,0)),"")</f>
        <v>31</v>
      </c>
      <c r="H109" s="115" t="n">
        <f aca="false">_xlfn.IFNA(ROUND(INDEX(Spectrum!$N:$N,MATCH(RIGHT($B109,13)&amp;"|"&amp;$C109&amp;"|"&amp;$D109&amp;"|"&amp;H$14&amp;"|"&amp;"CY2021Q3",Spectrum!$Q:$Q,0)),0),"")</f>
        <v>8010</v>
      </c>
      <c r="I109" s="123" t="n">
        <f aca="false">_xlfn.IFNA(INDEX(Spectrum!$P:$P,MATCH(RIGHT($B109,13)&amp;"|"&amp;$C109&amp;"|"&amp;$D109&amp;"|"&amp;H$14&amp;"|"&amp;"CY2021Q3",Spectrum!$Q:$Q,0)),"")</f>
        <v>32</v>
      </c>
      <c r="J109" s="117" t="n">
        <f aca="false">_xlfn.IFNA(INDEX(Spectrum!$N:$N,MATCH(RIGHT($B109,13)&amp;"|"&amp;$C109&amp;"|"&amp;$D109&amp;"|"&amp;J$14&amp;"|"&amp;"CY2021Q3",Spectrum!$Q:$Q,0)),"")</f>
        <v>0.2466007</v>
      </c>
      <c r="K109" s="123" t="n">
        <f aca="false">_xlfn.IFNA(INDEX(Spectrum!$P:$P,MATCH(RIGHT($B109,13)&amp;"|"&amp;$C109&amp;"|"&amp;$D109&amp;"|"&amp;J$14&amp;"|"&amp;"CY2021Q3",Spectrum!$Q:$Q,0)),"")</f>
        <v>6</v>
      </c>
      <c r="L109" s="115" t="n">
        <f aca="false">_xlfn.IFNA(ROUND(INDEX(Spectrum!$N:$N,MATCH(RIGHT($B109,13)&amp;"|"&amp;$C109&amp;"|"&amp;$D109&amp;"|"&amp;L$14&amp;"|"&amp;"CY2021Q3",Spectrum!$Q:$Q,0)),0),"")</f>
        <v>6255</v>
      </c>
      <c r="M109" s="123" t="n">
        <f aca="false">IF(OR(SUM($H109)&lt;=0,SUM($L109)&lt;=0),"",SUM($L109)/$H109)</f>
        <v>0.780898876404494</v>
      </c>
      <c r="N109" s="115" t="str">
        <f aca="false">_xlfn.IFNA(ROUND(INDEX(Spectrum!$N:$N,MATCH(RIGHT($B109,13)&amp;"|"&amp;$C109&amp;"|"&amp;$D109&amp;"|"&amp;N$14&amp;"|"&amp;"CY2020Q4",Spectrum!$Q:$Q,0)),0),"")</f>
        <v/>
      </c>
      <c r="O109" s="123" t="str">
        <f aca="false">_xlfn.IFNA(INDEX(Spectrum!$P:$P,MATCH(RIGHT($B109,13)&amp;"|"&amp;$C109&amp;"|"&amp;$D109&amp;"|"&amp;N$14&amp;"|"&amp;"CY2020Q4",Spectrum!$Q:$Q,0)),"")</f>
        <v/>
      </c>
      <c r="P109" s="115" t="n">
        <f aca="false">_xlfn.IFNA(ROUND(INDEX(Spectrum!$N:$N,MATCH(RIGHT($B109,13)&amp;"|"&amp;$C109&amp;"|"&amp;$D109&amp;"|"&amp;P$14&amp;"|"&amp;"CY2021Q3",Spectrum!$Q:$Q,0)),0),"")</f>
        <v>6068</v>
      </c>
      <c r="Q109" s="123" t="n">
        <f aca="false">_xlfn.IFNA(INDEX(Spectrum!$P:$P,MATCH(RIGHT($B109,13)&amp;"|"&amp;$C109&amp;"|"&amp;$D109&amp;"|"&amp;P$14&amp;"|"&amp;"CY2021Q3",Spectrum!$Q:$Q,0)),"")</f>
        <v>34</v>
      </c>
      <c r="R109" s="115"/>
      <c r="S109" s="123" t="str">
        <f aca="false">IF(OR(SUM($P109)&lt;=0,SUM($R109)&lt;=0),"",SUM($R109)/$P109)</f>
        <v/>
      </c>
      <c r="T109" s="139" t="n">
        <v>48</v>
      </c>
      <c r="U109" s="124" t="n">
        <v>32</v>
      </c>
      <c r="V109" s="124" t="n">
        <f aca="false">IF($U109-$T109=0,"",$U109-$T109)</f>
        <v>-16</v>
      </c>
      <c r="W109" s="123" t="n">
        <f aca="false">IF(LEFT($B109,4)="_Mil","",IFERROR(MIN(IF(SUM($N109)&lt;=0,SUM($U109)/SUM($P109),SUM($T109)/SUM($N109)),1),""))</f>
        <v>0.00527356624917601</v>
      </c>
      <c r="X109" s="123" t="n">
        <f aca="false">$W109</f>
        <v>0.00527356624917601</v>
      </c>
      <c r="Y109" s="123" t="n">
        <f aca="false">IFERROR(1/(1/INDEX(Spectrum!$N:$N,MATCH(RIGHT($B109,13)&amp;"|"&amp;$C109&amp;"|"&amp;$D109&amp;"|"&amp;Y$14&amp;"|"&amp;"CY2021Q3",Spectrum!$Q:$Q,0))),IF(SUM($H109)=0,"",MAX(SUM($P109),SUM($U109))/SUM($H109)))</f>
        <v>0.757553058676654</v>
      </c>
      <c r="Z109" s="123" t="n">
        <f aca="false">IF(SUM($Y109)=0,"",MAX(SUM($Y109),90%))</f>
        <v>0.9</v>
      </c>
      <c r="AA109" s="115" t="n">
        <f aca="false">IF(LEFT($B109,4)="_Mil","",ROUND(MAX(SUM($U109),SUM($P109))+IF(SUM($Z109)=0,0,MAX(SUM($Z109)-SUM($Y109),0)*SUM($H109)),0))</f>
        <v>7209</v>
      </c>
      <c r="AB109" s="115" t="n">
        <f aca="false">IF(SUM($AA109)=0,"",ROUND(MAX(SUM($AA109)-MAX(SUM($P109),SUM($U109)),0),0))</f>
        <v>1141</v>
      </c>
      <c r="AC109" s="126" t="str">
        <f aca="false">IF($C109="&lt;01",IFERROR(ROUND(INDEX(EID!$N:$N,MATCH($B109,EID!$B:$B,0))/2,0),""),"")</f>
        <v/>
      </c>
      <c r="AD109" s="115" t="n">
        <f aca="false">IF($C109="&lt;01",IF(SUM($AC109)=0,"",ROUND(SUM($AC109)/$AG109,0)),IF(SUM($AB109)=0,"",ROUND(MAX($X109,0)*SUM($AB109),0)))</f>
        <v>6</v>
      </c>
      <c r="AE109" s="115" t="n">
        <f aca="false">IF(AND(SUM($AD109)=0,SUM($U109)=0),"",ROUND(IF($C109="&lt;01",0,SUM($U109))+SUM($AD109),0))</f>
        <v>38</v>
      </c>
      <c r="AF109" s="122" t="n">
        <f aca="false">IF($C109="&lt;01","",100%)</f>
        <v>1</v>
      </c>
      <c r="AG109" s="123" t="n">
        <f aca="false">0.98</f>
        <v>0.98</v>
      </c>
      <c r="AH109" s="123" t="n">
        <f aca="false">0.98</f>
        <v>0.98</v>
      </c>
      <c r="AI109" s="124" t="n">
        <f aca="false">IF(OR($C109="&lt;01",SUM($U109)=0),"",ROUND(SUM($U109)*(1-$AH109),0))</f>
        <v>1</v>
      </c>
      <c r="AJ109" s="124" t="n">
        <f aca="false">IF(AND(SUM($AE109)=0,SUM($U109)=0),"",IF($C109="&lt;01",SUM($AD109),SUM($AE109) - ROUND(SUM($U109)*$AH109,0)))</f>
        <v>7</v>
      </c>
      <c r="AK109" s="124" t="n">
        <v>25</v>
      </c>
      <c r="AL109" s="124" t="n">
        <v>30</v>
      </c>
      <c r="AM109" s="115" t="n">
        <f aca="false">IF(AND(SUM($AD109)=0,SUM($U109)=0),"",IF($C109="&lt;01",SUM($AD109),ROUND(ROUND(SUM($AJ109)*$AF109,0)/$AG109,0)))</f>
        <v>7</v>
      </c>
      <c r="AN109" s="122" t="n">
        <f aca="false">0.7</f>
        <v>0.7</v>
      </c>
      <c r="AO109" s="123" t="n">
        <f aca="false">1</f>
        <v>1</v>
      </c>
      <c r="AP109" s="115" t="n">
        <f aca="false">IF(AND(SUM($U109)=0,SUM($AM109)=0),"",ROUND((SUM($AM109)*$AN109+IF($C109="&lt;01",0,$U109))*$AO109,0))</f>
        <v>37</v>
      </c>
      <c r="AQ109" s="122" t="n">
        <v>48</v>
      </c>
      <c r="AR109" s="123" t="n">
        <f aca="false">0.95</f>
        <v>0.95</v>
      </c>
      <c r="AS109" s="123" t="n">
        <f aca="false">0.95</f>
        <v>0.95</v>
      </c>
      <c r="AT109" s="115" t="n">
        <f aca="false">IF(SUM($AP109)=0,"",ROUND(SUM($AP109)*$AR109,0))</f>
        <v>35</v>
      </c>
      <c r="AU109" s="115" t="n">
        <f aca="false">IF(LEFT($B109,4)="_Mil","",ROUND(SUM($AA109)*SUM($AS109),0))</f>
        <v>6849</v>
      </c>
      <c r="AV109" s="124" t="n">
        <f aca="false">IF(SUM($AU109)&lt;=0,"",MAX(SUM($AU109)-SUM($R109),0))</f>
        <v>6849</v>
      </c>
      <c r="AW109" s="122" t="n">
        <f aca="false">0</f>
        <v>0</v>
      </c>
      <c r="AX109" s="124" t="n">
        <f aca="false">IF(SUM($AM109)=0,"",ROUND(SUM($AM109)*SUM($AW109),0))</f>
        <v>0</v>
      </c>
      <c r="AY109" s="124" t="n">
        <f aca="false">IF(SUM($AM109)=0,"",SUM($AM109)-SUM($AX109))</f>
        <v>7</v>
      </c>
      <c r="AZ109" s="123" t="n">
        <v>8</v>
      </c>
      <c r="BA109" s="123" t="n">
        <f aca="false">0.95</f>
        <v>0.95</v>
      </c>
      <c r="BB109" s="123"/>
      <c r="BC109" s="123" t="n">
        <f aca="false">IF(OR(SUM($AM109)&lt;=0,$C109="&lt;01"),"",MAX(IF(OR(SUM($Y109)&lt;70%,LEFT($B109,4)="_Mil"),30%,IF(SUM($Y109)&gt;=80%,75%,50%)),SUM($BB109)))</f>
        <v>0.5</v>
      </c>
      <c r="BD109" s="115" t="n">
        <f aca="false">IF($C109="&lt;01",IFERROR(ROUND(INDEX(EID!$M:$M,MATCH($B109,EID!$B:$B,0)),0)/2,""),IF(SUM($AY109)=0,"",ROUND(SUM($AY109)/SUM($BA109),0)))</f>
        <v>7</v>
      </c>
      <c r="BE109" s="115" t="n">
        <f aca="false">IF($C109="&lt;01","",IF(SUM($BD109)=0,"",ROUND(SUM($BD109)*SUM($BC109),0)))</f>
        <v>4</v>
      </c>
      <c r="BF109" s="115" t="str">
        <f aca="false">_xlfn.IFNA(INDEX(PMTCT!$AE:$AE,MATCH($E109,PMTCT!$E:$E,0)),"")</f>
        <v/>
      </c>
      <c r="BG109" s="115" t="str">
        <f aca="false">_xlfn.IFNA(INDEX(PMTCT!$AU:$AU,MATCH($E109,PMTCT!$E:$E,0)),"")</f>
        <v/>
      </c>
      <c r="BH109" s="115" t="n">
        <f aca="false">_xlfn.IFNA(INDEX(TB!$Q:$Q,MATCH($E109,TB!$E:$E,0)),"")</f>
        <v>-1935</v>
      </c>
      <c r="BI109" s="115" t="str">
        <f aca="false">_xlfn.IFNA(INDEX(VMMC!$AC:$AC,MATCH($E109,VMMC!$E:$E,0)),"")</f>
        <v/>
      </c>
      <c r="BJ109" s="115" t="str">
        <f aca="false">IF($C109="&lt;01",$BD109,"")</f>
        <v/>
      </c>
      <c r="BK109" s="115" t="n">
        <f aca="false">IF(SUM($BD109)=0,"",($BD109)-SUM($BE109:$BJ109))</f>
        <v>1938</v>
      </c>
      <c r="BL109" s="123" t="n">
        <f aca="false">IF(OR(SUM($BD109)=0,SUM($BE109)=0),"",SUM($BE109)/$BD109)</f>
        <v>0.571428571428571</v>
      </c>
      <c r="BM109" s="123" t="str">
        <f aca="false">IF(OR(SUM($BD109)=0,SUM($BF109)=0),"",SUM($BF109)/$BD109)</f>
        <v/>
      </c>
      <c r="BN109" s="123" t="str">
        <f aca="false">IF(OR(SUM($BD109)=0,SUM($BG109)=0),"",SUM($BG109)/$BD109)</f>
        <v/>
      </c>
      <c r="BO109" s="123" t="n">
        <f aca="false">IF(OR(SUM($BD109)=0,SUM($BH109)=0),"",SUM($BH109)/$BD109)</f>
        <v>-276.428571428571</v>
      </c>
      <c r="BP109" s="123" t="str">
        <f aca="false">IF(OR(SUM($BD109)=0,SUM($BI109)=0),"",SUM($BI109)/$BD109)</f>
        <v/>
      </c>
      <c r="BQ109" s="123" t="str">
        <f aca="false">IF(AND($C109="&lt;01",SUM($BJ109)&lt;&gt;0),$BJ109/SUM($BD109),"")</f>
        <v/>
      </c>
      <c r="BR109" s="123" t="n">
        <f aca="false">IF(OR(SUM($BD109)=0,SUM($BK109)=0),"",SUM($BK109)/$BD109)</f>
        <v>276.857142857143</v>
      </c>
      <c r="BS109" s="122" t="n">
        <f aca="false">IF(SUM($X109)&lt;=0,"",$X109)</f>
        <v>0.00527356624917601</v>
      </c>
      <c r="BT109" s="115" t="n">
        <f aca="false">IF(LEFT($B109,4)="_Mil","",MAX(SUM($L109)+ROUND(SUM($BD109)/IF(SUM($BS109)&lt;=0,1,SUM($BS109)),0),0))</f>
        <v>7582</v>
      </c>
    </row>
    <row r="110" customFormat="false" ht="15" hidden="false" customHeight="false" outlineLevel="0" collapsed="false">
      <c r="A110" s="0" t="s">
        <v>144</v>
      </c>
      <c r="B110" s="0" t="s">
        <v>103</v>
      </c>
      <c r="C110" s="0" t="s">
        <v>86</v>
      </c>
      <c r="D110" s="0" t="s">
        <v>58</v>
      </c>
      <c r="E110" s="0" t="str">
        <f aca="false">B110&amp;"|"&amp;C110&amp;"|"&amp;D110</f>
        <v>Leribe [#SNU] [FjSmRywOWUp]|50+|Male</v>
      </c>
      <c r="F110" s="115" t="n">
        <f aca="false">_xlfn.IFNA(ROUND(INDEX(Spectrum!$N:$N,MATCH(RIGHT($B110,13)&amp;"|"&amp;$C110&amp;"|"&amp;$D110&amp;"|"&amp;F$14&amp;"|"&amp;"CY2021Q3",Spectrum!$Q:$Q,0)),0),"")</f>
        <v>22233</v>
      </c>
      <c r="G110" s="123" t="n">
        <f aca="false">_xlfn.IFNA(INDEX(Spectrum!$P:$P,MATCH(RIGHT($B110,13)&amp;"|"&amp;$C110&amp;"|"&amp;$D110&amp;"|"&amp;F$14&amp;"|"&amp;"CY2021Q3",Spectrum!$Q:$Q,0)),"")</f>
        <v>48</v>
      </c>
      <c r="H110" s="115" t="n">
        <f aca="false">_xlfn.IFNA(ROUND(INDEX(Spectrum!$N:$N,MATCH(RIGHT($B110,13)&amp;"|"&amp;$C110&amp;"|"&amp;$D110&amp;"|"&amp;H$14&amp;"|"&amp;"CY2021Q3",Spectrum!$Q:$Q,0)),0),"")</f>
        <v>6065</v>
      </c>
      <c r="I110" s="123" t="n">
        <f aca="false">_xlfn.IFNA(INDEX(Spectrum!$P:$P,MATCH(RIGHT($B110,13)&amp;"|"&amp;$C110&amp;"|"&amp;$D110&amp;"|"&amp;H$14&amp;"|"&amp;"CY2021Q3",Spectrum!$Q:$Q,0)),"")</f>
        <v>4</v>
      </c>
      <c r="J110" s="117" t="n">
        <f aca="false">_xlfn.IFNA(INDEX(Spectrum!$N:$N,MATCH(RIGHT($B110,13)&amp;"|"&amp;$C110&amp;"|"&amp;$D110&amp;"|"&amp;J$14&amp;"|"&amp;"CY2021Q3",Spectrum!$Q:$Q,0)),"")</f>
        <v>0.2727708</v>
      </c>
      <c r="K110" s="123" t="n">
        <f aca="false">_xlfn.IFNA(INDEX(Spectrum!$P:$P,MATCH(RIGHT($B110,13)&amp;"|"&amp;$C110&amp;"|"&amp;$D110&amp;"|"&amp;J$14&amp;"|"&amp;"CY2021Q3",Spectrum!$Q:$Q,0)),"")</f>
        <v>20</v>
      </c>
      <c r="L110" s="115" t="n">
        <f aca="false">_xlfn.IFNA(ROUND(INDEX(Spectrum!$N:$N,MATCH(RIGHT($B110,13)&amp;"|"&amp;$C110&amp;"|"&amp;$D110&amp;"|"&amp;L$14&amp;"|"&amp;"CY2021Q3",Spectrum!$Q:$Q,0)),0),"")</f>
        <v>4293</v>
      </c>
      <c r="M110" s="123" t="n">
        <f aca="false">IF(OR(SUM($H110)&lt;=0,SUM($L110)&lt;=0),"",SUM($L110)/$H110)</f>
        <v>0.707831821929101</v>
      </c>
      <c r="N110" s="115" t="str">
        <f aca="false">_xlfn.IFNA(ROUND(INDEX(Spectrum!$N:$N,MATCH(RIGHT($B110,13)&amp;"|"&amp;$C110&amp;"|"&amp;$D110&amp;"|"&amp;N$14&amp;"|"&amp;"CY2020Q4",Spectrum!$Q:$Q,0)),0),"")</f>
        <v/>
      </c>
      <c r="O110" s="123" t="str">
        <f aca="false">_xlfn.IFNA(INDEX(Spectrum!$P:$P,MATCH(RIGHT($B110,13)&amp;"|"&amp;$C110&amp;"|"&amp;$D110&amp;"|"&amp;N$14&amp;"|"&amp;"CY2020Q4",Spectrum!$Q:$Q,0)),"")</f>
        <v/>
      </c>
      <c r="P110" s="115" t="n">
        <f aca="false">_xlfn.IFNA(ROUND(INDEX(Spectrum!$N:$N,MATCH(RIGHT($B110,13)&amp;"|"&amp;$C110&amp;"|"&amp;$D110&amp;"|"&amp;P$14&amp;"|"&amp;"CY2021Q3",Spectrum!$Q:$Q,0)),0),"")</f>
        <v>4012</v>
      </c>
      <c r="Q110" s="123" t="n">
        <f aca="false">_xlfn.IFNA(INDEX(Spectrum!$P:$P,MATCH(RIGHT($B110,13)&amp;"|"&amp;$C110&amp;"|"&amp;$D110&amp;"|"&amp;P$14&amp;"|"&amp;"CY2021Q3",Spectrum!$Q:$Q,0)),"")</f>
        <v>26</v>
      </c>
      <c r="R110" s="115"/>
      <c r="S110" s="123" t="str">
        <f aca="false">IF(OR(SUM($P110)&lt;=0,SUM($R110)&lt;=0),"",SUM($R110)/$P110)</f>
        <v/>
      </c>
      <c r="T110" s="139" t="n">
        <v>5</v>
      </c>
      <c r="U110" s="124" t="n">
        <v>13</v>
      </c>
      <c r="V110" s="124" t="n">
        <f aca="false">IF($U110-$T110=0,"",$U110-$T110)</f>
        <v>8</v>
      </c>
      <c r="W110" s="123" t="n">
        <f aca="false">IF(LEFT($B110,4)="_Mil","",IFERROR(MIN(IF(SUM($N110)&lt;=0,SUM($U110)/SUM($P110),SUM($T110)/SUM($N110)),1),""))</f>
        <v>0.00324027916251246</v>
      </c>
      <c r="X110" s="123" t="n">
        <f aca="false">$W110</f>
        <v>0.00324027916251246</v>
      </c>
      <c r="Y110" s="123" t="n">
        <f aca="false">IFERROR(1/(1/INDEX(Spectrum!$N:$N,MATCH(RIGHT($B110,13)&amp;"|"&amp;$C110&amp;"|"&amp;$D110&amp;"|"&amp;Y$14&amp;"|"&amp;"CY2021Q3",Spectrum!$Q:$Q,0))),IF(SUM($H110)=0,"",MAX(SUM($P110),SUM($U110))/SUM($H110)))</f>
        <v>0.661500412201154</v>
      </c>
      <c r="Z110" s="123" t="n">
        <f aca="false">IF(SUM($Y110)=0,"",MAX(SUM($Y110),90%))</f>
        <v>0.9</v>
      </c>
      <c r="AA110" s="115" t="n">
        <f aca="false">IF(LEFT($B110,4)="_Mil","",ROUND(MAX(SUM($U110),SUM($P110))+IF(SUM($Z110)=0,0,MAX(SUM($Z110)-SUM($Y110),0)*SUM($H110)),0))</f>
        <v>5459</v>
      </c>
      <c r="AB110" s="115" t="n">
        <f aca="false">IF(SUM($AA110)=0,"",ROUND(MAX(SUM($AA110)-MAX(SUM($P110),SUM($U110)),0),0))</f>
        <v>1447</v>
      </c>
      <c r="AC110" s="126" t="str">
        <f aca="false">IF($C110="&lt;01",IFERROR(ROUND(INDEX(EID!$N:$N,MATCH($B110,EID!$B:$B,0))/2,0),""),"")</f>
        <v/>
      </c>
      <c r="AD110" s="115" t="n">
        <f aca="false">IF($C110="&lt;01",IF(SUM($AC110)=0,"",ROUND(SUM($AC110)/$AG110,0)),IF(SUM($AB110)=0,"",ROUND(MAX($X110,0)*SUM($AB110),0)))</f>
        <v>5</v>
      </c>
      <c r="AE110" s="115" t="n">
        <f aca="false">IF(AND(SUM($AD110)=0,SUM($U110)=0),"",ROUND(IF($C110="&lt;01",0,SUM($U110))+SUM($AD110),0))</f>
        <v>18</v>
      </c>
      <c r="AF110" s="122" t="n">
        <f aca="false">IF($C110="&lt;01","",100%)</f>
        <v>1</v>
      </c>
      <c r="AG110" s="123" t="n">
        <f aca="false">0.98</f>
        <v>0.98</v>
      </c>
      <c r="AH110" s="123" t="n">
        <f aca="false">0.98</f>
        <v>0.98</v>
      </c>
      <c r="AI110" s="124" t="n">
        <f aca="false">IF(OR($C110="&lt;01",SUM($U110)=0),"",ROUND(SUM($U110)*(1-$AH110),0))</f>
        <v>0</v>
      </c>
      <c r="AJ110" s="124" t="n">
        <f aca="false">IF(AND(SUM($AE110)=0,SUM($U110)=0),"",IF($C110="&lt;01",SUM($AD110),SUM($AE110) - ROUND(SUM($U110)*$AH110,0)))</f>
        <v>5</v>
      </c>
      <c r="AK110" s="124" t="n">
        <v>43</v>
      </c>
      <c r="AL110" s="124" t="n">
        <v>41</v>
      </c>
      <c r="AM110" s="115" t="n">
        <f aca="false">IF(AND(SUM($AD110)=0,SUM($U110)=0),"",IF($C110="&lt;01",SUM($AD110),ROUND(ROUND(SUM($AJ110)*$AF110,0)/$AG110,0)))</f>
        <v>5</v>
      </c>
      <c r="AN110" s="122" t="n">
        <f aca="false">0.7</f>
        <v>0.7</v>
      </c>
      <c r="AO110" s="123" t="n">
        <f aca="false">1</f>
        <v>1</v>
      </c>
      <c r="AP110" s="115" t="n">
        <f aca="false">IF(AND(SUM($U110)=0,SUM($AM110)=0),"",ROUND((SUM($AM110)*$AN110+IF($C110="&lt;01",0,$U110))*$AO110,0))</f>
        <v>17</v>
      </c>
      <c r="AQ110" s="122" t="n">
        <v>37</v>
      </c>
      <c r="AR110" s="123" t="n">
        <f aca="false">0.95</f>
        <v>0.95</v>
      </c>
      <c r="AS110" s="123" t="n">
        <f aca="false">0.95</f>
        <v>0.95</v>
      </c>
      <c r="AT110" s="115" t="n">
        <f aca="false">IF(SUM($AP110)=0,"",ROUND(SUM($AP110)*$AR110,0))</f>
        <v>16</v>
      </c>
      <c r="AU110" s="115" t="n">
        <f aca="false">IF(LEFT($B110,4)="_Mil","",ROUND(SUM($AA110)*SUM($AS110),0))</f>
        <v>5186</v>
      </c>
      <c r="AV110" s="124" t="n">
        <f aca="false">IF(SUM($AU110)&lt;=0,"",MAX(SUM($AU110)-SUM($R110),0))</f>
        <v>5186</v>
      </c>
      <c r="AW110" s="122" t="n">
        <f aca="false">0</f>
        <v>0</v>
      </c>
      <c r="AX110" s="124" t="n">
        <f aca="false">IF(SUM($AM110)=0,"",ROUND(SUM($AM110)*SUM($AW110),0))</f>
        <v>0</v>
      </c>
      <c r="AY110" s="124" t="n">
        <f aca="false">IF(SUM($AM110)=0,"",SUM($AM110)-SUM($AX110))</f>
        <v>5</v>
      </c>
      <c r="AZ110" s="123" t="n">
        <v>8</v>
      </c>
      <c r="BA110" s="123" t="n">
        <f aca="false">0.95</f>
        <v>0.95</v>
      </c>
      <c r="BB110" s="123"/>
      <c r="BC110" s="123" t="n">
        <f aca="false">IF(OR(SUM($AM110)&lt;=0,$C110="&lt;01"),"",MAX(IF(OR(SUM($Y110)&lt;70%,LEFT($B110,4)="_Mil"),30%,IF(SUM($Y110)&gt;=80%,75%,50%)),SUM($BB110)))</f>
        <v>0.3</v>
      </c>
      <c r="BD110" s="115" t="n">
        <f aca="false">IF($C110="&lt;01",IFERROR(ROUND(INDEX(EID!$M:$M,MATCH($B110,EID!$B:$B,0)),0)/2,""),IF(SUM($AY110)=0,"",ROUND(SUM($AY110)/SUM($BA110),0)))</f>
        <v>5</v>
      </c>
      <c r="BE110" s="115" t="n">
        <f aca="false">IF($C110="&lt;01","",IF(SUM($BD110)=0,"",ROUND(SUM($BD110)*SUM($BC110),0)))</f>
        <v>2</v>
      </c>
      <c r="BF110" s="115" t="str">
        <f aca="false">_xlfn.IFNA(INDEX(PMTCT!$AE:$AE,MATCH($E110,PMTCT!$E:$E,0)),"")</f>
        <v/>
      </c>
      <c r="BG110" s="115" t="str">
        <f aca="false">_xlfn.IFNA(INDEX(PMTCT!$AU:$AU,MATCH($E110,PMTCT!$E:$E,0)),"")</f>
        <v/>
      </c>
      <c r="BH110" s="115" t="n">
        <f aca="false">_xlfn.IFNA(INDEX(TB!$Q:$Q,MATCH($E110,TB!$E:$E,0)),"")</f>
        <v>-1800</v>
      </c>
      <c r="BI110" s="115" t="str">
        <f aca="false">_xlfn.IFNA(INDEX(VMMC!$AC:$AC,MATCH($E110,VMMC!$E:$E,0)),"")</f>
        <v/>
      </c>
      <c r="BJ110" s="115" t="str">
        <f aca="false">IF($C110="&lt;01",$BD110,"")</f>
        <v/>
      </c>
      <c r="BK110" s="115" t="n">
        <f aca="false">IF(SUM($BD110)=0,"",($BD110)-SUM($BE110:$BJ110))</f>
        <v>1803</v>
      </c>
      <c r="BL110" s="123" t="n">
        <f aca="false">IF(OR(SUM($BD110)=0,SUM($BE110)=0),"",SUM($BE110)/$BD110)</f>
        <v>0.4</v>
      </c>
      <c r="BM110" s="123" t="str">
        <f aca="false">IF(OR(SUM($BD110)=0,SUM($BF110)=0),"",SUM($BF110)/$BD110)</f>
        <v/>
      </c>
      <c r="BN110" s="123" t="str">
        <f aca="false">IF(OR(SUM($BD110)=0,SUM($BG110)=0),"",SUM($BG110)/$BD110)</f>
        <v/>
      </c>
      <c r="BO110" s="123" t="n">
        <f aca="false">IF(OR(SUM($BD110)=0,SUM($BH110)=0),"",SUM($BH110)/$BD110)</f>
        <v>-360</v>
      </c>
      <c r="BP110" s="123" t="str">
        <f aca="false">IF(OR(SUM($BD110)=0,SUM($BI110)=0),"",SUM($BI110)/$BD110)</f>
        <v/>
      </c>
      <c r="BQ110" s="123" t="str">
        <f aca="false">IF(AND($C110="&lt;01",SUM($BJ110)&lt;&gt;0),$BJ110/SUM($BD110),"")</f>
        <v/>
      </c>
      <c r="BR110" s="123" t="n">
        <f aca="false">IF(OR(SUM($BD110)=0,SUM($BK110)=0),"",SUM($BK110)/$BD110)</f>
        <v>360.6</v>
      </c>
      <c r="BS110" s="122" t="n">
        <f aca="false">IF(SUM($X110)&lt;=0,"",$X110)</f>
        <v>0.00324027916251246</v>
      </c>
      <c r="BT110" s="115" t="n">
        <f aca="false">IF(LEFT($B110,4)="_Mil","",MAX(SUM($L110)+ROUND(SUM($BD110)/IF(SUM($BS110)&lt;=0,1,SUM($BS110)),0),0))</f>
        <v>5836</v>
      </c>
    </row>
    <row r="111" customFormat="false" ht="15" hidden="false" customHeight="false" outlineLevel="0" collapsed="false">
      <c r="A111" s="0" t="s">
        <v>145</v>
      </c>
      <c r="B111" s="0" t="s">
        <v>107</v>
      </c>
      <c r="C111" s="0" t="s">
        <v>89</v>
      </c>
      <c r="D111" s="0" t="s">
        <v>56</v>
      </c>
      <c r="E111" s="0" t="str">
        <f aca="false">B111&amp;"|"&amp;C111&amp;"|"&amp;D111</f>
        <v>Mafeteng [#SNU] [#DREAMS] [DiFv5WXIHM5]|&lt;01|Female</v>
      </c>
      <c r="F111" s="115" t="n">
        <f aca="false">_xlfn.IFNA(ROUND(INDEX(Spectrum!$N:$N,MATCH(RIGHT($B111,13)&amp;"|"&amp;$C111&amp;"|"&amp;$D111&amp;"|"&amp;F$14&amp;"|"&amp;"CY2021Q3",Spectrum!$Q:$Q,0)),0),"")</f>
        <v>1393</v>
      </c>
      <c r="G111" s="123" t="n">
        <f aca="false">_xlfn.IFNA(INDEX(Spectrum!$P:$P,MATCH(RIGHT($B111,13)&amp;"|"&amp;$C111&amp;"|"&amp;$D111&amp;"|"&amp;F$14&amp;"|"&amp;"CY2021Q3",Spectrum!$Q:$Q,0)),"")</f>
        <v>20</v>
      </c>
      <c r="H111" s="115" t="n">
        <f aca="false">_xlfn.IFNA(ROUND(INDEX(Spectrum!$N:$N,MATCH(RIGHT($B111,13)&amp;"|"&amp;$C111&amp;"|"&amp;$D111&amp;"|"&amp;H$14&amp;"|"&amp;"CY2021Q3",Spectrum!$Q:$Q,0)),0),"")</f>
        <v>11</v>
      </c>
      <c r="I111" s="123" t="n">
        <f aca="false">_xlfn.IFNA(INDEX(Spectrum!$P:$P,MATCH(RIGHT($B111,13)&amp;"|"&amp;$C111&amp;"|"&amp;$D111&amp;"|"&amp;H$14&amp;"|"&amp;"CY2021Q3",Spectrum!$Q:$Q,0)),"")</f>
        <v>23</v>
      </c>
      <c r="J111" s="117" t="n">
        <f aca="false">_xlfn.IFNA(INDEX(Spectrum!$N:$N,MATCH(RIGHT($B111,13)&amp;"|"&amp;$C111&amp;"|"&amp;$D111&amp;"|"&amp;J$14&amp;"|"&amp;"CY2021Q3",Spectrum!$Q:$Q,0)),"")</f>
        <v>0.0081285</v>
      </c>
      <c r="K111" s="123" t="n">
        <f aca="false">_xlfn.IFNA(INDEX(Spectrum!$P:$P,MATCH(RIGHT($B111,13)&amp;"|"&amp;$C111&amp;"|"&amp;$D111&amp;"|"&amp;J$14&amp;"|"&amp;"CY2021Q3",Spectrum!$Q:$Q,0)),"")</f>
        <v>39</v>
      </c>
      <c r="L111" s="115" t="n">
        <f aca="false">_xlfn.IFNA(ROUND(INDEX(Spectrum!$N:$N,MATCH(RIGHT($B111,13)&amp;"|"&amp;$C111&amp;"|"&amp;$D111&amp;"|"&amp;L$14&amp;"|"&amp;"CY2021Q3",Spectrum!$Q:$Q,0)),0),"")</f>
        <v>5</v>
      </c>
      <c r="M111" s="123" t="n">
        <f aca="false">IF(OR(SUM($H111)&lt;=0,SUM($L111)&lt;=0),"",SUM($L111)/$H111)</f>
        <v>0.454545454545455</v>
      </c>
      <c r="N111" s="115" t="str">
        <f aca="false">_xlfn.IFNA(ROUND(INDEX(Spectrum!$N:$N,MATCH(RIGHT($B111,13)&amp;"|"&amp;$C111&amp;"|"&amp;$D111&amp;"|"&amp;N$14&amp;"|"&amp;"CY2020Q4",Spectrum!$Q:$Q,0)),0),"")</f>
        <v/>
      </c>
      <c r="O111" s="123" t="str">
        <f aca="false">_xlfn.IFNA(INDEX(Spectrum!$P:$P,MATCH(RIGHT($B111,13)&amp;"|"&amp;$C111&amp;"|"&amp;$D111&amp;"|"&amp;N$14&amp;"|"&amp;"CY2020Q4",Spectrum!$Q:$Q,0)),"")</f>
        <v/>
      </c>
      <c r="P111" s="115" t="n">
        <f aca="false">_xlfn.IFNA(ROUND(INDEX(Spectrum!$N:$N,MATCH(RIGHT($B111,13)&amp;"|"&amp;$C111&amp;"|"&amp;$D111&amp;"|"&amp;P$14&amp;"|"&amp;"CY2021Q3",Spectrum!$Q:$Q,0)),0),"")</f>
        <v>5</v>
      </c>
      <c r="Q111" s="123" t="n">
        <f aca="false">_xlfn.IFNA(INDEX(Spectrum!$P:$P,MATCH(RIGHT($B111,13)&amp;"|"&amp;$C111&amp;"|"&amp;$D111&amp;"|"&amp;P$14&amp;"|"&amp;"CY2021Q3",Spectrum!$Q:$Q,0)),"")</f>
        <v>5</v>
      </c>
      <c r="R111" s="115"/>
      <c r="S111" s="123" t="str">
        <f aca="false">IF(OR(SUM($P111)&lt;=0,SUM($R111)&lt;=0),"",SUM($R111)/$P111)</f>
        <v/>
      </c>
      <c r="T111" s="139"/>
      <c r="U111" s="124" t="n">
        <v>4</v>
      </c>
      <c r="V111" s="124" t="n">
        <f aca="false">IF($U111-$T111=0,"",$U111-$T111)</f>
        <v>4</v>
      </c>
      <c r="W111" s="123" t="n">
        <f aca="false">IF(LEFT($B111,4)="_Mil","",IFERROR(MIN(IF(SUM($N111)&lt;=0,SUM($U111)/SUM($P111),SUM($T111)/SUM($N111)),1),""))</f>
        <v>0.8</v>
      </c>
      <c r="X111" s="123" t="n">
        <f aca="false">$W111</f>
        <v>0.8</v>
      </c>
      <c r="Y111" s="123" t="n">
        <f aca="false">IFERROR(1/(1/INDEX(Spectrum!$N:$N,MATCH(RIGHT($B111,13)&amp;"|"&amp;$C111&amp;"|"&amp;$D111&amp;"|"&amp;Y$14&amp;"|"&amp;"CY2021Q3",Spectrum!$Q:$Q,0))),IF(SUM($H111)=0,"",MAX(SUM($P111),SUM($U111))/SUM($H111)))</f>
        <v>0.454545454545455</v>
      </c>
      <c r="Z111" s="123" t="n">
        <f aca="false">IF(SUM($Y111)=0,"",MAX(SUM($Y111),90%))</f>
        <v>0.9</v>
      </c>
      <c r="AA111" s="115" t="n">
        <f aca="false">IF(LEFT($B111,4)="_Mil","",ROUND(MAX(SUM($U111),SUM($P111))+IF(SUM($Z111)=0,0,MAX(SUM($Z111)-SUM($Y111),0)*SUM($H111)),0))</f>
        <v>10</v>
      </c>
      <c r="AB111" s="115" t="n">
        <f aca="false">IF(SUM($AA111)=0,"",ROUND(MAX(SUM($AA111)-MAX(SUM($P111),SUM($U111)),0),0))</f>
        <v>5</v>
      </c>
      <c r="AC111" s="126" t="n">
        <f aca="false">IF($C111="&lt;01",IFERROR(ROUND(INDEX(EID!$N:$N,MATCH($B111,EID!$B:$B,0))/2,0),""),"")</f>
        <v>1051</v>
      </c>
      <c r="AD111" s="115" t="n">
        <f aca="false">IF($C111="&lt;01",IF(SUM($AC111)=0,"",ROUND(SUM($AC111)/$AG111,0)),IF(SUM($AB111)=0,"",ROUND(MAX($X111,0)*SUM($AB111),0)))</f>
        <v>1072</v>
      </c>
      <c r="AE111" s="115" t="n">
        <f aca="false">IF(AND(SUM($AD111)=0,SUM($U111)=0),"",ROUND(IF($C111="&lt;01",0,SUM($U111))+SUM($AD111),0))</f>
        <v>1072</v>
      </c>
      <c r="AF111" s="122" t="str">
        <f aca="false">IF($C111="&lt;01","",100%)</f>
        <v/>
      </c>
      <c r="AG111" s="123" t="n">
        <f aca="false">0.98</f>
        <v>0.98</v>
      </c>
      <c r="AH111" s="123" t="n">
        <f aca="false">0.98</f>
        <v>0.98</v>
      </c>
      <c r="AI111" s="124" t="str">
        <f aca="false">IF(OR($C111="&lt;01",SUM($U111)=0),"",ROUND(SUM($U111)*(1-$AH111),0))</f>
        <v/>
      </c>
      <c r="AJ111" s="124" t="n">
        <f aca="false">IF(AND(SUM($AE111)=0,SUM($U111)=0),"",IF($C111="&lt;01",SUM($AD111),SUM($AE111) - ROUND(SUM($U111)*$AH111,0)))</f>
        <v>1072</v>
      </c>
      <c r="AK111" s="124" t="n">
        <v>24</v>
      </c>
      <c r="AL111" s="124" t="n">
        <v>9</v>
      </c>
      <c r="AM111" s="115" t="n">
        <f aca="false">IF(AND(SUM($AD111)=0,SUM($U111)=0),"",IF($C111="&lt;01",SUM($AD111),ROUND(ROUND(SUM($AJ111)*$AF111,0)/$AG111,0)))</f>
        <v>1072</v>
      </c>
      <c r="AN111" s="122" t="n">
        <f aca="false">0.7</f>
        <v>0.7</v>
      </c>
      <c r="AO111" s="123" t="n">
        <f aca="false">1</f>
        <v>1</v>
      </c>
      <c r="AP111" s="115" t="n">
        <f aca="false">IF(AND(SUM($U111)=0,SUM($AM111)=0),"",ROUND((SUM($AM111)*$AN111+IF($C111="&lt;01",0,$U111))*$AO111,0))</f>
        <v>750</v>
      </c>
      <c r="AQ111" s="122"/>
      <c r="AR111" s="123" t="n">
        <f aca="false">0.95</f>
        <v>0.95</v>
      </c>
      <c r="AS111" s="123" t="n">
        <f aca="false">0.95</f>
        <v>0.95</v>
      </c>
      <c r="AT111" s="115" t="n">
        <f aca="false">IF(SUM($AP111)=0,"",ROUND(SUM($AP111)*$AR111,0))</f>
        <v>713</v>
      </c>
      <c r="AU111" s="115" t="n">
        <f aca="false">IF(LEFT($B111,4)="_Mil","",ROUND(SUM($AA111)*SUM($AS111),0))</f>
        <v>10</v>
      </c>
      <c r="AV111" s="124" t="n">
        <f aca="false">IF(SUM($AU111)&lt;=0,"",MAX(SUM($AU111)-SUM($R111),0))</f>
        <v>10</v>
      </c>
      <c r="AW111" s="122" t="n">
        <f aca="false">0</f>
        <v>0</v>
      </c>
      <c r="AX111" s="124" t="n">
        <f aca="false">IF(SUM($AM111)=0,"",ROUND(SUM($AM111)*SUM($AW111),0))</f>
        <v>0</v>
      </c>
      <c r="AY111" s="124" t="n">
        <f aca="false">IF(SUM($AM111)=0,"",SUM($AM111)-SUM($AX111))</f>
        <v>1072</v>
      </c>
      <c r="AZ111" s="123" t="n">
        <v>49</v>
      </c>
      <c r="BA111" s="123" t="n">
        <f aca="false">0.95</f>
        <v>0.95</v>
      </c>
      <c r="BB111" s="123"/>
      <c r="BC111" s="123" t="str">
        <f aca="false">IF(OR(SUM($AM111)&lt;=0,$C111="&lt;01"),"",MAX(IF(OR(SUM($Y111)&lt;70%,LEFT($B111,4)="_Mil"),30%,IF(SUM($Y111)&gt;=80%,75%,50%)),SUM($BB111)))</f>
        <v/>
      </c>
      <c r="BD111" s="115" t="n">
        <f aca="false">IF($C111="&lt;01",IFERROR(ROUND(INDEX(EID!$M:$M,MATCH($B111,EID!$B:$B,0)),0)/2,""),IF(SUM($AY111)=0,"",ROUND(SUM($AY111)/SUM($BA111),0)))</f>
        <v>1106</v>
      </c>
      <c r="BE111" s="115" t="str">
        <f aca="false">IF($C111="&lt;01","",IF(SUM($BD111)=0,"",ROUND(SUM($BD111)*SUM($BC111),0)))</f>
        <v/>
      </c>
      <c r="BF111" s="115" t="str">
        <f aca="false">_xlfn.IFNA(INDEX(PMTCT!$AE:$AE,MATCH($E111,PMTCT!$E:$E,0)),"")</f>
        <v/>
      </c>
      <c r="BG111" s="115" t="str">
        <f aca="false">_xlfn.IFNA(INDEX(PMTCT!$AU:$AU,MATCH($E111,PMTCT!$E:$E,0)),"")</f>
        <v/>
      </c>
      <c r="BH111" s="115" t="str">
        <f aca="false">_xlfn.IFNA(INDEX(TB!$Q:$Q,MATCH($E111,TB!$E:$E,0)),"")</f>
        <v/>
      </c>
      <c r="BI111" s="115" t="str">
        <f aca="false">_xlfn.IFNA(INDEX(VMMC!$AC:$AC,MATCH($E111,VMMC!$E:$E,0)),"")</f>
        <v/>
      </c>
      <c r="BJ111" s="115" t="n">
        <f aca="false">IF($C111="&lt;01",$BD111,"")</f>
        <v>1106</v>
      </c>
      <c r="BK111" s="115" t="n">
        <f aca="false">IF(SUM($BD111)=0,"",($BD111)-SUM($BE111:$BJ111))</f>
        <v>0</v>
      </c>
      <c r="BL111" s="123" t="str">
        <f aca="false">IF(OR(SUM($BD111)=0,SUM($BE111)=0),"",SUM($BE111)/$BD111)</f>
        <v/>
      </c>
      <c r="BM111" s="123" t="str">
        <f aca="false">IF(OR(SUM($BD111)=0,SUM($BF111)=0),"",SUM($BF111)/$BD111)</f>
        <v/>
      </c>
      <c r="BN111" s="123" t="str">
        <f aca="false">IF(OR(SUM($BD111)=0,SUM($BG111)=0),"",SUM($BG111)/$BD111)</f>
        <v/>
      </c>
      <c r="BO111" s="123" t="str">
        <f aca="false">IF(OR(SUM($BD111)=0,SUM($BH111)=0),"",SUM($BH111)/$BD111)</f>
        <v/>
      </c>
      <c r="BP111" s="123" t="str">
        <f aca="false">IF(OR(SUM($BD111)=0,SUM($BI111)=0),"",SUM($BI111)/$BD111)</f>
        <v/>
      </c>
      <c r="BQ111" s="123" t="n">
        <f aca="false">IF(AND($C111="&lt;01",SUM($BJ111)&lt;&gt;0),$BJ111/SUM($BD111),"")</f>
        <v>1</v>
      </c>
      <c r="BR111" s="123" t="str">
        <f aca="false">IF(OR(SUM($BD111)=0,SUM($BK111)=0),"",SUM($BK111)/$BD111)</f>
        <v/>
      </c>
      <c r="BS111" s="122" t="n">
        <f aca="false">IF(SUM($X111)&lt;=0,"",$X111)</f>
        <v>0.8</v>
      </c>
      <c r="BT111" s="115" t="n">
        <f aca="false">IF(LEFT($B111,4)="_Mil","",MAX(SUM($L111)+ROUND(SUM($BD111)/IF(SUM($BS111)&lt;=0,1,SUM($BS111)),0),0))</f>
        <v>1388</v>
      </c>
    </row>
    <row r="112" customFormat="false" ht="15" hidden="false" customHeight="false" outlineLevel="0" collapsed="false">
      <c r="A112" s="0" t="s">
        <v>145</v>
      </c>
      <c r="B112" s="0" t="s">
        <v>107</v>
      </c>
      <c r="C112" s="0" t="s">
        <v>89</v>
      </c>
      <c r="D112" s="0" t="s">
        <v>58</v>
      </c>
      <c r="E112" s="0" t="str">
        <f aca="false">B112&amp;"|"&amp;C112&amp;"|"&amp;D112</f>
        <v>Mafeteng [#SNU] [#DREAMS] [DiFv5WXIHM5]|&lt;01|Male</v>
      </c>
      <c r="F112" s="115" t="n">
        <f aca="false">_xlfn.IFNA(ROUND(INDEX(Spectrum!$N:$N,MATCH(RIGHT($B112,13)&amp;"|"&amp;$C112&amp;"|"&amp;$D112&amp;"|"&amp;F$14&amp;"|"&amp;"CY2021Q3",Spectrum!$Q:$Q,0)),0),"")</f>
        <v>1462</v>
      </c>
      <c r="G112" s="123" t="n">
        <f aca="false">_xlfn.IFNA(INDEX(Spectrum!$P:$P,MATCH(RIGHT($B112,13)&amp;"|"&amp;$C112&amp;"|"&amp;$D112&amp;"|"&amp;F$14&amp;"|"&amp;"CY2021Q3",Spectrum!$Q:$Q,0)),"")</f>
        <v>10</v>
      </c>
      <c r="H112" s="115" t="n">
        <f aca="false">_xlfn.IFNA(ROUND(INDEX(Spectrum!$N:$N,MATCH(RIGHT($B112,13)&amp;"|"&amp;$C112&amp;"|"&amp;$D112&amp;"|"&amp;H$14&amp;"|"&amp;"CY2021Q3",Spectrum!$Q:$Q,0)),0),"")</f>
        <v>12</v>
      </c>
      <c r="I112" s="123" t="n">
        <f aca="false">_xlfn.IFNA(INDEX(Spectrum!$P:$P,MATCH(RIGHT($B112,13)&amp;"|"&amp;$C112&amp;"|"&amp;$D112&amp;"|"&amp;H$14&amp;"|"&amp;"CY2021Q3",Spectrum!$Q:$Q,0)),"")</f>
        <v>48</v>
      </c>
      <c r="J112" s="117" t="n">
        <f aca="false">_xlfn.IFNA(INDEX(Spectrum!$N:$N,MATCH(RIGHT($B112,13)&amp;"|"&amp;$C112&amp;"|"&amp;$D112&amp;"|"&amp;J$14&amp;"|"&amp;"CY2021Q3",Spectrum!$Q:$Q,0)),"")</f>
        <v>0.007938</v>
      </c>
      <c r="K112" s="123" t="n">
        <f aca="false">_xlfn.IFNA(INDEX(Spectrum!$P:$P,MATCH(RIGHT($B112,13)&amp;"|"&amp;$C112&amp;"|"&amp;$D112&amp;"|"&amp;J$14&amp;"|"&amp;"CY2021Q3",Spectrum!$Q:$Q,0)),"")</f>
        <v>40</v>
      </c>
      <c r="L112" s="115" t="n">
        <f aca="false">_xlfn.IFNA(ROUND(INDEX(Spectrum!$N:$N,MATCH(RIGHT($B112,13)&amp;"|"&amp;$C112&amp;"|"&amp;$D112&amp;"|"&amp;L$14&amp;"|"&amp;"CY2021Q3",Spectrum!$Q:$Q,0)),0),"")</f>
        <v>5</v>
      </c>
      <c r="M112" s="123" t="n">
        <f aca="false">IF(OR(SUM($H112)&lt;=0,SUM($L112)&lt;=0),"",SUM($L112)/$H112)</f>
        <v>0.416666666666667</v>
      </c>
      <c r="N112" s="115" t="str">
        <f aca="false">_xlfn.IFNA(ROUND(INDEX(Spectrum!$N:$N,MATCH(RIGHT($B112,13)&amp;"|"&amp;$C112&amp;"|"&amp;$D112&amp;"|"&amp;N$14&amp;"|"&amp;"CY2020Q4",Spectrum!$Q:$Q,0)),0),"")</f>
        <v/>
      </c>
      <c r="O112" s="123" t="str">
        <f aca="false">_xlfn.IFNA(INDEX(Spectrum!$P:$P,MATCH(RIGHT($B112,13)&amp;"|"&amp;$C112&amp;"|"&amp;$D112&amp;"|"&amp;N$14&amp;"|"&amp;"CY2020Q4",Spectrum!$Q:$Q,0)),"")</f>
        <v/>
      </c>
      <c r="P112" s="115" t="n">
        <f aca="false">_xlfn.IFNA(ROUND(INDEX(Spectrum!$N:$N,MATCH(RIGHT($B112,13)&amp;"|"&amp;$C112&amp;"|"&amp;$D112&amp;"|"&amp;P$14&amp;"|"&amp;"CY2021Q3",Spectrum!$Q:$Q,0)),0),"")</f>
        <v>5</v>
      </c>
      <c r="Q112" s="123" t="n">
        <f aca="false">_xlfn.IFNA(INDEX(Spectrum!$P:$P,MATCH(RIGHT($B112,13)&amp;"|"&amp;$C112&amp;"|"&amp;$D112&amp;"|"&amp;P$14&amp;"|"&amp;"CY2021Q3",Spectrum!$Q:$Q,0)),"")</f>
        <v>32</v>
      </c>
      <c r="R112" s="115"/>
      <c r="S112" s="123" t="str">
        <f aca="false">IF(OR(SUM($P112)&lt;=0,SUM($R112)&lt;=0),"",SUM($R112)/$P112)</f>
        <v/>
      </c>
      <c r="T112" s="139" t="n">
        <v>44</v>
      </c>
      <c r="U112" s="124" t="n">
        <v>27</v>
      </c>
      <c r="V112" s="124" t="n">
        <f aca="false">IF($U112-$T112=0,"",$U112-$T112)</f>
        <v>-17</v>
      </c>
      <c r="W112" s="123" t="n">
        <f aca="false">IF(LEFT($B112,4)="_Mil","",IFERROR(MIN(IF(SUM($N112)&lt;=0,SUM($U112)/SUM($P112),SUM($T112)/SUM($N112)),1),""))</f>
        <v>1</v>
      </c>
      <c r="X112" s="123" t="n">
        <f aca="false">$W112</f>
        <v>1</v>
      </c>
      <c r="Y112" s="123" t="n">
        <f aca="false">IFERROR(1/(1/INDEX(Spectrum!$N:$N,MATCH(RIGHT($B112,13)&amp;"|"&amp;$C112&amp;"|"&amp;$D112&amp;"|"&amp;Y$14&amp;"|"&amp;"CY2021Q3",Spectrum!$Q:$Q,0))),IF(SUM($H112)=0,"",MAX(SUM($P112),SUM($U112))/SUM($H112)))</f>
        <v>2.25</v>
      </c>
      <c r="Z112" s="123" t="n">
        <f aca="false">IF(SUM($Y112)=0,"",MAX(SUM($Y112),90%))</f>
        <v>2.25</v>
      </c>
      <c r="AA112" s="115" t="n">
        <f aca="false">IF(LEFT($B112,4)="_Mil","",ROUND(MAX(SUM($U112),SUM($P112))+IF(SUM($Z112)=0,0,MAX(SUM($Z112)-SUM($Y112),0)*SUM($H112)),0))</f>
        <v>27</v>
      </c>
      <c r="AB112" s="115" t="n">
        <f aca="false">IF(SUM($AA112)=0,"",ROUND(MAX(SUM($AA112)-MAX(SUM($P112),SUM($U112)),0),0))</f>
        <v>0</v>
      </c>
      <c r="AC112" s="126" t="n">
        <f aca="false">IF($C112="&lt;01",IFERROR(ROUND(INDEX(EID!$N:$N,MATCH($B112,EID!$B:$B,0))/2,0),""),"")</f>
        <v>1051</v>
      </c>
      <c r="AD112" s="115" t="n">
        <f aca="false">IF($C112="&lt;01",IF(SUM($AC112)=0,"",ROUND(SUM($AC112)/$AG112,0)),IF(SUM($AB112)=0,"",ROUND(MAX($X112,0)*SUM($AB112),0)))</f>
        <v>1072</v>
      </c>
      <c r="AE112" s="115" t="n">
        <f aca="false">IF(AND(SUM($AD112)=0,SUM($U112)=0),"",ROUND(IF($C112="&lt;01",0,SUM($U112))+SUM($AD112),0))</f>
        <v>1072</v>
      </c>
      <c r="AF112" s="122" t="str">
        <f aca="false">IF($C112="&lt;01","",100%)</f>
        <v/>
      </c>
      <c r="AG112" s="123" t="n">
        <f aca="false">0.98</f>
        <v>0.98</v>
      </c>
      <c r="AH112" s="123" t="n">
        <f aca="false">0.98</f>
        <v>0.98</v>
      </c>
      <c r="AI112" s="124" t="str">
        <f aca="false">IF(OR($C112="&lt;01",SUM($U112)=0),"",ROUND(SUM($U112)*(1-$AH112),0))</f>
        <v/>
      </c>
      <c r="AJ112" s="124" t="n">
        <f aca="false">IF(AND(SUM($AE112)=0,SUM($U112)=0),"",IF($C112="&lt;01",SUM($AD112),SUM($AE112) - ROUND(SUM($U112)*$AH112,0)))</f>
        <v>1072</v>
      </c>
      <c r="AK112" s="124" t="n">
        <v>46</v>
      </c>
      <c r="AL112" s="124" t="n">
        <v>47</v>
      </c>
      <c r="AM112" s="115" t="n">
        <f aca="false">IF(AND(SUM($AD112)=0,SUM($U112)=0),"",IF($C112="&lt;01",SUM($AD112),ROUND(ROUND(SUM($AJ112)*$AF112,0)/$AG112,0)))</f>
        <v>1072</v>
      </c>
      <c r="AN112" s="122" t="n">
        <f aca="false">0.7</f>
        <v>0.7</v>
      </c>
      <c r="AO112" s="123" t="n">
        <f aca="false">1</f>
        <v>1</v>
      </c>
      <c r="AP112" s="115" t="n">
        <f aca="false">IF(AND(SUM($U112)=0,SUM($AM112)=0),"",ROUND((SUM($AM112)*$AN112+IF($C112="&lt;01",0,$U112))*$AO112,0))</f>
        <v>750</v>
      </c>
      <c r="AQ112" s="122"/>
      <c r="AR112" s="123" t="n">
        <f aca="false">0.95</f>
        <v>0.95</v>
      </c>
      <c r="AS112" s="123" t="n">
        <f aca="false">0.95</f>
        <v>0.95</v>
      </c>
      <c r="AT112" s="115" t="n">
        <f aca="false">IF(SUM($AP112)=0,"",ROUND(SUM($AP112)*$AR112,0))</f>
        <v>713</v>
      </c>
      <c r="AU112" s="115" t="n">
        <f aca="false">IF(LEFT($B112,4)="_Mil","",ROUND(SUM($AA112)*SUM($AS112),0))</f>
        <v>26</v>
      </c>
      <c r="AV112" s="124" t="n">
        <f aca="false">IF(SUM($AU112)&lt;=0,"",MAX(SUM($AU112)-SUM($R112),0))</f>
        <v>26</v>
      </c>
      <c r="AW112" s="122" t="n">
        <f aca="false">0</f>
        <v>0</v>
      </c>
      <c r="AX112" s="124" t="n">
        <f aca="false">IF(SUM($AM112)=0,"",ROUND(SUM($AM112)*SUM($AW112),0))</f>
        <v>0</v>
      </c>
      <c r="AY112" s="124" t="n">
        <f aca="false">IF(SUM($AM112)=0,"",SUM($AM112)-SUM($AX112))</f>
        <v>1072</v>
      </c>
      <c r="AZ112" s="123" t="n">
        <v>39</v>
      </c>
      <c r="BA112" s="123" t="n">
        <f aca="false">0.95</f>
        <v>0.95</v>
      </c>
      <c r="BB112" s="123"/>
      <c r="BC112" s="123" t="str">
        <f aca="false">IF(OR(SUM($AM112)&lt;=0,$C112="&lt;01"),"",MAX(IF(OR(SUM($Y112)&lt;70%,LEFT($B112,4)="_Mil"),30%,IF(SUM($Y112)&gt;=80%,75%,50%)),SUM($BB112)))</f>
        <v/>
      </c>
      <c r="BD112" s="115" t="n">
        <f aca="false">IF($C112="&lt;01",IFERROR(ROUND(INDEX(EID!$M:$M,MATCH($B112,EID!$B:$B,0)),0)/2,""),IF(SUM($AY112)=0,"",ROUND(SUM($AY112)/SUM($BA112),0)))</f>
        <v>1106</v>
      </c>
      <c r="BE112" s="115" t="str">
        <f aca="false">IF($C112="&lt;01","",IF(SUM($BD112)=0,"",ROUND(SUM($BD112)*SUM($BC112),0)))</f>
        <v/>
      </c>
      <c r="BF112" s="115" t="str">
        <f aca="false">_xlfn.IFNA(INDEX(PMTCT!$AE:$AE,MATCH($E112,PMTCT!$E:$E,0)),"")</f>
        <v/>
      </c>
      <c r="BG112" s="115" t="str">
        <f aca="false">_xlfn.IFNA(INDEX(PMTCT!$AU:$AU,MATCH($E112,PMTCT!$E:$E,0)),"")</f>
        <v/>
      </c>
      <c r="BH112" s="115" t="str">
        <f aca="false">_xlfn.IFNA(INDEX(TB!$Q:$Q,MATCH($E112,TB!$E:$E,0)),"")</f>
        <v/>
      </c>
      <c r="BI112" s="115" t="str">
        <f aca="false">_xlfn.IFNA(INDEX(VMMC!$AC:$AC,MATCH($E112,VMMC!$E:$E,0)),"")</f>
        <v/>
      </c>
      <c r="BJ112" s="115" t="n">
        <f aca="false">IF($C112="&lt;01",$BD112,"")</f>
        <v>1106</v>
      </c>
      <c r="BK112" s="115" t="n">
        <f aca="false">IF(SUM($BD112)=0,"",($BD112)-SUM($BE112:$BJ112))</f>
        <v>0</v>
      </c>
      <c r="BL112" s="123" t="str">
        <f aca="false">IF(OR(SUM($BD112)=0,SUM($BE112)=0),"",SUM($BE112)/$BD112)</f>
        <v/>
      </c>
      <c r="BM112" s="123" t="str">
        <f aca="false">IF(OR(SUM($BD112)=0,SUM($BF112)=0),"",SUM($BF112)/$BD112)</f>
        <v/>
      </c>
      <c r="BN112" s="123" t="str">
        <f aca="false">IF(OR(SUM($BD112)=0,SUM($BG112)=0),"",SUM($BG112)/$BD112)</f>
        <v/>
      </c>
      <c r="BO112" s="123" t="str">
        <f aca="false">IF(OR(SUM($BD112)=0,SUM($BH112)=0),"",SUM($BH112)/$BD112)</f>
        <v/>
      </c>
      <c r="BP112" s="123" t="str">
        <f aca="false">IF(OR(SUM($BD112)=0,SUM($BI112)=0),"",SUM($BI112)/$BD112)</f>
        <v/>
      </c>
      <c r="BQ112" s="123" t="n">
        <f aca="false">IF(AND($C112="&lt;01",SUM($BJ112)&lt;&gt;0),$BJ112/SUM($BD112),"")</f>
        <v>1</v>
      </c>
      <c r="BR112" s="123" t="str">
        <f aca="false">IF(OR(SUM($BD112)=0,SUM($BK112)=0),"",SUM($BK112)/$BD112)</f>
        <v/>
      </c>
      <c r="BS112" s="122" t="n">
        <f aca="false">IF(SUM($X112)&lt;=0,"",$X112)</f>
        <v>1</v>
      </c>
      <c r="BT112" s="115" t="n">
        <f aca="false">IF(LEFT($B112,4)="_Mil","",MAX(SUM($L112)+ROUND(SUM($BD112)/IF(SUM($BS112)&lt;=0,1,SUM($BS112)),0),0))</f>
        <v>1111</v>
      </c>
    </row>
    <row r="113" customFormat="false" ht="15" hidden="false" customHeight="false" outlineLevel="0" collapsed="false">
      <c r="A113" s="0" t="s">
        <v>145</v>
      </c>
      <c r="B113" s="0" t="s">
        <v>107</v>
      </c>
      <c r="C113" s="0" t="s">
        <v>54</v>
      </c>
      <c r="D113" s="0" t="s">
        <v>56</v>
      </c>
      <c r="E113" s="0" t="str">
        <f aca="false">B113&amp;"|"&amp;C113&amp;"|"&amp;D113</f>
        <v>Mafeteng [#SNU] [#DREAMS] [DiFv5WXIHM5]|01-04|Female</v>
      </c>
      <c r="F113" s="115" t="n">
        <f aca="false">_xlfn.IFNA(ROUND(INDEX(Spectrum!$N:$N,MATCH(RIGHT($B113,13)&amp;"|"&amp;$C113&amp;"|"&amp;$D113&amp;"|"&amp;F$14&amp;"|"&amp;"CY2021Q3",Spectrum!$Q:$Q,0)),0),"")</f>
        <v>6472</v>
      </c>
      <c r="G113" s="123" t="n">
        <f aca="false">_xlfn.IFNA(INDEX(Spectrum!$P:$P,MATCH(RIGHT($B113,13)&amp;"|"&amp;$C113&amp;"|"&amp;$D113&amp;"|"&amp;F$14&amp;"|"&amp;"CY2021Q3",Spectrum!$Q:$Q,0)),"")</f>
        <v>10</v>
      </c>
      <c r="H113" s="115" t="n">
        <f aca="false">_xlfn.IFNA(ROUND(INDEX(Spectrum!$N:$N,MATCH(RIGHT($B113,13)&amp;"|"&amp;$C113&amp;"|"&amp;$D113&amp;"|"&amp;H$14&amp;"|"&amp;"CY2021Q3",Spectrum!$Q:$Q,0)),0),"")</f>
        <v>56</v>
      </c>
      <c r="I113" s="123" t="n">
        <f aca="false">_xlfn.IFNA(INDEX(Spectrum!$P:$P,MATCH(RIGHT($B113,13)&amp;"|"&amp;$C113&amp;"|"&amp;$D113&amp;"|"&amp;H$14&amp;"|"&amp;"CY2021Q3",Spectrum!$Q:$Q,0)),"")</f>
        <v>26</v>
      </c>
      <c r="J113" s="117" t="n">
        <f aca="false">_xlfn.IFNA(INDEX(Spectrum!$N:$N,MATCH(RIGHT($B113,13)&amp;"|"&amp;$C113&amp;"|"&amp;$D113&amp;"|"&amp;J$14&amp;"|"&amp;"CY2021Q3",Spectrum!$Q:$Q,0)),"")</f>
        <v>0.0085961</v>
      </c>
      <c r="K113" s="123" t="n">
        <f aca="false">_xlfn.IFNA(INDEX(Spectrum!$P:$P,MATCH(RIGHT($B113,13)&amp;"|"&amp;$C113&amp;"|"&amp;$D113&amp;"|"&amp;J$14&amp;"|"&amp;"CY2021Q3",Spectrum!$Q:$Q,0)),"")</f>
        <v>39</v>
      </c>
      <c r="L113" s="115" t="n">
        <f aca="false">_xlfn.IFNA(ROUND(INDEX(Spectrum!$N:$N,MATCH(RIGHT($B113,13)&amp;"|"&amp;$C113&amp;"|"&amp;$D113&amp;"|"&amp;L$14&amp;"|"&amp;"CY2021Q3",Spectrum!$Q:$Q,0)),0),"")</f>
        <v>23</v>
      </c>
      <c r="M113" s="123" t="n">
        <f aca="false">IF(OR(SUM($H113)&lt;=0,SUM($L113)&lt;=0),"",SUM($L113)/$H113)</f>
        <v>0.410714285714286</v>
      </c>
      <c r="N113" s="115" t="str">
        <f aca="false">_xlfn.IFNA(ROUND(INDEX(Spectrum!$N:$N,MATCH(RIGHT($B113,13)&amp;"|"&amp;$C113&amp;"|"&amp;$D113&amp;"|"&amp;N$14&amp;"|"&amp;"CY2020Q4",Spectrum!$Q:$Q,0)),0),"")</f>
        <v/>
      </c>
      <c r="O113" s="123" t="str">
        <f aca="false">_xlfn.IFNA(INDEX(Spectrum!$P:$P,MATCH(RIGHT($B113,13)&amp;"|"&amp;$C113&amp;"|"&amp;$D113&amp;"|"&amp;N$14&amp;"|"&amp;"CY2020Q4",Spectrum!$Q:$Q,0)),"")</f>
        <v/>
      </c>
      <c r="P113" s="115" t="n">
        <f aca="false">_xlfn.IFNA(ROUND(INDEX(Spectrum!$N:$N,MATCH(RIGHT($B113,13)&amp;"|"&amp;$C113&amp;"|"&amp;$D113&amp;"|"&amp;P$14&amp;"|"&amp;"CY2021Q3",Spectrum!$Q:$Q,0)),0),"")</f>
        <v>28</v>
      </c>
      <c r="Q113" s="123" t="n">
        <f aca="false">_xlfn.IFNA(INDEX(Spectrum!$P:$P,MATCH(RIGHT($B113,13)&amp;"|"&amp;$C113&amp;"|"&amp;$D113&amp;"|"&amp;P$14&amp;"|"&amp;"CY2021Q3",Spectrum!$Q:$Q,0)),"")</f>
        <v>39</v>
      </c>
      <c r="R113" s="115"/>
      <c r="S113" s="123" t="str">
        <f aca="false">IF(OR(SUM($P113)&lt;=0,SUM($R113)&lt;=0),"",SUM($R113)/$P113)</f>
        <v/>
      </c>
      <c r="T113" s="139" t="n">
        <v>35</v>
      </c>
      <c r="U113" s="124" t="n">
        <v>5</v>
      </c>
      <c r="V113" s="124" t="n">
        <f aca="false">IF($U113-$T113=0,"",$U113-$T113)</f>
        <v>-30</v>
      </c>
      <c r="W113" s="123" t="n">
        <f aca="false">IF(LEFT($B113,4)="_Mil","",IFERROR(MIN(IF(SUM($N113)&lt;=0,SUM($U113)/SUM($P113),SUM($T113)/SUM($N113)),1),""))</f>
        <v>0.178571428571429</v>
      </c>
      <c r="X113" s="123" t="n">
        <f aca="false">$W113</f>
        <v>0.178571428571429</v>
      </c>
      <c r="Y113" s="123" t="n">
        <f aca="false">IFERROR(1/(1/INDEX(Spectrum!$N:$N,MATCH(RIGHT($B113,13)&amp;"|"&amp;$C113&amp;"|"&amp;$D113&amp;"|"&amp;Y$14&amp;"|"&amp;"CY2021Q3",Spectrum!$Q:$Q,0))),IF(SUM($H113)=0,"",MAX(SUM($P113),SUM($U113))/SUM($H113)))</f>
        <v>0.5</v>
      </c>
      <c r="Z113" s="123" t="n">
        <f aca="false">IF(SUM($Y113)=0,"",MAX(SUM($Y113),90%))</f>
        <v>0.9</v>
      </c>
      <c r="AA113" s="115" t="n">
        <f aca="false">IF(LEFT($B113,4)="_Mil","",ROUND(MAX(SUM($U113),SUM($P113))+IF(SUM($Z113)=0,0,MAX(SUM($Z113)-SUM($Y113),0)*SUM($H113)),0))</f>
        <v>50</v>
      </c>
      <c r="AB113" s="115" t="n">
        <f aca="false">IF(SUM($AA113)=0,"",ROUND(MAX(SUM($AA113)-MAX(SUM($P113),SUM($U113)),0),0))</f>
        <v>22</v>
      </c>
      <c r="AC113" s="126" t="str">
        <f aca="false">IF($C113="&lt;01",IFERROR(ROUND(INDEX(EID!$N:$N,MATCH($B113,EID!$B:$B,0))/2,0),""),"")</f>
        <v/>
      </c>
      <c r="AD113" s="115" t="n">
        <f aca="false">IF($C113="&lt;01",IF(SUM($AC113)=0,"",ROUND(SUM($AC113)/$AG113,0)),IF(SUM($AB113)=0,"",ROUND(MAX($X113,0)*SUM($AB113),0)))</f>
        <v>4</v>
      </c>
      <c r="AE113" s="115" t="n">
        <f aca="false">IF(AND(SUM($AD113)=0,SUM($U113)=0),"",ROUND(IF($C113="&lt;01",0,SUM($U113))+SUM($AD113),0))</f>
        <v>9</v>
      </c>
      <c r="AF113" s="122" t="n">
        <f aca="false">IF($C113="&lt;01","",100%)</f>
        <v>1</v>
      </c>
      <c r="AG113" s="123" t="n">
        <f aca="false">0.98</f>
        <v>0.98</v>
      </c>
      <c r="AH113" s="123" t="n">
        <f aca="false">0.98</f>
        <v>0.98</v>
      </c>
      <c r="AI113" s="124" t="n">
        <f aca="false">IF(OR($C113="&lt;01",SUM($U113)=0),"",ROUND(SUM($U113)*(1-$AH113),0))</f>
        <v>0</v>
      </c>
      <c r="AJ113" s="124" t="n">
        <f aca="false">IF(AND(SUM($AE113)=0,SUM($U113)=0),"",IF($C113="&lt;01",SUM($AD113),SUM($AE113) - ROUND(SUM($U113)*$AH113,0)))</f>
        <v>4</v>
      </c>
      <c r="AK113" s="124" t="n">
        <v>13</v>
      </c>
      <c r="AL113" s="124" t="n">
        <v>11</v>
      </c>
      <c r="AM113" s="115" t="n">
        <f aca="false">IF(AND(SUM($AD113)=0,SUM($U113)=0),"",IF($C113="&lt;01",SUM($AD113),ROUND(ROUND(SUM($AJ113)*$AF113,0)/$AG113,0)))</f>
        <v>4</v>
      </c>
      <c r="AN113" s="122" t="n">
        <f aca="false">0.7</f>
        <v>0.7</v>
      </c>
      <c r="AO113" s="123" t="n">
        <f aca="false">1</f>
        <v>1</v>
      </c>
      <c r="AP113" s="115" t="n">
        <f aca="false">IF(AND(SUM($U113)=0,SUM($AM113)=0),"",ROUND((SUM($AM113)*$AN113+IF($C113="&lt;01",0,$U113))*$AO113,0))</f>
        <v>8</v>
      </c>
      <c r="AQ113" s="122" t="n">
        <v>14</v>
      </c>
      <c r="AR113" s="123" t="n">
        <f aca="false">0.95</f>
        <v>0.95</v>
      </c>
      <c r="AS113" s="123" t="n">
        <f aca="false">0.95</f>
        <v>0.95</v>
      </c>
      <c r="AT113" s="115" t="n">
        <f aca="false">IF(SUM($AP113)=0,"",ROUND(SUM($AP113)*$AR113,0))</f>
        <v>8</v>
      </c>
      <c r="AU113" s="115" t="n">
        <f aca="false">IF(LEFT($B113,4)="_Mil","",ROUND(SUM($AA113)*SUM($AS113),0))</f>
        <v>48</v>
      </c>
      <c r="AV113" s="124" t="n">
        <f aca="false">IF(SUM($AU113)&lt;=0,"",MAX(SUM($AU113)-SUM($R113),0))</f>
        <v>48</v>
      </c>
      <c r="AW113" s="122" t="n">
        <f aca="false">0</f>
        <v>0</v>
      </c>
      <c r="AX113" s="124" t="n">
        <f aca="false">IF(SUM($AM113)=0,"",ROUND(SUM($AM113)*SUM($AW113),0))</f>
        <v>0</v>
      </c>
      <c r="AY113" s="124" t="n">
        <f aca="false">IF(SUM($AM113)=0,"",SUM($AM113)-SUM($AX113))</f>
        <v>4</v>
      </c>
      <c r="AZ113" s="123" t="n">
        <v>37</v>
      </c>
      <c r="BA113" s="123" t="n">
        <f aca="false">0.95</f>
        <v>0.95</v>
      </c>
      <c r="BB113" s="123"/>
      <c r="BC113" s="123" t="n">
        <f aca="false">IF(OR(SUM($AM113)&lt;=0,$C113="&lt;01"),"",MAX(IF(OR(SUM($Y113)&lt;70%,LEFT($B113,4)="_Mil"),30%,IF(SUM($Y113)&gt;=80%,75%,50%)),SUM($BB113)))</f>
        <v>0.3</v>
      </c>
      <c r="BD113" s="115" t="n">
        <f aca="false">IF($C113="&lt;01",IFERROR(ROUND(INDEX(EID!$M:$M,MATCH($B113,EID!$B:$B,0)),0)/2,""),IF(SUM($AY113)=0,"",ROUND(SUM($AY113)/SUM($BA113),0)))</f>
        <v>4</v>
      </c>
      <c r="BE113" s="115" t="n">
        <f aca="false">IF($C113="&lt;01","",IF(SUM($BD113)=0,"",ROUND(SUM($BD113)*SUM($BC113),0)))</f>
        <v>1</v>
      </c>
      <c r="BF113" s="115" t="str">
        <f aca="false">_xlfn.IFNA(INDEX(PMTCT!$AE:$AE,MATCH($E113,PMTCT!$E:$E,0)),"")</f>
        <v/>
      </c>
      <c r="BG113" s="115" t="str">
        <f aca="false">_xlfn.IFNA(INDEX(PMTCT!$AU:$AU,MATCH($E113,PMTCT!$E:$E,0)),"")</f>
        <v/>
      </c>
      <c r="BH113" s="115" t="n">
        <f aca="false">_xlfn.IFNA(INDEX(TB!$Q:$Q,MATCH($E113,TB!$E:$E,0)),"")</f>
        <v>0</v>
      </c>
      <c r="BI113" s="115" t="str">
        <f aca="false">_xlfn.IFNA(INDEX(VMMC!$AC:$AC,MATCH($E113,VMMC!$E:$E,0)),"")</f>
        <v/>
      </c>
      <c r="BJ113" s="115" t="str">
        <f aca="false">IF($C113="&lt;01",$BD113,"")</f>
        <v/>
      </c>
      <c r="BK113" s="115" t="n">
        <f aca="false">IF(SUM($BD113)=0,"",($BD113)-SUM($BE113:$BJ113))</f>
        <v>3</v>
      </c>
      <c r="BL113" s="123" t="n">
        <f aca="false">IF(OR(SUM($BD113)=0,SUM($BE113)=0),"",SUM($BE113)/$BD113)</f>
        <v>0.25</v>
      </c>
      <c r="BM113" s="123" t="str">
        <f aca="false">IF(OR(SUM($BD113)=0,SUM($BF113)=0),"",SUM($BF113)/$BD113)</f>
        <v/>
      </c>
      <c r="BN113" s="123" t="str">
        <f aca="false">IF(OR(SUM($BD113)=0,SUM($BG113)=0),"",SUM($BG113)/$BD113)</f>
        <v/>
      </c>
      <c r="BO113" s="123" t="str">
        <f aca="false">IF(OR(SUM($BD113)=0,SUM($BH113)=0),"",SUM($BH113)/$BD113)</f>
        <v/>
      </c>
      <c r="BP113" s="123" t="str">
        <f aca="false">IF(OR(SUM($BD113)=0,SUM($BI113)=0),"",SUM($BI113)/$BD113)</f>
        <v/>
      </c>
      <c r="BQ113" s="123" t="str">
        <f aca="false">IF(AND($C113="&lt;01",SUM($BJ113)&lt;&gt;0),$BJ113/SUM($BD113),"")</f>
        <v/>
      </c>
      <c r="BR113" s="123" t="n">
        <f aca="false">IF(OR(SUM($BD113)=0,SUM($BK113)=0),"",SUM($BK113)/$BD113)</f>
        <v>0.75</v>
      </c>
      <c r="BS113" s="122" t="n">
        <f aca="false">IF(SUM($X113)&lt;=0,"",$X113)</f>
        <v>0.178571428571429</v>
      </c>
      <c r="BT113" s="115" t="n">
        <f aca="false">IF(LEFT($B113,4)="_Mil","",MAX(SUM($L113)+ROUND(SUM($BD113)/IF(SUM($BS113)&lt;=0,1,SUM($BS113)),0),0))</f>
        <v>45</v>
      </c>
    </row>
    <row r="114" customFormat="false" ht="15" hidden="false" customHeight="false" outlineLevel="0" collapsed="false">
      <c r="A114" s="0" t="s">
        <v>145</v>
      </c>
      <c r="B114" s="0" t="s">
        <v>107</v>
      </c>
      <c r="C114" s="0" t="s">
        <v>54</v>
      </c>
      <c r="D114" s="0" t="s">
        <v>58</v>
      </c>
      <c r="E114" s="0" t="str">
        <f aca="false">B114&amp;"|"&amp;C114&amp;"|"&amp;D114</f>
        <v>Mafeteng [#SNU] [#DREAMS] [DiFv5WXIHM5]|01-04|Male</v>
      </c>
      <c r="F114" s="115" t="n">
        <f aca="false">_xlfn.IFNA(ROUND(INDEX(Spectrum!$N:$N,MATCH(RIGHT($B114,13)&amp;"|"&amp;$C114&amp;"|"&amp;$D114&amp;"|"&amp;F$14&amp;"|"&amp;"CY2021Q3",Spectrum!$Q:$Q,0)),0),"")</f>
        <v>6794</v>
      </c>
      <c r="G114" s="123" t="n">
        <f aca="false">_xlfn.IFNA(INDEX(Spectrum!$P:$P,MATCH(RIGHT($B114,13)&amp;"|"&amp;$C114&amp;"|"&amp;$D114&amp;"|"&amp;F$14&amp;"|"&amp;"CY2021Q3",Spectrum!$Q:$Q,0)),"")</f>
        <v>40</v>
      </c>
      <c r="H114" s="115" t="n">
        <f aca="false">_xlfn.IFNA(ROUND(INDEX(Spectrum!$N:$N,MATCH(RIGHT($B114,13)&amp;"|"&amp;$C114&amp;"|"&amp;$D114&amp;"|"&amp;H$14&amp;"|"&amp;"CY2021Q3",Spectrum!$Q:$Q,0)),0),"")</f>
        <v>57</v>
      </c>
      <c r="I114" s="123" t="n">
        <f aca="false">_xlfn.IFNA(INDEX(Spectrum!$P:$P,MATCH(RIGHT($B114,13)&amp;"|"&amp;$C114&amp;"|"&amp;$D114&amp;"|"&amp;H$14&amp;"|"&amp;"CY2021Q3",Spectrum!$Q:$Q,0)),"")</f>
        <v>31</v>
      </c>
      <c r="J114" s="117" t="n">
        <f aca="false">_xlfn.IFNA(INDEX(Spectrum!$N:$N,MATCH(RIGHT($B114,13)&amp;"|"&amp;$C114&amp;"|"&amp;$D114&amp;"|"&amp;J$14&amp;"|"&amp;"CY2021Q3",Spectrum!$Q:$Q,0)),"")</f>
        <v>0.0083946</v>
      </c>
      <c r="K114" s="123" t="n">
        <f aca="false">_xlfn.IFNA(INDEX(Spectrum!$P:$P,MATCH(RIGHT($B114,13)&amp;"|"&amp;$C114&amp;"|"&amp;$D114&amp;"|"&amp;J$14&amp;"|"&amp;"CY2021Q3",Spectrum!$Q:$Q,0)),"")</f>
        <v>13</v>
      </c>
      <c r="L114" s="115" t="n">
        <f aca="false">_xlfn.IFNA(ROUND(INDEX(Spectrum!$N:$N,MATCH(RIGHT($B114,13)&amp;"|"&amp;$C114&amp;"|"&amp;$D114&amp;"|"&amp;L$14&amp;"|"&amp;"CY2021Q3",Spectrum!$Q:$Q,0)),0),"")</f>
        <v>24</v>
      </c>
      <c r="M114" s="123" t="n">
        <f aca="false">IF(OR(SUM($H114)&lt;=0,SUM($L114)&lt;=0),"",SUM($L114)/$H114)</f>
        <v>0.421052631578947</v>
      </c>
      <c r="N114" s="115" t="str">
        <f aca="false">_xlfn.IFNA(ROUND(INDEX(Spectrum!$N:$N,MATCH(RIGHT($B114,13)&amp;"|"&amp;$C114&amp;"|"&amp;$D114&amp;"|"&amp;N$14&amp;"|"&amp;"CY2020Q4",Spectrum!$Q:$Q,0)),0),"")</f>
        <v/>
      </c>
      <c r="O114" s="123" t="str">
        <f aca="false">_xlfn.IFNA(INDEX(Spectrum!$P:$P,MATCH(RIGHT($B114,13)&amp;"|"&amp;$C114&amp;"|"&amp;$D114&amp;"|"&amp;N$14&amp;"|"&amp;"CY2020Q4",Spectrum!$Q:$Q,0)),"")</f>
        <v/>
      </c>
      <c r="P114" s="115" t="n">
        <f aca="false">_xlfn.IFNA(ROUND(INDEX(Spectrum!$N:$N,MATCH(RIGHT($B114,13)&amp;"|"&amp;$C114&amp;"|"&amp;$D114&amp;"|"&amp;P$14&amp;"|"&amp;"CY2021Q3",Spectrum!$Q:$Q,0)),0),"")</f>
        <v>28</v>
      </c>
      <c r="Q114" s="123" t="n">
        <f aca="false">_xlfn.IFNA(INDEX(Spectrum!$P:$P,MATCH(RIGHT($B114,13)&amp;"|"&amp;$C114&amp;"|"&amp;$D114&amp;"|"&amp;P$14&amp;"|"&amp;"CY2021Q3",Spectrum!$Q:$Q,0)),"")</f>
        <v>16</v>
      </c>
      <c r="R114" s="115"/>
      <c r="S114" s="123" t="str">
        <f aca="false">IF(OR(SUM($P114)&lt;=0,SUM($R114)&lt;=0),"",SUM($R114)/$P114)</f>
        <v/>
      </c>
      <c r="T114" s="139" t="n">
        <v>20</v>
      </c>
      <c r="U114" s="124" t="n">
        <v>16</v>
      </c>
      <c r="V114" s="124" t="n">
        <f aca="false">IF($U114-$T114=0,"",$U114-$T114)</f>
        <v>-4</v>
      </c>
      <c r="W114" s="123" t="n">
        <f aca="false">IF(LEFT($B114,4)="_Mil","",IFERROR(MIN(IF(SUM($N114)&lt;=0,SUM($U114)/SUM($P114),SUM($T114)/SUM($N114)),1),""))</f>
        <v>0.571428571428571</v>
      </c>
      <c r="X114" s="123" t="n">
        <f aca="false">$W114</f>
        <v>0.571428571428571</v>
      </c>
      <c r="Y114" s="123" t="n">
        <f aca="false">IFERROR(1/(1/INDEX(Spectrum!$N:$N,MATCH(RIGHT($B114,13)&amp;"|"&amp;$C114&amp;"|"&amp;$D114&amp;"|"&amp;Y$14&amp;"|"&amp;"CY2021Q3",Spectrum!$Q:$Q,0))),IF(SUM($H114)=0,"",MAX(SUM($P114),SUM($U114))/SUM($H114)))</f>
        <v>0.491228070175439</v>
      </c>
      <c r="Z114" s="123" t="n">
        <f aca="false">IF(SUM($Y114)=0,"",MAX(SUM($Y114),90%))</f>
        <v>0.9</v>
      </c>
      <c r="AA114" s="115" t="n">
        <f aca="false">IF(LEFT($B114,4)="_Mil","",ROUND(MAX(SUM($U114),SUM($P114))+IF(SUM($Z114)=0,0,MAX(SUM($Z114)-SUM($Y114),0)*SUM($H114)),0))</f>
        <v>51</v>
      </c>
      <c r="AB114" s="115" t="n">
        <f aca="false">IF(SUM($AA114)=0,"",ROUND(MAX(SUM($AA114)-MAX(SUM($P114),SUM($U114)),0),0))</f>
        <v>23</v>
      </c>
      <c r="AC114" s="126" t="str">
        <f aca="false">IF($C114="&lt;01",IFERROR(ROUND(INDEX(EID!$N:$N,MATCH($B114,EID!$B:$B,0))/2,0),""),"")</f>
        <v/>
      </c>
      <c r="AD114" s="115" t="n">
        <f aca="false">IF($C114="&lt;01",IF(SUM($AC114)=0,"",ROUND(SUM($AC114)/$AG114,0)),IF(SUM($AB114)=0,"",ROUND(MAX($X114,0)*SUM($AB114),0)))</f>
        <v>13</v>
      </c>
      <c r="AE114" s="115" t="n">
        <f aca="false">IF(AND(SUM($AD114)=0,SUM($U114)=0),"",ROUND(IF($C114="&lt;01",0,SUM($U114))+SUM($AD114),0))</f>
        <v>29</v>
      </c>
      <c r="AF114" s="122" t="n">
        <f aca="false">IF($C114="&lt;01","",100%)</f>
        <v>1</v>
      </c>
      <c r="AG114" s="123" t="n">
        <f aca="false">0.98</f>
        <v>0.98</v>
      </c>
      <c r="AH114" s="123" t="n">
        <f aca="false">0.98</f>
        <v>0.98</v>
      </c>
      <c r="AI114" s="124" t="n">
        <f aca="false">IF(OR($C114="&lt;01",SUM($U114)=0),"",ROUND(SUM($U114)*(1-$AH114),0))</f>
        <v>0</v>
      </c>
      <c r="AJ114" s="124" t="n">
        <f aca="false">IF(AND(SUM($AE114)=0,SUM($U114)=0),"",IF($C114="&lt;01",SUM($AD114),SUM($AE114) - ROUND(SUM($U114)*$AH114,0)))</f>
        <v>13</v>
      </c>
      <c r="AK114" s="124" t="n">
        <v>39</v>
      </c>
      <c r="AL114" s="124" t="n">
        <v>9</v>
      </c>
      <c r="AM114" s="115" t="n">
        <f aca="false">IF(AND(SUM($AD114)=0,SUM($U114)=0),"",IF($C114="&lt;01",SUM($AD114),ROUND(ROUND(SUM($AJ114)*$AF114,0)/$AG114,0)))</f>
        <v>13</v>
      </c>
      <c r="AN114" s="122" t="n">
        <f aca="false">0.7</f>
        <v>0.7</v>
      </c>
      <c r="AO114" s="123" t="n">
        <f aca="false">1</f>
        <v>1</v>
      </c>
      <c r="AP114" s="115" t="n">
        <f aca="false">IF(AND(SUM($U114)=0,SUM($AM114)=0),"",ROUND((SUM($AM114)*$AN114+IF($C114="&lt;01",0,$U114))*$AO114,0))</f>
        <v>25</v>
      </c>
      <c r="AQ114" s="122" t="n">
        <v>10</v>
      </c>
      <c r="AR114" s="123" t="n">
        <f aca="false">0.95</f>
        <v>0.95</v>
      </c>
      <c r="AS114" s="123" t="n">
        <f aca="false">0.95</f>
        <v>0.95</v>
      </c>
      <c r="AT114" s="115" t="n">
        <f aca="false">IF(SUM($AP114)=0,"",ROUND(SUM($AP114)*$AR114,0))</f>
        <v>24</v>
      </c>
      <c r="AU114" s="115" t="n">
        <f aca="false">IF(LEFT($B114,4)="_Mil","",ROUND(SUM($AA114)*SUM($AS114),0))</f>
        <v>48</v>
      </c>
      <c r="AV114" s="124" t="n">
        <f aca="false">IF(SUM($AU114)&lt;=0,"",MAX(SUM($AU114)-SUM($R114),0))</f>
        <v>48</v>
      </c>
      <c r="AW114" s="122" t="n">
        <f aca="false">0</f>
        <v>0</v>
      </c>
      <c r="AX114" s="124" t="n">
        <f aca="false">IF(SUM($AM114)=0,"",ROUND(SUM($AM114)*SUM($AW114),0))</f>
        <v>0</v>
      </c>
      <c r="AY114" s="124" t="n">
        <f aca="false">IF(SUM($AM114)=0,"",SUM($AM114)-SUM($AX114))</f>
        <v>13</v>
      </c>
      <c r="AZ114" s="123" t="n">
        <v>12</v>
      </c>
      <c r="BA114" s="123" t="n">
        <f aca="false">0.95</f>
        <v>0.95</v>
      </c>
      <c r="BB114" s="123"/>
      <c r="BC114" s="123" t="n">
        <f aca="false">IF(OR(SUM($AM114)&lt;=0,$C114="&lt;01"),"",MAX(IF(OR(SUM($Y114)&lt;70%,LEFT($B114,4)="_Mil"),30%,IF(SUM($Y114)&gt;=80%,75%,50%)),SUM($BB114)))</f>
        <v>0.3</v>
      </c>
      <c r="BD114" s="115" t="n">
        <f aca="false">IF($C114="&lt;01",IFERROR(ROUND(INDEX(EID!$M:$M,MATCH($B114,EID!$B:$B,0)),0)/2,""),IF(SUM($AY114)=0,"",ROUND(SUM($AY114)/SUM($BA114),0)))</f>
        <v>14</v>
      </c>
      <c r="BE114" s="115" t="n">
        <f aca="false">IF($C114="&lt;01","",IF(SUM($BD114)=0,"",ROUND(SUM($BD114)*SUM($BC114),0)))</f>
        <v>4</v>
      </c>
      <c r="BF114" s="115" t="str">
        <f aca="false">_xlfn.IFNA(INDEX(PMTCT!$AE:$AE,MATCH($E114,PMTCT!$E:$E,0)),"")</f>
        <v/>
      </c>
      <c r="BG114" s="115" t="str">
        <f aca="false">_xlfn.IFNA(INDEX(PMTCT!$AU:$AU,MATCH($E114,PMTCT!$E:$E,0)),"")</f>
        <v/>
      </c>
      <c r="BH114" s="115" t="n">
        <f aca="false">_xlfn.IFNA(INDEX(TB!$Q:$Q,MATCH($E114,TB!$E:$E,0)),"")</f>
        <v>0</v>
      </c>
      <c r="BI114" s="115" t="str">
        <f aca="false">_xlfn.IFNA(INDEX(VMMC!$AC:$AC,MATCH($E114,VMMC!$E:$E,0)),"")</f>
        <v/>
      </c>
      <c r="BJ114" s="115" t="str">
        <f aca="false">IF($C114="&lt;01",$BD114,"")</f>
        <v/>
      </c>
      <c r="BK114" s="115" t="n">
        <f aca="false">IF(SUM($BD114)=0,"",($BD114)-SUM($BE114:$BJ114))</f>
        <v>10</v>
      </c>
      <c r="BL114" s="123" t="n">
        <f aca="false">IF(OR(SUM($BD114)=0,SUM($BE114)=0),"",SUM($BE114)/$BD114)</f>
        <v>0.285714285714286</v>
      </c>
      <c r="BM114" s="123" t="str">
        <f aca="false">IF(OR(SUM($BD114)=0,SUM($BF114)=0),"",SUM($BF114)/$BD114)</f>
        <v/>
      </c>
      <c r="BN114" s="123" t="str">
        <f aca="false">IF(OR(SUM($BD114)=0,SUM($BG114)=0),"",SUM($BG114)/$BD114)</f>
        <v/>
      </c>
      <c r="BO114" s="123" t="str">
        <f aca="false">IF(OR(SUM($BD114)=0,SUM($BH114)=0),"",SUM($BH114)/$BD114)</f>
        <v/>
      </c>
      <c r="BP114" s="123" t="str">
        <f aca="false">IF(OR(SUM($BD114)=0,SUM($BI114)=0),"",SUM($BI114)/$BD114)</f>
        <v/>
      </c>
      <c r="BQ114" s="123" t="str">
        <f aca="false">IF(AND($C114="&lt;01",SUM($BJ114)&lt;&gt;0),$BJ114/SUM($BD114),"")</f>
        <v/>
      </c>
      <c r="BR114" s="123" t="n">
        <f aca="false">IF(OR(SUM($BD114)=0,SUM($BK114)=0),"",SUM($BK114)/$BD114)</f>
        <v>0.714285714285714</v>
      </c>
      <c r="BS114" s="122" t="n">
        <f aca="false">IF(SUM($X114)&lt;=0,"",$X114)</f>
        <v>0.571428571428571</v>
      </c>
      <c r="BT114" s="115" t="n">
        <f aca="false">IF(LEFT($B114,4)="_Mil","",MAX(SUM($L114)+ROUND(SUM($BD114)/IF(SUM($BS114)&lt;=0,1,SUM($BS114)),0),0))</f>
        <v>49</v>
      </c>
    </row>
    <row r="115" customFormat="false" ht="15" hidden="false" customHeight="false" outlineLevel="0" collapsed="false">
      <c r="A115" s="0" t="s">
        <v>145</v>
      </c>
      <c r="B115" s="0" t="s">
        <v>107</v>
      </c>
      <c r="C115" s="0" t="s">
        <v>83</v>
      </c>
      <c r="D115" s="0" t="s">
        <v>56</v>
      </c>
      <c r="E115" s="0" t="str">
        <f aca="false">B115&amp;"|"&amp;C115&amp;"|"&amp;D115</f>
        <v>Mafeteng [#SNU] [#DREAMS] [DiFv5WXIHM5]|05-09|Female</v>
      </c>
      <c r="F115" s="115" t="n">
        <f aca="false">_xlfn.IFNA(ROUND(INDEX(Spectrum!$N:$N,MATCH(RIGHT($B115,13)&amp;"|"&amp;$C115&amp;"|"&amp;$D115&amp;"|"&amp;F$14&amp;"|"&amp;"CY2021Q3",Spectrum!$Q:$Q,0)),0),"")</f>
        <v>9345</v>
      </c>
      <c r="G115" s="123" t="n">
        <f aca="false">_xlfn.IFNA(INDEX(Spectrum!$P:$P,MATCH(RIGHT($B115,13)&amp;"|"&amp;$C115&amp;"|"&amp;$D115&amp;"|"&amp;F$14&amp;"|"&amp;"CY2021Q3",Spectrum!$Q:$Q,0)),"")</f>
        <v>1</v>
      </c>
      <c r="H115" s="115" t="n">
        <f aca="false">_xlfn.IFNA(ROUND(INDEX(Spectrum!$N:$N,MATCH(RIGHT($B115,13)&amp;"|"&amp;$C115&amp;"|"&amp;$D115&amp;"|"&amp;H$14&amp;"|"&amp;"CY2021Q3",Spectrum!$Q:$Q,0)),0),"")</f>
        <v>154</v>
      </c>
      <c r="I115" s="123" t="n">
        <f aca="false">_xlfn.IFNA(INDEX(Spectrum!$P:$P,MATCH(RIGHT($B115,13)&amp;"|"&amp;$C115&amp;"|"&amp;$D115&amp;"|"&amp;H$14&amp;"|"&amp;"CY2021Q3",Spectrum!$Q:$Q,0)),"")</f>
        <v>50</v>
      </c>
      <c r="J115" s="117" t="n">
        <f aca="false">_xlfn.IFNA(INDEX(Spectrum!$N:$N,MATCH(RIGHT($B115,13)&amp;"|"&amp;$C115&amp;"|"&amp;$D115&amp;"|"&amp;J$14&amp;"|"&amp;"CY2021Q3",Spectrum!$Q:$Q,0)),"")</f>
        <v>0.0164776</v>
      </c>
      <c r="K115" s="123" t="n">
        <f aca="false">_xlfn.IFNA(INDEX(Spectrum!$P:$P,MATCH(RIGHT($B115,13)&amp;"|"&amp;$C115&amp;"|"&amp;$D115&amp;"|"&amp;J$14&amp;"|"&amp;"CY2021Q3",Spectrum!$Q:$Q,0)),"")</f>
        <v>17</v>
      </c>
      <c r="L115" s="115" t="n">
        <f aca="false">_xlfn.IFNA(ROUND(INDEX(Spectrum!$N:$N,MATCH(RIGHT($B115,13)&amp;"|"&amp;$C115&amp;"|"&amp;$D115&amp;"|"&amp;L$14&amp;"|"&amp;"CY2021Q3",Spectrum!$Q:$Q,0)),0),"")</f>
        <v>91</v>
      </c>
      <c r="M115" s="123" t="n">
        <f aca="false">IF(OR(SUM($H115)&lt;=0,SUM($L115)&lt;=0),"",SUM($L115)/$H115)</f>
        <v>0.590909090909091</v>
      </c>
      <c r="N115" s="115" t="str">
        <f aca="false">_xlfn.IFNA(ROUND(INDEX(Spectrum!$N:$N,MATCH(RIGHT($B115,13)&amp;"|"&amp;$C115&amp;"|"&amp;$D115&amp;"|"&amp;N$14&amp;"|"&amp;"CY2020Q4",Spectrum!$Q:$Q,0)),0),"")</f>
        <v/>
      </c>
      <c r="O115" s="123" t="str">
        <f aca="false">_xlfn.IFNA(INDEX(Spectrum!$P:$P,MATCH(RIGHT($B115,13)&amp;"|"&amp;$C115&amp;"|"&amp;$D115&amp;"|"&amp;N$14&amp;"|"&amp;"CY2020Q4",Spectrum!$Q:$Q,0)),"")</f>
        <v/>
      </c>
      <c r="P115" s="115" t="n">
        <f aca="false">_xlfn.IFNA(ROUND(INDEX(Spectrum!$N:$N,MATCH(RIGHT($B115,13)&amp;"|"&amp;$C115&amp;"|"&amp;$D115&amp;"|"&amp;P$14&amp;"|"&amp;"CY2021Q3",Spectrum!$Q:$Q,0)),0),"")</f>
        <v>96</v>
      </c>
      <c r="Q115" s="123" t="n">
        <f aca="false">_xlfn.IFNA(INDEX(Spectrum!$P:$P,MATCH(RIGHT($B115,13)&amp;"|"&amp;$C115&amp;"|"&amp;$D115&amp;"|"&amp;P$14&amp;"|"&amp;"CY2021Q3",Spectrum!$Q:$Q,0)),"")</f>
        <v>5</v>
      </c>
      <c r="R115" s="115"/>
      <c r="S115" s="123" t="str">
        <f aca="false">IF(OR(SUM($P115)&lt;=0,SUM($R115)&lt;=0),"",SUM($R115)/$P115)</f>
        <v/>
      </c>
      <c r="T115" s="139" t="n">
        <v>48</v>
      </c>
      <c r="U115" s="124" t="n">
        <v>21</v>
      </c>
      <c r="V115" s="124" t="n">
        <f aca="false">IF($U115-$T115=0,"",$U115-$T115)</f>
        <v>-27</v>
      </c>
      <c r="W115" s="123" t="n">
        <f aca="false">IF(LEFT($B115,4)="_Mil","",IFERROR(MIN(IF(SUM($N115)&lt;=0,SUM($U115)/SUM($P115),SUM($T115)/SUM($N115)),1),""))</f>
        <v>0.21875</v>
      </c>
      <c r="X115" s="123" t="n">
        <f aca="false">$W115</f>
        <v>0.21875</v>
      </c>
      <c r="Y115" s="123" t="n">
        <f aca="false">IFERROR(1/(1/INDEX(Spectrum!$N:$N,MATCH(RIGHT($B115,13)&amp;"|"&amp;$C115&amp;"|"&amp;$D115&amp;"|"&amp;Y$14&amp;"|"&amp;"CY2021Q3",Spectrum!$Q:$Q,0))),IF(SUM($H115)=0,"",MAX(SUM($P115),SUM($U115))/SUM($H115)))</f>
        <v>0.623376623376623</v>
      </c>
      <c r="Z115" s="123" t="n">
        <f aca="false">IF(SUM($Y115)=0,"",MAX(SUM($Y115),90%))</f>
        <v>0.9</v>
      </c>
      <c r="AA115" s="115" t="n">
        <f aca="false">IF(LEFT($B115,4)="_Mil","",ROUND(MAX(SUM($U115),SUM($P115))+IF(SUM($Z115)=0,0,MAX(SUM($Z115)-SUM($Y115),0)*SUM($H115)),0))</f>
        <v>139</v>
      </c>
      <c r="AB115" s="115" t="n">
        <f aca="false">IF(SUM($AA115)=0,"",ROUND(MAX(SUM($AA115)-MAX(SUM($P115),SUM($U115)),0),0))</f>
        <v>43</v>
      </c>
      <c r="AC115" s="126" t="str">
        <f aca="false">IF($C115="&lt;01",IFERROR(ROUND(INDEX(EID!$N:$N,MATCH($B115,EID!$B:$B,0))/2,0),""),"")</f>
        <v/>
      </c>
      <c r="AD115" s="115" t="n">
        <f aca="false">IF($C115="&lt;01",IF(SUM($AC115)=0,"",ROUND(SUM($AC115)/$AG115,0)),IF(SUM($AB115)=0,"",ROUND(MAX($X115,0)*SUM($AB115),0)))</f>
        <v>9</v>
      </c>
      <c r="AE115" s="115" t="n">
        <f aca="false">IF(AND(SUM($AD115)=0,SUM($U115)=0),"",ROUND(IF($C115="&lt;01",0,SUM($U115))+SUM($AD115),0))</f>
        <v>30</v>
      </c>
      <c r="AF115" s="122" t="n">
        <f aca="false">IF($C115="&lt;01","",100%)</f>
        <v>1</v>
      </c>
      <c r="AG115" s="123" t="n">
        <f aca="false">0.98</f>
        <v>0.98</v>
      </c>
      <c r="AH115" s="123" t="n">
        <f aca="false">0.98</f>
        <v>0.98</v>
      </c>
      <c r="AI115" s="124" t="n">
        <f aca="false">IF(OR($C115="&lt;01",SUM($U115)=0),"",ROUND(SUM($U115)*(1-$AH115),0))</f>
        <v>0</v>
      </c>
      <c r="AJ115" s="124" t="n">
        <f aca="false">IF(AND(SUM($AE115)=0,SUM($U115)=0),"",IF($C115="&lt;01",SUM($AD115),SUM($AE115) - ROUND(SUM($U115)*$AH115,0)))</f>
        <v>9</v>
      </c>
      <c r="AK115" s="124" t="n">
        <v>24</v>
      </c>
      <c r="AL115" s="124" t="n">
        <v>6</v>
      </c>
      <c r="AM115" s="115" t="n">
        <f aca="false">IF(AND(SUM($AD115)=0,SUM($U115)=0),"",IF($C115="&lt;01",SUM($AD115),ROUND(ROUND(SUM($AJ115)*$AF115,0)/$AG115,0)))</f>
        <v>9</v>
      </c>
      <c r="AN115" s="122" t="n">
        <f aca="false">0.7</f>
        <v>0.7</v>
      </c>
      <c r="AO115" s="123" t="n">
        <f aca="false">1</f>
        <v>1</v>
      </c>
      <c r="AP115" s="115" t="n">
        <f aca="false">IF(AND(SUM($U115)=0,SUM($AM115)=0),"",ROUND((SUM($AM115)*$AN115+IF($C115="&lt;01",0,$U115))*$AO115,0))</f>
        <v>27</v>
      </c>
      <c r="AQ115" s="122" t="n">
        <v>42</v>
      </c>
      <c r="AR115" s="123" t="n">
        <f aca="false">0.95</f>
        <v>0.95</v>
      </c>
      <c r="AS115" s="123" t="n">
        <f aca="false">0.95</f>
        <v>0.95</v>
      </c>
      <c r="AT115" s="115" t="n">
        <f aca="false">IF(SUM($AP115)=0,"",ROUND(SUM($AP115)*$AR115,0))</f>
        <v>26</v>
      </c>
      <c r="AU115" s="115" t="n">
        <f aca="false">IF(LEFT($B115,4)="_Mil","",ROUND(SUM($AA115)*SUM($AS115),0))</f>
        <v>132</v>
      </c>
      <c r="AV115" s="124" t="n">
        <f aca="false">IF(SUM($AU115)&lt;=0,"",MAX(SUM($AU115)-SUM($R115),0))</f>
        <v>132</v>
      </c>
      <c r="AW115" s="122" t="n">
        <f aca="false">0</f>
        <v>0</v>
      </c>
      <c r="AX115" s="124" t="n">
        <f aca="false">IF(SUM($AM115)=0,"",ROUND(SUM($AM115)*SUM($AW115),0))</f>
        <v>0</v>
      </c>
      <c r="AY115" s="124" t="n">
        <f aca="false">IF(SUM($AM115)=0,"",SUM($AM115)-SUM($AX115))</f>
        <v>9</v>
      </c>
      <c r="AZ115" s="123" t="n">
        <v>26</v>
      </c>
      <c r="BA115" s="123" t="n">
        <f aca="false">0.95</f>
        <v>0.95</v>
      </c>
      <c r="BB115" s="123"/>
      <c r="BC115" s="123" t="n">
        <f aca="false">IF(OR(SUM($AM115)&lt;=0,$C115="&lt;01"),"",MAX(IF(OR(SUM($Y115)&lt;70%,LEFT($B115,4)="_Mil"),30%,IF(SUM($Y115)&gt;=80%,75%,50%)),SUM($BB115)))</f>
        <v>0.3</v>
      </c>
      <c r="BD115" s="115" t="n">
        <f aca="false">IF($C115="&lt;01",IFERROR(ROUND(INDEX(EID!$M:$M,MATCH($B115,EID!$B:$B,0)),0)/2,""),IF(SUM($AY115)=0,"",ROUND(SUM($AY115)/SUM($BA115),0)))</f>
        <v>9</v>
      </c>
      <c r="BE115" s="115" t="n">
        <f aca="false">IF($C115="&lt;01","",IF(SUM($BD115)=0,"",ROUND(SUM($BD115)*SUM($BC115),0)))</f>
        <v>3</v>
      </c>
      <c r="BF115" s="115" t="str">
        <f aca="false">_xlfn.IFNA(INDEX(PMTCT!$AE:$AE,MATCH($E115,PMTCT!$E:$E,0)),"")</f>
        <v/>
      </c>
      <c r="BG115" s="115" t="str">
        <f aca="false">_xlfn.IFNA(INDEX(PMTCT!$AU:$AU,MATCH($E115,PMTCT!$E:$E,0)),"")</f>
        <v/>
      </c>
      <c r="BH115" s="115" t="n">
        <f aca="false">_xlfn.IFNA(INDEX(TB!$Q:$Q,MATCH($E115,TB!$E:$E,0)),"")</f>
        <v>-37324</v>
      </c>
      <c r="BI115" s="115" t="str">
        <f aca="false">_xlfn.IFNA(INDEX(VMMC!$AC:$AC,MATCH($E115,VMMC!$E:$E,0)),"")</f>
        <v/>
      </c>
      <c r="BJ115" s="115" t="str">
        <f aca="false">IF($C115="&lt;01",$BD115,"")</f>
        <v/>
      </c>
      <c r="BK115" s="115" t="n">
        <f aca="false">IF(SUM($BD115)=0,"",($BD115)-SUM($BE115:$BJ115))</f>
        <v>37330</v>
      </c>
      <c r="BL115" s="123" t="n">
        <f aca="false">IF(OR(SUM($BD115)=0,SUM($BE115)=0),"",SUM($BE115)/$BD115)</f>
        <v>0.333333333333333</v>
      </c>
      <c r="BM115" s="123" t="str">
        <f aca="false">IF(OR(SUM($BD115)=0,SUM($BF115)=0),"",SUM($BF115)/$BD115)</f>
        <v/>
      </c>
      <c r="BN115" s="123" t="str">
        <f aca="false">IF(OR(SUM($BD115)=0,SUM($BG115)=0),"",SUM($BG115)/$BD115)</f>
        <v/>
      </c>
      <c r="BO115" s="123" t="n">
        <f aca="false">IF(OR(SUM($BD115)=0,SUM($BH115)=0),"",SUM($BH115)/$BD115)</f>
        <v>-4147.11111111111</v>
      </c>
      <c r="BP115" s="123" t="str">
        <f aca="false">IF(OR(SUM($BD115)=0,SUM($BI115)=0),"",SUM($BI115)/$BD115)</f>
        <v/>
      </c>
      <c r="BQ115" s="123" t="str">
        <f aca="false">IF(AND($C115="&lt;01",SUM($BJ115)&lt;&gt;0),$BJ115/SUM($BD115),"")</f>
        <v/>
      </c>
      <c r="BR115" s="123" t="n">
        <f aca="false">IF(OR(SUM($BD115)=0,SUM($BK115)=0),"",SUM($BK115)/$BD115)</f>
        <v>4147.77777777778</v>
      </c>
      <c r="BS115" s="122" t="n">
        <f aca="false">IF(SUM($X115)&lt;=0,"",$X115)</f>
        <v>0.21875</v>
      </c>
      <c r="BT115" s="115" t="n">
        <f aca="false">IF(LEFT($B115,4)="_Mil","",MAX(SUM($L115)+ROUND(SUM($BD115)/IF(SUM($BS115)&lt;=0,1,SUM($BS115)),0),0))</f>
        <v>132</v>
      </c>
    </row>
    <row r="116" customFormat="false" ht="15" hidden="false" customHeight="false" outlineLevel="0" collapsed="false">
      <c r="A116" s="0" t="s">
        <v>145</v>
      </c>
      <c r="B116" s="0" t="s">
        <v>107</v>
      </c>
      <c r="C116" s="0" t="s">
        <v>83</v>
      </c>
      <c r="D116" s="0" t="s">
        <v>58</v>
      </c>
      <c r="E116" s="0" t="str">
        <f aca="false">B116&amp;"|"&amp;C116&amp;"|"&amp;D116</f>
        <v>Mafeteng [#SNU] [#DREAMS] [DiFv5WXIHM5]|05-09|Male</v>
      </c>
      <c r="F116" s="115" t="n">
        <f aca="false">_xlfn.IFNA(ROUND(INDEX(Spectrum!$N:$N,MATCH(RIGHT($B116,13)&amp;"|"&amp;$C116&amp;"|"&amp;$D116&amp;"|"&amp;F$14&amp;"|"&amp;"CY2021Q3",Spectrum!$Q:$Q,0)),0),"")</f>
        <v>9187</v>
      </c>
      <c r="G116" s="123" t="n">
        <f aca="false">_xlfn.IFNA(INDEX(Spectrum!$P:$P,MATCH(RIGHT($B116,13)&amp;"|"&amp;$C116&amp;"|"&amp;$D116&amp;"|"&amp;F$14&amp;"|"&amp;"CY2021Q3",Spectrum!$Q:$Q,0)),"")</f>
        <v>50</v>
      </c>
      <c r="H116" s="115" t="n">
        <f aca="false">_xlfn.IFNA(ROUND(INDEX(Spectrum!$N:$N,MATCH(RIGHT($B116,13)&amp;"|"&amp;$C116&amp;"|"&amp;$D116&amp;"|"&amp;H$14&amp;"|"&amp;"CY2021Q3",Spectrum!$Q:$Q,0)),0),"")</f>
        <v>152</v>
      </c>
      <c r="I116" s="123" t="n">
        <f aca="false">_xlfn.IFNA(INDEX(Spectrum!$P:$P,MATCH(RIGHT($B116,13)&amp;"|"&amp;$C116&amp;"|"&amp;$D116&amp;"|"&amp;H$14&amp;"|"&amp;"CY2021Q3",Spectrum!$Q:$Q,0)),"")</f>
        <v>10</v>
      </c>
      <c r="J116" s="117" t="n">
        <f aca="false">_xlfn.IFNA(INDEX(Spectrum!$N:$N,MATCH(RIGHT($B116,13)&amp;"|"&amp;$C116&amp;"|"&amp;$D116&amp;"|"&amp;J$14&amp;"|"&amp;"CY2021Q3",Spectrum!$Q:$Q,0)),"")</f>
        <v>0.0165325</v>
      </c>
      <c r="K116" s="123" t="n">
        <f aca="false">_xlfn.IFNA(INDEX(Spectrum!$P:$P,MATCH(RIGHT($B116,13)&amp;"|"&amp;$C116&amp;"|"&amp;$D116&amp;"|"&amp;J$14&amp;"|"&amp;"CY2021Q3",Spectrum!$Q:$Q,0)),"")</f>
        <v>6</v>
      </c>
      <c r="L116" s="115" t="n">
        <f aca="false">_xlfn.IFNA(ROUND(INDEX(Spectrum!$N:$N,MATCH(RIGHT($B116,13)&amp;"|"&amp;$C116&amp;"|"&amp;$D116&amp;"|"&amp;L$14&amp;"|"&amp;"CY2021Q3",Spectrum!$Q:$Q,0)),0),"")</f>
        <v>94</v>
      </c>
      <c r="M116" s="123" t="n">
        <f aca="false">IF(OR(SUM($H116)&lt;=0,SUM($L116)&lt;=0),"",SUM($L116)/$H116)</f>
        <v>0.618421052631579</v>
      </c>
      <c r="N116" s="115" t="str">
        <f aca="false">_xlfn.IFNA(ROUND(INDEX(Spectrum!$N:$N,MATCH(RIGHT($B116,13)&amp;"|"&amp;$C116&amp;"|"&amp;$D116&amp;"|"&amp;N$14&amp;"|"&amp;"CY2020Q4",Spectrum!$Q:$Q,0)),0),"")</f>
        <v/>
      </c>
      <c r="O116" s="123" t="str">
        <f aca="false">_xlfn.IFNA(INDEX(Spectrum!$P:$P,MATCH(RIGHT($B116,13)&amp;"|"&amp;$C116&amp;"|"&amp;$D116&amp;"|"&amp;N$14&amp;"|"&amp;"CY2020Q4",Spectrum!$Q:$Q,0)),"")</f>
        <v/>
      </c>
      <c r="P116" s="115" t="n">
        <f aca="false">_xlfn.IFNA(ROUND(INDEX(Spectrum!$N:$N,MATCH(RIGHT($B116,13)&amp;"|"&amp;$C116&amp;"|"&amp;$D116&amp;"|"&amp;P$14&amp;"|"&amp;"CY2021Q3",Spectrum!$Q:$Q,0)),0),"")</f>
        <v>100</v>
      </c>
      <c r="Q116" s="123" t="n">
        <f aca="false">_xlfn.IFNA(INDEX(Spectrum!$P:$P,MATCH(RIGHT($B116,13)&amp;"|"&amp;$C116&amp;"|"&amp;$D116&amp;"|"&amp;P$14&amp;"|"&amp;"CY2021Q3",Spectrum!$Q:$Q,0)),"")</f>
        <v>27</v>
      </c>
      <c r="R116" s="115"/>
      <c r="S116" s="123" t="str">
        <f aca="false">IF(OR(SUM($P116)&lt;=0,SUM($R116)&lt;=0),"",SUM($R116)/$P116)</f>
        <v/>
      </c>
      <c r="T116" s="139" t="n">
        <v>4</v>
      </c>
      <c r="U116" s="124" t="n">
        <v>2</v>
      </c>
      <c r="V116" s="124" t="n">
        <f aca="false">IF($U116-$T116=0,"",$U116-$T116)</f>
        <v>-2</v>
      </c>
      <c r="W116" s="123" t="n">
        <f aca="false">IF(LEFT($B116,4)="_Mil","",IFERROR(MIN(IF(SUM($N116)&lt;=0,SUM($U116)/SUM($P116),SUM($T116)/SUM($N116)),1),""))</f>
        <v>0.02</v>
      </c>
      <c r="X116" s="123" t="n">
        <f aca="false">$W116</f>
        <v>0.02</v>
      </c>
      <c r="Y116" s="123" t="n">
        <f aca="false">IFERROR(1/(1/INDEX(Spectrum!$N:$N,MATCH(RIGHT($B116,13)&amp;"|"&amp;$C116&amp;"|"&amp;$D116&amp;"|"&amp;Y$14&amp;"|"&amp;"CY2021Q3",Spectrum!$Q:$Q,0))),IF(SUM($H116)=0,"",MAX(SUM($P116),SUM($U116))/SUM($H116)))</f>
        <v>0.657894736842105</v>
      </c>
      <c r="Z116" s="123" t="n">
        <f aca="false">IF(SUM($Y116)=0,"",MAX(SUM($Y116),90%))</f>
        <v>0.9</v>
      </c>
      <c r="AA116" s="115" t="n">
        <f aca="false">IF(LEFT($B116,4)="_Mil","",ROUND(MAX(SUM($U116),SUM($P116))+IF(SUM($Z116)=0,0,MAX(SUM($Z116)-SUM($Y116),0)*SUM($H116)),0))</f>
        <v>137</v>
      </c>
      <c r="AB116" s="115" t="n">
        <f aca="false">IF(SUM($AA116)=0,"",ROUND(MAX(SUM($AA116)-MAX(SUM($P116),SUM($U116)),0),0))</f>
        <v>37</v>
      </c>
      <c r="AC116" s="126" t="str">
        <f aca="false">IF($C116="&lt;01",IFERROR(ROUND(INDEX(EID!$N:$N,MATCH($B116,EID!$B:$B,0))/2,0),""),"")</f>
        <v/>
      </c>
      <c r="AD116" s="115" t="n">
        <f aca="false">IF($C116="&lt;01",IF(SUM($AC116)=0,"",ROUND(SUM($AC116)/$AG116,0)),IF(SUM($AB116)=0,"",ROUND(MAX($X116,0)*SUM($AB116),0)))</f>
        <v>1</v>
      </c>
      <c r="AE116" s="115" t="n">
        <f aca="false">IF(AND(SUM($AD116)=0,SUM($U116)=0),"",ROUND(IF($C116="&lt;01",0,SUM($U116))+SUM($AD116),0))</f>
        <v>3</v>
      </c>
      <c r="AF116" s="122" t="n">
        <f aca="false">IF($C116="&lt;01","",100%)</f>
        <v>1</v>
      </c>
      <c r="AG116" s="123" t="n">
        <f aca="false">0.98</f>
        <v>0.98</v>
      </c>
      <c r="AH116" s="123" t="n">
        <f aca="false">0.98</f>
        <v>0.98</v>
      </c>
      <c r="AI116" s="124" t="n">
        <f aca="false">IF(OR($C116="&lt;01",SUM($U116)=0),"",ROUND(SUM($U116)*(1-$AH116),0))</f>
        <v>0</v>
      </c>
      <c r="AJ116" s="124" t="n">
        <f aca="false">IF(AND(SUM($AE116)=0,SUM($U116)=0),"",IF($C116="&lt;01",SUM($AD116),SUM($AE116) - ROUND(SUM($U116)*$AH116,0)))</f>
        <v>1</v>
      </c>
      <c r="AK116" s="124" t="n">
        <v>7</v>
      </c>
      <c r="AL116" s="124" t="n">
        <v>13</v>
      </c>
      <c r="AM116" s="115" t="n">
        <f aca="false">IF(AND(SUM($AD116)=0,SUM($U116)=0),"",IF($C116="&lt;01",SUM($AD116),ROUND(ROUND(SUM($AJ116)*$AF116,0)/$AG116,0)))</f>
        <v>1</v>
      </c>
      <c r="AN116" s="122" t="n">
        <f aca="false">0.7</f>
        <v>0.7</v>
      </c>
      <c r="AO116" s="123" t="n">
        <f aca="false">1</f>
        <v>1</v>
      </c>
      <c r="AP116" s="115" t="n">
        <f aca="false">IF(AND(SUM($U116)=0,SUM($AM116)=0),"",ROUND((SUM($AM116)*$AN116+IF($C116="&lt;01",0,$U116))*$AO116,0))</f>
        <v>3</v>
      </c>
      <c r="AQ116" s="122" t="n">
        <v>25</v>
      </c>
      <c r="AR116" s="123" t="n">
        <f aca="false">0.95</f>
        <v>0.95</v>
      </c>
      <c r="AS116" s="123" t="n">
        <f aca="false">0.95</f>
        <v>0.95</v>
      </c>
      <c r="AT116" s="115" t="n">
        <f aca="false">IF(SUM($AP116)=0,"",ROUND(SUM($AP116)*$AR116,0))</f>
        <v>3</v>
      </c>
      <c r="AU116" s="115" t="n">
        <f aca="false">IF(LEFT($B116,4)="_Mil","",ROUND(SUM($AA116)*SUM($AS116),0))</f>
        <v>130</v>
      </c>
      <c r="AV116" s="124" t="n">
        <f aca="false">IF(SUM($AU116)&lt;=0,"",MAX(SUM($AU116)-SUM($R116),0))</f>
        <v>130</v>
      </c>
      <c r="AW116" s="122" t="n">
        <f aca="false">0</f>
        <v>0</v>
      </c>
      <c r="AX116" s="124" t="n">
        <f aca="false">IF(SUM($AM116)=0,"",ROUND(SUM($AM116)*SUM($AW116),0))</f>
        <v>0</v>
      </c>
      <c r="AY116" s="124" t="n">
        <f aca="false">IF(SUM($AM116)=0,"",SUM($AM116)-SUM($AX116))</f>
        <v>1</v>
      </c>
      <c r="AZ116" s="123" t="n">
        <v>28</v>
      </c>
      <c r="BA116" s="123" t="n">
        <f aca="false">0.95</f>
        <v>0.95</v>
      </c>
      <c r="BB116" s="123"/>
      <c r="BC116" s="123" t="n">
        <f aca="false">IF(OR(SUM($AM116)&lt;=0,$C116="&lt;01"),"",MAX(IF(OR(SUM($Y116)&lt;70%,LEFT($B116,4)="_Mil"),30%,IF(SUM($Y116)&gt;=80%,75%,50%)),SUM($BB116)))</f>
        <v>0.3</v>
      </c>
      <c r="BD116" s="115" t="n">
        <f aca="false">IF($C116="&lt;01",IFERROR(ROUND(INDEX(EID!$M:$M,MATCH($B116,EID!$B:$B,0)),0)/2,""),IF(SUM($AY116)=0,"",ROUND(SUM($AY116)/SUM($BA116),0)))</f>
        <v>1</v>
      </c>
      <c r="BE116" s="115" t="n">
        <f aca="false">IF($C116="&lt;01","",IF(SUM($BD116)=0,"",ROUND(SUM($BD116)*SUM($BC116),0)))</f>
        <v>0</v>
      </c>
      <c r="BF116" s="115" t="str">
        <f aca="false">_xlfn.IFNA(INDEX(PMTCT!$AE:$AE,MATCH($E116,PMTCT!$E:$E,0)),"")</f>
        <v/>
      </c>
      <c r="BG116" s="115" t="str">
        <f aca="false">_xlfn.IFNA(INDEX(PMTCT!$AU:$AU,MATCH($E116,PMTCT!$E:$E,0)),"")</f>
        <v/>
      </c>
      <c r="BH116" s="115" t="n">
        <f aca="false">_xlfn.IFNA(INDEX(TB!$Q:$Q,MATCH($E116,TB!$E:$E,0)),"")</f>
        <v>-0</v>
      </c>
      <c r="BI116" s="115" t="str">
        <f aca="false">_xlfn.IFNA(INDEX(VMMC!$AC:$AC,MATCH($E116,VMMC!$E:$E,0)),"")</f>
        <v/>
      </c>
      <c r="BJ116" s="115" t="str">
        <f aca="false">IF($C116="&lt;01",$BD116,"")</f>
        <v/>
      </c>
      <c r="BK116" s="115" t="n">
        <f aca="false">IF(SUM($BD116)=0,"",($BD116)-SUM($BE116:$BJ116))</f>
        <v>1</v>
      </c>
      <c r="BL116" s="123" t="str">
        <f aca="false">IF(OR(SUM($BD116)=0,SUM($BE116)=0),"",SUM($BE116)/$BD116)</f>
        <v/>
      </c>
      <c r="BM116" s="123" t="str">
        <f aca="false">IF(OR(SUM($BD116)=0,SUM($BF116)=0),"",SUM($BF116)/$BD116)</f>
        <v/>
      </c>
      <c r="BN116" s="123" t="str">
        <f aca="false">IF(OR(SUM($BD116)=0,SUM($BG116)=0),"",SUM($BG116)/$BD116)</f>
        <v/>
      </c>
      <c r="BO116" s="123" t="str">
        <f aca="false">IF(OR(SUM($BD116)=0,SUM($BH116)=0),"",SUM($BH116)/$BD116)</f>
        <v/>
      </c>
      <c r="BP116" s="123" t="str">
        <f aca="false">IF(OR(SUM($BD116)=0,SUM($BI116)=0),"",SUM($BI116)/$BD116)</f>
        <v/>
      </c>
      <c r="BQ116" s="123" t="str">
        <f aca="false">IF(AND($C116="&lt;01",SUM($BJ116)&lt;&gt;0),$BJ116/SUM($BD116),"")</f>
        <v/>
      </c>
      <c r="BR116" s="123" t="n">
        <f aca="false">IF(OR(SUM($BD116)=0,SUM($BK116)=0),"",SUM($BK116)/$BD116)</f>
        <v>1</v>
      </c>
      <c r="BS116" s="122" t="n">
        <f aca="false">IF(SUM($X116)&lt;=0,"",$X116)</f>
        <v>0.02</v>
      </c>
      <c r="BT116" s="115" t="n">
        <f aca="false">IF(LEFT($B116,4)="_Mil","",MAX(SUM($L116)+ROUND(SUM($BD116)/IF(SUM($BS116)&lt;=0,1,SUM($BS116)),0),0))</f>
        <v>144</v>
      </c>
    </row>
    <row r="117" customFormat="false" ht="15" hidden="false" customHeight="false" outlineLevel="0" collapsed="false">
      <c r="A117" s="0" t="s">
        <v>145</v>
      </c>
      <c r="B117" s="0" t="s">
        <v>107</v>
      </c>
      <c r="C117" s="0" t="s">
        <v>61</v>
      </c>
      <c r="D117" s="0" t="s">
        <v>56</v>
      </c>
      <c r="E117" s="0" t="str">
        <f aca="false">B117&amp;"|"&amp;C117&amp;"|"&amp;D117</f>
        <v>Mafeteng [#SNU] [#DREAMS] [DiFv5WXIHM5]|10-14|Female</v>
      </c>
      <c r="F117" s="115" t="n">
        <f aca="false">_xlfn.IFNA(ROUND(INDEX(Spectrum!$N:$N,MATCH(RIGHT($B117,13)&amp;"|"&amp;$C117&amp;"|"&amp;$D117&amp;"|"&amp;F$14&amp;"|"&amp;"CY2021Q3",Spectrum!$Q:$Q,0)),0),"")</f>
        <v>9021</v>
      </c>
      <c r="G117" s="123" t="n">
        <f aca="false">_xlfn.IFNA(INDEX(Spectrum!$P:$P,MATCH(RIGHT($B117,13)&amp;"|"&amp;$C117&amp;"|"&amp;$D117&amp;"|"&amp;F$14&amp;"|"&amp;"CY2021Q3",Spectrum!$Q:$Q,0)),"")</f>
        <v>22</v>
      </c>
      <c r="H117" s="115" t="n">
        <f aca="false">_xlfn.IFNA(ROUND(INDEX(Spectrum!$N:$N,MATCH(RIGHT($B117,13)&amp;"|"&amp;$C117&amp;"|"&amp;$D117&amp;"|"&amp;H$14&amp;"|"&amp;"CY2021Q3",Spectrum!$Q:$Q,0)),0),"")</f>
        <v>247</v>
      </c>
      <c r="I117" s="123" t="n">
        <f aca="false">_xlfn.IFNA(INDEX(Spectrum!$P:$P,MATCH(RIGHT($B117,13)&amp;"|"&amp;$C117&amp;"|"&amp;$D117&amp;"|"&amp;H$14&amp;"|"&amp;"CY2021Q3",Spectrum!$Q:$Q,0)),"")</f>
        <v>31</v>
      </c>
      <c r="J117" s="117" t="n">
        <f aca="false">_xlfn.IFNA(INDEX(Spectrum!$N:$N,MATCH(RIGHT($B117,13)&amp;"|"&amp;$C117&amp;"|"&amp;$D117&amp;"|"&amp;J$14&amp;"|"&amp;"CY2021Q3",Spectrum!$Q:$Q,0)),"")</f>
        <v>0.027385</v>
      </c>
      <c r="K117" s="123" t="n">
        <f aca="false">_xlfn.IFNA(INDEX(Spectrum!$P:$P,MATCH(RIGHT($B117,13)&amp;"|"&amp;$C117&amp;"|"&amp;$D117&amp;"|"&amp;J$14&amp;"|"&amp;"CY2021Q3",Spectrum!$Q:$Q,0)),"")</f>
        <v>13</v>
      </c>
      <c r="L117" s="115" t="n">
        <f aca="false">_xlfn.IFNA(ROUND(INDEX(Spectrum!$N:$N,MATCH(RIGHT($B117,13)&amp;"|"&amp;$C117&amp;"|"&amp;$D117&amp;"|"&amp;L$14&amp;"|"&amp;"CY2021Q3",Spectrum!$Q:$Q,0)),0),"")</f>
        <v>178</v>
      </c>
      <c r="M117" s="123" t="n">
        <f aca="false">IF(OR(SUM($H117)&lt;=0,SUM($L117)&lt;=0),"",SUM($L117)/$H117)</f>
        <v>0.720647773279352</v>
      </c>
      <c r="N117" s="115" t="str">
        <f aca="false">_xlfn.IFNA(ROUND(INDEX(Spectrum!$N:$N,MATCH(RIGHT($B117,13)&amp;"|"&amp;$C117&amp;"|"&amp;$D117&amp;"|"&amp;N$14&amp;"|"&amp;"CY2020Q4",Spectrum!$Q:$Q,0)),0),"")</f>
        <v/>
      </c>
      <c r="O117" s="123" t="str">
        <f aca="false">_xlfn.IFNA(INDEX(Spectrum!$P:$P,MATCH(RIGHT($B117,13)&amp;"|"&amp;$C117&amp;"|"&amp;$D117&amp;"|"&amp;N$14&amp;"|"&amp;"CY2020Q4",Spectrum!$Q:$Q,0)),"")</f>
        <v/>
      </c>
      <c r="P117" s="115" t="n">
        <f aca="false">_xlfn.IFNA(ROUND(INDEX(Spectrum!$N:$N,MATCH(RIGHT($B117,13)&amp;"|"&amp;$C117&amp;"|"&amp;$D117&amp;"|"&amp;P$14&amp;"|"&amp;"CY2021Q3",Spectrum!$Q:$Q,0)),0),"")</f>
        <v>200</v>
      </c>
      <c r="Q117" s="123" t="n">
        <f aca="false">_xlfn.IFNA(INDEX(Spectrum!$P:$P,MATCH(RIGHT($B117,13)&amp;"|"&amp;$C117&amp;"|"&amp;$D117&amp;"|"&amp;P$14&amp;"|"&amp;"CY2021Q3",Spectrum!$Q:$Q,0)),"")</f>
        <v>21</v>
      </c>
      <c r="R117" s="115"/>
      <c r="S117" s="123" t="str">
        <f aca="false">IF(OR(SUM($P117)&lt;=0,SUM($R117)&lt;=0),"",SUM($R117)/$P117)</f>
        <v/>
      </c>
      <c r="T117" s="139" t="n">
        <v>49</v>
      </c>
      <c r="U117" s="124" t="n">
        <v>45</v>
      </c>
      <c r="V117" s="124" t="n">
        <f aca="false">IF($U117-$T117=0,"",$U117-$T117)</f>
        <v>-4</v>
      </c>
      <c r="W117" s="123" t="n">
        <f aca="false">IF(LEFT($B117,4)="_Mil","",IFERROR(MIN(IF(SUM($N117)&lt;=0,SUM($U117)/SUM($P117),SUM($T117)/SUM($N117)),1),""))</f>
        <v>0.225</v>
      </c>
      <c r="X117" s="123" t="n">
        <f aca="false">$W117</f>
        <v>0.225</v>
      </c>
      <c r="Y117" s="123" t="n">
        <f aca="false">IFERROR(1/(1/INDEX(Spectrum!$N:$N,MATCH(RIGHT($B117,13)&amp;"|"&amp;$C117&amp;"|"&amp;$D117&amp;"|"&amp;Y$14&amp;"|"&amp;"CY2021Q3",Spectrum!$Q:$Q,0))),IF(SUM($H117)=0,"",MAX(SUM($P117),SUM($U117))/SUM($H117)))</f>
        <v>0.809716599190283</v>
      </c>
      <c r="Z117" s="123" t="n">
        <f aca="false">IF(SUM($Y117)=0,"",MAX(SUM($Y117),90%))</f>
        <v>0.9</v>
      </c>
      <c r="AA117" s="115" t="n">
        <f aca="false">IF(LEFT($B117,4)="_Mil","",ROUND(MAX(SUM($U117),SUM($P117))+IF(SUM($Z117)=0,0,MAX(SUM($Z117)-SUM($Y117),0)*SUM($H117)),0))</f>
        <v>222</v>
      </c>
      <c r="AB117" s="115" t="n">
        <f aca="false">IF(SUM($AA117)=0,"",ROUND(MAX(SUM($AA117)-MAX(SUM($P117),SUM($U117)),0),0))</f>
        <v>22</v>
      </c>
      <c r="AC117" s="126" t="str">
        <f aca="false">IF($C117="&lt;01",IFERROR(ROUND(INDEX(EID!$N:$N,MATCH($B117,EID!$B:$B,0))/2,0),""),"")</f>
        <v/>
      </c>
      <c r="AD117" s="115" t="n">
        <f aca="false">IF($C117="&lt;01",IF(SUM($AC117)=0,"",ROUND(SUM($AC117)/$AG117,0)),IF(SUM($AB117)=0,"",ROUND(MAX($X117,0)*SUM($AB117),0)))</f>
        <v>5</v>
      </c>
      <c r="AE117" s="115" t="n">
        <f aca="false">IF(AND(SUM($AD117)=0,SUM($U117)=0),"",ROUND(IF($C117="&lt;01",0,SUM($U117))+SUM($AD117),0))</f>
        <v>50</v>
      </c>
      <c r="AF117" s="122" t="n">
        <f aca="false">IF($C117="&lt;01","",100%)</f>
        <v>1</v>
      </c>
      <c r="AG117" s="123" t="n">
        <f aca="false">0.98</f>
        <v>0.98</v>
      </c>
      <c r="AH117" s="123" t="n">
        <f aca="false">0.98</f>
        <v>0.98</v>
      </c>
      <c r="AI117" s="124" t="n">
        <f aca="false">IF(OR($C117="&lt;01",SUM($U117)=0),"",ROUND(SUM($U117)*(1-$AH117),0))</f>
        <v>1</v>
      </c>
      <c r="AJ117" s="124" t="n">
        <f aca="false">IF(AND(SUM($AE117)=0,SUM($U117)=0),"",IF($C117="&lt;01",SUM($AD117),SUM($AE117) - ROUND(SUM($U117)*$AH117,0)))</f>
        <v>6</v>
      </c>
      <c r="AK117" s="124" t="n">
        <v>38</v>
      </c>
      <c r="AL117" s="124" t="n">
        <v>21</v>
      </c>
      <c r="AM117" s="115" t="n">
        <f aca="false">IF(AND(SUM($AD117)=0,SUM($U117)=0),"",IF($C117="&lt;01",SUM($AD117),ROUND(ROUND(SUM($AJ117)*$AF117,0)/$AG117,0)))</f>
        <v>6</v>
      </c>
      <c r="AN117" s="122" t="n">
        <f aca="false">0.7</f>
        <v>0.7</v>
      </c>
      <c r="AO117" s="123" t="n">
        <f aca="false">1</f>
        <v>1</v>
      </c>
      <c r="AP117" s="115" t="n">
        <f aca="false">IF(AND(SUM($U117)=0,SUM($AM117)=0),"",ROUND((SUM($AM117)*$AN117+IF($C117="&lt;01",0,$U117))*$AO117,0))</f>
        <v>49</v>
      </c>
      <c r="AQ117" s="122" t="n">
        <v>0</v>
      </c>
      <c r="AR117" s="123" t="n">
        <f aca="false">0.95</f>
        <v>0.95</v>
      </c>
      <c r="AS117" s="123" t="n">
        <f aca="false">0.95</f>
        <v>0.95</v>
      </c>
      <c r="AT117" s="115" t="n">
        <f aca="false">IF(SUM($AP117)=0,"",ROUND(SUM($AP117)*$AR117,0))</f>
        <v>47</v>
      </c>
      <c r="AU117" s="115" t="n">
        <f aca="false">IF(LEFT($B117,4)="_Mil","",ROUND(SUM($AA117)*SUM($AS117),0))</f>
        <v>211</v>
      </c>
      <c r="AV117" s="124" t="n">
        <f aca="false">IF(SUM($AU117)&lt;=0,"",MAX(SUM($AU117)-SUM($R117),0))</f>
        <v>211</v>
      </c>
      <c r="AW117" s="122" t="n">
        <f aca="false">0</f>
        <v>0</v>
      </c>
      <c r="AX117" s="124" t="n">
        <f aca="false">IF(SUM($AM117)=0,"",ROUND(SUM($AM117)*SUM($AW117),0))</f>
        <v>0</v>
      </c>
      <c r="AY117" s="124" t="n">
        <f aca="false">IF(SUM($AM117)=0,"",SUM($AM117)-SUM($AX117))</f>
        <v>6</v>
      </c>
      <c r="AZ117" s="123" t="n">
        <v>26</v>
      </c>
      <c r="BA117" s="123" t="n">
        <f aca="false">0.95</f>
        <v>0.95</v>
      </c>
      <c r="BB117" s="123"/>
      <c r="BC117" s="123" t="n">
        <f aca="false">IF(OR(SUM($AM117)&lt;=0,$C117="&lt;01"),"",MAX(IF(OR(SUM($Y117)&lt;70%,LEFT($B117,4)="_Mil"),30%,IF(SUM($Y117)&gt;=80%,75%,50%)),SUM($BB117)))</f>
        <v>0.75</v>
      </c>
      <c r="BD117" s="115" t="n">
        <f aca="false">IF($C117="&lt;01",IFERROR(ROUND(INDEX(EID!$M:$M,MATCH($B117,EID!$B:$B,0)),0)/2,""),IF(SUM($AY117)=0,"",ROUND(SUM($AY117)/SUM($BA117),0)))</f>
        <v>6</v>
      </c>
      <c r="BE117" s="115" t="n">
        <f aca="false">IF($C117="&lt;01","",IF(SUM($BD117)=0,"",ROUND(SUM($BD117)*SUM($BC117),0)))</f>
        <v>5</v>
      </c>
      <c r="BF117" s="115" t="n">
        <f aca="false">_xlfn.IFNA(INDEX(PMTCT!$AE:$AE,MATCH($E117,PMTCT!$E:$E,0)),"")</f>
        <v>0</v>
      </c>
      <c r="BG117" s="115" t="n">
        <f aca="false">_xlfn.IFNA(INDEX(PMTCT!$AU:$AU,MATCH($E117,PMTCT!$E:$E,0)),"")</f>
        <v>0</v>
      </c>
      <c r="BH117" s="115" t="n">
        <f aca="false">_xlfn.IFNA(INDEX(TB!$Q:$Q,MATCH($E117,TB!$E:$E,0)),"")</f>
        <v>-0</v>
      </c>
      <c r="BI117" s="115" t="str">
        <f aca="false">_xlfn.IFNA(INDEX(VMMC!$AC:$AC,MATCH($E117,VMMC!$E:$E,0)),"")</f>
        <v/>
      </c>
      <c r="BJ117" s="115" t="str">
        <f aca="false">IF($C117="&lt;01",$BD117,"")</f>
        <v/>
      </c>
      <c r="BK117" s="115" t="n">
        <f aca="false">IF(SUM($BD117)=0,"",($BD117)-SUM($BE117:$BJ117))</f>
        <v>1</v>
      </c>
      <c r="BL117" s="123" t="n">
        <f aca="false">IF(OR(SUM($BD117)=0,SUM($BE117)=0),"",SUM($BE117)/$BD117)</f>
        <v>0.833333333333333</v>
      </c>
      <c r="BM117" s="123" t="str">
        <f aca="false">IF(OR(SUM($BD117)=0,SUM($BF117)=0),"",SUM($BF117)/$BD117)</f>
        <v/>
      </c>
      <c r="BN117" s="123" t="str">
        <f aca="false">IF(OR(SUM($BD117)=0,SUM($BG117)=0),"",SUM($BG117)/$BD117)</f>
        <v/>
      </c>
      <c r="BO117" s="123" t="str">
        <f aca="false">IF(OR(SUM($BD117)=0,SUM($BH117)=0),"",SUM($BH117)/$BD117)</f>
        <v/>
      </c>
      <c r="BP117" s="123" t="str">
        <f aca="false">IF(OR(SUM($BD117)=0,SUM($BI117)=0),"",SUM($BI117)/$BD117)</f>
        <v/>
      </c>
      <c r="BQ117" s="123" t="str">
        <f aca="false">IF(AND($C117="&lt;01",SUM($BJ117)&lt;&gt;0),$BJ117/SUM($BD117),"")</f>
        <v/>
      </c>
      <c r="BR117" s="123" t="n">
        <f aca="false">IF(OR(SUM($BD117)=0,SUM($BK117)=0),"",SUM($BK117)/$BD117)</f>
        <v>0.166666666666667</v>
      </c>
      <c r="BS117" s="122" t="n">
        <f aca="false">IF(SUM($X117)&lt;=0,"",$X117)</f>
        <v>0.225</v>
      </c>
      <c r="BT117" s="115" t="n">
        <f aca="false">IF(LEFT($B117,4)="_Mil","",MAX(SUM($L117)+ROUND(SUM($BD117)/IF(SUM($BS117)&lt;=0,1,SUM($BS117)),0),0))</f>
        <v>205</v>
      </c>
    </row>
    <row r="118" customFormat="false" ht="15" hidden="false" customHeight="false" outlineLevel="0" collapsed="false">
      <c r="A118" s="0" t="s">
        <v>145</v>
      </c>
      <c r="B118" s="0" t="s">
        <v>107</v>
      </c>
      <c r="C118" s="0" t="s">
        <v>61</v>
      </c>
      <c r="D118" s="0" t="s">
        <v>58</v>
      </c>
      <c r="E118" s="0" t="str">
        <f aca="false">B118&amp;"|"&amp;C118&amp;"|"&amp;D118</f>
        <v>Mafeteng [#SNU] [#DREAMS] [DiFv5WXIHM5]|10-14|Male</v>
      </c>
      <c r="F118" s="115" t="n">
        <f aca="false">_xlfn.IFNA(ROUND(INDEX(Spectrum!$N:$N,MATCH(RIGHT($B118,13)&amp;"|"&amp;$C118&amp;"|"&amp;$D118&amp;"|"&amp;F$14&amp;"|"&amp;"CY2021Q3",Spectrum!$Q:$Q,0)),0),"")</f>
        <v>9311</v>
      </c>
      <c r="G118" s="123" t="n">
        <f aca="false">_xlfn.IFNA(INDEX(Spectrum!$P:$P,MATCH(RIGHT($B118,13)&amp;"|"&amp;$C118&amp;"|"&amp;$D118&amp;"|"&amp;F$14&amp;"|"&amp;"CY2021Q3",Spectrum!$Q:$Q,0)),"")</f>
        <v>44</v>
      </c>
      <c r="H118" s="115" t="n">
        <f aca="false">_xlfn.IFNA(ROUND(INDEX(Spectrum!$N:$N,MATCH(RIGHT($B118,13)&amp;"|"&amp;$C118&amp;"|"&amp;$D118&amp;"|"&amp;H$14&amp;"|"&amp;"CY2021Q3",Spectrum!$Q:$Q,0)),0),"")</f>
        <v>256</v>
      </c>
      <c r="I118" s="123" t="n">
        <f aca="false">_xlfn.IFNA(INDEX(Spectrum!$P:$P,MATCH(RIGHT($B118,13)&amp;"|"&amp;$C118&amp;"|"&amp;$D118&amp;"|"&amp;H$14&amp;"|"&amp;"CY2021Q3",Spectrum!$Q:$Q,0)),"")</f>
        <v>47</v>
      </c>
      <c r="J118" s="117" t="n">
        <f aca="false">_xlfn.IFNA(INDEX(Spectrum!$N:$N,MATCH(RIGHT($B118,13)&amp;"|"&amp;$C118&amp;"|"&amp;$D118&amp;"|"&amp;J$14&amp;"|"&amp;"CY2021Q3",Spectrum!$Q:$Q,0)),"")</f>
        <v>0.0274997</v>
      </c>
      <c r="K118" s="123" t="n">
        <f aca="false">_xlfn.IFNA(INDEX(Spectrum!$P:$P,MATCH(RIGHT($B118,13)&amp;"|"&amp;$C118&amp;"|"&amp;$D118&amp;"|"&amp;J$14&amp;"|"&amp;"CY2021Q3",Spectrum!$Q:$Q,0)),"")</f>
        <v>9</v>
      </c>
      <c r="L118" s="115" t="n">
        <f aca="false">_xlfn.IFNA(ROUND(INDEX(Spectrum!$N:$N,MATCH(RIGHT($B118,13)&amp;"|"&amp;$C118&amp;"|"&amp;$D118&amp;"|"&amp;L$14&amp;"|"&amp;"CY2021Q3",Spectrum!$Q:$Q,0)),0),"")</f>
        <v>186</v>
      </c>
      <c r="M118" s="123" t="n">
        <f aca="false">IF(OR(SUM($H118)&lt;=0,SUM($L118)&lt;=0),"",SUM($L118)/$H118)</f>
        <v>0.7265625</v>
      </c>
      <c r="N118" s="115" t="str">
        <f aca="false">_xlfn.IFNA(ROUND(INDEX(Spectrum!$N:$N,MATCH(RIGHT($B118,13)&amp;"|"&amp;$C118&amp;"|"&amp;$D118&amp;"|"&amp;N$14&amp;"|"&amp;"CY2020Q4",Spectrum!$Q:$Q,0)),0),"")</f>
        <v/>
      </c>
      <c r="O118" s="123" t="str">
        <f aca="false">_xlfn.IFNA(INDEX(Spectrum!$P:$P,MATCH(RIGHT($B118,13)&amp;"|"&amp;$C118&amp;"|"&amp;$D118&amp;"|"&amp;N$14&amp;"|"&amp;"CY2020Q4",Spectrum!$Q:$Q,0)),"")</f>
        <v/>
      </c>
      <c r="P118" s="115" t="n">
        <f aca="false">_xlfn.IFNA(ROUND(INDEX(Spectrum!$N:$N,MATCH(RIGHT($B118,13)&amp;"|"&amp;$C118&amp;"|"&amp;$D118&amp;"|"&amp;P$14&amp;"|"&amp;"CY2021Q3",Spectrum!$Q:$Q,0)),0),"")</f>
        <v>209</v>
      </c>
      <c r="Q118" s="123" t="n">
        <f aca="false">_xlfn.IFNA(INDEX(Spectrum!$P:$P,MATCH(RIGHT($B118,13)&amp;"|"&amp;$C118&amp;"|"&amp;$D118&amp;"|"&amp;P$14&amp;"|"&amp;"CY2021Q3",Spectrum!$Q:$Q,0)),"")</f>
        <v>48</v>
      </c>
      <c r="R118" s="115"/>
      <c r="S118" s="123" t="str">
        <f aca="false">IF(OR(SUM($P118)&lt;=0,SUM($R118)&lt;=0),"",SUM($R118)/$P118)</f>
        <v/>
      </c>
      <c r="T118" s="139" t="n">
        <v>11</v>
      </c>
      <c r="U118" s="124" t="n">
        <v>41</v>
      </c>
      <c r="V118" s="124" t="n">
        <f aca="false">IF($U118-$T118=0,"",$U118-$T118)</f>
        <v>30</v>
      </c>
      <c r="W118" s="123" t="n">
        <f aca="false">IF(LEFT($B118,4)="_Mil","",IFERROR(MIN(IF(SUM($N118)&lt;=0,SUM($U118)/SUM($P118),SUM($T118)/SUM($N118)),1),""))</f>
        <v>0.196172248803828</v>
      </c>
      <c r="X118" s="123" t="n">
        <f aca="false">$W118</f>
        <v>0.196172248803828</v>
      </c>
      <c r="Y118" s="123" t="n">
        <f aca="false">IFERROR(1/(1/INDEX(Spectrum!$N:$N,MATCH(RIGHT($B118,13)&amp;"|"&amp;$C118&amp;"|"&amp;$D118&amp;"|"&amp;Y$14&amp;"|"&amp;"CY2021Q3",Spectrum!$Q:$Q,0))),IF(SUM($H118)=0,"",MAX(SUM($P118),SUM($U118))/SUM($H118)))</f>
        <v>0.81640625</v>
      </c>
      <c r="Z118" s="123" t="n">
        <f aca="false">IF(SUM($Y118)=0,"",MAX(SUM($Y118),90%))</f>
        <v>0.9</v>
      </c>
      <c r="AA118" s="115" t="n">
        <f aca="false">IF(LEFT($B118,4)="_Mil","",ROUND(MAX(SUM($U118),SUM($P118))+IF(SUM($Z118)=0,0,MAX(SUM($Z118)-SUM($Y118),0)*SUM($H118)),0))</f>
        <v>230</v>
      </c>
      <c r="AB118" s="115" t="n">
        <f aca="false">IF(SUM($AA118)=0,"",ROUND(MAX(SUM($AA118)-MAX(SUM($P118),SUM($U118)),0),0))</f>
        <v>21</v>
      </c>
      <c r="AC118" s="126" t="str">
        <f aca="false">IF($C118="&lt;01",IFERROR(ROUND(INDEX(EID!$N:$N,MATCH($B118,EID!$B:$B,0))/2,0),""),"")</f>
        <v/>
      </c>
      <c r="AD118" s="115" t="n">
        <f aca="false">IF($C118="&lt;01",IF(SUM($AC118)=0,"",ROUND(SUM($AC118)/$AG118,0)),IF(SUM($AB118)=0,"",ROUND(MAX($X118,0)*SUM($AB118),0)))</f>
        <v>4</v>
      </c>
      <c r="AE118" s="115" t="n">
        <f aca="false">IF(AND(SUM($AD118)=0,SUM($U118)=0),"",ROUND(IF($C118="&lt;01",0,SUM($U118))+SUM($AD118),0))</f>
        <v>45</v>
      </c>
      <c r="AF118" s="122" t="n">
        <f aca="false">IF($C118="&lt;01","",100%)</f>
        <v>1</v>
      </c>
      <c r="AG118" s="123" t="n">
        <f aca="false">0.98</f>
        <v>0.98</v>
      </c>
      <c r="AH118" s="123" t="n">
        <f aca="false">0.98</f>
        <v>0.98</v>
      </c>
      <c r="AI118" s="124" t="n">
        <f aca="false">IF(OR($C118="&lt;01",SUM($U118)=0),"",ROUND(SUM($U118)*(1-$AH118),0))</f>
        <v>1</v>
      </c>
      <c r="AJ118" s="124" t="n">
        <f aca="false">IF(AND(SUM($AE118)=0,SUM($U118)=0),"",IF($C118="&lt;01",SUM($AD118),SUM($AE118) - ROUND(SUM($U118)*$AH118,0)))</f>
        <v>5</v>
      </c>
      <c r="AK118" s="124" t="n">
        <v>35</v>
      </c>
      <c r="AL118" s="124" t="n">
        <v>5</v>
      </c>
      <c r="AM118" s="115" t="n">
        <f aca="false">IF(AND(SUM($AD118)=0,SUM($U118)=0),"",IF($C118="&lt;01",SUM($AD118),ROUND(ROUND(SUM($AJ118)*$AF118,0)/$AG118,0)))</f>
        <v>5</v>
      </c>
      <c r="AN118" s="122" t="n">
        <f aca="false">0.7</f>
        <v>0.7</v>
      </c>
      <c r="AO118" s="123" t="n">
        <f aca="false">1</f>
        <v>1</v>
      </c>
      <c r="AP118" s="115" t="n">
        <f aca="false">IF(AND(SUM($U118)=0,SUM($AM118)=0),"",ROUND((SUM($AM118)*$AN118+IF($C118="&lt;01",0,$U118))*$AO118,0))</f>
        <v>45</v>
      </c>
      <c r="AQ118" s="122" t="n">
        <v>1</v>
      </c>
      <c r="AR118" s="123" t="n">
        <f aca="false">0.95</f>
        <v>0.95</v>
      </c>
      <c r="AS118" s="123" t="n">
        <f aca="false">0.95</f>
        <v>0.95</v>
      </c>
      <c r="AT118" s="115" t="n">
        <f aca="false">IF(SUM($AP118)=0,"",ROUND(SUM($AP118)*$AR118,0))</f>
        <v>43</v>
      </c>
      <c r="AU118" s="115" t="n">
        <f aca="false">IF(LEFT($B118,4)="_Mil","",ROUND(SUM($AA118)*SUM($AS118),0))</f>
        <v>219</v>
      </c>
      <c r="AV118" s="124" t="n">
        <f aca="false">IF(SUM($AU118)&lt;=0,"",MAX(SUM($AU118)-SUM($R118),0))</f>
        <v>219</v>
      </c>
      <c r="AW118" s="122" t="n">
        <f aca="false">0</f>
        <v>0</v>
      </c>
      <c r="AX118" s="124" t="n">
        <f aca="false">IF(SUM($AM118)=0,"",ROUND(SUM($AM118)*SUM($AW118),0))</f>
        <v>0</v>
      </c>
      <c r="AY118" s="124" t="n">
        <f aca="false">IF(SUM($AM118)=0,"",SUM($AM118)-SUM($AX118))</f>
        <v>5</v>
      </c>
      <c r="AZ118" s="123" t="n">
        <v>5</v>
      </c>
      <c r="BA118" s="123" t="n">
        <f aca="false">0.95</f>
        <v>0.95</v>
      </c>
      <c r="BB118" s="123"/>
      <c r="BC118" s="123" t="n">
        <f aca="false">IF(OR(SUM($AM118)&lt;=0,$C118="&lt;01"),"",MAX(IF(OR(SUM($Y118)&lt;70%,LEFT($B118,4)="_Mil"),30%,IF(SUM($Y118)&gt;=80%,75%,50%)),SUM($BB118)))</f>
        <v>0.75</v>
      </c>
      <c r="BD118" s="115" t="n">
        <f aca="false">IF($C118="&lt;01",IFERROR(ROUND(INDEX(EID!$M:$M,MATCH($B118,EID!$B:$B,0)),0)/2,""),IF(SUM($AY118)=0,"",ROUND(SUM($AY118)/SUM($BA118),0)))</f>
        <v>5</v>
      </c>
      <c r="BE118" s="115" t="n">
        <f aca="false">IF($C118="&lt;01","",IF(SUM($BD118)=0,"",ROUND(SUM($BD118)*SUM($BC118),0)))</f>
        <v>4</v>
      </c>
      <c r="BF118" s="115" t="str">
        <f aca="false">_xlfn.IFNA(INDEX(PMTCT!$AE:$AE,MATCH($E118,PMTCT!$E:$E,0)),"")</f>
        <v/>
      </c>
      <c r="BG118" s="115" t="str">
        <f aca="false">_xlfn.IFNA(INDEX(PMTCT!$AU:$AU,MATCH($E118,PMTCT!$E:$E,0)),"")</f>
        <v/>
      </c>
      <c r="BH118" s="115" t="n">
        <f aca="false">_xlfn.IFNA(INDEX(TB!$Q:$Q,MATCH($E118,TB!$E:$E,0)),"")</f>
        <v>-0</v>
      </c>
      <c r="BI118" s="115" t="str">
        <f aca="false">_xlfn.IFNA(INDEX(VMMC!$AC:$AC,MATCH($E118,VMMC!$E:$E,0)),"")</f>
        <v/>
      </c>
      <c r="BJ118" s="115" t="str">
        <f aca="false">IF($C118="&lt;01",$BD118,"")</f>
        <v/>
      </c>
      <c r="BK118" s="115" t="n">
        <f aca="false">IF(SUM($BD118)=0,"",($BD118)-SUM($BE118:$BJ118))</f>
        <v>1</v>
      </c>
      <c r="BL118" s="123" t="n">
        <f aca="false">IF(OR(SUM($BD118)=0,SUM($BE118)=0),"",SUM($BE118)/$BD118)</f>
        <v>0.8</v>
      </c>
      <c r="BM118" s="123" t="str">
        <f aca="false">IF(OR(SUM($BD118)=0,SUM($BF118)=0),"",SUM($BF118)/$BD118)</f>
        <v/>
      </c>
      <c r="BN118" s="123" t="str">
        <f aca="false">IF(OR(SUM($BD118)=0,SUM($BG118)=0),"",SUM($BG118)/$BD118)</f>
        <v/>
      </c>
      <c r="BO118" s="123" t="str">
        <f aca="false">IF(OR(SUM($BD118)=0,SUM($BH118)=0),"",SUM($BH118)/$BD118)</f>
        <v/>
      </c>
      <c r="BP118" s="123" t="str">
        <f aca="false">IF(OR(SUM($BD118)=0,SUM($BI118)=0),"",SUM($BI118)/$BD118)</f>
        <v/>
      </c>
      <c r="BQ118" s="123" t="str">
        <f aca="false">IF(AND($C118="&lt;01",SUM($BJ118)&lt;&gt;0),$BJ118/SUM($BD118),"")</f>
        <v/>
      </c>
      <c r="BR118" s="123" t="n">
        <f aca="false">IF(OR(SUM($BD118)=0,SUM($BK118)=0),"",SUM($BK118)/$BD118)</f>
        <v>0.2</v>
      </c>
      <c r="BS118" s="122" t="n">
        <f aca="false">IF(SUM($X118)&lt;=0,"",$X118)</f>
        <v>0.196172248803828</v>
      </c>
      <c r="BT118" s="115" t="n">
        <f aca="false">IF(LEFT($B118,4)="_Mil","",MAX(SUM($L118)+ROUND(SUM($BD118)/IF(SUM($BS118)&lt;=0,1,SUM($BS118)),0),0))</f>
        <v>211</v>
      </c>
    </row>
    <row r="119" customFormat="false" ht="15" hidden="false" customHeight="false" outlineLevel="0" collapsed="false">
      <c r="A119" s="0" t="s">
        <v>145</v>
      </c>
      <c r="B119" s="0" t="s">
        <v>107</v>
      </c>
      <c r="C119" s="0" t="s">
        <v>63</v>
      </c>
      <c r="D119" s="0" t="s">
        <v>56</v>
      </c>
      <c r="E119" s="0" t="str">
        <f aca="false">B119&amp;"|"&amp;C119&amp;"|"&amp;D119</f>
        <v>Mafeteng [#SNU] [#DREAMS] [DiFv5WXIHM5]|15-19|Female</v>
      </c>
      <c r="F119" s="115" t="n">
        <f aca="false">_xlfn.IFNA(ROUND(INDEX(Spectrum!$N:$N,MATCH(RIGHT($B119,13)&amp;"|"&amp;$C119&amp;"|"&amp;$D119&amp;"|"&amp;F$14&amp;"|"&amp;"CY2021Q3",Spectrum!$Q:$Q,0)),0),"")</f>
        <v>8017</v>
      </c>
      <c r="G119" s="123" t="n">
        <f aca="false">_xlfn.IFNA(INDEX(Spectrum!$P:$P,MATCH(RIGHT($B119,13)&amp;"|"&amp;$C119&amp;"|"&amp;$D119&amp;"|"&amp;F$14&amp;"|"&amp;"CY2021Q3",Spectrum!$Q:$Q,0)),"")</f>
        <v>18</v>
      </c>
      <c r="H119" s="115" t="n">
        <f aca="false">_xlfn.IFNA(ROUND(INDEX(Spectrum!$N:$N,MATCH(RIGHT($B119,13)&amp;"|"&amp;$C119&amp;"|"&amp;$D119&amp;"|"&amp;H$14&amp;"|"&amp;"CY2021Q3",Spectrum!$Q:$Q,0)),0),"")</f>
        <v>419</v>
      </c>
      <c r="I119" s="123" t="n">
        <f aca="false">_xlfn.IFNA(INDEX(Spectrum!$P:$P,MATCH(RIGHT($B119,13)&amp;"|"&amp;$C119&amp;"|"&amp;$D119&amp;"|"&amp;H$14&amp;"|"&amp;"CY2021Q3",Spectrum!$Q:$Q,0)),"")</f>
        <v>21</v>
      </c>
      <c r="J119" s="117" t="n">
        <f aca="false">_xlfn.IFNA(INDEX(Spectrum!$N:$N,MATCH(RIGHT($B119,13)&amp;"|"&amp;$C119&amp;"|"&amp;$D119&amp;"|"&amp;J$14&amp;"|"&amp;"CY2021Q3",Spectrum!$Q:$Q,0)),"")</f>
        <v>0.0522428</v>
      </c>
      <c r="K119" s="123" t="n">
        <f aca="false">_xlfn.IFNA(INDEX(Spectrum!$P:$P,MATCH(RIGHT($B119,13)&amp;"|"&amp;$C119&amp;"|"&amp;$D119&amp;"|"&amp;J$14&amp;"|"&amp;"CY2021Q3",Spectrum!$Q:$Q,0)),"")</f>
        <v>13</v>
      </c>
      <c r="L119" s="115" t="n">
        <f aca="false">_xlfn.IFNA(ROUND(INDEX(Spectrum!$N:$N,MATCH(RIGHT($B119,13)&amp;"|"&amp;$C119&amp;"|"&amp;$D119&amp;"|"&amp;L$14&amp;"|"&amp;"CY2021Q3",Spectrum!$Q:$Q,0)),0),"")</f>
        <v>356</v>
      </c>
      <c r="M119" s="123" t="n">
        <f aca="false">IF(OR(SUM($H119)&lt;=0,SUM($L119)&lt;=0),"",SUM($L119)/$H119)</f>
        <v>0.84964200477327</v>
      </c>
      <c r="N119" s="115" t="str">
        <f aca="false">_xlfn.IFNA(ROUND(INDEX(Spectrum!$N:$N,MATCH(RIGHT($B119,13)&amp;"|"&amp;$C119&amp;"|"&amp;$D119&amp;"|"&amp;N$14&amp;"|"&amp;"CY2020Q4",Spectrum!$Q:$Q,0)),0),"")</f>
        <v/>
      </c>
      <c r="O119" s="123" t="str">
        <f aca="false">_xlfn.IFNA(INDEX(Spectrum!$P:$P,MATCH(RIGHT($B119,13)&amp;"|"&amp;$C119&amp;"|"&amp;$D119&amp;"|"&amp;N$14&amp;"|"&amp;"CY2020Q4",Spectrum!$Q:$Q,0)),"")</f>
        <v/>
      </c>
      <c r="P119" s="115" t="n">
        <f aca="false">_xlfn.IFNA(ROUND(INDEX(Spectrum!$N:$N,MATCH(RIGHT($B119,13)&amp;"|"&amp;$C119&amp;"|"&amp;$D119&amp;"|"&amp;P$14&amp;"|"&amp;"CY2021Q3",Spectrum!$Q:$Q,0)),0),"")</f>
        <v>309</v>
      </c>
      <c r="Q119" s="123" t="n">
        <f aca="false">_xlfn.IFNA(INDEX(Spectrum!$P:$P,MATCH(RIGHT($B119,13)&amp;"|"&amp;$C119&amp;"|"&amp;$D119&amp;"|"&amp;P$14&amp;"|"&amp;"CY2021Q3",Spectrum!$Q:$Q,0)),"")</f>
        <v>46</v>
      </c>
      <c r="R119" s="115"/>
      <c r="S119" s="123" t="str">
        <f aca="false">IF(OR(SUM($P119)&lt;=0,SUM($R119)&lt;=0),"",SUM($R119)/$P119)</f>
        <v/>
      </c>
      <c r="T119" s="139" t="n">
        <v>43</v>
      </c>
      <c r="U119" s="124" t="n">
        <v>46</v>
      </c>
      <c r="V119" s="124" t="n">
        <f aca="false">IF($U119-$T119=0,"",$U119-$T119)</f>
        <v>3</v>
      </c>
      <c r="W119" s="123" t="n">
        <f aca="false">IF(LEFT($B119,4)="_Mil","",IFERROR(MIN(IF(SUM($N119)&lt;=0,SUM($U119)/SUM($P119),SUM($T119)/SUM($N119)),1),""))</f>
        <v>0.148867313915858</v>
      </c>
      <c r="X119" s="123" t="n">
        <f aca="false">$W119</f>
        <v>0.148867313915858</v>
      </c>
      <c r="Y119" s="123" t="n">
        <f aca="false">IFERROR(1/(1/INDEX(Spectrum!$N:$N,MATCH(RIGHT($B119,13)&amp;"|"&amp;$C119&amp;"|"&amp;$D119&amp;"|"&amp;Y$14&amp;"|"&amp;"CY2021Q3",Spectrum!$Q:$Q,0))),IF(SUM($H119)=0,"",MAX(SUM($P119),SUM($U119))/SUM($H119)))</f>
        <v>0.737470167064439</v>
      </c>
      <c r="Z119" s="123" t="n">
        <f aca="false">IF(SUM($Y119)=0,"",MAX(SUM($Y119),90%))</f>
        <v>0.9</v>
      </c>
      <c r="AA119" s="115" t="n">
        <f aca="false">IF(LEFT($B119,4)="_Mil","",ROUND(MAX(SUM($U119),SUM($P119))+IF(SUM($Z119)=0,0,MAX(SUM($Z119)-SUM($Y119),0)*SUM($H119)),0))</f>
        <v>377</v>
      </c>
      <c r="AB119" s="115" t="n">
        <f aca="false">IF(SUM($AA119)=0,"",ROUND(MAX(SUM($AA119)-MAX(SUM($P119),SUM($U119)),0),0))</f>
        <v>68</v>
      </c>
      <c r="AC119" s="126" t="str">
        <f aca="false">IF($C119="&lt;01",IFERROR(ROUND(INDEX(EID!$N:$N,MATCH($B119,EID!$B:$B,0))/2,0),""),"")</f>
        <v/>
      </c>
      <c r="AD119" s="115" t="n">
        <f aca="false">IF($C119="&lt;01",IF(SUM($AC119)=0,"",ROUND(SUM($AC119)/$AG119,0)),IF(SUM($AB119)=0,"",ROUND(MAX($X119,0)*SUM($AB119),0)))</f>
        <v>10</v>
      </c>
      <c r="AE119" s="115" t="n">
        <f aca="false">IF(AND(SUM($AD119)=0,SUM($U119)=0),"",ROUND(IF($C119="&lt;01",0,SUM($U119))+SUM($AD119),0))</f>
        <v>56</v>
      </c>
      <c r="AF119" s="122" t="n">
        <f aca="false">IF($C119="&lt;01","",100%)</f>
        <v>1</v>
      </c>
      <c r="AG119" s="123" t="n">
        <f aca="false">0.98</f>
        <v>0.98</v>
      </c>
      <c r="AH119" s="123" t="n">
        <f aca="false">0.98</f>
        <v>0.98</v>
      </c>
      <c r="AI119" s="124" t="n">
        <f aca="false">IF(OR($C119="&lt;01",SUM($U119)=0),"",ROUND(SUM($U119)*(1-$AH119),0))</f>
        <v>1</v>
      </c>
      <c r="AJ119" s="124" t="n">
        <f aca="false">IF(AND(SUM($AE119)=0,SUM($U119)=0),"",IF($C119="&lt;01",SUM($AD119),SUM($AE119) - ROUND(SUM($U119)*$AH119,0)))</f>
        <v>11</v>
      </c>
      <c r="AK119" s="124" t="n">
        <v>46</v>
      </c>
      <c r="AL119" s="124" t="n">
        <v>38</v>
      </c>
      <c r="AM119" s="115" t="n">
        <f aca="false">IF(AND(SUM($AD119)=0,SUM($U119)=0),"",IF($C119="&lt;01",SUM($AD119),ROUND(ROUND(SUM($AJ119)*$AF119,0)/$AG119,0)))</f>
        <v>11</v>
      </c>
      <c r="AN119" s="122" t="n">
        <f aca="false">0.7</f>
        <v>0.7</v>
      </c>
      <c r="AO119" s="123" t="n">
        <f aca="false">1</f>
        <v>1</v>
      </c>
      <c r="AP119" s="115" t="n">
        <f aca="false">IF(AND(SUM($U119)=0,SUM($AM119)=0),"",ROUND((SUM($AM119)*$AN119+IF($C119="&lt;01",0,$U119))*$AO119,0))</f>
        <v>54</v>
      </c>
      <c r="AQ119" s="122" t="n">
        <v>1</v>
      </c>
      <c r="AR119" s="123" t="n">
        <f aca="false">0.95</f>
        <v>0.95</v>
      </c>
      <c r="AS119" s="123" t="n">
        <f aca="false">0.95</f>
        <v>0.95</v>
      </c>
      <c r="AT119" s="115" t="n">
        <f aca="false">IF(SUM($AP119)=0,"",ROUND(SUM($AP119)*$AR119,0))</f>
        <v>51</v>
      </c>
      <c r="AU119" s="115" t="n">
        <f aca="false">IF(LEFT($B119,4)="_Mil","",ROUND(SUM($AA119)*SUM($AS119),0))</f>
        <v>358</v>
      </c>
      <c r="AV119" s="124" t="n">
        <f aca="false">IF(SUM($AU119)&lt;=0,"",MAX(SUM($AU119)-SUM($R119),0))</f>
        <v>358</v>
      </c>
      <c r="AW119" s="122" t="n">
        <f aca="false">0</f>
        <v>0</v>
      </c>
      <c r="AX119" s="124" t="n">
        <f aca="false">IF(SUM($AM119)=0,"",ROUND(SUM($AM119)*SUM($AW119),0))</f>
        <v>0</v>
      </c>
      <c r="AY119" s="124" t="n">
        <f aca="false">IF(SUM($AM119)=0,"",SUM($AM119)-SUM($AX119))</f>
        <v>11</v>
      </c>
      <c r="AZ119" s="123" t="n">
        <v>17</v>
      </c>
      <c r="BA119" s="123" t="n">
        <f aca="false">0.95</f>
        <v>0.95</v>
      </c>
      <c r="BB119" s="123"/>
      <c r="BC119" s="123" t="n">
        <f aca="false">IF(OR(SUM($AM119)&lt;=0,$C119="&lt;01"),"",MAX(IF(OR(SUM($Y119)&lt;70%,LEFT($B119,4)="_Mil"),30%,IF(SUM($Y119)&gt;=80%,75%,50%)),SUM($BB119)))</f>
        <v>0.5</v>
      </c>
      <c r="BD119" s="115" t="n">
        <f aca="false">IF($C119="&lt;01",IFERROR(ROUND(INDEX(EID!$M:$M,MATCH($B119,EID!$B:$B,0)),0)/2,""),IF(SUM($AY119)=0,"",ROUND(SUM($AY119)/SUM($BA119),0)))</f>
        <v>12</v>
      </c>
      <c r="BE119" s="115" t="n">
        <f aca="false">IF($C119="&lt;01","",IF(SUM($BD119)=0,"",ROUND(SUM($BD119)*SUM($BC119),0)))</f>
        <v>6</v>
      </c>
      <c r="BF119" s="115" t="n">
        <f aca="false">_xlfn.IFNA(INDEX(PMTCT!$AE:$AE,MATCH($E119,PMTCT!$E:$E,0)),"")</f>
        <v>-2600</v>
      </c>
      <c r="BG119" s="115" t="str">
        <f aca="false">_xlfn.IFNA(INDEX(PMTCT!$AU:$AU,MATCH($E119,PMTCT!$E:$E,0)),"")</f>
        <v/>
      </c>
      <c r="BH119" s="115" t="n">
        <f aca="false">_xlfn.IFNA(INDEX(TB!$Q:$Q,MATCH($E119,TB!$E:$E,0)),"")</f>
        <v>-0</v>
      </c>
      <c r="BI119" s="115" t="str">
        <f aca="false">_xlfn.IFNA(INDEX(VMMC!$AC:$AC,MATCH($E119,VMMC!$E:$E,0)),"")</f>
        <v/>
      </c>
      <c r="BJ119" s="115" t="str">
        <f aca="false">IF($C119="&lt;01",$BD119,"")</f>
        <v/>
      </c>
      <c r="BK119" s="115" t="n">
        <f aca="false">IF(SUM($BD119)=0,"",($BD119)-SUM($BE119:$BJ119))</f>
        <v>2606</v>
      </c>
      <c r="BL119" s="123" t="n">
        <f aca="false">IF(OR(SUM($BD119)=0,SUM($BE119)=0),"",SUM($BE119)/$BD119)</f>
        <v>0.5</v>
      </c>
      <c r="BM119" s="123" t="n">
        <f aca="false">IF(OR(SUM($BD119)=0,SUM($BF119)=0),"",SUM($BF119)/$BD119)</f>
        <v>-216.666666666667</v>
      </c>
      <c r="BN119" s="123" t="str">
        <f aca="false">IF(OR(SUM($BD119)=0,SUM($BG119)=0),"",SUM($BG119)/$BD119)</f>
        <v/>
      </c>
      <c r="BO119" s="123" t="str">
        <f aca="false">IF(OR(SUM($BD119)=0,SUM($BH119)=0),"",SUM($BH119)/$BD119)</f>
        <v/>
      </c>
      <c r="BP119" s="123" t="str">
        <f aca="false">IF(OR(SUM($BD119)=0,SUM($BI119)=0),"",SUM($BI119)/$BD119)</f>
        <v/>
      </c>
      <c r="BQ119" s="123" t="str">
        <f aca="false">IF(AND($C119="&lt;01",SUM($BJ119)&lt;&gt;0),$BJ119/SUM($BD119),"")</f>
        <v/>
      </c>
      <c r="BR119" s="123" t="n">
        <f aca="false">IF(OR(SUM($BD119)=0,SUM($BK119)=0),"",SUM($BK119)/$BD119)</f>
        <v>217.166666666667</v>
      </c>
      <c r="BS119" s="122" t="n">
        <f aca="false">IF(SUM($X119)&lt;=0,"",$X119)</f>
        <v>0.148867313915858</v>
      </c>
      <c r="BT119" s="115" t="n">
        <f aca="false">IF(LEFT($B119,4)="_Mil","",MAX(SUM($L119)+ROUND(SUM($BD119)/IF(SUM($BS119)&lt;=0,1,SUM($BS119)),0),0))</f>
        <v>437</v>
      </c>
    </row>
    <row r="120" customFormat="false" ht="15" hidden="false" customHeight="false" outlineLevel="0" collapsed="false">
      <c r="A120" s="0" t="s">
        <v>145</v>
      </c>
      <c r="B120" s="0" t="s">
        <v>107</v>
      </c>
      <c r="C120" s="0" t="s">
        <v>63</v>
      </c>
      <c r="D120" s="0" t="s">
        <v>58</v>
      </c>
      <c r="E120" s="0" t="str">
        <f aca="false">B120&amp;"|"&amp;C120&amp;"|"&amp;D120</f>
        <v>Mafeteng [#SNU] [#DREAMS] [DiFv5WXIHM5]|15-19|Male</v>
      </c>
      <c r="F120" s="115" t="n">
        <f aca="false">_xlfn.IFNA(ROUND(INDEX(Spectrum!$N:$N,MATCH(RIGHT($B120,13)&amp;"|"&amp;$C120&amp;"|"&amp;$D120&amp;"|"&amp;F$14&amp;"|"&amp;"CY2021Q3",Spectrum!$Q:$Q,0)),0),"")</f>
        <v>8874</v>
      </c>
      <c r="G120" s="123" t="n">
        <f aca="false">_xlfn.IFNA(INDEX(Spectrum!$P:$P,MATCH(RIGHT($B120,13)&amp;"|"&amp;$C120&amp;"|"&amp;$D120&amp;"|"&amp;F$14&amp;"|"&amp;"CY2021Q3",Spectrum!$Q:$Q,0)),"")</f>
        <v>37</v>
      </c>
      <c r="H120" s="115" t="n">
        <f aca="false">_xlfn.IFNA(ROUND(INDEX(Spectrum!$N:$N,MATCH(RIGHT($B120,13)&amp;"|"&amp;$C120&amp;"|"&amp;$D120&amp;"|"&amp;H$14&amp;"|"&amp;"CY2021Q3",Spectrum!$Q:$Q,0)),0),"")</f>
        <v>267</v>
      </c>
      <c r="I120" s="123" t="n">
        <f aca="false">_xlfn.IFNA(INDEX(Spectrum!$P:$P,MATCH(RIGHT($B120,13)&amp;"|"&amp;$C120&amp;"|"&amp;$D120&amp;"|"&amp;H$14&amp;"|"&amp;"CY2021Q3",Spectrum!$Q:$Q,0)),"")</f>
        <v>1</v>
      </c>
      <c r="J120" s="117" t="n">
        <f aca="false">_xlfn.IFNA(INDEX(Spectrum!$N:$N,MATCH(RIGHT($B120,13)&amp;"|"&amp;$C120&amp;"|"&amp;$D120&amp;"|"&amp;J$14&amp;"|"&amp;"CY2021Q3",Spectrum!$Q:$Q,0)),"")</f>
        <v>0.0301246</v>
      </c>
      <c r="K120" s="123" t="n">
        <f aca="false">_xlfn.IFNA(INDEX(Spectrum!$P:$P,MATCH(RIGHT($B120,13)&amp;"|"&amp;$C120&amp;"|"&amp;$D120&amp;"|"&amp;J$14&amp;"|"&amp;"CY2021Q3",Spectrum!$Q:$Q,0)),"")</f>
        <v>28</v>
      </c>
      <c r="L120" s="115" t="n">
        <f aca="false">_xlfn.IFNA(ROUND(INDEX(Spectrum!$N:$N,MATCH(RIGHT($B120,13)&amp;"|"&amp;$C120&amp;"|"&amp;$D120&amp;"|"&amp;L$14&amp;"|"&amp;"CY2021Q3",Spectrum!$Q:$Q,0)),0),"")</f>
        <v>270</v>
      </c>
      <c r="M120" s="123" t="n">
        <f aca="false">IF(OR(SUM($H120)&lt;=0,SUM($L120)&lt;=0),"",SUM($L120)/$H120)</f>
        <v>1.01123595505618</v>
      </c>
      <c r="N120" s="115" t="str">
        <f aca="false">_xlfn.IFNA(ROUND(INDEX(Spectrum!$N:$N,MATCH(RIGHT($B120,13)&amp;"|"&amp;$C120&amp;"|"&amp;$D120&amp;"|"&amp;N$14&amp;"|"&amp;"CY2020Q4",Spectrum!$Q:$Q,0)),0),"")</f>
        <v/>
      </c>
      <c r="O120" s="123" t="str">
        <f aca="false">_xlfn.IFNA(INDEX(Spectrum!$P:$P,MATCH(RIGHT($B120,13)&amp;"|"&amp;$C120&amp;"|"&amp;$D120&amp;"|"&amp;N$14&amp;"|"&amp;"CY2020Q4",Spectrum!$Q:$Q,0)),"")</f>
        <v/>
      </c>
      <c r="P120" s="115" t="n">
        <f aca="false">_xlfn.IFNA(ROUND(INDEX(Spectrum!$N:$N,MATCH(RIGHT($B120,13)&amp;"|"&amp;$C120&amp;"|"&amp;$D120&amp;"|"&amp;P$14&amp;"|"&amp;"CY2021Q3",Spectrum!$Q:$Q,0)),0),"")</f>
        <v>241</v>
      </c>
      <c r="Q120" s="123" t="n">
        <f aca="false">_xlfn.IFNA(INDEX(Spectrum!$P:$P,MATCH(RIGHT($B120,13)&amp;"|"&amp;$C120&amp;"|"&amp;$D120&amp;"|"&amp;P$14&amp;"|"&amp;"CY2021Q3",Spectrum!$Q:$Q,0)),"")</f>
        <v>25</v>
      </c>
      <c r="R120" s="115"/>
      <c r="S120" s="123" t="str">
        <f aca="false">IF(OR(SUM($P120)&lt;=0,SUM($R120)&lt;=0),"",SUM($R120)/$P120)</f>
        <v/>
      </c>
      <c r="T120" s="139" t="n">
        <v>25</v>
      </c>
      <c r="U120" s="124" t="n">
        <v>9</v>
      </c>
      <c r="V120" s="124" t="n">
        <f aca="false">IF($U120-$T120=0,"",$U120-$T120)</f>
        <v>-16</v>
      </c>
      <c r="W120" s="123" t="n">
        <f aca="false">IF(LEFT($B120,4)="_Mil","",IFERROR(MIN(IF(SUM($N120)&lt;=0,SUM($U120)/SUM($P120),SUM($T120)/SUM($N120)),1),""))</f>
        <v>0.037344398340249</v>
      </c>
      <c r="X120" s="123" t="n">
        <f aca="false">$W120</f>
        <v>0.037344398340249</v>
      </c>
      <c r="Y120" s="123" t="n">
        <f aca="false">IFERROR(1/(1/INDEX(Spectrum!$N:$N,MATCH(RIGHT($B120,13)&amp;"|"&amp;$C120&amp;"|"&amp;$D120&amp;"|"&amp;Y$14&amp;"|"&amp;"CY2021Q3",Spectrum!$Q:$Q,0))),IF(SUM($H120)=0,"",MAX(SUM($P120),SUM($U120))/SUM($H120)))</f>
        <v>0.902621722846442</v>
      </c>
      <c r="Z120" s="123" t="n">
        <f aca="false">IF(SUM($Y120)=0,"",MAX(SUM($Y120),90%))</f>
        <v>0.902621722846442</v>
      </c>
      <c r="AA120" s="115" t="n">
        <f aca="false">IF(LEFT($B120,4)="_Mil","",ROUND(MAX(SUM($U120),SUM($P120))+IF(SUM($Z120)=0,0,MAX(SUM($Z120)-SUM($Y120),0)*SUM($H120)),0))</f>
        <v>241</v>
      </c>
      <c r="AB120" s="115" t="n">
        <f aca="false">IF(SUM($AA120)=0,"",ROUND(MAX(SUM($AA120)-MAX(SUM($P120),SUM($U120)),0),0))</f>
        <v>0</v>
      </c>
      <c r="AC120" s="126" t="str">
        <f aca="false">IF($C120="&lt;01",IFERROR(ROUND(INDEX(EID!$N:$N,MATCH($B120,EID!$B:$B,0))/2,0),""),"")</f>
        <v/>
      </c>
      <c r="AD120" s="115" t="str">
        <f aca="false">IF($C120="&lt;01",IF(SUM($AC120)=0,"",ROUND(SUM($AC120)/$AG120,0)),IF(SUM($AB120)=0,"",ROUND(MAX($X120,0)*SUM($AB120),0)))</f>
        <v/>
      </c>
      <c r="AE120" s="115" t="n">
        <f aca="false">IF(AND(SUM($AD120)=0,SUM($U120)=0),"",ROUND(IF($C120="&lt;01",0,SUM($U120))+SUM($AD120),0))</f>
        <v>9</v>
      </c>
      <c r="AF120" s="122" t="n">
        <f aca="false">IF($C120="&lt;01","",100%)</f>
        <v>1</v>
      </c>
      <c r="AG120" s="123" t="n">
        <f aca="false">0.98</f>
        <v>0.98</v>
      </c>
      <c r="AH120" s="123" t="n">
        <f aca="false">0.98</f>
        <v>0.98</v>
      </c>
      <c r="AI120" s="124" t="n">
        <f aca="false">IF(OR($C120="&lt;01",SUM($U120)=0),"",ROUND(SUM($U120)*(1-$AH120),0))</f>
        <v>0</v>
      </c>
      <c r="AJ120" s="124" t="n">
        <f aca="false">IF(AND(SUM($AE120)=0,SUM($U120)=0),"",IF($C120="&lt;01",SUM($AD120),SUM($AE120) - ROUND(SUM($U120)*$AH120,0)))</f>
        <v>0</v>
      </c>
      <c r="AK120" s="124" t="n">
        <v>49</v>
      </c>
      <c r="AL120" s="124" t="n">
        <v>42</v>
      </c>
      <c r="AM120" s="115" t="n">
        <f aca="false">IF(AND(SUM($AD120)=0,SUM($U120)=0),"",IF($C120="&lt;01",SUM($AD120),ROUND(ROUND(SUM($AJ120)*$AF120,0)/$AG120,0)))</f>
        <v>0</v>
      </c>
      <c r="AN120" s="122" t="n">
        <f aca="false">0.7</f>
        <v>0.7</v>
      </c>
      <c r="AO120" s="123" t="n">
        <f aca="false">1</f>
        <v>1</v>
      </c>
      <c r="AP120" s="115" t="n">
        <f aca="false">IF(AND(SUM($U120)=0,SUM($AM120)=0),"",ROUND((SUM($AM120)*$AN120+IF($C120="&lt;01",0,$U120))*$AO120,0))</f>
        <v>9</v>
      </c>
      <c r="AQ120" s="122" t="n">
        <v>10</v>
      </c>
      <c r="AR120" s="123" t="n">
        <f aca="false">0.95</f>
        <v>0.95</v>
      </c>
      <c r="AS120" s="123" t="n">
        <f aca="false">0.95</f>
        <v>0.95</v>
      </c>
      <c r="AT120" s="115" t="n">
        <f aca="false">IF(SUM($AP120)=0,"",ROUND(SUM($AP120)*$AR120,0))</f>
        <v>9</v>
      </c>
      <c r="AU120" s="115" t="n">
        <f aca="false">IF(LEFT($B120,4)="_Mil","",ROUND(SUM($AA120)*SUM($AS120),0))</f>
        <v>229</v>
      </c>
      <c r="AV120" s="124" t="n">
        <f aca="false">IF(SUM($AU120)&lt;=0,"",MAX(SUM($AU120)-SUM($R120),0))</f>
        <v>229</v>
      </c>
      <c r="AW120" s="122" t="n">
        <f aca="false">0</f>
        <v>0</v>
      </c>
      <c r="AX120" s="124" t="str">
        <f aca="false">IF(SUM($AM120)=0,"",ROUND(SUM($AM120)*SUM($AW120),0))</f>
        <v/>
      </c>
      <c r="AY120" s="124" t="str">
        <f aca="false">IF(SUM($AM120)=0,"",SUM($AM120)-SUM($AX120))</f>
        <v/>
      </c>
      <c r="AZ120" s="123" t="n">
        <v>6</v>
      </c>
      <c r="BA120" s="123" t="n">
        <f aca="false">0.95</f>
        <v>0.95</v>
      </c>
      <c r="BB120" s="123"/>
      <c r="BC120" s="123" t="str">
        <f aca="false">IF(OR(SUM($AM120)&lt;=0,$C120="&lt;01"),"",MAX(IF(OR(SUM($Y120)&lt;70%,LEFT($B120,4)="_Mil"),30%,IF(SUM($Y120)&gt;=80%,75%,50%)),SUM($BB120)))</f>
        <v/>
      </c>
      <c r="BD120" s="115" t="str">
        <f aca="false">IF($C120="&lt;01",IFERROR(ROUND(INDEX(EID!$M:$M,MATCH($B120,EID!$B:$B,0)),0)/2,""),IF(SUM($AY120)=0,"",ROUND(SUM($AY120)/SUM($BA120),0)))</f>
        <v/>
      </c>
      <c r="BE120" s="115" t="str">
        <f aca="false">IF($C120="&lt;01","",IF(SUM($BD120)=0,"",ROUND(SUM($BD120)*SUM($BC120),0)))</f>
        <v/>
      </c>
      <c r="BF120" s="115" t="str">
        <f aca="false">_xlfn.IFNA(INDEX(PMTCT!$AE:$AE,MATCH($E120,PMTCT!$E:$E,0)),"")</f>
        <v/>
      </c>
      <c r="BG120" s="115" t="str">
        <f aca="false">_xlfn.IFNA(INDEX(PMTCT!$AU:$AU,MATCH($E120,PMTCT!$E:$E,0)),"")</f>
        <v/>
      </c>
      <c r="BH120" s="115" t="n">
        <f aca="false">_xlfn.IFNA(INDEX(TB!$Q:$Q,MATCH($E120,TB!$E:$E,0)),"")</f>
        <v>-0</v>
      </c>
      <c r="BI120" s="115" t="str">
        <f aca="false">_xlfn.IFNA(INDEX(VMMC!$AC:$AC,MATCH($E120,VMMC!$E:$E,0)),"")</f>
        <v/>
      </c>
      <c r="BJ120" s="115" t="str">
        <f aca="false">IF($C120="&lt;01",$BD120,"")</f>
        <v/>
      </c>
      <c r="BK120" s="115" t="str">
        <f aca="false">IF(SUM($BD120)=0,"",($BD120)-SUM($BE120:$BJ120))</f>
        <v/>
      </c>
      <c r="BL120" s="123" t="str">
        <f aca="false">IF(OR(SUM($BD120)=0,SUM($BE120)=0),"",SUM($BE120)/$BD120)</f>
        <v/>
      </c>
      <c r="BM120" s="123" t="str">
        <f aca="false">IF(OR(SUM($BD120)=0,SUM($BF120)=0),"",SUM($BF120)/$BD120)</f>
        <v/>
      </c>
      <c r="BN120" s="123" t="str">
        <f aca="false">IF(OR(SUM($BD120)=0,SUM($BG120)=0),"",SUM($BG120)/$BD120)</f>
        <v/>
      </c>
      <c r="BO120" s="123" t="str">
        <f aca="false">IF(OR(SUM($BD120)=0,SUM($BH120)=0),"",SUM($BH120)/$BD120)</f>
        <v/>
      </c>
      <c r="BP120" s="123" t="str">
        <f aca="false">IF(OR(SUM($BD120)=0,SUM($BI120)=0),"",SUM($BI120)/$BD120)</f>
        <v/>
      </c>
      <c r="BQ120" s="123" t="str">
        <f aca="false">IF(AND($C120="&lt;01",SUM($BJ120)&lt;&gt;0),$BJ120/SUM($BD120),"")</f>
        <v/>
      </c>
      <c r="BR120" s="123" t="str">
        <f aca="false">IF(OR(SUM($BD120)=0,SUM($BK120)=0),"",SUM($BK120)/$BD120)</f>
        <v/>
      </c>
      <c r="BS120" s="122" t="n">
        <f aca="false">IF(SUM($X120)&lt;=0,"",$X120)</f>
        <v>0.037344398340249</v>
      </c>
      <c r="BT120" s="115" t="n">
        <f aca="false">IF(LEFT($B120,4)="_Mil","",MAX(SUM($L120)+ROUND(SUM($BD120)/IF(SUM($BS120)&lt;=0,1,SUM($BS120)),0),0))</f>
        <v>270</v>
      </c>
    </row>
    <row r="121" customFormat="false" ht="15" hidden="false" customHeight="false" outlineLevel="0" collapsed="false">
      <c r="A121" s="0" t="s">
        <v>145</v>
      </c>
      <c r="B121" s="0" t="s">
        <v>107</v>
      </c>
      <c r="C121" s="0" t="s">
        <v>66</v>
      </c>
      <c r="D121" s="0" t="s">
        <v>56</v>
      </c>
      <c r="E121" s="0" t="str">
        <f aca="false">B121&amp;"|"&amp;C121&amp;"|"&amp;D121</f>
        <v>Mafeteng [#SNU] [#DREAMS] [DiFv5WXIHM5]|20-24|Female</v>
      </c>
      <c r="F121" s="115" t="n">
        <f aca="false">_xlfn.IFNA(ROUND(INDEX(Spectrum!$N:$N,MATCH(RIGHT($B121,13)&amp;"|"&amp;$C121&amp;"|"&amp;$D121&amp;"|"&amp;F$14&amp;"|"&amp;"CY2021Q3",Spectrum!$Q:$Q,0)),0),"")</f>
        <v>6938</v>
      </c>
      <c r="G121" s="123" t="n">
        <f aca="false">_xlfn.IFNA(INDEX(Spectrum!$P:$P,MATCH(RIGHT($B121,13)&amp;"|"&amp;$C121&amp;"|"&amp;$D121&amp;"|"&amp;F$14&amp;"|"&amp;"CY2021Q3",Spectrum!$Q:$Q,0)),"")</f>
        <v>30</v>
      </c>
      <c r="H121" s="115" t="n">
        <f aca="false">_xlfn.IFNA(ROUND(INDEX(Spectrum!$N:$N,MATCH(RIGHT($B121,13)&amp;"|"&amp;$C121&amp;"|"&amp;$D121&amp;"|"&amp;H$14&amp;"|"&amp;"CY2021Q3",Spectrum!$Q:$Q,0)),0),"")</f>
        <v>1051</v>
      </c>
      <c r="I121" s="123" t="n">
        <f aca="false">_xlfn.IFNA(INDEX(Spectrum!$P:$P,MATCH(RIGHT($B121,13)&amp;"|"&amp;$C121&amp;"|"&amp;$D121&amp;"|"&amp;H$14&amp;"|"&amp;"CY2021Q3",Spectrum!$Q:$Q,0)),"")</f>
        <v>43</v>
      </c>
      <c r="J121" s="117" t="n">
        <f aca="false">_xlfn.IFNA(INDEX(Spectrum!$N:$N,MATCH(RIGHT($B121,13)&amp;"|"&amp;$C121&amp;"|"&amp;$D121&amp;"|"&amp;J$14&amp;"|"&amp;"CY2021Q3",Spectrum!$Q:$Q,0)),"")</f>
        <v>0.1514763</v>
      </c>
      <c r="K121" s="123" t="n">
        <f aca="false">_xlfn.IFNA(INDEX(Spectrum!$P:$P,MATCH(RIGHT($B121,13)&amp;"|"&amp;$C121&amp;"|"&amp;$D121&amp;"|"&amp;J$14&amp;"|"&amp;"CY2021Q3",Spectrum!$Q:$Q,0)),"")</f>
        <v>20</v>
      </c>
      <c r="L121" s="115" t="n">
        <f aca="false">_xlfn.IFNA(ROUND(INDEX(Spectrum!$N:$N,MATCH(RIGHT($B121,13)&amp;"|"&amp;$C121&amp;"|"&amp;$D121&amp;"|"&amp;L$14&amp;"|"&amp;"CY2021Q3",Spectrum!$Q:$Q,0)),0),"")</f>
        <v>836</v>
      </c>
      <c r="M121" s="123" t="n">
        <f aca="false">IF(OR(SUM($H121)&lt;=0,SUM($L121)&lt;=0),"",SUM($L121)/$H121)</f>
        <v>0.795432921027593</v>
      </c>
      <c r="N121" s="115" t="str">
        <f aca="false">_xlfn.IFNA(ROUND(INDEX(Spectrum!$N:$N,MATCH(RIGHT($B121,13)&amp;"|"&amp;$C121&amp;"|"&amp;$D121&amp;"|"&amp;N$14&amp;"|"&amp;"CY2020Q4",Spectrum!$Q:$Q,0)),0),"")</f>
        <v/>
      </c>
      <c r="O121" s="123" t="str">
        <f aca="false">_xlfn.IFNA(INDEX(Spectrum!$P:$P,MATCH(RIGHT($B121,13)&amp;"|"&amp;$C121&amp;"|"&amp;$D121&amp;"|"&amp;N$14&amp;"|"&amp;"CY2020Q4",Spectrum!$Q:$Q,0)),"")</f>
        <v/>
      </c>
      <c r="P121" s="115" t="n">
        <f aca="false">_xlfn.IFNA(ROUND(INDEX(Spectrum!$N:$N,MATCH(RIGHT($B121,13)&amp;"|"&amp;$C121&amp;"|"&amp;$D121&amp;"|"&amp;P$14&amp;"|"&amp;"CY2021Q3",Spectrum!$Q:$Q,0)),0),"")</f>
        <v>692</v>
      </c>
      <c r="Q121" s="123" t="n">
        <f aca="false">_xlfn.IFNA(INDEX(Spectrum!$P:$P,MATCH(RIGHT($B121,13)&amp;"|"&amp;$C121&amp;"|"&amp;$D121&amp;"|"&amp;P$14&amp;"|"&amp;"CY2021Q3",Spectrum!$Q:$Q,0)),"")</f>
        <v>12</v>
      </c>
      <c r="R121" s="115"/>
      <c r="S121" s="123" t="str">
        <f aca="false">IF(OR(SUM($P121)&lt;=0,SUM($R121)&lt;=0),"",SUM($R121)/$P121)</f>
        <v/>
      </c>
      <c r="T121" s="139" t="n">
        <v>25</v>
      </c>
      <c r="U121" s="124" t="n">
        <v>44</v>
      </c>
      <c r="V121" s="124" t="n">
        <f aca="false">IF($U121-$T121=0,"",$U121-$T121)</f>
        <v>19</v>
      </c>
      <c r="W121" s="123" t="n">
        <f aca="false">IF(LEFT($B121,4)="_Mil","",IFERROR(MIN(IF(SUM($N121)&lt;=0,SUM($U121)/SUM($P121),SUM($T121)/SUM($N121)),1),""))</f>
        <v>0.0635838150289017</v>
      </c>
      <c r="X121" s="123" t="n">
        <f aca="false">$W121</f>
        <v>0.0635838150289017</v>
      </c>
      <c r="Y121" s="123" t="n">
        <f aca="false">IFERROR(1/(1/INDEX(Spectrum!$N:$N,MATCH(RIGHT($B121,13)&amp;"|"&amp;$C121&amp;"|"&amp;$D121&amp;"|"&amp;Y$14&amp;"|"&amp;"CY2021Q3",Spectrum!$Q:$Q,0))),IF(SUM($H121)=0,"",MAX(SUM($P121),SUM($U121))/SUM($H121)))</f>
        <v>0.658420551855376</v>
      </c>
      <c r="Z121" s="123" t="n">
        <f aca="false">IF(SUM($Y121)=0,"",MAX(SUM($Y121),90%))</f>
        <v>0.9</v>
      </c>
      <c r="AA121" s="115" t="n">
        <f aca="false">IF(LEFT($B121,4)="_Mil","",ROUND(MAX(SUM($U121),SUM($P121))+IF(SUM($Z121)=0,0,MAX(SUM($Z121)-SUM($Y121),0)*SUM($H121)),0))</f>
        <v>946</v>
      </c>
      <c r="AB121" s="115" t="n">
        <f aca="false">IF(SUM($AA121)=0,"",ROUND(MAX(SUM($AA121)-MAX(SUM($P121),SUM($U121)),0),0))</f>
        <v>254</v>
      </c>
      <c r="AC121" s="126" t="str">
        <f aca="false">IF($C121="&lt;01",IFERROR(ROUND(INDEX(EID!$N:$N,MATCH($B121,EID!$B:$B,0))/2,0),""),"")</f>
        <v/>
      </c>
      <c r="AD121" s="115" t="n">
        <f aca="false">IF($C121="&lt;01",IF(SUM($AC121)=0,"",ROUND(SUM($AC121)/$AG121,0)),IF(SUM($AB121)=0,"",ROUND(MAX($X121,0)*SUM($AB121),0)))</f>
        <v>16</v>
      </c>
      <c r="AE121" s="115" t="n">
        <f aca="false">IF(AND(SUM($AD121)=0,SUM($U121)=0),"",ROUND(IF($C121="&lt;01",0,SUM($U121))+SUM($AD121),0))</f>
        <v>60</v>
      </c>
      <c r="AF121" s="122" t="n">
        <f aca="false">IF($C121="&lt;01","",100%)</f>
        <v>1</v>
      </c>
      <c r="AG121" s="123" t="n">
        <f aca="false">0.98</f>
        <v>0.98</v>
      </c>
      <c r="AH121" s="123" t="n">
        <f aca="false">0.98</f>
        <v>0.98</v>
      </c>
      <c r="AI121" s="124" t="n">
        <f aca="false">IF(OR($C121="&lt;01",SUM($U121)=0),"",ROUND(SUM($U121)*(1-$AH121),0))</f>
        <v>1</v>
      </c>
      <c r="AJ121" s="124" t="n">
        <f aca="false">IF(AND(SUM($AE121)=0,SUM($U121)=0),"",IF($C121="&lt;01",SUM($AD121),SUM($AE121) - ROUND(SUM($U121)*$AH121,0)))</f>
        <v>17</v>
      </c>
      <c r="AK121" s="124" t="n">
        <v>3</v>
      </c>
      <c r="AL121" s="124" t="n">
        <v>30</v>
      </c>
      <c r="AM121" s="115" t="n">
        <f aca="false">IF(AND(SUM($AD121)=0,SUM($U121)=0),"",IF($C121="&lt;01",SUM($AD121),ROUND(ROUND(SUM($AJ121)*$AF121,0)/$AG121,0)))</f>
        <v>17</v>
      </c>
      <c r="AN121" s="122" t="n">
        <f aca="false">0.7</f>
        <v>0.7</v>
      </c>
      <c r="AO121" s="123" t="n">
        <f aca="false">1</f>
        <v>1</v>
      </c>
      <c r="AP121" s="115" t="n">
        <f aca="false">IF(AND(SUM($U121)=0,SUM($AM121)=0),"",ROUND((SUM($AM121)*$AN121+IF($C121="&lt;01",0,$U121))*$AO121,0))</f>
        <v>56</v>
      </c>
      <c r="AQ121" s="122" t="n">
        <v>24</v>
      </c>
      <c r="AR121" s="123" t="n">
        <f aca="false">0.95</f>
        <v>0.95</v>
      </c>
      <c r="AS121" s="123" t="n">
        <f aca="false">0.95</f>
        <v>0.95</v>
      </c>
      <c r="AT121" s="115" t="n">
        <f aca="false">IF(SUM($AP121)=0,"",ROUND(SUM($AP121)*$AR121,0))</f>
        <v>53</v>
      </c>
      <c r="AU121" s="115" t="n">
        <f aca="false">IF(LEFT($B121,4)="_Mil","",ROUND(SUM($AA121)*SUM($AS121),0))</f>
        <v>899</v>
      </c>
      <c r="AV121" s="124" t="n">
        <f aca="false">IF(SUM($AU121)&lt;=0,"",MAX(SUM($AU121)-SUM($R121),0))</f>
        <v>899</v>
      </c>
      <c r="AW121" s="122" t="n">
        <f aca="false">0</f>
        <v>0</v>
      </c>
      <c r="AX121" s="124" t="n">
        <f aca="false">IF(SUM($AM121)=0,"",ROUND(SUM($AM121)*SUM($AW121),0))</f>
        <v>0</v>
      </c>
      <c r="AY121" s="124" t="n">
        <f aca="false">IF(SUM($AM121)=0,"",SUM($AM121)-SUM($AX121))</f>
        <v>17</v>
      </c>
      <c r="AZ121" s="123" t="n">
        <v>44</v>
      </c>
      <c r="BA121" s="123" t="n">
        <f aca="false">0.95</f>
        <v>0.95</v>
      </c>
      <c r="BB121" s="123"/>
      <c r="BC121" s="123" t="n">
        <f aca="false">IF(OR(SUM($AM121)&lt;=0,$C121="&lt;01"),"",MAX(IF(OR(SUM($Y121)&lt;70%,LEFT($B121,4)="_Mil"),30%,IF(SUM($Y121)&gt;=80%,75%,50%)),SUM($BB121)))</f>
        <v>0.3</v>
      </c>
      <c r="BD121" s="115" t="n">
        <f aca="false">IF($C121="&lt;01",IFERROR(ROUND(INDEX(EID!$M:$M,MATCH($B121,EID!$B:$B,0)),0)/2,""),IF(SUM($AY121)=0,"",ROUND(SUM($AY121)/SUM($BA121),0)))</f>
        <v>18</v>
      </c>
      <c r="BE121" s="115" t="n">
        <f aca="false">IF($C121="&lt;01","",IF(SUM($BD121)=0,"",ROUND(SUM($BD121)*SUM($BC121),0)))</f>
        <v>5</v>
      </c>
      <c r="BF121" s="115" t="n">
        <f aca="false">_xlfn.IFNA(INDEX(PMTCT!$AE:$AE,MATCH($E121,PMTCT!$E:$E,0)),"")</f>
        <v>-24928</v>
      </c>
      <c r="BG121" s="115" t="str">
        <f aca="false">_xlfn.IFNA(INDEX(PMTCT!$AU:$AU,MATCH($E121,PMTCT!$E:$E,0)),"")</f>
        <v/>
      </c>
      <c r="BH121" s="115" t="n">
        <f aca="false">_xlfn.IFNA(INDEX(TB!$Q:$Q,MATCH($E121,TB!$E:$E,0)),"")</f>
        <v>-24682</v>
      </c>
      <c r="BI121" s="115" t="str">
        <f aca="false">_xlfn.IFNA(INDEX(VMMC!$AC:$AC,MATCH($E121,VMMC!$E:$E,0)),"")</f>
        <v/>
      </c>
      <c r="BJ121" s="115" t="str">
        <f aca="false">IF($C121="&lt;01",$BD121,"")</f>
        <v/>
      </c>
      <c r="BK121" s="115" t="n">
        <f aca="false">IF(SUM($BD121)=0,"",($BD121)-SUM($BE121:$BJ121))</f>
        <v>49623</v>
      </c>
      <c r="BL121" s="123" t="n">
        <f aca="false">IF(OR(SUM($BD121)=0,SUM($BE121)=0),"",SUM($BE121)/$BD121)</f>
        <v>0.277777777777778</v>
      </c>
      <c r="BM121" s="123" t="n">
        <f aca="false">IF(OR(SUM($BD121)=0,SUM($BF121)=0),"",SUM($BF121)/$BD121)</f>
        <v>-1384.88888888889</v>
      </c>
      <c r="BN121" s="123" t="str">
        <f aca="false">IF(OR(SUM($BD121)=0,SUM($BG121)=0),"",SUM($BG121)/$BD121)</f>
        <v/>
      </c>
      <c r="BO121" s="123" t="n">
        <f aca="false">IF(OR(SUM($BD121)=0,SUM($BH121)=0),"",SUM($BH121)/$BD121)</f>
        <v>-1371.22222222222</v>
      </c>
      <c r="BP121" s="123" t="str">
        <f aca="false">IF(OR(SUM($BD121)=0,SUM($BI121)=0),"",SUM($BI121)/$BD121)</f>
        <v/>
      </c>
      <c r="BQ121" s="123" t="str">
        <f aca="false">IF(AND($C121="&lt;01",SUM($BJ121)&lt;&gt;0),$BJ121/SUM($BD121),"")</f>
        <v/>
      </c>
      <c r="BR121" s="123" t="n">
        <f aca="false">IF(OR(SUM($BD121)=0,SUM($BK121)=0),"",SUM($BK121)/$BD121)</f>
        <v>2756.83333333333</v>
      </c>
      <c r="BS121" s="122" t="n">
        <f aca="false">IF(SUM($X121)&lt;=0,"",$X121)</f>
        <v>0.0635838150289017</v>
      </c>
      <c r="BT121" s="115" t="n">
        <f aca="false">IF(LEFT($B121,4)="_Mil","",MAX(SUM($L121)+ROUND(SUM($BD121)/IF(SUM($BS121)&lt;=0,1,SUM($BS121)),0),0))</f>
        <v>1119</v>
      </c>
    </row>
    <row r="122" customFormat="false" ht="15" hidden="false" customHeight="false" outlineLevel="0" collapsed="false">
      <c r="A122" s="0" t="s">
        <v>145</v>
      </c>
      <c r="B122" s="0" t="s">
        <v>107</v>
      </c>
      <c r="C122" s="0" t="s">
        <v>66</v>
      </c>
      <c r="D122" s="0" t="s">
        <v>58</v>
      </c>
      <c r="E122" s="0" t="str">
        <f aca="false">B122&amp;"|"&amp;C122&amp;"|"&amp;D122</f>
        <v>Mafeteng [#SNU] [#DREAMS] [DiFv5WXIHM5]|20-24|Male</v>
      </c>
      <c r="F122" s="115" t="n">
        <f aca="false">_xlfn.IFNA(ROUND(INDEX(Spectrum!$N:$N,MATCH(RIGHT($B122,13)&amp;"|"&amp;$C122&amp;"|"&amp;$D122&amp;"|"&amp;F$14&amp;"|"&amp;"CY2021Q3",Spectrum!$Q:$Q,0)),0),"")</f>
        <v>7892</v>
      </c>
      <c r="G122" s="123" t="n">
        <f aca="false">_xlfn.IFNA(INDEX(Spectrum!$P:$P,MATCH(RIGHT($B122,13)&amp;"|"&amp;$C122&amp;"|"&amp;$D122&amp;"|"&amp;F$14&amp;"|"&amp;"CY2021Q3",Spectrum!$Q:$Q,0)),"")</f>
        <v>25</v>
      </c>
      <c r="H122" s="115" t="n">
        <f aca="false">_xlfn.IFNA(ROUND(INDEX(Spectrum!$N:$N,MATCH(RIGHT($B122,13)&amp;"|"&amp;$C122&amp;"|"&amp;$D122&amp;"|"&amp;H$14&amp;"|"&amp;"CY2021Q3",Spectrum!$Q:$Q,0)),0),"")</f>
        <v>432</v>
      </c>
      <c r="I122" s="123" t="n">
        <f aca="false">_xlfn.IFNA(INDEX(Spectrum!$P:$P,MATCH(RIGHT($B122,13)&amp;"|"&amp;$C122&amp;"|"&amp;$D122&amp;"|"&amp;H$14&amp;"|"&amp;"CY2021Q3",Spectrum!$Q:$Q,0)),"")</f>
        <v>20</v>
      </c>
      <c r="J122" s="117" t="n">
        <f aca="false">_xlfn.IFNA(INDEX(Spectrum!$N:$N,MATCH(RIGHT($B122,13)&amp;"|"&amp;$C122&amp;"|"&amp;$D122&amp;"|"&amp;J$14&amp;"|"&amp;"CY2021Q3",Spectrum!$Q:$Q,0)),"")</f>
        <v>0.0547102</v>
      </c>
      <c r="K122" s="123" t="n">
        <f aca="false">_xlfn.IFNA(INDEX(Spectrum!$P:$P,MATCH(RIGHT($B122,13)&amp;"|"&amp;$C122&amp;"|"&amp;$D122&amp;"|"&amp;J$14&amp;"|"&amp;"CY2021Q3",Spectrum!$Q:$Q,0)),"")</f>
        <v>9</v>
      </c>
      <c r="L122" s="115" t="n">
        <f aca="false">_xlfn.IFNA(ROUND(INDEX(Spectrum!$N:$N,MATCH(RIGHT($B122,13)&amp;"|"&amp;$C122&amp;"|"&amp;$D122&amp;"|"&amp;L$14&amp;"|"&amp;"CY2021Q3",Spectrum!$Q:$Q,0)),0),"")</f>
        <v>341</v>
      </c>
      <c r="M122" s="123" t="n">
        <f aca="false">IF(OR(SUM($H122)&lt;=0,SUM($L122)&lt;=0),"",SUM($L122)/$H122)</f>
        <v>0.789351851851852</v>
      </c>
      <c r="N122" s="115" t="str">
        <f aca="false">_xlfn.IFNA(ROUND(INDEX(Spectrum!$N:$N,MATCH(RIGHT($B122,13)&amp;"|"&amp;$C122&amp;"|"&amp;$D122&amp;"|"&amp;N$14&amp;"|"&amp;"CY2020Q4",Spectrum!$Q:$Q,0)),0),"")</f>
        <v/>
      </c>
      <c r="O122" s="123" t="str">
        <f aca="false">_xlfn.IFNA(INDEX(Spectrum!$P:$P,MATCH(RIGHT($B122,13)&amp;"|"&amp;$C122&amp;"|"&amp;$D122&amp;"|"&amp;N$14&amp;"|"&amp;"CY2020Q4",Spectrum!$Q:$Q,0)),"")</f>
        <v/>
      </c>
      <c r="P122" s="115" t="n">
        <f aca="false">_xlfn.IFNA(ROUND(INDEX(Spectrum!$N:$N,MATCH(RIGHT($B122,13)&amp;"|"&amp;$C122&amp;"|"&amp;$D122&amp;"|"&amp;P$14&amp;"|"&amp;"CY2021Q3",Spectrum!$Q:$Q,0)),0),"")</f>
        <v>252</v>
      </c>
      <c r="Q122" s="123" t="n">
        <f aca="false">_xlfn.IFNA(INDEX(Spectrum!$P:$P,MATCH(RIGHT($B122,13)&amp;"|"&amp;$C122&amp;"|"&amp;$D122&amp;"|"&amp;P$14&amp;"|"&amp;"CY2021Q3",Spectrum!$Q:$Q,0)),"")</f>
        <v>15</v>
      </c>
      <c r="R122" s="115"/>
      <c r="S122" s="123" t="str">
        <f aca="false">IF(OR(SUM($P122)&lt;=0,SUM($R122)&lt;=0),"",SUM($R122)/$P122)</f>
        <v/>
      </c>
      <c r="T122" s="139" t="n">
        <v>0</v>
      </c>
      <c r="U122" s="124" t="n">
        <v>8</v>
      </c>
      <c r="V122" s="124" t="n">
        <f aca="false">IF($U122-$T122=0,"",$U122-$T122)</f>
        <v>8</v>
      </c>
      <c r="W122" s="123" t="n">
        <f aca="false">IF(LEFT($B122,4)="_Mil","",IFERROR(MIN(IF(SUM($N122)&lt;=0,SUM($U122)/SUM($P122),SUM($T122)/SUM($N122)),1),""))</f>
        <v>0.0317460317460317</v>
      </c>
      <c r="X122" s="123" t="n">
        <f aca="false">$W122</f>
        <v>0.0317460317460317</v>
      </c>
      <c r="Y122" s="123" t="n">
        <f aca="false">IFERROR(1/(1/INDEX(Spectrum!$N:$N,MATCH(RIGHT($B122,13)&amp;"|"&amp;$C122&amp;"|"&amp;$D122&amp;"|"&amp;Y$14&amp;"|"&amp;"CY2021Q3",Spectrum!$Q:$Q,0))),IF(SUM($H122)=0,"",MAX(SUM($P122),SUM($U122))/SUM($H122)))</f>
        <v>0.583333333333333</v>
      </c>
      <c r="Z122" s="123" t="n">
        <f aca="false">IF(SUM($Y122)=0,"",MAX(SUM($Y122),90%))</f>
        <v>0.9</v>
      </c>
      <c r="AA122" s="115" t="n">
        <f aca="false">IF(LEFT($B122,4)="_Mil","",ROUND(MAX(SUM($U122),SUM($P122))+IF(SUM($Z122)=0,0,MAX(SUM($Z122)-SUM($Y122),0)*SUM($H122)),0))</f>
        <v>389</v>
      </c>
      <c r="AB122" s="115" t="n">
        <f aca="false">IF(SUM($AA122)=0,"",ROUND(MAX(SUM($AA122)-MAX(SUM($P122),SUM($U122)),0),0))</f>
        <v>137</v>
      </c>
      <c r="AC122" s="126" t="str">
        <f aca="false">IF($C122="&lt;01",IFERROR(ROUND(INDEX(EID!$N:$N,MATCH($B122,EID!$B:$B,0))/2,0),""),"")</f>
        <v/>
      </c>
      <c r="AD122" s="115" t="n">
        <f aca="false">IF($C122="&lt;01",IF(SUM($AC122)=0,"",ROUND(SUM($AC122)/$AG122,0)),IF(SUM($AB122)=0,"",ROUND(MAX($X122,0)*SUM($AB122),0)))</f>
        <v>4</v>
      </c>
      <c r="AE122" s="115" t="n">
        <f aca="false">IF(AND(SUM($AD122)=0,SUM($U122)=0),"",ROUND(IF($C122="&lt;01",0,SUM($U122))+SUM($AD122),0))</f>
        <v>12</v>
      </c>
      <c r="AF122" s="122" t="n">
        <f aca="false">IF($C122="&lt;01","",100%)</f>
        <v>1</v>
      </c>
      <c r="AG122" s="123" t="n">
        <f aca="false">0.98</f>
        <v>0.98</v>
      </c>
      <c r="AH122" s="123" t="n">
        <f aca="false">0.98</f>
        <v>0.98</v>
      </c>
      <c r="AI122" s="124" t="n">
        <f aca="false">IF(OR($C122="&lt;01",SUM($U122)=0),"",ROUND(SUM($U122)*(1-$AH122),0))</f>
        <v>0</v>
      </c>
      <c r="AJ122" s="124" t="n">
        <f aca="false">IF(AND(SUM($AE122)=0,SUM($U122)=0),"",IF($C122="&lt;01",SUM($AD122),SUM($AE122) - ROUND(SUM($U122)*$AH122,0)))</f>
        <v>4</v>
      </c>
      <c r="AK122" s="124" t="n">
        <v>35</v>
      </c>
      <c r="AL122" s="124" t="n">
        <v>26</v>
      </c>
      <c r="AM122" s="115" t="n">
        <f aca="false">IF(AND(SUM($AD122)=0,SUM($U122)=0),"",IF($C122="&lt;01",SUM($AD122),ROUND(ROUND(SUM($AJ122)*$AF122,0)/$AG122,0)))</f>
        <v>4</v>
      </c>
      <c r="AN122" s="122" t="n">
        <f aca="false">0.7</f>
        <v>0.7</v>
      </c>
      <c r="AO122" s="123" t="n">
        <f aca="false">1</f>
        <v>1</v>
      </c>
      <c r="AP122" s="115" t="n">
        <f aca="false">IF(AND(SUM($U122)=0,SUM($AM122)=0),"",ROUND((SUM($AM122)*$AN122+IF($C122="&lt;01",0,$U122))*$AO122,0))</f>
        <v>11</v>
      </c>
      <c r="AQ122" s="122" t="n">
        <v>36</v>
      </c>
      <c r="AR122" s="123" t="n">
        <f aca="false">0.95</f>
        <v>0.95</v>
      </c>
      <c r="AS122" s="123" t="n">
        <f aca="false">0.95</f>
        <v>0.95</v>
      </c>
      <c r="AT122" s="115" t="n">
        <f aca="false">IF(SUM($AP122)=0,"",ROUND(SUM($AP122)*$AR122,0))</f>
        <v>10</v>
      </c>
      <c r="AU122" s="115" t="n">
        <f aca="false">IF(LEFT($B122,4)="_Mil","",ROUND(SUM($AA122)*SUM($AS122),0))</f>
        <v>370</v>
      </c>
      <c r="AV122" s="124" t="n">
        <f aca="false">IF(SUM($AU122)&lt;=0,"",MAX(SUM($AU122)-SUM($R122),0))</f>
        <v>370</v>
      </c>
      <c r="AW122" s="122" t="n">
        <f aca="false">0</f>
        <v>0</v>
      </c>
      <c r="AX122" s="124" t="n">
        <f aca="false">IF(SUM($AM122)=0,"",ROUND(SUM($AM122)*SUM($AW122),0))</f>
        <v>0</v>
      </c>
      <c r="AY122" s="124" t="n">
        <f aca="false">IF(SUM($AM122)=0,"",SUM($AM122)-SUM($AX122))</f>
        <v>4</v>
      </c>
      <c r="AZ122" s="123" t="n">
        <v>4</v>
      </c>
      <c r="BA122" s="123" t="n">
        <f aca="false">0.95</f>
        <v>0.95</v>
      </c>
      <c r="BB122" s="123"/>
      <c r="BC122" s="123" t="n">
        <f aca="false">IF(OR(SUM($AM122)&lt;=0,$C122="&lt;01"),"",MAX(IF(OR(SUM($Y122)&lt;70%,LEFT($B122,4)="_Mil"),30%,IF(SUM($Y122)&gt;=80%,75%,50%)),SUM($BB122)))</f>
        <v>0.3</v>
      </c>
      <c r="BD122" s="115" t="n">
        <f aca="false">IF($C122="&lt;01",IFERROR(ROUND(INDEX(EID!$M:$M,MATCH($B122,EID!$B:$B,0)),0)/2,""),IF(SUM($AY122)=0,"",ROUND(SUM($AY122)/SUM($BA122),0)))</f>
        <v>4</v>
      </c>
      <c r="BE122" s="115" t="n">
        <f aca="false">IF($C122="&lt;01","",IF(SUM($BD122)=0,"",ROUND(SUM($BD122)*SUM($BC122),0)))</f>
        <v>1</v>
      </c>
      <c r="BF122" s="115" t="str">
        <f aca="false">_xlfn.IFNA(INDEX(PMTCT!$AE:$AE,MATCH($E122,PMTCT!$E:$E,0)),"")</f>
        <v/>
      </c>
      <c r="BG122" s="115" t="str">
        <f aca="false">_xlfn.IFNA(INDEX(PMTCT!$AU:$AU,MATCH($E122,PMTCT!$E:$E,0)),"")</f>
        <v/>
      </c>
      <c r="BH122" s="115" t="n">
        <f aca="false">_xlfn.IFNA(INDEX(TB!$Q:$Q,MATCH($E122,TB!$E:$E,0)),"")</f>
        <v>-18900</v>
      </c>
      <c r="BI122" s="115" t="str">
        <f aca="false">_xlfn.IFNA(INDEX(VMMC!$AC:$AC,MATCH($E122,VMMC!$E:$E,0)),"")</f>
        <v/>
      </c>
      <c r="BJ122" s="115" t="str">
        <f aca="false">IF($C122="&lt;01",$BD122,"")</f>
        <v/>
      </c>
      <c r="BK122" s="115" t="n">
        <f aca="false">IF(SUM($BD122)=0,"",($BD122)-SUM($BE122:$BJ122))</f>
        <v>18903</v>
      </c>
      <c r="BL122" s="123" t="n">
        <f aca="false">IF(OR(SUM($BD122)=0,SUM($BE122)=0),"",SUM($BE122)/$BD122)</f>
        <v>0.25</v>
      </c>
      <c r="BM122" s="123" t="str">
        <f aca="false">IF(OR(SUM($BD122)=0,SUM($BF122)=0),"",SUM($BF122)/$BD122)</f>
        <v/>
      </c>
      <c r="BN122" s="123" t="str">
        <f aca="false">IF(OR(SUM($BD122)=0,SUM($BG122)=0),"",SUM($BG122)/$BD122)</f>
        <v/>
      </c>
      <c r="BO122" s="123" t="n">
        <f aca="false">IF(OR(SUM($BD122)=0,SUM($BH122)=0),"",SUM($BH122)/$BD122)</f>
        <v>-4725</v>
      </c>
      <c r="BP122" s="123" t="str">
        <f aca="false">IF(OR(SUM($BD122)=0,SUM($BI122)=0),"",SUM($BI122)/$BD122)</f>
        <v/>
      </c>
      <c r="BQ122" s="123" t="str">
        <f aca="false">IF(AND($C122="&lt;01",SUM($BJ122)&lt;&gt;0),$BJ122/SUM($BD122),"")</f>
        <v/>
      </c>
      <c r="BR122" s="123" t="n">
        <f aca="false">IF(OR(SUM($BD122)=0,SUM($BK122)=0),"",SUM($BK122)/$BD122)</f>
        <v>4725.75</v>
      </c>
      <c r="BS122" s="122" t="n">
        <f aca="false">IF(SUM($X122)&lt;=0,"",$X122)</f>
        <v>0.0317460317460317</v>
      </c>
      <c r="BT122" s="115" t="n">
        <f aca="false">IF(LEFT($B122,4)="_Mil","",MAX(SUM($L122)+ROUND(SUM($BD122)/IF(SUM($BS122)&lt;=0,1,SUM($BS122)),0),0))</f>
        <v>467</v>
      </c>
    </row>
    <row r="123" customFormat="false" ht="15" hidden="false" customHeight="false" outlineLevel="0" collapsed="false">
      <c r="A123" s="0" t="s">
        <v>145</v>
      </c>
      <c r="B123" s="0" t="s">
        <v>107</v>
      </c>
      <c r="C123" s="0" t="s">
        <v>69</v>
      </c>
      <c r="D123" s="0" t="s">
        <v>56</v>
      </c>
      <c r="E123" s="0" t="str">
        <f aca="false">B123&amp;"|"&amp;C123&amp;"|"&amp;D123</f>
        <v>Mafeteng [#SNU] [#DREAMS] [DiFv5WXIHM5]|25-29|Female</v>
      </c>
      <c r="F123" s="115" t="n">
        <f aca="false">_xlfn.IFNA(ROUND(INDEX(Spectrum!$N:$N,MATCH(RIGHT($B123,13)&amp;"|"&amp;$C123&amp;"|"&amp;$D123&amp;"|"&amp;F$14&amp;"|"&amp;"CY2021Q3",Spectrum!$Q:$Q,0)),0),"")</f>
        <v>7388</v>
      </c>
      <c r="G123" s="123" t="n">
        <f aca="false">_xlfn.IFNA(INDEX(Spectrum!$P:$P,MATCH(RIGHT($B123,13)&amp;"|"&amp;$C123&amp;"|"&amp;$D123&amp;"|"&amp;F$14&amp;"|"&amp;"CY2021Q3",Spectrum!$Q:$Q,0)),"")</f>
        <v>31</v>
      </c>
      <c r="H123" s="115" t="n">
        <f aca="false">_xlfn.IFNA(ROUND(INDEX(Spectrum!$N:$N,MATCH(RIGHT($B123,13)&amp;"|"&amp;$C123&amp;"|"&amp;$D123&amp;"|"&amp;H$14&amp;"|"&amp;"CY2021Q3",Spectrum!$Q:$Q,0)),0),"")</f>
        <v>1901</v>
      </c>
      <c r="I123" s="123" t="n">
        <f aca="false">_xlfn.IFNA(INDEX(Spectrum!$P:$P,MATCH(RIGHT($B123,13)&amp;"|"&amp;$C123&amp;"|"&amp;$D123&amp;"|"&amp;H$14&amp;"|"&amp;"CY2021Q3",Spectrum!$Q:$Q,0)),"")</f>
        <v>10</v>
      </c>
      <c r="J123" s="117" t="n">
        <f aca="false">_xlfn.IFNA(INDEX(Spectrum!$N:$N,MATCH(RIGHT($B123,13)&amp;"|"&amp;$C123&amp;"|"&amp;$D123&amp;"|"&amp;J$14&amp;"|"&amp;"CY2021Q3",Spectrum!$Q:$Q,0)),"")</f>
        <v>0.2573216</v>
      </c>
      <c r="K123" s="123" t="n">
        <f aca="false">_xlfn.IFNA(INDEX(Spectrum!$P:$P,MATCH(RIGHT($B123,13)&amp;"|"&amp;$C123&amp;"|"&amp;$D123&amp;"|"&amp;J$14&amp;"|"&amp;"CY2021Q3",Spectrum!$Q:$Q,0)),"")</f>
        <v>35</v>
      </c>
      <c r="L123" s="115" t="n">
        <f aca="false">_xlfn.IFNA(ROUND(INDEX(Spectrum!$N:$N,MATCH(RIGHT($B123,13)&amp;"|"&amp;$C123&amp;"|"&amp;$D123&amp;"|"&amp;L$14&amp;"|"&amp;"CY2021Q3",Spectrum!$Q:$Q,0)),0),"")</f>
        <v>1405</v>
      </c>
      <c r="M123" s="123" t="n">
        <f aca="false">IF(OR(SUM($H123)&lt;=0,SUM($L123)&lt;=0),"",SUM($L123)/$H123)</f>
        <v>0.739084692267228</v>
      </c>
      <c r="N123" s="115" t="str">
        <f aca="false">_xlfn.IFNA(ROUND(INDEX(Spectrum!$N:$N,MATCH(RIGHT($B123,13)&amp;"|"&amp;$C123&amp;"|"&amp;$D123&amp;"|"&amp;N$14&amp;"|"&amp;"CY2020Q4",Spectrum!$Q:$Q,0)),0),"")</f>
        <v/>
      </c>
      <c r="O123" s="123" t="str">
        <f aca="false">_xlfn.IFNA(INDEX(Spectrum!$P:$P,MATCH(RIGHT($B123,13)&amp;"|"&amp;$C123&amp;"|"&amp;$D123&amp;"|"&amp;N$14&amp;"|"&amp;"CY2020Q4",Spectrum!$Q:$Q,0)),"")</f>
        <v/>
      </c>
      <c r="P123" s="115" t="n">
        <f aca="false">_xlfn.IFNA(ROUND(INDEX(Spectrum!$N:$N,MATCH(RIGHT($B123,13)&amp;"|"&amp;$C123&amp;"|"&amp;$D123&amp;"|"&amp;P$14&amp;"|"&amp;"CY2021Q3",Spectrum!$Q:$Q,0)),0),"")</f>
        <v>1216</v>
      </c>
      <c r="Q123" s="123" t="n">
        <f aca="false">_xlfn.IFNA(INDEX(Spectrum!$P:$P,MATCH(RIGHT($B123,13)&amp;"|"&amp;$C123&amp;"|"&amp;$D123&amp;"|"&amp;P$14&amp;"|"&amp;"CY2021Q3",Spectrum!$Q:$Q,0)),"")</f>
        <v>35</v>
      </c>
      <c r="R123" s="115"/>
      <c r="S123" s="123" t="str">
        <f aca="false">IF(OR(SUM($P123)&lt;=0,SUM($R123)&lt;=0),"",SUM($R123)/$P123)</f>
        <v/>
      </c>
      <c r="T123" s="139" t="n">
        <v>17</v>
      </c>
      <c r="U123" s="124" t="n">
        <v>27</v>
      </c>
      <c r="V123" s="124" t="n">
        <f aca="false">IF($U123-$T123=0,"",$U123-$T123)</f>
        <v>10</v>
      </c>
      <c r="W123" s="123" t="n">
        <f aca="false">IF(LEFT($B123,4)="_Mil","",IFERROR(MIN(IF(SUM($N123)&lt;=0,SUM($U123)/SUM($P123),SUM($T123)/SUM($N123)),1),""))</f>
        <v>0.0222039473684211</v>
      </c>
      <c r="X123" s="123" t="n">
        <f aca="false">$W123</f>
        <v>0.0222039473684211</v>
      </c>
      <c r="Y123" s="123" t="n">
        <f aca="false">IFERROR(1/(1/INDEX(Spectrum!$N:$N,MATCH(RIGHT($B123,13)&amp;"|"&amp;$C123&amp;"|"&amp;$D123&amp;"|"&amp;Y$14&amp;"|"&amp;"CY2021Q3",Spectrum!$Q:$Q,0))),IF(SUM($H123)=0,"",MAX(SUM($P123),SUM($U123))/SUM($H123)))</f>
        <v>0.639663335086796</v>
      </c>
      <c r="Z123" s="123" t="n">
        <f aca="false">IF(SUM($Y123)=0,"",MAX(SUM($Y123),90%))</f>
        <v>0.9</v>
      </c>
      <c r="AA123" s="115" t="n">
        <f aca="false">IF(LEFT($B123,4)="_Mil","",ROUND(MAX(SUM($U123),SUM($P123))+IF(SUM($Z123)=0,0,MAX(SUM($Z123)-SUM($Y123),0)*SUM($H123)),0))</f>
        <v>1711</v>
      </c>
      <c r="AB123" s="115" t="n">
        <f aca="false">IF(SUM($AA123)=0,"",ROUND(MAX(SUM($AA123)-MAX(SUM($P123),SUM($U123)),0),0))</f>
        <v>495</v>
      </c>
      <c r="AC123" s="126" t="str">
        <f aca="false">IF($C123="&lt;01",IFERROR(ROUND(INDEX(EID!$N:$N,MATCH($B123,EID!$B:$B,0))/2,0),""),"")</f>
        <v/>
      </c>
      <c r="AD123" s="115" t="n">
        <f aca="false">IF($C123="&lt;01",IF(SUM($AC123)=0,"",ROUND(SUM($AC123)/$AG123,0)),IF(SUM($AB123)=0,"",ROUND(MAX($X123,0)*SUM($AB123),0)))</f>
        <v>11</v>
      </c>
      <c r="AE123" s="115" t="n">
        <f aca="false">IF(AND(SUM($AD123)=0,SUM($U123)=0),"",ROUND(IF($C123="&lt;01",0,SUM($U123))+SUM($AD123),0))</f>
        <v>38</v>
      </c>
      <c r="AF123" s="122" t="n">
        <f aca="false">IF($C123="&lt;01","",100%)</f>
        <v>1</v>
      </c>
      <c r="AG123" s="123" t="n">
        <f aca="false">0.98</f>
        <v>0.98</v>
      </c>
      <c r="AH123" s="123" t="n">
        <f aca="false">0.98</f>
        <v>0.98</v>
      </c>
      <c r="AI123" s="124" t="n">
        <f aca="false">IF(OR($C123="&lt;01",SUM($U123)=0),"",ROUND(SUM($U123)*(1-$AH123),0))</f>
        <v>1</v>
      </c>
      <c r="AJ123" s="124" t="n">
        <f aca="false">IF(AND(SUM($AE123)=0,SUM($U123)=0),"",IF($C123="&lt;01",SUM($AD123),SUM($AE123) - ROUND(SUM($U123)*$AH123,0)))</f>
        <v>12</v>
      </c>
      <c r="AK123" s="124" t="n">
        <v>5</v>
      </c>
      <c r="AL123" s="124" t="n">
        <v>41</v>
      </c>
      <c r="AM123" s="115" t="n">
        <f aca="false">IF(AND(SUM($AD123)=0,SUM($U123)=0),"",IF($C123="&lt;01",SUM($AD123),ROUND(ROUND(SUM($AJ123)*$AF123,0)/$AG123,0)))</f>
        <v>12</v>
      </c>
      <c r="AN123" s="122" t="n">
        <f aca="false">0.7</f>
        <v>0.7</v>
      </c>
      <c r="AO123" s="123" t="n">
        <f aca="false">1</f>
        <v>1</v>
      </c>
      <c r="AP123" s="115" t="n">
        <f aca="false">IF(AND(SUM($U123)=0,SUM($AM123)=0),"",ROUND((SUM($AM123)*$AN123+IF($C123="&lt;01",0,$U123))*$AO123,0))</f>
        <v>35</v>
      </c>
      <c r="AQ123" s="122" t="n">
        <v>41</v>
      </c>
      <c r="AR123" s="123" t="n">
        <f aca="false">0.95</f>
        <v>0.95</v>
      </c>
      <c r="AS123" s="123" t="n">
        <f aca="false">0.95</f>
        <v>0.95</v>
      </c>
      <c r="AT123" s="115" t="n">
        <f aca="false">IF(SUM($AP123)=0,"",ROUND(SUM($AP123)*$AR123,0))</f>
        <v>33</v>
      </c>
      <c r="AU123" s="115" t="n">
        <f aca="false">IF(LEFT($B123,4)="_Mil","",ROUND(SUM($AA123)*SUM($AS123),0))</f>
        <v>1625</v>
      </c>
      <c r="AV123" s="124" t="n">
        <f aca="false">IF(SUM($AU123)&lt;=0,"",MAX(SUM($AU123)-SUM($R123),0))</f>
        <v>1625</v>
      </c>
      <c r="AW123" s="122" t="n">
        <f aca="false">0</f>
        <v>0</v>
      </c>
      <c r="AX123" s="124" t="n">
        <f aca="false">IF(SUM($AM123)=0,"",ROUND(SUM($AM123)*SUM($AW123),0))</f>
        <v>0</v>
      </c>
      <c r="AY123" s="124" t="n">
        <f aca="false">IF(SUM($AM123)=0,"",SUM($AM123)-SUM($AX123))</f>
        <v>12</v>
      </c>
      <c r="AZ123" s="123" t="n">
        <v>17</v>
      </c>
      <c r="BA123" s="123" t="n">
        <f aca="false">0.95</f>
        <v>0.95</v>
      </c>
      <c r="BB123" s="123"/>
      <c r="BC123" s="123" t="n">
        <f aca="false">IF(OR(SUM($AM123)&lt;=0,$C123="&lt;01"),"",MAX(IF(OR(SUM($Y123)&lt;70%,LEFT($B123,4)="_Mil"),30%,IF(SUM($Y123)&gt;=80%,75%,50%)),SUM($BB123)))</f>
        <v>0.3</v>
      </c>
      <c r="BD123" s="115" t="n">
        <f aca="false">IF($C123="&lt;01",IFERROR(ROUND(INDEX(EID!$M:$M,MATCH($B123,EID!$B:$B,0)),0)/2,""),IF(SUM($AY123)=0,"",ROUND(SUM($AY123)/SUM($BA123),0)))</f>
        <v>13</v>
      </c>
      <c r="BE123" s="115" t="n">
        <f aca="false">IF($C123="&lt;01","",IF(SUM($BD123)=0,"",ROUND(SUM($BD123)*SUM($BC123),0)))</f>
        <v>4</v>
      </c>
      <c r="BF123" s="115" t="n">
        <f aca="false">_xlfn.IFNA(INDEX(PMTCT!$AE:$AE,MATCH($E123,PMTCT!$E:$E,0)),"")</f>
        <v>-16740</v>
      </c>
      <c r="BG123" s="115" t="str">
        <f aca="false">_xlfn.IFNA(INDEX(PMTCT!$AU:$AU,MATCH($E123,PMTCT!$E:$E,0)),"")</f>
        <v/>
      </c>
      <c r="BH123" s="115" t="n">
        <f aca="false">_xlfn.IFNA(INDEX(TB!$Q:$Q,MATCH($E123,TB!$E:$E,0)),"")</f>
        <v>-23408</v>
      </c>
      <c r="BI123" s="115" t="str">
        <f aca="false">_xlfn.IFNA(INDEX(VMMC!$AC:$AC,MATCH($E123,VMMC!$E:$E,0)),"")</f>
        <v/>
      </c>
      <c r="BJ123" s="115" t="str">
        <f aca="false">IF($C123="&lt;01",$BD123,"")</f>
        <v/>
      </c>
      <c r="BK123" s="115" t="n">
        <f aca="false">IF(SUM($BD123)=0,"",($BD123)-SUM($BE123:$BJ123))</f>
        <v>40157</v>
      </c>
      <c r="BL123" s="123" t="n">
        <f aca="false">IF(OR(SUM($BD123)=0,SUM($BE123)=0),"",SUM($BE123)/$BD123)</f>
        <v>0.307692307692308</v>
      </c>
      <c r="BM123" s="123" t="n">
        <f aca="false">IF(OR(SUM($BD123)=0,SUM($BF123)=0),"",SUM($BF123)/$BD123)</f>
        <v>-1287.69230769231</v>
      </c>
      <c r="BN123" s="123" t="str">
        <f aca="false">IF(OR(SUM($BD123)=0,SUM($BG123)=0),"",SUM($BG123)/$BD123)</f>
        <v/>
      </c>
      <c r="BO123" s="123" t="n">
        <f aca="false">IF(OR(SUM($BD123)=0,SUM($BH123)=0),"",SUM($BH123)/$BD123)</f>
        <v>-1800.61538461538</v>
      </c>
      <c r="BP123" s="123" t="str">
        <f aca="false">IF(OR(SUM($BD123)=0,SUM($BI123)=0),"",SUM($BI123)/$BD123)</f>
        <v/>
      </c>
      <c r="BQ123" s="123" t="str">
        <f aca="false">IF(AND($C123="&lt;01",SUM($BJ123)&lt;&gt;0),$BJ123/SUM($BD123),"")</f>
        <v/>
      </c>
      <c r="BR123" s="123" t="n">
        <f aca="false">IF(OR(SUM($BD123)=0,SUM($BK123)=0),"",SUM($BK123)/$BD123)</f>
        <v>3089</v>
      </c>
      <c r="BS123" s="122" t="n">
        <f aca="false">IF(SUM($X123)&lt;=0,"",$X123)</f>
        <v>0.0222039473684211</v>
      </c>
      <c r="BT123" s="115" t="n">
        <f aca="false">IF(LEFT($B123,4)="_Mil","",MAX(SUM($L123)+ROUND(SUM($BD123)/IF(SUM($BS123)&lt;=0,1,SUM($BS123)),0),0))</f>
        <v>1990</v>
      </c>
    </row>
    <row r="124" customFormat="false" ht="15" hidden="false" customHeight="false" outlineLevel="0" collapsed="false">
      <c r="A124" s="0" t="s">
        <v>145</v>
      </c>
      <c r="B124" s="0" t="s">
        <v>107</v>
      </c>
      <c r="C124" s="0" t="s">
        <v>69</v>
      </c>
      <c r="D124" s="0" t="s">
        <v>58</v>
      </c>
      <c r="E124" s="0" t="str">
        <f aca="false">B124&amp;"|"&amp;C124&amp;"|"&amp;D124</f>
        <v>Mafeteng [#SNU] [#DREAMS] [DiFv5WXIHM5]|25-29|Male</v>
      </c>
      <c r="F124" s="115" t="n">
        <f aca="false">_xlfn.IFNA(ROUND(INDEX(Spectrum!$N:$N,MATCH(RIGHT($B124,13)&amp;"|"&amp;$C124&amp;"|"&amp;$D124&amp;"|"&amp;F$14&amp;"|"&amp;"CY2021Q3",Spectrum!$Q:$Q,0)),0),"")</f>
        <v>8913</v>
      </c>
      <c r="G124" s="123" t="n">
        <f aca="false">_xlfn.IFNA(INDEX(Spectrum!$P:$P,MATCH(RIGHT($B124,13)&amp;"|"&amp;$C124&amp;"|"&amp;$D124&amp;"|"&amp;F$14&amp;"|"&amp;"CY2021Q3",Spectrum!$Q:$Q,0)),"")</f>
        <v>11</v>
      </c>
      <c r="H124" s="115" t="n">
        <f aca="false">_xlfn.IFNA(ROUND(INDEX(Spectrum!$N:$N,MATCH(RIGHT($B124,13)&amp;"|"&amp;$C124&amp;"|"&amp;$D124&amp;"|"&amp;H$14&amp;"|"&amp;"CY2021Q3",Spectrum!$Q:$Q,0)),0),"")</f>
        <v>963</v>
      </c>
      <c r="I124" s="123" t="n">
        <f aca="false">_xlfn.IFNA(INDEX(Spectrum!$P:$P,MATCH(RIGHT($B124,13)&amp;"|"&amp;$C124&amp;"|"&amp;$D124&amp;"|"&amp;H$14&amp;"|"&amp;"CY2021Q3",Spectrum!$Q:$Q,0)),"")</f>
        <v>36</v>
      </c>
      <c r="J124" s="117" t="n">
        <f aca="false">_xlfn.IFNA(INDEX(Spectrum!$N:$N,MATCH(RIGHT($B124,13)&amp;"|"&amp;$C124&amp;"|"&amp;$D124&amp;"|"&amp;J$14&amp;"|"&amp;"CY2021Q3",Spectrum!$Q:$Q,0)),"")</f>
        <v>0.1080619</v>
      </c>
      <c r="K124" s="123" t="n">
        <f aca="false">_xlfn.IFNA(INDEX(Spectrum!$P:$P,MATCH(RIGHT($B124,13)&amp;"|"&amp;$C124&amp;"|"&amp;$D124&amp;"|"&amp;J$14&amp;"|"&amp;"CY2021Q3",Spectrum!$Q:$Q,0)),"")</f>
        <v>33</v>
      </c>
      <c r="L124" s="115" t="n">
        <f aca="false">_xlfn.IFNA(ROUND(INDEX(Spectrum!$N:$N,MATCH(RIGHT($B124,13)&amp;"|"&amp;$C124&amp;"|"&amp;$D124&amp;"|"&amp;L$14&amp;"|"&amp;"CY2021Q3",Spectrum!$Q:$Q,0)),0),"")</f>
        <v>620</v>
      </c>
      <c r="M124" s="123" t="n">
        <f aca="false">IF(OR(SUM($H124)&lt;=0,SUM($L124)&lt;=0),"",SUM($L124)/$H124)</f>
        <v>0.643821391484943</v>
      </c>
      <c r="N124" s="115" t="str">
        <f aca="false">_xlfn.IFNA(ROUND(INDEX(Spectrum!$N:$N,MATCH(RIGHT($B124,13)&amp;"|"&amp;$C124&amp;"|"&amp;$D124&amp;"|"&amp;N$14&amp;"|"&amp;"CY2020Q4",Spectrum!$Q:$Q,0)),0),"")</f>
        <v/>
      </c>
      <c r="O124" s="123" t="str">
        <f aca="false">_xlfn.IFNA(INDEX(Spectrum!$P:$P,MATCH(RIGHT($B124,13)&amp;"|"&amp;$C124&amp;"|"&amp;$D124&amp;"|"&amp;N$14&amp;"|"&amp;"CY2020Q4",Spectrum!$Q:$Q,0)),"")</f>
        <v/>
      </c>
      <c r="P124" s="115" t="n">
        <f aca="false">_xlfn.IFNA(ROUND(INDEX(Spectrum!$N:$N,MATCH(RIGHT($B124,13)&amp;"|"&amp;$C124&amp;"|"&amp;$D124&amp;"|"&amp;P$14&amp;"|"&amp;"CY2021Q3",Spectrum!$Q:$Q,0)),0),"")</f>
        <v>460</v>
      </c>
      <c r="Q124" s="123" t="n">
        <f aca="false">_xlfn.IFNA(INDEX(Spectrum!$P:$P,MATCH(RIGHT($B124,13)&amp;"|"&amp;$C124&amp;"|"&amp;$D124&amp;"|"&amp;P$14&amp;"|"&amp;"CY2021Q3",Spectrum!$Q:$Q,0)),"")</f>
        <v>5</v>
      </c>
      <c r="R124" s="115"/>
      <c r="S124" s="123" t="str">
        <f aca="false">IF(OR(SUM($P124)&lt;=0,SUM($R124)&lt;=0),"",SUM($R124)/$P124)</f>
        <v/>
      </c>
      <c r="T124" s="139" t="n">
        <v>8</v>
      </c>
      <c r="U124" s="124" t="n">
        <v>21</v>
      </c>
      <c r="V124" s="124" t="n">
        <f aca="false">IF($U124-$T124=0,"",$U124-$T124)</f>
        <v>13</v>
      </c>
      <c r="W124" s="123" t="n">
        <f aca="false">IF(LEFT($B124,4)="_Mil","",IFERROR(MIN(IF(SUM($N124)&lt;=0,SUM($U124)/SUM($P124),SUM($T124)/SUM($N124)),1),""))</f>
        <v>0.0456521739130435</v>
      </c>
      <c r="X124" s="123" t="n">
        <f aca="false">$W124</f>
        <v>0.0456521739130435</v>
      </c>
      <c r="Y124" s="123" t="n">
        <f aca="false">IFERROR(1/(1/INDEX(Spectrum!$N:$N,MATCH(RIGHT($B124,13)&amp;"|"&amp;$C124&amp;"|"&amp;$D124&amp;"|"&amp;Y$14&amp;"|"&amp;"CY2021Q3",Spectrum!$Q:$Q,0))),IF(SUM($H124)=0,"",MAX(SUM($P124),SUM($U124))/SUM($H124)))</f>
        <v>0.477673935617861</v>
      </c>
      <c r="Z124" s="123" t="n">
        <f aca="false">IF(SUM($Y124)=0,"",MAX(SUM($Y124),90%))</f>
        <v>0.9</v>
      </c>
      <c r="AA124" s="115" t="n">
        <f aca="false">IF(LEFT($B124,4)="_Mil","",ROUND(MAX(SUM($U124),SUM($P124))+IF(SUM($Z124)=0,0,MAX(SUM($Z124)-SUM($Y124),0)*SUM($H124)),0))</f>
        <v>867</v>
      </c>
      <c r="AB124" s="115" t="n">
        <f aca="false">IF(SUM($AA124)=0,"",ROUND(MAX(SUM($AA124)-MAX(SUM($P124),SUM($U124)),0),0))</f>
        <v>407</v>
      </c>
      <c r="AC124" s="126" t="str">
        <f aca="false">IF($C124="&lt;01",IFERROR(ROUND(INDEX(EID!$N:$N,MATCH($B124,EID!$B:$B,0))/2,0),""),"")</f>
        <v/>
      </c>
      <c r="AD124" s="115" t="n">
        <f aca="false">IF($C124="&lt;01",IF(SUM($AC124)=0,"",ROUND(SUM($AC124)/$AG124,0)),IF(SUM($AB124)=0,"",ROUND(MAX($X124,0)*SUM($AB124),0)))</f>
        <v>19</v>
      </c>
      <c r="AE124" s="115" t="n">
        <f aca="false">IF(AND(SUM($AD124)=0,SUM($U124)=0),"",ROUND(IF($C124="&lt;01",0,SUM($U124))+SUM($AD124),0))</f>
        <v>40</v>
      </c>
      <c r="AF124" s="122" t="n">
        <f aca="false">IF($C124="&lt;01","",100%)</f>
        <v>1</v>
      </c>
      <c r="AG124" s="123" t="n">
        <f aca="false">0.98</f>
        <v>0.98</v>
      </c>
      <c r="AH124" s="123" t="n">
        <f aca="false">0.98</f>
        <v>0.98</v>
      </c>
      <c r="AI124" s="124" t="n">
        <f aca="false">IF(OR($C124="&lt;01",SUM($U124)=0),"",ROUND(SUM($U124)*(1-$AH124),0))</f>
        <v>0</v>
      </c>
      <c r="AJ124" s="124" t="n">
        <f aca="false">IF(AND(SUM($AE124)=0,SUM($U124)=0),"",IF($C124="&lt;01",SUM($AD124),SUM($AE124) - ROUND(SUM($U124)*$AH124,0)))</f>
        <v>19</v>
      </c>
      <c r="AK124" s="124" t="n">
        <v>14</v>
      </c>
      <c r="AL124" s="124" t="n">
        <v>31</v>
      </c>
      <c r="AM124" s="115" t="n">
        <f aca="false">IF(AND(SUM($AD124)=0,SUM($U124)=0),"",IF($C124="&lt;01",SUM($AD124),ROUND(ROUND(SUM($AJ124)*$AF124,0)/$AG124,0)))</f>
        <v>19</v>
      </c>
      <c r="AN124" s="122" t="n">
        <f aca="false">0.7</f>
        <v>0.7</v>
      </c>
      <c r="AO124" s="123" t="n">
        <f aca="false">1</f>
        <v>1</v>
      </c>
      <c r="AP124" s="115" t="n">
        <f aca="false">IF(AND(SUM($U124)=0,SUM($AM124)=0),"",ROUND((SUM($AM124)*$AN124+IF($C124="&lt;01",0,$U124))*$AO124,0))</f>
        <v>34</v>
      </c>
      <c r="AQ124" s="122" t="n">
        <v>21</v>
      </c>
      <c r="AR124" s="123" t="n">
        <f aca="false">0.95</f>
        <v>0.95</v>
      </c>
      <c r="AS124" s="123" t="n">
        <f aca="false">0.95</f>
        <v>0.95</v>
      </c>
      <c r="AT124" s="115" t="n">
        <f aca="false">IF(SUM($AP124)=0,"",ROUND(SUM($AP124)*$AR124,0))</f>
        <v>32</v>
      </c>
      <c r="AU124" s="115" t="n">
        <f aca="false">IF(LEFT($B124,4)="_Mil","",ROUND(SUM($AA124)*SUM($AS124),0))</f>
        <v>824</v>
      </c>
      <c r="AV124" s="124" t="n">
        <f aca="false">IF(SUM($AU124)&lt;=0,"",MAX(SUM($AU124)-SUM($R124),0))</f>
        <v>824</v>
      </c>
      <c r="AW124" s="122" t="n">
        <f aca="false">0</f>
        <v>0</v>
      </c>
      <c r="AX124" s="124" t="n">
        <f aca="false">IF(SUM($AM124)=0,"",ROUND(SUM($AM124)*SUM($AW124),0))</f>
        <v>0</v>
      </c>
      <c r="AY124" s="124" t="n">
        <f aca="false">IF(SUM($AM124)=0,"",SUM($AM124)-SUM($AX124))</f>
        <v>19</v>
      </c>
      <c r="AZ124" s="123" t="n">
        <v>30</v>
      </c>
      <c r="BA124" s="123" t="n">
        <f aca="false">0.95</f>
        <v>0.95</v>
      </c>
      <c r="BB124" s="123"/>
      <c r="BC124" s="123" t="n">
        <f aca="false">IF(OR(SUM($AM124)&lt;=0,$C124="&lt;01"),"",MAX(IF(OR(SUM($Y124)&lt;70%,LEFT($B124,4)="_Mil"),30%,IF(SUM($Y124)&gt;=80%,75%,50%)),SUM($BB124)))</f>
        <v>0.3</v>
      </c>
      <c r="BD124" s="115" t="n">
        <f aca="false">IF($C124="&lt;01",IFERROR(ROUND(INDEX(EID!$M:$M,MATCH($B124,EID!$B:$B,0)),0)/2,""),IF(SUM($AY124)=0,"",ROUND(SUM($AY124)/SUM($BA124),0)))</f>
        <v>20</v>
      </c>
      <c r="BE124" s="115" t="n">
        <f aca="false">IF($C124="&lt;01","",IF(SUM($BD124)=0,"",ROUND(SUM($BD124)*SUM($BC124),0)))</f>
        <v>6</v>
      </c>
      <c r="BF124" s="115" t="str">
        <f aca="false">_xlfn.IFNA(INDEX(PMTCT!$AE:$AE,MATCH($E124,PMTCT!$E:$E,0)),"")</f>
        <v/>
      </c>
      <c r="BG124" s="115" t="str">
        <f aca="false">_xlfn.IFNA(INDEX(PMTCT!$AU:$AU,MATCH($E124,PMTCT!$E:$E,0)),"")</f>
        <v/>
      </c>
      <c r="BH124" s="115" t="n">
        <f aca="false">_xlfn.IFNA(INDEX(TB!$Q:$Q,MATCH($E124,TB!$E:$E,0)),"")</f>
        <v>-10824</v>
      </c>
      <c r="BI124" s="115" t="str">
        <f aca="false">_xlfn.IFNA(INDEX(VMMC!$AC:$AC,MATCH($E124,VMMC!$E:$E,0)),"")</f>
        <v/>
      </c>
      <c r="BJ124" s="115" t="str">
        <f aca="false">IF($C124="&lt;01",$BD124,"")</f>
        <v/>
      </c>
      <c r="BK124" s="115" t="n">
        <f aca="false">IF(SUM($BD124)=0,"",($BD124)-SUM($BE124:$BJ124))</f>
        <v>10838</v>
      </c>
      <c r="BL124" s="123" t="n">
        <f aca="false">IF(OR(SUM($BD124)=0,SUM($BE124)=0),"",SUM($BE124)/$BD124)</f>
        <v>0.3</v>
      </c>
      <c r="BM124" s="123" t="str">
        <f aca="false">IF(OR(SUM($BD124)=0,SUM($BF124)=0),"",SUM($BF124)/$BD124)</f>
        <v/>
      </c>
      <c r="BN124" s="123" t="str">
        <f aca="false">IF(OR(SUM($BD124)=0,SUM($BG124)=0),"",SUM($BG124)/$BD124)</f>
        <v/>
      </c>
      <c r="BO124" s="123" t="n">
        <f aca="false">IF(OR(SUM($BD124)=0,SUM($BH124)=0),"",SUM($BH124)/$BD124)</f>
        <v>-541.2</v>
      </c>
      <c r="BP124" s="123" t="str">
        <f aca="false">IF(OR(SUM($BD124)=0,SUM($BI124)=0),"",SUM($BI124)/$BD124)</f>
        <v/>
      </c>
      <c r="BQ124" s="123" t="str">
        <f aca="false">IF(AND($C124="&lt;01",SUM($BJ124)&lt;&gt;0),$BJ124/SUM($BD124),"")</f>
        <v/>
      </c>
      <c r="BR124" s="123" t="n">
        <f aca="false">IF(OR(SUM($BD124)=0,SUM($BK124)=0),"",SUM($BK124)/$BD124)</f>
        <v>541.9</v>
      </c>
      <c r="BS124" s="122" t="n">
        <f aca="false">IF(SUM($X124)&lt;=0,"",$X124)</f>
        <v>0.0456521739130435</v>
      </c>
      <c r="BT124" s="115" t="n">
        <f aca="false">IF(LEFT($B124,4)="_Mil","",MAX(SUM($L124)+ROUND(SUM($BD124)/IF(SUM($BS124)&lt;=0,1,SUM($BS124)),0),0))</f>
        <v>1058</v>
      </c>
    </row>
    <row r="125" customFormat="false" ht="15" hidden="false" customHeight="false" outlineLevel="0" collapsed="false">
      <c r="A125" s="0" t="s">
        <v>145</v>
      </c>
      <c r="B125" s="0" t="s">
        <v>107</v>
      </c>
      <c r="C125" s="0" t="s">
        <v>72</v>
      </c>
      <c r="D125" s="0" t="s">
        <v>56</v>
      </c>
      <c r="E125" s="0" t="str">
        <f aca="false">B125&amp;"|"&amp;C125&amp;"|"&amp;D125</f>
        <v>Mafeteng [#SNU] [#DREAMS] [DiFv5WXIHM5]|30-34|Female</v>
      </c>
      <c r="F125" s="115" t="n">
        <f aca="false">_xlfn.IFNA(ROUND(INDEX(Spectrum!$N:$N,MATCH(RIGHT($B125,13)&amp;"|"&amp;$C125&amp;"|"&amp;$D125&amp;"|"&amp;F$14&amp;"|"&amp;"CY2021Q3",Spectrum!$Q:$Q,0)),0),"")</f>
        <v>7116</v>
      </c>
      <c r="G125" s="123" t="n">
        <f aca="false">_xlfn.IFNA(INDEX(Spectrum!$P:$P,MATCH(RIGHT($B125,13)&amp;"|"&amp;$C125&amp;"|"&amp;$D125&amp;"|"&amp;F$14&amp;"|"&amp;"CY2021Q3",Spectrum!$Q:$Q,0)),"")</f>
        <v>6</v>
      </c>
      <c r="H125" s="115" t="n">
        <f aca="false">_xlfn.IFNA(ROUND(INDEX(Spectrum!$N:$N,MATCH(RIGHT($B125,13)&amp;"|"&amp;$C125&amp;"|"&amp;$D125&amp;"|"&amp;H$14&amp;"|"&amp;"CY2021Q3",Spectrum!$Q:$Q,0)),0),"")</f>
        <v>2649</v>
      </c>
      <c r="I125" s="123" t="n">
        <f aca="false">_xlfn.IFNA(INDEX(Spectrum!$P:$P,MATCH(RIGHT($B125,13)&amp;"|"&amp;$C125&amp;"|"&amp;$D125&amp;"|"&amp;H$14&amp;"|"&amp;"CY2021Q3",Spectrum!$Q:$Q,0)),"")</f>
        <v>14</v>
      </c>
      <c r="J125" s="117" t="n">
        <f aca="false">_xlfn.IFNA(INDEX(Spectrum!$N:$N,MATCH(RIGHT($B125,13)&amp;"|"&amp;$C125&amp;"|"&amp;$D125&amp;"|"&amp;J$14&amp;"|"&amp;"CY2021Q3",Spectrum!$Q:$Q,0)),"")</f>
        <v>0.3721924</v>
      </c>
      <c r="K125" s="123" t="n">
        <f aca="false">_xlfn.IFNA(INDEX(Spectrum!$P:$P,MATCH(RIGHT($B125,13)&amp;"|"&amp;$C125&amp;"|"&amp;$D125&amp;"|"&amp;J$14&amp;"|"&amp;"CY2021Q3",Spectrum!$Q:$Q,0)),"")</f>
        <v>22</v>
      </c>
      <c r="L125" s="115" t="n">
        <f aca="false">_xlfn.IFNA(ROUND(INDEX(Spectrum!$N:$N,MATCH(RIGHT($B125,13)&amp;"|"&amp;$C125&amp;"|"&amp;$D125&amp;"|"&amp;L$14&amp;"|"&amp;"CY2021Q3",Spectrum!$Q:$Q,0)),0),"")</f>
        <v>1793</v>
      </c>
      <c r="M125" s="123" t="n">
        <f aca="false">IF(OR(SUM($H125)&lt;=0,SUM($L125)&lt;=0),"",SUM($L125)/$H125)</f>
        <v>0.67685919214798</v>
      </c>
      <c r="N125" s="115" t="str">
        <f aca="false">_xlfn.IFNA(ROUND(INDEX(Spectrum!$N:$N,MATCH(RIGHT($B125,13)&amp;"|"&amp;$C125&amp;"|"&amp;$D125&amp;"|"&amp;N$14&amp;"|"&amp;"CY2020Q4",Spectrum!$Q:$Q,0)),0),"")</f>
        <v/>
      </c>
      <c r="O125" s="123" t="str">
        <f aca="false">_xlfn.IFNA(INDEX(Spectrum!$P:$P,MATCH(RIGHT($B125,13)&amp;"|"&amp;$C125&amp;"|"&amp;$D125&amp;"|"&amp;N$14&amp;"|"&amp;"CY2020Q4",Spectrum!$Q:$Q,0)),"")</f>
        <v/>
      </c>
      <c r="P125" s="115" t="n">
        <f aca="false">_xlfn.IFNA(ROUND(INDEX(Spectrum!$N:$N,MATCH(RIGHT($B125,13)&amp;"|"&amp;$C125&amp;"|"&amp;$D125&amp;"|"&amp;P$14&amp;"|"&amp;"CY2021Q3",Spectrum!$Q:$Q,0)),0),"")</f>
        <v>1620</v>
      </c>
      <c r="Q125" s="123" t="n">
        <f aca="false">_xlfn.IFNA(INDEX(Spectrum!$P:$P,MATCH(RIGHT($B125,13)&amp;"|"&amp;$C125&amp;"|"&amp;$D125&amp;"|"&amp;P$14&amp;"|"&amp;"CY2021Q3",Spectrum!$Q:$Q,0)),"")</f>
        <v>39</v>
      </c>
      <c r="R125" s="115"/>
      <c r="S125" s="123" t="str">
        <f aca="false">IF(OR(SUM($P125)&lt;=0,SUM($R125)&lt;=0),"",SUM($R125)/$P125)</f>
        <v/>
      </c>
      <c r="T125" s="139" t="n">
        <v>8</v>
      </c>
      <c r="U125" s="124" t="n">
        <v>46</v>
      </c>
      <c r="V125" s="124" t="n">
        <f aca="false">IF($U125-$T125=0,"",$U125-$T125)</f>
        <v>38</v>
      </c>
      <c r="W125" s="123" t="n">
        <f aca="false">IF(LEFT($B125,4)="_Mil","",IFERROR(MIN(IF(SUM($N125)&lt;=0,SUM($U125)/SUM($P125),SUM($T125)/SUM($N125)),1),""))</f>
        <v>0.0283950617283951</v>
      </c>
      <c r="X125" s="123" t="n">
        <f aca="false">$W125</f>
        <v>0.0283950617283951</v>
      </c>
      <c r="Y125" s="123" t="n">
        <f aca="false">IFERROR(1/(1/INDEX(Spectrum!$N:$N,MATCH(RIGHT($B125,13)&amp;"|"&amp;$C125&amp;"|"&amp;$D125&amp;"|"&amp;Y$14&amp;"|"&amp;"CY2021Q3",Spectrum!$Q:$Q,0))),IF(SUM($H125)=0,"",MAX(SUM($P125),SUM($U125))/SUM($H125)))</f>
        <v>0.611551528878822</v>
      </c>
      <c r="Z125" s="123" t="n">
        <f aca="false">IF(SUM($Y125)=0,"",MAX(SUM($Y125),90%))</f>
        <v>0.9</v>
      </c>
      <c r="AA125" s="115" t="n">
        <f aca="false">IF(LEFT($B125,4)="_Mil","",ROUND(MAX(SUM($U125),SUM($P125))+IF(SUM($Z125)=0,0,MAX(SUM($Z125)-SUM($Y125),0)*SUM($H125)),0))</f>
        <v>2384</v>
      </c>
      <c r="AB125" s="115" t="n">
        <f aca="false">IF(SUM($AA125)=0,"",ROUND(MAX(SUM($AA125)-MAX(SUM($P125),SUM($U125)),0),0))</f>
        <v>764</v>
      </c>
      <c r="AC125" s="126" t="str">
        <f aca="false">IF($C125="&lt;01",IFERROR(ROUND(INDEX(EID!$N:$N,MATCH($B125,EID!$B:$B,0))/2,0),""),"")</f>
        <v/>
      </c>
      <c r="AD125" s="115" t="n">
        <f aca="false">IF($C125="&lt;01",IF(SUM($AC125)=0,"",ROUND(SUM($AC125)/$AG125,0)),IF(SUM($AB125)=0,"",ROUND(MAX($X125,0)*SUM($AB125),0)))</f>
        <v>22</v>
      </c>
      <c r="AE125" s="115" t="n">
        <f aca="false">IF(AND(SUM($AD125)=0,SUM($U125)=0),"",ROUND(IF($C125="&lt;01",0,SUM($U125))+SUM($AD125),0))</f>
        <v>68</v>
      </c>
      <c r="AF125" s="122" t="n">
        <f aca="false">IF($C125="&lt;01","",100%)</f>
        <v>1</v>
      </c>
      <c r="AG125" s="123" t="n">
        <f aca="false">0.98</f>
        <v>0.98</v>
      </c>
      <c r="AH125" s="123" t="n">
        <f aca="false">0.98</f>
        <v>0.98</v>
      </c>
      <c r="AI125" s="124" t="n">
        <f aca="false">IF(OR($C125="&lt;01",SUM($U125)=0),"",ROUND(SUM($U125)*(1-$AH125),0))</f>
        <v>1</v>
      </c>
      <c r="AJ125" s="124" t="n">
        <f aca="false">IF(AND(SUM($AE125)=0,SUM($U125)=0),"",IF($C125="&lt;01",SUM($AD125),SUM($AE125) - ROUND(SUM($U125)*$AH125,0)))</f>
        <v>23</v>
      </c>
      <c r="AK125" s="124" t="n">
        <v>35</v>
      </c>
      <c r="AL125" s="124" t="n">
        <v>11</v>
      </c>
      <c r="AM125" s="115" t="n">
        <f aca="false">IF(AND(SUM($AD125)=0,SUM($U125)=0),"",IF($C125="&lt;01",SUM($AD125),ROUND(ROUND(SUM($AJ125)*$AF125,0)/$AG125,0)))</f>
        <v>23</v>
      </c>
      <c r="AN125" s="122" t="n">
        <f aca="false">0.7</f>
        <v>0.7</v>
      </c>
      <c r="AO125" s="123" t="n">
        <f aca="false">1</f>
        <v>1</v>
      </c>
      <c r="AP125" s="115" t="n">
        <f aca="false">IF(AND(SUM($U125)=0,SUM($AM125)=0),"",ROUND((SUM($AM125)*$AN125+IF($C125="&lt;01",0,$U125))*$AO125,0))</f>
        <v>62</v>
      </c>
      <c r="AQ125" s="122" t="n">
        <v>26</v>
      </c>
      <c r="AR125" s="123" t="n">
        <f aca="false">0.95</f>
        <v>0.95</v>
      </c>
      <c r="AS125" s="123" t="n">
        <f aca="false">0.95</f>
        <v>0.95</v>
      </c>
      <c r="AT125" s="115" t="n">
        <f aca="false">IF(SUM($AP125)=0,"",ROUND(SUM($AP125)*$AR125,0))</f>
        <v>59</v>
      </c>
      <c r="AU125" s="115" t="n">
        <f aca="false">IF(LEFT($B125,4)="_Mil","",ROUND(SUM($AA125)*SUM($AS125),0))</f>
        <v>2265</v>
      </c>
      <c r="AV125" s="124" t="n">
        <f aca="false">IF(SUM($AU125)&lt;=0,"",MAX(SUM($AU125)-SUM($R125),0))</f>
        <v>2265</v>
      </c>
      <c r="AW125" s="122" t="n">
        <f aca="false">0</f>
        <v>0</v>
      </c>
      <c r="AX125" s="124" t="n">
        <f aca="false">IF(SUM($AM125)=0,"",ROUND(SUM($AM125)*SUM($AW125),0))</f>
        <v>0</v>
      </c>
      <c r="AY125" s="124" t="n">
        <f aca="false">IF(SUM($AM125)=0,"",SUM($AM125)-SUM($AX125))</f>
        <v>23</v>
      </c>
      <c r="AZ125" s="123" t="n">
        <v>35</v>
      </c>
      <c r="BA125" s="123" t="n">
        <f aca="false">0.95</f>
        <v>0.95</v>
      </c>
      <c r="BB125" s="123"/>
      <c r="BC125" s="123" t="n">
        <f aca="false">IF(OR(SUM($AM125)&lt;=0,$C125="&lt;01"),"",MAX(IF(OR(SUM($Y125)&lt;70%,LEFT($B125,4)="_Mil"),30%,IF(SUM($Y125)&gt;=80%,75%,50%)),SUM($BB125)))</f>
        <v>0.3</v>
      </c>
      <c r="BD125" s="115" t="n">
        <f aca="false">IF($C125="&lt;01",IFERROR(ROUND(INDEX(EID!$M:$M,MATCH($B125,EID!$B:$B,0)),0)/2,""),IF(SUM($AY125)=0,"",ROUND(SUM($AY125)/SUM($BA125),0)))</f>
        <v>24</v>
      </c>
      <c r="BE125" s="115" t="n">
        <f aca="false">IF($C125="&lt;01","",IF(SUM($BD125)=0,"",ROUND(SUM($BD125)*SUM($BC125),0)))</f>
        <v>7</v>
      </c>
      <c r="BF125" s="115" t="n">
        <f aca="false">_xlfn.IFNA(INDEX(PMTCT!$AE:$AE,MATCH($E125,PMTCT!$E:$E,0)),"")</f>
        <v>-360</v>
      </c>
      <c r="BG125" s="115" t="str">
        <f aca="false">_xlfn.IFNA(INDEX(PMTCT!$AU:$AU,MATCH($E125,PMTCT!$E:$E,0)),"")</f>
        <v/>
      </c>
      <c r="BH125" s="115" t="n">
        <f aca="false">_xlfn.IFNA(INDEX(TB!$Q:$Q,MATCH($E125,TB!$E:$E,0)),"")</f>
        <v>-5184</v>
      </c>
      <c r="BI125" s="115" t="str">
        <f aca="false">_xlfn.IFNA(INDEX(VMMC!$AC:$AC,MATCH($E125,VMMC!$E:$E,0)),"")</f>
        <v/>
      </c>
      <c r="BJ125" s="115" t="str">
        <f aca="false">IF($C125="&lt;01",$BD125,"")</f>
        <v/>
      </c>
      <c r="BK125" s="115" t="n">
        <f aca="false">IF(SUM($BD125)=0,"",($BD125)-SUM($BE125:$BJ125))</f>
        <v>5561</v>
      </c>
      <c r="BL125" s="123" t="n">
        <f aca="false">IF(OR(SUM($BD125)=0,SUM($BE125)=0),"",SUM($BE125)/$BD125)</f>
        <v>0.291666666666667</v>
      </c>
      <c r="BM125" s="123" t="n">
        <f aca="false">IF(OR(SUM($BD125)=0,SUM($BF125)=0),"",SUM($BF125)/$BD125)</f>
        <v>-15</v>
      </c>
      <c r="BN125" s="123" t="str">
        <f aca="false">IF(OR(SUM($BD125)=0,SUM($BG125)=0),"",SUM($BG125)/$BD125)</f>
        <v/>
      </c>
      <c r="BO125" s="123" t="n">
        <f aca="false">IF(OR(SUM($BD125)=0,SUM($BH125)=0),"",SUM($BH125)/$BD125)</f>
        <v>-216</v>
      </c>
      <c r="BP125" s="123" t="str">
        <f aca="false">IF(OR(SUM($BD125)=0,SUM($BI125)=0),"",SUM($BI125)/$BD125)</f>
        <v/>
      </c>
      <c r="BQ125" s="123" t="str">
        <f aca="false">IF(AND($C125="&lt;01",SUM($BJ125)&lt;&gt;0),$BJ125/SUM($BD125),"")</f>
        <v/>
      </c>
      <c r="BR125" s="123" t="n">
        <f aca="false">IF(OR(SUM($BD125)=0,SUM($BK125)=0),"",SUM($BK125)/$BD125)</f>
        <v>231.708333333333</v>
      </c>
      <c r="BS125" s="122" t="n">
        <f aca="false">IF(SUM($X125)&lt;=0,"",$X125)</f>
        <v>0.0283950617283951</v>
      </c>
      <c r="BT125" s="115" t="n">
        <f aca="false">IF(LEFT($B125,4)="_Mil","",MAX(SUM($L125)+ROUND(SUM($BD125)/IF(SUM($BS125)&lt;=0,1,SUM($BS125)),0),0))</f>
        <v>2638</v>
      </c>
    </row>
    <row r="126" customFormat="false" ht="15" hidden="false" customHeight="false" outlineLevel="0" collapsed="false">
      <c r="A126" s="0" t="s">
        <v>145</v>
      </c>
      <c r="B126" s="0" t="s">
        <v>107</v>
      </c>
      <c r="C126" s="0" t="s">
        <v>72</v>
      </c>
      <c r="D126" s="0" t="s">
        <v>58</v>
      </c>
      <c r="E126" s="0" t="str">
        <f aca="false">B126&amp;"|"&amp;C126&amp;"|"&amp;D126</f>
        <v>Mafeteng [#SNU] [#DREAMS] [DiFv5WXIHM5]|30-34|Male</v>
      </c>
      <c r="F126" s="115" t="n">
        <f aca="false">_xlfn.IFNA(ROUND(INDEX(Spectrum!$N:$N,MATCH(RIGHT($B126,13)&amp;"|"&amp;$C126&amp;"|"&amp;$D126&amp;"|"&amp;F$14&amp;"|"&amp;"CY2021Q3",Spectrum!$Q:$Q,0)),0),"")</f>
        <v>8366</v>
      </c>
      <c r="G126" s="123" t="n">
        <f aca="false">_xlfn.IFNA(INDEX(Spectrum!$P:$P,MATCH(RIGHT($B126,13)&amp;"|"&amp;$C126&amp;"|"&amp;$D126&amp;"|"&amp;F$14&amp;"|"&amp;"CY2021Q3",Spectrum!$Q:$Q,0)),"")</f>
        <v>49</v>
      </c>
      <c r="H126" s="115" t="n">
        <f aca="false">_xlfn.IFNA(ROUND(INDEX(Spectrum!$N:$N,MATCH(RIGHT($B126,13)&amp;"|"&amp;$C126&amp;"|"&amp;$D126&amp;"|"&amp;H$14&amp;"|"&amp;"CY2021Q3",Spectrum!$Q:$Q,0)),0),"")</f>
        <v>1717</v>
      </c>
      <c r="I126" s="123" t="n">
        <f aca="false">_xlfn.IFNA(INDEX(Spectrum!$P:$P,MATCH(RIGHT($B126,13)&amp;"|"&amp;$C126&amp;"|"&amp;$D126&amp;"|"&amp;H$14&amp;"|"&amp;"CY2021Q3",Spectrum!$Q:$Q,0)),"")</f>
        <v>45</v>
      </c>
      <c r="J126" s="117" t="n">
        <f aca="false">_xlfn.IFNA(INDEX(Spectrum!$N:$N,MATCH(RIGHT($B126,13)&amp;"|"&amp;$C126&amp;"|"&amp;$D126&amp;"|"&amp;J$14&amp;"|"&amp;"CY2021Q3",Spectrum!$Q:$Q,0)),"")</f>
        <v>0.2052753</v>
      </c>
      <c r="K126" s="123" t="n">
        <f aca="false">_xlfn.IFNA(INDEX(Spectrum!$P:$P,MATCH(RIGHT($B126,13)&amp;"|"&amp;$C126&amp;"|"&amp;$D126&amp;"|"&amp;J$14&amp;"|"&amp;"CY2021Q3",Spectrum!$Q:$Q,0)),"")</f>
        <v>44</v>
      </c>
      <c r="L126" s="115" t="n">
        <f aca="false">_xlfn.IFNA(ROUND(INDEX(Spectrum!$N:$N,MATCH(RIGHT($B126,13)&amp;"|"&amp;$C126&amp;"|"&amp;$D126&amp;"|"&amp;L$14&amp;"|"&amp;"CY2021Q3",Spectrum!$Q:$Q,0)),0),"")</f>
        <v>993</v>
      </c>
      <c r="M126" s="123" t="n">
        <f aca="false">IF(OR(SUM($H126)&lt;=0,SUM($L126)&lt;=0),"",SUM($L126)/$H126)</f>
        <v>0.578334304018637</v>
      </c>
      <c r="N126" s="115" t="str">
        <f aca="false">_xlfn.IFNA(ROUND(INDEX(Spectrum!$N:$N,MATCH(RIGHT($B126,13)&amp;"|"&amp;$C126&amp;"|"&amp;$D126&amp;"|"&amp;N$14&amp;"|"&amp;"CY2020Q4",Spectrum!$Q:$Q,0)),0),"")</f>
        <v/>
      </c>
      <c r="O126" s="123" t="str">
        <f aca="false">_xlfn.IFNA(INDEX(Spectrum!$P:$P,MATCH(RIGHT($B126,13)&amp;"|"&amp;$C126&amp;"|"&amp;$D126&amp;"|"&amp;N$14&amp;"|"&amp;"CY2020Q4",Spectrum!$Q:$Q,0)),"")</f>
        <v/>
      </c>
      <c r="P126" s="115" t="n">
        <f aca="false">_xlfn.IFNA(ROUND(INDEX(Spectrum!$N:$N,MATCH(RIGHT($B126,13)&amp;"|"&amp;$C126&amp;"|"&amp;$D126&amp;"|"&amp;P$14&amp;"|"&amp;"CY2021Q3",Spectrum!$Q:$Q,0)),0),"")</f>
        <v>784</v>
      </c>
      <c r="Q126" s="123" t="n">
        <f aca="false">_xlfn.IFNA(INDEX(Spectrum!$P:$P,MATCH(RIGHT($B126,13)&amp;"|"&amp;$C126&amp;"|"&amp;$D126&amp;"|"&amp;P$14&amp;"|"&amp;"CY2021Q3",Spectrum!$Q:$Q,0)),"")</f>
        <v>44</v>
      </c>
      <c r="R126" s="115"/>
      <c r="S126" s="123" t="str">
        <f aca="false">IF(OR(SUM($P126)&lt;=0,SUM($R126)&lt;=0),"",SUM($R126)/$P126)</f>
        <v/>
      </c>
      <c r="T126" s="139" t="n">
        <v>38</v>
      </c>
      <c r="U126" s="124" t="n">
        <v>36</v>
      </c>
      <c r="V126" s="124" t="n">
        <f aca="false">IF($U126-$T126=0,"",$U126-$T126)</f>
        <v>-2</v>
      </c>
      <c r="W126" s="123" t="n">
        <f aca="false">IF(LEFT($B126,4)="_Mil","",IFERROR(MIN(IF(SUM($N126)&lt;=0,SUM($U126)/SUM($P126),SUM($T126)/SUM($N126)),1),""))</f>
        <v>0.0459183673469388</v>
      </c>
      <c r="X126" s="123" t="n">
        <f aca="false">$W126</f>
        <v>0.0459183673469388</v>
      </c>
      <c r="Y126" s="123" t="n">
        <f aca="false">IFERROR(1/(1/INDEX(Spectrum!$N:$N,MATCH(RIGHT($B126,13)&amp;"|"&amp;$C126&amp;"|"&amp;$D126&amp;"|"&amp;Y$14&amp;"|"&amp;"CY2021Q3",Spectrum!$Q:$Q,0))),IF(SUM($H126)=0,"",MAX(SUM($P126),SUM($U126))/SUM($H126)))</f>
        <v>0.456610366919045</v>
      </c>
      <c r="Z126" s="123" t="n">
        <f aca="false">IF(SUM($Y126)=0,"",MAX(SUM($Y126),90%))</f>
        <v>0.9</v>
      </c>
      <c r="AA126" s="115" t="n">
        <f aca="false">IF(LEFT($B126,4)="_Mil","",ROUND(MAX(SUM($U126),SUM($P126))+IF(SUM($Z126)=0,0,MAX(SUM($Z126)-SUM($Y126),0)*SUM($H126)),0))</f>
        <v>1545</v>
      </c>
      <c r="AB126" s="115" t="n">
        <f aca="false">IF(SUM($AA126)=0,"",ROUND(MAX(SUM($AA126)-MAX(SUM($P126),SUM($U126)),0),0))</f>
        <v>761</v>
      </c>
      <c r="AC126" s="126" t="str">
        <f aca="false">IF($C126="&lt;01",IFERROR(ROUND(INDEX(EID!$N:$N,MATCH($B126,EID!$B:$B,0))/2,0),""),"")</f>
        <v/>
      </c>
      <c r="AD126" s="115" t="n">
        <f aca="false">IF($C126="&lt;01",IF(SUM($AC126)=0,"",ROUND(SUM($AC126)/$AG126,0)),IF(SUM($AB126)=0,"",ROUND(MAX($X126,0)*SUM($AB126),0)))</f>
        <v>35</v>
      </c>
      <c r="AE126" s="115" t="n">
        <f aca="false">IF(AND(SUM($AD126)=0,SUM($U126)=0),"",ROUND(IF($C126="&lt;01",0,SUM($U126))+SUM($AD126),0))</f>
        <v>71</v>
      </c>
      <c r="AF126" s="122" t="n">
        <f aca="false">IF($C126="&lt;01","",100%)</f>
        <v>1</v>
      </c>
      <c r="AG126" s="123" t="n">
        <f aca="false">0.98</f>
        <v>0.98</v>
      </c>
      <c r="AH126" s="123" t="n">
        <f aca="false">0.98</f>
        <v>0.98</v>
      </c>
      <c r="AI126" s="124" t="n">
        <f aca="false">IF(OR($C126="&lt;01",SUM($U126)=0),"",ROUND(SUM($U126)*(1-$AH126),0))</f>
        <v>1</v>
      </c>
      <c r="AJ126" s="124" t="n">
        <f aca="false">IF(AND(SUM($AE126)=0,SUM($U126)=0),"",IF($C126="&lt;01",SUM($AD126),SUM($AE126) - ROUND(SUM($U126)*$AH126,0)))</f>
        <v>36</v>
      </c>
      <c r="AK126" s="124" t="n">
        <v>20</v>
      </c>
      <c r="AL126" s="124" t="n">
        <v>23</v>
      </c>
      <c r="AM126" s="115" t="n">
        <f aca="false">IF(AND(SUM($AD126)=0,SUM($U126)=0),"",IF($C126="&lt;01",SUM($AD126),ROUND(ROUND(SUM($AJ126)*$AF126,0)/$AG126,0)))</f>
        <v>37</v>
      </c>
      <c r="AN126" s="122" t="n">
        <f aca="false">0.7</f>
        <v>0.7</v>
      </c>
      <c r="AO126" s="123" t="n">
        <f aca="false">1</f>
        <v>1</v>
      </c>
      <c r="AP126" s="115" t="n">
        <f aca="false">IF(AND(SUM($U126)=0,SUM($AM126)=0),"",ROUND((SUM($AM126)*$AN126+IF($C126="&lt;01",0,$U126))*$AO126,0))</f>
        <v>62</v>
      </c>
      <c r="AQ126" s="122" t="n">
        <v>7</v>
      </c>
      <c r="AR126" s="123" t="n">
        <f aca="false">0.95</f>
        <v>0.95</v>
      </c>
      <c r="AS126" s="123" t="n">
        <f aca="false">0.95</f>
        <v>0.95</v>
      </c>
      <c r="AT126" s="115" t="n">
        <f aca="false">IF(SUM($AP126)=0,"",ROUND(SUM($AP126)*$AR126,0))</f>
        <v>59</v>
      </c>
      <c r="AU126" s="115" t="n">
        <f aca="false">IF(LEFT($B126,4)="_Mil","",ROUND(SUM($AA126)*SUM($AS126),0))</f>
        <v>1468</v>
      </c>
      <c r="AV126" s="124" t="n">
        <f aca="false">IF(SUM($AU126)&lt;=0,"",MAX(SUM($AU126)-SUM($R126),0))</f>
        <v>1468</v>
      </c>
      <c r="AW126" s="122" t="n">
        <f aca="false">0</f>
        <v>0</v>
      </c>
      <c r="AX126" s="124" t="n">
        <f aca="false">IF(SUM($AM126)=0,"",ROUND(SUM($AM126)*SUM($AW126),0))</f>
        <v>0</v>
      </c>
      <c r="AY126" s="124" t="n">
        <f aca="false">IF(SUM($AM126)=0,"",SUM($AM126)-SUM($AX126))</f>
        <v>37</v>
      </c>
      <c r="AZ126" s="123" t="n">
        <v>9</v>
      </c>
      <c r="BA126" s="123" t="n">
        <f aca="false">0.95</f>
        <v>0.95</v>
      </c>
      <c r="BB126" s="123"/>
      <c r="BC126" s="123" t="n">
        <f aca="false">IF(OR(SUM($AM126)&lt;=0,$C126="&lt;01"),"",MAX(IF(OR(SUM($Y126)&lt;70%,LEFT($B126,4)="_Mil"),30%,IF(SUM($Y126)&gt;=80%,75%,50%)),SUM($BB126)))</f>
        <v>0.3</v>
      </c>
      <c r="BD126" s="115" t="n">
        <f aca="false">IF($C126="&lt;01",IFERROR(ROUND(INDEX(EID!$M:$M,MATCH($B126,EID!$B:$B,0)),0)/2,""),IF(SUM($AY126)=0,"",ROUND(SUM($AY126)/SUM($BA126),0)))</f>
        <v>39</v>
      </c>
      <c r="BE126" s="115" t="n">
        <f aca="false">IF($C126="&lt;01","",IF(SUM($BD126)=0,"",ROUND(SUM($BD126)*SUM($BC126),0)))</f>
        <v>12</v>
      </c>
      <c r="BF126" s="115" t="str">
        <f aca="false">_xlfn.IFNA(INDEX(PMTCT!$AE:$AE,MATCH($E126,PMTCT!$E:$E,0)),"")</f>
        <v/>
      </c>
      <c r="BG126" s="115" t="str">
        <f aca="false">_xlfn.IFNA(INDEX(PMTCT!$AU:$AU,MATCH($E126,PMTCT!$E:$E,0)),"")</f>
        <v/>
      </c>
      <c r="BH126" s="115" t="n">
        <f aca="false">_xlfn.IFNA(INDEX(TB!$Q:$Q,MATCH($E126,TB!$E:$E,0)),"")</f>
        <v>-39560</v>
      </c>
      <c r="BI126" s="115" t="str">
        <f aca="false">_xlfn.IFNA(INDEX(VMMC!$AC:$AC,MATCH($E126,VMMC!$E:$E,0)),"")</f>
        <v/>
      </c>
      <c r="BJ126" s="115" t="str">
        <f aca="false">IF($C126="&lt;01",$BD126,"")</f>
        <v/>
      </c>
      <c r="BK126" s="115" t="n">
        <f aca="false">IF(SUM($BD126)=0,"",($BD126)-SUM($BE126:$BJ126))</f>
        <v>39587</v>
      </c>
      <c r="BL126" s="123" t="n">
        <f aca="false">IF(OR(SUM($BD126)=0,SUM($BE126)=0),"",SUM($BE126)/$BD126)</f>
        <v>0.307692307692308</v>
      </c>
      <c r="BM126" s="123" t="str">
        <f aca="false">IF(OR(SUM($BD126)=0,SUM($BF126)=0),"",SUM($BF126)/$BD126)</f>
        <v/>
      </c>
      <c r="BN126" s="123" t="str">
        <f aca="false">IF(OR(SUM($BD126)=0,SUM($BG126)=0),"",SUM($BG126)/$BD126)</f>
        <v/>
      </c>
      <c r="BO126" s="123" t="n">
        <f aca="false">IF(OR(SUM($BD126)=0,SUM($BH126)=0),"",SUM($BH126)/$BD126)</f>
        <v>-1014.35897435897</v>
      </c>
      <c r="BP126" s="123" t="str">
        <f aca="false">IF(OR(SUM($BD126)=0,SUM($BI126)=0),"",SUM($BI126)/$BD126)</f>
        <v/>
      </c>
      <c r="BQ126" s="123" t="str">
        <f aca="false">IF(AND($C126="&lt;01",SUM($BJ126)&lt;&gt;0),$BJ126/SUM($BD126),"")</f>
        <v/>
      </c>
      <c r="BR126" s="123" t="n">
        <f aca="false">IF(OR(SUM($BD126)=0,SUM($BK126)=0),"",SUM($BK126)/$BD126)</f>
        <v>1015.05128205128</v>
      </c>
      <c r="BS126" s="122" t="n">
        <f aca="false">IF(SUM($X126)&lt;=0,"",$X126)</f>
        <v>0.0459183673469388</v>
      </c>
      <c r="BT126" s="115" t="n">
        <f aca="false">IF(LEFT($B126,4)="_Mil","",MAX(SUM($L126)+ROUND(SUM($BD126)/IF(SUM($BS126)&lt;=0,1,SUM($BS126)),0),0))</f>
        <v>1842</v>
      </c>
    </row>
    <row r="127" customFormat="false" ht="15" hidden="false" customHeight="false" outlineLevel="0" collapsed="false">
      <c r="A127" s="0" t="s">
        <v>145</v>
      </c>
      <c r="B127" s="0" t="s">
        <v>107</v>
      </c>
      <c r="C127" s="0" t="s">
        <v>75</v>
      </c>
      <c r="D127" s="0" t="s">
        <v>56</v>
      </c>
      <c r="E127" s="0" t="str">
        <f aca="false">B127&amp;"|"&amp;C127&amp;"|"&amp;D127</f>
        <v>Mafeteng [#SNU] [#DREAMS] [DiFv5WXIHM5]|35-39|Female</v>
      </c>
      <c r="F127" s="115" t="n">
        <f aca="false">_xlfn.IFNA(ROUND(INDEX(Spectrum!$N:$N,MATCH(RIGHT($B127,13)&amp;"|"&amp;$C127&amp;"|"&amp;$D127&amp;"|"&amp;F$14&amp;"|"&amp;"CY2021Q3",Spectrum!$Q:$Q,0)),0),"")</f>
        <v>5321</v>
      </c>
      <c r="G127" s="123" t="n">
        <f aca="false">_xlfn.IFNA(INDEX(Spectrum!$P:$P,MATCH(RIGHT($B127,13)&amp;"|"&amp;$C127&amp;"|"&amp;$D127&amp;"|"&amp;F$14&amp;"|"&amp;"CY2021Q3",Spectrum!$Q:$Q,0)),"")</f>
        <v>45</v>
      </c>
      <c r="H127" s="115" t="n">
        <f aca="false">_xlfn.IFNA(ROUND(INDEX(Spectrum!$N:$N,MATCH(RIGHT($B127,13)&amp;"|"&amp;$C127&amp;"|"&amp;$D127&amp;"|"&amp;H$14&amp;"|"&amp;"CY2021Q3",Spectrum!$Q:$Q,0)),0),"")</f>
        <v>2524</v>
      </c>
      <c r="I127" s="123" t="n">
        <f aca="false">_xlfn.IFNA(INDEX(Spectrum!$P:$P,MATCH(RIGHT($B127,13)&amp;"|"&amp;$C127&amp;"|"&amp;$D127&amp;"|"&amp;H$14&amp;"|"&amp;"CY2021Q3",Spectrum!$Q:$Q,0)),"")</f>
        <v>5</v>
      </c>
      <c r="J127" s="117" t="n">
        <f aca="false">_xlfn.IFNA(INDEX(Spectrum!$N:$N,MATCH(RIGHT($B127,13)&amp;"|"&amp;$C127&amp;"|"&amp;$D127&amp;"|"&amp;J$14&amp;"|"&amp;"CY2021Q3",Spectrum!$Q:$Q,0)),"")</f>
        <v>0.4742205</v>
      </c>
      <c r="K127" s="123" t="n">
        <f aca="false">_xlfn.IFNA(INDEX(Spectrum!$P:$P,MATCH(RIGHT($B127,13)&amp;"|"&amp;$C127&amp;"|"&amp;$D127&amp;"|"&amp;J$14&amp;"|"&amp;"CY2021Q3",Spectrum!$Q:$Q,0)),"")</f>
        <v>7</v>
      </c>
      <c r="L127" s="115" t="n">
        <f aca="false">_xlfn.IFNA(ROUND(INDEX(Spectrum!$N:$N,MATCH(RIGHT($B127,13)&amp;"|"&amp;$C127&amp;"|"&amp;$D127&amp;"|"&amp;L$14&amp;"|"&amp;"CY2021Q3",Spectrum!$Q:$Q,0)),0),"")</f>
        <v>1968</v>
      </c>
      <c r="M127" s="123" t="n">
        <f aca="false">IF(OR(SUM($H127)&lt;=0,SUM($L127)&lt;=0),"",SUM($L127)/$H127)</f>
        <v>0.779714738510301</v>
      </c>
      <c r="N127" s="115" t="str">
        <f aca="false">_xlfn.IFNA(ROUND(INDEX(Spectrum!$N:$N,MATCH(RIGHT($B127,13)&amp;"|"&amp;$C127&amp;"|"&amp;$D127&amp;"|"&amp;N$14&amp;"|"&amp;"CY2020Q4",Spectrum!$Q:$Q,0)),0),"")</f>
        <v/>
      </c>
      <c r="O127" s="123" t="str">
        <f aca="false">_xlfn.IFNA(INDEX(Spectrum!$P:$P,MATCH(RIGHT($B127,13)&amp;"|"&amp;$C127&amp;"|"&amp;$D127&amp;"|"&amp;N$14&amp;"|"&amp;"CY2020Q4",Spectrum!$Q:$Q,0)),"")</f>
        <v/>
      </c>
      <c r="P127" s="115" t="n">
        <f aca="false">_xlfn.IFNA(ROUND(INDEX(Spectrum!$N:$N,MATCH(RIGHT($B127,13)&amp;"|"&amp;$C127&amp;"|"&amp;$D127&amp;"|"&amp;P$14&amp;"|"&amp;"CY2021Q3",Spectrum!$Q:$Q,0)),0),"")</f>
        <v>1841</v>
      </c>
      <c r="Q127" s="123" t="n">
        <f aca="false">_xlfn.IFNA(INDEX(Spectrum!$P:$P,MATCH(RIGHT($B127,13)&amp;"|"&amp;$C127&amp;"|"&amp;$D127&amp;"|"&amp;P$14&amp;"|"&amp;"CY2021Q3",Spectrum!$Q:$Q,0)),"")</f>
        <v>13</v>
      </c>
      <c r="R127" s="115"/>
      <c r="S127" s="123" t="str">
        <f aca="false">IF(OR(SUM($P127)&lt;=0,SUM($R127)&lt;=0),"",SUM($R127)/$P127)</f>
        <v/>
      </c>
      <c r="T127" s="139" t="n">
        <v>24</v>
      </c>
      <c r="U127" s="124" t="n">
        <v>0</v>
      </c>
      <c r="V127" s="124" t="n">
        <f aca="false">IF($U127-$T127=0,"",$U127-$T127)</f>
        <v>-24</v>
      </c>
      <c r="W127" s="123" t="n">
        <f aca="false">IF(LEFT($B127,4)="_Mil","",IFERROR(MIN(IF(SUM($N127)&lt;=0,SUM($U127)/SUM($P127),SUM($T127)/SUM($N127)),1),""))</f>
        <v>0</v>
      </c>
      <c r="X127" s="123" t="n">
        <f aca="false">$W127</f>
        <v>0</v>
      </c>
      <c r="Y127" s="123" t="n">
        <f aca="false">IFERROR(1/(1/INDEX(Spectrum!$N:$N,MATCH(RIGHT($B127,13)&amp;"|"&amp;$C127&amp;"|"&amp;$D127&amp;"|"&amp;Y$14&amp;"|"&amp;"CY2021Q3",Spectrum!$Q:$Q,0))),IF(SUM($H127)=0,"",MAX(SUM($P127),SUM($U127))/SUM($H127)))</f>
        <v>0.729397781299525</v>
      </c>
      <c r="Z127" s="123" t="n">
        <f aca="false">IF(SUM($Y127)=0,"",MAX(SUM($Y127),90%))</f>
        <v>0.9</v>
      </c>
      <c r="AA127" s="115" t="n">
        <f aca="false">IF(LEFT($B127,4)="_Mil","",ROUND(MAX(SUM($U127),SUM($P127))+IF(SUM($Z127)=0,0,MAX(SUM($Z127)-SUM($Y127),0)*SUM($H127)),0))</f>
        <v>2272</v>
      </c>
      <c r="AB127" s="115" t="n">
        <f aca="false">IF(SUM($AA127)=0,"",ROUND(MAX(SUM($AA127)-MAX(SUM($P127),SUM($U127)),0),0))</f>
        <v>431</v>
      </c>
      <c r="AC127" s="126" t="str">
        <f aca="false">IF($C127="&lt;01",IFERROR(ROUND(INDEX(EID!$N:$N,MATCH($B127,EID!$B:$B,0))/2,0),""),"")</f>
        <v/>
      </c>
      <c r="AD127" s="115" t="n">
        <f aca="false">IF($C127="&lt;01",IF(SUM($AC127)=0,"",ROUND(SUM($AC127)/$AG127,0)),IF(SUM($AB127)=0,"",ROUND(MAX($X127,0)*SUM($AB127),0)))</f>
        <v>0</v>
      </c>
      <c r="AE127" s="115" t="str">
        <f aca="false">IF(AND(SUM($AD127)=0,SUM($U127)=0),"",ROUND(IF($C127="&lt;01",0,SUM($U127))+SUM($AD127),0))</f>
        <v/>
      </c>
      <c r="AF127" s="122" t="n">
        <f aca="false">IF($C127="&lt;01","",100%)</f>
        <v>1</v>
      </c>
      <c r="AG127" s="123" t="n">
        <f aca="false">0.98</f>
        <v>0.98</v>
      </c>
      <c r="AH127" s="123" t="n">
        <f aca="false">0.98</f>
        <v>0.98</v>
      </c>
      <c r="AI127" s="124" t="str">
        <f aca="false">IF(OR($C127="&lt;01",SUM($U127)=0),"",ROUND(SUM($U127)*(1-$AH127),0))</f>
        <v/>
      </c>
      <c r="AJ127" s="124" t="str">
        <f aca="false">IF(AND(SUM($AE127)=0,SUM($U127)=0),"",IF($C127="&lt;01",SUM($AD127),SUM($AE127) - ROUND(SUM($U127)*$AH127,0)))</f>
        <v/>
      </c>
      <c r="AK127" s="124" t="n">
        <v>17</v>
      </c>
      <c r="AL127" s="124" t="n">
        <v>3</v>
      </c>
      <c r="AM127" s="115" t="str">
        <f aca="false">IF(AND(SUM($AD127)=0,SUM($U127)=0),"",IF($C127="&lt;01",SUM($AD127),ROUND(ROUND(SUM($AJ127)*$AF127,0)/$AG127,0)))</f>
        <v/>
      </c>
      <c r="AN127" s="122" t="n">
        <f aca="false">0.7</f>
        <v>0.7</v>
      </c>
      <c r="AO127" s="123" t="n">
        <f aca="false">1</f>
        <v>1</v>
      </c>
      <c r="AP127" s="115" t="str">
        <f aca="false">IF(AND(SUM($U127)=0,SUM($AM127)=0),"",ROUND((SUM($AM127)*$AN127+IF($C127="&lt;01",0,$U127))*$AO127,0))</f>
        <v/>
      </c>
      <c r="AQ127" s="122" t="n">
        <v>37</v>
      </c>
      <c r="AR127" s="123" t="n">
        <f aca="false">0.95</f>
        <v>0.95</v>
      </c>
      <c r="AS127" s="123" t="n">
        <f aca="false">0.95</f>
        <v>0.95</v>
      </c>
      <c r="AT127" s="115" t="str">
        <f aca="false">IF(SUM($AP127)=0,"",ROUND(SUM($AP127)*$AR127,0))</f>
        <v/>
      </c>
      <c r="AU127" s="115" t="n">
        <f aca="false">IF(LEFT($B127,4)="_Mil","",ROUND(SUM($AA127)*SUM($AS127),0))</f>
        <v>2158</v>
      </c>
      <c r="AV127" s="124" t="n">
        <f aca="false">IF(SUM($AU127)&lt;=0,"",MAX(SUM($AU127)-SUM($R127),0))</f>
        <v>2158</v>
      </c>
      <c r="AW127" s="122" t="n">
        <f aca="false">0</f>
        <v>0</v>
      </c>
      <c r="AX127" s="124" t="str">
        <f aca="false">IF(SUM($AM127)=0,"",ROUND(SUM($AM127)*SUM($AW127),0))</f>
        <v/>
      </c>
      <c r="AY127" s="124" t="str">
        <f aca="false">IF(SUM($AM127)=0,"",SUM($AM127)-SUM($AX127))</f>
        <v/>
      </c>
      <c r="AZ127" s="123" t="n">
        <v>23</v>
      </c>
      <c r="BA127" s="123" t="n">
        <f aca="false">0.95</f>
        <v>0.95</v>
      </c>
      <c r="BB127" s="123"/>
      <c r="BC127" s="123" t="str">
        <f aca="false">IF(OR(SUM($AM127)&lt;=0,$C127="&lt;01"),"",MAX(IF(OR(SUM($Y127)&lt;70%,LEFT($B127,4)="_Mil"),30%,IF(SUM($Y127)&gt;=80%,75%,50%)),SUM($BB127)))</f>
        <v/>
      </c>
      <c r="BD127" s="115" t="str">
        <f aca="false">IF($C127="&lt;01",IFERROR(ROUND(INDEX(EID!$M:$M,MATCH($B127,EID!$B:$B,0)),0)/2,""),IF(SUM($AY127)=0,"",ROUND(SUM($AY127)/SUM($BA127),0)))</f>
        <v/>
      </c>
      <c r="BE127" s="115" t="str">
        <f aca="false">IF($C127="&lt;01","",IF(SUM($BD127)=0,"",ROUND(SUM($BD127)*SUM($BC127),0)))</f>
        <v/>
      </c>
      <c r="BF127" s="115" t="n">
        <f aca="false">_xlfn.IFNA(INDEX(PMTCT!$AE:$AE,MATCH($E127,PMTCT!$E:$E,0)),"")</f>
        <v>-74925</v>
      </c>
      <c r="BG127" s="115" t="str">
        <f aca="false">_xlfn.IFNA(INDEX(PMTCT!$AU:$AU,MATCH($E127,PMTCT!$E:$E,0)),"")</f>
        <v/>
      </c>
      <c r="BH127" s="115" t="n">
        <f aca="false">_xlfn.IFNA(INDEX(TB!$Q:$Q,MATCH($E127,TB!$E:$E,0)),"")</f>
        <v>-8970</v>
      </c>
      <c r="BI127" s="115" t="str">
        <f aca="false">_xlfn.IFNA(INDEX(VMMC!$AC:$AC,MATCH($E127,VMMC!$E:$E,0)),"")</f>
        <v/>
      </c>
      <c r="BJ127" s="115" t="str">
        <f aca="false">IF($C127="&lt;01",$BD127,"")</f>
        <v/>
      </c>
      <c r="BK127" s="115" t="str">
        <f aca="false">IF(SUM($BD127)=0,"",($BD127)-SUM($BE127:$BJ127))</f>
        <v/>
      </c>
      <c r="BL127" s="123" t="str">
        <f aca="false">IF(OR(SUM($BD127)=0,SUM($BE127)=0),"",SUM($BE127)/$BD127)</f>
        <v/>
      </c>
      <c r="BM127" s="123" t="str">
        <f aca="false">IF(OR(SUM($BD127)=0,SUM($BF127)=0),"",SUM($BF127)/$BD127)</f>
        <v/>
      </c>
      <c r="BN127" s="123" t="str">
        <f aca="false">IF(OR(SUM($BD127)=0,SUM($BG127)=0),"",SUM($BG127)/$BD127)</f>
        <v/>
      </c>
      <c r="BO127" s="123" t="str">
        <f aca="false">IF(OR(SUM($BD127)=0,SUM($BH127)=0),"",SUM($BH127)/$BD127)</f>
        <v/>
      </c>
      <c r="BP127" s="123" t="str">
        <f aca="false">IF(OR(SUM($BD127)=0,SUM($BI127)=0),"",SUM($BI127)/$BD127)</f>
        <v/>
      </c>
      <c r="BQ127" s="123" t="str">
        <f aca="false">IF(AND($C127="&lt;01",SUM($BJ127)&lt;&gt;0),$BJ127/SUM($BD127),"")</f>
        <v/>
      </c>
      <c r="BR127" s="123" t="str">
        <f aca="false">IF(OR(SUM($BD127)=0,SUM($BK127)=0),"",SUM($BK127)/$BD127)</f>
        <v/>
      </c>
      <c r="BS127" s="122" t="str">
        <f aca="false">IF(SUM($X127)&lt;=0,"",$X127)</f>
        <v/>
      </c>
      <c r="BT127" s="115" t="n">
        <f aca="false">IF(LEFT($B127,4)="_Mil","",MAX(SUM($L127)+ROUND(SUM($BD127)/IF(SUM($BS127)&lt;=0,1,SUM($BS127)),0),0))</f>
        <v>1968</v>
      </c>
    </row>
    <row r="128" customFormat="false" ht="15" hidden="false" customHeight="false" outlineLevel="0" collapsed="false">
      <c r="A128" s="0" t="s">
        <v>145</v>
      </c>
      <c r="B128" s="0" t="s">
        <v>107</v>
      </c>
      <c r="C128" s="0" t="s">
        <v>75</v>
      </c>
      <c r="D128" s="0" t="s">
        <v>58</v>
      </c>
      <c r="E128" s="0" t="str">
        <f aca="false">B128&amp;"|"&amp;C128&amp;"|"&amp;D128</f>
        <v>Mafeteng [#SNU] [#DREAMS] [DiFv5WXIHM5]|35-39|Male</v>
      </c>
      <c r="F128" s="115" t="n">
        <f aca="false">_xlfn.IFNA(ROUND(INDEX(Spectrum!$N:$N,MATCH(RIGHT($B128,13)&amp;"|"&amp;$C128&amp;"|"&amp;$D128&amp;"|"&amp;F$14&amp;"|"&amp;"CY2021Q3",Spectrum!$Q:$Q,0)),0),"")</f>
        <v>6598</v>
      </c>
      <c r="G128" s="123" t="n">
        <f aca="false">_xlfn.IFNA(INDEX(Spectrum!$P:$P,MATCH(RIGHT($B128,13)&amp;"|"&amp;$C128&amp;"|"&amp;$D128&amp;"|"&amp;F$14&amp;"|"&amp;"CY2021Q3",Spectrum!$Q:$Q,0)),"")</f>
        <v>13</v>
      </c>
      <c r="H128" s="115" t="n">
        <f aca="false">_xlfn.IFNA(ROUND(INDEX(Spectrum!$N:$N,MATCH(RIGHT($B128,13)&amp;"|"&amp;$C128&amp;"|"&amp;$D128&amp;"|"&amp;H$14&amp;"|"&amp;"CY2021Q3",Spectrum!$Q:$Q,0)),0),"")</f>
        <v>2020</v>
      </c>
      <c r="I128" s="123" t="n">
        <f aca="false">_xlfn.IFNA(INDEX(Spectrum!$P:$P,MATCH(RIGHT($B128,13)&amp;"|"&amp;$C128&amp;"|"&amp;$D128&amp;"|"&amp;H$14&amp;"|"&amp;"CY2021Q3",Spectrum!$Q:$Q,0)),"")</f>
        <v>24</v>
      </c>
      <c r="J128" s="117" t="n">
        <f aca="false">_xlfn.IFNA(INDEX(Spectrum!$N:$N,MATCH(RIGHT($B128,13)&amp;"|"&amp;$C128&amp;"|"&amp;$D128&amp;"|"&amp;J$14&amp;"|"&amp;"CY2021Q3",Spectrum!$Q:$Q,0)),"")</f>
        <v>0.3062058</v>
      </c>
      <c r="K128" s="123" t="n">
        <f aca="false">_xlfn.IFNA(INDEX(Spectrum!$P:$P,MATCH(RIGHT($B128,13)&amp;"|"&amp;$C128&amp;"|"&amp;$D128&amp;"|"&amp;J$14&amp;"|"&amp;"CY2021Q3",Spectrum!$Q:$Q,0)),"")</f>
        <v>19</v>
      </c>
      <c r="L128" s="115" t="n">
        <f aca="false">_xlfn.IFNA(ROUND(INDEX(Spectrum!$N:$N,MATCH(RIGHT($B128,13)&amp;"|"&amp;$C128&amp;"|"&amp;$D128&amp;"|"&amp;L$14&amp;"|"&amp;"CY2021Q3",Spectrum!$Q:$Q,0)),0),"")</f>
        <v>1313</v>
      </c>
      <c r="M128" s="123" t="n">
        <f aca="false">IF(OR(SUM($H128)&lt;=0,SUM($L128)&lt;=0),"",SUM($L128)/$H128)</f>
        <v>0.65</v>
      </c>
      <c r="N128" s="115" t="str">
        <f aca="false">_xlfn.IFNA(ROUND(INDEX(Spectrum!$N:$N,MATCH(RIGHT($B128,13)&amp;"|"&amp;$C128&amp;"|"&amp;$D128&amp;"|"&amp;N$14&amp;"|"&amp;"CY2020Q4",Spectrum!$Q:$Q,0)),0),"")</f>
        <v/>
      </c>
      <c r="O128" s="123" t="str">
        <f aca="false">_xlfn.IFNA(INDEX(Spectrum!$P:$P,MATCH(RIGHT($B128,13)&amp;"|"&amp;$C128&amp;"|"&amp;$D128&amp;"|"&amp;N$14&amp;"|"&amp;"CY2020Q4",Spectrum!$Q:$Q,0)),"")</f>
        <v/>
      </c>
      <c r="P128" s="115" t="n">
        <f aca="false">_xlfn.IFNA(ROUND(INDEX(Spectrum!$N:$N,MATCH(RIGHT($B128,13)&amp;"|"&amp;$C128&amp;"|"&amp;$D128&amp;"|"&amp;P$14&amp;"|"&amp;"CY2021Q3",Spectrum!$Q:$Q,0)),0),"")</f>
        <v>1092</v>
      </c>
      <c r="Q128" s="123" t="n">
        <f aca="false">_xlfn.IFNA(INDEX(Spectrum!$P:$P,MATCH(RIGHT($B128,13)&amp;"|"&amp;$C128&amp;"|"&amp;$D128&amp;"|"&amp;P$14&amp;"|"&amp;"CY2021Q3",Spectrum!$Q:$Q,0)),"")</f>
        <v>14</v>
      </c>
      <c r="R128" s="115"/>
      <c r="S128" s="123" t="str">
        <f aca="false">IF(OR(SUM($P128)&lt;=0,SUM($R128)&lt;=0),"",SUM($R128)/$P128)</f>
        <v/>
      </c>
      <c r="T128" s="139" t="n">
        <v>36</v>
      </c>
      <c r="U128" s="124" t="n">
        <v>26</v>
      </c>
      <c r="V128" s="124" t="n">
        <f aca="false">IF($U128-$T128=0,"",$U128-$T128)</f>
        <v>-10</v>
      </c>
      <c r="W128" s="123" t="n">
        <f aca="false">IF(LEFT($B128,4)="_Mil","",IFERROR(MIN(IF(SUM($N128)&lt;=0,SUM($U128)/SUM($P128),SUM($T128)/SUM($N128)),1),""))</f>
        <v>0.0238095238095238</v>
      </c>
      <c r="X128" s="123" t="n">
        <f aca="false">$W128</f>
        <v>0.0238095238095238</v>
      </c>
      <c r="Y128" s="123" t="n">
        <f aca="false">IFERROR(1/(1/INDEX(Spectrum!$N:$N,MATCH(RIGHT($B128,13)&amp;"|"&amp;$C128&amp;"|"&amp;$D128&amp;"|"&amp;Y$14&amp;"|"&amp;"CY2021Q3",Spectrum!$Q:$Q,0))),IF(SUM($H128)=0,"",MAX(SUM($P128),SUM($U128))/SUM($H128)))</f>
        <v>0.540594059405941</v>
      </c>
      <c r="Z128" s="123" t="n">
        <f aca="false">IF(SUM($Y128)=0,"",MAX(SUM($Y128),90%))</f>
        <v>0.9</v>
      </c>
      <c r="AA128" s="115" t="n">
        <f aca="false">IF(LEFT($B128,4)="_Mil","",ROUND(MAX(SUM($U128),SUM($P128))+IF(SUM($Z128)=0,0,MAX(SUM($Z128)-SUM($Y128),0)*SUM($H128)),0))</f>
        <v>1818</v>
      </c>
      <c r="AB128" s="115" t="n">
        <f aca="false">IF(SUM($AA128)=0,"",ROUND(MAX(SUM($AA128)-MAX(SUM($P128),SUM($U128)),0),0))</f>
        <v>726</v>
      </c>
      <c r="AC128" s="126" t="str">
        <f aca="false">IF($C128="&lt;01",IFERROR(ROUND(INDEX(EID!$N:$N,MATCH($B128,EID!$B:$B,0))/2,0),""),"")</f>
        <v/>
      </c>
      <c r="AD128" s="115" t="n">
        <f aca="false">IF($C128="&lt;01",IF(SUM($AC128)=0,"",ROUND(SUM($AC128)/$AG128,0)),IF(SUM($AB128)=0,"",ROUND(MAX($X128,0)*SUM($AB128),0)))</f>
        <v>17</v>
      </c>
      <c r="AE128" s="115" t="n">
        <f aca="false">IF(AND(SUM($AD128)=0,SUM($U128)=0),"",ROUND(IF($C128="&lt;01",0,SUM($U128))+SUM($AD128),0))</f>
        <v>43</v>
      </c>
      <c r="AF128" s="122" t="n">
        <f aca="false">IF($C128="&lt;01","",100%)</f>
        <v>1</v>
      </c>
      <c r="AG128" s="123" t="n">
        <f aca="false">0.98</f>
        <v>0.98</v>
      </c>
      <c r="AH128" s="123" t="n">
        <f aca="false">0.98</f>
        <v>0.98</v>
      </c>
      <c r="AI128" s="124" t="n">
        <f aca="false">IF(OR($C128="&lt;01",SUM($U128)=0),"",ROUND(SUM($U128)*(1-$AH128),0))</f>
        <v>1</v>
      </c>
      <c r="AJ128" s="124" t="n">
        <f aca="false">IF(AND(SUM($AE128)=0,SUM($U128)=0),"",IF($C128="&lt;01",SUM($AD128),SUM($AE128) - ROUND(SUM($U128)*$AH128,0)))</f>
        <v>18</v>
      </c>
      <c r="AK128" s="124" t="n">
        <v>22</v>
      </c>
      <c r="AL128" s="124" t="n">
        <v>24</v>
      </c>
      <c r="AM128" s="115" t="n">
        <f aca="false">IF(AND(SUM($AD128)=0,SUM($U128)=0),"",IF($C128="&lt;01",SUM($AD128),ROUND(ROUND(SUM($AJ128)*$AF128,0)/$AG128,0)))</f>
        <v>18</v>
      </c>
      <c r="AN128" s="122" t="n">
        <f aca="false">0.7</f>
        <v>0.7</v>
      </c>
      <c r="AO128" s="123" t="n">
        <f aca="false">1</f>
        <v>1</v>
      </c>
      <c r="AP128" s="115" t="n">
        <f aca="false">IF(AND(SUM($U128)=0,SUM($AM128)=0),"",ROUND((SUM($AM128)*$AN128+IF($C128="&lt;01",0,$U128))*$AO128,0))</f>
        <v>39</v>
      </c>
      <c r="AQ128" s="122" t="n">
        <v>14</v>
      </c>
      <c r="AR128" s="123" t="n">
        <f aca="false">0.95</f>
        <v>0.95</v>
      </c>
      <c r="AS128" s="123" t="n">
        <f aca="false">0.95</f>
        <v>0.95</v>
      </c>
      <c r="AT128" s="115" t="n">
        <f aca="false">IF(SUM($AP128)=0,"",ROUND(SUM($AP128)*$AR128,0))</f>
        <v>37</v>
      </c>
      <c r="AU128" s="115" t="n">
        <f aca="false">IF(LEFT($B128,4)="_Mil","",ROUND(SUM($AA128)*SUM($AS128),0))</f>
        <v>1727</v>
      </c>
      <c r="AV128" s="124" t="n">
        <f aca="false">IF(SUM($AU128)&lt;=0,"",MAX(SUM($AU128)-SUM($R128),0))</f>
        <v>1727</v>
      </c>
      <c r="AW128" s="122" t="n">
        <f aca="false">0</f>
        <v>0</v>
      </c>
      <c r="AX128" s="124" t="n">
        <f aca="false">IF(SUM($AM128)=0,"",ROUND(SUM($AM128)*SUM($AW128),0))</f>
        <v>0</v>
      </c>
      <c r="AY128" s="124" t="n">
        <f aca="false">IF(SUM($AM128)=0,"",SUM($AM128)-SUM($AX128))</f>
        <v>18</v>
      </c>
      <c r="AZ128" s="123" t="n">
        <v>41</v>
      </c>
      <c r="BA128" s="123" t="n">
        <f aca="false">0.95</f>
        <v>0.95</v>
      </c>
      <c r="BB128" s="123"/>
      <c r="BC128" s="123" t="n">
        <f aca="false">IF(OR(SUM($AM128)&lt;=0,$C128="&lt;01"),"",MAX(IF(OR(SUM($Y128)&lt;70%,LEFT($B128,4)="_Mil"),30%,IF(SUM($Y128)&gt;=80%,75%,50%)),SUM($BB128)))</f>
        <v>0.3</v>
      </c>
      <c r="BD128" s="115" t="n">
        <f aca="false">IF($C128="&lt;01",IFERROR(ROUND(INDEX(EID!$M:$M,MATCH($B128,EID!$B:$B,0)),0)/2,""),IF(SUM($AY128)=0,"",ROUND(SUM($AY128)/SUM($BA128),0)))</f>
        <v>19</v>
      </c>
      <c r="BE128" s="115" t="n">
        <f aca="false">IF($C128="&lt;01","",IF(SUM($BD128)=0,"",ROUND(SUM($BD128)*SUM($BC128),0)))</f>
        <v>6</v>
      </c>
      <c r="BF128" s="115" t="str">
        <f aca="false">_xlfn.IFNA(INDEX(PMTCT!$AE:$AE,MATCH($E128,PMTCT!$E:$E,0)),"")</f>
        <v/>
      </c>
      <c r="BG128" s="115" t="str">
        <f aca="false">_xlfn.IFNA(INDEX(PMTCT!$AU:$AU,MATCH($E128,PMTCT!$E:$E,0)),"")</f>
        <v/>
      </c>
      <c r="BH128" s="115" t="n">
        <f aca="false">_xlfn.IFNA(INDEX(TB!$Q:$Q,MATCH($E128,TB!$E:$E,0)),"")</f>
        <v>-3330</v>
      </c>
      <c r="BI128" s="115" t="str">
        <f aca="false">_xlfn.IFNA(INDEX(VMMC!$AC:$AC,MATCH($E128,VMMC!$E:$E,0)),"")</f>
        <v/>
      </c>
      <c r="BJ128" s="115" t="str">
        <f aca="false">IF($C128="&lt;01",$BD128,"")</f>
        <v/>
      </c>
      <c r="BK128" s="115" t="n">
        <f aca="false">IF(SUM($BD128)=0,"",($BD128)-SUM($BE128:$BJ128))</f>
        <v>3343</v>
      </c>
      <c r="BL128" s="123" t="n">
        <f aca="false">IF(OR(SUM($BD128)=0,SUM($BE128)=0),"",SUM($BE128)/$BD128)</f>
        <v>0.31578947368421</v>
      </c>
      <c r="BM128" s="123" t="str">
        <f aca="false">IF(OR(SUM($BD128)=0,SUM($BF128)=0),"",SUM($BF128)/$BD128)</f>
        <v/>
      </c>
      <c r="BN128" s="123" t="str">
        <f aca="false">IF(OR(SUM($BD128)=0,SUM($BG128)=0),"",SUM($BG128)/$BD128)</f>
        <v/>
      </c>
      <c r="BO128" s="123" t="n">
        <f aca="false">IF(OR(SUM($BD128)=0,SUM($BH128)=0),"",SUM($BH128)/$BD128)</f>
        <v>-175.263157894737</v>
      </c>
      <c r="BP128" s="123" t="str">
        <f aca="false">IF(OR(SUM($BD128)=0,SUM($BI128)=0),"",SUM($BI128)/$BD128)</f>
        <v/>
      </c>
      <c r="BQ128" s="123" t="str">
        <f aca="false">IF(AND($C128="&lt;01",SUM($BJ128)&lt;&gt;0),$BJ128/SUM($BD128),"")</f>
        <v/>
      </c>
      <c r="BR128" s="123" t="n">
        <f aca="false">IF(OR(SUM($BD128)=0,SUM($BK128)=0),"",SUM($BK128)/$BD128)</f>
        <v>175.947368421053</v>
      </c>
      <c r="BS128" s="122" t="n">
        <f aca="false">IF(SUM($X128)&lt;=0,"",$X128)</f>
        <v>0.0238095238095238</v>
      </c>
      <c r="BT128" s="115" t="n">
        <f aca="false">IF(LEFT($B128,4)="_Mil","",MAX(SUM($L128)+ROUND(SUM($BD128)/IF(SUM($BS128)&lt;=0,1,SUM($BS128)),0),0))</f>
        <v>2111</v>
      </c>
    </row>
    <row r="129" customFormat="false" ht="15" hidden="false" customHeight="false" outlineLevel="0" collapsed="false">
      <c r="A129" s="0" t="s">
        <v>145</v>
      </c>
      <c r="B129" s="0" t="s">
        <v>107</v>
      </c>
      <c r="C129" s="0" t="s">
        <v>77</v>
      </c>
      <c r="D129" s="0" t="s">
        <v>56</v>
      </c>
      <c r="E129" s="0" t="str">
        <f aca="false">B129&amp;"|"&amp;C129&amp;"|"&amp;D129</f>
        <v>Mafeteng [#SNU] [#DREAMS] [DiFv5WXIHM5]|40-44|Female</v>
      </c>
      <c r="F129" s="115" t="n">
        <f aca="false">_xlfn.IFNA(ROUND(INDEX(Spectrum!$N:$N,MATCH(RIGHT($B129,13)&amp;"|"&amp;$C129&amp;"|"&amp;$D129&amp;"|"&amp;F$14&amp;"|"&amp;"CY2021Q3",Spectrum!$Q:$Q,0)),0),"")</f>
        <v>3948</v>
      </c>
      <c r="G129" s="123" t="n">
        <f aca="false">_xlfn.IFNA(INDEX(Spectrum!$P:$P,MATCH(RIGHT($B129,13)&amp;"|"&amp;$C129&amp;"|"&amp;$D129&amp;"|"&amp;F$14&amp;"|"&amp;"CY2021Q3",Spectrum!$Q:$Q,0)),"")</f>
        <v>6</v>
      </c>
      <c r="H129" s="115" t="n">
        <f aca="false">_xlfn.IFNA(ROUND(INDEX(Spectrum!$N:$N,MATCH(RIGHT($B129,13)&amp;"|"&amp;$C129&amp;"|"&amp;$D129&amp;"|"&amp;H$14&amp;"|"&amp;"CY2021Q3",Spectrum!$Q:$Q,0)),0),"")</f>
        <v>2045</v>
      </c>
      <c r="I129" s="123" t="n">
        <f aca="false">_xlfn.IFNA(INDEX(Spectrum!$P:$P,MATCH(RIGHT($B129,13)&amp;"|"&amp;$C129&amp;"|"&amp;$D129&amp;"|"&amp;H$14&amp;"|"&amp;"CY2021Q3",Spectrum!$Q:$Q,0)),"")</f>
        <v>19</v>
      </c>
      <c r="J129" s="117" t="n">
        <f aca="false">_xlfn.IFNA(INDEX(Spectrum!$N:$N,MATCH(RIGHT($B129,13)&amp;"|"&amp;$C129&amp;"|"&amp;$D129&amp;"|"&amp;J$14&amp;"|"&amp;"CY2021Q3",Spectrum!$Q:$Q,0)),"")</f>
        <v>0.5179833</v>
      </c>
      <c r="K129" s="123" t="n">
        <f aca="false">_xlfn.IFNA(INDEX(Spectrum!$P:$P,MATCH(RIGHT($B129,13)&amp;"|"&amp;$C129&amp;"|"&amp;$D129&amp;"|"&amp;J$14&amp;"|"&amp;"CY2021Q3",Spectrum!$Q:$Q,0)),"")</f>
        <v>10</v>
      </c>
      <c r="L129" s="115" t="n">
        <f aca="false">_xlfn.IFNA(ROUND(INDEX(Spectrum!$N:$N,MATCH(RIGHT($B129,13)&amp;"|"&amp;$C129&amp;"|"&amp;$D129&amp;"|"&amp;L$14&amp;"|"&amp;"CY2021Q3",Spectrum!$Q:$Q,0)),0),"")</f>
        <v>1922</v>
      </c>
      <c r="M129" s="123" t="n">
        <f aca="false">IF(OR(SUM($H129)&lt;=0,SUM($L129)&lt;=0),"",SUM($L129)/$H129)</f>
        <v>0.939853300733496</v>
      </c>
      <c r="N129" s="115" t="str">
        <f aca="false">_xlfn.IFNA(ROUND(INDEX(Spectrum!$N:$N,MATCH(RIGHT($B129,13)&amp;"|"&amp;$C129&amp;"|"&amp;$D129&amp;"|"&amp;N$14&amp;"|"&amp;"CY2020Q4",Spectrum!$Q:$Q,0)),0),"")</f>
        <v/>
      </c>
      <c r="O129" s="123" t="str">
        <f aca="false">_xlfn.IFNA(INDEX(Spectrum!$P:$P,MATCH(RIGHT($B129,13)&amp;"|"&amp;$C129&amp;"|"&amp;$D129&amp;"|"&amp;N$14&amp;"|"&amp;"CY2020Q4",Spectrum!$Q:$Q,0)),"")</f>
        <v/>
      </c>
      <c r="P129" s="115" t="n">
        <f aca="false">_xlfn.IFNA(ROUND(INDEX(Spectrum!$N:$N,MATCH(RIGHT($B129,13)&amp;"|"&amp;$C129&amp;"|"&amp;$D129&amp;"|"&amp;P$14&amp;"|"&amp;"CY2021Q3",Spectrum!$Q:$Q,0)),0),"")</f>
        <v>1818</v>
      </c>
      <c r="Q129" s="123" t="n">
        <f aca="false">_xlfn.IFNA(INDEX(Spectrum!$P:$P,MATCH(RIGHT($B129,13)&amp;"|"&amp;$C129&amp;"|"&amp;$D129&amp;"|"&amp;P$14&amp;"|"&amp;"CY2021Q3",Spectrum!$Q:$Q,0)),"")</f>
        <v>22</v>
      </c>
      <c r="R129" s="115"/>
      <c r="S129" s="123" t="str">
        <f aca="false">IF(OR(SUM($P129)&lt;=0,SUM($R129)&lt;=0),"",SUM($R129)/$P129)</f>
        <v/>
      </c>
      <c r="T129" s="139" t="n">
        <v>44</v>
      </c>
      <c r="U129" s="124" t="n">
        <v>37</v>
      </c>
      <c r="V129" s="124" t="n">
        <f aca="false">IF($U129-$T129=0,"",$U129-$T129)</f>
        <v>-7</v>
      </c>
      <c r="W129" s="123" t="n">
        <f aca="false">IF(LEFT($B129,4)="_Mil","",IFERROR(MIN(IF(SUM($N129)&lt;=0,SUM($U129)/SUM($P129),SUM($T129)/SUM($N129)),1),""))</f>
        <v>0.0203520352035203</v>
      </c>
      <c r="X129" s="123" t="n">
        <f aca="false">$W129</f>
        <v>0.0203520352035203</v>
      </c>
      <c r="Y129" s="123" t="n">
        <f aca="false">IFERROR(1/(1/INDEX(Spectrum!$N:$N,MATCH(RIGHT($B129,13)&amp;"|"&amp;$C129&amp;"|"&amp;$D129&amp;"|"&amp;Y$14&amp;"|"&amp;"CY2021Q3",Spectrum!$Q:$Q,0))),IF(SUM($H129)=0,"",MAX(SUM($P129),SUM($U129))/SUM($H129)))</f>
        <v>0.888997555012225</v>
      </c>
      <c r="Z129" s="123" t="n">
        <f aca="false">IF(SUM($Y129)=0,"",MAX(SUM($Y129),90%))</f>
        <v>0.9</v>
      </c>
      <c r="AA129" s="115" t="n">
        <f aca="false">IF(LEFT($B129,4)="_Mil","",ROUND(MAX(SUM($U129),SUM($P129))+IF(SUM($Z129)=0,0,MAX(SUM($Z129)-SUM($Y129),0)*SUM($H129)),0))</f>
        <v>1841</v>
      </c>
      <c r="AB129" s="115" t="n">
        <f aca="false">IF(SUM($AA129)=0,"",ROUND(MAX(SUM($AA129)-MAX(SUM($P129),SUM($U129)),0),0))</f>
        <v>23</v>
      </c>
      <c r="AC129" s="126" t="str">
        <f aca="false">IF($C129="&lt;01",IFERROR(ROUND(INDEX(EID!$N:$N,MATCH($B129,EID!$B:$B,0))/2,0),""),"")</f>
        <v/>
      </c>
      <c r="AD129" s="115" t="n">
        <f aca="false">IF($C129="&lt;01",IF(SUM($AC129)=0,"",ROUND(SUM($AC129)/$AG129,0)),IF(SUM($AB129)=0,"",ROUND(MAX($X129,0)*SUM($AB129),0)))</f>
        <v>0</v>
      </c>
      <c r="AE129" s="115" t="n">
        <f aca="false">IF(AND(SUM($AD129)=0,SUM($U129)=0),"",ROUND(IF($C129="&lt;01",0,SUM($U129))+SUM($AD129),0))</f>
        <v>37</v>
      </c>
      <c r="AF129" s="122" t="n">
        <f aca="false">IF($C129="&lt;01","",100%)</f>
        <v>1</v>
      </c>
      <c r="AG129" s="123" t="n">
        <f aca="false">0.98</f>
        <v>0.98</v>
      </c>
      <c r="AH129" s="123" t="n">
        <f aca="false">0.98</f>
        <v>0.98</v>
      </c>
      <c r="AI129" s="124" t="n">
        <f aca="false">IF(OR($C129="&lt;01",SUM($U129)=0),"",ROUND(SUM($U129)*(1-$AH129),0))</f>
        <v>1</v>
      </c>
      <c r="AJ129" s="124" t="n">
        <f aca="false">IF(AND(SUM($AE129)=0,SUM($U129)=0),"",IF($C129="&lt;01",SUM($AD129),SUM($AE129) - ROUND(SUM($U129)*$AH129,0)))</f>
        <v>1</v>
      </c>
      <c r="AK129" s="124" t="n">
        <v>22</v>
      </c>
      <c r="AL129" s="124" t="n">
        <v>11</v>
      </c>
      <c r="AM129" s="115" t="n">
        <f aca="false">IF(AND(SUM($AD129)=0,SUM($U129)=0),"",IF($C129="&lt;01",SUM($AD129),ROUND(ROUND(SUM($AJ129)*$AF129,0)/$AG129,0)))</f>
        <v>1</v>
      </c>
      <c r="AN129" s="122" t="n">
        <f aca="false">0.7</f>
        <v>0.7</v>
      </c>
      <c r="AO129" s="123" t="n">
        <f aca="false">1</f>
        <v>1</v>
      </c>
      <c r="AP129" s="115" t="n">
        <f aca="false">IF(AND(SUM($U129)=0,SUM($AM129)=0),"",ROUND((SUM($AM129)*$AN129+IF($C129="&lt;01",0,$U129))*$AO129,0))</f>
        <v>38</v>
      </c>
      <c r="AQ129" s="122" t="n">
        <v>17</v>
      </c>
      <c r="AR129" s="123" t="n">
        <f aca="false">0.95</f>
        <v>0.95</v>
      </c>
      <c r="AS129" s="123" t="n">
        <f aca="false">0.95</f>
        <v>0.95</v>
      </c>
      <c r="AT129" s="115" t="n">
        <f aca="false">IF(SUM($AP129)=0,"",ROUND(SUM($AP129)*$AR129,0))</f>
        <v>36</v>
      </c>
      <c r="AU129" s="115" t="n">
        <f aca="false">IF(LEFT($B129,4)="_Mil","",ROUND(SUM($AA129)*SUM($AS129),0))</f>
        <v>1749</v>
      </c>
      <c r="AV129" s="124" t="n">
        <f aca="false">IF(SUM($AU129)&lt;=0,"",MAX(SUM($AU129)-SUM($R129),0))</f>
        <v>1749</v>
      </c>
      <c r="AW129" s="122" t="n">
        <f aca="false">0</f>
        <v>0</v>
      </c>
      <c r="AX129" s="124" t="n">
        <f aca="false">IF(SUM($AM129)=0,"",ROUND(SUM($AM129)*SUM($AW129),0))</f>
        <v>0</v>
      </c>
      <c r="AY129" s="124" t="n">
        <f aca="false">IF(SUM($AM129)=0,"",SUM($AM129)-SUM($AX129))</f>
        <v>1</v>
      </c>
      <c r="AZ129" s="123" t="n">
        <v>31</v>
      </c>
      <c r="BA129" s="123" t="n">
        <f aca="false">0.95</f>
        <v>0.95</v>
      </c>
      <c r="BB129" s="123"/>
      <c r="BC129" s="123" t="n">
        <f aca="false">IF(OR(SUM($AM129)&lt;=0,$C129="&lt;01"),"",MAX(IF(OR(SUM($Y129)&lt;70%,LEFT($B129,4)="_Mil"),30%,IF(SUM($Y129)&gt;=80%,75%,50%)),SUM($BB129)))</f>
        <v>0.75</v>
      </c>
      <c r="BD129" s="115" t="n">
        <f aca="false">IF($C129="&lt;01",IFERROR(ROUND(INDEX(EID!$M:$M,MATCH($B129,EID!$B:$B,0)),0)/2,""),IF(SUM($AY129)=0,"",ROUND(SUM($AY129)/SUM($BA129),0)))</f>
        <v>1</v>
      </c>
      <c r="BE129" s="115" t="n">
        <f aca="false">IF($C129="&lt;01","",IF(SUM($BD129)=0,"",ROUND(SUM($BD129)*SUM($BC129),0)))</f>
        <v>1</v>
      </c>
      <c r="BF129" s="115" t="n">
        <f aca="false">_xlfn.IFNA(INDEX(PMTCT!$AE:$AE,MATCH($E129,PMTCT!$E:$E,0)),"")</f>
        <v>-5600</v>
      </c>
      <c r="BG129" s="115" t="str">
        <f aca="false">_xlfn.IFNA(INDEX(PMTCT!$AU:$AU,MATCH($E129,PMTCT!$E:$E,0)),"")</f>
        <v/>
      </c>
      <c r="BH129" s="115" t="n">
        <f aca="false">_xlfn.IFNA(INDEX(TB!$Q:$Q,MATCH($E129,TB!$E:$E,0)),"")</f>
        <v>-0</v>
      </c>
      <c r="BI129" s="115" t="str">
        <f aca="false">_xlfn.IFNA(INDEX(VMMC!$AC:$AC,MATCH($E129,VMMC!$E:$E,0)),"")</f>
        <v/>
      </c>
      <c r="BJ129" s="115" t="str">
        <f aca="false">IF($C129="&lt;01",$BD129,"")</f>
        <v/>
      </c>
      <c r="BK129" s="115" t="n">
        <f aca="false">IF(SUM($BD129)=0,"",($BD129)-SUM($BE129:$BJ129))</f>
        <v>5600</v>
      </c>
      <c r="BL129" s="123" t="n">
        <f aca="false">IF(OR(SUM($BD129)=0,SUM($BE129)=0),"",SUM($BE129)/$BD129)</f>
        <v>1</v>
      </c>
      <c r="BM129" s="123" t="n">
        <f aca="false">IF(OR(SUM($BD129)=0,SUM($BF129)=0),"",SUM($BF129)/$BD129)</f>
        <v>-5600</v>
      </c>
      <c r="BN129" s="123" t="str">
        <f aca="false">IF(OR(SUM($BD129)=0,SUM($BG129)=0),"",SUM($BG129)/$BD129)</f>
        <v/>
      </c>
      <c r="BO129" s="123" t="str">
        <f aca="false">IF(OR(SUM($BD129)=0,SUM($BH129)=0),"",SUM($BH129)/$BD129)</f>
        <v/>
      </c>
      <c r="BP129" s="123" t="str">
        <f aca="false">IF(OR(SUM($BD129)=0,SUM($BI129)=0),"",SUM($BI129)/$BD129)</f>
        <v/>
      </c>
      <c r="BQ129" s="123" t="str">
        <f aca="false">IF(AND($C129="&lt;01",SUM($BJ129)&lt;&gt;0),$BJ129/SUM($BD129),"")</f>
        <v/>
      </c>
      <c r="BR129" s="123" t="n">
        <f aca="false">IF(OR(SUM($BD129)=0,SUM($BK129)=0),"",SUM($BK129)/$BD129)</f>
        <v>5600</v>
      </c>
      <c r="BS129" s="122" t="n">
        <f aca="false">IF(SUM($X129)&lt;=0,"",$X129)</f>
        <v>0.0203520352035203</v>
      </c>
      <c r="BT129" s="115" t="n">
        <f aca="false">IF(LEFT($B129,4)="_Mil","",MAX(SUM($L129)+ROUND(SUM($BD129)/IF(SUM($BS129)&lt;=0,1,SUM($BS129)),0),0))</f>
        <v>1971</v>
      </c>
    </row>
    <row r="130" customFormat="false" ht="15" hidden="false" customHeight="false" outlineLevel="0" collapsed="false">
      <c r="A130" s="0" t="s">
        <v>145</v>
      </c>
      <c r="B130" s="0" t="s">
        <v>107</v>
      </c>
      <c r="C130" s="0" t="s">
        <v>77</v>
      </c>
      <c r="D130" s="0" t="s">
        <v>58</v>
      </c>
      <c r="E130" s="0" t="str">
        <f aca="false">B130&amp;"|"&amp;C130&amp;"|"&amp;D130</f>
        <v>Mafeteng [#SNU] [#DREAMS] [DiFv5WXIHM5]|40-44|Male</v>
      </c>
      <c r="F130" s="115" t="n">
        <f aca="false">_xlfn.IFNA(ROUND(INDEX(Spectrum!$N:$N,MATCH(RIGHT($B130,13)&amp;"|"&amp;$C130&amp;"|"&amp;$D130&amp;"|"&amp;F$14&amp;"|"&amp;"CY2021Q3",Spectrum!$Q:$Q,0)),0),"")</f>
        <v>4399</v>
      </c>
      <c r="G130" s="123" t="n">
        <f aca="false">_xlfn.IFNA(INDEX(Spectrum!$P:$P,MATCH(RIGHT($B130,13)&amp;"|"&amp;$C130&amp;"|"&amp;$D130&amp;"|"&amp;F$14&amp;"|"&amp;"CY2021Q3",Spectrum!$Q:$Q,0)),"")</f>
        <v>10</v>
      </c>
      <c r="H130" s="115" t="n">
        <f aca="false">_xlfn.IFNA(ROUND(INDEX(Spectrum!$N:$N,MATCH(RIGHT($B130,13)&amp;"|"&amp;$C130&amp;"|"&amp;$D130&amp;"|"&amp;H$14&amp;"|"&amp;"CY2021Q3",Spectrum!$Q:$Q,0)),0),"")</f>
        <v>1769</v>
      </c>
      <c r="I130" s="123" t="n">
        <f aca="false">_xlfn.IFNA(INDEX(Spectrum!$P:$P,MATCH(RIGHT($B130,13)&amp;"|"&amp;$C130&amp;"|"&amp;$D130&amp;"|"&amp;H$14&amp;"|"&amp;"CY2021Q3",Spectrum!$Q:$Q,0)),"")</f>
        <v>11</v>
      </c>
      <c r="J130" s="117" t="n">
        <f aca="false">_xlfn.IFNA(INDEX(Spectrum!$N:$N,MATCH(RIGHT($B130,13)&amp;"|"&amp;$C130&amp;"|"&amp;$D130&amp;"|"&amp;J$14&amp;"|"&amp;"CY2021Q3",Spectrum!$Q:$Q,0)),"")</f>
        <v>0.4022389</v>
      </c>
      <c r="K130" s="123" t="n">
        <f aca="false">_xlfn.IFNA(INDEX(Spectrum!$P:$P,MATCH(RIGHT($B130,13)&amp;"|"&amp;$C130&amp;"|"&amp;$D130&amp;"|"&amp;J$14&amp;"|"&amp;"CY2021Q3",Spectrum!$Q:$Q,0)),"")</f>
        <v>28</v>
      </c>
      <c r="L130" s="115" t="n">
        <f aca="false">_xlfn.IFNA(ROUND(INDEX(Spectrum!$N:$N,MATCH(RIGHT($B130,13)&amp;"|"&amp;$C130&amp;"|"&amp;$D130&amp;"|"&amp;L$14&amp;"|"&amp;"CY2021Q3",Spectrum!$Q:$Q,0)),0),"")</f>
        <v>1365</v>
      </c>
      <c r="M130" s="123" t="n">
        <f aca="false">IF(OR(SUM($H130)&lt;=0,SUM($L130)&lt;=0),"",SUM($L130)/$H130)</f>
        <v>0.771622385528547</v>
      </c>
      <c r="N130" s="115" t="str">
        <f aca="false">_xlfn.IFNA(ROUND(INDEX(Spectrum!$N:$N,MATCH(RIGHT($B130,13)&amp;"|"&amp;$C130&amp;"|"&amp;$D130&amp;"|"&amp;N$14&amp;"|"&amp;"CY2020Q4",Spectrum!$Q:$Q,0)),0),"")</f>
        <v/>
      </c>
      <c r="O130" s="123" t="str">
        <f aca="false">_xlfn.IFNA(INDEX(Spectrum!$P:$P,MATCH(RIGHT($B130,13)&amp;"|"&amp;$C130&amp;"|"&amp;$D130&amp;"|"&amp;N$14&amp;"|"&amp;"CY2020Q4",Spectrum!$Q:$Q,0)),"")</f>
        <v/>
      </c>
      <c r="P130" s="115" t="n">
        <f aca="false">_xlfn.IFNA(ROUND(INDEX(Spectrum!$N:$N,MATCH(RIGHT($B130,13)&amp;"|"&amp;$C130&amp;"|"&amp;$D130&amp;"|"&amp;P$14&amp;"|"&amp;"CY2021Q3",Spectrum!$Q:$Q,0)),0),"")</f>
        <v>1170</v>
      </c>
      <c r="Q130" s="123" t="n">
        <f aca="false">_xlfn.IFNA(INDEX(Spectrum!$P:$P,MATCH(RIGHT($B130,13)&amp;"|"&amp;$C130&amp;"|"&amp;$D130&amp;"|"&amp;P$14&amp;"|"&amp;"CY2021Q3",Spectrum!$Q:$Q,0)),"")</f>
        <v>36</v>
      </c>
      <c r="R130" s="115"/>
      <c r="S130" s="123" t="str">
        <f aca="false">IF(OR(SUM($P130)&lt;=0,SUM($R130)&lt;=0),"",SUM($R130)/$P130)</f>
        <v/>
      </c>
      <c r="T130" s="139" t="n">
        <v>4</v>
      </c>
      <c r="U130" s="124" t="n">
        <v>33</v>
      </c>
      <c r="V130" s="124" t="n">
        <f aca="false">IF($U130-$T130=0,"",$U130-$T130)</f>
        <v>29</v>
      </c>
      <c r="W130" s="123" t="n">
        <f aca="false">IF(LEFT($B130,4)="_Mil","",IFERROR(MIN(IF(SUM($N130)&lt;=0,SUM($U130)/SUM($P130),SUM($T130)/SUM($N130)),1),""))</f>
        <v>0.0282051282051282</v>
      </c>
      <c r="X130" s="123" t="n">
        <f aca="false">$W130</f>
        <v>0.0282051282051282</v>
      </c>
      <c r="Y130" s="123" t="n">
        <f aca="false">IFERROR(1/(1/INDEX(Spectrum!$N:$N,MATCH(RIGHT($B130,13)&amp;"|"&amp;$C130&amp;"|"&amp;$D130&amp;"|"&amp;Y$14&amp;"|"&amp;"CY2021Q3",Spectrum!$Q:$Q,0))),IF(SUM($H130)=0,"",MAX(SUM($P130),SUM($U130))/SUM($H130)))</f>
        <v>0.661390616167326</v>
      </c>
      <c r="Z130" s="123" t="n">
        <f aca="false">IF(SUM($Y130)=0,"",MAX(SUM($Y130),90%))</f>
        <v>0.9</v>
      </c>
      <c r="AA130" s="115" t="n">
        <f aca="false">IF(LEFT($B130,4)="_Mil","",ROUND(MAX(SUM($U130),SUM($P130))+IF(SUM($Z130)=0,0,MAX(SUM($Z130)-SUM($Y130),0)*SUM($H130)),0))</f>
        <v>1592</v>
      </c>
      <c r="AB130" s="115" t="n">
        <f aca="false">IF(SUM($AA130)=0,"",ROUND(MAX(SUM($AA130)-MAX(SUM($P130),SUM($U130)),0),0))</f>
        <v>422</v>
      </c>
      <c r="AC130" s="126" t="str">
        <f aca="false">IF($C130="&lt;01",IFERROR(ROUND(INDEX(EID!$N:$N,MATCH($B130,EID!$B:$B,0))/2,0),""),"")</f>
        <v/>
      </c>
      <c r="AD130" s="115" t="n">
        <f aca="false">IF($C130="&lt;01",IF(SUM($AC130)=0,"",ROUND(SUM($AC130)/$AG130,0)),IF(SUM($AB130)=0,"",ROUND(MAX($X130,0)*SUM($AB130),0)))</f>
        <v>12</v>
      </c>
      <c r="AE130" s="115" t="n">
        <f aca="false">IF(AND(SUM($AD130)=0,SUM($U130)=0),"",ROUND(IF($C130="&lt;01",0,SUM($U130))+SUM($AD130),0))</f>
        <v>45</v>
      </c>
      <c r="AF130" s="122" t="n">
        <f aca="false">IF($C130="&lt;01","",100%)</f>
        <v>1</v>
      </c>
      <c r="AG130" s="123" t="n">
        <f aca="false">0.98</f>
        <v>0.98</v>
      </c>
      <c r="AH130" s="123" t="n">
        <f aca="false">0.98</f>
        <v>0.98</v>
      </c>
      <c r="AI130" s="124" t="n">
        <f aca="false">IF(OR($C130="&lt;01",SUM($U130)=0),"",ROUND(SUM($U130)*(1-$AH130),0))</f>
        <v>1</v>
      </c>
      <c r="AJ130" s="124" t="n">
        <f aca="false">IF(AND(SUM($AE130)=0,SUM($U130)=0),"",IF($C130="&lt;01",SUM($AD130),SUM($AE130) - ROUND(SUM($U130)*$AH130,0)))</f>
        <v>13</v>
      </c>
      <c r="AK130" s="124" t="n">
        <v>28</v>
      </c>
      <c r="AL130" s="124" t="n">
        <v>10</v>
      </c>
      <c r="AM130" s="115" t="n">
        <f aca="false">IF(AND(SUM($AD130)=0,SUM($U130)=0),"",IF($C130="&lt;01",SUM($AD130),ROUND(ROUND(SUM($AJ130)*$AF130,0)/$AG130,0)))</f>
        <v>13</v>
      </c>
      <c r="AN130" s="122" t="n">
        <f aca="false">0.7</f>
        <v>0.7</v>
      </c>
      <c r="AO130" s="123" t="n">
        <f aca="false">1</f>
        <v>1</v>
      </c>
      <c r="AP130" s="115" t="n">
        <f aca="false">IF(AND(SUM($U130)=0,SUM($AM130)=0),"",ROUND((SUM($AM130)*$AN130+IF($C130="&lt;01",0,$U130))*$AO130,0))</f>
        <v>42</v>
      </c>
      <c r="AQ130" s="122" t="n">
        <v>21</v>
      </c>
      <c r="AR130" s="123" t="n">
        <f aca="false">0.95</f>
        <v>0.95</v>
      </c>
      <c r="AS130" s="123" t="n">
        <f aca="false">0.95</f>
        <v>0.95</v>
      </c>
      <c r="AT130" s="115" t="n">
        <f aca="false">IF(SUM($AP130)=0,"",ROUND(SUM($AP130)*$AR130,0))</f>
        <v>40</v>
      </c>
      <c r="AU130" s="115" t="n">
        <f aca="false">IF(LEFT($B130,4)="_Mil","",ROUND(SUM($AA130)*SUM($AS130),0))</f>
        <v>1512</v>
      </c>
      <c r="AV130" s="124" t="n">
        <f aca="false">IF(SUM($AU130)&lt;=0,"",MAX(SUM($AU130)-SUM($R130),0))</f>
        <v>1512</v>
      </c>
      <c r="AW130" s="122" t="n">
        <f aca="false">0</f>
        <v>0</v>
      </c>
      <c r="AX130" s="124" t="n">
        <f aca="false">IF(SUM($AM130)=0,"",ROUND(SUM($AM130)*SUM($AW130),0))</f>
        <v>0</v>
      </c>
      <c r="AY130" s="124" t="n">
        <f aca="false">IF(SUM($AM130)=0,"",SUM($AM130)-SUM($AX130))</f>
        <v>13</v>
      </c>
      <c r="AZ130" s="123" t="n">
        <v>38</v>
      </c>
      <c r="BA130" s="123" t="n">
        <f aca="false">0.95</f>
        <v>0.95</v>
      </c>
      <c r="BB130" s="123"/>
      <c r="BC130" s="123" t="n">
        <f aca="false">IF(OR(SUM($AM130)&lt;=0,$C130="&lt;01"),"",MAX(IF(OR(SUM($Y130)&lt;70%,LEFT($B130,4)="_Mil"),30%,IF(SUM($Y130)&gt;=80%,75%,50%)),SUM($BB130)))</f>
        <v>0.3</v>
      </c>
      <c r="BD130" s="115" t="n">
        <f aca="false">IF($C130="&lt;01",IFERROR(ROUND(INDEX(EID!$M:$M,MATCH($B130,EID!$B:$B,0)),0)/2,""),IF(SUM($AY130)=0,"",ROUND(SUM($AY130)/SUM($BA130),0)))</f>
        <v>14</v>
      </c>
      <c r="BE130" s="115" t="n">
        <f aca="false">IF($C130="&lt;01","",IF(SUM($BD130)=0,"",ROUND(SUM($BD130)*SUM($BC130),0)))</f>
        <v>4</v>
      </c>
      <c r="BF130" s="115" t="str">
        <f aca="false">_xlfn.IFNA(INDEX(PMTCT!$AE:$AE,MATCH($E130,PMTCT!$E:$E,0)),"")</f>
        <v/>
      </c>
      <c r="BG130" s="115" t="str">
        <f aca="false">_xlfn.IFNA(INDEX(PMTCT!$AU:$AU,MATCH($E130,PMTCT!$E:$E,0)),"")</f>
        <v/>
      </c>
      <c r="BH130" s="115" t="n">
        <f aca="false">_xlfn.IFNA(INDEX(TB!$Q:$Q,MATCH($E130,TB!$E:$E,0)),"")</f>
        <v>-32538</v>
      </c>
      <c r="BI130" s="115" t="str">
        <f aca="false">_xlfn.IFNA(INDEX(VMMC!$AC:$AC,MATCH($E130,VMMC!$E:$E,0)),"")</f>
        <v/>
      </c>
      <c r="BJ130" s="115" t="str">
        <f aca="false">IF($C130="&lt;01",$BD130,"")</f>
        <v/>
      </c>
      <c r="BK130" s="115" t="n">
        <f aca="false">IF(SUM($BD130)=0,"",($BD130)-SUM($BE130:$BJ130))</f>
        <v>32548</v>
      </c>
      <c r="BL130" s="123" t="n">
        <f aca="false">IF(OR(SUM($BD130)=0,SUM($BE130)=0),"",SUM($BE130)/$BD130)</f>
        <v>0.285714285714286</v>
      </c>
      <c r="BM130" s="123" t="str">
        <f aca="false">IF(OR(SUM($BD130)=0,SUM($BF130)=0),"",SUM($BF130)/$BD130)</f>
        <v/>
      </c>
      <c r="BN130" s="123" t="str">
        <f aca="false">IF(OR(SUM($BD130)=0,SUM($BG130)=0),"",SUM($BG130)/$BD130)</f>
        <v/>
      </c>
      <c r="BO130" s="123" t="n">
        <f aca="false">IF(OR(SUM($BD130)=0,SUM($BH130)=0),"",SUM($BH130)/$BD130)</f>
        <v>-2324.14285714286</v>
      </c>
      <c r="BP130" s="123" t="str">
        <f aca="false">IF(OR(SUM($BD130)=0,SUM($BI130)=0),"",SUM($BI130)/$BD130)</f>
        <v/>
      </c>
      <c r="BQ130" s="123" t="str">
        <f aca="false">IF(AND($C130="&lt;01",SUM($BJ130)&lt;&gt;0),$BJ130/SUM($BD130),"")</f>
        <v/>
      </c>
      <c r="BR130" s="123" t="n">
        <f aca="false">IF(OR(SUM($BD130)=0,SUM($BK130)=0),"",SUM($BK130)/$BD130)</f>
        <v>2324.85714285714</v>
      </c>
      <c r="BS130" s="122" t="n">
        <f aca="false">IF(SUM($X130)&lt;=0,"",$X130)</f>
        <v>0.0282051282051282</v>
      </c>
      <c r="BT130" s="115" t="n">
        <f aca="false">IF(LEFT($B130,4)="_Mil","",MAX(SUM($L130)+ROUND(SUM($BD130)/IF(SUM($BS130)&lt;=0,1,SUM($BS130)),0),0))</f>
        <v>1861</v>
      </c>
    </row>
    <row r="131" customFormat="false" ht="15" hidden="false" customHeight="false" outlineLevel="0" collapsed="false">
      <c r="A131" s="0" t="s">
        <v>145</v>
      </c>
      <c r="B131" s="0" t="s">
        <v>107</v>
      </c>
      <c r="C131" s="0" t="s">
        <v>80</v>
      </c>
      <c r="D131" s="0" t="s">
        <v>56</v>
      </c>
      <c r="E131" s="0" t="str">
        <f aca="false">B131&amp;"|"&amp;C131&amp;"|"&amp;D131</f>
        <v>Mafeteng [#SNU] [#DREAMS] [DiFv5WXIHM5]|45-49|Female</v>
      </c>
      <c r="F131" s="115" t="n">
        <f aca="false">_xlfn.IFNA(ROUND(INDEX(Spectrum!$N:$N,MATCH(RIGHT($B131,13)&amp;"|"&amp;$C131&amp;"|"&amp;$D131&amp;"|"&amp;F$14&amp;"|"&amp;"CY2021Q3",Spectrum!$Q:$Q,0)),0),"")</f>
        <v>3077</v>
      </c>
      <c r="G131" s="123" t="n">
        <f aca="false">_xlfn.IFNA(INDEX(Spectrum!$P:$P,MATCH(RIGHT($B131,13)&amp;"|"&amp;$C131&amp;"|"&amp;$D131&amp;"|"&amp;F$14&amp;"|"&amp;"CY2021Q3",Spectrum!$Q:$Q,0)),"")</f>
        <v>31</v>
      </c>
      <c r="H131" s="115" t="n">
        <f aca="false">_xlfn.IFNA(ROUND(INDEX(Spectrum!$N:$N,MATCH(RIGHT($B131,13)&amp;"|"&amp;$C131&amp;"|"&amp;$D131&amp;"|"&amp;H$14&amp;"|"&amp;"CY2021Q3",Spectrum!$Q:$Q,0)),0),"")</f>
        <v>1575</v>
      </c>
      <c r="I131" s="123" t="n">
        <f aca="false">_xlfn.IFNA(INDEX(Spectrum!$P:$P,MATCH(RIGHT($B131,13)&amp;"|"&amp;$C131&amp;"|"&amp;$D131&amp;"|"&amp;H$14&amp;"|"&amp;"CY2021Q3",Spectrum!$Q:$Q,0)),"")</f>
        <v>34</v>
      </c>
      <c r="J131" s="117" t="n">
        <f aca="false">_xlfn.IFNA(INDEX(Spectrum!$N:$N,MATCH(RIGHT($B131,13)&amp;"|"&amp;$C131&amp;"|"&amp;$D131&amp;"|"&amp;J$14&amp;"|"&amp;"CY2021Q3",Spectrum!$Q:$Q,0)),"")</f>
        <v>0.5118428</v>
      </c>
      <c r="K131" s="123" t="n">
        <f aca="false">_xlfn.IFNA(INDEX(Spectrum!$P:$P,MATCH(RIGHT($B131,13)&amp;"|"&amp;$C131&amp;"|"&amp;$D131&amp;"|"&amp;J$14&amp;"|"&amp;"CY2021Q3",Spectrum!$Q:$Q,0)),"")</f>
        <v>10</v>
      </c>
      <c r="L131" s="115" t="n">
        <f aca="false">_xlfn.IFNA(ROUND(INDEX(Spectrum!$N:$N,MATCH(RIGHT($B131,13)&amp;"|"&amp;$C131&amp;"|"&amp;$D131&amp;"|"&amp;L$14&amp;"|"&amp;"CY2021Q3",Spectrum!$Q:$Q,0)),0),"")</f>
        <v>1528</v>
      </c>
      <c r="M131" s="123" t="n">
        <f aca="false">IF(OR(SUM($H131)&lt;=0,SUM($L131)&lt;=0),"",SUM($L131)/$H131)</f>
        <v>0.97015873015873</v>
      </c>
      <c r="N131" s="115" t="str">
        <f aca="false">_xlfn.IFNA(ROUND(INDEX(Spectrum!$N:$N,MATCH(RIGHT($B131,13)&amp;"|"&amp;$C131&amp;"|"&amp;$D131&amp;"|"&amp;N$14&amp;"|"&amp;"CY2020Q4",Spectrum!$Q:$Q,0)),0),"")</f>
        <v/>
      </c>
      <c r="O131" s="123" t="str">
        <f aca="false">_xlfn.IFNA(INDEX(Spectrum!$P:$P,MATCH(RIGHT($B131,13)&amp;"|"&amp;$C131&amp;"|"&amp;$D131&amp;"|"&amp;N$14&amp;"|"&amp;"CY2020Q4",Spectrum!$Q:$Q,0)),"")</f>
        <v/>
      </c>
      <c r="P131" s="115" t="n">
        <f aca="false">_xlfn.IFNA(ROUND(INDEX(Spectrum!$N:$N,MATCH(RIGHT($B131,13)&amp;"|"&amp;$C131&amp;"|"&amp;$D131&amp;"|"&amp;P$14&amp;"|"&amp;"CY2021Q3",Spectrum!$Q:$Q,0)),0),"")</f>
        <v>1470</v>
      </c>
      <c r="Q131" s="123" t="n">
        <f aca="false">_xlfn.IFNA(INDEX(Spectrum!$P:$P,MATCH(RIGHT($B131,13)&amp;"|"&amp;$C131&amp;"|"&amp;$D131&amp;"|"&amp;P$14&amp;"|"&amp;"CY2021Q3",Spectrum!$Q:$Q,0)),"")</f>
        <v>13</v>
      </c>
      <c r="R131" s="115"/>
      <c r="S131" s="123" t="str">
        <f aca="false">IF(OR(SUM($P131)&lt;=0,SUM($R131)&lt;=0),"",SUM($R131)/$P131)</f>
        <v/>
      </c>
      <c r="T131" s="139" t="n">
        <v>29</v>
      </c>
      <c r="U131" s="124" t="n">
        <v>29</v>
      </c>
      <c r="V131" s="124" t="str">
        <f aca="false">IF($U131-$T131=0,"",$U131-$T131)</f>
        <v/>
      </c>
      <c r="W131" s="123" t="n">
        <f aca="false">IF(LEFT($B131,4)="_Mil","",IFERROR(MIN(IF(SUM($N131)&lt;=0,SUM($U131)/SUM($P131),SUM($T131)/SUM($N131)),1),""))</f>
        <v>0.0197278911564626</v>
      </c>
      <c r="X131" s="123" t="n">
        <f aca="false">$W131</f>
        <v>0.0197278911564626</v>
      </c>
      <c r="Y131" s="123" t="n">
        <f aca="false">IFERROR(1/(1/INDEX(Spectrum!$N:$N,MATCH(RIGHT($B131,13)&amp;"|"&amp;$C131&amp;"|"&amp;$D131&amp;"|"&amp;Y$14&amp;"|"&amp;"CY2021Q3",Spectrum!$Q:$Q,0))),IF(SUM($H131)=0,"",MAX(SUM($P131),SUM($U131))/SUM($H131)))</f>
        <v>0.933333333333333</v>
      </c>
      <c r="Z131" s="123" t="n">
        <f aca="false">IF(SUM($Y131)=0,"",MAX(SUM($Y131),90%))</f>
        <v>0.933333333333333</v>
      </c>
      <c r="AA131" s="115" t="n">
        <f aca="false">IF(LEFT($B131,4)="_Mil","",ROUND(MAX(SUM($U131),SUM($P131))+IF(SUM($Z131)=0,0,MAX(SUM($Z131)-SUM($Y131),0)*SUM($H131)),0))</f>
        <v>1470</v>
      </c>
      <c r="AB131" s="115" t="n">
        <f aca="false">IF(SUM($AA131)=0,"",ROUND(MAX(SUM($AA131)-MAX(SUM($P131),SUM($U131)),0),0))</f>
        <v>0</v>
      </c>
      <c r="AC131" s="126" t="str">
        <f aca="false">IF($C131="&lt;01",IFERROR(ROUND(INDEX(EID!$N:$N,MATCH($B131,EID!$B:$B,0))/2,0),""),"")</f>
        <v/>
      </c>
      <c r="AD131" s="115" t="str">
        <f aca="false">IF($C131="&lt;01",IF(SUM($AC131)=0,"",ROUND(SUM($AC131)/$AG131,0)),IF(SUM($AB131)=0,"",ROUND(MAX($X131,0)*SUM($AB131),0)))</f>
        <v/>
      </c>
      <c r="AE131" s="115" t="n">
        <f aca="false">IF(AND(SUM($AD131)=0,SUM($U131)=0),"",ROUND(IF($C131="&lt;01",0,SUM($U131))+SUM($AD131),0))</f>
        <v>29</v>
      </c>
      <c r="AF131" s="122" t="n">
        <f aca="false">IF($C131="&lt;01","",100%)</f>
        <v>1</v>
      </c>
      <c r="AG131" s="123" t="n">
        <f aca="false">0.98</f>
        <v>0.98</v>
      </c>
      <c r="AH131" s="123" t="n">
        <f aca="false">0.98</f>
        <v>0.98</v>
      </c>
      <c r="AI131" s="124" t="n">
        <f aca="false">IF(OR($C131="&lt;01",SUM($U131)=0),"",ROUND(SUM($U131)*(1-$AH131),0))</f>
        <v>1</v>
      </c>
      <c r="AJ131" s="124" t="n">
        <f aca="false">IF(AND(SUM($AE131)=0,SUM($U131)=0),"",IF($C131="&lt;01",SUM($AD131),SUM($AE131) - ROUND(SUM($U131)*$AH131,0)))</f>
        <v>1</v>
      </c>
      <c r="AK131" s="124" t="n">
        <v>27</v>
      </c>
      <c r="AL131" s="124" t="n">
        <v>5</v>
      </c>
      <c r="AM131" s="115" t="n">
        <f aca="false">IF(AND(SUM($AD131)=0,SUM($U131)=0),"",IF($C131="&lt;01",SUM($AD131),ROUND(ROUND(SUM($AJ131)*$AF131,0)/$AG131,0)))</f>
        <v>1</v>
      </c>
      <c r="AN131" s="122" t="n">
        <f aca="false">0.7</f>
        <v>0.7</v>
      </c>
      <c r="AO131" s="123" t="n">
        <f aca="false">1</f>
        <v>1</v>
      </c>
      <c r="AP131" s="115" t="n">
        <f aca="false">IF(AND(SUM($U131)=0,SUM($AM131)=0),"",ROUND((SUM($AM131)*$AN131+IF($C131="&lt;01",0,$U131))*$AO131,0))</f>
        <v>30</v>
      </c>
      <c r="AQ131" s="122" t="n">
        <v>43</v>
      </c>
      <c r="AR131" s="123" t="n">
        <f aca="false">0.95</f>
        <v>0.95</v>
      </c>
      <c r="AS131" s="123" t="n">
        <f aca="false">0.95</f>
        <v>0.95</v>
      </c>
      <c r="AT131" s="115" t="n">
        <f aca="false">IF(SUM($AP131)=0,"",ROUND(SUM($AP131)*$AR131,0))</f>
        <v>29</v>
      </c>
      <c r="AU131" s="115" t="n">
        <f aca="false">IF(LEFT($B131,4)="_Mil","",ROUND(SUM($AA131)*SUM($AS131),0))</f>
        <v>1397</v>
      </c>
      <c r="AV131" s="124" t="n">
        <f aca="false">IF(SUM($AU131)&lt;=0,"",MAX(SUM($AU131)-SUM($R131),0))</f>
        <v>1397</v>
      </c>
      <c r="AW131" s="122" t="n">
        <f aca="false">0</f>
        <v>0</v>
      </c>
      <c r="AX131" s="124" t="n">
        <f aca="false">IF(SUM($AM131)=0,"",ROUND(SUM($AM131)*SUM($AW131),0))</f>
        <v>0</v>
      </c>
      <c r="AY131" s="124" t="n">
        <f aca="false">IF(SUM($AM131)=0,"",SUM($AM131)-SUM($AX131))</f>
        <v>1</v>
      </c>
      <c r="AZ131" s="123" t="n">
        <v>5</v>
      </c>
      <c r="BA131" s="123" t="n">
        <f aca="false">0.95</f>
        <v>0.95</v>
      </c>
      <c r="BB131" s="123"/>
      <c r="BC131" s="123" t="n">
        <f aca="false">IF(OR(SUM($AM131)&lt;=0,$C131="&lt;01"),"",MAX(IF(OR(SUM($Y131)&lt;70%,LEFT($B131,4)="_Mil"),30%,IF(SUM($Y131)&gt;=80%,75%,50%)),SUM($BB131)))</f>
        <v>0.75</v>
      </c>
      <c r="BD131" s="115" t="n">
        <f aca="false">IF($C131="&lt;01",IFERROR(ROUND(INDEX(EID!$M:$M,MATCH($B131,EID!$B:$B,0)),0)/2,""),IF(SUM($AY131)=0,"",ROUND(SUM($AY131)/SUM($BA131),0)))</f>
        <v>1</v>
      </c>
      <c r="BE131" s="115" t="n">
        <f aca="false">IF($C131="&lt;01","",IF(SUM($BD131)=0,"",ROUND(SUM($BD131)*SUM($BC131),0)))</f>
        <v>1</v>
      </c>
      <c r="BF131" s="115" t="n">
        <f aca="false">_xlfn.IFNA(INDEX(PMTCT!$AE:$AE,MATCH($E131,PMTCT!$E:$E,0)),"")</f>
        <v>-0</v>
      </c>
      <c r="BG131" s="115" t="str">
        <f aca="false">_xlfn.IFNA(INDEX(PMTCT!$AU:$AU,MATCH($E131,PMTCT!$E:$E,0)),"")</f>
        <v/>
      </c>
      <c r="BH131" s="115" t="n">
        <f aca="false">_xlfn.IFNA(INDEX(TB!$Q:$Q,MATCH($E131,TB!$E:$E,0)),"")</f>
        <v>-9594</v>
      </c>
      <c r="BI131" s="115" t="str">
        <f aca="false">_xlfn.IFNA(INDEX(VMMC!$AC:$AC,MATCH($E131,VMMC!$E:$E,0)),"")</f>
        <v/>
      </c>
      <c r="BJ131" s="115" t="str">
        <f aca="false">IF($C131="&lt;01",$BD131,"")</f>
        <v/>
      </c>
      <c r="BK131" s="115" t="n">
        <f aca="false">IF(SUM($BD131)=0,"",($BD131)-SUM($BE131:$BJ131))</f>
        <v>9594</v>
      </c>
      <c r="BL131" s="123" t="n">
        <f aca="false">IF(OR(SUM($BD131)=0,SUM($BE131)=0),"",SUM($BE131)/$BD131)</f>
        <v>1</v>
      </c>
      <c r="BM131" s="123" t="str">
        <f aca="false">IF(OR(SUM($BD131)=0,SUM($BF131)=0),"",SUM($BF131)/$BD131)</f>
        <v/>
      </c>
      <c r="BN131" s="123" t="str">
        <f aca="false">IF(OR(SUM($BD131)=0,SUM($BG131)=0),"",SUM($BG131)/$BD131)</f>
        <v/>
      </c>
      <c r="BO131" s="123" t="n">
        <f aca="false">IF(OR(SUM($BD131)=0,SUM($BH131)=0),"",SUM($BH131)/$BD131)</f>
        <v>-9594</v>
      </c>
      <c r="BP131" s="123" t="str">
        <f aca="false">IF(OR(SUM($BD131)=0,SUM($BI131)=0),"",SUM($BI131)/$BD131)</f>
        <v/>
      </c>
      <c r="BQ131" s="123" t="str">
        <f aca="false">IF(AND($C131="&lt;01",SUM($BJ131)&lt;&gt;0),$BJ131/SUM($BD131),"")</f>
        <v/>
      </c>
      <c r="BR131" s="123" t="n">
        <f aca="false">IF(OR(SUM($BD131)=0,SUM($BK131)=0),"",SUM($BK131)/$BD131)</f>
        <v>9594</v>
      </c>
      <c r="BS131" s="122" t="n">
        <f aca="false">IF(SUM($X131)&lt;=0,"",$X131)</f>
        <v>0.0197278911564626</v>
      </c>
      <c r="BT131" s="115" t="n">
        <f aca="false">IF(LEFT($B131,4)="_Mil","",MAX(SUM($L131)+ROUND(SUM($BD131)/IF(SUM($BS131)&lt;=0,1,SUM($BS131)),0),0))</f>
        <v>1579</v>
      </c>
    </row>
    <row r="132" customFormat="false" ht="15" hidden="false" customHeight="false" outlineLevel="0" collapsed="false">
      <c r="A132" s="0" t="s">
        <v>145</v>
      </c>
      <c r="B132" s="0" t="s">
        <v>107</v>
      </c>
      <c r="C132" s="0" t="s">
        <v>80</v>
      </c>
      <c r="D132" s="0" t="s">
        <v>58</v>
      </c>
      <c r="E132" s="0" t="str">
        <f aca="false">B132&amp;"|"&amp;C132&amp;"|"&amp;D132</f>
        <v>Mafeteng [#SNU] [#DREAMS] [DiFv5WXIHM5]|45-49|Male</v>
      </c>
      <c r="F132" s="115" t="n">
        <f aca="false">_xlfn.IFNA(ROUND(INDEX(Spectrum!$N:$N,MATCH(RIGHT($B132,13)&amp;"|"&amp;$C132&amp;"|"&amp;$D132&amp;"|"&amp;F$14&amp;"|"&amp;"CY2021Q3",Spectrum!$Q:$Q,0)),0),"")</f>
        <v>2994</v>
      </c>
      <c r="G132" s="123" t="n">
        <f aca="false">_xlfn.IFNA(INDEX(Spectrum!$P:$P,MATCH(RIGHT($B132,13)&amp;"|"&amp;$C132&amp;"|"&amp;$D132&amp;"|"&amp;F$14&amp;"|"&amp;"CY2021Q3",Spectrum!$Q:$Q,0)),"")</f>
        <v>9</v>
      </c>
      <c r="H132" s="115" t="n">
        <f aca="false">_xlfn.IFNA(ROUND(INDEX(Spectrum!$N:$N,MATCH(RIGHT($B132,13)&amp;"|"&amp;$C132&amp;"|"&amp;$D132&amp;"|"&amp;H$14&amp;"|"&amp;"CY2021Q3",Spectrum!$Q:$Q,0)),0),"")</f>
        <v>1448</v>
      </c>
      <c r="I132" s="123" t="n">
        <f aca="false">_xlfn.IFNA(INDEX(Spectrum!$P:$P,MATCH(RIGHT($B132,13)&amp;"|"&amp;$C132&amp;"|"&amp;$D132&amp;"|"&amp;H$14&amp;"|"&amp;"CY2021Q3",Spectrum!$Q:$Q,0)),"")</f>
        <v>50</v>
      </c>
      <c r="J132" s="117" t="n">
        <f aca="false">_xlfn.IFNA(INDEX(Spectrum!$N:$N,MATCH(RIGHT($B132,13)&amp;"|"&amp;$C132&amp;"|"&amp;$D132&amp;"|"&amp;J$14&amp;"|"&amp;"CY2021Q3",Spectrum!$Q:$Q,0)),"")</f>
        <v>0.4834961</v>
      </c>
      <c r="K132" s="123" t="n">
        <f aca="false">_xlfn.IFNA(INDEX(Spectrum!$P:$P,MATCH(RIGHT($B132,13)&amp;"|"&amp;$C132&amp;"|"&amp;$D132&amp;"|"&amp;J$14&amp;"|"&amp;"CY2021Q3",Spectrum!$Q:$Q,0)),"")</f>
        <v>44</v>
      </c>
      <c r="L132" s="115" t="n">
        <f aca="false">_xlfn.IFNA(ROUND(INDEX(Spectrum!$N:$N,MATCH(RIGHT($B132,13)&amp;"|"&amp;$C132&amp;"|"&amp;$D132&amp;"|"&amp;L$14&amp;"|"&amp;"CY2021Q3",Spectrum!$Q:$Q,0)),0),"")</f>
        <v>1111</v>
      </c>
      <c r="M132" s="123" t="n">
        <f aca="false">IF(OR(SUM($H132)&lt;=0,SUM($L132)&lt;=0),"",SUM($L132)/$H132)</f>
        <v>0.767265193370166</v>
      </c>
      <c r="N132" s="115" t="str">
        <f aca="false">_xlfn.IFNA(ROUND(INDEX(Spectrum!$N:$N,MATCH(RIGHT($B132,13)&amp;"|"&amp;$C132&amp;"|"&amp;$D132&amp;"|"&amp;N$14&amp;"|"&amp;"CY2020Q4",Spectrum!$Q:$Q,0)),0),"")</f>
        <v/>
      </c>
      <c r="O132" s="123" t="str">
        <f aca="false">_xlfn.IFNA(INDEX(Spectrum!$P:$P,MATCH(RIGHT($B132,13)&amp;"|"&amp;$C132&amp;"|"&amp;$D132&amp;"|"&amp;N$14&amp;"|"&amp;"CY2020Q4",Spectrum!$Q:$Q,0)),"")</f>
        <v/>
      </c>
      <c r="P132" s="115" t="n">
        <f aca="false">_xlfn.IFNA(ROUND(INDEX(Spectrum!$N:$N,MATCH(RIGHT($B132,13)&amp;"|"&amp;$C132&amp;"|"&amp;$D132&amp;"|"&amp;P$14&amp;"|"&amp;"CY2021Q3",Spectrum!$Q:$Q,0)),0),"")</f>
        <v>994</v>
      </c>
      <c r="Q132" s="123" t="n">
        <f aca="false">_xlfn.IFNA(INDEX(Spectrum!$P:$P,MATCH(RIGHT($B132,13)&amp;"|"&amp;$C132&amp;"|"&amp;$D132&amp;"|"&amp;P$14&amp;"|"&amp;"CY2021Q3",Spectrum!$Q:$Q,0)),"")</f>
        <v>49</v>
      </c>
      <c r="R132" s="115"/>
      <c r="S132" s="123" t="str">
        <f aca="false">IF(OR(SUM($P132)&lt;=0,SUM($R132)&lt;=0),"",SUM($R132)/$P132)</f>
        <v/>
      </c>
      <c r="T132" s="139" t="n">
        <v>33</v>
      </c>
      <c r="U132" s="124" t="n">
        <v>7</v>
      </c>
      <c r="V132" s="124" t="n">
        <f aca="false">IF($U132-$T132=0,"",$U132-$T132)</f>
        <v>-26</v>
      </c>
      <c r="W132" s="123" t="n">
        <f aca="false">IF(LEFT($B132,4)="_Mil","",IFERROR(MIN(IF(SUM($N132)&lt;=0,SUM($U132)/SUM($P132),SUM($T132)/SUM($N132)),1),""))</f>
        <v>0.00704225352112676</v>
      </c>
      <c r="X132" s="123" t="n">
        <f aca="false">$W132</f>
        <v>0.00704225352112676</v>
      </c>
      <c r="Y132" s="123" t="n">
        <f aca="false">IFERROR(1/(1/INDEX(Spectrum!$N:$N,MATCH(RIGHT($B132,13)&amp;"|"&amp;$C132&amp;"|"&amp;$D132&amp;"|"&amp;Y$14&amp;"|"&amp;"CY2021Q3",Spectrum!$Q:$Q,0))),IF(SUM($H132)=0,"",MAX(SUM($P132),SUM($U132))/SUM($H132)))</f>
        <v>0.68646408839779</v>
      </c>
      <c r="Z132" s="123" t="n">
        <f aca="false">IF(SUM($Y132)=0,"",MAX(SUM($Y132),90%))</f>
        <v>0.9</v>
      </c>
      <c r="AA132" s="115" t="n">
        <f aca="false">IF(LEFT($B132,4)="_Mil","",ROUND(MAX(SUM($U132),SUM($P132))+IF(SUM($Z132)=0,0,MAX(SUM($Z132)-SUM($Y132),0)*SUM($H132)),0))</f>
        <v>1303</v>
      </c>
      <c r="AB132" s="115" t="n">
        <f aca="false">IF(SUM($AA132)=0,"",ROUND(MAX(SUM($AA132)-MAX(SUM($P132),SUM($U132)),0),0))</f>
        <v>309</v>
      </c>
      <c r="AC132" s="126" t="str">
        <f aca="false">IF($C132="&lt;01",IFERROR(ROUND(INDEX(EID!$N:$N,MATCH($B132,EID!$B:$B,0))/2,0),""),"")</f>
        <v/>
      </c>
      <c r="AD132" s="115" t="n">
        <f aca="false">IF($C132="&lt;01",IF(SUM($AC132)=0,"",ROUND(SUM($AC132)/$AG132,0)),IF(SUM($AB132)=0,"",ROUND(MAX($X132,0)*SUM($AB132),0)))</f>
        <v>2</v>
      </c>
      <c r="AE132" s="115" t="n">
        <f aca="false">IF(AND(SUM($AD132)=0,SUM($U132)=0),"",ROUND(IF($C132="&lt;01",0,SUM($U132))+SUM($AD132),0))</f>
        <v>9</v>
      </c>
      <c r="AF132" s="122" t="n">
        <f aca="false">IF($C132="&lt;01","",100%)</f>
        <v>1</v>
      </c>
      <c r="AG132" s="123" t="n">
        <f aca="false">0.98</f>
        <v>0.98</v>
      </c>
      <c r="AH132" s="123" t="n">
        <f aca="false">0.98</f>
        <v>0.98</v>
      </c>
      <c r="AI132" s="124" t="n">
        <f aca="false">IF(OR($C132="&lt;01",SUM($U132)=0),"",ROUND(SUM($U132)*(1-$AH132),0))</f>
        <v>0</v>
      </c>
      <c r="AJ132" s="124" t="n">
        <f aca="false">IF(AND(SUM($AE132)=0,SUM($U132)=0),"",IF($C132="&lt;01",SUM($AD132),SUM($AE132) - ROUND(SUM($U132)*$AH132,0)))</f>
        <v>2</v>
      </c>
      <c r="AK132" s="124" t="n">
        <v>42</v>
      </c>
      <c r="AL132" s="124" t="n">
        <v>39</v>
      </c>
      <c r="AM132" s="115" t="n">
        <f aca="false">IF(AND(SUM($AD132)=0,SUM($U132)=0),"",IF($C132="&lt;01",SUM($AD132),ROUND(ROUND(SUM($AJ132)*$AF132,0)/$AG132,0)))</f>
        <v>2</v>
      </c>
      <c r="AN132" s="122" t="n">
        <f aca="false">0.7</f>
        <v>0.7</v>
      </c>
      <c r="AO132" s="123" t="n">
        <f aca="false">1</f>
        <v>1</v>
      </c>
      <c r="AP132" s="115" t="n">
        <f aca="false">IF(AND(SUM($U132)=0,SUM($AM132)=0),"",ROUND((SUM($AM132)*$AN132+IF($C132="&lt;01",0,$U132))*$AO132,0))</f>
        <v>8</v>
      </c>
      <c r="AQ132" s="122" t="n">
        <v>28</v>
      </c>
      <c r="AR132" s="123" t="n">
        <f aca="false">0.95</f>
        <v>0.95</v>
      </c>
      <c r="AS132" s="123" t="n">
        <f aca="false">0.95</f>
        <v>0.95</v>
      </c>
      <c r="AT132" s="115" t="n">
        <f aca="false">IF(SUM($AP132)=0,"",ROUND(SUM($AP132)*$AR132,0))</f>
        <v>8</v>
      </c>
      <c r="AU132" s="115" t="n">
        <f aca="false">IF(LEFT($B132,4)="_Mil","",ROUND(SUM($AA132)*SUM($AS132),0))</f>
        <v>1238</v>
      </c>
      <c r="AV132" s="124" t="n">
        <f aca="false">IF(SUM($AU132)&lt;=0,"",MAX(SUM($AU132)-SUM($R132),0))</f>
        <v>1238</v>
      </c>
      <c r="AW132" s="122" t="n">
        <f aca="false">0</f>
        <v>0</v>
      </c>
      <c r="AX132" s="124" t="n">
        <f aca="false">IF(SUM($AM132)=0,"",ROUND(SUM($AM132)*SUM($AW132),0))</f>
        <v>0</v>
      </c>
      <c r="AY132" s="124" t="n">
        <f aca="false">IF(SUM($AM132)=0,"",SUM($AM132)-SUM($AX132))</f>
        <v>2</v>
      </c>
      <c r="AZ132" s="123" t="n">
        <v>5</v>
      </c>
      <c r="BA132" s="123" t="n">
        <f aca="false">0.95</f>
        <v>0.95</v>
      </c>
      <c r="BB132" s="123"/>
      <c r="BC132" s="123" t="n">
        <f aca="false">IF(OR(SUM($AM132)&lt;=0,$C132="&lt;01"),"",MAX(IF(OR(SUM($Y132)&lt;70%,LEFT($B132,4)="_Mil"),30%,IF(SUM($Y132)&gt;=80%,75%,50%)),SUM($BB132)))</f>
        <v>0.3</v>
      </c>
      <c r="BD132" s="115" t="n">
        <f aca="false">IF($C132="&lt;01",IFERROR(ROUND(INDEX(EID!$M:$M,MATCH($B132,EID!$B:$B,0)),0)/2,""),IF(SUM($AY132)=0,"",ROUND(SUM($AY132)/SUM($BA132),0)))</f>
        <v>2</v>
      </c>
      <c r="BE132" s="115" t="n">
        <f aca="false">IF($C132="&lt;01","",IF(SUM($BD132)=0,"",ROUND(SUM($BD132)*SUM($BC132),0)))</f>
        <v>1</v>
      </c>
      <c r="BF132" s="115" t="str">
        <f aca="false">_xlfn.IFNA(INDEX(PMTCT!$AE:$AE,MATCH($E132,PMTCT!$E:$E,0)),"")</f>
        <v/>
      </c>
      <c r="BG132" s="115" t="str">
        <f aca="false">_xlfn.IFNA(INDEX(PMTCT!$AU:$AU,MATCH($E132,PMTCT!$E:$E,0)),"")</f>
        <v/>
      </c>
      <c r="BH132" s="115" t="n">
        <f aca="false">_xlfn.IFNA(INDEX(TB!$Q:$Q,MATCH($E132,TB!$E:$E,0)),"")</f>
        <v>-3654</v>
      </c>
      <c r="BI132" s="115" t="str">
        <f aca="false">_xlfn.IFNA(INDEX(VMMC!$AC:$AC,MATCH($E132,VMMC!$E:$E,0)),"")</f>
        <v/>
      </c>
      <c r="BJ132" s="115" t="str">
        <f aca="false">IF($C132="&lt;01",$BD132,"")</f>
        <v/>
      </c>
      <c r="BK132" s="115" t="n">
        <f aca="false">IF(SUM($BD132)=0,"",($BD132)-SUM($BE132:$BJ132))</f>
        <v>3655</v>
      </c>
      <c r="BL132" s="123" t="n">
        <f aca="false">IF(OR(SUM($BD132)=0,SUM($BE132)=0),"",SUM($BE132)/$BD132)</f>
        <v>0.5</v>
      </c>
      <c r="BM132" s="123" t="str">
        <f aca="false">IF(OR(SUM($BD132)=0,SUM($BF132)=0),"",SUM($BF132)/$BD132)</f>
        <v/>
      </c>
      <c r="BN132" s="123" t="str">
        <f aca="false">IF(OR(SUM($BD132)=0,SUM($BG132)=0),"",SUM($BG132)/$BD132)</f>
        <v/>
      </c>
      <c r="BO132" s="123" t="n">
        <f aca="false">IF(OR(SUM($BD132)=0,SUM($BH132)=0),"",SUM($BH132)/$BD132)</f>
        <v>-1827</v>
      </c>
      <c r="BP132" s="123" t="str">
        <f aca="false">IF(OR(SUM($BD132)=0,SUM($BI132)=0),"",SUM($BI132)/$BD132)</f>
        <v/>
      </c>
      <c r="BQ132" s="123" t="str">
        <f aca="false">IF(AND($C132="&lt;01",SUM($BJ132)&lt;&gt;0),$BJ132/SUM($BD132),"")</f>
        <v/>
      </c>
      <c r="BR132" s="123" t="n">
        <f aca="false">IF(OR(SUM($BD132)=0,SUM($BK132)=0),"",SUM($BK132)/$BD132)</f>
        <v>1827.5</v>
      </c>
      <c r="BS132" s="122" t="n">
        <f aca="false">IF(SUM($X132)&lt;=0,"",$X132)</f>
        <v>0.00704225352112676</v>
      </c>
      <c r="BT132" s="115" t="n">
        <f aca="false">IF(LEFT($B132,4)="_Mil","",MAX(SUM($L132)+ROUND(SUM($BD132)/IF(SUM($BS132)&lt;=0,1,SUM($BS132)),0),0))</f>
        <v>1395</v>
      </c>
    </row>
    <row r="133" customFormat="false" ht="15" hidden="false" customHeight="false" outlineLevel="0" collapsed="false">
      <c r="A133" s="0" t="s">
        <v>145</v>
      </c>
      <c r="B133" s="0" t="s">
        <v>107</v>
      </c>
      <c r="C133" s="0" t="s">
        <v>86</v>
      </c>
      <c r="D133" s="0" t="s">
        <v>56</v>
      </c>
      <c r="E133" s="0" t="str">
        <f aca="false">B133&amp;"|"&amp;C133&amp;"|"&amp;D133</f>
        <v>Mafeteng [#SNU] [#DREAMS] [DiFv5WXIHM5]|50+|Female</v>
      </c>
      <c r="F133" s="115" t="n">
        <f aca="false">_xlfn.IFNA(ROUND(INDEX(Spectrum!$N:$N,MATCH(RIGHT($B133,13)&amp;"|"&amp;$C133&amp;"|"&amp;$D133&amp;"|"&amp;F$14&amp;"|"&amp;"CY2021Q3",Spectrum!$Q:$Q,0)),0),"")</f>
        <v>19112</v>
      </c>
      <c r="G133" s="123" t="n">
        <f aca="false">_xlfn.IFNA(INDEX(Spectrum!$P:$P,MATCH(RIGHT($B133,13)&amp;"|"&amp;$C133&amp;"|"&amp;$D133&amp;"|"&amp;F$14&amp;"|"&amp;"CY2021Q3",Spectrum!$Q:$Q,0)),"")</f>
        <v>42</v>
      </c>
      <c r="H133" s="115" t="n">
        <f aca="false">_xlfn.IFNA(ROUND(INDEX(Spectrum!$N:$N,MATCH(RIGHT($B133,13)&amp;"|"&amp;$C133&amp;"|"&amp;$D133&amp;"|"&amp;H$14&amp;"|"&amp;"CY2021Q3",Spectrum!$Q:$Q,0)),0),"")</f>
        <v>5066</v>
      </c>
      <c r="I133" s="123" t="n">
        <f aca="false">_xlfn.IFNA(INDEX(Spectrum!$P:$P,MATCH(RIGHT($B133,13)&amp;"|"&amp;$C133&amp;"|"&amp;$D133&amp;"|"&amp;H$14&amp;"|"&amp;"CY2021Q3",Spectrum!$Q:$Q,0)),"")</f>
        <v>48</v>
      </c>
      <c r="J133" s="117" t="n">
        <f aca="false">_xlfn.IFNA(INDEX(Spectrum!$N:$N,MATCH(RIGHT($B133,13)&amp;"|"&amp;$C133&amp;"|"&amp;$D133&amp;"|"&amp;J$14&amp;"|"&amp;"CY2021Q3",Spectrum!$Q:$Q,0)),"")</f>
        <v>0.2650757</v>
      </c>
      <c r="K133" s="123" t="n">
        <f aca="false">_xlfn.IFNA(INDEX(Spectrum!$P:$P,MATCH(RIGHT($B133,13)&amp;"|"&amp;$C133&amp;"|"&amp;$D133&amp;"|"&amp;J$14&amp;"|"&amp;"CY2021Q3",Spectrum!$Q:$Q,0)),"")</f>
        <v>31</v>
      </c>
      <c r="L133" s="115" t="n">
        <f aca="false">_xlfn.IFNA(ROUND(INDEX(Spectrum!$N:$N,MATCH(RIGHT($B133,13)&amp;"|"&amp;$C133&amp;"|"&amp;$D133&amp;"|"&amp;L$14&amp;"|"&amp;"CY2021Q3",Spectrum!$Q:$Q,0)),0),"")</f>
        <v>3939</v>
      </c>
      <c r="M133" s="123" t="n">
        <f aca="false">IF(OR(SUM($H133)&lt;=0,SUM($L133)&lt;=0),"",SUM($L133)/$H133)</f>
        <v>0.77753651796289</v>
      </c>
      <c r="N133" s="115" t="str">
        <f aca="false">_xlfn.IFNA(ROUND(INDEX(Spectrum!$N:$N,MATCH(RIGHT($B133,13)&amp;"|"&amp;$C133&amp;"|"&amp;$D133&amp;"|"&amp;N$14&amp;"|"&amp;"CY2020Q4",Spectrum!$Q:$Q,0)),0),"")</f>
        <v/>
      </c>
      <c r="O133" s="123" t="str">
        <f aca="false">_xlfn.IFNA(INDEX(Spectrum!$P:$P,MATCH(RIGHT($B133,13)&amp;"|"&amp;$C133&amp;"|"&amp;$D133&amp;"|"&amp;N$14&amp;"|"&amp;"CY2020Q4",Spectrum!$Q:$Q,0)),"")</f>
        <v/>
      </c>
      <c r="P133" s="115" t="n">
        <f aca="false">_xlfn.IFNA(ROUND(INDEX(Spectrum!$N:$N,MATCH(RIGHT($B133,13)&amp;"|"&amp;$C133&amp;"|"&amp;$D133&amp;"|"&amp;P$14&amp;"|"&amp;"CY2021Q3",Spectrum!$Q:$Q,0)),0),"")</f>
        <v>3809</v>
      </c>
      <c r="Q133" s="123" t="n">
        <f aca="false">_xlfn.IFNA(INDEX(Spectrum!$P:$P,MATCH(RIGHT($B133,13)&amp;"|"&amp;$C133&amp;"|"&amp;$D133&amp;"|"&amp;P$14&amp;"|"&amp;"CY2021Q3",Spectrum!$Q:$Q,0)),"")</f>
        <v>18</v>
      </c>
      <c r="R133" s="115"/>
      <c r="S133" s="123" t="str">
        <f aca="false">IF(OR(SUM($P133)&lt;=0,SUM($R133)&lt;=0),"",SUM($R133)/$P133)</f>
        <v/>
      </c>
      <c r="T133" s="139" t="n">
        <v>39</v>
      </c>
      <c r="U133" s="124" t="n">
        <v>21</v>
      </c>
      <c r="V133" s="124" t="n">
        <f aca="false">IF($U133-$T133=0,"",$U133-$T133)</f>
        <v>-18</v>
      </c>
      <c r="W133" s="123" t="n">
        <f aca="false">IF(LEFT($B133,4)="_Mil","",IFERROR(MIN(IF(SUM($N133)&lt;=0,SUM($U133)/SUM($P133),SUM($T133)/SUM($N133)),1),""))</f>
        <v>0.00551325807298504</v>
      </c>
      <c r="X133" s="123" t="n">
        <f aca="false">$W133</f>
        <v>0.00551325807298504</v>
      </c>
      <c r="Y133" s="123" t="n">
        <f aca="false">IFERROR(1/(1/INDEX(Spectrum!$N:$N,MATCH(RIGHT($B133,13)&amp;"|"&amp;$C133&amp;"|"&amp;$D133&amp;"|"&amp;Y$14&amp;"|"&amp;"CY2021Q3",Spectrum!$Q:$Q,0))),IF(SUM($H133)=0,"",MAX(SUM($P133),SUM($U133))/SUM($H133)))</f>
        <v>0.751875246742993</v>
      </c>
      <c r="Z133" s="123" t="n">
        <f aca="false">IF(SUM($Y133)=0,"",MAX(SUM($Y133),90%))</f>
        <v>0.9</v>
      </c>
      <c r="AA133" s="115" t="n">
        <f aca="false">IF(LEFT($B133,4)="_Mil","",ROUND(MAX(SUM($U133),SUM($P133))+IF(SUM($Z133)=0,0,MAX(SUM($Z133)-SUM($Y133),0)*SUM($H133)),0))</f>
        <v>4559</v>
      </c>
      <c r="AB133" s="115" t="n">
        <f aca="false">IF(SUM($AA133)=0,"",ROUND(MAX(SUM($AA133)-MAX(SUM($P133),SUM($U133)),0),0))</f>
        <v>750</v>
      </c>
      <c r="AC133" s="126" t="str">
        <f aca="false">IF($C133="&lt;01",IFERROR(ROUND(INDEX(EID!$N:$N,MATCH($B133,EID!$B:$B,0))/2,0),""),"")</f>
        <v/>
      </c>
      <c r="AD133" s="115" t="n">
        <f aca="false">IF($C133="&lt;01",IF(SUM($AC133)=0,"",ROUND(SUM($AC133)/$AG133,0)),IF(SUM($AB133)=0,"",ROUND(MAX($X133,0)*SUM($AB133),0)))</f>
        <v>4</v>
      </c>
      <c r="AE133" s="115" t="n">
        <f aca="false">IF(AND(SUM($AD133)=0,SUM($U133)=0),"",ROUND(IF($C133="&lt;01",0,SUM($U133))+SUM($AD133),0))</f>
        <v>25</v>
      </c>
      <c r="AF133" s="122" t="n">
        <f aca="false">IF($C133="&lt;01","",100%)</f>
        <v>1</v>
      </c>
      <c r="AG133" s="123" t="n">
        <f aca="false">0.98</f>
        <v>0.98</v>
      </c>
      <c r="AH133" s="123" t="n">
        <f aca="false">0.98</f>
        <v>0.98</v>
      </c>
      <c r="AI133" s="124" t="n">
        <f aca="false">IF(OR($C133="&lt;01",SUM($U133)=0),"",ROUND(SUM($U133)*(1-$AH133),0))</f>
        <v>0</v>
      </c>
      <c r="AJ133" s="124" t="n">
        <f aca="false">IF(AND(SUM($AE133)=0,SUM($U133)=0),"",IF($C133="&lt;01",SUM($AD133),SUM($AE133) - ROUND(SUM($U133)*$AH133,0)))</f>
        <v>4</v>
      </c>
      <c r="AK133" s="124" t="n">
        <v>44</v>
      </c>
      <c r="AL133" s="124" t="n">
        <v>19</v>
      </c>
      <c r="AM133" s="115" t="n">
        <f aca="false">IF(AND(SUM($AD133)=0,SUM($U133)=0),"",IF($C133="&lt;01",SUM($AD133),ROUND(ROUND(SUM($AJ133)*$AF133,0)/$AG133,0)))</f>
        <v>4</v>
      </c>
      <c r="AN133" s="122" t="n">
        <f aca="false">0.7</f>
        <v>0.7</v>
      </c>
      <c r="AO133" s="123" t="n">
        <f aca="false">1</f>
        <v>1</v>
      </c>
      <c r="AP133" s="115" t="n">
        <f aca="false">IF(AND(SUM($U133)=0,SUM($AM133)=0),"",ROUND((SUM($AM133)*$AN133+IF($C133="&lt;01",0,$U133))*$AO133,0))</f>
        <v>24</v>
      </c>
      <c r="AQ133" s="122" t="n">
        <v>11</v>
      </c>
      <c r="AR133" s="123" t="n">
        <f aca="false">0.95</f>
        <v>0.95</v>
      </c>
      <c r="AS133" s="123" t="n">
        <f aca="false">0.95</f>
        <v>0.95</v>
      </c>
      <c r="AT133" s="115" t="n">
        <f aca="false">IF(SUM($AP133)=0,"",ROUND(SUM($AP133)*$AR133,0))</f>
        <v>23</v>
      </c>
      <c r="AU133" s="115" t="n">
        <f aca="false">IF(LEFT($B133,4)="_Mil","",ROUND(SUM($AA133)*SUM($AS133),0))</f>
        <v>4331</v>
      </c>
      <c r="AV133" s="124" t="n">
        <f aca="false">IF(SUM($AU133)&lt;=0,"",MAX(SUM($AU133)-SUM($R133),0))</f>
        <v>4331</v>
      </c>
      <c r="AW133" s="122" t="n">
        <f aca="false">0</f>
        <v>0</v>
      </c>
      <c r="AX133" s="124" t="n">
        <f aca="false">IF(SUM($AM133)=0,"",ROUND(SUM($AM133)*SUM($AW133),0))</f>
        <v>0</v>
      </c>
      <c r="AY133" s="124" t="n">
        <f aca="false">IF(SUM($AM133)=0,"",SUM($AM133)-SUM($AX133))</f>
        <v>4</v>
      </c>
      <c r="AZ133" s="123" t="n">
        <v>28</v>
      </c>
      <c r="BA133" s="123" t="n">
        <f aca="false">0.95</f>
        <v>0.95</v>
      </c>
      <c r="BB133" s="123"/>
      <c r="BC133" s="123" t="n">
        <f aca="false">IF(OR(SUM($AM133)&lt;=0,$C133="&lt;01"),"",MAX(IF(OR(SUM($Y133)&lt;70%,LEFT($B133,4)="_Mil"),30%,IF(SUM($Y133)&gt;=80%,75%,50%)),SUM($BB133)))</f>
        <v>0.5</v>
      </c>
      <c r="BD133" s="115" t="n">
        <f aca="false">IF($C133="&lt;01",IFERROR(ROUND(INDEX(EID!$M:$M,MATCH($B133,EID!$B:$B,0)),0)/2,""),IF(SUM($AY133)=0,"",ROUND(SUM($AY133)/SUM($BA133),0)))</f>
        <v>4</v>
      </c>
      <c r="BE133" s="115" t="n">
        <f aca="false">IF($C133="&lt;01","",IF(SUM($BD133)=0,"",ROUND(SUM($BD133)*SUM($BC133),0)))</f>
        <v>2</v>
      </c>
      <c r="BF133" s="115" t="str">
        <f aca="false">_xlfn.IFNA(INDEX(PMTCT!$AE:$AE,MATCH($E133,PMTCT!$E:$E,0)),"")</f>
        <v/>
      </c>
      <c r="BG133" s="115" t="str">
        <f aca="false">_xlfn.IFNA(INDEX(PMTCT!$AU:$AU,MATCH($E133,PMTCT!$E:$E,0)),"")</f>
        <v/>
      </c>
      <c r="BH133" s="115" t="n">
        <f aca="false">_xlfn.IFNA(INDEX(TB!$Q:$Q,MATCH($E133,TB!$E:$E,0)),"")</f>
        <v>-0</v>
      </c>
      <c r="BI133" s="115" t="str">
        <f aca="false">_xlfn.IFNA(INDEX(VMMC!$AC:$AC,MATCH($E133,VMMC!$E:$E,0)),"")</f>
        <v/>
      </c>
      <c r="BJ133" s="115" t="str">
        <f aca="false">IF($C133="&lt;01",$BD133,"")</f>
        <v/>
      </c>
      <c r="BK133" s="115" t="n">
        <f aca="false">IF(SUM($BD133)=0,"",($BD133)-SUM($BE133:$BJ133))</f>
        <v>2</v>
      </c>
      <c r="BL133" s="123" t="n">
        <f aca="false">IF(OR(SUM($BD133)=0,SUM($BE133)=0),"",SUM($BE133)/$BD133)</f>
        <v>0.5</v>
      </c>
      <c r="BM133" s="123" t="str">
        <f aca="false">IF(OR(SUM($BD133)=0,SUM($BF133)=0),"",SUM($BF133)/$BD133)</f>
        <v/>
      </c>
      <c r="BN133" s="123" t="str">
        <f aca="false">IF(OR(SUM($BD133)=0,SUM($BG133)=0),"",SUM($BG133)/$BD133)</f>
        <v/>
      </c>
      <c r="BO133" s="123" t="str">
        <f aca="false">IF(OR(SUM($BD133)=0,SUM($BH133)=0),"",SUM($BH133)/$BD133)</f>
        <v/>
      </c>
      <c r="BP133" s="123" t="str">
        <f aca="false">IF(OR(SUM($BD133)=0,SUM($BI133)=0),"",SUM($BI133)/$BD133)</f>
        <v/>
      </c>
      <c r="BQ133" s="123" t="str">
        <f aca="false">IF(AND($C133="&lt;01",SUM($BJ133)&lt;&gt;0),$BJ133/SUM($BD133),"")</f>
        <v/>
      </c>
      <c r="BR133" s="123" t="n">
        <f aca="false">IF(OR(SUM($BD133)=0,SUM($BK133)=0),"",SUM($BK133)/$BD133)</f>
        <v>0.5</v>
      </c>
      <c r="BS133" s="122" t="n">
        <f aca="false">IF(SUM($X133)&lt;=0,"",$X133)</f>
        <v>0.00551325807298504</v>
      </c>
      <c r="BT133" s="115" t="n">
        <f aca="false">IF(LEFT($B133,4)="_Mil","",MAX(SUM($L133)+ROUND(SUM($BD133)/IF(SUM($BS133)&lt;=0,1,SUM($BS133)),0),0))</f>
        <v>4665</v>
      </c>
    </row>
    <row r="134" customFormat="false" ht="15" hidden="false" customHeight="false" outlineLevel="0" collapsed="false">
      <c r="A134" s="0" t="s">
        <v>145</v>
      </c>
      <c r="B134" s="0" t="s">
        <v>107</v>
      </c>
      <c r="C134" s="0" t="s">
        <v>86</v>
      </c>
      <c r="D134" s="0" t="s">
        <v>58</v>
      </c>
      <c r="E134" s="0" t="str">
        <f aca="false">B134&amp;"|"&amp;C134&amp;"|"&amp;D134</f>
        <v>Mafeteng [#SNU] [#DREAMS] [DiFv5WXIHM5]|50+|Male</v>
      </c>
      <c r="F134" s="115" t="n">
        <f aca="false">_xlfn.IFNA(ROUND(INDEX(Spectrum!$N:$N,MATCH(RIGHT($B134,13)&amp;"|"&amp;$C134&amp;"|"&amp;$D134&amp;"|"&amp;F$14&amp;"|"&amp;"CY2021Q3",Spectrum!$Q:$Q,0)),0),"")</f>
        <v>12751</v>
      </c>
      <c r="G134" s="123" t="n">
        <f aca="false">_xlfn.IFNA(INDEX(Spectrum!$P:$P,MATCH(RIGHT($B134,13)&amp;"|"&amp;$C134&amp;"|"&amp;$D134&amp;"|"&amp;F$14&amp;"|"&amp;"CY2021Q3",Spectrum!$Q:$Q,0)),"")</f>
        <v>49</v>
      </c>
      <c r="H134" s="115" t="n">
        <f aca="false">_xlfn.IFNA(ROUND(INDEX(Spectrum!$N:$N,MATCH(RIGHT($B134,13)&amp;"|"&amp;$C134&amp;"|"&amp;$D134&amp;"|"&amp;H$14&amp;"|"&amp;"CY2021Q3",Spectrum!$Q:$Q,0)),0),"")</f>
        <v>3803</v>
      </c>
      <c r="I134" s="123" t="n">
        <f aca="false">_xlfn.IFNA(INDEX(Spectrum!$P:$P,MATCH(RIGHT($B134,13)&amp;"|"&amp;$C134&amp;"|"&amp;$D134&amp;"|"&amp;H$14&amp;"|"&amp;"CY2021Q3",Spectrum!$Q:$Q,0)),"")</f>
        <v>43</v>
      </c>
      <c r="J134" s="117" t="n">
        <f aca="false">_xlfn.IFNA(INDEX(Spectrum!$N:$N,MATCH(RIGHT($B134,13)&amp;"|"&amp;$C134&amp;"|"&amp;$D134&amp;"|"&amp;J$14&amp;"|"&amp;"CY2021Q3",Spectrum!$Q:$Q,0)),"")</f>
        <v>0.29826</v>
      </c>
      <c r="K134" s="123" t="n">
        <f aca="false">_xlfn.IFNA(INDEX(Spectrum!$P:$P,MATCH(RIGHT($B134,13)&amp;"|"&amp;$C134&amp;"|"&amp;$D134&amp;"|"&amp;J$14&amp;"|"&amp;"CY2021Q3",Spectrum!$Q:$Q,0)),"")</f>
        <v>11</v>
      </c>
      <c r="L134" s="115" t="n">
        <f aca="false">_xlfn.IFNA(ROUND(INDEX(Spectrum!$N:$N,MATCH(RIGHT($B134,13)&amp;"|"&amp;$C134&amp;"|"&amp;$D134&amp;"|"&amp;L$14&amp;"|"&amp;"CY2021Q3",Spectrum!$Q:$Q,0)),0),"")</f>
        <v>2699</v>
      </c>
      <c r="M134" s="123" t="n">
        <f aca="false">IF(OR(SUM($H134)&lt;=0,SUM($L134)&lt;=0),"",SUM($L134)/$H134)</f>
        <v>0.709702866158296</v>
      </c>
      <c r="N134" s="115" t="str">
        <f aca="false">_xlfn.IFNA(ROUND(INDEX(Spectrum!$N:$N,MATCH(RIGHT($B134,13)&amp;"|"&amp;$C134&amp;"|"&amp;$D134&amp;"|"&amp;N$14&amp;"|"&amp;"CY2020Q4",Spectrum!$Q:$Q,0)),0),"")</f>
        <v/>
      </c>
      <c r="O134" s="123" t="str">
        <f aca="false">_xlfn.IFNA(INDEX(Spectrum!$P:$P,MATCH(RIGHT($B134,13)&amp;"|"&amp;$C134&amp;"|"&amp;$D134&amp;"|"&amp;N$14&amp;"|"&amp;"CY2020Q4",Spectrum!$Q:$Q,0)),"")</f>
        <v/>
      </c>
      <c r="P134" s="115" t="n">
        <f aca="false">_xlfn.IFNA(ROUND(INDEX(Spectrum!$N:$N,MATCH(RIGHT($B134,13)&amp;"|"&amp;$C134&amp;"|"&amp;$D134&amp;"|"&amp;P$14&amp;"|"&amp;"CY2021Q3",Spectrum!$Q:$Q,0)),0),"")</f>
        <v>2520</v>
      </c>
      <c r="Q134" s="123" t="n">
        <f aca="false">_xlfn.IFNA(INDEX(Spectrum!$P:$P,MATCH(RIGHT($B134,13)&amp;"|"&amp;$C134&amp;"|"&amp;$D134&amp;"|"&amp;P$14&amp;"|"&amp;"CY2021Q3",Spectrum!$Q:$Q,0)),"")</f>
        <v>19</v>
      </c>
      <c r="R134" s="115"/>
      <c r="S134" s="123" t="str">
        <f aca="false">IF(OR(SUM($P134)&lt;=0,SUM($R134)&lt;=0),"",SUM($R134)/$P134)</f>
        <v/>
      </c>
      <c r="T134" s="139" t="n">
        <v>22</v>
      </c>
      <c r="U134" s="124" t="n">
        <v>12</v>
      </c>
      <c r="V134" s="124" t="n">
        <f aca="false">IF($U134-$T134=0,"",$U134-$T134)</f>
        <v>-10</v>
      </c>
      <c r="W134" s="123" t="n">
        <f aca="false">IF(LEFT($B134,4)="_Mil","",IFERROR(MIN(IF(SUM($N134)&lt;=0,SUM($U134)/SUM($P134),SUM($T134)/SUM($N134)),1),""))</f>
        <v>0.00476190476190476</v>
      </c>
      <c r="X134" s="123" t="n">
        <f aca="false">$W134</f>
        <v>0.00476190476190476</v>
      </c>
      <c r="Y134" s="123" t="n">
        <f aca="false">IFERROR(1/(1/INDEX(Spectrum!$N:$N,MATCH(RIGHT($B134,13)&amp;"|"&amp;$C134&amp;"|"&amp;$D134&amp;"|"&amp;Y$14&amp;"|"&amp;"CY2021Q3",Spectrum!$Q:$Q,0))),IF(SUM($H134)=0,"",MAX(SUM($P134),SUM($U134))/SUM($H134)))</f>
        <v>0.662634762029976</v>
      </c>
      <c r="Z134" s="123" t="n">
        <f aca="false">IF(SUM($Y134)=0,"",MAX(SUM($Y134),90%))</f>
        <v>0.9</v>
      </c>
      <c r="AA134" s="115" t="n">
        <f aca="false">IF(LEFT($B134,4)="_Mil","",ROUND(MAX(SUM($U134),SUM($P134))+IF(SUM($Z134)=0,0,MAX(SUM($Z134)-SUM($Y134),0)*SUM($H134)),0))</f>
        <v>3423</v>
      </c>
      <c r="AB134" s="115" t="n">
        <f aca="false">IF(SUM($AA134)=0,"",ROUND(MAX(SUM($AA134)-MAX(SUM($P134),SUM($U134)),0),0))</f>
        <v>903</v>
      </c>
      <c r="AC134" s="126" t="str">
        <f aca="false">IF($C134="&lt;01",IFERROR(ROUND(INDEX(EID!$N:$N,MATCH($B134,EID!$B:$B,0))/2,0),""),"")</f>
        <v/>
      </c>
      <c r="AD134" s="115" t="n">
        <f aca="false">IF($C134="&lt;01",IF(SUM($AC134)=0,"",ROUND(SUM($AC134)/$AG134,0)),IF(SUM($AB134)=0,"",ROUND(MAX($X134,0)*SUM($AB134),0)))</f>
        <v>4</v>
      </c>
      <c r="AE134" s="115" t="n">
        <f aca="false">IF(AND(SUM($AD134)=0,SUM($U134)=0),"",ROUND(IF($C134="&lt;01",0,SUM($U134))+SUM($AD134),0))</f>
        <v>16</v>
      </c>
      <c r="AF134" s="122" t="n">
        <f aca="false">IF($C134="&lt;01","",100%)</f>
        <v>1</v>
      </c>
      <c r="AG134" s="123" t="n">
        <f aca="false">0.98</f>
        <v>0.98</v>
      </c>
      <c r="AH134" s="123" t="n">
        <f aca="false">0.98</f>
        <v>0.98</v>
      </c>
      <c r="AI134" s="124" t="n">
        <f aca="false">IF(OR($C134="&lt;01",SUM($U134)=0),"",ROUND(SUM($U134)*(1-$AH134),0))</f>
        <v>0</v>
      </c>
      <c r="AJ134" s="124" t="n">
        <f aca="false">IF(AND(SUM($AE134)=0,SUM($U134)=0),"",IF($C134="&lt;01",SUM($AD134),SUM($AE134) - ROUND(SUM($U134)*$AH134,0)))</f>
        <v>4</v>
      </c>
      <c r="AK134" s="124" t="n">
        <v>12</v>
      </c>
      <c r="AL134" s="124" t="n">
        <v>44</v>
      </c>
      <c r="AM134" s="115" t="n">
        <f aca="false">IF(AND(SUM($AD134)=0,SUM($U134)=0),"",IF($C134="&lt;01",SUM($AD134),ROUND(ROUND(SUM($AJ134)*$AF134,0)/$AG134,0)))</f>
        <v>4</v>
      </c>
      <c r="AN134" s="122" t="n">
        <f aca="false">0.7</f>
        <v>0.7</v>
      </c>
      <c r="AO134" s="123" t="n">
        <f aca="false">1</f>
        <v>1</v>
      </c>
      <c r="AP134" s="115" t="n">
        <f aca="false">IF(AND(SUM($U134)=0,SUM($AM134)=0),"",ROUND((SUM($AM134)*$AN134+IF($C134="&lt;01",0,$U134))*$AO134,0))</f>
        <v>15</v>
      </c>
      <c r="AQ134" s="122" t="n">
        <v>4</v>
      </c>
      <c r="AR134" s="123" t="n">
        <f aca="false">0.95</f>
        <v>0.95</v>
      </c>
      <c r="AS134" s="123" t="n">
        <f aca="false">0.95</f>
        <v>0.95</v>
      </c>
      <c r="AT134" s="115" t="n">
        <f aca="false">IF(SUM($AP134)=0,"",ROUND(SUM($AP134)*$AR134,0))</f>
        <v>14</v>
      </c>
      <c r="AU134" s="115" t="n">
        <f aca="false">IF(LEFT($B134,4)="_Mil","",ROUND(SUM($AA134)*SUM($AS134),0))</f>
        <v>3252</v>
      </c>
      <c r="AV134" s="124" t="n">
        <f aca="false">IF(SUM($AU134)&lt;=0,"",MAX(SUM($AU134)-SUM($R134),0))</f>
        <v>3252</v>
      </c>
      <c r="AW134" s="122" t="n">
        <f aca="false">0</f>
        <v>0</v>
      </c>
      <c r="AX134" s="124" t="n">
        <f aca="false">IF(SUM($AM134)=0,"",ROUND(SUM($AM134)*SUM($AW134),0))</f>
        <v>0</v>
      </c>
      <c r="AY134" s="124" t="n">
        <f aca="false">IF(SUM($AM134)=0,"",SUM($AM134)-SUM($AX134))</f>
        <v>4</v>
      </c>
      <c r="AZ134" s="123" t="n">
        <v>42</v>
      </c>
      <c r="BA134" s="123" t="n">
        <f aca="false">0.95</f>
        <v>0.95</v>
      </c>
      <c r="BB134" s="123"/>
      <c r="BC134" s="123" t="n">
        <f aca="false">IF(OR(SUM($AM134)&lt;=0,$C134="&lt;01"),"",MAX(IF(OR(SUM($Y134)&lt;70%,LEFT($B134,4)="_Mil"),30%,IF(SUM($Y134)&gt;=80%,75%,50%)),SUM($BB134)))</f>
        <v>0.3</v>
      </c>
      <c r="BD134" s="115" t="n">
        <f aca="false">IF($C134="&lt;01",IFERROR(ROUND(INDEX(EID!$M:$M,MATCH($B134,EID!$B:$B,0)),0)/2,""),IF(SUM($AY134)=0,"",ROUND(SUM($AY134)/SUM($BA134),0)))</f>
        <v>4</v>
      </c>
      <c r="BE134" s="115" t="n">
        <f aca="false">IF($C134="&lt;01","",IF(SUM($BD134)=0,"",ROUND(SUM($BD134)*SUM($BC134),0)))</f>
        <v>1</v>
      </c>
      <c r="BF134" s="115" t="str">
        <f aca="false">_xlfn.IFNA(INDEX(PMTCT!$AE:$AE,MATCH($E134,PMTCT!$E:$E,0)),"")</f>
        <v/>
      </c>
      <c r="BG134" s="115" t="str">
        <f aca="false">_xlfn.IFNA(INDEX(PMTCT!$AU:$AU,MATCH($E134,PMTCT!$E:$E,0)),"")</f>
        <v/>
      </c>
      <c r="BH134" s="115" t="n">
        <f aca="false">_xlfn.IFNA(INDEX(TB!$Q:$Q,MATCH($E134,TB!$E:$E,0)),"")</f>
        <v>-2610</v>
      </c>
      <c r="BI134" s="115" t="str">
        <f aca="false">_xlfn.IFNA(INDEX(VMMC!$AC:$AC,MATCH($E134,VMMC!$E:$E,0)),"")</f>
        <v/>
      </c>
      <c r="BJ134" s="115" t="str">
        <f aca="false">IF($C134="&lt;01",$BD134,"")</f>
        <v/>
      </c>
      <c r="BK134" s="115" t="n">
        <f aca="false">IF(SUM($BD134)=0,"",($BD134)-SUM($BE134:$BJ134))</f>
        <v>2613</v>
      </c>
      <c r="BL134" s="123" t="n">
        <f aca="false">IF(OR(SUM($BD134)=0,SUM($BE134)=0),"",SUM($BE134)/$BD134)</f>
        <v>0.25</v>
      </c>
      <c r="BM134" s="123" t="str">
        <f aca="false">IF(OR(SUM($BD134)=0,SUM($BF134)=0),"",SUM($BF134)/$BD134)</f>
        <v/>
      </c>
      <c r="BN134" s="123" t="str">
        <f aca="false">IF(OR(SUM($BD134)=0,SUM($BG134)=0),"",SUM($BG134)/$BD134)</f>
        <v/>
      </c>
      <c r="BO134" s="123" t="n">
        <f aca="false">IF(OR(SUM($BD134)=0,SUM($BH134)=0),"",SUM($BH134)/$BD134)</f>
        <v>-652.5</v>
      </c>
      <c r="BP134" s="123" t="str">
        <f aca="false">IF(OR(SUM($BD134)=0,SUM($BI134)=0),"",SUM($BI134)/$BD134)</f>
        <v/>
      </c>
      <c r="BQ134" s="123" t="str">
        <f aca="false">IF(AND($C134="&lt;01",SUM($BJ134)&lt;&gt;0),$BJ134/SUM($BD134),"")</f>
        <v/>
      </c>
      <c r="BR134" s="123" t="n">
        <f aca="false">IF(OR(SUM($BD134)=0,SUM($BK134)=0),"",SUM($BK134)/$BD134)</f>
        <v>653.25</v>
      </c>
      <c r="BS134" s="122" t="n">
        <f aca="false">IF(SUM($X134)&lt;=0,"",$X134)</f>
        <v>0.00476190476190476</v>
      </c>
      <c r="BT134" s="115" t="n">
        <f aca="false">IF(LEFT($B134,4)="_Mil","",MAX(SUM($L134)+ROUND(SUM($BD134)/IF(SUM($BS134)&lt;=0,1,SUM($BS134)),0),0))</f>
        <v>3539</v>
      </c>
    </row>
    <row r="135" customFormat="false" ht="15" hidden="false" customHeight="false" outlineLevel="0" collapsed="false">
      <c r="A135" s="0" t="s">
        <v>146</v>
      </c>
      <c r="B135" s="0" t="s">
        <v>45</v>
      </c>
      <c r="C135" s="0" t="s">
        <v>89</v>
      </c>
      <c r="D135" s="0" t="s">
        <v>56</v>
      </c>
      <c r="E135" s="0" t="str">
        <f aca="false">B135&amp;"|"&amp;C135&amp;"|"&amp;D135</f>
        <v>Maseru [#SNU] [#DREAMS] [tKOXiaNhAyJ]|&lt;01|Female</v>
      </c>
      <c r="F135" s="115" t="n">
        <f aca="false">_xlfn.IFNA(ROUND(INDEX(Spectrum!$N:$N,MATCH(RIGHT($B135,13)&amp;"|"&amp;$C135&amp;"|"&amp;$D135&amp;"|"&amp;F$14&amp;"|"&amp;"CY2021Q3",Spectrum!$Q:$Q,0)),0),"")</f>
        <v>4631</v>
      </c>
      <c r="G135" s="123" t="n">
        <f aca="false">_xlfn.IFNA(INDEX(Spectrum!$P:$P,MATCH(RIGHT($B135,13)&amp;"|"&amp;$C135&amp;"|"&amp;$D135&amp;"|"&amp;F$14&amp;"|"&amp;"CY2021Q3",Spectrum!$Q:$Q,0)),"")</f>
        <v>9</v>
      </c>
      <c r="H135" s="115" t="n">
        <f aca="false">_xlfn.IFNA(ROUND(INDEX(Spectrum!$N:$N,MATCH(RIGHT($B135,13)&amp;"|"&amp;$C135&amp;"|"&amp;$D135&amp;"|"&amp;H$14&amp;"|"&amp;"CY2021Q3",Spectrum!$Q:$Q,0)),0),"")</f>
        <v>40</v>
      </c>
      <c r="I135" s="123" t="n">
        <f aca="false">_xlfn.IFNA(INDEX(Spectrum!$P:$P,MATCH(RIGHT($B135,13)&amp;"|"&amp;$C135&amp;"|"&amp;$D135&amp;"|"&amp;H$14&amp;"|"&amp;"CY2021Q3",Spectrum!$Q:$Q,0)),"")</f>
        <v>1</v>
      </c>
      <c r="J135" s="117" t="n">
        <f aca="false">_xlfn.IFNA(INDEX(Spectrum!$N:$N,MATCH(RIGHT($B135,13)&amp;"|"&amp;$C135&amp;"|"&amp;$D135&amp;"|"&amp;J$14&amp;"|"&amp;"CY2021Q3",Spectrum!$Q:$Q,0)),"")</f>
        <v>0.0086006</v>
      </c>
      <c r="K135" s="123" t="n">
        <f aca="false">_xlfn.IFNA(INDEX(Spectrum!$P:$P,MATCH(RIGHT($B135,13)&amp;"|"&amp;$C135&amp;"|"&amp;$D135&amp;"|"&amp;J$14&amp;"|"&amp;"CY2021Q3",Spectrum!$Q:$Q,0)),"")</f>
        <v>14</v>
      </c>
      <c r="L135" s="115" t="n">
        <f aca="false">_xlfn.IFNA(ROUND(INDEX(Spectrum!$N:$N,MATCH(RIGHT($B135,13)&amp;"|"&amp;$C135&amp;"|"&amp;$D135&amp;"|"&amp;L$14&amp;"|"&amp;"CY2021Q3",Spectrum!$Q:$Q,0)),0),"")</f>
        <v>18</v>
      </c>
      <c r="M135" s="123" t="n">
        <f aca="false">IF(OR(SUM($H135)&lt;=0,SUM($L135)&lt;=0),"",SUM($L135)/$H135)</f>
        <v>0.45</v>
      </c>
      <c r="N135" s="115" t="str">
        <f aca="false">_xlfn.IFNA(ROUND(INDEX(Spectrum!$N:$N,MATCH(RIGHT($B135,13)&amp;"|"&amp;$C135&amp;"|"&amp;$D135&amp;"|"&amp;N$14&amp;"|"&amp;"CY2020Q4",Spectrum!$Q:$Q,0)),0),"")</f>
        <v/>
      </c>
      <c r="O135" s="123" t="str">
        <f aca="false">_xlfn.IFNA(INDEX(Spectrum!$P:$P,MATCH(RIGHT($B135,13)&amp;"|"&amp;$C135&amp;"|"&amp;$D135&amp;"|"&amp;N$14&amp;"|"&amp;"CY2020Q4",Spectrum!$Q:$Q,0)),"")</f>
        <v/>
      </c>
      <c r="P135" s="115" t="n">
        <f aca="false">_xlfn.IFNA(ROUND(INDEX(Spectrum!$N:$N,MATCH(RIGHT($B135,13)&amp;"|"&amp;$C135&amp;"|"&amp;$D135&amp;"|"&amp;P$14&amp;"|"&amp;"CY2021Q3",Spectrum!$Q:$Q,0)),0),"")</f>
        <v>19</v>
      </c>
      <c r="Q135" s="123" t="n">
        <f aca="false">_xlfn.IFNA(INDEX(Spectrum!$P:$P,MATCH(RIGHT($B135,13)&amp;"|"&amp;$C135&amp;"|"&amp;$D135&amp;"|"&amp;P$14&amp;"|"&amp;"CY2021Q3",Spectrum!$Q:$Q,0)),"")</f>
        <v>22</v>
      </c>
      <c r="R135" s="115"/>
      <c r="S135" s="123" t="str">
        <f aca="false">IF(OR(SUM($P135)&lt;=0,SUM($R135)&lt;=0),"",SUM($R135)/$P135)</f>
        <v/>
      </c>
      <c r="T135" s="139" t="n">
        <v>7</v>
      </c>
      <c r="U135" s="124" t="n">
        <v>13</v>
      </c>
      <c r="V135" s="124" t="n">
        <f aca="false">IF($U135-$T135=0,"",$U135-$T135)</f>
        <v>6</v>
      </c>
      <c r="W135" s="123" t="n">
        <f aca="false">IF(LEFT($B135,4)="_Mil","",IFERROR(MIN(IF(SUM($N135)&lt;=0,SUM($U135)/SUM($P135),SUM($T135)/SUM($N135)),1),""))</f>
        <v>0.68421052631579</v>
      </c>
      <c r="X135" s="123" t="n">
        <f aca="false">$W135</f>
        <v>0.68421052631579</v>
      </c>
      <c r="Y135" s="123" t="n">
        <f aca="false">IFERROR(1/(1/INDEX(Spectrum!$N:$N,MATCH(RIGHT($B135,13)&amp;"|"&amp;$C135&amp;"|"&amp;$D135&amp;"|"&amp;Y$14&amp;"|"&amp;"CY2021Q3",Spectrum!$Q:$Q,0))),IF(SUM($H135)=0,"",MAX(SUM($P135),SUM($U135))/SUM($H135)))</f>
        <v>0.475</v>
      </c>
      <c r="Z135" s="123" t="n">
        <f aca="false">IF(SUM($Y135)=0,"",MAX(SUM($Y135),90%))</f>
        <v>0.9</v>
      </c>
      <c r="AA135" s="115" t="n">
        <f aca="false">IF(LEFT($B135,4)="_Mil","",ROUND(MAX(SUM($U135),SUM($P135))+IF(SUM($Z135)=0,0,MAX(SUM($Z135)-SUM($Y135),0)*SUM($H135)),0))</f>
        <v>36</v>
      </c>
      <c r="AB135" s="115" t="n">
        <f aca="false">IF(SUM($AA135)=0,"",ROUND(MAX(SUM($AA135)-MAX(SUM($P135),SUM($U135)),0),0))</f>
        <v>17</v>
      </c>
      <c r="AC135" s="126" t="n">
        <f aca="false">IF($C135="&lt;01",IFERROR(ROUND(INDEX(EID!$N:$N,MATCH($B135,EID!$B:$B,0))/2,0),""),"")</f>
        <v>22230</v>
      </c>
      <c r="AD135" s="115" t="n">
        <f aca="false">IF($C135="&lt;01",IF(SUM($AC135)=0,"",ROUND(SUM($AC135)/$AG135,0)),IF(SUM($AB135)=0,"",ROUND(MAX($X135,0)*SUM($AB135),0)))</f>
        <v>22684</v>
      </c>
      <c r="AE135" s="115" t="n">
        <f aca="false">IF(AND(SUM($AD135)=0,SUM($U135)=0),"",ROUND(IF($C135="&lt;01",0,SUM($U135))+SUM($AD135),0))</f>
        <v>22684</v>
      </c>
      <c r="AF135" s="122" t="str">
        <f aca="false">IF($C135="&lt;01","",100%)</f>
        <v/>
      </c>
      <c r="AG135" s="123" t="n">
        <f aca="false">0.98</f>
        <v>0.98</v>
      </c>
      <c r="AH135" s="123" t="n">
        <f aca="false">0.98</f>
        <v>0.98</v>
      </c>
      <c r="AI135" s="124" t="str">
        <f aca="false">IF(OR($C135="&lt;01",SUM($U135)=0),"",ROUND(SUM($U135)*(1-$AH135),0))</f>
        <v/>
      </c>
      <c r="AJ135" s="124" t="n">
        <f aca="false">IF(AND(SUM($AE135)=0,SUM($U135)=0),"",IF($C135="&lt;01",SUM($AD135),SUM($AE135) - ROUND(SUM($U135)*$AH135,0)))</f>
        <v>22684</v>
      </c>
      <c r="AK135" s="124" t="n">
        <v>24</v>
      </c>
      <c r="AL135" s="124" t="n">
        <v>25</v>
      </c>
      <c r="AM135" s="115" t="n">
        <f aca="false">IF(AND(SUM($AD135)=0,SUM($U135)=0),"",IF($C135="&lt;01",SUM($AD135),ROUND(ROUND(SUM($AJ135)*$AF135,0)/$AG135,0)))</f>
        <v>22684</v>
      </c>
      <c r="AN135" s="122" t="n">
        <f aca="false">0.7</f>
        <v>0.7</v>
      </c>
      <c r="AO135" s="123" t="n">
        <f aca="false">1</f>
        <v>1</v>
      </c>
      <c r="AP135" s="115" t="n">
        <f aca="false">IF(AND(SUM($U135)=0,SUM($AM135)=0),"",ROUND((SUM($AM135)*$AN135+IF($C135="&lt;01",0,$U135))*$AO135,0))</f>
        <v>15879</v>
      </c>
      <c r="AQ135" s="122" t="n">
        <v>4</v>
      </c>
      <c r="AR135" s="123" t="n">
        <f aca="false">0.95</f>
        <v>0.95</v>
      </c>
      <c r="AS135" s="123" t="n">
        <f aca="false">0.95</f>
        <v>0.95</v>
      </c>
      <c r="AT135" s="115" t="n">
        <f aca="false">IF(SUM($AP135)=0,"",ROUND(SUM($AP135)*$AR135,0))</f>
        <v>15085</v>
      </c>
      <c r="AU135" s="115" t="n">
        <f aca="false">IF(LEFT($B135,4)="_Mil","",ROUND(SUM($AA135)*SUM($AS135),0))</f>
        <v>34</v>
      </c>
      <c r="AV135" s="124" t="n">
        <f aca="false">IF(SUM($AU135)&lt;=0,"",MAX(SUM($AU135)-SUM($R135),0))</f>
        <v>34</v>
      </c>
      <c r="AW135" s="122" t="n">
        <f aca="false">0</f>
        <v>0</v>
      </c>
      <c r="AX135" s="124" t="n">
        <f aca="false">IF(SUM($AM135)=0,"",ROUND(SUM($AM135)*SUM($AW135),0))</f>
        <v>0</v>
      </c>
      <c r="AY135" s="124" t="n">
        <f aca="false">IF(SUM($AM135)=0,"",SUM($AM135)-SUM($AX135))</f>
        <v>22684</v>
      </c>
      <c r="AZ135" s="123"/>
      <c r="BA135" s="123" t="n">
        <f aca="false">0.95</f>
        <v>0.95</v>
      </c>
      <c r="BB135" s="123"/>
      <c r="BC135" s="123" t="str">
        <f aca="false">IF(OR(SUM($AM135)&lt;=0,$C135="&lt;01"),"",MAX(IF(OR(SUM($Y135)&lt;70%,LEFT($B135,4)="_Mil"),30%,IF(SUM($Y135)&gt;=80%,75%,50%)),SUM($BB135)))</f>
        <v/>
      </c>
      <c r="BD135" s="115" t="n">
        <f aca="false">IF($C135="&lt;01",IFERROR(ROUND(INDEX(EID!$M:$M,MATCH($B135,EID!$B:$B,0)),0)/2,""),IF(SUM($AY135)=0,"",ROUND(SUM($AY135)/SUM($BA135),0)))</f>
        <v>23400</v>
      </c>
      <c r="BE135" s="115" t="str">
        <f aca="false">IF($C135="&lt;01","",IF(SUM($BD135)=0,"",ROUND(SUM($BD135)*SUM($BC135),0)))</f>
        <v/>
      </c>
      <c r="BF135" s="115" t="str">
        <f aca="false">_xlfn.IFNA(INDEX(PMTCT!$AE:$AE,MATCH($E135,PMTCT!$E:$E,0)),"")</f>
        <v/>
      </c>
      <c r="BG135" s="115" t="str">
        <f aca="false">_xlfn.IFNA(INDEX(PMTCT!$AU:$AU,MATCH($E135,PMTCT!$E:$E,0)),"")</f>
        <v/>
      </c>
      <c r="BH135" s="115" t="str">
        <f aca="false">_xlfn.IFNA(INDEX(TB!$Q:$Q,MATCH($E135,TB!$E:$E,0)),"")</f>
        <v/>
      </c>
      <c r="BI135" s="115" t="str">
        <f aca="false">_xlfn.IFNA(INDEX(VMMC!$AC:$AC,MATCH($E135,VMMC!$E:$E,0)),"")</f>
        <v/>
      </c>
      <c r="BJ135" s="115" t="n">
        <f aca="false">IF($C135="&lt;01",$BD135,"")</f>
        <v>23400</v>
      </c>
      <c r="BK135" s="115" t="n">
        <f aca="false">IF(SUM($BD135)=0,"",($BD135)-SUM($BE135:$BJ135))</f>
        <v>0</v>
      </c>
      <c r="BL135" s="123" t="str">
        <f aca="false">IF(OR(SUM($BD135)=0,SUM($BE135)=0),"",SUM($BE135)/$BD135)</f>
        <v/>
      </c>
      <c r="BM135" s="123" t="str">
        <f aca="false">IF(OR(SUM($BD135)=0,SUM($BF135)=0),"",SUM($BF135)/$BD135)</f>
        <v/>
      </c>
      <c r="BN135" s="123" t="str">
        <f aca="false">IF(OR(SUM($BD135)=0,SUM($BG135)=0),"",SUM($BG135)/$BD135)</f>
        <v/>
      </c>
      <c r="BO135" s="123" t="str">
        <f aca="false">IF(OR(SUM($BD135)=0,SUM($BH135)=0),"",SUM($BH135)/$BD135)</f>
        <v/>
      </c>
      <c r="BP135" s="123" t="str">
        <f aca="false">IF(OR(SUM($BD135)=0,SUM($BI135)=0),"",SUM($BI135)/$BD135)</f>
        <v/>
      </c>
      <c r="BQ135" s="123" t="n">
        <f aca="false">IF(AND($C135="&lt;01",SUM($BJ135)&lt;&gt;0),$BJ135/SUM($BD135),"")</f>
        <v>1</v>
      </c>
      <c r="BR135" s="123" t="str">
        <f aca="false">IF(OR(SUM($BD135)=0,SUM($BK135)=0),"",SUM($BK135)/$BD135)</f>
        <v/>
      </c>
      <c r="BS135" s="122" t="n">
        <f aca="false">IF(SUM($X135)&lt;=0,"",$X135)</f>
        <v>0.68421052631579</v>
      </c>
      <c r="BT135" s="115" t="n">
        <f aca="false">IF(LEFT($B135,4)="_Mil","",MAX(SUM($L135)+ROUND(SUM($BD135)/IF(SUM($BS135)&lt;=0,1,SUM($BS135)),0),0))</f>
        <v>34218</v>
      </c>
    </row>
    <row r="136" customFormat="false" ht="15" hidden="false" customHeight="false" outlineLevel="0" collapsed="false">
      <c r="A136" s="0" t="s">
        <v>146</v>
      </c>
      <c r="B136" s="0" t="s">
        <v>45</v>
      </c>
      <c r="C136" s="0" t="s">
        <v>89</v>
      </c>
      <c r="D136" s="0" t="s">
        <v>58</v>
      </c>
      <c r="E136" s="0" t="str">
        <f aca="false">B136&amp;"|"&amp;C136&amp;"|"&amp;D136</f>
        <v>Maseru [#SNU] [#DREAMS] [tKOXiaNhAyJ]|&lt;01|Male</v>
      </c>
      <c r="F136" s="115" t="n">
        <f aca="false">_xlfn.IFNA(ROUND(INDEX(Spectrum!$N:$N,MATCH(RIGHT($B136,13)&amp;"|"&amp;$C136&amp;"|"&amp;$D136&amp;"|"&amp;F$14&amp;"|"&amp;"CY2021Q3",Spectrum!$Q:$Q,0)),0),"")</f>
        <v>4706</v>
      </c>
      <c r="G136" s="123" t="n">
        <f aca="false">_xlfn.IFNA(INDEX(Spectrum!$P:$P,MATCH(RIGHT($B136,13)&amp;"|"&amp;$C136&amp;"|"&amp;$D136&amp;"|"&amp;F$14&amp;"|"&amp;"CY2021Q3",Spectrum!$Q:$Q,0)),"")</f>
        <v>17</v>
      </c>
      <c r="H136" s="115" t="n">
        <f aca="false">_xlfn.IFNA(ROUND(INDEX(Spectrum!$N:$N,MATCH(RIGHT($B136,13)&amp;"|"&amp;$C136&amp;"|"&amp;$D136&amp;"|"&amp;H$14&amp;"|"&amp;"CY2021Q3",Spectrum!$Q:$Q,0)),0),"")</f>
        <v>41</v>
      </c>
      <c r="I136" s="123" t="n">
        <f aca="false">_xlfn.IFNA(INDEX(Spectrum!$P:$P,MATCH(RIGHT($B136,13)&amp;"|"&amp;$C136&amp;"|"&amp;$D136&amp;"|"&amp;H$14&amp;"|"&amp;"CY2021Q3",Spectrum!$Q:$Q,0)),"")</f>
        <v>44</v>
      </c>
      <c r="J136" s="117" t="n">
        <f aca="false">_xlfn.IFNA(INDEX(Spectrum!$N:$N,MATCH(RIGHT($B136,13)&amp;"|"&amp;$C136&amp;"|"&amp;$D136&amp;"|"&amp;J$14&amp;"|"&amp;"CY2021Q3",Spectrum!$Q:$Q,0)),"")</f>
        <v>0.0086115</v>
      </c>
      <c r="K136" s="123" t="n">
        <f aca="false">_xlfn.IFNA(INDEX(Spectrum!$P:$P,MATCH(RIGHT($B136,13)&amp;"|"&amp;$C136&amp;"|"&amp;$D136&amp;"|"&amp;J$14&amp;"|"&amp;"CY2021Q3",Spectrum!$Q:$Q,0)),"")</f>
        <v>37</v>
      </c>
      <c r="L136" s="115" t="n">
        <f aca="false">_xlfn.IFNA(ROUND(INDEX(Spectrum!$N:$N,MATCH(RIGHT($B136,13)&amp;"|"&amp;$C136&amp;"|"&amp;$D136&amp;"|"&amp;L$14&amp;"|"&amp;"CY2021Q3",Spectrum!$Q:$Q,0)),0),"")</f>
        <v>18</v>
      </c>
      <c r="M136" s="123" t="n">
        <f aca="false">IF(OR(SUM($H136)&lt;=0,SUM($L136)&lt;=0),"",SUM($L136)/$H136)</f>
        <v>0.439024390243902</v>
      </c>
      <c r="N136" s="115" t="str">
        <f aca="false">_xlfn.IFNA(ROUND(INDEX(Spectrum!$N:$N,MATCH(RIGHT($B136,13)&amp;"|"&amp;$C136&amp;"|"&amp;$D136&amp;"|"&amp;N$14&amp;"|"&amp;"CY2020Q4",Spectrum!$Q:$Q,0)),0),"")</f>
        <v/>
      </c>
      <c r="O136" s="123" t="str">
        <f aca="false">_xlfn.IFNA(INDEX(Spectrum!$P:$P,MATCH(RIGHT($B136,13)&amp;"|"&amp;$C136&amp;"|"&amp;$D136&amp;"|"&amp;N$14&amp;"|"&amp;"CY2020Q4",Spectrum!$Q:$Q,0)),"")</f>
        <v/>
      </c>
      <c r="P136" s="115" t="n">
        <f aca="false">_xlfn.IFNA(ROUND(INDEX(Spectrum!$N:$N,MATCH(RIGHT($B136,13)&amp;"|"&amp;$C136&amp;"|"&amp;$D136&amp;"|"&amp;P$14&amp;"|"&amp;"CY2021Q3",Spectrum!$Q:$Q,0)),0),"")</f>
        <v>19</v>
      </c>
      <c r="Q136" s="123" t="n">
        <f aca="false">_xlfn.IFNA(INDEX(Spectrum!$P:$P,MATCH(RIGHT($B136,13)&amp;"|"&amp;$C136&amp;"|"&amp;$D136&amp;"|"&amp;P$14&amp;"|"&amp;"CY2021Q3",Spectrum!$Q:$Q,0)),"")</f>
        <v>25</v>
      </c>
      <c r="R136" s="115"/>
      <c r="S136" s="123" t="str">
        <f aca="false">IF(OR(SUM($P136)&lt;=0,SUM($R136)&lt;=0),"",SUM($R136)/$P136)</f>
        <v/>
      </c>
      <c r="T136" s="139" t="n">
        <v>24</v>
      </c>
      <c r="U136" s="124" t="n">
        <v>45</v>
      </c>
      <c r="V136" s="124" t="n">
        <f aca="false">IF($U136-$T136=0,"",$U136-$T136)</f>
        <v>21</v>
      </c>
      <c r="W136" s="123" t="n">
        <f aca="false">IF(LEFT($B136,4)="_Mil","",IFERROR(MIN(IF(SUM($N136)&lt;=0,SUM($U136)/SUM($P136),SUM($T136)/SUM($N136)),1),""))</f>
        <v>1</v>
      </c>
      <c r="X136" s="123" t="n">
        <f aca="false">$W136</f>
        <v>1</v>
      </c>
      <c r="Y136" s="123" t="n">
        <f aca="false">IFERROR(1/(1/INDEX(Spectrum!$N:$N,MATCH(RIGHT($B136,13)&amp;"|"&amp;$C136&amp;"|"&amp;$D136&amp;"|"&amp;Y$14&amp;"|"&amp;"CY2021Q3",Spectrum!$Q:$Q,0))),IF(SUM($H136)=0,"",MAX(SUM($P136),SUM($U136))/SUM($H136)))</f>
        <v>1.09756097560976</v>
      </c>
      <c r="Z136" s="123" t="n">
        <f aca="false">IF(SUM($Y136)=0,"",MAX(SUM($Y136),90%))</f>
        <v>1.09756097560976</v>
      </c>
      <c r="AA136" s="115" t="n">
        <f aca="false">IF(LEFT($B136,4)="_Mil","",ROUND(MAX(SUM($U136),SUM($P136))+IF(SUM($Z136)=0,0,MAX(SUM($Z136)-SUM($Y136),0)*SUM($H136)),0))</f>
        <v>45</v>
      </c>
      <c r="AB136" s="115" t="n">
        <f aca="false">IF(SUM($AA136)=0,"",ROUND(MAX(SUM($AA136)-MAX(SUM($P136),SUM($U136)),0),0))</f>
        <v>0</v>
      </c>
      <c r="AC136" s="126" t="n">
        <f aca="false">IF($C136="&lt;01",IFERROR(ROUND(INDEX(EID!$N:$N,MATCH($B136,EID!$B:$B,0))/2,0),""),"")</f>
        <v>22230</v>
      </c>
      <c r="AD136" s="115" t="n">
        <f aca="false">IF($C136="&lt;01",IF(SUM($AC136)=0,"",ROUND(SUM($AC136)/$AG136,0)),IF(SUM($AB136)=0,"",ROUND(MAX($X136,0)*SUM($AB136),0)))</f>
        <v>22684</v>
      </c>
      <c r="AE136" s="115" t="n">
        <f aca="false">IF(AND(SUM($AD136)=0,SUM($U136)=0),"",ROUND(IF($C136="&lt;01",0,SUM($U136))+SUM($AD136),0))</f>
        <v>22684</v>
      </c>
      <c r="AF136" s="122" t="str">
        <f aca="false">IF($C136="&lt;01","",100%)</f>
        <v/>
      </c>
      <c r="AG136" s="123" t="n">
        <f aca="false">0.98</f>
        <v>0.98</v>
      </c>
      <c r="AH136" s="123" t="n">
        <f aca="false">0.98</f>
        <v>0.98</v>
      </c>
      <c r="AI136" s="124" t="str">
        <f aca="false">IF(OR($C136="&lt;01",SUM($U136)=0),"",ROUND(SUM($U136)*(1-$AH136),0))</f>
        <v/>
      </c>
      <c r="AJ136" s="124" t="n">
        <f aca="false">IF(AND(SUM($AE136)=0,SUM($U136)=0),"",IF($C136="&lt;01",SUM($AD136),SUM($AE136) - ROUND(SUM($U136)*$AH136,0)))</f>
        <v>22684</v>
      </c>
      <c r="AK136" s="124" t="n">
        <v>35</v>
      </c>
      <c r="AL136" s="124" t="n">
        <v>27</v>
      </c>
      <c r="AM136" s="115" t="n">
        <f aca="false">IF(AND(SUM($AD136)=0,SUM($U136)=0),"",IF($C136="&lt;01",SUM($AD136),ROUND(ROUND(SUM($AJ136)*$AF136,0)/$AG136,0)))</f>
        <v>22684</v>
      </c>
      <c r="AN136" s="122" t="n">
        <f aca="false">0.7</f>
        <v>0.7</v>
      </c>
      <c r="AO136" s="123" t="n">
        <f aca="false">1</f>
        <v>1</v>
      </c>
      <c r="AP136" s="115" t="n">
        <f aca="false">IF(AND(SUM($U136)=0,SUM($AM136)=0),"",ROUND((SUM($AM136)*$AN136+IF($C136="&lt;01",0,$U136))*$AO136,0))</f>
        <v>15879</v>
      </c>
      <c r="AQ136" s="122" t="n">
        <v>13</v>
      </c>
      <c r="AR136" s="123" t="n">
        <f aca="false">0.95</f>
        <v>0.95</v>
      </c>
      <c r="AS136" s="123" t="n">
        <f aca="false">0.95</f>
        <v>0.95</v>
      </c>
      <c r="AT136" s="115" t="n">
        <f aca="false">IF(SUM($AP136)=0,"",ROUND(SUM($AP136)*$AR136,0))</f>
        <v>15085</v>
      </c>
      <c r="AU136" s="115" t="n">
        <f aca="false">IF(LEFT($B136,4)="_Mil","",ROUND(SUM($AA136)*SUM($AS136),0))</f>
        <v>43</v>
      </c>
      <c r="AV136" s="124" t="n">
        <f aca="false">IF(SUM($AU136)&lt;=0,"",MAX(SUM($AU136)-SUM($R136),0))</f>
        <v>43</v>
      </c>
      <c r="AW136" s="122" t="n">
        <f aca="false">0</f>
        <v>0</v>
      </c>
      <c r="AX136" s="124" t="n">
        <f aca="false">IF(SUM($AM136)=0,"",ROUND(SUM($AM136)*SUM($AW136),0))</f>
        <v>0</v>
      </c>
      <c r="AY136" s="124" t="n">
        <f aca="false">IF(SUM($AM136)=0,"",SUM($AM136)-SUM($AX136))</f>
        <v>22684</v>
      </c>
      <c r="AZ136" s="123" t="n">
        <v>17</v>
      </c>
      <c r="BA136" s="123" t="n">
        <f aca="false">0.95</f>
        <v>0.95</v>
      </c>
      <c r="BB136" s="123"/>
      <c r="BC136" s="123" t="str">
        <f aca="false">IF(OR(SUM($AM136)&lt;=0,$C136="&lt;01"),"",MAX(IF(OR(SUM($Y136)&lt;70%,LEFT($B136,4)="_Mil"),30%,IF(SUM($Y136)&gt;=80%,75%,50%)),SUM($BB136)))</f>
        <v/>
      </c>
      <c r="BD136" s="115" t="n">
        <f aca="false">IF($C136="&lt;01",IFERROR(ROUND(INDEX(EID!$M:$M,MATCH($B136,EID!$B:$B,0)),0)/2,""),IF(SUM($AY136)=0,"",ROUND(SUM($AY136)/SUM($BA136),0)))</f>
        <v>23400</v>
      </c>
      <c r="BE136" s="115" t="str">
        <f aca="false">IF($C136="&lt;01","",IF(SUM($BD136)=0,"",ROUND(SUM($BD136)*SUM($BC136),0)))</f>
        <v/>
      </c>
      <c r="BF136" s="115" t="str">
        <f aca="false">_xlfn.IFNA(INDEX(PMTCT!$AE:$AE,MATCH($E136,PMTCT!$E:$E,0)),"")</f>
        <v/>
      </c>
      <c r="BG136" s="115" t="str">
        <f aca="false">_xlfn.IFNA(INDEX(PMTCT!$AU:$AU,MATCH($E136,PMTCT!$E:$E,0)),"")</f>
        <v/>
      </c>
      <c r="BH136" s="115" t="str">
        <f aca="false">_xlfn.IFNA(INDEX(TB!$Q:$Q,MATCH($E136,TB!$E:$E,0)),"")</f>
        <v/>
      </c>
      <c r="BI136" s="115" t="str">
        <f aca="false">_xlfn.IFNA(INDEX(VMMC!$AC:$AC,MATCH($E136,VMMC!$E:$E,0)),"")</f>
        <v/>
      </c>
      <c r="BJ136" s="115" t="n">
        <f aca="false">IF($C136="&lt;01",$BD136,"")</f>
        <v>23400</v>
      </c>
      <c r="BK136" s="115" t="n">
        <f aca="false">IF(SUM($BD136)=0,"",($BD136)-SUM($BE136:$BJ136))</f>
        <v>0</v>
      </c>
      <c r="BL136" s="123" t="str">
        <f aca="false">IF(OR(SUM($BD136)=0,SUM($BE136)=0),"",SUM($BE136)/$BD136)</f>
        <v/>
      </c>
      <c r="BM136" s="123" t="str">
        <f aca="false">IF(OR(SUM($BD136)=0,SUM($BF136)=0),"",SUM($BF136)/$BD136)</f>
        <v/>
      </c>
      <c r="BN136" s="123" t="str">
        <f aca="false">IF(OR(SUM($BD136)=0,SUM($BG136)=0),"",SUM($BG136)/$BD136)</f>
        <v/>
      </c>
      <c r="BO136" s="123" t="str">
        <f aca="false">IF(OR(SUM($BD136)=0,SUM($BH136)=0),"",SUM($BH136)/$BD136)</f>
        <v/>
      </c>
      <c r="BP136" s="123" t="str">
        <f aca="false">IF(OR(SUM($BD136)=0,SUM($BI136)=0),"",SUM($BI136)/$BD136)</f>
        <v/>
      </c>
      <c r="BQ136" s="123" t="n">
        <f aca="false">IF(AND($C136="&lt;01",SUM($BJ136)&lt;&gt;0),$BJ136/SUM($BD136),"")</f>
        <v>1</v>
      </c>
      <c r="BR136" s="123" t="str">
        <f aca="false">IF(OR(SUM($BD136)=0,SUM($BK136)=0),"",SUM($BK136)/$BD136)</f>
        <v/>
      </c>
      <c r="BS136" s="122" t="n">
        <f aca="false">IF(SUM($X136)&lt;=0,"",$X136)</f>
        <v>1</v>
      </c>
      <c r="BT136" s="115" t="n">
        <f aca="false">IF(LEFT($B136,4)="_Mil","",MAX(SUM($L136)+ROUND(SUM($BD136)/IF(SUM($BS136)&lt;=0,1,SUM($BS136)),0),0))</f>
        <v>23418</v>
      </c>
    </row>
    <row r="137" customFormat="false" ht="15" hidden="false" customHeight="false" outlineLevel="0" collapsed="false">
      <c r="A137" s="0" t="s">
        <v>146</v>
      </c>
      <c r="B137" s="0" t="s">
        <v>45</v>
      </c>
      <c r="C137" s="0" t="s">
        <v>54</v>
      </c>
      <c r="D137" s="0" t="s">
        <v>56</v>
      </c>
      <c r="E137" s="0" t="str">
        <f aca="false">B137&amp;"|"&amp;C137&amp;"|"&amp;D137</f>
        <v>Maseru [#SNU] [#DREAMS] [tKOXiaNhAyJ]|01-04|Female</v>
      </c>
      <c r="F137" s="115" t="n">
        <f aca="false">_xlfn.IFNA(ROUND(INDEX(Spectrum!$N:$N,MATCH(RIGHT($B137,13)&amp;"|"&amp;$C137&amp;"|"&amp;$D137&amp;"|"&amp;F$14&amp;"|"&amp;"CY2021Q3",Spectrum!$Q:$Q,0)),0),"")</f>
        <v>21514</v>
      </c>
      <c r="G137" s="123" t="n">
        <f aca="false">_xlfn.IFNA(INDEX(Spectrum!$P:$P,MATCH(RIGHT($B137,13)&amp;"|"&amp;$C137&amp;"|"&amp;$D137&amp;"|"&amp;F$14&amp;"|"&amp;"CY2021Q3",Spectrum!$Q:$Q,0)),"")</f>
        <v>26</v>
      </c>
      <c r="H137" s="115" t="n">
        <f aca="false">_xlfn.IFNA(ROUND(INDEX(Spectrum!$N:$N,MATCH(RIGHT($B137,13)&amp;"|"&amp;$C137&amp;"|"&amp;$D137&amp;"|"&amp;H$14&amp;"|"&amp;"CY2021Q3",Spectrum!$Q:$Q,0)),0),"")</f>
        <v>196</v>
      </c>
      <c r="I137" s="123" t="n">
        <f aca="false">_xlfn.IFNA(INDEX(Spectrum!$P:$P,MATCH(RIGHT($B137,13)&amp;"|"&amp;$C137&amp;"|"&amp;$D137&amp;"|"&amp;H$14&amp;"|"&amp;"CY2021Q3",Spectrum!$Q:$Q,0)),"")</f>
        <v>19</v>
      </c>
      <c r="J137" s="117" t="n">
        <f aca="false">_xlfn.IFNA(INDEX(Spectrum!$N:$N,MATCH(RIGHT($B137,13)&amp;"|"&amp;$C137&amp;"|"&amp;$D137&amp;"|"&amp;J$14&amp;"|"&amp;"CY2021Q3",Spectrum!$Q:$Q,0)),"")</f>
        <v>0.0090953</v>
      </c>
      <c r="K137" s="123" t="n">
        <f aca="false">_xlfn.IFNA(INDEX(Spectrum!$P:$P,MATCH(RIGHT($B137,13)&amp;"|"&amp;$C137&amp;"|"&amp;$D137&amp;"|"&amp;J$14&amp;"|"&amp;"CY2021Q3",Spectrum!$Q:$Q,0)),"")</f>
        <v>42</v>
      </c>
      <c r="L137" s="115" t="n">
        <f aca="false">_xlfn.IFNA(ROUND(INDEX(Spectrum!$N:$N,MATCH(RIGHT($B137,13)&amp;"|"&amp;$C137&amp;"|"&amp;$D137&amp;"|"&amp;L$14&amp;"|"&amp;"CY2021Q3",Spectrum!$Q:$Q,0)),0),"")</f>
        <v>86</v>
      </c>
      <c r="M137" s="123" t="n">
        <f aca="false">IF(OR(SUM($H137)&lt;=0,SUM($L137)&lt;=0),"",SUM($L137)/$H137)</f>
        <v>0.438775510204082</v>
      </c>
      <c r="N137" s="115" t="str">
        <f aca="false">_xlfn.IFNA(ROUND(INDEX(Spectrum!$N:$N,MATCH(RIGHT($B137,13)&amp;"|"&amp;$C137&amp;"|"&amp;$D137&amp;"|"&amp;N$14&amp;"|"&amp;"CY2020Q4",Spectrum!$Q:$Q,0)),0),"")</f>
        <v/>
      </c>
      <c r="O137" s="123" t="str">
        <f aca="false">_xlfn.IFNA(INDEX(Spectrum!$P:$P,MATCH(RIGHT($B137,13)&amp;"|"&amp;$C137&amp;"|"&amp;$D137&amp;"|"&amp;N$14&amp;"|"&amp;"CY2020Q4",Spectrum!$Q:$Q,0)),"")</f>
        <v/>
      </c>
      <c r="P137" s="115" t="n">
        <f aca="false">_xlfn.IFNA(ROUND(INDEX(Spectrum!$N:$N,MATCH(RIGHT($B137,13)&amp;"|"&amp;$C137&amp;"|"&amp;$D137&amp;"|"&amp;P$14&amp;"|"&amp;"CY2021Q3",Spectrum!$Q:$Q,0)),0),"")</f>
        <v>102</v>
      </c>
      <c r="Q137" s="123" t="n">
        <f aca="false">_xlfn.IFNA(INDEX(Spectrum!$P:$P,MATCH(RIGHT($B137,13)&amp;"|"&amp;$C137&amp;"|"&amp;$D137&amp;"|"&amp;P$14&amp;"|"&amp;"CY2021Q3",Spectrum!$Q:$Q,0)),"")</f>
        <v>37</v>
      </c>
      <c r="R137" s="115"/>
      <c r="S137" s="123" t="str">
        <f aca="false">IF(OR(SUM($P137)&lt;=0,SUM($R137)&lt;=0),"",SUM($R137)/$P137)</f>
        <v/>
      </c>
      <c r="T137" s="139" t="n">
        <v>24</v>
      </c>
      <c r="U137" s="124" t="n">
        <v>16</v>
      </c>
      <c r="V137" s="124" t="n">
        <f aca="false">IF($U137-$T137=0,"",$U137-$T137)</f>
        <v>-8</v>
      </c>
      <c r="W137" s="123" t="n">
        <f aca="false">IF(LEFT($B137,4)="_Mil","",IFERROR(MIN(IF(SUM($N137)&lt;=0,SUM($U137)/SUM($P137),SUM($T137)/SUM($N137)),1),""))</f>
        <v>0.156862745098039</v>
      </c>
      <c r="X137" s="123" t="n">
        <f aca="false">$W137</f>
        <v>0.156862745098039</v>
      </c>
      <c r="Y137" s="123" t="n">
        <f aca="false">IFERROR(1/(1/INDEX(Spectrum!$N:$N,MATCH(RIGHT($B137,13)&amp;"|"&amp;$C137&amp;"|"&amp;$D137&amp;"|"&amp;Y$14&amp;"|"&amp;"CY2021Q3",Spectrum!$Q:$Q,0))),IF(SUM($H137)=0,"",MAX(SUM($P137),SUM($U137))/SUM($H137)))</f>
        <v>0.520408163265306</v>
      </c>
      <c r="Z137" s="123" t="n">
        <f aca="false">IF(SUM($Y137)=0,"",MAX(SUM($Y137),90%))</f>
        <v>0.9</v>
      </c>
      <c r="AA137" s="115" t="n">
        <f aca="false">IF(LEFT($B137,4)="_Mil","",ROUND(MAX(SUM($U137),SUM($P137))+IF(SUM($Z137)=0,0,MAX(SUM($Z137)-SUM($Y137),0)*SUM($H137)),0))</f>
        <v>176</v>
      </c>
      <c r="AB137" s="115" t="n">
        <f aca="false">IF(SUM($AA137)=0,"",ROUND(MAX(SUM($AA137)-MAX(SUM($P137),SUM($U137)),0),0))</f>
        <v>74</v>
      </c>
      <c r="AC137" s="126" t="str">
        <f aca="false">IF($C137="&lt;01",IFERROR(ROUND(INDEX(EID!$N:$N,MATCH($B137,EID!$B:$B,0))/2,0),""),"")</f>
        <v/>
      </c>
      <c r="AD137" s="115" t="n">
        <f aca="false">IF($C137="&lt;01",IF(SUM($AC137)=0,"",ROUND(SUM($AC137)/$AG137,0)),IF(SUM($AB137)=0,"",ROUND(MAX($X137,0)*SUM($AB137),0)))</f>
        <v>12</v>
      </c>
      <c r="AE137" s="115" t="n">
        <f aca="false">IF(AND(SUM($AD137)=0,SUM($U137)=0),"",ROUND(IF($C137="&lt;01",0,SUM($U137))+SUM($AD137),0))</f>
        <v>28</v>
      </c>
      <c r="AF137" s="122" t="n">
        <f aca="false">IF($C137="&lt;01","",100%)</f>
        <v>1</v>
      </c>
      <c r="AG137" s="123" t="n">
        <f aca="false">0.98</f>
        <v>0.98</v>
      </c>
      <c r="AH137" s="123" t="n">
        <f aca="false">0.98</f>
        <v>0.98</v>
      </c>
      <c r="AI137" s="124" t="n">
        <f aca="false">IF(OR($C137="&lt;01",SUM($U137)=0),"",ROUND(SUM($U137)*(1-$AH137),0))</f>
        <v>0</v>
      </c>
      <c r="AJ137" s="124" t="n">
        <f aca="false">IF(AND(SUM($AE137)=0,SUM($U137)=0),"",IF($C137="&lt;01",SUM($AD137),SUM($AE137) - ROUND(SUM($U137)*$AH137,0)))</f>
        <v>12</v>
      </c>
      <c r="AK137" s="124" t="n">
        <v>48</v>
      </c>
      <c r="AL137" s="124" t="n">
        <v>16</v>
      </c>
      <c r="AM137" s="115" t="n">
        <f aca="false">IF(AND(SUM($AD137)=0,SUM($U137)=0),"",IF($C137="&lt;01",SUM($AD137),ROUND(ROUND(SUM($AJ137)*$AF137,0)/$AG137,0)))</f>
        <v>12</v>
      </c>
      <c r="AN137" s="122" t="n">
        <f aca="false">0.7</f>
        <v>0.7</v>
      </c>
      <c r="AO137" s="123" t="n">
        <f aca="false">1</f>
        <v>1</v>
      </c>
      <c r="AP137" s="115" t="n">
        <f aca="false">IF(AND(SUM($U137)=0,SUM($AM137)=0),"",ROUND((SUM($AM137)*$AN137+IF($C137="&lt;01",0,$U137))*$AO137,0))</f>
        <v>24</v>
      </c>
      <c r="AQ137" s="122" t="n">
        <v>10</v>
      </c>
      <c r="AR137" s="123" t="n">
        <f aca="false">0.95</f>
        <v>0.95</v>
      </c>
      <c r="AS137" s="123" t="n">
        <f aca="false">0.95</f>
        <v>0.95</v>
      </c>
      <c r="AT137" s="115" t="n">
        <f aca="false">IF(SUM($AP137)=0,"",ROUND(SUM($AP137)*$AR137,0))</f>
        <v>23</v>
      </c>
      <c r="AU137" s="115" t="n">
        <f aca="false">IF(LEFT($B137,4)="_Mil","",ROUND(SUM($AA137)*SUM($AS137),0))</f>
        <v>167</v>
      </c>
      <c r="AV137" s="124" t="n">
        <f aca="false">IF(SUM($AU137)&lt;=0,"",MAX(SUM($AU137)-SUM($R137),0))</f>
        <v>167</v>
      </c>
      <c r="AW137" s="122" t="n">
        <f aca="false">0</f>
        <v>0</v>
      </c>
      <c r="AX137" s="124" t="n">
        <f aca="false">IF(SUM($AM137)=0,"",ROUND(SUM($AM137)*SUM($AW137),0))</f>
        <v>0</v>
      </c>
      <c r="AY137" s="124" t="n">
        <f aca="false">IF(SUM($AM137)=0,"",SUM($AM137)-SUM($AX137))</f>
        <v>12</v>
      </c>
      <c r="AZ137" s="123" t="n">
        <v>17</v>
      </c>
      <c r="BA137" s="123" t="n">
        <f aca="false">0.95</f>
        <v>0.95</v>
      </c>
      <c r="BB137" s="123"/>
      <c r="BC137" s="123" t="n">
        <f aca="false">IF(OR(SUM($AM137)&lt;=0,$C137="&lt;01"),"",MAX(IF(OR(SUM($Y137)&lt;70%,LEFT($B137,4)="_Mil"),30%,IF(SUM($Y137)&gt;=80%,75%,50%)),SUM($BB137)))</f>
        <v>0.3</v>
      </c>
      <c r="BD137" s="115" t="n">
        <f aca="false">IF($C137="&lt;01",IFERROR(ROUND(INDEX(EID!$M:$M,MATCH($B137,EID!$B:$B,0)),0)/2,""),IF(SUM($AY137)=0,"",ROUND(SUM($AY137)/SUM($BA137),0)))</f>
        <v>13</v>
      </c>
      <c r="BE137" s="115" t="n">
        <f aca="false">IF($C137="&lt;01","",IF(SUM($BD137)=0,"",ROUND(SUM($BD137)*SUM($BC137),0)))</f>
        <v>4</v>
      </c>
      <c r="BF137" s="115" t="str">
        <f aca="false">_xlfn.IFNA(INDEX(PMTCT!$AE:$AE,MATCH($E137,PMTCT!$E:$E,0)),"")</f>
        <v/>
      </c>
      <c r="BG137" s="115" t="str">
        <f aca="false">_xlfn.IFNA(INDEX(PMTCT!$AU:$AU,MATCH($E137,PMTCT!$E:$E,0)),"")</f>
        <v/>
      </c>
      <c r="BH137" s="115" t="n">
        <f aca="false">_xlfn.IFNA(INDEX(TB!$Q:$Q,MATCH($E137,TB!$E:$E,0)),"")</f>
        <v>-4641</v>
      </c>
      <c r="BI137" s="115" t="str">
        <f aca="false">_xlfn.IFNA(INDEX(VMMC!$AC:$AC,MATCH($E137,VMMC!$E:$E,0)),"")</f>
        <v/>
      </c>
      <c r="BJ137" s="115" t="str">
        <f aca="false">IF($C137="&lt;01",$BD137,"")</f>
        <v/>
      </c>
      <c r="BK137" s="115" t="n">
        <f aca="false">IF(SUM($BD137)=0,"",($BD137)-SUM($BE137:$BJ137))</f>
        <v>4650</v>
      </c>
      <c r="BL137" s="123" t="n">
        <f aca="false">IF(OR(SUM($BD137)=0,SUM($BE137)=0),"",SUM($BE137)/$BD137)</f>
        <v>0.307692307692308</v>
      </c>
      <c r="BM137" s="123" t="str">
        <f aca="false">IF(OR(SUM($BD137)=0,SUM($BF137)=0),"",SUM($BF137)/$BD137)</f>
        <v/>
      </c>
      <c r="BN137" s="123" t="str">
        <f aca="false">IF(OR(SUM($BD137)=0,SUM($BG137)=0),"",SUM($BG137)/$BD137)</f>
        <v/>
      </c>
      <c r="BO137" s="123" t="n">
        <f aca="false">IF(OR(SUM($BD137)=0,SUM($BH137)=0),"",SUM($BH137)/$BD137)</f>
        <v>-357</v>
      </c>
      <c r="BP137" s="123" t="str">
        <f aca="false">IF(OR(SUM($BD137)=0,SUM($BI137)=0),"",SUM($BI137)/$BD137)</f>
        <v/>
      </c>
      <c r="BQ137" s="123" t="str">
        <f aca="false">IF(AND($C137="&lt;01",SUM($BJ137)&lt;&gt;0),$BJ137/SUM($BD137),"")</f>
        <v/>
      </c>
      <c r="BR137" s="123" t="n">
        <f aca="false">IF(OR(SUM($BD137)=0,SUM($BK137)=0),"",SUM($BK137)/$BD137)</f>
        <v>357.692307692308</v>
      </c>
      <c r="BS137" s="122" t="n">
        <f aca="false">IF(SUM($X137)&lt;=0,"",$X137)</f>
        <v>0.156862745098039</v>
      </c>
      <c r="BT137" s="115" t="n">
        <f aca="false">IF(LEFT($B137,4)="_Mil","",MAX(SUM($L137)+ROUND(SUM($BD137)/IF(SUM($BS137)&lt;=0,1,SUM($BS137)),0),0))</f>
        <v>169</v>
      </c>
    </row>
    <row r="138" customFormat="false" ht="15" hidden="false" customHeight="false" outlineLevel="0" collapsed="false">
      <c r="A138" s="0" t="s">
        <v>146</v>
      </c>
      <c r="B138" s="0" t="s">
        <v>45</v>
      </c>
      <c r="C138" s="0" t="s">
        <v>54</v>
      </c>
      <c r="D138" s="0" t="s">
        <v>58</v>
      </c>
      <c r="E138" s="0" t="str">
        <f aca="false">B138&amp;"|"&amp;C138&amp;"|"&amp;D138</f>
        <v>Maseru [#SNU] [#DREAMS] [tKOXiaNhAyJ]|01-04|Male</v>
      </c>
      <c r="F138" s="115" t="n">
        <f aca="false">_xlfn.IFNA(ROUND(INDEX(Spectrum!$N:$N,MATCH(RIGHT($B138,13)&amp;"|"&amp;$C138&amp;"|"&amp;$D138&amp;"|"&amp;F$14&amp;"|"&amp;"CY2021Q3",Spectrum!$Q:$Q,0)),0),"")</f>
        <v>21862</v>
      </c>
      <c r="G138" s="123" t="n">
        <f aca="false">_xlfn.IFNA(INDEX(Spectrum!$P:$P,MATCH(RIGHT($B138,13)&amp;"|"&amp;$C138&amp;"|"&amp;$D138&amp;"|"&amp;F$14&amp;"|"&amp;"CY2021Q3",Spectrum!$Q:$Q,0)),"")</f>
        <v>2</v>
      </c>
      <c r="H138" s="115" t="n">
        <f aca="false">_xlfn.IFNA(ROUND(INDEX(Spectrum!$N:$N,MATCH(RIGHT($B138,13)&amp;"|"&amp;$C138&amp;"|"&amp;$D138&amp;"|"&amp;H$14&amp;"|"&amp;"CY2021Q3",Spectrum!$Q:$Q,0)),0),"")</f>
        <v>199</v>
      </c>
      <c r="I138" s="123" t="n">
        <f aca="false">_xlfn.IFNA(INDEX(Spectrum!$P:$P,MATCH(RIGHT($B138,13)&amp;"|"&amp;$C138&amp;"|"&amp;$D138&amp;"|"&amp;H$14&amp;"|"&amp;"CY2021Q3",Spectrum!$Q:$Q,0)),"")</f>
        <v>5</v>
      </c>
      <c r="J138" s="117" t="n">
        <f aca="false">_xlfn.IFNA(INDEX(Spectrum!$N:$N,MATCH(RIGHT($B138,13)&amp;"|"&amp;$C138&amp;"|"&amp;$D138&amp;"|"&amp;J$14&amp;"|"&amp;"CY2021Q3",Spectrum!$Q:$Q,0)),"")</f>
        <v>0.0091069</v>
      </c>
      <c r="K138" s="123" t="n">
        <f aca="false">_xlfn.IFNA(INDEX(Spectrum!$P:$P,MATCH(RIGHT($B138,13)&amp;"|"&amp;$C138&amp;"|"&amp;$D138&amp;"|"&amp;J$14&amp;"|"&amp;"CY2021Q3",Spectrum!$Q:$Q,0)),"")</f>
        <v>47</v>
      </c>
      <c r="L138" s="115" t="n">
        <f aca="false">_xlfn.IFNA(ROUND(INDEX(Spectrum!$N:$N,MATCH(RIGHT($B138,13)&amp;"|"&amp;$C138&amp;"|"&amp;$D138&amp;"|"&amp;L$14&amp;"|"&amp;"CY2021Q3",Spectrum!$Q:$Q,0)),0),"")</f>
        <v>88</v>
      </c>
      <c r="M138" s="123" t="n">
        <f aca="false">IF(OR(SUM($H138)&lt;=0,SUM($L138)&lt;=0),"",SUM($L138)/$H138)</f>
        <v>0.442211055276382</v>
      </c>
      <c r="N138" s="115" t="str">
        <f aca="false">_xlfn.IFNA(ROUND(INDEX(Spectrum!$N:$N,MATCH(RIGHT($B138,13)&amp;"|"&amp;$C138&amp;"|"&amp;$D138&amp;"|"&amp;N$14&amp;"|"&amp;"CY2020Q4",Spectrum!$Q:$Q,0)),0),"")</f>
        <v/>
      </c>
      <c r="O138" s="123" t="str">
        <f aca="false">_xlfn.IFNA(INDEX(Spectrum!$P:$P,MATCH(RIGHT($B138,13)&amp;"|"&amp;$C138&amp;"|"&amp;$D138&amp;"|"&amp;N$14&amp;"|"&amp;"CY2020Q4",Spectrum!$Q:$Q,0)),"")</f>
        <v/>
      </c>
      <c r="P138" s="115" t="n">
        <f aca="false">_xlfn.IFNA(ROUND(INDEX(Spectrum!$N:$N,MATCH(RIGHT($B138,13)&amp;"|"&amp;$C138&amp;"|"&amp;$D138&amp;"|"&amp;P$14&amp;"|"&amp;"CY2021Q3",Spectrum!$Q:$Q,0)),0),"")</f>
        <v>104</v>
      </c>
      <c r="Q138" s="123" t="n">
        <f aca="false">_xlfn.IFNA(INDEX(Spectrum!$P:$P,MATCH(RIGHT($B138,13)&amp;"|"&amp;$C138&amp;"|"&amp;$D138&amp;"|"&amp;P$14&amp;"|"&amp;"CY2021Q3",Spectrum!$Q:$Q,0)),"")</f>
        <v>30</v>
      </c>
      <c r="R138" s="115"/>
      <c r="S138" s="123" t="str">
        <f aca="false">IF(OR(SUM($P138)&lt;=0,SUM($R138)&lt;=0),"",SUM($R138)/$P138)</f>
        <v/>
      </c>
      <c r="T138" s="139" t="n">
        <v>40</v>
      </c>
      <c r="U138" s="124" t="n">
        <v>20</v>
      </c>
      <c r="V138" s="124" t="n">
        <f aca="false">IF($U138-$T138=0,"",$U138-$T138)</f>
        <v>-20</v>
      </c>
      <c r="W138" s="123" t="n">
        <f aca="false">IF(LEFT($B138,4)="_Mil","",IFERROR(MIN(IF(SUM($N138)&lt;=0,SUM($U138)/SUM($P138),SUM($T138)/SUM($N138)),1),""))</f>
        <v>0.192307692307692</v>
      </c>
      <c r="X138" s="123" t="n">
        <f aca="false">$W138</f>
        <v>0.192307692307692</v>
      </c>
      <c r="Y138" s="123" t="n">
        <f aca="false">IFERROR(1/(1/INDEX(Spectrum!$N:$N,MATCH(RIGHT($B138,13)&amp;"|"&amp;$C138&amp;"|"&amp;$D138&amp;"|"&amp;Y$14&amp;"|"&amp;"CY2021Q3",Spectrum!$Q:$Q,0))),IF(SUM($H138)=0,"",MAX(SUM($P138),SUM($U138))/SUM($H138)))</f>
        <v>0.522613065326633</v>
      </c>
      <c r="Z138" s="123" t="n">
        <f aca="false">IF(SUM($Y138)=0,"",MAX(SUM($Y138),90%))</f>
        <v>0.9</v>
      </c>
      <c r="AA138" s="115" t="n">
        <f aca="false">IF(LEFT($B138,4)="_Mil","",ROUND(MAX(SUM($U138),SUM($P138))+IF(SUM($Z138)=0,0,MAX(SUM($Z138)-SUM($Y138),0)*SUM($H138)),0))</f>
        <v>179</v>
      </c>
      <c r="AB138" s="115" t="n">
        <f aca="false">IF(SUM($AA138)=0,"",ROUND(MAX(SUM($AA138)-MAX(SUM($P138),SUM($U138)),0),0))</f>
        <v>75</v>
      </c>
      <c r="AC138" s="126" t="str">
        <f aca="false">IF($C138="&lt;01",IFERROR(ROUND(INDEX(EID!$N:$N,MATCH($B138,EID!$B:$B,0))/2,0),""),"")</f>
        <v/>
      </c>
      <c r="AD138" s="115" t="n">
        <f aca="false">IF($C138="&lt;01",IF(SUM($AC138)=0,"",ROUND(SUM($AC138)/$AG138,0)),IF(SUM($AB138)=0,"",ROUND(MAX($X138,0)*SUM($AB138),0)))</f>
        <v>14</v>
      </c>
      <c r="AE138" s="115" t="n">
        <f aca="false">IF(AND(SUM($AD138)=0,SUM($U138)=0),"",ROUND(IF($C138="&lt;01",0,SUM($U138))+SUM($AD138),0))</f>
        <v>34</v>
      </c>
      <c r="AF138" s="122" t="n">
        <f aca="false">IF($C138="&lt;01","",100%)</f>
        <v>1</v>
      </c>
      <c r="AG138" s="123" t="n">
        <f aca="false">0.98</f>
        <v>0.98</v>
      </c>
      <c r="AH138" s="123" t="n">
        <f aca="false">0.98</f>
        <v>0.98</v>
      </c>
      <c r="AI138" s="124" t="n">
        <f aca="false">IF(OR($C138="&lt;01",SUM($U138)=0),"",ROUND(SUM($U138)*(1-$AH138),0))</f>
        <v>0</v>
      </c>
      <c r="AJ138" s="124" t="n">
        <f aca="false">IF(AND(SUM($AE138)=0,SUM($U138)=0),"",IF($C138="&lt;01",SUM($AD138),SUM($AE138) - ROUND(SUM($U138)*$AH138,0)))</f>
        <v>14</v>
      </c>
      <c r="AK138" s="124" t="n">
        <v>12</v>
      </c>
      <c r="AL138" s="124" t="n">
        <v>24</v>
      </c>
      <c r="AM138" s="115" t="n">
        <f aca="false">IF(AND(SUM($AD138)=0,SUM($U138)=0),"",IF($C138="&lt;01",SUM($AD138),ROUND(ROUND(SUM($AJ138)*$AF138,0)/$AG138,0)))</f>
        <v>14</v>
      </c>
      <c r="AN138" s="122" t="n">
        <f aca="false">0.7</f>
        <v>0.7</v>
      </c>
      <c r="AO138" s="123" t="n">
        <f aca="false">1</f>
        <v>1</v>
      </c>
      <c r="AP138" s="115" t="n">
        <f aca="false">IF(AND(SUM($U138)=0,SUM($AM138)=0),"",ROUND((SUM($AM138)*$AN138+IF($C138="&lt;01",0,$U138))*$AO138,0))</f>
        <v>30</v>
      </c>
      <c r="AQ138" s="122" t="n">
        <v>15</v>
      </c>
      <c r="AR138" s="123" t="n">
        <f aca="false">0.95</f>
        <v>0.95</v>
      </c>
      <c r="AS138" s="123" t="n">
        <f aca="false">0.95</f>
        <v>0.95</v>
      </c>
      <c r="AT138" s="115" t="n">
        <f aca="false">IF(SUM($AP138)=0,"",ROUND(SUM($AP138)*$AR138,0))</f>
        <v>29</v>
      </c>
      <c r="AU138" s="115" t="n">
        <f aca="false">IF(LEFT($B138,4)="_Mil","",ROUND(SUM($AA138)*SUM($AS138),0))</f>
        <v>170</v>
      </c>
      <c r="AV138" s="124" t="n">
        <f aca="false">IF(SUM($AU138)&lt;=0,"",MAX(SUM($AU138)-SUM($R138),0))</f>
        <v>170</v>
      </c>
      <c r="AW138" s="122" t="n">
        <f aca="false">0</f>
        <v>0</v>
      </c>
      <c r="AX138" s="124" t="n">
        <f aca="false">IF(SUM($AM138)=0,"",ROUND(SUM($AM138)*SUM($AW138),0))</f>
        <v>0</v>
      </c>
      <c r="AY138" s="124" t="n">
        <f aca="false">IF(SUM($AM138)=0,"",SUM($AM138)-SUM($AX138))</f>
        <v>14</v>
      </c>
      <c r="AZ138" s="123" t="n">
        <v>13</v>
      </c>
      <c r="BA138" s="123" t="n">
        <f aca="false">0.95</f>
        <v>0.95</v>
      </c>
      <c r="BB138" s="123"/>
      <c r="BC138" s="123" t="n">
        <f aca="false">IF(OR(SUM($AM138)&lt;=0,$C138="&lt;01"),"",MAX(IF(OR(SUM($Y138)&lt;70%,LEFT($B138,4)="_Mil"),30%,IF(SUM($Y138)&gt;=80%,75%,50%)),SUM($BB138)))</f>
        <v>0.3</v>
      </c>
      <c r="BD138" s="115" t="n">
        <f aca="false">IF($C138="&lt;01",IFERROR(ROUND(INDEX(EID!$M:$M,MATCH($B138,EID!$B:$B,0)),0)/2,""),IF(SUM($AY138)=0,"",ROUND(SUM($AY138)/SUM($BA138),0)))</f>
        <v>15</v>
      </c>
      <c r="BE138" s="115" t="n">
        <f aca="false">IF($C138="&lt;01","",IF(SUM($BD138)=0,"",ROUND(SUM($BD138)*SUM($BC138),0)))</f>
        <v>5</v>
      </c>
      <c r="BF138" s="115" t="str">
        <f aca="false">_xlfn.IFNA(INDEX(PMTCT!$AE:$AE,MATCH($E138,PMTCT!$E:$E,0)),"")</f>
        <v/>
      </c>
      <c r="BG138" s="115" t="str">
        <f aca="false">_xlfn.IFNA(INDEX(PMTCT!$AU:$AU,MATCH($E138,PMTCT!$E:$E,0)),"")</f>
        <v/>
      </c>
      <c r="BH138" s="115" t="n">
        <f aca="false">_xlfn.IFNA(INDEX(TB!$Q:$Q,MATCH($E138,TB!$E:$E,0)),"")</f>
        <v>0</v>
      </c>
      <c r="BI138" s="115" t="str">
        <f aca="false">_xlfn.IFNA(INDEX(VMMC!$AC:$AC,MATCH($E138,VMMC!$E:$E,0)),"")</f>
        <v/>
      </c>
      <c r="BJ138" s="115" t="str">
        <f aca="false">IF($C138="&lt;01",$BD138,"")</f>
        <v/>
      </c>
      <c r="BK138" s="115" t="n">
        <f aca="false">IF(SUM($BD138)=0,"",($BD138)-SUM($BE138:$BJ138))</f>
        <v>10</v>
      </c>
      <c r="BL138" s="123" t="n">
        <f aca="false">IF(OR(SUM($BD138)=0,SUM($BE138)=0),"",SUM($BE138)/$BD138)</f>
        <v>0.333333333333333</v>
      </c>
      <c r="BM138" s="123" t="str">
        <f aca="false">IF(OR(SUM($BD138)=0,SUM($BF138)=0),"",SUM($BF138)/$BD138)</f>
        <v/>
      </c>
      <c r="BN138" s="123" t="str">
        <f aca="false">IF(OR(SUM($BD138)=0,SUM($BG138)=0),"",SUM($BG138)/$BD138)</f>
        <v/>
      </c>
      <c r="BO138" s="123" t="str">
        <f aca="false">IF(OR(SUM($BD138)=0,SUM($BH138)=0),"",SUM($BH138)/$BD138)</f>
        <v/>
      </c>
      <c r="BP138" s="123" t="str">
        <f aca="false">IF(OR(SUM($BD138)=0,SUM($BI138)=0),"",SUM($BI138)/$BD138)</f>
        <v/>
      </c>
      <c r="BQ138" s="123" t="str">
        <f aca="false">IF(AND($C138="&lt;01",SUM($BJ138)&lt;&gt;0),$BJ138/SUM($BD138),"")</f>
        <v/>
      </c>
      <c r="BR138" s="123" t="n">
        <f aca="false">IF(OR(SUM($BD138)=0,SUM($BK138)=0),"",SUM($BK138)/$BD138)</f>
        <v>0.666666666666667</v>
      </c>
      <c r="BS138" s="122" t="n">
        <f aca="false">IF(SUM($X138)&lt;=0,"",$X138)</f>
        <v>0.192307692307692</v>
      </c>
      <c r="BT138" s="115" t="n">
        <f aca="false">IF(LEFT($B138,4)="_Mil","",MAX(SUM($L138)+ROUND(SUM($BD138)/IF(SUM($BS138)&lt;=0,1,SUM($BS138)),0),0))</f>
        <v>166</v>
      </c>
    </row>
    <row r="139" customFormat="false" ht="15" hidden="false" customHeight="false" outlineLevel="0" collapsed="false">
      <c r="A139" s="0" t="s">
        <v>146</v>
      </c>
      <c r="B139" s="0" t="s">
        <v>45</v>
      </c>
      <c r="C139" s="0" t="s">
        <v>83</v>
      </c>
      <c r="D139" s="0" t="s">
        <v>56</v>
      </c>
      <c r="E139" s="0" t="str">
        <f aca="false">B139&amp;"|"&amp;C139&amp;"|"&amp;D139</f>
        <v>Maseru [#SNU] [#DREAMS] [tKOXiaNhAyJ]|05-09|Female</v>
      </c>
      <c r="F139" s="115" t="n">
        <f aca="false">_xlfn.IFNA(ROUND(INDEX(Spectrum!$N:$N,MATCH(RIGHT($B139,13)&amp;"|"&amp;$C139&amp;"|"&amp;$D139&amp;"|"&amp;F$14&amp;"|"&amp;"CY2021Q3",Spectrum!$Q:$Q,0)),0),"")</f>
        <v>27770</v>
      </c>
      <c r="G139" s="123" t="n">
        <f aca="false">_xlfn.IFNA(INDEX(Spectrum!$P:$P,MATCH(RIGHT($B139,13)&amp;"|"&amp;$C139&amp;"|"&amp;$D139&amp;"|"&amp;F$14&amp;"|"&amp;"CY2021Q3",Spectrum!$Q:$Q,0)),"")</f>
        <v>15</v>
      </c>
      <c r="H139" s="115" t="n">
        <f aca="false">_xlfn.IFNA(ROUND(INDEX(Spectrum!$N:$N,MATCH(RIGHT($B139,13)&amp;"|"&amp;$C139&amp;"|"&amp;$D139&amp;"|"&amp;H$14&amp;"|"&amp;"CY2021Q3",Spectrum!$Q:$Q,0)),0),"")</f>
        <v>479</v>
      </c>
      <c r="I139" s="123" t="n">
        <f aca="false">_xlfn.IFNA(INDEX(Spectrum!$P:$P,MATCH(RIGHT($B139,13)&amp;"|"&amp;$C139&amp;"|"&amp;$D139&amp;"|"&amp;H$14&amp;"|"&amp;"CY2021Q3",Spectrum!$Q:$Q,0)),"")</f>
        <v>23</v>
      </c>
      <c r="J139" s="117" t="n">
        <f aca="false">_xlfn.IFNA(INDEX(Spectrum!$N:$N,MATCH(RIGHT($B139,13)&amp;"|"&amp;$C139&amp;"|"&amp;$D139&amp;"|"&amp;J$14&amp;"|"&amp;"CY2021Q3",Spectrum!$Q:$Q,0)),"")</f>
        <v>0.0172605</v>
      </c>
      <c r="K139" s="123" t="n">
        <f aca="false">_xlfn.IFNA(INDEX(Spectrum!$P:$P,MATCH(RIGHT($B139,13)&amp;"|"&amp;$C139&amp;"|"&amp;$D139&amp;"|"&amp;J$14&amp;"|"&amp;"CY2021Q3",Spectrum!$Q:$Q,0)),"")</f>
        <v>1</v>
      </c>
      <c r="L139" s="115" t="n">
        <f aca="false">_xlfn.IFNA(ROUND(INDEX(Spectrum!$N:$N,MATCH(RIGHT($B139,13)&amp;"|"&amp;$C139&amp;"|"&amp;$D139&amp;"|"&amp;L$14&amp;"|"&amp;"CY2021Q3",Spectrum!$Q:$Q,0)),0),"")</f>
        <v>267</v>
      </c>
      <c r="M139" s="123" t="n">
        <f aca="false">IF(OR(SUM($H139)&lt;=0,SUM($L139)&lt;=0),"",SUM($L139)/$H139)</f>
        <v>0.55741127348643</v>
      </c>
      <c r="N139" s="115" t="str">
        <f aca="false">_xlfn.IFNA(ROUND(INDEX(Spectrum!$N:$N,MATCH(RIGHT($B139,13)&amp;"|"&amp;$C139&amp;"|"&amp;$D139&amp;"|"&amp;N$14&amp;"|"&amp;"CY2020Q4",Spectrum!$Q:$Q,0)),0),"")</f>
        <v/>
      </c>
      <c r="O139" s="123" t="str">
        <f aca="false">_xlfn.IFNA(INDEX(Spectrum!$P:$P,MATCH(RIGHT($B139,13)&amp;"|"&amp;$C139&amp;"|"&amp;$D139&amp;"|"&amp;N$14&amp;"|"&amp;"CY2020Q4",Spectrum!$Q:$Q,0)),"")</f>
        <v/>
      </c>
      <c r="P139" s="115" t="n">
        <f aca="false">_xlfn.IFNA(ROUND(INDEX(Spectrum!$N:$N,MATCH(RIGHT($B139,13)&amp;"|"&amp;$C139&amp;"|"&amp;$D139&amp;"|"&amp;P$14&amp;"|"&amp;"CY2021Q3",Spectrum!$Q:$Q,0)),0),"")</f>
        <v>274</v>
      </c>
      <c r="Q139" s="123" t="n">
        <f aca="false">_xlfn.IFNA(INDEX(Spectrum!$P:$P,MATCH(RIGHT($B139,13)&amp;"|"&amp;$C139&amp;"|"&amp;$D139&amp;"|"&amp;P$14&amp;"|"&amp;"CY2021Q3",Spectrum!$Q:$Q,0)),"")</f>
        <v>7</v>
      </c>
      <c r="R139" s="115"/>
      <c r="S139" s="123" t="str">
        <f aca="false">IF(OR(SUM($P139)&lt;=0,SUM($R139)&lt;=0),"",SUM($R139)/$P139)</f>
        <v/>
      </c>
      <c r="T139" s="139" t="n">
        <v>25</v>
      </c>
      <c r="U139" s="124" t="n">
        <v>24</v>
      </c>
      <c r="V139" s="124" t="n">
        <f aca="false">IF($U139-$T139=0,"",$U139-$T139)</f>
        <v>-1</v>
      </c>
      <c r="W139" s="123" t="n">
        <f aca="false">IF(LEFT($B139,4)="_Mil","",IFERROR(MIN(IF(SUM($N139)&lt;=0,SUM($U139)/SUM($P139),SUM($T139)/SUM($N139)),1),""))</f>
        <v>0.0875912408759124</v>
      </c>
      <c r="X139" s="123" t="n">
        <f aca="false">$W139</f>
        <v>0.0875912408759124</v>
      </c>
      <c r="Y139" s="123" t="n">
        <f aca="false">IFERROR(1/(1/INDEX(Spectrum!$N:$N,MATCH(RIGHT($B139,13)&amp;"|"&amp;$C139&amp;"|"&amp;$D139&amp;"|"&amp;Y$14&amp;"|"&amp;"CY2021Q3",Spectrum!$Q:$Q,0))),IF(SUM($H139)=0,"",MAX(SUM($P139),SUM($U139))/SUM($H139)))</f>
        <v>0.572025052192067</v>
      </c>
      <c r="Z139" s="123" t="n">
        <f aca="false">IF(SUM($Y139)=0,"",MAX(SUM($Y139),90%))</f>
        <v>0.9</v>
      </c>
      <c r="AA139" s="115" t="n">
        <f aca="false">IF(LEFT($B139,4)="_Mil","",ROUND(MAX(SUM($U139),SUM($P139))+IF(SUM($Z139)=0,0,MAX(SUM($Z139)-SUM($Y139),0)*SUM($H139)),0))</f>
        <v>431</v>
      </c>
      <c r="AB139" s="115" t="n">
        <f aca="false">IF(SUM($AA139)=0,"",ROUND(MAX(SUM($AA139)-MAX(SUM($P139),SUM($U139)),0),0))</f>
        <v>157</v>
      </c>
      <c r="AC139" s="126" t="str">
        <f aca="false">IF($C139="&lt;01",IFERROR(ROUND(INDEX(EID!$N:$N,MATCH($B139,EID!$B:$B,0))/2,0),""),"")</f>
        <v/>
      </c>
      <c r="AD139" s="115" t="n">
        <f aca="false">IF($C139="&lt;01",IF(SUM($AC139)=0,"",ROUND(SUM($AC139)/$AG139,0)),IF(SUM($AB139)=0,"",ROUND(MAX($X139,0)*SUM($AB139),0)))</f>
        <v>14</v>
      </c>
      <c r="AE139" s="115" t="n">
        <f aca="false">IF(AND(SUM($AD139)=0,SUM($U139)=0),"",ROUND(IF($C139="&lt;01",0,SUM($U139))+SUM($AD139),0))</f>
        <v>38</v>
      </c>
      <c r="AF139" s="122" t="n">
        <f aca="false">IF($C139="&lt;01","",100%)</f>
        <v>1</v>
      </c>
      <c r="AG139" s="123" t="n">
        <f aca="false">0.98</f>
        <v>0.98</v>
      </c>
      <c r="AH139" s="123" t="n">
        <f aca="false">0.98</f>
        <v>0.98</v>
      </c>
      <c r="AI139" s="124" t="n">
        <f aca="false">IF(OR($C139="&lt;01",SUM($U139)=0),"",ROUND(SUM($U139)*(1-$AH139),0))</f>
        <v>0</v>
      </c>
      <c r="AJ139" s="124" t="n">
        <f aca="false">IF(AND(SUM($AE139)=0,SUM($U139)=0),"",IF($C139="&lt;01",SUM($AD139),SUM($AE139) - ROUND(SUM($U139)*$AH139,0)))</f>
        <v>14</v>
      </c>
      <c r="AK139" s="124" t="n">
        <v>13</v>
      </c>
      <c r="AL139" s="124" t="n">
        <v>24</v>
      </c>
      <c r="AM139" s="115" t="n">
        <f aca="false">IF(AND(SUM($AD139)=0,SUM($U139)=0),"",IF($C139="&lt;01",SUM($AD139),ROUND(ROUND(SUM($AJ139)*$AF139,0)/$AG139,0)))</f>
        <v>14</v>
      </c>
      <c r="AN139" s="122" t="n">
        <f aca="false">0.7</f>
        <v>0.7</v>
      </c>
      <c r="AO139" s="123" t="n">
        <f aca="false">1</f>
        <v>1</v>
      </c>
      <c r="AP139" s="115" t="n">
        <f aca="false">IF(AND(SUM($U139)=0,SUM($AM139)=0),"",ROUND((SUM($AM139)*$AN139+IF($C139="&lt;01",0,$U139))*$AO139,0))</f>
        <v>34</v>
      </c>
      <c r="AQ139" s="122" t="n">
        <v>31</v>
      </c>
      <c r="AR139" s="123" t="n">
        <f aca="false">0.95</f>
        <v>0.95</v>
      </c>
      <c r="AS139" s="123" t="n">
        <f aca="false">0.95</f>
        <v>0.95</v>
      </c>
      <c r="AT139" s="115" t="n">
        <f aca="false">IF(SUM($AP139)=0,"",ROUND(SUM($AP139)*$AR139,0))</f>
        <v>32</v>
      </c>
      <c r="AU139" s="115" t="n">
        <f aca="false">IF(LEFT($B139,4)="_Mil","",ROUND(SUM($AA139)*SUM($AS139),0))</f>
        <v>409</v>
      </c>
      <c r="AV139" s="124" t="n">
        <f aca="false">IF(SUM($AU139)&lt;=0,"",MAX(SUM($AU139)-SUM($R139),0))</f>
        <v>409</v>
      </c>
      <c r="AW139" s="122" t="n">
        <f aca="false">0</f>
        <v>0</v>
      </c>
      <c r="AX139" s="124" t="n">
        <f aca="false">IF(SUM($AM139)=0,"",ROUND(SUM($AM139)*SUM($AW139),0))</f>
        <v>0</v>
      </c>
      <c r="AY139" s="124" t="n">
        <f aca="false">IF(SUM($AM139)=0,"",SUM($AM139)-SUM($AX139))</f>
        <v>14</v>
      </c>
      <c r="AZ139" s="123" t="n">
        <v>11</v>
      </c>
      <c r="BA139" s="123" t="n">
        <f aca="false">0.95</f>
        <v>0.95</v>
      </c>
      <c r="BB139" s="123"/>
      <c r="BC139" s="123" t="n">
        <f aca="false">IF(OR(SUM($AM139)&lt;=0,$C139="&lt;01"),"",MAX(IF(OR(SUM($Y139)&lt;70%,LEFT($B139,4)="_Mil"),30%,IF(SUM($Y139)&gt;=80%,75%,50%)),SUM($BB139)))</f>
        <v>0.3</v>
      </c>
      <c r="BD139" s="115" t="n">
        <f aca="false">IF($C139="&lt;01",IFERROR(ROUND(INDEX(EID!$M:$M,MATCH($B139,EID!$B:$B,0)),0)/2,""),IF(SUM($AY139)=0,"",ROUND(SUM($AY139)/SUM($BA139),0)))</f>
        <v>15</v>
      </c>
      <c r="BE139" s="115" t="n">
        <f aca="false">IF($C139="&lt;01","",IF(SUM($BD139)=0,"",ROUND(SUM($BD139)*SUM($BC139),0)))</f>
        <v>5</v>
      </c>
      <c r="BF139" s="115" t="str">
        <f aca="false">_xlfn.IFNA(INDEX(PMTCT!$AE:$AE,MATCH($E139,PMTCT!$E:$E,0)),"")</f>
        <v/>
      </c>
      <c r="BG139" s="115" t="str">
        <f aca="false">_xlfn.IFNA(INDEX(PMTCT!$AU:$AU,MATCH($E139,PMTCT!$E:$E,0)),"")</f>
        <v/>
      </c>
      <c r="BH139" s="115" t="n">
        <f aca="false">_xlfn.IFNA(INDEX(TB!$Q:$Q,MATCH($E139,TB!$E:$E,0)),"")</f>
        <v>-0</v>
      </c>
      <c r="BI139" s="115" t="str">
        <f aca="false">_xlfn.IFNA(INDEX(VMMC!$AC:$AC,MATCH($E139,VMMC!$E:$E,0)),"")</f>
        <v/>
      </c>
      <c r="BJ139" s="115" t="str">
        <f aca="false">IF($C139="&lt;01",$BD139,"")</f>
        <v/>
      </c>
      <c r="BK139" s="115" t="n">
        <f aca="false">IF(SUM($BD139)=0,"",($BD139)-SUM($BE139:$BJ139))</f>
        <v>10</v>
      </c>
      <c r="BL139" s="123" t="n">
        <f aca="false">IF(OR(SUM($BD139)=0,SUM($BE139)=0),"",SUM($BE139)/$BD139)</f>
        <v>0.333333333333333</v>
      </c>
      <c r="BM139" s="123" t="str">
        <f aca="false">IF(OR(SUM($BD139)=0,SUM($BF139)=0),"",SUM($BF139)/$BD139)</f>
        <v/>
      </c>
      <c r="BN139" s="123" t="str">
        <f aca="false">IF(OR(SUM($BD139)=0,SUM($BG139)=0),"",SUM($BG139)/$BD139)</f>
        <v/>
      </c>
      <c r="BO139" s="123" t="str">
        <f aca="false">IF(OR(SUM($BD139)=0,SUM($BH139)=0),"",SUM($BH139)/$BD139)</f>
        <v/>
      </c>
      <c r="BP139" s="123" t="str">
        <f aca="false">IF(OR(SUM($BD139)=0,SUM($BI139)=0),"",SUM($BI139)/$BD139)</f>
        <v/>
      </c>
      <c r="BQ139" s="123" t="str">
        <f aca="false">IF(AND($C139="&lt;01",SUM($BJ139)&lt;&gt;0),$BJ139/SUM($BD139),"")</f>
        <v/>
      </c>
      <c r="BR139" s="123" t="n">
        <f aca="false">IF(OR(SUM($BD139)=0,SUM($BK139)=0),"",SUM($BK139)/$BD139)</f>
        <v>0.666666666666667</v>
      </c>
      <c r="BS139" s="122" t="n">
        <f aca="false">IF(SUM($X139)&lt;=0,"",$X139)</f>
        <v>0.0875912408759124</v>
      </c>
      <c r="BT139" s="115" t="n">
        <f aca="false">IF(LEFT($B139,4)="_Mil","",MAX(SUM($L139)+ROUND(SUM($BD139)/IF(SUM($BS139)&lt;=0,1,SUM($BS139)),0),0))</f>
        <v>438</v>
      </c>
    </row>
    <row r="140" customFormat="false" ht="15" hidden="false" customHeight="false" outlineLevel="0" collapsed="false">
      <c r="A140" s="0" t="s">
        <v>146</v>
      </c>
      <c r="B140" s="0" t="s">
        <v>45</v>
      </c>
      <c r="C140" s="0" t="s">
        <v>83</v>
      </c>
      <c r="D140" s="0" t="s">
        <v>58</v>
      </c>
      <c r="E140" s="0" t="str">
        <f aca="false">B140&amp;"|"&amp;C140&amp;"|"&amp;D140</f>
        <v>Maseru [#SNU] [#DREAMS] [tKOXiaNhAyJ]|05-09|Male</v>
      </c>
      <c r="F140" s="115" t="n">
        <f aca="false">_xlfn.IFNA(ROUND(INDEX(Spectrum!$N:$N,MATCH(RIGHT($B140,13)&amp;"|"&amp;$C140&amp;"|"&amp;$D140&amp;"|"&amp;F$14&amp;"|"&amp;"CY2021Q3",Spectrum!$Q:$Q,0)),0),"")</f>
        <v>27112</v>
      </c>
      <c r="G140" s="123" t="n">
        <f aca="false">_xlfn.IFNA(INDEX(Spectrum!$P:$P,MATCH(RIGHT($B140,13)&amp;"|"&amp;$C140&amp;"|"&amp;$D140&amp;"|"&amp;F$14&amp;"|"&amp;"CY2021Q3",Spectrum!$Q:$Q,0)),"")</f>
        <v>10</v>
      </c>
      <c r="H140" s="115" t="n">
        <f aca="false">_xlfn.IFNA(ROUND(INDEX(Spectrum!$N:$N,MATCH(RIGHT($B140,13)&amp;"|"&amp;$C140&amp;"|"&amp;$D140&amp;"|"&amp;H$14&amp;"|"&amp;"CY2021Q3",Spectrum!$Q:$Q,0)),0),"")</f>
        <v>464</v>
      </c>
      <c r="I140" s="123" t="n">
        <f aca="false">_xlfn.IFNA(INDEX(Spectrum!$P:$P,MATCH(RIGHT($B140,13)&amp;"|"&amp;$C140&amp;"|"&amp;$D140&amp;"|"&amp;H$14&amp;"|"&amp;"CY2021Q3",Spectrum!$Q:$Q,0)),"")</f>
        <v>25</v>
      </c>
      <c r="J140" s="117" t="n">
        <f aca="false">_xlfn.IFNA(INDEX(Spectrum!$N:$N,MATCH(RIGHT($B140,13)&amp;"|"&amp;$C140&amp;"|"&amp;$D140&amp;"|"&amp;J$14&amp;"|"&amp;"CY2021Q3",Spectrum!$Q:$Q,0)),"")</f>
        <v>0.0171009</v>
      </c>
      <c r="K140" s="123" t="n">
        <f aca="false">_xlfn.IFNA(INDEX(Spectrum!$P:$P,MATCH(RIGHT($B140,13)&amp;"|"&amp;$C140&amp;"|"&amp;$D140&amp;"|"&amp;J$14&amp;"|"&amp;"CY2021Q3",Spectrum!$Q:$Q,0)),"")</f>
        <v>3</v>
      </c>
      <c r="L140" s="115" t="n">
        <f aca="false">_xlfn.IFNA(ROUND(INDEX(Spectrum!$N:$N,MATCH(RIGHT($B140,13)&amp;"|"&amp;$C140&amp;"|"&amp;$D140&amp;"|"&amp;L$14&amp;"|"&amp;"CY2021Q3",Spectrum!$Q:$Q,0)),0),"")</f>
        <v>272</v>
      </c>
      <c r="M140" s="123" t="n">
        <f aca="false">IF(OR(SUM($H140)&lt;=0,SUM($L140)&lt;=0),"",SUM($L140)/$H140)</f>
        <v>0.586206896551724</v>
      </c>
      <c r="N140" s="115" t="str">
        <f aca="false">_xlfn.IFNA(ROUND(INDEX(Spectrum!$N:$N,MATCH(RIGHT($B140,13)&amp;"|"&amp;$C140&amp;"|"&amp;$D140&amp;"|"&amp;N$14&amp;"|"&amp;"CY2020Q4",Spectrum!$Q:$Q,0)),0),"")</f>
        <v/>
      </c>
      <c r="O140" s="123" t="str">
        <f aca="false">_xlfn.IFNA(INDEX(Spectrum!$P:$P,MATCH(RIGHT($B140,13)&amp;"|"&amp;$C140&amp;"|"&amp;$D140&amp;"|"&amp;N$14&amp;"|"&amp;"CY2020Q4",Spectrum!$Q:$Q,0)),"")</f>
        <v/>
      </c>
      <c r="P140" s="115" t="n">
        <f aca="false">_xlfn.IFNA(ROUND(INDEX(Spectrum!$N:$N,MATCH(RIGHT($B140,13)&amp;"|"&amp;$C140&amp;"|"&amp;$D140&amp;"|"&amp;P$14&amp;"|"&amp;"CY2021Q3",Spectrum!$Q:$Q,0)),0),"")</f>
        <v>279</v>
      </c>
      <c r="Q140" s="123" t="n">
        <f aca="false">_xlfn.IFNA(INDEX(Spectrum!$P:$P,MATCH(RIGHT($B140,13)&amp;"|"&amp;$C140&amp;"|"&amp;$D140&amp;"|"&amp;P$14&amp;"|"&amp;"CY2021Q3",Spectrum!$Q:$Q,0)),"")</f>
        <v>17</v>
      </c>
      <c r="R140" s="115"/>
      <c r="S140" s="123" t="str">
        <f aca="false">IF(OR(SUM($P140)&lt;=0,SUM($R140)&lt;=0),"",SUM($R140)/$P140)</f>
        <v/>
      </c>
      <c r="T140" s="139" t="n">
        <v>2</v>
      </c>
      <c r="U140" s="124" t="n">
        <v>1</v>
      </c>
      <c r="V140" s="124" t="n">
        <f aca="false">IF($U140-$T140=0,"",$U140-$T140)</f>
        <v>-1</v>
      </c>
      <c r="W140" s="123" t="n">
        <f aca="false">IF(LEFT($B140,4)="_Mil","",IFERROR(MIN(IF(SUM($N140)&lt;=0,SUM($U140)/SUM($P140),SUM($T140)/SUM($N140)),1),""))</f>
        <v>0.003584229390681</v>
      </c>
      <c r="X140" s="123" t="n">
        <f aca="false">$W140</f>
        <v>0.003584229390681</v>
      </c>
      <c r="Y140" s="123" t="n">
        <f aca="false">IFERROR(1/(1/INDEX(Spectrum!$N:$N,MATCH(RIGHT($B140,13)&amp;"|"&amp;$C140&amp;"|"&amp;$D140&amp;"|"&amp;Y$14&amp;"|"&amp;"CY2021Q3",Spectrum!$Q:$Q,0))),IF(SUM($H140)=0,"",MAX(SUM($P140),SUM($U140))/SUM($H140)))</f>
        <v>0.601293103448276</v>
      </c>
      <c r="Z140" s="123" t="n">
        <f aca="false">IF(SUM($Y140)=0,"",MAX(SUM($Y140),90%))</f>
        <v>0.9</v>
      </c>
      <c r="AA140" s="115" t="n">
        <f aca="false">IF(LEFT($B140,4)="_Mil","",ROUND(MAX(SUM($U140),SUM($P140))+IF(SUM($Z140)=0,0,MAX(SUM($Z140)-SUM($Y140),0)*SUM($H140)),0))</f>
        <v>418</v>
      </c>
      <c r="AB140" s="115" t="n">
        <f aca="false">IF(SUM($AA140)=0,"",ROUND(MAX(SUM($AA140)-MAX(SUM($P140),SUM($U140)),0),0))</f>
        <v>139</v>
      </c>
      <c r="AC140" s="126" t="str">
        <f aca="false">IF($C140="&lt;01",IFERROR(ROUND(INDEX(EID!$N:$N,MATCH($B140,EID!$B:$B,0))/2,0),""),"")</f>
        <v/>
      </c>
      <c r="AD140" s="115" t="n">
        <f aca="false">IF($C140="&lt;01",IF(SUM($AC140)=0,"",ROUND(SUM($AC140)/$AG140,0)),IF(SUM($AB140)=0,"",ROUND(MAX($X140,0)*SUM($AB140),0)))</f>
        <v>0</v>
      </c>
      <c r="AE140" s="115" t="n">
        <f aca="false">IF(AND(SUM($AD140)=0,SUM($U140)=0),"",ROUND(IF($C140="&lt;01",0,SUM($U140))+SUM($AD140),0))</f>
        <v>1</v>
      </c>
      <c r="AF140" s="122" t="n">
        <f aca="false">IF($C140="&lt;01","",100%)</f>
        <v>1</v>
      </c>
      <c r="AG140" s="123" t="n">
        <f aca="false">0.98</f>
        <v>0.98</v>
      </c>
      <c r="AH140" s="123" t="n">
        <f aca="false">0.98</f>
        <v>0.98</v>
      </c>
      <c r="AI140" s="124" t="n">
        <f aca="false">IF(OR($C140="&lt;01",SUM($U140)=0),"",ROUND(SUM($U140)*(1-$AH140),0))</f>
        <v>0</v>
      </c>
      <c r="AJ140" s="124" t="n">
        <f aca="false">IF(AND(SUM($AE140)=0,SUM($U140)=0),"",IF($C140="&lt;01",SUM($AD140),SUM($AE140) - ROUND(SUM($U140)*$AH140,0)))</f>
        <v>0</v>
      </c>
      <c r="AK140" s="124" t="n">
        <v>22</v>
      </c>
      <c r="AL140" s="124" t="n">
        <v>42</v>
      </c>
      <c r="AM140" s="115" t="n">
        <f aca="false">IF(AND(SUM($AD140)=0,SUM($U140)=0),"",IF($C140="&lt;01",SUM($AD140),ROUND(ROUND(SUM($AJ140)*$AF140,0)/$AG140,0)))</f>
        <v>0</v>
      </c>
      <c r="AN140" s="122" t="n">
        <f aca="false">0.7</f>
        <v>0.7</v>
      </c>
      <c r="AO140" s="123" t="n">
        <f aca="false">1</f>
        <v>1</v>
      </c>
      <c r="AP140" s="115" t="n">
        <f aca="false">IF(AND(SUM($U140)=0,SUM($AM140)=0),"",ROUND((SUM($AM140)*$AN140+IF($C140="&lt;01",0,$U140))*$AO140,0))</f>
        <v>1</v>
      </c>
      <c r="AQ140" s="122" t="n">
        <v>9</v>
      </c>
      <c r="AR140" s="123" t="n">
        <f aca="false">0.95</f>
        <v>0.95</v>
      </c>
      <c r="AS140" s="123" t="n">
        <f aca="false">0.95</f>
        <v>0.95</v>
      </c>
      <c r="AT140" s="115" t="n">
        <f aca="false">IF(SUM($AP140)=0,"",ROUND(SUM($AP140)*$AR140,0))</f>
        <v>1</v>
      </c>
      <c r="AU140" s="115" t="n">
        <f aca="false">IF(LEFT($B140,4)="_Mil","",ROUND(SUM($AA140)*SUM($AS140),0))</f>
        <v>397</v>
      </c>
      <c r="AV140" s="124" t="n">
        <f aca="false">IF(SUM($AU140)&lt;=0,"",MAX(SUM($AU140)-SUM($R140),0))</f>
        <v>397</v>
      </c>
      <c r="AW140" s="122" t="n">
        <f aca="false">0</f>
        <v>0</v>
      </c>
      <c r="AX140" s="124" t="str">
        <f aca="false">IF(SUM($AM140)=0,"",ROUND(SUM($AM140)*SUM($AW140),0))</f>
        <v/>
      </c>
      <c r="AY140" s="124" t="str">
        <f aca="false">IF(SUM($AM140)=0,"",SUM($AM140)-SUM($AX140))</f>
        <v/>
      </c>
      <c r="AZ140" s="123" t="n">
        <v>13</v>
      </c>
      <c r="BA140" s="123" t="n">
        <f aca="false">0.95</f>
        <v>0.95</v>
      </c>
      <c r="BB140" s="123"/>
      <c r="BC140" s="123" t="str">
        <f aca="false">IF(OR(SUM($AM140)&lt;=0,$C140="&lt;01"),"",MAX(IF(OR(SUM($Y140)&lt;70%,LEFT($B140,4)="_Mil"),30%,IF(SUM($Y140)&gt;=80%,75%,50%)),SUM($BB140)))</f>
        <v/>
      </c>
      <c r="BD140" s="115" t="str">
        <f aca="false">IF($C140="&lt;01",IFERROR(ROUND(INDEX(EID!$M:$M,MATCH($B140,EID!$B:$B,0)),0)/2,""),IF(SUM($AY140)=0,"",ROUND(SUM($AY140)/SUM($BA140),0)))</f>
        <v/>
      </c>
      <c r="BE140" s="115" t="str">
        <f aca="false">IF($C140="&lt;01","",IF(SUM($BD140)=0,"",ROUND(SUM($BD140)*SUM($BC140),0)))</f>
        <v/>
      </c>
      <c r="BF140" s="115" t="str">
        <f aca="false">_xlfn.IFNA(INDEX(PMTCT!$AE:$AE,MATCH($E140,PMTCT!$E:$E,0)),"")</f>
        <v/>
      </c>
      <c r="BG140" s="115" t="str">
        <f aca="false">_xlfn.IFNA(INDEX(PMTCT!$AU:$AU,MATCH($E140,PMTCT!$E:$E,0)),"")</f>
        <v/>
      </c>
      <c r="BH140" s="115" t="n">
        <f aca="false">_xlfn.IFNA(INDEX(TB!$Q:$Q,MATCH($E140,TB!$E:$E,0)),"")</f>
        <v>-0</v>
      </c>
      <c r="BI140" s="115" t="str">
        <f aca="false">_xlfn.IFNA(INDEX(VMMC!$AC:$AC,MATCH($E140,VMMC!$E:$E,0)),"")</f>
        <v/>
      </c>
      <c r="BJ140" s="115" t="str">
        <f aca="false">IF($C140="&lt;01",$BD140,"")</f>
        <v/>
      </c>
      <c r="BK140" s="115" t="str">
        <f aca="false">IF(SUM($BD140)=0,"",($BD140)-SUM($BE140:$BJ140))</f>
        <v/>
      </c>
      <c r="BL140" s="123" t="str">
        <f aca="false">IF(OR(SUM($BD140)=0,SUM($BE140)=0),"",SUM($BE140)/$BD140)</f>
        <v/>
      </c>
      <c r="BM140" s="123" t="str">
        <f aca="false">IF(OR(SUM($BD140)=0,SUM($BF140)=0),"",SUM($BF140)/$BD140)</f>
        <v/>
      </c>
      <c r="BN140" s="123" t="str">
        <f aca="false">IF(OR(SUM($BD140)=0,SUM($BG140)=0),"",SUM($BG140)/$BD140)</f>
        <v/>
      </c>
      <c r="BO140" s="123" t="str">
        <f aca="false">IF(OR(SUM($BD140)=0,SUM($BH140)=0),"",SUM($BH140)/$BD140)</f>
        <v/>
      </c>
      <c r="BP140" s="123" t="str">
        <f aca="false">IF(OR(SUM($BD140)=0,SUM($BI140)=0),"",SUM($BI140)/$BD140)</f>
        <v/>
      </c>
      <c r="BQ140" s="123" t="str">
        <f aca="false">IF(AND($C140="&lt;01",SUM($BJ140)&lt;&gt;0),$BJ140/SUM($BD140),"")</f>
        <v/>
      </c>
      <c r="BR140" s="123" t="str">
        <f aca="false">IF(OR(SUM($BD140)=0,SUM($BK140)=0),"",SUM($BK140)/$BD140)</f>
        <v/>
      </c>
      <c r="BS140" s="122" t="n">
        <f aca="false">IF(SUM($X140)&lt;=0,"",$X140)</f>
        <v>0.003584229390681</v>
      </c>
      <c r="BT140" s="115" t="n">
        <f aca="false">IF(LEFT($B140,4)="_Mil","",MAX(SUM($L140)+ROUND(SUM($BD140)/IF(SUM($BS140)&lt;=0,1,SUM($BS140)),0),0))</f>
        <v>272</v>
      </c>
    </row>
    <row r="141" customFormat="false" ht="15" hidden="false" customHeight="false" outlineLevel="0" collapsed="false">
      <c r="A141" s="0" t="s">
        <v>146</v>
      </c>
      <c r="B141" s="0" t="s">
        <v>45</v>
      </c>
      <c r="C141" s="0" t="s">
        <v>61</v>
      </c>
      <c r="D141" s="0" t="s">
        <v>56</v>
      </c>
      <c r="E141" s="0" t="str">
        <f aca="false">B141&amp;"|"&amp;C141&amp;"|"&amp;D141</f>
        <v>Maseru [#SNU] [#DREAMS] [tKOXiaNhAyJ]|10-14|Female</v>
      </c>
      <c r="F141" s="115" t="n">
        <f aca="false">_xlfn.IFNA(ROUND(INDEX(Spectrum!$N:$N,MATCH(RIGHT($B141,13)&amp;"|"&amp;$C141&amp;"|"&amp;$D141&amp;"|"&amp;F$14&amp;"|"&amp;"CY2021Q3",Spectrum!$Q:$Q,0)),0),"")</f>
        <v>25419</v>
      </c>
      <c r="G141" s="123" t="n">
        <f aca="false">_xlfn.IFNA(INDEX(Spectrum!$P:$P,MATCH(RIGHT($B141,13)&amp;"|"&amp;$C141&amp;"|"&amp;$D141&amp;"|"&amp;F$14&amp;"|"&amp;"CY2021Q3",Spectrum!$Q:$Q,0)),"")</f>
        <v>41</v>
      </c>
      <c r="H141" s="115" t="n">
        <f aca="false">_xlfn.IFNA(ROUND(INDEX(Spectrum!$N:$N,MATCH(RIGHT($B141,13)&amp;"|"&amp;$C141&amp;"|"&amp;$D141&amp;"|"&amp;H$14&amp;"|"&amp;"CY2021Q3",Spectrum!$Q:$Q,0)),0),"")</f>
        <v>708</v>
      </c>
      <c r="I141" s="123" t="n">
        <f aca="false">_xlfn.IFNA(INDEX(Spectrum!$P:$P,MATCH(RIGHT($B141,13)&amp;"|"&amp;$C141&amp;"|"&amp;$D141&amp;"|"&amp;H$14&amp;"|"&amp;"CY2021Q3",Spectrum!$Q:$Q,0)),"")</f>
        <v>23</v>
      </c>
      <c r="J141" s="117" t="n">
        <f aca="false">_xlfn.IFNA(INDEX(Spectrum!$N:$N,MATCH(RIGHT($B141,13)&amp;"|"&amp;$C141&amp;"|"&amp;$D141&amp;"|"&amp;J$14&amp;"|"&amp;"CY2021Q3",Spectrum!$Q:$Q,0)),"")</f>
        <v>0.0278633</v>
      </c>
      <c r="K141" s="123" t="n">
        <f aca="false">_xlfn.IFNA(INDEX(Spectrum!$P:$P,MATCH(RIGHT($B141,13)&amp;"|"&amp;$C141&amp;"|"&amp;$D141&amp;"|"&amp;J$14&amp;"|"&amp;"CY2021Q3",Spectrum!$Q:$Q,0)),"")</f>
        <v>39</v>
      </c>
      <c r="L141" s="115" t="n">
        <f aca="false">_xlfn.IFNA(ROUND(INDEX(Spectrum!$N:$N,MATCH(RIGHT($B141,13)&amp;"|"&amp;$C141&amp;"|"&amp;$D141&amp;"|"&amp;L$14&amp;"|"&amp;"CY2021Q3",Spectrum!$Q:$Q,0)),0),"")</f>
        <v>472</v>
      </c>
      <c r="M141" s="123" t="n">
        <f aca="false">IF(OR(SUM($H141)&lt;=0,SUM($L141)&lt;=0),"",SUM($L141)/$H141)</f>
        <v>0.666666666666667</v>
      </c>
      <c r="N141" s="115" t="str">
        <f aca="false">_xlfn.IFNA(ROUND(INDEX(Spectrum!$N:$N,MATCH(RIGHT($B141,13)&amp;"|"&amp;$C141&amp;"|"&amp;$D141&amp;"|"&amp;N$14&amp;"|"&amp;"CY2020Q4",Spectrum!$Q:$Q,0)),0),"")</f>
        <v/>
      </c>
      <c r="O141" s="123" t="str">
        <f aca="false">_xlfn.IFNA(INDEX(Spectrum!$P:$P,MATCH(RIGHT($B141,13)&amp;"|"&amp;$C141&amp;"|"&amp;$D141&amp;"|"&amp;N$14&amp;"|"&amp;"CY2020Q4",Spectrum!$Q:$Q,0)),"")</f>
        <v/>
      </c>
      <c r="P141" s="115" t="n">
        <f aca="false">_xlfn.IFNA(ROUND(INDEX(Spectrum!$N:$N,MATCH(RIGHT($B141,13)&amp;"|"&amp;$C141&amp;"|"&amp;$D141&amp;"|"&amp;P$14&amp;"|"&amp;"CY2021Q3",Spectrum!$Q:$Q,0)),0),"")</f>
        <v>527</v>
      </c>
      <c r="Q141" s="123" t="n">
        <f aca="false">_xlfn.IFNA(INDEX(Spectrum!$P:$P,MATCH(RIGHT($B141,13)&amp;"|"&amp;$C141&amp;"|"&amp;$D141&amp;"|"&amp;P$14&amp;"|"&amp;"CY2021Q3",Spectrum!$Q:$Q,0)),"")</f>
        <v>46</v>
      </c>
      <c r="R141" s="115"/>
      <c r="S141" s="123" t="str">
        <f aca="false">IF(OR(SUM($P141)&lt;=0,SUM($R141)&lt;=0),"",SUM($R141)/$P141)</f>
        <v/>
      </c>
      <c r="T141" s="139" t="n">
        <v>39</v>
      </c>
      <c r="U141" s="124" t="n">
        <v>24</v>
      </c>
      <c r="V141" s="124" t="n">
        <f aca="false">IF($U141-$T141=0,"",$U141-$T141)</f>
        <v>-15</v>
      </c>
      <c r="W141" s="123" t="n">
        <f aca="false">IF(LEFT($B141,4)="_Mil","",IFERROR(MIN(IF(SUM($N141)&lt;=0,SUM($U141)/SUM($P141),SUM($T141)/SUM($N141)),1),""))</f>
        <v>0.0455407969639469</v>
      </c>
      <c r="X141" s="123" t="n">
        <f aca="false">$W141</f>
        <v>0.0455407969639469</v>
      </c>
      <c r="Y141" s="123" t="n">
        <f aca="false">IFERROR(1/(1/INDEX(Spectrum!$N:$N,MATCH(RIGHT($B141,13)&amp;"|"&amp;$C141&amp;"|"&amp;$D141&amp;"|"&amp;Y$14&amp;"|"&amp;"CY2021Q3",Spectrum!$Q:$Q,0))),IF(SUM($H141)=0,"",MAX(SUM($P141),SUM($U141))/SUM($H141)))</f>
        <v>0.744350282485876</v>
      </c>
      <c r="Z141" s="123" t="n">
        <f aca="false">IF(SUM($Y141)=0,"",MAX(SUM($Y141),90%))</f>
        <v>0.9</v>
      </c>
      <c r="AA141" s="115" t="n">
        <f aca="false">IF(LEFT($B141,4)="_Mil","",ROUND(MAX(SUM($U141),SUM($P141))+IF(SUM($Z141)=0,0,MAX(SUM($Z141)-SUM($Y141),0)*SUM($H141)),0))</f>
        <v>637</v>
      </c>
      <c r="AB141" s="115" t="n">
        <f aca="false">IF(SUM($AA141)=0,"",ROUND(MAX(SUM($AA141)-MAX(SUM($P141),SUM($U141)),0),0))</f>
        <v>110</v>
      </c>
      <c r="AC141" s="126" t="str">
        <f aca="false">IF($C141="&lt;01",IFERROR(ROUND(INDEX(EID!$N:$N,MATCH($B141,EID!$B:$B,0))/2,0),""),"")</f>
        <v/>
      </c>
      <c r="AD141" s="115" t="n">
        <f aca="false">IF($C141="&lt;01",IF(SUM($AC141)=0,"",ROUND(SUM($AC141)/$AG141,0)),IF(SUM($AB141)=0,"",ROUND(MAX($X141,0)*SUM($AB141),0)))</f>
        <v>5</v>
      </c>
      <c r="AE141" s="115" t="n">
        <f aca="false">IF(AND(SUM($AD141)=0,SUM($U141)=0),"",ROUND(IF($C141="&lt;01",0,SUM($U141))+SUM($AD141),0))</f>
        <v>29</v>
      </c>
      <c r="AF141" s="122" t="n">
        <f aca="false">IF($C141="&lt;01","",100%)</f>
        <v>1</v>
      </c>
      <c r="AG141" s="123" t="n">
        <f aca="false">0.98</f>
        <v>0.98</v>
      </c>
      <c r="AH141" s="123" t="n">
        <f aca="false">0.98</f>
        <v>0.98</v>
      </c>
      <c r="AI141" s="124" t="n">
        <f aca="false">IF(OR($C141="&lt;01",SUM($U141)=0),"",ROUND(SUM($U141)*(1-$AH141),0))</f>
        <v>0</v>
      </c>
      <c r="AJ141" s="124" t="n">
        <f aca="false">IF(AND(SUM($AE141)=0,SUM($U141)=0),"",IF($C141="&lt;01",SUM($AD141),SUM($AE141) - ROUND(SUM($U141)*$AH141,0)))</f>
        <v>5</v>
      </c>
      <c r="AK141" s="124" t="n">
        <v>37</v>
      </c>
      <c r="AL141" s="124" t="n">
        <v>6</v>
      </c>
      <c r="AM141" s="115" t="n">
        <f aca="false">IF(AND(SUM($AD141)=0,SUM($U141)=0),"",IF($C141="&lt;01",SUM($AD141),ROUND(ROUND(SUM($AJ141)*$AF141,0)/$AG141,0)))</f>
        <v>5</v>
      </c>
      <c r="AN141" s="122" t="n">
        <f aca="false">0.7</f>
        <v>0.7</v>
      </c>
      <c r="AO141" s="123" t="n">
        <f aca="false">1</f>
        <v>1</v>
      </c>
      <c r="AP141" s="115" t="n">
        <f aca="false">IF(AND(SUM($U141)=0,SUM($AM141)=0),"",ROUND((SUM($AM141)*$AN141+IF($C141="&lt;01",0,$U141))*$AO141,0))</f>
        <v>28</v>
      </c>
      <c r="AQ141" s="122" t="n">
        <v>39</v>
      </c>
      <c r="AR141" s="123" t="n">
        <f aca="false">0.95</f>
        <v>0.95</v>
      </c>
      <c r="AS141" s="123" t="n">
        <f aca="false">0.95</f>
        <v>0.95</v>
      </c>
      <c r="AT141" s="115" t="n">
        <f aca="false">IF(SUM($AP141)=0,"",ROUND(SUM($AP141)*$AR141,0))</f>
        <v>27</v>
      </c>
      <c r="AU141" s="115" t="n">
        <f aca="false">IF(LEFT($B141,4)="_Mil","",ROUND(SUM($AA141)*SUM($AS141),0))</f>
        <v>605</v>
      </c>
      <c r="AV141" s="124" t="n">
        <f aca="false">IF(SUM($AU141)&lt;=0,"",MAX(SUM($AU141)-SUM($R141),0))</f>
        <v>605</v>
      </c>
      <c r="AW141" s="122" t="n">
        <f aca="false">0</f>
        <v>0</v>
      </c>
      <c r="AX141" s="124" t="n">
        <f aca="false">IF(SUM($AM141)=0,"",ROUND(SUM($AM141)*SUM($AW141),0))</f>
        <v>0</v>
      </c>
      <c r="AY141" s="124" t="n">
        <f aca="false">IF(SUM($AM141)=0,"",SUM($AM141)-SUM($AX141))</f>
        <v>5</v>
      </c>
      <c r="AZ141" s="123" t="n">
        <v>11</v>
      </c>
      <c r="BA141" s="123" t="n">
        <f aca="false">0.95</f>
        <v>0.95</v>
      </c>
      <c r="BB141" s="123"/>
      <c r="BC141" s="123" t="n">
        <f aca="false">IF(OR(SUM($AM141)&lt;=0,$C141="&lt;01"),"",MAX(IF(OR(SUM($Y141)&lt;70%,LEFT($B141,4)="_Mil"),30%,IF(SUM($Y141)&gt;=80%,75%,50%)),SUM($BB141)))</f>
        <v>0.5</v>
      </c>
      <c r="BD141" s="115" t="n">
        <f aca="false">IF($C141="&lt;01",IFERROR(ROUND(INDEX(EID!$M:$M,MATCH($B141,EID!$B:$B,0)),0)/2,""),IF(SUM($AY141)=0,"",ROUND(SUM($AY141)/SUM($BA141),0)))</f>
        <v>5</v>
      </c>
      <c r="BE141" s="115" t="n">
        <f aca="false">IF($C141="&lt;01","",IF(SUM($BD141)=0,"",ROUND(SUM($BD141)*SUM($BC141),0)))</f>
        <v>3</v>
      </c>
      <c r="BF141" s="115" t="str">
        <f aca="false">_xlfn.IFNA(INDEX(PMTCT!$AE:$AE,MATCH($E141,PMTCT!$E:$E,0)),"")</f>
        <v/>
      </c>
      <c r="BG141" s="115" t="str">
        <f aca="false">_xlfn.IFNA(INDEX(PMTCT!$AU:$AU,MATCH($E141,PMTCT!$E:$E,0)),"")</f>
        <v/>
      </c>
      <c r="BH141" s="115" t="n">
        <f aca="false">_xlfn.IFNA(INDEX(TB!$Q:$Q,MATCH($E141,TB!$E:$E,0)),"")</f>
        <v>-7590</v>
      </c>
      <c r="BI141" s="115" t="str">
        <f aca="false">_xlfn.IFNA(INDEX(VMMC!$AC:$AC,MATCH($E141,VMMC!$E:$E,0)),"")</f>
        <v/>
      </c>
      <c r="BJ141" s="115" t="str">
        <f aca="false">IF($C141="&lt;01",$BD141,"")</f>
        <v/>
      </c>
      <c r="BK141" s="115" t="n">
        <f aca="false">IF(SUM($BD141)=0,"",($BD141)-SUM($BE141:$BJ141))</f>
        <v>7592</v>
      </c>
      <c r="BL141" s="123" t="n">
        <f aca="false">IF(OR(SUM($BD141)=0,SUM($BE141)=0),"",SUM($BE141)/$BD141)</f>
        <v>0.6</v>
      </c>
      <c r="BM141" s="123" t="str">
        <f aca="false">IF(OR(SUM($BD141)=0,SUM($BF141)=0),"",SUM($BF141)/$BD141)</f>
        <v/>
      </c>
      <c r="BN141" s="123" t="str">
        <f aca="false">IF(OR(SUM($BD141)=0,SUM($BG141)=0),"",SUM($BG141)/$BD141)</f>
        <v/>
      </c>
      <c r="BO141" s="123" t="n">
        <f aca="false">IF(OR(SUM($BD141)=0,SUM($BH141)=0),"",SUM($BH141)/$BD141)</f>
        <v>-1518</v>
      </c>
      <c r="BP141" s="123" t="str">
        <f aca="false">IF(OR(SUM($BD141)=0,SUM($BI141)=0),"",SUM($BI141)/$BD141)</f>
        <v/>
      </c>
      <c r="BQ141" s="123" t="str">
        <f aca="false">IF(AND($C141="&lt;01",SUM($BJ141)&lt;&gt;0),$BJ141/SUM($BD141),"")</f>
        <v/>
      </c>
      <c r="BR141" s="123" t="n">
        <f aca="false">IF(OR(SUM($BD141)=0,SUM($BK141)=0),"",SUM($BK141)/$BD141)</f>
        <v>1518.4</v>
      </c>
      <c r="BS141" s="122" t="n">
        <f aca="false">IF(SUM($X141)&lt;=0,"",$X141)</f>
        <v>0.0455407969639469</v>
      </c>
      <c r="BT141" s="115" t="n">
        <f aca="false">IF(LEFT($B141,4)="_Mil","",MAX(SUM($L141)+ROUND(SUM($BD141)/IF(SUM($BS141)&lt;=0,1,SUM($BS141)),0),0))</f>
        <v>582</v>
      </c>
    </row>
    <row r="142" customFormat="false" ht="15" hidden="false" customHeight="false" outlineLevel="0" collapsed="false">
      <c r="A142" s="0" t="s">
        <v>146</v>
      </c>
      <c r="B142" s="0" t="s">
        <v>45</v>
      </c>
      <c r="C142" s="0" t="s">
        <v>61</v>
      </c>
      <c r="D142" s="0" t="s">
        <v>58</v>
      </c>
      <c r="E142" s="0" t="str">
        <f aca="false">B142&amp;"|"&amp;C142&amp;"|"&amp;D142</f>
        <v>Maseru [#SNU] [#DREAMS] [tKOXiaNhAyJ]|10-14|Male</v>
      </c>
      <c r="F142" s="115" t="n">
        <f aca="false">_xlfn.IFNA(ROUND(INDEX(Spectrum!$N:$N,MATCH(RIGHT($B142,13)&amp;"|"&amp;$C142&amp;"|"&amp;$D142&amp;"|"&amp;F$14&amp;"|"&amp;"CY2021Q3",Spectrum!$Q:$Q,0)),0),"")</f>
        <v>25425</v>
      </c>
      <c r="G142" s="123" t="n">
        <f aca="false">_xlfn.IFNA(INDEX(Spectrum!$P:$P,MATCH(RIGHT($B142,13)&amp;"|"&amp;$C142&amp;"|"&amp;$D142&amp;"|"&amp;F$14&amp;"|"&amp;"CY2021Q3",Spectrum!$Q:$Q,0)),"")</f>
        <v>26</v>
      </c>
      <c r="H142" s="115" t="n">
        <f aca="false">_xlfn.IFNA(ROUND(INDEX(Spectrum!$N:$N,MATCH(RIGHT($B142,13)&amp;"|"&amp;$C142&amp;"|"&amp;$D142&amp;"|"&amp;H$14&amp;"|"&amp;"CY2021Q3",Spectrum!$Q:$Q,0)),0),"")</f>
        <v>716</v>
      </c>
      <c r="I142" s="123" t="n">
        <f aca="false">_xlfn.IFNA(INDEX(Spectrum!$P:$P,MATCH(RIGHT($B142,13)&amp;"|"&amp;$C142&amp;"|"&amp;$D142&amp;"|"&amp;H$14&amp;"|"&amp;"CY2021Q3",Spectrum!$Q:$Q,0)),"")</f>
        <v>20</v>
      </c>
      <c r="J142" s="117" t="n">
        <f aca="false">_xlfn.IFNA(INDEX(Spectrum!$N:$N,MATCH(RIGHT($B142,13)&amp;"|"&amp;$C142&amp;"|"&amp;$D142&amp;"|"&amp;J$14&amp;"|"&amp;"CY2021Q3",Spectrum!$Q:$Q,0)),"")</f>
        <v>0.0281587</v>
      </c>
      <c r="K142" s="123" t="n">
        <f aca="false">_xlfn.IFNA(INDEX(Spectrum!$P:$P,MATCH(RIGHT($B142,13)&amp;"|"&amp;$C142&amp;"|"&amp;$D142&amp;"|"&amp;J$14&amp;"|"&amp;"CY2021Q3",Spectrum!$Q:$Q,0)),"")</f>
        <v>30</v>
      </c>
      <c r="L142" s="115" t="n">
        <f aca="false">_xlfn.IFNA(ROUND(INDEX(Spectrum!$N:$N,MATCH(RIGHT($B142,13)&amp;"|"&amp;$C142&amp;"|"&amp;$D142&amp;"|"&amp;L$14&amp;"|"&amp;"CY2021Q3",Spectrum!$Q:$Q,0)),0),"")</f>
        <v>479</v>
      </c>
      <c r="M142" s="123" t="n">
        <f aca="false">IF(OR(SUM($H142)&lt;=0,SUM($L142)&lt;=0),"",SUM($L142)/$H142)</f>
        <v>0.668994413407821</v>
      </c>
      <c r="N142" s="115" t="str">
        <f aca="false">_xlfn.IFNA(ROUND(INDEX(Spectrum!$N:$N,MATCH(RIGHT($B142,13)&amp;"|"&amp;$C142&amp;"|"&amp;$D142&amp;"|"&amp;N$14&amp;"|"&amp;"CY2020Q4",Spectrum!$Q:$Q,0)),0),"")</f>
        <v/>
      </c>
      <c r="O142" s="123" t="str">
        <f aca="false">_xlfn.IFNA(INDEX(Spectrum!$P:$P,MATCH(RIGHT($B142,13)&amp;"|"&amp;$C142&amp;"|"&amp;$D142&amp;"|"&amp;N$14&amp;"|"&amp;"CY2020Q4",Spectrum!$Q:$Q,0)),"")</f>
        <v/>
      </c>
      <c r="P142" s="115" t="n">
        <f aca="false">_xlfn.IFNA(ROUND(INDEX(Spectrum!$N:$N,MATCH(RIGHT($B142,13)&amp;"|"&amp;$C142&amp;"|"&amp;$D142&amp;"|"&amp;P$14&amp;"|"&amp;"CY2021Q3",Spectrum!$Q:$Q,0)),0),"")</f>
        <v>534</v>
      </c>
      <c r="Q142" s="123" t="n">
        <f aca="false">_xlfn.IFNA(INDEX(Spectrum!$P:$P,MATCH(RIGHT($B142,13)&amp;"|"&amp;$C142&amp;"|"&amp;$D142&amp;"|"&amp;P$14&amp;"|"&amp;"CY2021Q3",Spectrum!$Q:$Q,0)),"")</f>
        <v>26</v>
      </c>
      <c r="R142" s="115"/>
      <c r="S142" s="123" t="str">
        <f aca="false">IF(OR(SUM($P142)&lt;=0,SUM($R142)&lt;=0),"",SUM($R142)/$P142)</f>
        <v/>
      </c>
      <c r="T142" s="139" t="n">
        <v>20</v>
      </c>
      <c r="U142" s="124" t="n">
        <v>42</v>
      </c>
      <c r="V142" s="124" t="n">
        <f aca="false">IF($U142-$T142=0,"",$U142-$T142)</f>
        <v>22</v>
      </c>
      <c r="W142" s="123" t="n">
        <f aca="false">IF(LEFT($B142,4)="_Mil","",IFERROR(MIN(IF(SUM($N142)&lt;=0,SUM($U142)/SUM($P142),SUM($T142)/SUM($N142)),1),""))</f>
        <v>0.0786516853932584</v>
      </c>
      <c r="X142" s="123" t="n">
        <f aca="false">$W142</f>
        <v>0.0786516853932584</v>
      </c>
      <c r="Y142" s="123" t="n">
        <f aca="false">IFERROR(1/(1/INDEX(Spectrum!$N:$N,MATCH(RIGHT($B142,13)&amp;"|"&amp;$C142&amp;"|"&amp;$D142&amp;"|"&amp;Y$14&amp;"|"&amp;"CY2021Q3",Spectrum!$Q:$Q,0))),IF(SUM($H142)=0,"",MAX(SUM($P142),SUM($U142))/SUM($H142)))</f>
        <v>0.745810055865922</v>
      </c>
      <c r="Z142" s="123" t="n">
        <f aca="false">IF(SUM($Y142)=0,"",MAX(SUM($Y142),90%))</f>
        <v>0.9</v>
      </c>
      <c r="AA142" s="115" t="n">
        <f aca="false">IF(LEFT($B142,4)="_Mil","",ROUND(MAX(SUM($U142),SUM($P142))+IF(SUM($Z142)=0,0,MAX(SUM($Z142)-SUM($Y142),0)*SUM($H142)),0))</f>
        <v>644</v>
      </c>
      <c r="AB142" s="115" t="n">
        <f aca="false">IF(SUM($AA142)=0,"",ROUND(MAX(SUM($AA142)-MAX(SUM($P142),SUM($U142)),0),0))</f>
        <v>110</v>
      </c>
      <c r="AC142" s="126" t="str">
        <f aca="false">IF($C142="&lt;01",IFERROR(ROUND(INDEX(EID!$N:$N,MATCH($B142,EID!$B:$B,0))/2,0),""),"")</f>
        <v/>
      </c>
      <c r="AD142" s="115" t="n">
        <f aca="false">IF($C142="&lt;01",IF(SUM($AC142)=0,"",ROUND(SUM($AC142)/$AG142,0)),IF(SUM($AB142)=0,"",ROUND(MAX($X142,0)*SUM($AB142),0)))</f>
        <v>9</v>
      </c>
      <c r="AE142" s="115" t="n">
        <f aca="false">IF(AND(SUM($AD142)=0,SUM($U142)=0),"",ROUND(IF($C142="&lt;01",0,SUM($U142))+SUM($AD142),0))</f>
        <v>51</v>
      </c>
      <c r="AF142" s="122" t="n">
        <f aca="false">IF($C142="&lt;01","",100%)</f>
        <v>1</v>
      </c>
      <c r="AG142" s="123" t="n">
        <f aca="false">0.98</f>
        <v>0.98</v>
      </c>
      <c r="AH142" s="123" t="n">
        <f aca="false">0.98</f>
        <v>0.98</v>
      </c>
      <c r="AI142" s="124" t="n">
        <f aca="false">IF(OR($C142="&lt;01",SUM($U142)=0),"",ROUND(SUM($U142)*(1-$AH142),0))</f>
        <v>1</v>
      </c>
      <c r="AJ142" s="124" t="n">
        <f aca="false">IF(AND(SUM($AE142)=0,SUM($U142)=0),"",IF($C142="&lt;01",SUM($AD142),SUM($AE142) - ROUND(SUM($U142)*$AH142,0)))</f>
        <v>10</v>
      </c>
      <c r="AK142" s="124" t="n">
        <v>35</v>
      </c>
      <c r="AL142" s="124" t="n">
        <v>26</v>
      </c>
      <c r="AM142" s="115" t="n">
        <f aca="false">IF(AND(SUM($AD142)=0,SUM($U142)=0),"",IF($C142="&lt;01",SUM($AD142),ROUND(ROUND(SUM($AJ142)*$AF142,0)/$AG142,0)))</f>
        <v>10</v>
      </c>
      <c r="AN142" s="122" t="n">
        <f aca="false">0.7</f>
        <v>0.7</v>
      </c>
      <c r="AO142" s="123" t="n">
        <f aca="false">1</f>
        <v>1</v>
      </c>
      <c r="AP142" s="115" t="n">
        <f aca="false">IF(AND(SUM($U142)=0,SUM($AM142)=0),"",ROUND((SUM($AM142)*$AN142+IF($C142="&lt;01",0,$U142))*$AO142,0))</f>
        <v>49</v>
      </c>
      <c r="AQ142" s="122" t="n">
        <v>28</v>
      </c>
      <c r="AR142" s="123" t="n">
        <f aca="false">0.95</f>
        <v>0.95</v>
      </c>
      <c r="AS142" s="123" t="n">
        <f aca="false">0.95</f>
        <v>0.95</v>
      </c>
      <c r="AT142" s="115" t="n">
        <f aca="false">IF(SUM($AP142)=0,"",ROUND(SUM($AP142)*$AR142,0))</f>
        <v>47</v>
      </c>
      <c r="AU142" s="115" t="n">
        <f aca="false">IF(LEFT($B142,4)="_Mil","",ROUND(SUM($AA142)*SUM($AS142),0))</f>
        <v>612</v>
      </c>
      <c r="AV142" s="124" t="n">
        <f aca="false">IF(SUM($AU142)&lt;=0,"",MAX(SUM($AU142)-SUM($R142),0))</f>
        <v>612</v>
      </c>
      <c r="AW142" s="122" t="n">
        <f aca="false">0</f>
        <v>0</v>
      </c>
      <c r="AX142" s="124" t="n">
        <f aca="false">IF(SUM($AM142)=0,"",ROUND(SUM($AM142)*SUM($AW142),0))</f>
        <v>0</v>
      </c>
      <c r="AY142" s="124" t="n">
        <f aca="false">IF(SUM($AM142)=0,"",SUM($AM142)-SUM($AX142))</f>
        <v>10</v>
      </c>
      <c r="AZ142" s="123" t="n">
        <v>9</v>
      </c>
      <c r="BA142" s="123" t="n">
        <f aca="false">0.95</f>
        <v>0.95</v>
      </c>
      <c r="BB142" s="123"/>
      <c r="BC142" s="123" t="n">
        <f aca="false">IF(OR(SUM($AM142)&lt;=0,$C142="&lt;01"),"",MAX(IF(OR(SUM($Y142)&lt;70%,LEFT($B142,4)="_Mil"),30%,IF(SUM($Y142)&gt;=80%,75%,50%)),SUM($BB142)))</f>
        <v>0.5</v>
      </c>
      <c r="BD142" s="115" t="n">
        <f aca="false">IF($C142="&lt;01",IFERROR(ROUND(INDEX(EID!$M:$M,MATCH($B142,EID!$B:$B,0)),0)/2,""),IF(SUM($AY142)=0,"",ROUND(SUM($AY142)/SUM($BA142),0)))</f>
        <v>11</v>
      </c>
      <c r="BE142" s="115" t="n">
        <f aca="false">IF($C142="&lt;01","",IF(SUM($BD142)=0,"",ROUND(SUM($BD142)*SUM($BC142),0)))</f>
        <v>6</v>
      </c>
      <c r="BF142" s="115" t="str">
        <f aca="false">_xlfn.IFNA(INDEX(PMTCT!$AE:$AE,MATCH($E142,PMTCT!$E:$E,0)),"")</f>
        <v/>
      </c>
      <c r="BG142" s="115" t="str">
        <f aca="false">_xlfn.IFNA(INDEX(PMTCT!$AU:$AU,MATCH($E142,PMTCT!$E:$E,0)),"")</f>
        <v/>
      </c>
      <c r="BH142" s="115" t="n">
        <f aca="false">_xlfn.IFNA(INDEX(TB!$Q:$Q,MATCH($E142,TB!$E:$E,0)),"")</f>
        <v>-0</v>
      </c>
      <c r="BI142" s="115" t="str">
        <f aca="false">_xlfn.IFNA(INDEX(VMMC!$AC:$AC,MATCH($E142,VMMC!$E:$E,0)),"")</f>
        <v/>
      </c>
      <c r="BJ142" s="115" t="str">
        <f aca="false">IF($C142="&lt;01",$BD142,"")</f>
        <v/>
      </c>
      <c r="BK142" s="115" t="n">
        <f aca="false">IF(SUM($BD142)=0,"",($BD142)-SUM($BE142:$BJ142))</f>
        <v>5</v>
      </c>
      <c r="BL142" s="123" t="n">
        <f aca="false">IF(OR(SUM($BD142)=0,SUM($BE142)=0),"",SUM($BE142)/$BD142)</f>
        <v>0.545454545454545</v>
      </c>
      <c r="BM142" s="123" t="str">
        <f aca="false">IF(OR(SUM($BD142)=0,SUM($BF142)=0),"",SUM($BF142)/$BD142)</f>
        <v/>
      </c>
      <c r="BN142" s="123" t="str">
        <f aca="false">IF(OR(SUM($BD142)=0,SUM($BG142)=0),"",SUM($BG142)/$BD142)</f>
        <v/>
      </c>
      <c r="BO142" s="123" t="str">
        <f aca="false">IF(OR(SUM($BD142)=0,SUM($BH142)=0),"",SUM($BH142)/$BD142)</f>
        <v/>
      </c>
      <c r="BP142" s="123" t="str">
        <f aca="false">IF(OR(SUM($BD142)=0,SUM($BI142)=0),"",SUM($BI142)/$BD142)</f>
        <v/>
      </c>
      <c r="BQ142" s="123" t="str">
        <f aca="false">IF(AND($C142="&lt;01",SUM($BJ142)&lt;&gt;0),$BJ142/SUM($BD142),"")</f>
        <v/>
      </c>
      <c r="BR142" s="123" t="n">
        <f aca="false">IF(OR(SUM($BD142)=0,SUM($BK142)=0),"",SUM($BK142)/$BD142)</f>
        <v>0.454545454545455</v>
      </c>
      <c r="BS142" s="122" t="n">
        <f aca="false">IF(SUM($X142)&lt;=0,"",$X142)</f>
        <v>0.0786516853932584</v>
      </c>
      <c r="BT142" s="115" t="n">
        <f aca="false">IF(LEFT($B142,4)="_Mil","",MAX(SUM($L142)+ROUND(SUM($BD142)/IF(SUM($BS142)&lt;=0,1,SUM($BS142)),0),0))</f>
        <v>619</v>
      </c>
    </row>
    <row r="143" customFormat="false" ht="15" hidden="false" customHeight="false" outlineLevel="0" collapsed="false">
      <c r="A143" s="0" t="s">
        <v>146</v>
      </c>
      <c r="B143" s="0" t="s">
        <v>45</v>
      </c>
      <c r="C143" s="0" t="s">
        <v>63</v>
      </c>
      <c r="D143" s="0" t="s">
        <v>56</v>
      </c>
      <c r="E143" s="0" t="str">
        <f aca="false">B143&amp;"|"&amp;C143&amp;"|"&amp;D143</f>
        <v>Maseru [#SNU] [#DREAMS] [tKOXiaNhAyJ]|15-19|Female</v>
      </c>
      <c r="F143" s="115" t="n">
        <f aca="false">_xlfn.IFNA(ROUND(INDEX(Spectrum!$N:$N,MATCH(RIGHT($B143,13)&amp;"|"&amp;$C143&amp;"|"&amp;$D143&amp;"|"&amp;F$14&amp;"|"&amp;"CY2021Q3",Spectrum!$Q:$Q,0)),0),"")</f>
        <v>25532</v>
      </c>
      <c r="G143" s="123" t="n">
        <f aca="false">_xlfn.IFNA(INDEX(Spectrum!$P:$P,MATCH(RIGHT($B143,13)&amp;"|"&amp;$C143&amp;"|"&amp;$D143&amp;"|"&amp;F$14&amp;"|"&amp;"CY2021Q3",Spectrum!$Q:$Q,0)),"")</f>
        <v>3</v>
      </c>
      <c r="H143" s="115" t="n">
        <f aca="false">_xlfn.IFNA(ROUND(INDEX(Spectrum!$N:$N,MATCH(RIGHT($B143,13)&amp;"|"&amp;$C143&amp;"|"&amp;$D143&amp;"|"&amp;H$14&amp;"|"&amp;"CY2021Q3",Spectrum!$Q:$Q,0)),0),"")</f>
        <v>1223</v>
      </c>
      <c r="I143" s="123" t="n">
        <f aca="false">_xlfn.IFNA(INDEX(Spectrum!$P:$P,MATCH(RIGHT($B143,13)&amp;"|"&amp;$C143&amp;"|"&amp;$D143&amp;"|"&amp;H$14&amp;"|"&amp;"CY2021Q3",Spectrum!$Q:$Q,0)),"")</f>
        <v>25</v>
      </c>
      <c r="J143" s="117" t="n">
        <f aca="false">_xlfn.IFNA(INDEX(Spectrum!$N:$N,MATCH(RIGHT($B143,13)&amp;"|"&amp;$C143&amp;"|"&amp;$D143&amp;"|"&amp;J$14&amp;"|"&amp;"CY2021Q3",Spectrum!$Q:$Q,0)),"")</f>
        <v>0.0479061</v>
      </c>
      <c r="K143" s="123" t="n">
        <f aca="false">_xlfn.IFNA(INDEX(Spectrum!$P:$P,MATCH(RIGHT($B143,13)&amp;"|"&amp;$C143&amp;"|"&amp;$D143&amp;"|"&amp;J$14&amp;"|"&amp;"CY2021Q3",Spectrum!$Q:$Q,0)),"")</f>
        <v>25</v>
      </c>
      <c r="L143" s="115" t="n">
        <f aca="false">_xlfn.IFNA(ROUND(INDEX(Spectrum!$N:$N,MATCH(RIGHT($B143,13)&amp;"|"&amp;$C143&amp;"|"&amp;$D143&amp;"|"&amp;L$14&amp;"|"&amp;"CY2021Q3",Spectrum!$Q:$Q,0)),0),"")</f>
        <v>951</v>
      </c>
      <c r="M143" s="123" t="n">
        <f aca="false">IF(OR(SUM($H143)&lt;=0,SUM($L143)&lt;=0),"",SUM($L143)/$H143)</f>
        <v>0.777596075224857</v>
      </c>
      <c r="N143" s="115" t="str">
        <f aca="false">_xlfn.IFNA(ROUND(INDEX(Spectrum!$N:$N,MATCH(RIGHT($B143,13)&amp;"|"&amp;$C143&amp;"|"&amp;$D143&amp;"|"&amp;N$14&amp;"|"&amp;"CY2020Q4",Spectrum!$Q:$Q,0)),0),"")</f>
        <v/>
      </c>
      <c r="O143" s="123" t="str">
        <f aca="false">_xlfn.IFNA(INDEX(Spectrum!$P:$P,MATCH(RIGHT($B143,13)&amp;"|"&amp;$C143&amp;"|"&amp;$D143&amp;"|"&amp;N$14&amp;"|"&amp;"CY2020Q4",Spectrum!$Q:$Q,0)),"")</f>
        <v/>
      </c>
      <c r="P143" s="115" t="n">
        <f aca="false">_xlfn.IFNA(ROUND(INDEX(Spectrum!$N:$N,MATCH(RIGHT($B143,13)&amp;"|"&amp;$C143&amp;"|"&amp;$D143&amp;"|"&amp;P$14&amp;"|"&amp;"CY2021Q3",Spectrum!$Q:$Q,0)),0),"")</f>
        <v>829</v>
      </c>
      <c r="Q143" s="123" t="n">
        <f aca="false">_xlfn.IFNA(INDEX(Spectrum!$P:$P,MATCH(RIGHT($B143,13)&amp;"|"&amp;$C143&amp;"|"&amp;$D143&amp;"|"&amp;P$14&amp;"|"&amp;"CY2021Q3",Spectrum!$Q:$Q,0)),"")</f>
        <v>46</v>
      </c>
      <c r="R143" s="115"/>
      <c r="S143" s="123" t="str">
        <f aca="false">IF(OR(SUM($P143)&lt;=0,SUM($R143)&lt;=0),"",SUM($R143)/$P143)</f>
        <v/>
      </c>
      <c r="T143" s="139" t="n">
        <v>5</v>
      </c>
      <c r="U143" s="124" t="n">
        <v>37</v>
      </c>
      <c r="V143" s="124" t="n">
        <f aca="false">IF($U143-$T143=0,"",$U143-$T143)</f>
        <v>32</v>
      </c>
      <c r="W143" s="123" t="n">
        <f aca="false">IF(LEFT($B143,4)="_Mil","",IFERROR(MIN(IF(SUM($N143)&lt;=0,SUM($U143)/SUM($P143),SUM($T143)/SUM($N143)),1),""))</f>
        <v>0.0446320868516285</v>
      </c>
      <c r="X143" s="123" t="n">
        <f aca="false">$W143</f>
        <v>0.0446320868516285</v>
      </c>
      <c r="Y143" s="123" t="n">
        <f aca="false">IFERROR(1/(1/INDEX(Spectrum!$N:$N,MATCH(RIGHT($B143,13)&amp;"|"&amp;$C143&amp;"|"&amp;$D143&amp;"|"&amp;Y$14&amp;"|"&amp;"CY2021Q3",Spectrum!$Q:$Q,0))),IF(SUM($H143)=0,"",MAX(SUM($P143),SUM($U143))/SUM($H143)))</f>
        <v>0.6778413736713</v>
      </c>
      <c r="Z143" s="123" t="n">
        <f aca="false">IF(SUM($Y143)=0,"",MAX(SUM($Y143),90%))</f>
        <v>0.9</v>
      </c>
      <c r="AA143" s="115" t="n">
        <f aca="false">IF(LEFT($B143,4)="_Mil","",ROUND(MAX(SUM($U143),SUM($P143))+IF(SUM($Z143)=0,0,MAX(SUM($Z143)-SUM($Y143),0)*SUM($H143)),0))</f>
        <v>1101</v>
      </c>
      <c r="AB143" s="115" t="n">
        <f aca="false">IF(SUM($AA143)=0,"",ROUND(MAX(SUM($AA143)-MAX(SUM($P143),SUM($U143)),0),0))</f>
        <v>272</v>
      </c>
      <c r="AC143" s="126" t="str">
        <f aca="false">IF($C143="&lt;01",IFERROR(ROUND(INDEX(EID!$N:$N,MATCH($B143,EID!$B:$B,0))/2,0),""),"")</f>
        <v/>
      </c>
      <c r="AD143" s="115" t="n">
        <f aca="false">IF($C143="&lt;01",IF(SUM($AC143)=0,"",ROUND(SUM($AC143)/$AG143,0)),IF(SUM($AB143)=0,"",ROUND(MAX($X143,0)*SUM($AB143),0)))</f>
        <v>12</v>
      </c>
      <c r="AE143" s="115" t="n">
        <f aca="false">IF(AND(SUM($AD143)=0,SUM($U143)=0),"",ROUND(IF($C143="&lt;01",0,SUM($U143))+SUM($AD143),0))</f>
        <v>49</v>
      </c>
      <c r="AF143" s="122" t="n">
        <f aca="false">IF($C143="&lt;01","",100%)</f>
        <v>1</v>
      </c>
      <c r="AG143" s="123" t="n">
        <f aca="false">0.98</f>
        <v>0.98</v>
      </c>
      <c r="AH143" s="123" t="n">
        <f aca="false">0.98</f>
        <v>0.98</v>
      </c>
      <c r="AI143" s="124" t="n">
        <f aca="false">IF(OR($C143="&lt;01",SUM($U143)=0),"",ROUND(SUM($U143)*(1-$AH143),0))</f>
        <v>1</v>
      </c>
      <c r="AJ143" s="124" t="n">
        <f aca="false">IF(AND(SUM($AE143)=0,SUM($U143)=0),"",IF($C143="&lt;01",SUM($AD143),SUM($AE143) - ROUND(SUM($U143)*$AH143,0)))</f>
        <v>13</v>
      </c>
      <c r="AK143" s="124" t="n">
        <v>7</v>
      </c>
      <c r="AL143" s="124" t="n">
        <v>42</v>
      </c>
      <c r="AM143" s="115" t="n">
        <f aca="false">IF(AND(SUM($AD143)=0,SUM($U143)=0),"",IF($C143="&lt;01",SUM($AD143),ROUND(ROUND(SUM($AJ143)*$AF143,0)/$AG143,0)))</f>
        <v>13</v>
      </c>
      <c r="AN143" s="122" t="n">
        <f aca="false">0.7</f>
        <v>0.7</v>
      </c>
      <c r="AO143" s="123" t="n">
        <f aca="false">1</f>
        <v>1</v>
      </c>
      <c r="AP143" s="115" t="n">
        <f aca="false">IF(AND(SUM($U143)=0,SUM($AM143)=0),"",ROUND((SUM($AM143)*$AN143+IF($C143="&lt;01",0,$U143))*$AO143,0))</f>
        <v>46</v>
      </c>
      <c r="AQ143" s="122" t="n">
        <v>9</v>
      </c>
      <c r="AR143" s="123" t="n">
        <f aca="false">0.95</f>
        <v>0.95</v>
      </c>
      <c r="AS143" s="123" t="n">
        <f aca="false">0.95</f>
        <v>0.95</v>
      </c>
      <c r="AT143" s="115" t="n">
        <f aca="false">IF(SUM($AP143)=0,"",ROUND(SUM($AP143)*$AR143,0))</f>
        <v>44</v>
      </c>
      <c r="AU143" s="115" t="n">
        <f aca="false">IF(LEFT($B143,4)="_Mil","",ROUND(SUM($AA143)*SUM($AS143),0))</f>
        <v>1046</v>
      </c>
      <c r="AV143" s="124" t="n">
        <f aca="false">IF(SUM($AU143)&lt;=0,"",MAX(SUM($AU143)-SUM($R143),0))</f>
        <v>1046</v>
      </c>
      <c r="AW143" s="122" t="n">
        <f aca="false">0</f>
        <v>0</v>
      </c>
      <c r="AX143" s="124" t="n">
        <f aca="false">IF(SUM($AM143)=0,"",ROUND(SUM($AM143)*SUM($AW143),0))</f>
        <v>0</v>
      </c>
      <c r="AY143" s="124" t="n">
        <f aca="false">IF(SUM($AM143)=0,"",SUM($AM143)-SUM($AX143))</f>
        <v>13</v>
      </c>
      <c r="AZ143" s="123" t="n">
        <v>12</v>
      </c>
      <c r="BA143" s="123" t="n">
        <f aca="false">0.95</f>
        <v>0.95</v>
      </c>
      <c r="BB143" s="123"/>
      <c r="BC143" s="123" t="n">
        <f aca="false">IF(OR(SUM($AM143)&lt;=0,$C143="&lt;01"),"",MAX(IF(OR(SUM($Y143)&lt;70%,LEFT($B143,4)="_Mil"),30%,IF(SUM($Y143)&gt;=80%,75%,50%)),SUM($BB143)))</f>
        <v>0.3</v>
      </c>
      <c r="BD143" s="115" t="n">
        <f aca="false">IF($C143="&lt;01",IFERROR(ROUND(INDEX(EID!$M:$M,MATCH($B143,EID!$B:$B,0)),0)/2,""),IF(SUM($AY143)=0,"",ROUND(SUM($AY143)/SUM($BA143),0)))</f>
        <v>14</v>
      </c>
      <c r="BE143" s="115" t="n">
        <f aca="false">IF($C143="&lt;01","",IF(SUM($BD143)=0,"",ROUND(SUM($BD143)*SUM($BC143),0)))</f>
        <v>4</v>
      </c>
      <c r="BF143" s="115" t="n">
        <f aca="false">_xlfn.IFNA(INDEX(PMTCT!$AE:$AE,MATCH($E143,PMTCT!$E:$E,0)),"")</f>
        <v>-3876</v>
      </c>
      <c r="BG143" s="115" t="str">
        <f aca="false">_xlfn.IFNA(INDEX(PMTCT!$AU:$AU,MATCH($E143,PMTCT!$E:$E,0)),"")</f>
        <v/>
      </c>
      <c r="BH143" s="115" t="n">
        <f aca="false">_xlfn.IFNA(INDEX(TB!$Q:$Q,MATCH($E143,TB!$E:$E,0)),"")</f>
        <v>-2145</v>
      </c>
      <c r="BI143" s="115" t="str">
        <f aca="false">_xlfn.IFNA(INDEX(VMMC!$AC:$AC,MATCH($E143,VMMC!$E:$E,0)),"")</f>
        <v/>
      </c>
      <c r="BJ143" s="115" t="str">
        <f aca="false">IF($C143="&lt;01",$BD143,"")</f>
        <v/>
      </c>
      <c r="BK143" s="115" t="n">
        <f aca="false">IF(SUM($BD143)=0,"",($BD143)-SUM($BE143:$BJ143))</f>
        <v>6031</v>
      </c>
      <c r="BL143" s="123" t="n">
        <f aca="false">IF(OR(SUM($BD143)=0,SUM($BE143)=0),"",SUM($BE143)/$BD143)</f>
        <v>0.285714285714286</v>
      </c>
      <c r="BM143" s="123" t="n">
        <f aca="false">IF(OR(SUM($BD143)=0,SUM($BF143)=0),"",SUM($BF143)/$BD143)</f>
        <v>-276.857142857143</v>
      </c>
      <c r="BN143" s="123" t="str">
        <f aca="false">IF(OR(SUM($BD143)=0,SUM($BG143)=0),"",SUM($BG143)/$BD143)</f>
        <v/>
      </c>
      <c r="BO143" s="123" t="n">
        <f aca="false">IF(OR(SUM($BD143)=0,SUM($BH143)=0),"",SUM($BH143)/$BD143)</f>
        <v>-153.214285714286</v>
      </c>
      <c r="BP143" s="123" t="str">
        <f aca="false">IF(OR(SUM($BD143)=0,SUM($BI143)=0),"",SUM($BI143)/$BD143)</f>
        <v/>
      </c>
      <c r="BQ143" s="123" t="str">
        <f aca="false">IF(AND($C143="&lt;01",SUM($BJ143)&lt;&gt;0),$BJ143/SUM($BD143),"")</f>
        <v/>
      </c>
      <c r="BR143" s="123" t="n">
        <f aca="false">IF(OR(SUM($BD143)=0,SUM($BK143)=0),"",SUM($BK143)/$BD143)</f>
        <v>430.785714285714</v>
      </c>
      <c r="BS143" s="122" t="n">
        <f aca="false">IF(SUM($X143)&lt;=0,"",$X143)</f>
        <v>0.0446320868516285</v>
      </c>
      <c r="BT143" s="115" t="n">
        <f aca="false">IF(LEFT($B143,4)="_Mil","",MAX(SUM($L143)+ROUND(SUM($BD143)/IF(SUM($BS143)&lt;=0,1,SUM($BS143)),0),0))</f>
        <v>1265</v>
      </c>
    </row>
    <row r="144" customFormat="false" ht="15" hidden="false" customHeight="false" outlineLevel="0" collapsed="false">
      <c r="A144" s="0" t="s">
        <v>146</v>
      </c>
      <c r="B144" s="0" t="s">
        <v>45</v>
      </c>
      <c r="C144" s="0" t="s">
        <v>63</v>
      </c>
      <c r="D144" s="0" t="s">
        <v>58</v>
      </c>
      <c r="E144" s="0" t="str">
        <f aca="false">B144&amp;"|"&amp;C144&amp;"|"&amp;D144</f>
        <v>Maseru [#SNU] [#DREAMS] [tKOXiaNhAyJ]|15-19|Male</v>
      </c>
      <c r="F144" s="115" t="n">
        <f aca="false">_xlfn.IFNA(ROUND(INDEX(Spectrum!$N:$N,MATCH(RIGHT($B144,13)&amp;"|"&amp;$C144&amp;"|"&amp;$D144&amp;"|"&amp;F$14&amp;"|"&amp;"CY2021Q3",Spectrum!$Q:$Q,0)),0),"")</f>
        <v>24822</v>
      </c>
      <c r="G144" s="123" t="n">
        <f aca="false">_xlfn.IFNA(INDEX(Spectrum!$P:$P,MATCH(RIGHT($B144,13)&amp;"|"&amp;$C144&amp;"|"&amp;$D144&amp;"|"&amp;F$14&amp;"|"&amp;"CY2021Q3",Spectrum!$Q:$Q,0)),"")</f>
        <v>44</v>
      </c>
      <c r="H144" s="115" t="n">
        <f aca="false">_xlfn.IFNA(ROUND(INDEX(Spectrum!$N:$N,MATCH(RIGHT($B144,13)&amp;"|"&amp;$C144&amp;"|"&amp;$D144&amp;"|"&amp;H$14&amp;"|"&amp;"CY2021Q3",Spectrum!$Q:$Q,0)),0),"")</f>
        <v>717</v>
      </c>
      <c r="I144" s="123" t="n">
        <f aca="false">_xlfn.IFNA(INDEX(Spectrum!$P:$P,MATCH(RIGHT($B144,13)&amp;"|"&amp;$C144&amp;"|"&amp;$D144&amp;"|"&amp;H$14&amp;"|"&amp;"CY2021Q3",Spectrum!$Q:$Q,0)),"")</f>
        <v>36</v>
      </c>
      <c r="J144" s="117" t="n">
        <f aca="false">_xlfn.IFNA(INDEX(Spectrum!$N:$N,MATCH(RIGHT($B144,13)&amp;"|"&amp;$C144&amp;"|"&amp;$D144&amp;"|"&amp;J$14&amp;"|"&amp;"CY2021Q3",Spectrum!$Q:$Q,0)),"")</f>
        <v>0.0288686</v>
      </c>
      <c r="K144" s="123" t="n">
        <f aca="false">_xlfn.IFNA(INDEX(Spectrum!$P:$P,MATCH(RIGHT($B144,13)&amp;"|"&amp;$C144&amp;"|"&amp;$D144&amp;"|"&amp;J$14&amp;"|"&amp;"CY2021Q3",Spectrum!$Q:$Q,0)),"")</f>
        <v>46</v>
      </c>
      <c r="L144" s="115" t="n">
        <f aca="false">_xlfn.IFNA(ROUND(INDEX(Spectrum!$N:$N,MATCH(RIGHT($B144,13)&amp;"|"&amp;$C144&amp;"|"&amp;$D144&amp;"|"&amp;L$14&amp;"|"&amp;"CY2021Q3",Spectrum!$Q:$Q,0)),0),"")</f>
        <v>670</v>
      </c>
      <c r="M144" s="123" t="n">
        <f aca="false">IF(OR(SUM($H144)&lt;=0,SUM($L144)&lt;=0),"",SUM($L144)/$H144)</f>
        <v>0.934449093444909</v>
      </c>
      <c r="N144" s="115" t="str">
        <f aca="false">_xlfn.IFNA(ROUND(INDEX(Spectrum!$N:$N,MATCH(RIGHT($B144,13)&amp;"|"&amp;$C144&amp;"|"&amp;$D144&amp;"|"&amp;N$14&amp;"|"&amp;"CY2020Q4",Spectrum!$Q:$Q,0)),0),"")</f>
        <v/>
      </c>
      <c r="O144" s="123" t="str">
        <f aca="false">_xlfn.IFNA(INDEX(Spectrum!$P:$P,MATCH(RIGHT($B144,13)&amp;"|"&amp;$C144&amp;"|"&amp;$D144&amp;"|"&amp;N$14&amp;"|"&amp;"CY2020Q4",Spectrum!$Q:$Q,0)),"")</f>
        <v/>
      </c>
      <c r="P144" s="115" t="n">
        <f aca="false">_xlfn.IFNA(ROUND(INDEX(Spectrum!$N:$N,MATCH(RIGHT($B144,13)&amp;"|"&amp;$C144&amp;"|"&amp;$D144&amp;"|"&amp;P$14&amp;"|"&amp;"CY2021Q3",Spectrum!$Q:$Q,0)),0),"")</f>
        <v>594</v>
      </c>
      <c r="Q144" s="123" t="n">
        <f aca="false">_xlfn.IFNA(INDEX(Spectrum!$P:$P,MATCH(RIGHT($B144,13)&amp;"|"&amp;$C144&amp;"|"&amp;$D144&amp;"|"&amp;P$14&amp;"|"&amp;"CY2021Q3",Spectrum!$Q:$Q,0)),"")</f>
        <v>48</v>
      </c>
      <c r="R144" s="115"/>
      <c r="S144" s="123" t="str">
        <f aca="false">IF(OR(SUM($P144)&lt;=0,SUM($R144)&lt;=0),"",SUM($R144)/$P144)</f>
        <v/>
      </c>
      <c r="T144" s="139" t="n">
        <v>46</v>
      </c>
      <c r="U144" s="124" t="n">
        <v>8</v>
      </c>
      <c r="V144" s="124" t="n">
        <f aca="false">IF($U144-$T144=0,"",$U144-$T144)</f>
        <v>-38</v>
      </c>
      <c r="W144" s="123" t="n">
        <f aca="false">IF(LEFT($B144,4)="_Mil","",IFERROR(MIN(IF(SUM($N144)&lt;=0,SUM($U144)/SUM($P144),SUM($T144)/SUM($N144)),1),""))</f>
        <v>0.0134680134680135</v>
      </c>
      <c r="X144" s="123" t="n">
        <f aca="false">$W144</f>
        <v>0.0134680134680135</v>
      </c>
      <c r="Y144" s="123" t="n">
        <f aca="false">IFERROR(1/(1/INDEX(Spectrum!$N:$N,MATCH(RIGHT($B144,13)&amp;"|"&amp;$C144&amp;"|"&amp;$D144&amp;"|"&amp;Y$14&amp;"|"&amp;"CY2021Q3",Spectrum!$Q:$Q,0))),IF(SUM($H144)=0,"",MAX(SUM($P144),SUM($U144))/SUM($H144)))</f>
        <v>0.828451882845188</v>
      </c>
      <c r="Z144" s="123" t="n">
        <f aca="false">IF(SUM($Y144)=0,"",MAX(SUM($Y144),90%))</f>
        <v>0.9</v>
      </c>
      <c r="AA144" s="115" t="n">
        <f aca="false">IF(LEFT($B144,4)="_Mil","",ROUND(MAX(SUM($U144),SUM($P144))+IF(SUM($Z144)=0,0,MAX(SUM($Z144)-SUM($Y144),0)*SUM($H144)),0))</f>
        <v>645</v>
      </c>
      <c r="AB144" s="115" t="n">
        <f aca="false">IF(SUM($AA144)=0,"",ROUND(MAX(SUM($AA144)-MAX(SUM($P144),SUM($U144)),0),0))</f>
        <v>51</v>
      </c>
      <c r="AC144" s="126" t="str">
        <f aca="false">IF($C144="&lt;01",IFERROR(ROUND(INDEX(EID!$N:$N,MATCH($B144,EID!$B:$B,0))/2,0),""),"")</f>
        <v/>
      </c>
      <c r="AD144" s="115" t="n">
        <f aca="false">IF($C144="&lt;01",IF(SUM($AC144)=0,"",ROUND(SUM($AC144)/$AG144,0)),IF(SUM($AB144)=0,"",ROUND(MAX($X144,0)*SUM($AB144),0)))</f>
        <v>1</v>
      </c>
      <c r="AE144" s="115" t="n">
        <f aca="false">IF(AND(SUM($AD144)=0,SUM($U144)=0),"",ROUND(IF($C144="&lt;01",0,SUM($U144))+SUM($AD144),0))</f>
        <v>9</v>
      </c>
      <c r="AF144" s="122" t="n">
        <f aca="false">IF($C144="&lt;01","",100%)</f>
        <v>1</v>
      </c>
      <c r="AG144" s="123" t="n">
        <f aca="false">0.98</f>
        <v>0.98</v>
      </c>
      <c r="AH144" s="123" t="n">
        <f aca="false">0.98</f>
        <v>0.98</v>
      </c>
      <c r="AI144" s="124" t="n">
        <f aca="false">IF(OR($C144="&lt;01",SUM($U144)=0),"",ROUND(SUM($U144)*(1-$AH144),0))</f>
        <v>0</v>
      </c>
      <c r="AJ144" s="124" t="n">
        <f aca="false">IF(AND(SUM($AE144)=0,SUM($U144)=0),"",IF($C144="&lt;01",SUM($AD144),SUM($AE144) - ROUND(SUM($U144)*$AH144,0)))</f>
        <v>1</v>
      </c>
      <c r="AK144" s="124" t="n">
        <v>35</v>
      </c>
      <c r="AL144" s="124" t="n">
        <v>31</v>
      </c>
      <c r="AM144" s="115" t="n">
        <f aca="false">IF(AND(SUM($AD144)=0,SUM($U144)=0),"",IF($C144="&lt;01",SUM($AD144),ROUND(ROUND(SUM($AJ144)*$AF144,0)/$AG144,0)))</f>
        <v>1</v>
      </c>
      <c r="AN144" s="122" t="n">
        <f aca="false">0.7</f>
        <v>0.7</v>
      </c>
      <c r="AO144" s="123" t="n">
        <f aca="false">1</f>
        <v>1</v>
      </c>
      <c r="AP144" s="115" t="n">
        <f aca="false">IF(AND(SUM($U144)=0,SUM($AM144)=0),"",ROUND((SUM($AM144)*$AN144+IF($C144="&lt;01",0,$U144))*$AO144,0))</f>
        <v>9</v>
      </c>
      <c r="AQ144" s="122" t="n">
        <v>38</v>
      </c>
      <c r="AR144" s="123" t="n">
        <f aca="false">0.95</f>
        <v>0.95</v>
      </c>
      <c r="AS144" s="123" t="n">
        <f aca="false">0.95</f>
        <v>0.95</v>
      </c>
      <c r="AT144" s="115" t="n">
        <f aca="false">IF(SUM($AP144)=0,"",ROUND(SUM($AP144)*$AR144,0))</f>
        <v>9</v>
      </c>
      <c r="AU144" s="115" t="n">
        <f aca="false">IF(LEFT($B144,4)="_Mil","",ROUND(SUM($AA144)*SUM($AS144),0))</f>
        <v>613</v>
      </c>
      <c r="AV144" s="124" t="n">
        <f aca="false">IF(SUM($AU144)&lt;=0,"",MAX(SUM($AU144)-SUM($R144),0))</f>
        <v>613</v>
      </c>
      <c r="AW144" s="122" t="n">
        <f aca="false">0</f>
        <v>0</v>
      </c>
      <c r="AX144" s="124" t="n">
        <f aca="false">IF(SUM($AM144)=0,"",ROUND(SUM($AM144)*SUM($AW144),0))</f>
        <v>0</v>
      </c>
      <c r="AY144" s="124" t="n">
        <f aca="false">IF(SUM($AM144)=0,"",SUM($AM144)-SUM($AX144))</f>
        <v>1</v>
      </c>
      <c r="AZ144" s="123" t="n">
        <v>6</v>
      </c>
      <c r="BA144" s="123" t="n">
        <f aca="false">0.95</f>
        <v>0.95</v>
      </c>
      <c r="BB144" s="123"/>
      <c r="BC144" s="123" t="n">
        <f aca="false">IF(OR(SUM($AM144)&lt;=0,$C144="&lt;01"),"",MAX(IF(OR(SUM($Y144)&lt;70%,LEFT($B144,4)="_Mil"),30%,IF(SUM($Y144)&gt;=80%,75%,50%)),SUM($BB144)))</f>
        <v>0.75</v>
      </c>
      <c r="BD144" s="115" t="n">
        <f aca="false">IF($C144="&lt;01",IFERROR(ROUND(INDEX(EID!$M:$M,MATCH($B144,EID!$B:$B,0)),0)/2,""),IF(SUM($AY144)=0,"",ROUND(SUM($AY144)/SUM($BA144),0)))</f>
        <v>1</v>
      </c>
      <c r="BE144" s="115" t="n">
        <f aca="false">IF($C144="&lt;01","",IF(SUM($BD144)=0,"",ROUND(SUM($BD144)*SUM($BC144),0)))</f>
        <v>1</v>
      </c>
      <c r="BF144" s="115" t="str">
        <f aca="false">_xlfn.IFNA(INDEX(PMTCT!$AE:$AE,MATCH($E144,PMTCT!$E:$E,0)),"")</f>
        <v/>
      </c>
      <c r="BG144" s="115" t="str">
        <f aca="false">_xlfn.IFNA(INDEX(PMTCT!$AU:$AU,MATCH($E144,PMTCT!$E:$E,0)),"")</f>
        <v/>
      </c>
      <c r="BH144" s="115" t="n">
        <f aca="false">_xlfn.IFNA(INDEX(TB!$Q:$Q,MATCH($E144,TB!$E:$E,0)),"")</f>
        <v>-0</v>
      </c>
      <c r="BI144" s="115" t="str">
        <f aca="false">_xlfn.IFNA(INDEX(VMMC!$AC:$AC,MATCH($E144,VMMC!$E:$E,0)),"")</f>
        <v/>
      </c>
      <c r="BJ144" s="115" t="str">
        <f aca="false">IF($C144="&lt;01",$BD144,"")</f>
        <v/>
      </c>
      <c r="BK144" s="115" t="n">
        <f aca="false">IF(SUM($BD144)=0,"",($BD144)-SUM($BE144:$BJ144))</f>
        <v>0</v>
      </c>
      <c r="BL144" s="123" t="n">
        <f aca="false">IF(OR(SUM($BD144)=0,SUM($BE144)=0),"",SUM($BE144)/$BD144)</f>
        <v>1</v>
      </c>
      <c r="BM144" s="123" t="str">
        <f aca="false">IF(OR(SUM($BD144)=0,SUM($BF144)=0),"",SUM($BF144)/$BD144)</f>
        <v/>
      </c>
      <c r="BN144" s="123" t="str">
        <f aca="false">IF(OR(SUM($BD144)=0,SUM($BG144)=0),"",SUM($BG144)/$BD144)</f>
        <v/>
      </c>
      <c r="BO144" s="123" t="str">
        <f aca="false">IF(OR(SUM($BD144)=0,SUM($BH144)=0),"",SUM($BH144)/$BD144)</f>
        <v/>
      </c>
      <c r="BP144" s="123" t="str">
        <f aca="false">IF(OR(SUM($BD144)=0,SUM($BI144)=0),"",SUM($BI144)/$BD144)</f>
        <v/>
      </c>
      <c r="BQ144" s="123" t="str">
        <f aca="false">IF(AND($C144="&lt;01",SUM($BJ144)&lt;&gt;0),$BJ144/SUM($BD144),"")</f>
        <v/>
      </c>
      <c r="BR144" s="123" t="str">
        <f aca="false">IF(OR(SUM($BD144)=0,SUM($BK144)=0),"",SUM($BK144)/$BD144)</f>
        <v/>
      </c>
      <c r="BS144" s="122" t="n">
        <f aca="false">IF(SUM($X144)&lt;=0,"",$X144)</f>
        <v>0.0134680134680135</v>
      </c>
      <c r="BT144" s="115" t="n">
        <f aca="false">IF(LEFT($B144,4)="_Mil","",MAX(SUM($L144)+ROUND(SUM($BD144)/IF(SUM($BS144)&lt;=0,1,SUM($BS144)),0),0))</f>
        <v>744</v>
      </c>
    </row>
    <row r="145" customFormat="false" ht="15" hidden="false" customHeight="false" outlineLevel="0" collapsed="false">
      <c r="A145" s="0" t="s">
        <v>146</v>
      </c>
      <c r="B145" s="0" t="s">
        <v>45</v>
      </c>
      <c r="C145" s="0" t="s">
        <v>66</v>
      </c>
      <c r="D145" s="0" t="s">
        <v>56</v>
      </c>
      <c r="E145" s="0" t="str">
        <f aca="false">B145&amp;"|"&amp;C145&amp;"|"&amp;D145</f>
        <v>Maseru [#SNU] [#DREAMS] [tKOXiaNhAyJ]|20-24|Female</v>
      </c>
      <c r="F145" s="115" t="n">
        <f aca="false">_xlfn.IFNA(ROUND(INDEX(Spectrum!$N:$N,MATCH(RIGHT($B145,13)&amp;"|"&amp;$C145&amp;"|"&amp;$D145&amp;"|"&amp;F$14&amp;"|"&amp;"CY2021Q3",Spectrum!$Q:$Q,0)),0),"")</f>
        <v>30327</v>
      </c>
      <c r="G145" s="123" t="n">
        <f aca="false">_xlfn.IFNA(INDEX(Spectrum!$P:$P,MATCH(RIGHT($B145,13)&amp;"|"&amp;$C145&amp;"|"&amp;$D145&amp;"|"&amp;F$14&amp;"|"&amp;"CY2021Q3",Spectrum!$Q:$Q,0)),"")</f>
        <v>43</v>
      </c>
      <c r="H145" s="115" t="n">
        <f aca="false">_xlfn.IFNA(ROUND(INDEX(Spectrum!$N:$N,MATCH(RIGHT($B145,13)&amp;"|"&amp;$C145&amp;"|"&amp;$D145&amp;"|"&amp;H$14&amp;"|"&amp;"CY2021Q3",Spectrum!$Q:$Q,0)),0),"")</f>
        <v>3721</v>
      </c>
      <c r="I145" s="123" t="n">
        <f aca="false">_xlfn.IFNA(INDEX(Spectrum!$P:$P,MATCH(RIGHT($B145,13)&amp;"|"&amp;$C145&amp;"|"&amp;$D145&amp;"|"&amp;H$14&amp;"|"&amp;"CY2021Q3",Spectrum!$Q:$Q,0)),"")</f>
        <v>30</v>
      </c>
      <c r="J145" s="117" t="n">
        <f aca="false">_xlfn.IFNA(INDEX(Spectrum!$N:$N,MATCH(RIGHT($B145,13)&amp;"|"&amp;$C145&amp;"|"&amp;$D145&amp;"|"&amp;J$14&amp;"|"&amp;"CY2021Q3",Spectrum!$Q:$Q,0)),"")</f>
        <v>0.1226802</v>
      </c>
      <c r="K145" s="123" t="n">
        <f aca="false">_xlfn.IFNA(INDEX(Spectrum!$P:$P,MATCH(RIGHT($B145,13)&amp;"|"&amp;$C145&amp;"|"&amp;$D145&amp;"|"&amp;J$14&amp;"|"&amp;"CY2021Q3",Spectrum!$Q:$Q,0)),"")</f>
        <v>3</v>
      </c>
      <c r="L145" s="115" t="n">
        <f aca="false">_xlfn.IFNA(ROUND(INDEX(Spectrum!$N:$N,MATCH(RIGHT($B145,13)&amp;"|"&amp;$C145&amp;"|"&amp;$D145&amp;"|"&amp;L$14&amp;"|"&amp;"CY2021Q3",Spectrum!$Q:$Q,0)),0),"")</f>
        <v>2805</v>
      </c>
      <c r="M145" s="123" t="n">
        <f aca="false">IF(OR(SUM($H145)&lt;=0,SUM($L145)&lt;=0),"",SUM($L145)/$H145)</f>
        <v>0.753829615694706</v>
      </c>
      <c r="N145" s="115" t="str">
        <f aca="false">_xlfn.IFNA(ROUND(INDEX(Spectrum!$N:$N,MATCH(RIGHT($B145,13)&amp;"|"&amp;$C145&amp;"|"&amp;$D145&amp;"|"&amp;N$14&amp;"|"&amp;"CY2020Q4",Spectrum!$Q:$Q,0)),0),"")</f>
        <v/>
      </c>
      <c r="O145" s="123" t="str">
        <f aca="false">_xlfn.IFNA(INDEX(Spectrum!$P:$P,MATCH(RIGHT($B145,13)&amp;"|"&amp;$C145&amp;"|"&amp;$D145&amp;"|"&amp;N$14&amp;"|"&amp;"CY2020Q4",Spectrum!$Q:$Q,0)),"")</f>
        <v/>
      </c>
      <c r="P145" s="115" t="n">
        <f aca="false">_xlfn.IFNA(ROUND(INDEX(Spectrum!$N:$N,MATCH(RIGHT($B145,13)&amp;"|"&amp;$C145&amp;"|"&amp;$D145&amp;"|"&amp;P$14&amp;"|"&amp;"CY2021Q3",Spectrum!$Q:$Q,0)),0),"")</f>
        <v>2330</v>
      </c>
      <c r="Q145" s="123" t="n">
        <f aca="false">_xlfn.IFNA(INDEX(Spectrum!$P:$P,MATCH(RIGHT($B145,13)&amp;"|"&amp;$C145&amp;"|"&amp;$D145&amp;"|"&amp;P$14&amp;"|"&amp;"CY2021Q3",Spectrum!$Q:$Q,0)),"")</f>
        <v>30</v>
      </c>
      <c r="R145" s="115"/>
      <c r="S145" s="123" t="str">
        <f aca="false">IF(OR(SUM($P145)&lt;=0,SUM($R145)&lt;=0),"",SUM($R145)/$P145)</f>
        <v/>
      </c>
      <c r="T145" s="139" t="n">
        <v>17</v>
      </c>
      <c r="U145" s="124" t="n">
        <v>20</v>
      </c>
      <c r="V145" s="124" t="n">
        <f aca="false">IF($U145-$T145=0,"",$U145-$T145)</f>
        <v>3</v>
      </c>
      <c r="W145" s="123" t="n">
        <f aca="false">IF(LEFT($B145,4)="_Mil","",IFERROR(MIN(IF(SUM($N145)&lt;=0,SUM($U145)/SUM($P145),SUM($T145)/SUM($N145)),1),""))</f>
        <v>0.00858369098712446</v>
      </c>
      <c r="X145" s="123" t="n">
        <f aca="false">$W145</f>
        <v>0.00858369098712446</v>
      </c>
      <c r="Y145" s="123" t="n">
        <f aca="false">IFERROR(1/(1/INDEX(Spectrum!$N:$N,MATCH(RIGHT($B145,13)&amp;"|"&amp;$C145&amp;"|"&amp;$D145&amp;"|"&amp;Y$14&amp;"|"&amp;"CY2021Q3",Spectrum!$Q:$Q,0))),IF(SUM($H145)=0,"",MAX(SUM($P145),SUM($U145))/SUM($H145)))</f>
        <v>0.626175759204515</v>
      </c>
      <c r="Z145" s="123" t="n">
        <f aca="false">IF(SUM($Y145)=0,"",MAX(SUM($Y145),90%))</f>
        <v>0.9</v>
      </c>
      <c r="AA145" s="115" t="n">
        <f aca="false">IF(LEFT($B145,4)="_Mil","",ROUND(MAX(SUM($U145),SUM($P145))+IF(SUM($Z145)=0,0,MAX(SUM($Z145)-SUM($Y145),0)*SUM($H145)),0))</f>
        <v>3349</v>
      </c>
      <c r="AB145" s="115" t="n">
        <f aca="false">IF(SUM($AA145)=0,"",ROUND(MAX(SUM($AA145)-MAX(SUM($P145),SUM($U145)),0),0))</f>
        <v>1019</v>
      </c>
      <c r="AC145" s="126" t="str">
        <f aca="false">IF($C145="&lt;01",IFERROR(ROUND(INDEX(EID!$N:$N,MATCH($B145,EID!$B:$B,0))/2,0),""),"")</f>
        <v/>
      </c>
      <c r="AD145" s="115" t="n">
        <f aca="false">IF($C145="&lt;01",IF(SUM($AC145)=0,"",ROUND(SUM($AC145)/$AG145,0)),IF(SUM($AB145)=0,"",ROUND(MAX($X145,0)*SUM($AB145),0)))</f>
        <v>9</v>
      </c>
      <c r="AE145" s="115" t="n">
        <f aca="false">IF(AND(SUM($AD145)=0,SUM($U145)=0),"",ROUND(IF($C145="&lt;01",0,SUM($U145))+SUM($AD145),0))</f>
        <v>29</v>
      </c>
      <c r="AF145" s="122" t="n">
        <f aca="false">IF($C145="&lt;01","",100%)</f>
        <v>1</v>
      </c>
      <c r="AG145" s="123" t="n">
        <f aca="false">0.98</f>
        <v>0.98</v>
      </c>
      <c r="AH145" s="123" t="n">
        <f aca="false">0.98</f>
        <v>0.98</v>
      </c>
      <c r="AI145" s="124" t="n">
        <f aca="false">IF(OR($C145="&lt;01",SUM($U145)=0),"",ROUND(SUM($U145)*(1-$AH145),0))</f>
        <v>0</v>
      </c>
      <c r="AJ145" s="124" t="n">
        <f aca="false">IF(AND(SUM($AE145)=0,SUM($U145)=0),"",IF($C145="&lt;01",SUM($AD145),SUM($AE145) - ROUND(SUM($U145)*$AH145,0)))</f>
        <v>9</v>
      </c>
      <c r="AK145" s="124" t="n">
        <v>10</v>
      </c>
      <c r="AL145" s="124" t="n">
        <v>25</v>
      </c>
      <c r="AM145" s="115" t="n">
        <f aca="false">IF(AND(SUM($AD145)=0,SUM($U145)=0),"",IF($C145="&lt;01",SUM($AD145),ROUND(ROUND(SUM($AJ145)*$AF145,0)/$AG145,0)))</f>
        <v>9</v>
      </c>
      <c r="AN145" s="122" t="n">
        <f aca="false">0.7</f>
        <v>0.7</v>
      </c>
      <c r="AO145" s="123" t="n">
        <f aca="false">1</f>
        <v>1</v>
      </c>
      <c r="AP145" s="115" t="n">
        <f aca="false">IF(AND(SUM($U145)=0,SUM($AM145)=0),"",ROUND((SUM($AM145)*$AN145+IF($C145="&lt;01",0,$U145))*$AO145,0))</f>
        <v>26</v>
      </c>
      <c r="AQ145" s="122" t="n">
        <v>23</v>
      </c>
      <c r="AR145" s="123" t="n">
        <f aca="false">0.95</f>
        <v>0.95</v>
      </c>
      <c r="AS145" s="123" t="n">
        <f aca="false">0.95</f>
        <v>0.95</v>
      </c>
      <c r="AT145" s="115" t="n">
        <f aca="false">IF(SUM($AP145)=0,"",ROUND(SUM($AP145)*$AR145,0))</f>
        <v>25</v>
      </c>
      <c r="AU145" s="115" t="n">
        <f aca="false">IF(LEFT($B145,4)="_Mil","",ROUND(SUM($AA145)*SUM($AS145),0))</f>
        <v>3182</v>
      </c>
      <c r="AV145" s="124" t="n">
        <f aca="false">IF(SUM($AU145)&lt;=0,"",MAX(SUM($AU145)-SUM($R145),0))</f>
        <v>3182</v>
      </c>
      <c r="AW145" s="122" t="n">
        <f aca="false">0</f>
        <v>0</v>
      </c>
      <c r="AX145" s="124" t="n">
        <f aca="false">IF(SUM($AM145)=0,"",ROUND(SUM($AM145)*SUM($AW145),0))</f>
        <v>0</v>
      </c>
      <c r="AY145" s="124" t="n">
        <f aca="false">IF(SUM($AM145)=0,"",SUM($AM145)-SUM($AX145))</f>
        <v>9</v>
      </c>
      <c r="AZ145" s="123" t="n">
        <v>4</v>
      </c>
      <c r="BA145" s="123" t="n">
        <f aca="false">0.95</f>
        <v>0.95</v>
      </c>
      <c r="BB145" s="123"/>
      <c r="BC145" s="123" t="n">
        <f aca="false">IF(OR(SUM($AM145)&lt;=0,$C145="&lt;01"),"",MAX(IF(OR(SUM($Y145)&lt;70%,LEFT($B145,4)="_Mil"),30%,IF(SUM($Y145)&gt;=80%,75%,50%)),SUM($BB145)))</f>
        <v>0.3</v>
      </c>
      <c r="BD145" s="115" t="n">
        <f aca="false">IF($C145="&lt;01",IFERROR(ROUND(INDEX(EID!$M:$M,MATCH($B145,EID!$B:$B,0)),0)/2,""),IF(SUM($AY145)=0,"",ROUND(SUM($AY145)/SUM($BA145),0)))</f>
        <v>9</v>
      </c>
      <c r="BE145" s="115" t="n">
        <f aca="false">IF($C145="&lt;01","",IF(SUM($BD145)=0,"",ROUND(SUM($BD145)*SUM($BC145),0)))</f>
        <v>3</v>
      </c>
      <c r="BF145" s="115" t="n">
        <f aca="false">_xlfn.IFNA(INDEX(PMTCT!$AE:$AE,MATCH($E145,PMTCT!$E:$E,0)),"")</f>
        <v>-414</v>
      </c>
      <c r="BG145" s="115" t="str">
        <f aca="false">_xlfn.IFNA(INDEX(PMTCT!$AU:$AU,MATCH($E145,PMTCT!$E:$E,0)),"")</f>
        <v/>
      </c>
      <c r="BH145" s="115" t="str">
        <f aca="false">_xlfn.IFNA(INDEX(TB!$Q:$Q,MATCH($E145,TB!$E:$E,0)),"")</f>
        <v/>
      </c>
      <c r="BI145" s="115" t="str">
        <f aca="false">_xlfn.IFNA(INDEX(VMMC!$AC:$AC,MATCH($E145,VMMC!$E:$E,0)),"")</f>
        <v/>
      </c>
      <c r="BJ145" s="115" t="str">
        <f aca="false">IF($C145="&lt;01",$BD145,"")</f>
        <v/>
      </c>
      <c r="BK145" s="115" t="n">
        <f aca="false">IF(SUM($BD145)=0,"",($BD145)-SUM($BE145:$BJ145))</f>
        <v>420</v>
      </c>
      <c r="BL145" s="123" t="n">
        <f aca="false">IF(OR(SUM($BD145)=0,SUM($BE145)=0),"",SUM($BE145)/$BD145)</f>
        <v>0.333333333333333</v>
      </c>
      <c r="BM145" s="123" t="n">
        <f aca="false">IF(OR(SUM($BD145)=0,SUM($BF145)=0),"",SUM($BF145)/$BD145)</f>
        <v>-46</v>
      </c>
      <c r="BN145" s="123" t="str">
        <f aca="false">IF(OR(SUM($BD145)=0,SUM($BG145)=0),"",SUM($BG145)/$BD145)</f>
        <v/>
      </c>
      <c r="BO145" s="123" t="str">
        <f aca="false">IF(OR(SUM($BD145)=0,SUM($BH145)=0),"",SUM($BH145)/$BD145)</f>
        <v/>
      </c>
      <c r="BP145" s="123" t="str">
        <f aca="false">IF(OR(SUM($BD145)=0,SUM($BI145)=0),"",SUM($BI145)/$BD145)</f>
        <v/>
      </c>
      <c r="BQ145" s="123" t="str">
        <f aca="false">IF(AND($C145="&lt;01",SUM($BJ145)&lt;&gt;0),$BJ145/SUM($BD145),"")</f>
        <v/>
      </c>
      <c r="BR145" s="123" t="n">
        <f aca="false">IF(OR(SUM($BD145)=0,SUM($BK145)=0),"",SUM($BK145)/$BD145)</f>
        <v>46.6666666666667</v>
      </c>
      <c r="BS145" s="122" t="n">
        <f aca="false">IF(SUM($X145)&lt;=0,"",$X145)</f>
        <v>0.00858369098712446</v>
      </c>
      <c r="BT145" s="115" t="n">
        <f aca="false">IF(LEFT($B145,4)="_Mil","",MAX(SUM($L145)+ROUND(SUM($BD145)/IF(SUM($BS145)&lt;=0,1,SUM($BS145)),0),0))</f>
        <v>3854</v>
      </c>
    </row>
    <row r="146" customFormat="false" ht="15" hidden="false" customHeight="false" outlineLevel="0" collapsed="false">
      <c r="A146" s="0" t="s">
        <v>146</v>
      </c>
      <c r="B146" s="0" t="s">
        <v>45</v>
      </c>
      <c r="C146" s="0" t="s">
        <v>66</v>
      </c>
      <c r="D146" s="0" t="s">
        <v>58</v>
      </c>
      <c r="E146" s="0" t="str">
        <f aca="false">B146&amp;"|"&amp;C146&amp;"|"&amp;D146</f>
        <v>Maseru [#SNU] [#DREAMS] [tKOXiaNhAyJ]|20-24|Male</v>
      </c>
      <c r="F146" s="115" t="n">
        <f aca="false">_xlfn.IFNA(ROUND(INDEX(Spectrum!$N:$N,MATCH(RIGHT($B146,13)&amp;"|"&amp;$C146&amp;"|"&amp;$D146&amp;"|"&amp;F$14&amp;"|"&amp;"CY2021Q3",Spectrum!$Q:$Q,0)),0),"")</f>
        <v>27285</v>
      </c>
      <c r="G146" s="123" t="n">
        <f aca="false">_xlfn.IFNA(INDEX(Spectrum!$P:$P,MATCH(RIGHT($B146,13)&amp;"|"&amp;$C146&amp;"|"&amp;$D146&amp;"|"&amp;F$14&amp;"|"&amp;"CY2021Q3",Spectrum!$Q:$Q,0)),"")</f>
        <v>32</v>
      </c>
      <c r="H146" s="115" t="n">
        <f aca="false">_xlfn.IFNA(ROUND(INDEX(Spectrum!$N:$N,MATCH(RIGHT($B146,13)&amp;"|"&amp;$C146&amp;"|"&amp;$D146&amp;"|"&amp;H$14&amp;"|"&amp;"CY2021Q3",Spectrum!$Q:$Q,0)),0),"")</f>
        <v>1301</v>
      </c>
      <c r="I146" s="123" t="n">
        <f aca="false">_xlfn.IFNA(INDEX(Spectrum!$P:$P,MATCH(RIGHT($B146,13)&amp;"|"&amp;$C146&amp;"|"&amp;$D146&amp;"|"&amp;H$14&amp;"|"&amp;"CY2021Q3",Spectrum!$Q:$Q,0)),"")</f>
        <v>33</v>
      </c>
      <c r="J146" s="117" t="n">
        <f aca="false">_xlfn.IFNA(INDEX(Spectrum!$N:$N,MATCH(RIGHT($B146,13)&amp;"|"&amp;$C146&amp;"|"&amp;$D146&amp;"|"&amp;J$14&amp;"|"&amp;"CY2021Q3",Spectrum!$Q:$Q,0)),"")</f>
        <v>0.0476836</v>
      </c>
      <c r="K146" s="123" t="n">
        <f aca="false">_xlfn.IFNA(INDEX(Spectrum!$P:$P,MATCH(RIGHT($B146,13)&amp;"|"&amp;$C146&amp;"|"&amp;$D146&amp;"|"&amp;J$14&amp;"|"&amp;"CY2021Q3",Spectrum!$Q:$Q,0)),"")</f>
        <v>45</v>
      </c>
      <c r="L146" s="115" t="n">
        <f aca="false">_xlfn.IFNA(ROUND(INDEX(Spectrum!$N:$N,MATCH(RIGHT($B146,13)&amp;"|"&amp;$C146&amp;"|"&amp;$D146&amp;"|"&amp;L$14&amp;"|"&amp;"CY2021Q3",Spectrum!$Q:$Q,0)),0),"")</f>
        <v>1023</v>
      </c>
      <c r="M146" s="123" t="n">
        <f aca="false">IF(OR(SUM($H146)&lt;=0,SUM($L146)&lt;=0),"",SUM($L146)/$H146)</f>
        <v>0.786318216756341</v>
      </c>
      <c r="N146" s="115" t="str">
        <f aca="false">_xlfn.IFNA(ROUND(INDEX(Spectrum!$N:$N,MATCH(RIGHT($B146,13)&amp;"|"&amp;$C146&amp;"|"&amp;$D146&amp;"|"&amp;N$14&amp;"|"&amp;"CY2020Q4",Spectrum!$Q:$Q,0)),0),"")</f>
        <v/>
      </c>
      <c r="O146" s="123" t="str">
        <f aca="false">_xlfn.IFNA(INDEX(Spectrum!$P:$P,MATCH(RIGHT($B146,13)&amp;"|"&amp;$C146&amp;"|"&amp;$D146&amp;"|"&amp;N$14&amp;"|"&amp;"CY2020Q4",Spectrum!$Q:$Q,0)),"")</f>
        <v/>
      </c>
      <c r="P146" s="115" t="n">
        <f aca="false">_xlfn.IFNA(ROUND(INDEX(Spectrum!$N:$N,MATCH(RIGHT($B146,13)&amp;"|"&amp;$C146&amp;"|"&amp;$D146&amp;"|"&amp;P$14&amp;"|"&amp;"CY2021Q3",Spectrum!$Q:$Q,0)),0),"")</f>
        <v>765</v>
      </c>
      <c r="Q146" s="123" t="n">
        <f aca="false">_xlfn.IFNA(INDEX(Spectrum!$P:$P,MATCH(RIGHT($B146,13)&amp;"|"&amp;$C146&amp;"|"&amp;$D146&amp;"|"&amp;P$14&amp;"|"&amp;"CY2021Q3",Spectrum!$Q:$Q,0)),"")</f>
        <v>46</v>
      </c>
      <c r="R146" s="115"/>
      <c r="S146" s="123" t="str">
        <f aca="false">IF(OR(SUM($P146)&lt;=0,SUM($R146)&lt;=0),"",SUM($R146)/$P146)</f>
        <v/>
      </c>
      <c r="T146" s="139" t="n">
        <v>29</v>
      </c>
      <c r="U146" s="124" t="n">
        <v>17</v>
      </c>
      <c r="V146" s="124" t="n">
        <f aca="false">IF($U146-$T146=0,"",$U146-$T146)</f>
        <v>-12</v>
      </c>
      <c r="W146" s="123" t="n">
        <f aca="false">IF(LEFT($B146,4)="_Mil","",IFERROR(MIN(IF(SUM($N146)&lt;=0,SUM($U146)/SUM($P146),SUM($T146)/SUM($N146)),1),""))</f>
        <v>0.0222222222222222</v>
      </c>
      <c r="X146" s="123" t="n">
        <f aca="false">$W146</f>
        <v>0.0222222222222222</v>
      </c>
      <c r="Y146" s="123" t="n">
        <f aca="false">IFERROR(1/(1/INDEX(Spectrum!$N:$N,MATCH(RIGHT($B146,13)&amp;"|"&amp;$C146&amp;"|"&amp;$D146&amp;"|"&amp;Y$14&amp;"|"&amp;"CY2021Q3",Spectrum!$Q:$Q,0))),IF(SUM($H146)=0,"",MAX(SUM($P146),SUM($U146))/SUM($H146)))</f>
        <v>0.588009223674097</v>
      </c>
      <c r="Z146" s="123" t="n">
        <f aca="false">IF(SUM($Y146)=0,"",MAX(SUM($Y146),90%))</f>
        <v>0.9</v>
      </c>
      <c r="AA146" s="115" t="n">
        <f aca="false">IF(LEFT($B146,4)="_Mil","",ROUND(MAX(SUM($U146),SUM($P146))+IF(SUM($Z146)=0,0,MAX(SUM($Z146)-SUM($Y146),0)*SUM($H146)),0))</f>
        <v>1171</v>
      </c>
      <c r="AB146" s="115" t="n">
        <f aca="false">IF(SUM($AA146)=0,"",ROUND(MAX(SUM($AA146)-MAX(SUM($P146),SUM($U146)),0),0))</f>
        <v>406</v>
      </c>
      <c r="AC146" s="126" t="str">
        <f aca="false">IF($C146="&lt;01",IFERROR(ROUND(INDEX(EID!$N:$N,MATCH($B146,EID!$B:$B,0))/2,0),""),"")</f>
        <v/>
      </c>
      <c r="AD146" s="115" t="n">
        <f aca="false">IF($C146="&lt;01",IF(SUM($AC146)=0,"",ROUND(SUM($AC146)/$AG146,0)),IF(SUM($AB146)=0,"",ROUND(MAX($X146,0)*SUM($AB146),0)))</f>
        <v>9</v>
      </c>
      <c r="AE146" s="115" t="n">
        <f aca="false">IF(AND(SUM($AD146)=0,SUM($U146)=0),"",ROUND(IF($C146="&lt;01",0,SUM($U146))+SUM($AD146),0))</f>
        <v>26</v>
      </c>
      <c r="AF146" s="122" t="n">
        <f aca="false">IF($C146="&lt;01","",100%)</f>
        <v>1</v>
      </c>
      <c r="AG146" s="123" t="n">
        <f aca="false">0.98</f>
        <v>0.98</v>
      </c>
      <c r="AH146" s="123" t="n">
        <f aca="false">0.98</f>
        <v>0.98</v>
      </c>
      <c r="AI146" s="124" t="n">
        <f aca="false">IF(OR($C146="&lt;01",SUM($U146)=0),"",ROUND(SUM($U146)*(1-$AH146),0))</f>
        <v>0</v>
      </c>
      <c r="AJ146" s="124" t="n">
        <f aca="false">IF(AND(SUM($AE146)=0,SUM($U146)=0),"",IF($C146="&lt;01",SUM($AD146),SUM($AE146) - ROUND(SUM($U146)*$AH146,0)))</f>
        <v>9</v>
      </c>
      <c r="AK146" s="124" t="n">
        <v>50</v>
      </c>
      <c r="AL146" s="124" t="n">
        <v>40</v>
      </c>
      <c r="AM146" s="115" t="n">
        <f aca="false">IF(AND(SUM($AD146)=0,SUM($U146)=0),"",IF($C146="&lt;01",SUM($AD146),ROUND(ROUND(SUM($AJ146)*$AF146,0)/$AG146,0)))</f>
        <v>9</v>
      </c>
      <c r="AN146" s="122" t="n">
        <f aca="false">0.7</f>
        <v>0.7</v>
      </c>
      <c r="AO146" s="123" t="n">
        <f aca="false">1</f>
        <v>1</v>
      </c>
      <c r="AP146" s="115" t="n">
        <f aca="false">IF(AND(SUM($U146)=0,SUM($AM146)=0),"",ROUND((SUM($AM146)*$AN146+IF($C146="&lt;01",0,$U146))*$AO146,0))</f>
        <v>23</v>
      </c>
      <c r="AQ146" s="122" t="n">
        <v>48</v>
      </c>
      <c r="AR146" s="123" t="n">
        <f aca="false">0.95</f>
        <v>0.95</v>
      </c>
      <c r="AS146" s="123" t="n">
        <f aca="false">0.95</f>
        <v>0.95</v>
      </c>
      <c r="AT146" s="115" t="n">
        <f aca="false">IF(SUM($AP146)=0,"",ROUND(SUM($AP146)*$AR146,0))</f>
        <v>22</v>
      </c>
      <c r="AU146" s="115" t="n">
        <f aca="false">IF(LEFT($B146,4)="_Mil","",ROUND(SUM($AA146)*SUM($AS146),0))</f>
        <v>1112</v>
      </c>
      <c r="AV146" s="124" t="n">
        <f aca="false">IF(SUM($AU146)&lt;=0,"",MAX(SUM($AU146)-SUM($R146),0))</f>
        <v>1112</v>
      </c>
      <c r="AW146" s="122" t="n">
        <f aca="false">0</f>
        <v>0</v>
      </c>
      <c r="AX146" s="124" t="n">
        <f aca="false">IF(SUM($AM146)=0,"",ROUND(SUM($AM146)*SUM($AW146),0))</f>
        <v>0</v>
      </c>
      <c r="AY146" s="124" t="n">
        <f aca="false">IF(SUM($AM146)=0,"",SUM($AM146)-SUM($AX146))</f>
        <v>9</v>
      </c>
      <c r="AZ146" s="123" t="n">
        <v>46</v>
      </c>
      <c r="BA146" s="123" t="n">
        <f aca="false">0.95</f>
        <v>0.95</v>
      </c>
      <c r="BB146" s="123"/>
      <c r="BC146" s="123" t="n">
        <f aca="false">IF(OR(SUM($AM146)&lt;=0,$C146="&lt;01"),"",MAX(IF(OR(SUM($Y146)&lt;70%,LEFT($B146,4)="_Mil"),30%,IF(SUM($Y146)&gt;=80%,75%,50%)),SUM($BB146)))</f>
        <v>0.3</v>
      </c>
      <c r="BD146" s="115" t="n">
        <f aca="false">IF($C146="&lt;01",IFERROR(ROUND(INDEX(EID!$M:$M,MATCH($B146,EID!$B:$B,0)),0)/2,""),IF(SUM($AY146)=0,"",ROUND(SUM($AY146)/SUM($BA146),0)))</f>
        <v>9</v>
      </c>
      <c r="BE146" s="115" t="n">
        <f aca="false">IF($C146="&lt;01","",IF(SUM($BD146)=0,"",ROUND(SUM($BD146)*SUM($BC146),0)))</f>
        <v>3</v>
      </c>
      <c r="BF146" s="115" t="str">
        <f aca="false">_xlfn.IFNA(INDEX(PMTCT!$AE:$AE,MATCH($E146,PMTCT!$E:$E,0)),"")</f>
        <v/>
      </c>
      <c r="BG146" s="115" t="str">
        <f aca="false">_xlfn.IFNA(INDEX(PMTCT!$AU:$AU,MATCH($E146,PMTCT!$E:$E,0)),"")</f>
        <v/>
      </c>
      <c r="BH146" s="115" t="n">
        <f aca="false">_xlfn.IFNA(INDEX(TB!$Q:$Q,MATCH($E146,TB!$E:$E,0)),"")</f>
        <v>-63140</v>
      </c>
      <c r="BI146" s="115" t="str">
        <f aca="false">_xlfn.IFNA(INDEX(VMMC!$AC:$AC,MATCH($E146,VMMC!$E:$E,0)),"")</f>
        <v/>
      </c>
      <c r="BJ146" s="115" t="str">
        <f aca="false">IF($C146="&lt;01",$BD146,"")</f>
        <v/>
      </c>
      <c r="BK146" s="115" t="n">
        <f aca="false">IF(SUM($BD146)=0,"",($BD146)-SUM($BE146:$BJ146))</f>
        <v>63146</v>
      </c>
      <c r="BL146" s="123" t="n">
        <f aca="false">IF(OR(SUM($BD146)=0,SUM($BE146)=0),"",SUM($BE146)/$BD146)</f>
        <v>0.333333333333333</v>
      </c>
      <c r="BM146" s="123" t="str">
        <f aca="false">IF(OR(SUM($BD146)=0,SUM($BF146)=0),"",SUM($BF146)/$BD146)</f>
        <v/>
      </c>
      <c r="BN146" s="123" t="str">
        <f aca="false">IF(OR(SUM($BD146)=0,SUM($BG146)=0),"",SUM($BG146)/$BD146)</f>
        <v/>
      </c>
      <c r="BO146" s="123" t="n">
        <f aca="false">IF(OR(SUM($BD146)=0,SUM($BH146)=0),"",SUM($BH146)/$BD146)</f>
        <v>-7015.55555555556</v>
      </c>
      <c r="BP146" s="123" t="str">
        <f aca="false">IF(OR(SUM($BD146)=0,SUM($BI146)=0),"",SUM($BI146)/$BD146)</f>
        <v/>
      </c>
      <c r="BQ146" s="123" t="str">
        <f aca="false">IF(AND($C146="&lt;01",SUM($BJ146)&lt;&gt;0),$BJ146/SUM($BD146),"")</f>
        <v/>
      </c>
      <c r="BR146" s="123" t="n">
        <f aca="false">IF(OR(SUM($BD146)=0,SUM($BK146)=0),"",SUM($BK146)/$BD146)</f>
        <v>7016.22222222222</v>
      </c>
      <c r="BS146" s="122" t="n">
        <f aca="false">IF(SUM($X146)&lt;=0,"",$X146)</f>
        <v>0.0222222222222222</v>
      </c>
      <c r="BT146" s="115" t="n">
        <f aca="false">IF(LEFT($B146,4)="_Mil","",MAX(SUM($L146)+ROUND(SUM($BD146)/IF(SUM($BS146)&lt;=0,1,SUM($BS146)),0),0))</f>
        <v>1428</v>
      </c>
    </row>
    <row r="147" customFormat="false" ht="15" hidden="false" customHeight="false" outlineLevel="0" collapsed="false">
      <c r="A147" s="0" t="s">
        <v>146</v>
      </c>
      <c r="B147" s="0" t="s">
        <v>45</v>
      </c>
      <c r="C147" s="0" t="s">
        <v>69</v>
      </c>
      <c r="D147" s="0" t="s">
        <v>56</v>
      </c>
      <c r="E147" s="0" t="str">
        <f aca="false">B147&amp;"|"&amp;C147&amp;"|"&amp;D147</f>
        <v>Maseru [#SNU] [#DREAMS] [tKOXiaNhAyJ]|25-29|Female</v>
      </c>
      <c r="F147" s="115" t="n">
        <f aca="false">_xlfn.IFNA(ROUND(INDEX(Spectrum!$N:$N,MATCH(RIGHT($B147,13)&amp;"|"&amp;$C147&amp;"|"&amp;$D147&amp;"|"&amp;F$14&amp;"|"&amp;"CY2021Q3",Spectrum!$Q:$Q,0)),0),"")</f>
        <v>30088</v>
      </c>
      <c r="G147" s="123" t="n">
        <f aca="false">_xlfn.IFNA(INDEX(Spectrum!$P:$P,MATCH(RIGHT($B147,13)&amp;"|"&amp;$C147&amp;"|"&amp;$D147&amp;"|"&amp;F$14&amp;"|"&amp;"CY2021Q3",Spectrum!$Q:$Q,0)),"")</f>
        <v>4</v>
      </c>
      <c r="H147" s="115" t="n">
        <f aca="false">_xlfn.IFNA(ROUND(INDEX(Spectrum!$N:$N,MATCH(RIGHT($B147,13)&amp;"|"&amp;$C147&amp;"|"&amp;$D147&amp;"|"&amp;H$14&amp;"|"&amp;"CY2021Q3",Spectrum!$Q:$Q,0)),0),"")</f>
        <v>7438</v>
      </c>
      <c r="I147" s="123" t="n">
        <f aca="false">_xlfn.IFNA(INDEX(Spectrum!$P:$P,MATCH(RIGHT($B147,13)&amp;"|"&amp;$C147&amp;"|"&amp;$D147&amp;"|"&amp;H$14&amp;"|"&amp;"CY2021Q3",Spectrum!$Q:$Q,0)),"")</f>
        <v>36</v>
      </c>
      <c r="J147" s="117" t="n">
        <f aca="false">_xlfn.IFNA(INDEX(Spectrum!$N:$N,MATCH(RIGHT($B147,13)&amp;"|"&amp;$C147&amp;"|"&amp;$D147&amp;"|"&amp;J$14&amp;"|"&amp;"CY2021Q3",Spectrum!$Q:$Q,0)),"")</f>
        <v>0.247224</v>
      </c>
      <c r="K147" s="123" t="n">
        <f aca="false">_xlfn.IFNA(INDEX(Spectrum!$P:$P,MATCH(RIGHT($B147,13)&amp;"|"&amp;$C147&amp;"|"&amp;$D147&amp;"|"&amp;J$14&amp;"|"&amp;"CY2021Q3",Spectrum!$Q:$Q,0)),"")</f>
        <v>33</v>
      </c>
      <c r="L147" s="115" t="n">
        <f aca="false">_xlfn.IFNA(ROUND(INDEX(Spectrum!$N:$N,MATCH(RIGHT($B147,13)&amp;"|"&amp;$C147&amp;"|"&amp;$D147&amp;"|"&amp;L$14&amp;"|"&amp;"CY2021Q3",Spectrum!$Q:$Q,0)),0),"")</f>
        <v>5686</v>
      </c>
      <c r="M147" s="123" t="n">
        <f aca="false">IF(OR(SUM($H147)&lt;=0,SUM($L147)&lt;=0),"",SUM($L147)/$H147)</f>
        <v>0.764452809895133</v>
      </c>
      <c r="N147" s="115" t="str">
        <f aca="false">_xlfn.IFNA(ROUND(INDEX(Spectrum!$N:$N,MATCH(RIGHT($B147,13)&amp;"|"&amp;$C147&amp;"|"&amp;$D147&amp;"|"&amp;N$14&amp;"|"&amp;"CY2020Q4",Spectrum!$Q:$Q,0)),0),"")</f>
        <v/>
      </c>
      <c r="O147" s="123" t="str">
        <f aca="false">_xlfn.IFNA(INDEX(Spectrum!$P:$P,MATCH(RIGHT($B147,13)&amp;"|"&amp;$C147&amp;"|"&amp;$D147&amp;"|"&amp;N$14&amp;"|"&amp;"CY2020Q4",Spectrum!$Q:$Q,0)),"")</f>
        <v/>
      </c>
      <c r="P147" s="115" t="n">
        <f aca="false">_xlfn.IFNA(ROUND(INDEX(Spectrum!$N:$N,MATCH(RIGHT($B147,13)&amp;"|"&amp;$C147&amp;"|"&amp;$D147&amp;"|"&amp;P$14&amp;"|"&amp;"CY2021Q3",Spectrum!$Q:$Q,0)),0),"")</f>
        <v>4964</v>
      </c>
      <c r="Q147" s="123" t="n">
        <f aca="false">_xlfn.IFNA(INDEX(Spectrum!$P:$P,MATCH(RIGHT($B147,13)&amp;"|"&amp;$C147&amp;"|"&amp;$D147&amp;"|"&amp;P$14&amp;"|"&amp;"CY2021Q3",Spectrum!$Q:$Q,0)),"")</f>
        <v>41</v>
      </c>
      <c r="R147" s="115"/>
      <c r="S147" s="123" t="str">
        <f aca="false">IF(OR(SUM($P147)&lt;=0,SUM($R147)&lt;=0),"",SUM($R147)/$P147)</f>
        <v/>
      </c>
      <c r="T147" s="139" t="n">
        <v>23</v>
      </c>
      <c r="U147" s="124" t="n">
        <v>5</v>
      </c>
      <c r="V147" s="124" t="n">
        <f aca="false">IF($U147-$T147=0,"",$U147-$T147)</f>
        <v>-18</v>
      </c>
      <c r="W147" s="123" t="n">
        <f aca="false">IF(LEFT($B147,4)="_Mil","",IFERROR(MIN(IF(SUM($N147)&lt;=0,SUM($U147)/SUM($P147),SUM($T147)/SUM($N147)),1),""))</f>
        <v>0.00100725221595488</v>
      </c>
      <c r="X147" s="123" t="n">
        <f aca="false">$W147</f>
        <v>0.00100725221595488</v>
      </c>
      <c r="Y147" s="123" t="n">
        <f aca="false">IFERROR(1/(1/INDEX(Spectrum!$N:$N,MATCH(RIGHT($B147,13)&amp;"|"&amp;$C147&amp;"|"&amp;$D147&amp;"|"&amp;Y$14&amp;"|"&amp;"CY2021Q3",Spectrum!$Q:$Q,0))),IF(SUM($H147)=0,"",MAX(SUM($P147),SUM($U147))/SUM($H147)))</f>
        <v>0.667383705297123</v>
      </c>
      <c r="Z147" s="123" t="n">
        <f aca="false">IF(SUM($Y147)=0,"",MAX(SUM($Y147),90%))</f>
        <v>0.9</v>
      </c>
      <c r="AA147" s="115" t="n">
        <f aca="false">IF(LEFT($B147,4)="_Mil","",ROUND(MAX(SUM($U147),SUM($P147))+IF(SUM($Z147)=0,0,MAX(SUM($Z147)-SUM($Y147),0)*SUM($H147)),0))</f>
        <v>6694</v>
      </c>
      <c r="AB147" s="115" t="n">
        <f aca="false">IF(SUM($AA147)=0,"",ROUND(MAX(SUM($AA147)-MAX(SUM($P147),SUM($U147)),0),0))</f>
        <v>1730</v>
      </c>
      <c r="AC147" s="126" t="str">
        <f aca="false">IF($C147="&lt;01",IFERROR(ROUND(INDEX(EID!$N:$N,MATCH($B147,EID!$B:$B,0))/2,0),""),"")</f>
        <v/>
      </c>
      <c r="AD147" s="115" t="n">
        <f aca="false">IF($C147="&lt;01",IF(SUM($AC147)=0,"",ROUND(SUM($AC147)/$AG147,0)),IF(SUM($AB147)=0,"",ROUND(MAX($X147,0)*SUM($AB147),0)))</f>
        <v>2</v>
      </c>
      <c r="AE147" s="115" t="n">
        <f aca="false">IF(AND(SUM($AD147)=0,SUM($U147)=0),"",ROUND(IF($C147="&lt;01",0,SUM($U147))+SUM($AD147),0))</f>
        <v>7</v>
      </c>
      <c r="AF147" s="122" t="n">
        <f aca="false">IF($C147="&lt;01","",100%)</f>
        <v>1</v>
      </c>
      <c r="AG147" s="123" t="n">
        <f aca="false">0.98</f>
        <v>0.98</v>
      </c>
      <c r="AH147" s="123" t="n">
        <f aca="false">0.98</f>
        <v>0.98</v>
      </c>
      <c r="AI147" s="124" t="n">
        <f aca="false">IF(OR($C147="&lt;01",SUM($U147)=0),"",ROUND(SUM($U147)*(1-$AH147),0))</f>
        <v>0</v>
      </c>
      <c r="AJ147" s="124" t="n">
        <f aca="false">IF(AND(SUM($AE147)=0,SUM($U147)=0),"",IF($C147="&lt;01",SUM($AD147),SUM($AE147) - ROUND(SUM($U147)*$AH147,0)))</f>
        <v>2</v>
      </c>
      <c r="AK147" s="124" t="n">
        <v>2</v>
      </c>
      <c r="AL147" s="124" t="n">
        <v>0</v>
      </c>
      <c r="AM147" s="115" t="n">
        <f aca="false">IF(AND(SUM($AD147)=0,SUM($U147)=0),"",IF($C147="&lt;01",SUM($AD147),ROUND(ROUND(SUM($AJ147)*$AF147,0)/$AG147,0)))</f>
        <v>2</v>
      </c>
      <c r="AN147" s="122" t="n">
        <f aca="false">0.7</f>
        <v>0.7</v>
      </c>
      <c r="AO147" s="123" t="n">
        <f aca="false">1</f>
        <v>1</v>
      </c>
      <c r="AP147" s="115" t="n">
        <f aca="false">IF(AND(SUM($U147)=0,SUM($AM147)=0),"",ROUND((SUM($AM147)*$AN147+IF($C147="&lt;01",0,$U147))*$AO147,0))</f>
        <v>6</v>
      </c>
      <c r="AQ147" s="122" t="n">
        <v>29</v>
      </c>
      <c r="AR147" s="123" t="n">
        <f aca="false">0.95</f>
        <v>0.95</v>
      </c>
      <c r="AS147" s="123" t="n">
        <f aca="false">0.95</f>
        <v>0.95</v>
      </c>
      <c r="AT147" s="115" t="n">
        <f aca="false">IF(SUM($AP147)=0,"",ROUND(SUM($AP147)*$AR147,0))</f>
        <v>6</v>
      </c>
      <c r="AU147" s="115" t="n">
        <f aca="false">IF(LEFT($B147,4)="_Mil","",ROUND(SUM($AA147)*SUM($AS147),0))</f>
        <v>6359</v>
      </c>
      <c r="AV147" s="124" t="n">
        <f aca="false">IF(SUM($AU147)&lt;=0,"",MAX(SUM($AU147)-SUM($R147),0))</f>
        <v>6359</v>
      </c>
      <c r="AW147" s="122" t="n">
        <f aca="false">0</f>
        <v>0</v>
      </c>
      <c r="AX147" s="124" t="n">
        <f aca="false">IF(SUM($AM147)=0,"",ROUND(SUM($AM147)*SUM($AW147),0))</f>
        <v>0</v>
      </c>
      <c r="AY147" s="124" t="n">
        <f aca="false">IF(SUM($AM147)=0,"",SUM($AM147)-SUM($AX147))</f>
        <v>2</v>
      </c>
      <c r="AZ147" s="123" t="n">
        <v>14</v>
      </c>
      <c r="BA147" s="123" t="n">
        <f aca="false">0.95</f>
        <v>0.95</v>
      </c>
      <c r="BB147" s="123"/>
      <c r="BC147" s="123" t="n">
        <f aca="false">IF(OR(SUM($AM147)&lt;=0,$C147="&lt;01"),"",MAX(IF(OR(SUM($Y147)&lt;70%,LEFT($B147,4)="_Mil"),30%,IF(SUM($Y147)&gt;=80%,75%,50%)),SUM($BB147)))</f>
        <v>0.3</v>
      </c>
      <c r="BD147" s="115" t="n">
        <f aca="false">IF($C147="&lt;01",IFERROR(ROUND(INDEX(EID!$M:$M,MATCH($B147,EID!$B:$B,0)),0)/2,""),IF(SUM($AY147)=0,"",ROUND(SUM($AY147)/SUM($BA147),0)))</f>
        <v>2</v>
      </c>
      <c r="BE147" s="115" t="n">
        <f aca="false">IF($C147="&lt;01","",IF(SUM($BD147)=0,"",ROUND(SUM($BD147)*SUM($BC147),0)))</f>
        <v>1</v>
      </c>
      <c r="BF147" s="115" t="n">
        <f aca="false">_xlfn.IFNA(INDEX(PMTCT!$AE:$AE,MATCH($E147,PMTCT!$E:$E,0)),"")</f>
        <v>-63640</v>
      </c>
      <c r="BG147" s="115" t="str">
        <f aca="false">_xlfn.IFNA(INDEX(PMTCT!$AU:$AU,MATCH($E147,PMTCT!$E:$E,0)),"")</f>
        <v/>
      </c>
      <c r="BH147" s="115" t="n">
        <f aca="false">_xlfn.IFNA(INDEX(TB!$Q:$Q,MATCH($E147,TB!$E:$E,0)),"")</f>
        <v>-2520</v>
      </c>
      <c r="BI147" s="115" t="str">
        <f aca="false">_xlfn.IFNA(INDEX(VMMC!$AC:$AC,MATCH($E147,VMMC!$E:$E,0)),"")</f>
        <v/>
      </c>
      <c r="BJ147" s="115" t="str">
        <f aca="false">IF($C147="&lt;01",$BD147,"")</f>
        <v/>
      </c>
      <c r="BK147" s="115" t="n">
        <f aca="false">IF(SUM($BD147)=0,"",($BD147)-SUM($BE147:$BJ147))</f>
        <v>66161</v>
      </c>
      <c r="BL147" s="123" t="n">
        <f aca="false">IF(OR(SUM($BD147)=0,SUM($BE147)=0),"",SUM($BE147)/$BD147)</f>
        <v>0.5</v>
      </c>
      <c r="BM147" s="123" t="n">
        <f aca="false">IF(OR(SUM($BD147)=0,SUM($BF147)=0),"",SUM($BF147)/$BD147)</f>
        <v>-31820</v>
      </c>
      <c r="BN147" s="123" t="str">
        <f aca="false">IF(OR(SUM($BD147)=0,SUM($BG147)=0),"",SUM($BG147)/$BD147)</f>
        <v/>
      </c>
      <c r="BO147" s="123" t="n">
        <f aca="false">IF(OR(SUM($BD147)=0,SUM($BH147)=0),"",SUM($BH147)/$BD147)</f>
        <v>-1260</v>
      </c>
      <c r="BP147" s="123" t="str">
        <f aca="false">IF(OR(SUM($BD147)=0,SUM($BI147)=0),"",SUM($BI147)/$BD147)</f>
        <v/>
      </c>
      <c r="BQ147" s="123" t="str">
        <f aca="false">IF(AND($C147="&lt;01",SUM($BJ147)&lt;&gt;0),$BJ147/SUM($BD147),"")</f>
        <v/>
      </c>
      <c r="BR147" s="123" t="n">
        <f aca="false">IF(OR(SUM($BD147)=0,SUM($BK147)=0),"",SUM($BK147)/$BD147)</f>
        <v>33080.5</v>
      </c>
      <c r="BS147" s="122" t="n">
        <f aca="false">IF(SUM($X147)&lt;=0,"",$X147)</f>
        <v>0.00100725221595488</v>
      </c>
      <c r="BT147" s="115" t="n">
        <f aca="false">IF(LEFT($B147,4)="_Mil","",MAX(SUM($L147)+ROUND(SUM($BD147)/IF(SUM($BS147)&lt;=0,1,SUM($BS147)),0),0))</f>
        <v>7672</v>
      </c>
    </row>
    <row r="148" customFormat="false" ht="15" hidden="false" customHeight="false" outlineLevel="0" collapsed="false">
      <c r="A148" s="0" t="s">
        <v>146</v>
      </c>
      <c r="B148" s="0" t="s">
        <v>45</v>
      </c>
      <c r="C148" s="0" t="s">
        <v>69</v>
      </c>
      <c r="D148" s="0" t="s">
        <v>58</v>
      </c>
      <c r="E148" s="0" t="str">
        <f aca="false">B148&amp;"|"&amp;C148&amp;"|"&amp;D148</f>
        <v>Maseru [#SNU] [#DREAMS] [tKOXiaNhAyJ]|25-29|Male</v>
      </c>
      <c r="F148" s="115" t="n">
        <f aca="false">_xlfn.IFNA(ROUND(INDEX(Spectrum!$N:$N,MATCH(RIGHT($B148,13)&amp;"|"&amp;$C148&amp;"|"&amp;$D148&amp;"|"&amp;F$14&amp;"|"&amp;"CY2021Q3",Spectrum!$Q:$Q,0)),0),"")</f>
        <v>28346</v>
      </c>
      <c r="G148" s="123" t="n">
        <f aca="false">_xlfn.IFNA(INDEX(Spectrum!$P:$P,MATCH(RIGHT($B148,13)&amp;"|"&amp;$C148&amp;"|"&amp;$D148&amp;"|"&amp;F$14&amp;"|"&amp;"CY2021Q3",Spectrum!$Q:$Q,0)),"")</f>
        <v>28</v>
      </c>
      <c r="H148" s="115" t="n">
        <f aca="false">_xlfn.IFNA(ROUND(INDEX(Spectrum!$N:$N,MATCH(RIGHT($B148,13)&amp;"|"&amp;$C148&amp;"|"&amp;$D148&amp;"|"&amp;H$14&amp;"|"&amp;"CY2021Q3",Spectrum!$Q:$Q,0)),0),"")</f>
        <v>3081</v>
      </c>
      <c r="I148" s="123" t="n">
        <f aca="false">_xlfn.IFNA(INDEX(Spectrum!$P:$P,MATCH(RIGHT($B148,13)&amp;"|"&amp;$C148&amp;"|"&amp;$D148&amp;"|"&amp;H$14&amp;"|"&amp;"CY2021Q3",Spectrum!$Q:$Q,0)),"")</f>
        <v>44</v>
      </c>
      <c r="J148" s="117" t="n">
        <f aca="false">_xlfn.IFNA(INDEX(Spectrum!$N:$N,MATCH(RIGHT($B148,13)&amp;"|"&amp;$C148&amp;"|"&amp;$D148&amp;"|"&amp;J$14&amp;"|"&amp;"CY2021Q3",Spectrum!$Q:$Q,0)),"")</f>
        <v>0.10868</v>
      </c>
      <c r="K148" s="123" t="n">
        <f aca="false">_xlfn.IFNA(INDEX(Spectrum!$P:$P,MATCH(RIGHT($B148,13)&amp;"|"&amp;$C148&amp;"|"&amp;$D148&amp;"|"&amp;J$14&amp;"|"&amp;"CY2021Q3",Spectrum!$Q:$Q,0)),"")</f>
        <v>14</v>
      </c>
      <c r="L148" s="115" t="n">
        <f aca="false">_xlfn.IFNA(ROUND(INDEX(Spectrum!$N:$N,MATCH(RIGHT($B148,13)&amp;"|"&amp;$C148&amp;"|"&amp;$D148&amp;"|"&amp;L$14&amp;"|"&amp;"CY2021Q3",Spectrum!$Q:$Q,0)),0),"")</f>
        <v>2239</v>
      </c>
      <c r="M148" s="123" t="n">
        <f aca="false">IF(OR(SUM($H148)&lt;=0,SUM($L148)&lt;=0),"",SUM($L148)/$H148)</f>
        <v>0.726712106458942</v>
      </c>
      <c r="N148" s="115" t="str">
        <f aca="false">_xlfn.IFNA(ROUND(INDEX(Spectrum!$N:$N,MATCH(RIGHT($B148,13)&amp;"|"&amp;$C148&amp;"|"&amp;$D148&amp;"|"&amp;N$14&amp;"|"&amp;"CY2020Q4",Spectrum!$Q:$Q,0)),0),"")</f>
        <v/>
      </c>
      <c r="O148" s="123" t="str">
        <f aca="false">_xlfn.IFNA(INDEX(Spectrum!$P:$P,MATCH(RIGHT($B148,13)&amp;"|"&amp;$C148&amp;"|"&amp;$D148&amp;"|"&amp;N$14&amp;"|"&amp;"CY2020Q4",Spectrum!$Q:$Q,0)),"")</f>
        <v/>
      </c>
      <c r="P148" s="115" t="n">
        <f aca="false">_xlfn.IFNA(ROUND(INDEX(Spectrum!$N:$N,MATCH(RIGHT($B148,13)&amp;"|"&amp;$C148&amp;"|"&amp;$D148&amp;"|"&amp;P$14&amp;"|"&amp;"CY2021Q3",Spectrum!$Q:$Q,0)),0),"")</f>
        <v>1690</v>
      </c>
      <c r="Q148" s="123" t="n">
        <f aca="false">_xlfn.IFNA(INDEX(Spectrum!$P:$P,MATCH(RIGHT($B148,13)&amp;"|"&amp;$C148&amp;"|"&amp;$D148&amp;"|"&amp;P$14&amp;"|"&amp;"CY2021Q3",Spectrum!$Q:$Q,0)),"")</f>
        <v>32</v>
      </c>
      <c r="R148" s="115"/>
      <c r="S148" s="123" t="str">
        <f aca="false">IF(OR(SUM($P148)&lt;=0,SUM($R148)&lt;=0),"",SUM($R148)/$P148)</f>
        <v/>
      </c>
      <c r="T148" s="139" t="n">
        <v>24</v>
      </c>
      <c r="U148" s="124" t="n">
        <v>28</v>
      </c>
      <c r="V148" s="124" t="n">
        <f aca="false">IF($U148-$T148=0,"",$U148-$T148)</f>
        <v>4</v>
      </c>
      <c r="W148" s="123" t="n">
        <f aca="false">IF(LEFT($B148,4)="_Mil","",IFERROR(MIN(IF(SUM($N148)&lt;=0,SUM($U148)/SUM($P148),SUM($T148)/SUM($N148)),1),""))</f>
        <v>0.0165680473372781</v>
      </c>
      <c r="X148" s="123" t="n">
        <f aca="false">$W148</f>
        <v>0.0165680473372781</v>
      </c>
      <c r="Y148" s="123" t="n">
        <f aca="false">IFERROR(1/(1/INDEX(Spectrum!$N:$N,MATCH(RIGHT($B148,13)&amp;"|"&amp;$C148&amp;"|"&amp;$D148&amp;"|"&amp;Y$14&amp;"|"&amp;"CY2021Q3",Spectrum!$Q:$Q,0))),IF(SUM($H148)=0,"",MAX(SUM($P148),SUM($U148))/SUM($H148)))</f>
        <v>0.548523206751055</v>
      </c>
      <c r="Z148" s="123" t="n">
        <f aca="false">IF(SUM($Y148)=0,"",MAX(SUM($Y148),90%))</f>
        <v>0.9</v>
      </c>
      <c r="AA148" s="115" t="n">
        <f aca="false">IF(LEFT($B148,4)="_Mil","",ROUND(MAX(SUM($U148),SUM($P148))+IF(SUM($Z148)=0,0,MAX(SUM($Z148)-SUM($Y148),0)*SUM($H148)),0))</f>
        <v>2773</v>
      </c>
      <c r="AB148" s="115" t="n">
        <f aca="false">IF(SUM($AA148)=0,"",ROUND(MAX(SUM($AA148)-MAX(SUM($P148),SUM($U148)),0),0))</f>
        <v>1083</v>
      </c>
      <c r="AC148" s="126" t="str">
        <f aca="false">IF($C148="&lt;01",IFERROR(ROUND(INDEX(EID!$N:$N,MATCH($B148,EID!$B:$B,0))/2,0),""),"")</f>
        <v/>
      </c>
      <c r="AD148" s="115" t="n">
        <f aca="false">IF($C148="&lt;01",IF(SUM($AC148)=0,"",ROUND(SUM($AC148)/$AG148,0)),IF(SUM($AB148)=0,"",ROUND(MAX($X148,0)*SUM($AB148),0)))</f>
        <v>18</v>
      </c>
      <c r="AE148" s="115" t="n">
        <f aca="false">IF(AND(SUM($AD148)=0,SUM($U148)=0),"",ROUND(IF($C148="&lt;01",0,SUM($U148))+SUM($AD148),0))</f>
        <v>46</v>
      </c>
      <c r="AF148" s="122" t="n">
        <f aca="false">IF($C148="&lt;01","",100%)</f>
        <v>1</v>
      </c>
      <c r="AG148" s="123" t="n">
        <f aca="false">0.98</f>
        <v>0.98</v>
      </c>
      <c r="AH148" s="123" t="n">
        <f aca="false">0.98</f>
        <v>0.98</v>
      </c>
      <c r="AI148" s="124" t="n">
        <f aca="false">IF(OR($C148="&lt;01",SUM($U148)=0),"",ROUND(SUM($U148)*(1-$AH148),0))</f>
        <v>1</v>
      </c>
      <c r="AJ148" s="124" t="n">
        <f aca="false">IF(AND(SUM($AE148)=0,SUM($U148)=0),"",IF($C148="&lt;01",SUM($AD148),SUM($AE148) - ROUND(SUM($U148)*$AH148,0)))</f>
        <v>19</v>
      </c>
      <c r="AK148" s="124" t="n">
        <v>29</v>
      </c>
      <c r="AL148" s="124" t="n">
        <v>22</v>
      </c>
      <c r="AM148" s="115" t="n">
        <f aca="false">IF(AND(SUM($AD148)=0,SUM($U148)=0),"",IF($C148="&lt;01",SUM($AD148),ROUND(ROUND(SUM($AJ148)*$AF148,0)/$AG148,0)))</f>
        <v>19</v>
      </c>
      <c r="AN148" s="122" t="n">
        <f aca="false">0.7</f>
        <v>0.7</v>
      </c>
      <c r="AO148" s="123" t="n">
        <f aca="false">1</f>
        <v>1</v>
      </c>
      <c r="AP148" s="115" t="n">
        <f aca="false">IF(AND(SUM($U148)=0,SUM($AM148)=0),"",ROUND((SUM($AM148)*$AN148+IF($C148="&lt;01",0,$U148))*$AO148,0))</f>
        <v>41</v>
      </c>
      <c r="AQ148" s="122" t="n">
        <v>45</v>
      </c>
      <c r="AR148" s="123" t="n">
        <f aca="false">0.95</f>
        <v>0.95</v>
      </c>
      <c r="AS148" s="123" t="n">
        <f aca="false">0.95</f>
        <v>0.95</v>
      </c>
      <c r="AT148" s="115" t="n">
        <f aca="false">IF(SUM($AP148)=0,"",ROUND(SUM($AP148)*$AR148,0))</f>
        <v>39</v>
      </c>
      <c r="AU148" s="115" t="n">
        <f aca="false">IF(LEFT($B148,4)="_Mil","",ROUND(SUM($AA148)*SUM($AS148),0))</f>
        <v>2634</v>
      </c>
      <c r="AV148" s="124" t="n">
        <f aca="false">IF(SUM($AU148)&lt;=0,"",MAX(SUM($AU148)-SUM($R148),0))</f>
        <v>2634</v>
      </c>
      <c r="AW148" s="122" t="n">
        <f aca="false">0</f>
        <v>0</v>
      </c>
      <c r="AX148" s="124" t="n">
        <f aca="false">IF(SUM($AM148)=0,"",ROUND(SUM($AM148)*SUM($AW148),0))</f>
        <v>0</v>
      </c>
      <c r="AY148" s="124" t="n">
        <f aca="false">IF(SUM($AM148)=0,"",SUM($AM148)-SUM($AX148))</f>
        <v>19</v>
      </c>
      <c r="AZ148" s="123" t="n">
        <v>12</v>
      </c>
      <c r="BA148" s="123" t="n">
        <f aca="false">0.95</f>
        <v>0.95</v>
      </c>
      <c r="BB148" s="123"/>
      <c r="BC148" s="123" t="n">
        <f aca="false">IF(OR(SUM($AM148)&lt;=0,$C148="&lt;01"),"",MAX(IF(OR(SUM($Y148)&lt;70%,LEFT($B148,4)="_Mil"),30%,IF(SUM($Y148)&gt;=80%,75%,50%)),SUM($BB148)))</f>
        <v>0.3</v>
      </c>
      <c r="BD148" s="115" t="n">
        <f aca="false">IF($C148="&lt;01",IFERROR(ROUND(INDEX(EID!$M:$M,MATCH($B148,EID!$B:$B,0)),0)/2,""),IF(SUM($AY148)=0,"",ROUND(SUM($AY148)/SUM($BA148),0)))</f>
        <v>20</v>
      </c>
      <c r="BE148" s="115" t="n">
        <f aca="false">IF($C148="&lt;01","",IF(SUM($BD148)=0,"",ROUND(SUM($BD148)*SUM($BC148),0)))</f>
        <v>6</v>
      </c>
      <c r="BF148" s="115" t="str">
        <f aca="false">_xlfn.IFNA(INDEX(PMTCT!$AE:$AE,MATCH($E148,PMTCT!$E:$E,0)),"")</f>
        <v/>
      </c>
      <c r="BG148" s="115" t="str">
        <f aca="false">_xlfn.IFNA(INDEX(PMTCT!$AU:$AU,MATCH($E148,PMTCT!$E:$E,0)),"")</f>
        <v/>
      </c>
      <c r="BH148" s="115" t="n">
        <f aca="false">_xlfn.IFNA(INDEX(TB!$Q:$Q,MATCH($E148,TB!$E:$E,0)),"")</f>
        <v>-54648</v>
      </c>
      <c r="BI148" s="115" t="str">
        <f aca="false">_xlfn.IFNA(INDEX(VMMC!$AC:$AC,MATCH($E148,VMMC!$E:$E,0)),"")</f>
        <v/>
      </c>
      <c r="BJ148" s="115" t="str">
        <f aca="false">IF($C148="&lt;01",$BD148,"")</f>
        <v/>
      </c>
      <c r="BK148" s="115" t="n">
        <f aca="false">IF(SUM($BD148)=0,"",($BD148)-SUM($BE148:$BJ148))</f>
        <v>54662</v>
      </c>
      <c r="BL148" s="123" t="n">
        <f aca="false">IF(OR(SUM($BD148)=0,SUM($BE148)=0),"",SUM($BE148)/$BD148)</f>
        <v>0.3</v>
      </c>
      <c r="BM148" s="123" t="str">
        <f aca="false">IF(OR(SUM($BD148)=0,SUM($BF148)=0),"",SUM($BF148)/$BD148)</f>
        <v/>
      </c>
      <c r="BN148" s="123" t="str">
        <f aca="false">IF(OR(SUM($BD148)=0,SUM($BG148)=0),"",SUM($BG148)/$BD148)</f>
        <v/>
      </c>
      <c r="BO148" s="123" t="n">
        <f aca="false">IF(OR(SUM($BD148)=0,SUM($BH148)=0),"",SUM($BH148)/$BD148)</f>
        <v>-2732.4</v>
      </c>
      <c r="BP148" s="123" t="str">
        <f aca="false">IF(OR(SUM($BD148)=0,SUM($BI148)=0),"",SUM($BI148)/$BD148)</f>
        <v/>
      </c>
      <c r="BQ148" s="123" t="str">
        <f aca="false">IF(AND($C148="&lt;01",SUM($BJ148)&lt;&gt;0),$BJ148/SUM($BD148),"")</f>
        <v/>
      </c>
      <c r="BR148" s="123" t="n">
        <f aca="false">IF(OR(SUM($BD148)=0,SUM($BK148)=0),"",SUM($BK148)/$BD148)</f>
        <v>2733.1</v>
      </c>
      <c r="BS148" s="122" t="n">
        <f aca="false">IF(SUM($X148)&lt;=0,"",$X148)</f>
        <v>0.0165680473372781</v>
      </c>
      <c r="BT148" s="115" t="n">
        <f aca="false">IF(LEFT($B148,4)="_Mil","",MAX(SUM($L148)+ROUND(SUM($BD148)/IF(SUM($BS148)&lt;=0,1,SUM($BS148)),0),0))</f>
        <v>3446</v>
      </c>
    </row>
    <row r="149" customFormat="false" ht="15" hidden="false" customHeight="false" outlineLevel="0" collapsed="false">
      <c r="A149" s="0" t="s">
        <v>146</v>
      </c>
      <c r="B149" s="0" t="s">
        <v>45</v>
      </c>
      <c r="C149" s="0" t="s">
        <v>72</v>
      </c>
      <c r="D149" s="0" t="s">
        <v>56</v>
      </c>
      <c r="E149" s="0" t="str">
        <f aca="false">B149&amp;"|"&amp;C149&amp;"|"&amp;D149</f>
        <v>Maseru [#SNU] [#DREAMS] [tKOXiaNhAyJ]|30-34|Female</v>
      </c>
      <c r="F149" s="115" t="n">
        <f aca="false">_xlfn.IFNA(ROUND(INDEX(Spectrum!$N:$N,MATCH(RIGHT($B149,13)&amp;"|"&amp;$C149&amp;"|"&amp;$D149&amp;"|"&amp;F$14&amp;"|"&amp;"CY2021Q3",Spectrum!$Q:$Q,0)),0),"")</f>
        <v>27821</v>
      </c>
      <c r="G149" s="123" t="n">
        <f aca="false">_xlfn.IFNA(INDEX(Spectrum!$P:$P,MATCH(RIGHT($B149,13)&amp;"|"&amp;$C149&amp;"|"&amp;$D149&amp;"|"&amp;F$14&amp;"|"&amp;"CY2021Q3",Spectrum!$Q:$Q,0)),"")</f>
        <v>49</v>
      </c>
      <c r="H149" s="115" t="n">
        <f aca="false">_xlfn.IFNA(ROUND(INDEX(Spectrum!$N:$N,MATCH(RIGHT($B149,13)&amp;"|"&amp;$C149&amp;"|"&amp;$D149&amp;"|"&amp;H$14&amp;"|"&amp;"CY2021Q3",Spectrum!$Q:$Q,0)),0),"")</f>
        <v>10212</v>
      </c>
      <c r="I149" s="123" t="n">
        <f aca="false">_xlfn.IFNA(INDEX(Spectrum!$P:$P,MATCH(RIGHT($B149,13)&amp;"|"&amp;$C149&amp;"|"&amp;$D149&amp;"|"&amp;H$14&amp;"|"&amp;"CY2021Q3",Spectrum!$Q:$Q,0)),"")</f>
        <v>21</v>
      </c>
      <c r="J149" s="117" t="n">
        <f aca="false">_xlfn.IFNA(INDEX(Spectrum!$N:$N,MATCH(RIGHT($B149,13)&amp;"|"&amp;$C149&amp;"|"&amp;$D149&amp;"|"&amp;J$14&amp;"|"&amp;"CY2021Q3",Spectrum!$Q:$Q,0)),"")</f>
        <v>0.3670507</v>
      </c>
      <c r="K149" s="123" t="n">
        <f aca="false">_xlfn.IFNA(INDEX(Spectrum!$P:$P,MATCH(RIGHT($B149,13)&amp;"|"&amp;$C149&amp;"|"&amp;$D149&amp;"|"&amp;J$14&amp;"|"&amp;"CY2021Q3",Spectrum!$Q:$Q,0)),"")</f>
        <v>23</v>
      </c>
      <c r="L149" s="115" t="n">
        <f aca="false">_xlfn.IFNA(ROUND(INDEX(Spectrum!$N:$N,MATCH(RIGHT($B149,13)&amp;"|"&amp;$C149&amp;"|"&amp;$D149&amp;"|"&amp;L$14&amp;"|"&amp;"CY2021Q3",Spectrum!$Q:$Q,0)),0),"")</f>
        <v>7644</v>
      </c>
      <c r="M149" s="123" t="n">
        <f aca="false">IF(OR(SUM($H149)&lt;=0,SUM($L149)&lt;=0),"",SUM($L149)/$H149)</f>
        <v>0.748531139835488</v>
      </c>
      <c r="N149" s="115" t="str">
        <f aca="false">_xlfn.IFNA(ROUND(INDEX(Spectrum!$N:$N,MATCH(RIGHT($B149,13)&amp;"|"&amp;$C149&amp;"|"&amp;$D149&amp;"|"&amp;N$14&amp;"|"&amp;"CY2020Q4",Spectrum!$Q:$Q,0)),0),"")</f>
        <v/>
      </c>
      <c r="O149" s="123" t="str">
        <f aca="false">_xlfn.IFNA(INDEX(Spectrum!$P:$P,MATCH(RIGHT($B149,13)&amp;"|"&amp;$C149&amp;"|"&amp;$D149&amp;"|"&amp;N$14&amp;"|"&amp;"CY2020Q4",Spectrum!$Q:$Q,0)),"")</f>
        <v/>
      </c>
      <c r="P149" s="115" t="n">
        <f aca="false">_xlfn.IFNA(ROUND(INDEX(Spectrum!$N:$N,MATCH(RIGHT($B149,13)&amp;"|"&amp;$C149&amp;"|"&amp;$D149&amp;"|"&amp;P$14&amp;"|"&amp;"CY2021Q3",Spectrum!$Q:$Q,0)),0),"")</f>
        <v>6856</v>
      </c>
      <c r="Q149" s="123" t="n">
        <f aca="false">_xlfn.IFNA(INDEX(Spectrum!$P:$P,MATCH(RIGHT($B149,13)&amp;"|"&amp;$C149&amp;"|"&amp;$D149&amp;"|"&amp;P$14&amp;"|"&amp;"CY2021Q3",Spectrum!$Q:$Q,0)),"")</f>
        <v>39</v>
      </c>
      <c r="R149" s="115"/>
      <c r="S149" s="123" t="str">
        <f aca="false">IF(OR(SUM($P149)&lt;=0,SUM($R149)&lt;=0),"",SUM($R149)/$P149)</f>
        <v/>
      </c>
      <c r="T149" s="139" t="n">
        <v>11</v>
      </c>
      <c r="U149" s="124" t="n">
        <v>28</v>
      </c>
      <c r="V149" s="124" t="n">
        <f aca="false">IF($U149-$T149=0,"",$U149-$T149)</f>
        <v>17</v>
      </c>
      <c r="W149" s="123" t="n">
        <f aca="false">IF(LEFT($B149,4)="_Mil","",IFERROR(MIN(IF(SUM($N149)&lt;=0,SUM($U149)/SUM($P149),SUM($T149)/SUM($N149)),1),""))</f>
        <v>0.00408401400233372</v>
      </c>
      <c r="X149" s="123" t="n">
        <f aca="false">$W149</f>
        <v>0.00408401400233372</v>
      </c>
      <c r="Y149" s="123" t="n">
        <f aca="false">IFERROR(1/(1/INDEX(Spectrum!$N:$N,MATCH(RIGHT($B149,13)&amp;"|"&amp;$C149&amp;"|"&amp;$D149&amp;"|"&amp;Y$14&amp;"|"&amp;"CY2021Q3",Spectrum!$Q:$Q,0))),IF(SUM($H149)=0,"",MAX(SUM($P149),SUM($U149))/SUM($H149)))</f>
        <v>0.671367019193106</v>
      </c>
      <c r="Z149" s="123" t="n">
        <f aca="false">IF(SUM($Y149)=0,"",MAX(SUM($Y149),90%))</f>
        <v>0.9</v>
      </c>
      <c r="AA149" s="115" t="n">
        <f aca="false">IF(LEFT($B149,4)="_Mil","",ROUND(MAX(SUM($U149),SUM($P149))+IF(SUM($Z149)=0,0,MAX(SUM($Z149)-SUM($Y149),0)*SUM($H149)),0))</f>
        <v>9191</v>
      </c>
      <c r="AB149" s="115" t="n">
        <f aca="false">IF(SUM($AA149)=0,"",ROUND(MAX(SUM($AA149)-MAX(SUM($P149),SUM($U149)),0),0))</f>
        <v>2335</v>
      </c>
      <c r="AC149" s="126" t="str">
        <f aca="false">IF($C149="&lt;01",IFERROR(ROUND(INDEX(EID!$N:$N,MATCH($B149,EID!$B:$B,0))/2,0),""),"")</f>
        <v/>
      </c>
      <c r="AD149" s="115" t="n">
        <f aca="false">IF($C149="&lt;01",IF(SUM($AC149)=0,"",ROUND(SUM($AC149)/$AG149,0)),IF(SUM($AB149)=0,"",ROUND(MAX($X149,0)*SUM($AB149),0)))</f>
        <v>10</v>
      </c>
      <c r="AE149" s="115" t="n">
        <f aca="false">IF(AND(SUM($AD149)=0,SUM($U149)=0),"",ROUND(IF($C149="&lt;01",0,SUM($U149))+SUM($AD149),0))</f>
        <v>38</v>
      </c>
      <c r="AF149" s="122" t="n">
        <f aca="false">IF($C149="&lt;01","",100%)</f>
        <v>1</v>
      </c>
      <c r="AG149" s="123" t="n">
        <f aca="false">0.98</f>
        <v>0.98</v>
      </c>
      <c r="AH149" s="123" t="n">
        <f aca="false">0.98</f>
        <v>0.98</v>
      </c>
      <c r="AI149" s="124" t="n">
        <f aca="false">IF(OR($C149="&lt;01",SUM($U149)=0),"",ROUND(SUM($U149)*(1-$AH149),0))</f>
        <v>1</v>
      </c>
      <c r="AJ149" s="124" t="n">
        <f aca="false">IF(AND(SUM($AE149)=0,SUM($U149)=0),"",IF($C149="&lt;01",SUM($AD149),SUM($AE149) - ROUND(SUM($U149)*$AH149,0)))</f>
        <v>11</v>
      </c>
      <c r="AK149" s="124" t="n">
        <v>18</v>
      </c>
      <c r="AL149" s="124" t="n">
        <v>11</v>
      </c>
      <c r="AM149" s="115" t="n">
        <f aca="false">IF(AND(SUM($AD149)=0,SUM($U149)=0),"",IF($C149="&lt;01",SUM($AD149),ROUND(ROUND(SUM($AJ149)*$AF149,0)/$AG149,0)))</f>
        <v>11</v>
      </c>
      <c r="AN149" s="122" t="n">
        <f aca="false">0.7</f>
        <v>0.7</v>
      </c>
      <c r="AO149" s="123" t="n">
        <f aca="false">1</f>
        <v>1</v>
      </c>
      <c r="AP149" s="115" t="n">
        <f aca="false">IF(AND(SUM($U149)=0,SUM($AM149)=0),"",ROUND((SUM($AM149)*$AN149+IF($C149="&lt;01",0,$U149))*$AO149,0))</f>
        <v>36</v>
      </c>
      <c r="AQ149" s="122" t="n">
        <v>13</v>
      </c>
      <c r="AR149" s="123" t="n">
        <f aca="false">0.95</f>
        <v>0.95</v>
      </c>
      <c r="AS149" s="123" t="n">
        <f aca="false">0.95</f>
        <v>0.95</v>
      </c>
      <c r="AT149" s="115" t="n">
        <f aca="false">IF(SUM($AP149)=0,"",ROUND(SUM($AP149)*$AR149,0))</f>
        <v>34</v>
      </c>
      <c r="AU149" s="115" t="n">
        <f aca="false">IF(LEFT($B149,4)="_Mil","",ROUND(SUM($AA149)*SUM($AS149),0))</f>
        <v>8731</v>
      </c>
      <c r="AV149" s="124" t="n">
        <f aca="false">IF(SUM($AU149)&lt;=0,"",MAX(SUM($AU149)-SUM($R149),0))</f>
        <v>8731</v>
      </c>
      <c r="AW149" s="122" t="n">
        <f aca="false">0</f>
        <v>0</v>
      </c>
      <c r="AX149" s="124" t="n">
        <f aca="false">IF(SUM($AM149)=0,"",ROUND(SUM($AM149)*SUM($AW149),0))</f>
        <v>0</v>
      </c>
      <c r="AY149" s="124" t="n">
        <f aca="false">IF(SUM($AM149)=0,"",SUM($AM149)-SUM($AX149))</f>
        <v>11</v>
      </c>
      <c r="AZ149" s="123" t="n">
        <v>16</v>
      </c>
      <c r="BA149" s="123" t="n">
        <f aca="false">0.95</f>
        <v>0.95</v>
      </c>
      <c r="BB149" s="123"/>
      <c r="BC149" s="123" t="n">
        <f aca="false">IF(OR(SUM($AM149)&lt;=0,$C149="&lt;01"),"",MAX(IF(OR(SUM($Y149)&lt;70%,LEFT($B149,4)="_Mil"),30%,IF(SUM($Y149)&gt;=80%,75%,50%)),SUM($BB149)))</f>
        <v>0.3</v>
      </c>
      <c r="BD149" s="115" t="n">
        <f aca="false">IF($C149="&lt;01",IFERROR(ROUND(INDEX(EID!$M:$M,MATCH($B149,EID!$B:$B,0)),0)/2,""),IF(SUM($AY149)=0,"",ROUND(SUM($AY149)/SUM($BA149),0)))</f>
        <v>12</v>
      </c>
      <c r="BE149" s="115" t="n">
        <f aca="false">IF($C149="&lt;01","",IF(SUM($BD149)=0,"",ROUND(SUM($BD149)*SUM($BC149),0)))</f>
        <v>4</v>
      </c>
      <c r="BF149" s="115" t="n">
        <f aca="false">_xlfn.IFNA(INDEX(PMTCT!$AE:$AE,MATCH($E149,PMTCT!$E:$E,0)),"")</f>
        <v>-25530</v>
      </c>
      <c r="BG149" s="115" t="str">
        <f aca="false">_xlfn.IFNA(INDEX(PMTCT!$AU:$AU,MATCH($E149,PMTCT!$E:$E,0)),"")</f>
        <v/>
      </c>
      <c r="BH149" s="115" t="n">
        <f aca="false">_xlfn.IFNA(INDEX(TB!$Q:$Q,MATCH($E149,TB!$E:$E,0)),"")</f>
        <v>-1620</v>
      </c>
      <c r="BI149" s="115" t="str">
        <f aca="false">_xlfn.IFNA(INDEX(VMMC!$AC:$AC,MATCH($E149,VMMC!$E:$E,0)),"")</f>
        <v/>
      </c>
      <c r="BJ149" s="115" t="str">
        <f aca="false">IF($C149="&lt;01",$BD149,"")</f>
        <v/>
      </c>
      <c r="BK149" s="115" t="n">
        <f aca="false">IF(SUM($BD149)=0,"",($BD149)-SUM($BE149:$BJ149))</f>
        <v>27158</v>
      </c>
      <c r="BL149" s="123" t="n">
        <f aca="false">IF(OR(SUM($BD149)=0,SUM($BE149)=0),"",SUM($BE149)/$BD149)</f>
        <v>0.333333333333333</v>
      </c>
      <c r="BM149" s="123" t="n">
        <f aca="false">IF(OR(SUM($BD149)=0,SUM($BF149)=0),"",SUM($BF149)/$BD149)</f>
        <v>-2127.5</v>
      </c>
      <c r="BN149" s="123" t="str">
        <f aca="false">IF(OR(SUM($BD149)=0,SUM($BG149)=0),"",SUM($BG149)/$BD149)</f>
        <v/>
      </c>
      <c r="BO149" s="123" t="n">
        <f aca="false">IF(OR(SUM($BD149)=0,SUM($BH149)=0),"",SUM($BH149)/$BD149)</f>
        <v>-135</v>
      </c>
      <c r="BP149" s="123" t="str">
        <f aca="false">IF(OR(SUM($BD149)=0,SUM($BI149)=0),"",SUM($BI149)/$BD149)</f>
        <v/>
      </c>
      <c r="BQ149" s="123" t="str">
        <f aca="false">IF(AND($C149="&lt;01",SUM($BJ149)&lt;&gt;0),$BJ149/SUM($BD149),"")</f>
        <v/>
      </c>
      <c r="BR149" s="123" t="n">
        <f aca="false">IF(OR(SUM($BD149)=0,SUM($BK149)=0),"",SUM($BK149)/$BD149)</f>
        <v>2263.16666666667</v>
      </c>
      <c r="BS149" s="122" t="n">
        <f aca="false">IF(SUM($X149)&lt;=0,"",$X149)</f>
        <v>0.00408401400233372</v>
      </c>
      <c r="BT149" s="115" t="n">
        <f aca="false">IF(LEFT($B149,4)="_Mil","",MAX(SUM($L149)+ROUND(SUM($BD149)/IF(SUM($BS149)&lt;=0,1,SUM($BS149)),0),0))</f>
        <v>10582</v>
      </c>
    </row>
    <row r="150" customFormat="false" ht="15" hidden="false" customHeight="false" outlineLevel="0" collapsed="false">
      <c r="A150" s="0" t="s">
        <v>146</v>
      </c>
      <c r="B150" s="0" t="s">
        <v>45</v>
      </c>
      <c r="C150" s="0" t="s">
        <v>72</v>
      </c>
      <c r="D150" s="0" t="s">
        <v>58</v>
      </c>
      <c r="E150" s="0" t="str">
        <f aca="false">B150&amp;"|"&amp;C150&amp;"|"&amp;D150</f>
        <v>Maseru [#SNU] [#DREAMS] [tKOXiaNhAyJ]|30-34|Male</v>
      </c>
      <c r="F150" s="115" t="n">
        <f aca="false">_xlfn.IFNA(ROUND(INDEX(Spectrum!$N:$N,MATCH(RIGHT($B150,13)&amp;"|"&amp;$C150&amp;"|"&amp;$D150&amp;"|"&amp;F$14&amp;"|"&amp;"CY2021Q3",Spectrum!$Q:$Q,0)),0),"")</f>
        <v>27810</v>
      </c>
      <c r="G150" s="123" t="n">
        <f aca="false">_xlfn.IFNA(INDEX(Spectrum!$P:$P,MATCH(RIGHT($B150,13)&amp;"|"&amp;$C150&amp;"|"&amp;$D150&amp;"|"&amp;F$14&amp;"|"&amp;"CY2021Q3",Spectrum!$Q:$Q,0)),"")</f>
        <v>35</v>
      </c>
      <c r="H150" s="115" t="n">
        <f aca="false">_xlfn.IFNA(ROUND(INDEX(Spectrum!$N:$N,MATCH(RIGHT($B150,13)&amp;"|"&amp;$C150&amp;"|"&amp;$D150&amp;"|"&amp;H$14&amp;"|"&amp;"CY2021Q3",Spectrum!$Q:$Q,0)),0),"")</f>
        <v>5606</v>
      </c>
      <c r="I150" s="123" t="n">
        <f aca="false">_xlfn.IFNA(INDEX(Spectrum!$P:$P,MATCH(RIGHT($B150,13)&amp;"|"&amp;$C150&amp;"|"&amp;$D150&amp;"|"&amp;H$14&amp;"|"&amp;"CY2021Q3",Spectrum!$Q:$Q,0)),"")</f>
        <v>30</v>
      </c>
      <c r="J150" s="117" t="n">
        <f aca="false">_xlfn.IFNA(INDEX(Spectrum!$N:$N,MATCH(RIGHT($B150,13)&amp;"|"&amp;$C150&amp;"|"&amp;$D150&amp;"|"&amp;J$14&amp;"|"&amp;"CY2021Q3",Spectrum!$Q:$Q,0)),"")</f>
        <v>0.2015939</v>
      </c>
      <c r="K150" s="123" t="n">
        <f aca="false">_xlfn.IFNA(INDEX(Spectrum!$P:$P,MATCH(RIGHT($B150,13)&amp;"|"&amp;$C150&amp;"|"&amp;$D150&amp;"|"&amp;J$14&amp;"|"&amp;"CY2021Q3",Spectrum!$Q:$Q,0)),"")</f>
        <v>42</v>
      </c>
      <c r="L150" s="115" t="n">
        <f aca="false">_xlfn.IFNA(ROUND(INDEX(Spectrum!$N:$N,MATCH(RIGHT($B150,13)&amp;"|"&amp;$C150&amp;"|"&amp;$D150&amp;"|"&amp;L$14&amp;"|"&amp;"CY2021Q3",Spectrum!$Q:$Q,0)),0),"")</f>
        <v>3959</v>
      </c>
      <c r="M150" s="123" t="n">
        <f aca="false">IF(OR(SUM($H150)&lt;=0,SUM($L150)&lt;=0),"",SUM($L150)/$H150)</f>
        <v>0.706207634677132</v>
      </c>
      <c r="N150" s="115" t="str">
        <f aca="false">_xlfn.IFNA(ROUND(INDEX(Spectrum!$N:$N,MATCH(RIGHT($B150,13)&amp;"|"&amp;$C150&amp;"|"&amp;$D150&amp;"|"&amp;N$14&amp;"|"&amp;"CY2020Q4",Spectrum!$Q:$Q,0)),0),"")</f>
        <v/>
      </c>
      <c r="O150" s="123" t="str">
        <f aca="false">_xlfn.IFNA(INDEX(Spectrum!$P:$P,MATCH(RIGHT($B150,13)&amp;"|"&amp;$C150&amp;"|"&amp;$D150&amp;"|"&amp;N$14&amp;"|"&amp;"CY2020Q4",Spectrum!$Q:$Q,0)),"")</f>
        <v/>
      </c>
      <c r="P150" s="115" t="n">
        <f aca="false">_xlfn.IFNA(ROUND(INDEX(Spectrum!$N:$N,MATCH(RIGHT($B150,13)&amp;"|"&amp;$C150&amp;"|"&amp;$D150&amp;"|"&amp;P$14&amp;"|"&amp;"CY2021Q3",Spectrum!$Q:$Q,0)),0),"")</f>
        <v>3149</v>
      </c>
      <c r="Q150" s="123" t="n">
        <f aca="false">_xlfn.IFNA(INDEX(Spectrum!$P:$P,MATCH(RIGHT($B150,13)&amp;"|"&amp;$C150&amp;"|"&amp;$D150&amp;"|"&amp;P$14&amp;"|"&amp;"CY2021Q3",Spectrum!$Q:$Q,0)),"")</f>
        <v>37</v>
      </c>
      <c r="R150" s="115"/>
      <c r="S150" s="123" t="str">
        <f aca="false">IF(OR(SUM($P150)&lt;=0,SUM($R150)&lt;=0),"",SUM($R150)/$P150)</f>
        <v/>
      </c>
      <c r="T150" s="139" t="n">
        <v>2</v>
      </c>
      <c r="U150" s="124" t="n">
        <v>32</v>
      </c>
      <c r="V150" s="124" t="n">
        <f aca="false">IF($U150-$T150=0,"",$U150-$T150)</f>
        <v>30</v>
      </c>
      <c r="W150" s="123" t="n">
        <f aca="false">IF(LEFT($B150,4)="_Mil","",IFERROR(MIN(IF(SUM($N150)&lt;=0,SUM($U150)/SUM($P150),SUM($T150)/SUM($N150)),1),""))</f>
        <v>0.010161956176564</v>
      </c>
      <c r="X150" s="123" t="n">
        <f aca="false">$W150</f>
        <v>0.010161956176564</v>
      </c>
      <c r="Y150" s="123" t="n">
        <f aca="false">IFERROR(1/(1/INDEX(Spectrum!$N:$N,MATCH(RIGHT($B150,13)&amp;"|"&amp;$C150&amp;"|"&amp;$D150&amp;"|"&amp;Y$14&amp;"|"&amp;"CY2021Q3",Spectrum!$Q:$Q,0))),IF(SUM($H150)=0,"",MAX(SUM($P150),SUM($U150))/SUM($H150)))</f>
        <v>0.561719586157688</v>
      </c>
      <c r="Z150" s="123" t="n">
        <f aca="false">IF(SUM($Y150)=0,"",MAX(SUM($Y150),90%))</f>
        <v>0.9</v>
      </c>
      <c r="AA150" s="115" t="n">
        <f aca="false">IF(LEFT($B150,4)="_Mil","",ROUND(MAX(SUM($U150),SUM($P150))+IF(SUM($Z150)=0,0,MAX(SUM($Z150)-SUM($Y150),0)*SUM($H150)),0))</f>
        <v>5045</v>
      </c>
      <c r="AB150" s="115" t="n">
        <f aca="false">IF(SUM($AA150)=0,"",ROUND(MAX(SUM($AA150)-MAX(SUM($P150),SUM($U150)),0),0))</f>
        <v>1896</v>
      </c>
      <c r="AC150" s="126" t="str">
        <f aca="false">IF($C150="&lt;01",IFERROR(ROUND(INDEX(EID!$N:$N,MATCH($B150,EID!$B:$B,0))/2,0),""),"")</f>
        <v/>
      </c>
      <c r="AD150" s="115" t="n">
        <f aca="false">IF($C150="&lt;01",IF(SUM($AC150)=0,"",ROUND(SUM($AC150)/$AG150,0)),IF(SUM($AB150)=0,"",ROUND(MAX($X150,0)*SUM($AB150),0)))</f>
        <v>19</v>
      </c>
      <c r="AE150" s="115" t="n">
        <f aca="false">IF(AND(SUM($AD150)=0,SUM($U150)=0),"",ROUND(IF($C150="&lt;01",0,SUM($U150))+SUM($AD150),0))</f>
        <v>51</v>
      </c>
      <c r="AF150" s="122" t="n">
        <f aca="false">IF($C150="&lt;01","",100%)</f>
        <v>1</v>
      </c>
      <c r="AG150" s="123" t="n">
        <f aca="false">0.98</f>
        <v>0.98</v>
      </c>
      <c r="AH150" s="123" t="n">
        <f aca="false">0.98</f>
        <v>0.98</v>
      </c>
      <c r="AI150" s="124" t="n">
        <f aca="false">IF(OR($C150="&lt;01",SUM($U150)=0),"",ROUND(SUM($U150)*(1-$AH150),0))</f>
        <v>1</v>
      </c>
      <c r="AJ150" s="124" t="n">
        <f aca="false">IF(AND(SUM($AE150)=0,SUM($U150)=0),"",IF($C150="&lt;01",SUM($AD150),SUM($AE150) - ROUND(SUM($U150)*$AH150,0)))</f>
        <v>20</v>
      </c>
      <c r="AK150" s="124" t="n">
        <v>16</v>
      </c>
      <c r="AL150" s="124" t="n">
        <v>36</v>
      </c>
      <c r="AM150" s="115" t="n">
        <f aca="false">IF(AND(SUM($AD150)=0,SUM($U150)=0),"",IF($C150="&lt;01",SUM($AD150),ROUND(ROUND(SUM($AJ150)*$AF150,0)/$AG150,0)))</f>
        <v>20</v>
      </c>
      <c r="AN150" s="122" t="n">
        <f aca="false">0.7</f>
        <v>0.7</v>
      </c>
      <c r="AO150" s="123" t="n">
        <f aca="false">1</f>
        <v>1</v>
      </c>
      <c r="AP150" s="115" t="n">
        <f aca="false">IF(AND(SUM($U150)=0,SUM($AM150)=0),"",ROUND((SUM($AM150)*$AN150+IF($C150="&lt;01",0,$U150))*$AO150,0))</f>
        <v>46</v>
      </c>
      <c r="AQ150" s="122" t="n">
        <v>28</v>
      </c>
      <c r="AR150" s="123" t="n">
        <f aca="false">0.95</f>
        <v>0.95</v>
      </c>
      <c r="AS150" s="123" t="n">
        <f aca="false">0.95</f>
        <v>0.95</v>
      </c>
      <c r="AT150" s="115" t="n">
        <f aca="false">IF(SUM($AP150)=0,"",ROUND(SUM($AP150)*$AR150,0))</f>
        <v>44</v>
      </c>
      <c r="AU150" s="115" t="n">
        <f aca="false">IF(LEFT($B150,4)="_Mil","",ROUND(SUM($AA150)*SUM($AS150),0))</f>
        <v>4793</v>
      </c>
      <c r="AV150" s="124" t="n">
        <f aca="false">IF(SUM($AU150)&lt;=0,"",MAX(SUM($AU150)-SUM($R150),0))</f>
        <v>4793</v>
      </c>
      <c r="AW150" s="122" t="n">
        <f aca="false">0</f>
        <v>0</v>
      </c>
      <c r="AX150" s="124" t="n">
        <f aca="false">IF(SUM($AM150)=0,"",ROUND(SUM($AM150)*SUM($AW150),0))</f>
        <v>0</v>
      </c>
      <c r="AY150" s="124" t="n">
        <f aca="false">IF(SUM($AM150)=0,"",SUM($AM150)-SUM($AX150))</f>
        <v>20</v>
      </c>
      <c r="AZ150" s="123" t="n">
        <v>49</v>
      </c>
      <c r="BA150" s="123" t="n">
        <f aca="false">0.95</f>
        <v>0.95</v>
      </c>
      <c r="BB150" s="123"/>
      <c r="BC150" s="123" t="n">
        <f aca="false">IF(OR(SUM($AM150)&lt;=0,$C150="&lt;01"),"",MAX(IF(OR(SUM($Y150)&lt;70%,LEFT($B150,4)="_Mil"),30%,IF(SUM($Y150)&gt;=80%,75%,50%)),SUM($BB150)))</f>
        <v>0.3</v>
      </c>
      <c r="BD150" s="115" t="n">
        <f aca="false">IF($C150="&lt;01",IFERROR(ROUND(INDEX(EID!$M:$M,MATCH($B150,EID!$B:$B,0)),0)/2,""),IF(SUM($AY150)=0,"",ROUND(SUM($AY150)/SUM($BA150),0)))</f>
        <v>21</v>
      </c>
      <c r="BE150" s="115" t="n">
        <f aca="false">IF($C150="&lt;01","",IF(SUM($BD150)=0,"",ROUND(SUM($BD150)*SUM($BC150),0)))</f>
        <v>6</v>
      </c>
      <c r="BF150" s="115" t="str">
        <f aca="false">_xlfn.IFNA(INDEX(PMTCT!$AE:$AE,MATCH($E150,PMTCT!$E:$E,0)),"")</f>
        <v/>
      </c>
      <c r="BG150" s="115" t="str">
        <f aca="false">_xlfn.IFNA(INDEX(PMTCT!$AU:$AU,MATCH($E150,PMTCT!$E:$E,0)),"")</f>
        <v/>
      </c>
      <c r="BH150" s="115" t="n">
        <f aca="false">_xlfn.IFNA(INDEX(TB!$Q:$Q,MATCH($E150,TB!$E:$E,0)),"")</f>
        <v>-57684</v>
      </c>
      <c r="BI150" s="115" t="str">
        <f aca="false">_xlfn.IFNA(INDEX(VMMC!$AC:$AC,MATCH($E150,VMMC!$E:$E,0)),"")</f>
        <v/>
      </c>
      <c r="BJ150" s="115" t="str">
        <f aca="false">IF($C150="&lt;01",$BD150,"")</f>
        <v/>
      </c>
      <c r="BK150" s="115" t="n">
        <f aca="false">IF(SUM($BD150)=0,"",($BD150)-SUM($BE150:$BJ150))</f>
        <v>57699</v>
      </c>
      <c r="BL150" s="123" t="n">
        <f aca="false">IF(OR(SUM($BD150)=0,SUM($BE150)=0),"",SUM($BE150)/$BD150)</f>
        <v>0.285714285714286</v>
      </c>
      <c r="BM150" s="123" t="str">
        <f aca="false">IF(OR(SUM($BD150)=0,SUM($BF150)=0),"",SUM($BF150)/$BD150)</f>
        <v/>
      </c>
      <c r="BN150" s="123" t="str">
        <f aca="false">IF(OR(SUM($BD150)=0,SUM($BG150)=0),"",SUM($BG150)/$BD150)</f>
        <v/>
      </c>
      <c r="BO150" s="123" t="n">
        <f aca="false">IF(OR(SUM($BD150)=0,SUM($BH150)=0),"",SUM($BH150)/$BD150)</f>
        <v>-2746.85714285714</v>
      </c>
      <c r="BP150" s="123" t="str">
        <f aca="false">IF(OR(SUM($BD150)=0,SUM($BI150)=0),"",SUM($BI150)/$BD150)</f>
        <v/>
      </c>
      <c r="BQ150" s="123" t="str">
        <f aca="false">IF(AND($C150="&lt;01",SUM($BJ150)&lt;&gt;0),$BJ150/SUM($BD150),"")</f>
        <v/>
      </c>
      <c r="BR150" s="123" t="n">
        <f aca="false">IF(OR(SUM($BD150)=0,SUM($BK150)=0),"",SUM($BK150)/$BD150)</f>
        <v>2747.57142857143</v>
      </c>
      <c r="BS150" s="122" t="n">
        <f aca="false">IF(SUM($X150)&lt;=0,"",$X150)</f>
        <v>0.010161956176564</v>
      </c>
      <c r="BT150" s="115" t="n">
        <f aca="false">IF(LEFT($B150,4)="_Mil","",MAX(SUM($L150)+ROUND(SUM($BD150)/IF(SUM($BS150)&lt;=0,1,SUM($BS150)),0),0))</f>
        <v>6026</v>
      </c>
    </row>
    <row r="151" customFormat="false" ht="15" hidden="false" customHeight="false" outlineLevel="0" collapsed="false">
      <c r="A151" s="0" t="s">
        <v>146</v>
      </c>
      <c r="B151" s="0" t="s">
        <v>45</v>
      </c>
      <c r="C151" s="0" t="s">
        <v>75</v>
      </c>
      <c r="D151" s="0" t="s">
        <v>56</v>
      </c>
      <c r="E151" s="0" t="str">
        <f aca="false">B151&amp;"|"&amp;C151&amp;"|"&amp;D151</f>
        <v>Maseru [#SNU] [#DREAMS] [tKOXiaNhAyJ]|35-39|Female</v>
      </c>
      <c r="F151" s="115" t="n">
        <f aca="false">_xlfn.IFNA(ROUND(INDEX(Spectrum!$N:$N,MATCH(RIGHT($B151,13)&amp;"|"&amp;$C151&amp;"|"&amp;$D151&amp;"|"&amp;F$14&amp;"|"&amp;"CY2021Q3",Spectrum!$Q:$Q,0)),0),"")</f>
        <v>21708</v>
      </c>
      <c r="G151" s="123" t="n">
        <f aca="false">_xlfn.IFNA(INDEX(Spectrum!$P:$P,MATCH(RIGHT($B151,13)&amp;"|"&amp;$C151&amp;"|"&amp;$D151&amp;"|"&amp;F$14&amp;"|"&amp;"CY2021Q3",Spectrum!$Q:$Q,0)),"")</f>
        <v>38</v>
      </c>
      <c r="H151" s="115" t="n">
        <f aca="false">_xlfn.IFNA(ROUND(INDEX(Spectrum!$N:$N,MATCH(RIGHT($B151,13)&amp;"|"&amp;$C151&amp;"|"&amp;$D151&amp;"|"&amp;H$14&amp;"|"&amp;"CY2021Q3",Spectrum!$Q:$Q,0)),0),"")</f>
        <v>9645</v>
      </c>
      <c r="I151" s="123" t="n">
        <f aca="false">_xlfn.IFNA(INDEX(Spectrum!$P:$P,MATCH(RIGHT($B151,13)&amp;"|"&amp;$C151&amp;"|"&amp;$D151&amp;"|"&amp;H$14&amp;"|"&amp;"CY2021Q3",Spectrum!$Q:$Q,0)),"")</f>
        <v>42</v>
      </c>
      <c r="J151" s="117" t="n">
        <f aca="false">_xlfn.IFNA(INDEX(Spectrum!$N:$N,MATCH(RIGHT($B151,13)&amp;"|"&amp;$C151&amp;"|"&amp;$D151&amp;"|"&amp;J$14&amp;"|"&amp;"CY2021Q3",Spectrum!$Q:$Q,0)),"")</f>
        <v>0.4443014</v>
      </c>
      <c r="K151" s="123" t="n">
        <f aca="false">_xlfn.IFNA(INDEX(Spectrum!$P:$P,MATCH(RIGHT($B151,13)&amp;"|"&amp;$C151&amp;"|"&amp;$D151&amp;"|"&amp;J$14&amp;"|"&amp;"CY2021Q3",Spectrum!$Q:$Q,0)),"")</f>
        <v>26</v>
      </c>
      <c r="L151" s="115" t="n">
        <f aca="false">_xlfn.IFNA(ROUND(INDEX(Spectrum!$N:$N,MATCH(RIGHT($B151,13)&amp;"|"&amp;$C151&amp;"|"&amp;$D151&amp;"|"&amp;L$14&amp;"|"&amp;"CY2021Q3",Spectrum!$Q:$Q,0)),0),"")</f>
        <v>8448</v>
      </c>
      <c r="M151" s="123" t="n">
        <f aca="false">IF(OR(SUM($H151)&lt;=0,SUM($L151)&lt;=0),"",SUM($L151)/$H151)</f>
        <v>0.875894245723173</v>
      </c>
      <c r="N151" s="115" t="str">
        <f aca="false">_xlfn.IFNA(ROUND(INDEX(Spectrum!$N:$N,MATCH(RIGHT($B151,13)&amp;"|"&amp;$C151&amp;"|"&amp;$D151&amp;"|"&amp;N$14&amp;"|"&amp;"CY2020Q4",Spectrum!$Q:$Q,0)),0),"")</f>
        <v/>
      </c>
      <c r="O151" s="123" t="str">
        <f aca="false">_xlfn.IFNA(INDEX(Spectrum!$P:$P,MATCH(RIGHT($B151,13)&amp;"|"&amp;$C151&amp;"|"&amp;$D151&amp;"|"&amp;N$14&amp;"|"&amp;"CY2020Q4",Spectrum!$Q:$Q,0)),"")</f>
        <v/>
      </c>
      <c r="P151" s="115" t="n">
        <f aca="false">_xlfn.IFNA(ROUND(INDEX(Spectrum!$N:$N,MATCH(RIGHT($B151,13)&amp;"|"&amp;$C151&amp;"|"&amp;$D151&amp;"|"&amp;P$14&amp;"|"&amp;"CY2021Q3",Spectrum!$Q:$Q,0)),0),"")</f>
        <v>7850</v>
      </c>
      <c r="Q151" s="123" t="n">
        <f aca="false">_xlfn.IFNA(INDEX(Spectrum!$P:$P,MATCH(RIGHT($B151,13)&amp;"|"&amp;$C151&amp;"|"&amp;$D151&amp;"|"&amp;P$14&amp;"|"&amp;"CY2021Q3",Spectrum!$Q:$Q,0)),"")</f>
        <v>48</v>
      </c>
      <c r="R151" s="115"/>
      <c r="S151" s="123" t="str">
        <f aca="false">IF(OR(SUM($P151)&lt;=0,SUM($R151)&lt;=0),"",SUM($R151)/$P151)</f>
        <v/>
      </c>
      <c r="T151" s="139" t="n">
        <v>40</v>
      </c>
      <c r="U151" s="124" t="n">
        <v>18</v>
      </c>
      <c r="V151" s="124" t="n">
        <f aca="false">IF($U151-$T151=0,"",$U151-$T151)</f>
        <v>-22</v>
      </c>
      <c r="W151" s="123" t="n">
        <f aca="false">IF(LEFT($B151,4)="_Mil","",IFERROR(MIN(IF(SUM($N151)&lt;=0,SUM($U151)/SUM($P151),SUM($T151)/SUM($N151)),1),""))</f>
        <v>0.00229299363057325</v>
      </c>
      <c r="X151" s="123" t="n">
        <f aca="false">$W151</f>
        <v>0.00229299363057325</v>
      </c>
      <c r="Y151" s="123" t="n">
        <f aca="false">IFERROR(1/(1/INDEX(Spectrum!$N:$N,MATCH(RIGHT($B151,13)&amp;"|"&amp;$C151&amp;"|"&amp;$D151&amp;"|"&amp;Y$14&amp;"|"&amp;"CY2021Q3",Spectrum!$Q:$Q,0))),IF(SUM($H151)=0,"",MAX(SUM($P151),SUM($U151))/SUM($H151)))</f>
        <v>0.813893208916537</v>
      </c>
      <c r="Z151" s="123" t="n">
        <f aca="false">IF(SUM($Y151)=0,"",MAX(SUM($Y151),90%))</f>
        <v>0.9</v>
      </c>
      <c r="AA151" s="115" t="n">
        <f aca="false">IF(LEFT($B151,4)="_Mil","",ROUND(MAX(SUM($U151),SUM($P151))+IF(SUM($Z151)=0,0,MAX(SUM($Z151)-SUM($Y151),0)*SUM($H151)),0))</f>
        <v>8681</v>
      </c>
      <c r="AB151" s="115" t="n">
        <f aca="false">IF(SUM($AA151)=0,"",ROUND(MAX(SUM($AA151)-MAX(SUM($P151),SUM($U151)),0),0))</f>
        <v>831</v>
      </c>
      <c r="AC151" s="126" t="str">
        <f aca="false">IF($C151="&lt;01",IFERROR(ROUND(INDEX(EID!$N:$N,MATCH($B151,EID!$B:$B,0))/2,0),""),"")</f>
        <v/>
      </c>
      <c r="AD151" s="115" t="n">
        <f aca="false">IF($C151="&lt;01",IF(SUM($AC151)=0,"",ROUND(SUM($AC151)/$AG151,0)),IF(SUM($AB151)=0,"",ROUND(MAX($X151,0)*SUM($AB151),0)))</f>
        <v>2</v>
      </c>
      <c r="AE151" s="115" t="n">
        <f aca="false">IF(AND(SUM($AD151)=0,SUM($U151)=0),"",ROUND(IF($C151="&lt;01",0,SUM($U151))+SUM($AD151),0))</f>
        <v>20</v>
      </c>
      <c r="AF151" s="122" t="n">
        <f aca="false">IF($C151="&lt;01","",100%)</f>
        <v>1</v>
      </c>
      <c r="AG151" s="123" t="n">
        <f aca="false">0.98</f>
        <v>0.98</v>
      </c>
      <c r="AH151" s="123" t="n">
        <f aca="false">0.98</f>
        <v>0.98</v>
      </c>
      <c r="AI151" s="124" t="n">
        <f aca="false">IF(OR($C151="&lt;01",SUM($U151)=0),"",ROUND(SUM($U151)*(1-$AH151),0))</f>
        <v>0</v>
      </c>
      <c r="AJ151" s="124" t="n">
        <f aca="false">IF(AND(SUM($AE151)=0,SUM($U151)=0),"",IF($C151="&lt;01",SUM($AD151),SUM($AE151) - ROUND(SUM($U151)*$AH151,0)))</f>
        <v>2</v>
      </c>
      <c r="AK151" s="124" t="n">
        <v>7</v>
      </c>
      <c r="AL151" s="124" t="n">
        <v>40</v>
      </c>
      <c r="AM151" s="115" t="n">
        <f aca="false">IF(AND(SUM($AD151)=0,SUM($U151)=0),"",IF($C151="&lt;01",SUM($AD151),ROUND(ROUND(SUM($AJ151)*$AF151,0)/$AG151,0)))</f>
        <v>2</v>
      </c>
      <c r="AN151" s="122" t="n">
        <f aca="false">0.7</f>
        <v>0.7</v>
      </c>
      <c r="AO151" s="123" t="n">
        <f aca="false">1</f>
        <v>1</v>
      </c>
      <c r="AP151" s="115" t="n">
        <f aca="false">IF(AND(SUM($U151)=0,SUM($AM151)=0),"",ROUND((SUM($AM151)*$AN151+IF($C151="&lt;01",0,$U151))*$AO151,0))</f>
        <v>19</v>
      </c>
      <c r="AQ151" s="122" t="n">
        <v>26</v>
      </c>
      <c r="AR151" s="123" t="n">
        <f aca="false">0.95</f>
        <v>0.95</v>
      </c>
      <c r="AS151" s="123" t="n">
        <f aca="false">0.95</f>
        <v>0.95</v>
      </c>
      <c r="AT151" s="115" t="n">
        <f aca="false">IF(SUM($AP151)=0,"",ROUND(SUM($AP151)*$AR151,0))</f>
        <v>18</v>
      </c>
      <c r="AU151" s="115" t="n">
        <f aca="false">IF(LEFT($B151,4)="_Mil","",ROUND(SUM($AA151)*SUM($AS151),0))</f>
        <v>8247</v>
      </c>
      <c r="AV151" s="124" t="n">
        <f aca="false">IF(SUM($AU151)&lt;=0,"",MAX(SUM($AU151)-SUM($R151),0))</f>
        <v>8247</v>
      </c>
      <c r="AW151" s="122" t="n">
        <f aca="false">0</f>
        <v>0</v>
      </c>
      <c r="AX151" s="124" t="n">
        <f aca="false">IF(SUM($AM151)=0,"",ROUND(SUM($AM151)*SUM($AW151),0))</f>
        <v>0</v>
      </c>
      <c r="AY151" s="124" t="n">
        <f aca="false">IF(SUM($AM151)=0,"",SUM($AM151)-SUM($AX151))</f>
        <v>2</v>
      </c>
      <c r="AZ151" s="123" t="n">
        <v>46</v>
      </c>
      <c r="BA151" s="123" t="n">
        <f aca="false">0.95</f>
        <v>0.95</v>
      </c>
      <c r="BB151" s="123"/>
      <c r="BC151" s="123" t="n">
        <f aca="false">IF(OR(SUM($AM151)&lt;=0,$C151="&lt;01"),"",MAX(IF(OR(SUM($Y151)&lt;70%,LEFT($B151,4)="_Mil"),30%,IF(SUM($Y151)&gt;=80%,75%,50%)),SUM($BB151)))</f>
        <v>0.75</v>
      </c>
      <c r="BD151" s="115" t="n">
        <f aca="false">IF($C151="&lt;01",IFERROR(ROUND(INDEX(EID!$M:$M,MATCH($B151,EID!$B:$B,0)),0)/2,""),IF(SUM($AY151)=0,"",ROUND(SUM($AY151)/SUM($BA151),0)))</f>
        <v>2</v>
      </c>
      <c r="BE151" s="115" t="n">
        <f aca="false">IF($C151="&lt;01","",IF(SUM($BD151)=0,"",ROUND(SUM($BD151)*SUM($BC151),0)))</f>
        <v>2</v>
      </c>
      <c r="BF151" s="115" t="n">
        <f aca="false">_xlfn.IFNA(INDEX(PMTCT!$AE:$AE,MATCH($E151,PMTCT!$E:$E,0)),"")</f>
        <v>-9324</v>
      </c>
      <c r="BG151" s="115" t="str">
        <f aca="false">_xlfn.IFNA(INDEX(PMTCT!$AU:$AU,MATCH($E151,PMTCT!$E:$E,0)),"")</f>
        <v/>
      </c>
      <c r="BH151" s="115" t="n">
        <f aca="false">_xlfn.IFNA(INDEX(TB!$Q:$Q,MATCH($E151,TB!$E:$E,0)),"")</f>
        <v>-0</v>
      </c>
      <c r="BI151" s="115" t="str">
        <f aca="false">_xlfn.IFNA(INDEX(VMMC!$AC:$AC,MATCH($E151,VMMC!$E:$E,0)),"")</f>
        <v/>
      </c>
      <c r="BJ151" s="115" t="str">
        <f aca="false">IF($C151="&lt;01",$BD151,"")</f>
        <v/>
      </c>
      <c r="BK151" s="115" t="n">
        <f aca="false">IF(SUM($BD151)=0,"",($BD151)-SUM($BE151:$BJ151))</f>
        <v>9324</v>
      </c>
      <c r="BL151" s="123" t="n">
        <f aca="false">IF(OR(SUM($BD151)=0,SUM($BE151)=0),"",SUM($BE151)/$BD151)</f>
        <v>1</v>
      </c>
      <c r="BM151" s="123" t="n">
        <f aca="false">IF(OR(SUM($BD151)=0,SUM($BF151)=0),"",SUM($BF151)/$BD151)</f>
        <v>-4662</v>
      </c>
      <c r="BN151" s="123" t="str">
        <f aca="false">IF(OR(SUM($BD151)=0,SUM($BG151)=0),"",SUM($BG151)/$BD151)</f>
        <v/>
      </c>
      <c r="BO151" s="123" t="str">
        <f aca="false">IF(OR(SUM($BD151)=0,SUM($BH151)=0),"",SUM($BH151)/$BD151)</f>
        <v/>
      </c>
      <c r="BP151" s="123" t="str">
        <f aca="false">IF(OR(SUM($BD151)=0,SUM($BI151)=0),"",SUM($BI151)/$BD151)</f>
        <v/>
      </c>
      <c r="BQ151" s="123" t="str">
        <f aca="false">IF(AND($C151="&lt;01",SUM($BJ151)&lt;&gt;0),$BJ151/SUM($BD151),"")</f>
        <v/>
      </c>
      <c r="BR151" s="123" t="n">
        <f aca="false">IF(OR(SUM($BD151)=0,SUM($BK151)=0),"",SUM($BK151)/$BD151)</f>
        <v>4662</v>
      </c>
      <c r="BS151" s="122" t="n">
        <f aca="false">IF(SUM($X151)&lt;=0,"",$X151)</f>
        <v>0.00229299363057325</v>
      </c>
      <c r="BT151" s="115" t="n">
        <f aca="false">IF(LEFT($B151,4)="_Mil","",MAX(SUM($L151)+ROUND(SUM($BD151)/IF(SUM($BS151)&lt;=0,1,SUM($BS151)),0),0))</f>
        <v>9320</v>
      </c>
    </row>
    <row r="152" customFormat="false" ht="15" hidden="false" customHeight="false" outlineLevel="0" collapsed="false">
      <c r="A152" s="0" t="s">
        <v>146</v>
      </c>
      <c r="B152" s="0" t="s">
        <v>45</v>
      </c>
      <c r="C152" s="0" t="s">
        <v>75</v>
      </c>
      <c r="D152" s="0" t="s">
        <v>58</v>
      </c>
      <c r="E152" s="0" t="str">
        <f aca="false">B152&amp;"|"&amp;C152&amp;"|"&amp;D152</f>
        <v>Maseru [#SNU] [#DREAMS] [tKOXiaNhAyJ]|35-39|Male</v>
      </c>
      <c r="F152" s="115" t="n">
        <f aca="false">_xlfn.IFNA(ROUND(INDEX(Spectrum!$N:$N,MATCH(RIGHT($B152,13)&amp;"|"&amp;$C152&amp;"|"&amp;$D152&amp;"|"&amp;F$14&amp;"|"&amp;"CY2021Q3",Spectrum!$Q:$Q,0)),0),"")</f>
        <v>22896</v>
      </c>
      <c r="G152" s="123" t="n">
        <f aca="false">_xlfn.IFNA(INDEX(Spectrum!$P:$P,MATCH(RIGHT($B152,13)&amp;"|"&amp;$C152&amp;"|"&amp;$D152&amp;"|"&amp;F$14&amp;"|"&amp;"CY2021Q3",Spectrum!$Q:$Q,0)),"")</f>
        <v>38</v>
      </c>
      <c r="H152" s="115" t="n">
        <f aca="false">_xlfn.IFNA(ROUND(INDEX(Spectrum!$N:$N,MATCH(RIGHT($B152,13)&amp;"|"&amp;$C152&amp;"|"&amp;$D152&amp;"|"&amp;H$14&amp;"|"&amp;"CY2021Q3",Spectrum!$Q:$Q,0)),0),"")</f>
        <v>6830</v>
      </c>
      <c r="I152" s="123" t="n">
        <f aca="false">_xlfn.IFNA(INDEX(Spectrum!$P:$P,MATCH(RIGHT($B152,13)&amp;"|"&amp;$C152&amp;"|"&amp;$D152&amp;"|"&amp;H$14&amp;"|"&amp;"CY2021Q3",Spectrum!$Q:$Q,0)),"")</f>
        <v>7</v>
      </c>
      <c r="J152" s="117" t="n">
        <f aca="false">_xlfn.IFNA(INDEX(Spectrum!$N:$N,MATCH(RIGHT($B152,13)&amp;"|"&amp;$C152&amp;"|"&amp;$D152&amp;"|"&amp;J$14&amp;"|"&amp;"CY2021Q3",Spectrum!$Q:$Q,0)),"")</f>
        <v>0.2983137</v>
      </c>
      <c r="K152" s="123" t="n">
        <f aca="false">_xlfn.IFNA(INDEX(Spectrum!$P:$P,MATCH(RIGHT($B152,13)&amp;"|"&amp;$C152&amp;"|"&amp;$D152&amp;"|"&amp;J$14&amp;"|"&amp;"CY2021Q3",Spectrum!$Q:$Q,0)),"")</f>
        <v>4</v>
      </c>
      <c r="L152" s="115" t="n">
        <f aca="false">_xlfn.IFNA(ROUND(INDEX(Spectrum!$N:$N,MATCH(RIGHT($B152,13)&amp;"|"&amp;$C152&amp;"|"&amp;$D152&amp;"|"&amp;L$14&amp;"|"&amp;"CY2021Q3",Spectrum!$Q:$Q,0)),0),"")</f>
        <v>5536</v>
      </c>
      <c r="M152" s="123" t="n">
        <f aca="false">IF(OR(SUM($H152)&lt;=0,SUM($L152)&lt;=0),"",SUM($L152)/$H152)</f>
        <v>0.810541727672035</v>
      </c>
      <c r="N152" s="115" t="str">
        <f aca="false">_xlfn.IFNA(ROUND(INDEX(Spectrum!$N:$N,MATCH(RIGHT($B152,13)&amp;"|"&amp;$C152&amp;"|"&amp;$D152&amp;"|"&amp;N$14&amp;"|"&amp;"CY2020Q4",Spectrum!$Q:$Q,0)),0),"")</f>
        <v/>
      </c>
      <c r="O152" s="123" t="str">
        <f aca="false">_xlfn.IFNA(INDEX(Spectrum!$P:$P,MATCH(RIGHT($B152,13)&amp;"|"&amp;$C152&amp;"|"&amp;$D152&amp;"|"&amp;N$14&amp;"|"&amp;"CY2020Q4",Spectrum!$Q:$Q,0)),"")</f>
        <v/>
      </c>
      <c r="P152" s="115" t="n">
        <f aca="false">_xlfn.IFNA(ROUND(INDEX(Spectrum!$N:$N,MATCH(RIGHT($B152,13)&amp;"|"&amp;$C152&amp;"|"&amp;$D152&amp;"|"&amp;P$14&amp;"|"&amp;"CY2021Q3",Spectrum!$Q:$Q,0)),0),"")</f>
        <v>4634</v>
      </c>
      <c r="Q152" s="123" t="n">
        <f aca="false">_xlfn.IFNA(INDEX(Spectrum!$P:$P,MATCH(RIGHT($B152,13)&amp;"|"&amp;$C152&amp;"|"&amp;$D152&amp;"|"&amp;P$14&amp;"|"&amp;"CY2021Q3",Spectrum!$Q:$Q,0)),"")</f>
        <v>1</v>
      </c>
      <c r="R152" s="115"/>
      <c r="S152" s="123" t="str">
        <f aca="false">IF(OR(SUM($P152)&lt;=0,SUM($R152)&lt;=0),"",SUM($R152)/$P152)</f>
        <v/>
      </c>
      <c r="T152" s="139" t="n">
        <v>50</v>
      </c>
      <c r="U152" s="124" t="n">
        <v>50</v>
      </c>
      <c r="V152" s="124" t="str">
        <f aca="false">IF($U152-$T152=0,"",$U152-$T152)</f>
        <v/>
      </c>
      <c r="W152" s="123" t="n">
        <f aca="false">IF(LEFT($B152,4)="_Mil","",IFERROR(MIN(IF(SUM($N152)&lt;=0,SUM($U152)/SUM($P152),SUM($T152)/SUM($N152)),1),""))</f>
        <v>0.0107898144151921</v>
      </c>
      <c r="X152" s="123" t="n">
        <f aca="false">$W152</f>
        <v>0.0107898144151921</v>
      </c>
      <c r="Y152" s="123" t="n">
        <f aca="false">IFERROR(1/(1/INDEX(Spectrum!$N:$N,MATCH(RIGHT($B152,13)&amp;"|"&amp;$C152&amp;"|"&amp;$D152&amp;"|"&amp;Y$14&amp;"|"&amp;"CY2021Q3",Spectrum!$Q:$Q,0))),IF(SUM($H152)=0,"",MAX(SUM($P152),SUM($U152))/SUM($H152)))</f>
        <v>0.678477306002928</v>
      </c>
      <c r="Z152" s="123" t="n">
        <f aca="false">IF(SUM($Y152)=0,"",MAX(SUM($Y152),90%))</f>
        <v>0.9</v>
      </c>
      <c r="AA152" s="115" t="n">
        <f aca="false">IF(LEFT($B152,4)="_Mil","",ROUND(MAX(SUM($U152),SUM($P152))+IF(SUM($Z152)=0,0,MAX(SUM($Z152)-SUM($Y152),0)*SUM($H152)),0))</f>
        <v>6147</v>
      </c>
      <c r="AB152" s="115" t="n">
        <f aca="false">IF(SUM($AA152)=0,"",ROUND(MAX(SUM($AA152)-MAX(SUM($P152),SUM($U152)),0),0))</f>
        <v>1513</v>
      </c>
      <c r="AC152" s="126" t="str">
        <f aca="false">IF($C152="&lt;01",IFERROR(ROUND(INDEX(EID!$N:$N,MATCH($B152,EID!$B:$B,0))/2,0),""),"")</f>
        <v/>
      </c>
      <c r="AD152" s="115" t="n">
        <f aca="false">IF($C152="&lt;01",IF(SUM($AC152)=0,"",ROUND(SUM($AC152)/$AG152,0)),IF(SUM($AB152)=0,"",ROUND(MAX($X152,0)*SUM($AB152),0)))</f>
        <v>16</v>
      </c>
      <c r="AE152" s="115" t="n">
        <f aca="false">IF(AND(SUM($AD152)=0,SUM($U152)=0),"",ROUND(IF($C152="&lt;01",0,SUM($U152))+SUM($AD152),0))</f>
        <v>66</v>
      </c>
      <c r="AF152" s="122" t="n">
        <f aca="false">IF($C152="&lt;01","",100%)</f>
        <v>1</v>
      </c>
      <c r="AG152" s="123" t="n">
        <f aca="false">0.98</f>
        <v>0.98</v>
      </c>
      <c r="AH152" s="123" t="n">
        <f aca="false">0.98</f>
        <v>0.98</v>
      </c>
      <c r="AI152" s="124" t="n">
        <f aca="false">IF(OR($C152="&lt;01",SUM($U152)=0),"",ROUND(SUM($U152)*(1-$AH152),0))</f>
        <v>1</v>
      </c>
      <c r="AJ152" s="124" t="n">
        <f aca="false">IF(AND(SUM($AE152)=0,SUM($U152)=0),"",IF($C152="&lt;01",SUM($AD152),SUM($AE152) - ROUND(SUM($U152)*$AH152,0)))</f>
        <v>17</v>
      </c>
      <c r="AK152" s="124" t="n">
        <v>20</v>
      </c>
      <c r="AL152" s="124" t="n">
        <v>3</v>
      </c>
      <c r="AM152" s="115" t="n">
        <f aca="false">IF(AND(SUM($AD152)=0,SUM($U152)=0),"",IF($C152="&lt;01",SUM($AD152),ROUND(ROUND(SUM($AJ152)*$AF152,0)/$AG152,0)))</f>
        <v>17</v>
      </c>
      <c r="AN152" s="122" t="n">
        <f aca="false">0.7</f>
        <v>0.7</v>
      </c>
      <c r="AO152" s="123" t="n">
        <f aca="false">1</f>
        <v>1</v>
      </c>
      <c r="AP152" s="115" t="n">
        <f aca="false">IF(AND(SUM($U152)=0,SUM($AM152)=0),"",ROUND((SUM($AM152)*$AN152+IF($C152="&lt;01",0,$U152))*$AO152,0))</f>
        <v>62</v>
      </c>
      <c r="AQ152" s="122" t="n">
        <v>8</v>
      </c>
      <c r="AR152" s="123" t="n">
        <f aca="false">0.95</f>
        <v>0.95</v>
      </c>
      <c r="AS152" s="123" t="n">
        <f aca="false">0.95</f>
        <v>0.95</v>
      </c>
      <c r="AT152" s="115" t="n">
        <f aca="false">IF(SUM($AP152)=0,"",ROUND(SUM($AP152)*$AR152,0))</f>
        <v>59</v>
      </c>
      <c r="AU152" s="115" t="n">
        <f aca="false">IF(LEFT($B152,4)="_Mil","",ROUND(SUM($AA152)*SUM($AS152),0))</f>
        <v>5840</v>
      </c>
      <c r="AV152" s="124" t="n">
        <f aca="false">IF(SUM($AU152)&lt;=0,"",MAX(SUM($AU152)-SUM($R152),0))</f>
        <v>5840</v>
      </c>
      <c r="AW152" s="122" t="n">
        <f aca="false">0</f>
        <v>0</v>
      </c>
      <c r="AX152" s="124" t="n">
        <f aca="false">IF(SUM($AM152)=0,"",ROUND(SUM($AM152)*SUM($AW152),0))</f>
        <v>0</v>
      </c>
      <c r="AY152" s="124" t="n">
        <f aca="false">IF(SUM($AM152)=0,"",SUM($AM152)-SUM($AX152))</f>
        <v>17</v>
      </c>
      <c r="AZ152" s="123" t="n">
        <v>5</v>
      </c>
      <c r="BA152" s="123" t="n">
        <f aca="false">0.95</f>
        <v>0.95</v>
      </c>
      <c r="BB152" s="123"/>
      <c r="BC152" s="123" t="n">
        <f aca="false">IF(OR(SUM($AM152)&lt;=0,$C152="&lt;01"),"",MAX(IF(OR(SUM($Y152)&lt;70%,LEFT($B152,4)="_Mil"),30%,IF(SUM($Y152)&gt;=80%,75%,50%)),SUM($BB152)))</f>
        <v>0.3</v>
      </c>
      <c r="BD152" s="115" t="n">
        <f aca="false">IF($C152="&lt;01",IFERROR(ROUND(INDEX(EID!$M:$M,MATCH($B152,EID!$B:$B,0)),0)/2,""),IF(SUM($AY152)=0,"",ROUND(SUM($AY152)/SUM($BA152),0)))</f>
        <v>18</v>
      </c>
      <c r="BE152" s="115" t="n">
        <f aca="false">IF($C152="&lt;01","",IF(SUM($BD152)=0,"",ROUND(SUM($BD152)*SUM($BC152),0)))</f>
        <v>5</v>
      </c>
      <c r="BF152" s="115" t="str">
        <f aca="false">_xlfn.IFNA(INDEX(PMTCT!$AE:$AE,MATCH($E152,PMTCT!$E:$E,0)),"")</f>
        <v/>
      </c>
      <c r="BG152" s="115" t="str">
        <f aca="false">_xlfn.IFNA(INDEX(PMTCT!$AU:$AU,MATCH($E152,PMTCT!$E:$E,0)),"")</f>
        <v/>
      </c>
      <c r="BH152" s="115" t="n">
        <f aca="false">_xlfn.IFNA(INDEX(TB!$Q:$Q,MATCH($E152,TB!$E:$E,0)),"")</f>
        <v>-18870</v>
      </c>
      <c r="BI152" s="115" t="str">
        <f aca="false">_xlfn.IFNA(INDEX(VMMC!$AC:$AC,MATCH($E152,VMMC!$E:$E,0)),"")</f>
        <v/>
      </c>
      <c r="BJ152" s="115" t="str">
        <f aca="false">IF($C152="&lt;01",$BD152,"")</f>
        <v/>
      </c>
      <c r="BK152" s="115" t="n">
        <f aca="false">IF(SUM($BD152)=0,"",($BD152)-SUM($BE152:$BJ152))</f>
        <v>18883</v>
      </c>
      <c r="BL152" s="123" t="n">
        <f aca="false">IF(OR(SUM($BD152)=0,SUM($BE152)=0),"",SUM($BE152)/$BD152)</f>
        <v>0.277777777777778</v>
      </c>
      <c r="BM152" s="123" t="str">
        <f aca="false">IF(OR(SUM($BD152)=0,SUM($BF152)=0),"",SUM($BF152)/$BD152)</f>
        <v/>
      </c>
      <c r="BN152" s="123" t="str">
        <f aca="false">IF(OR(SUM($BD152)=0,SUM($BG152)=0),"",SUM($BG152)/$BD152)</f>
        <v/>
      </c>
      <c r="BO152" s="123" t="n">
        <f aca="false">IF(OR(SUM($BD152)=0,SUM($BH152)=0),"",SUM($BH152)/$BD152)</f>
        <v>-1048.33333333333</v>
      </c>
      <c r="BP152" s="123" t="str">
        <f aca="false">IF(OR(SUM($BD152)=0,SUM($BI152)=0),"",SUM($BI152)/$BD152)</f>
        <v/>
      </c>
      <c r="BQ152" s="123" t="str">
        <f aca="false">IF(AND($C152="&lt;01",SUM($BJ152)&lt;&gt;0),$BJ152/SUM($BD152),"")</f>
        <v/>
      </c>
      <c r="BR152" s="123" t="n">
        <f aca="false">IF(OR(SUM($BD152)=0,SUM($BK152)=0),"",SUM($BK152)/$BD152)</f>
        <v>1049.05555555556</v>
      </c>
      <c r="BS152" s="122" t="n">
        <f aca="false">IF(SUM($X152)&lt;=0,"",$X152)</f>
        <v>0.0107898144151921</v>
      </c>
      <c r="BT152" s="115" t="n">
        <f aca="false">IF(LEFT($B152,4)="_Mil","",MAX(SUM($L152)+ROUND(SUM($BD152)/IF(SUM($BS152)&lt;=0,1,SUM($BS152)),0),0))</f>
        <v>7204</v>
      </c>
    </row>
    <row r="153" customFormat="false" ht="15" hidden="false" customHeight="false" outlineLevel="0" collapsed="false">
      <c r="A153" s="0" t="s">
        <v>146</v>
      </c>
      <c r="B153" s="0" t="s">
        <v>45</v>
      </c>
      <c r="C153" s="0" t="s">
        <v>77</v>
      </c>
      <c r="D153" s="0" t="s">
        <v>56</v>
      </c>
      <c r="E153" s="0" t="str">
        <f aca="false">B153&amp;"|"&amp;C153&amp;"|"&amp;D153</f>
        <v>Maseru [#SNU] [#DREAMS] [tKOXiaNhAyJ]|40-44|Female</v>
      </c>
      <c r="F153" s="115" t="n">
        <f aca="false">_xlfn.IFNA(ROUND(INDEX(Spectrum!$N:$N,MATCH(RIGHT($B153,13)&amp;"|"&amp;$C153&amp;"|"&amp;$D153&amp;"|"&amp;F$14&amp;"|"&amp;"CY2021Q3",Spectrum!$Q:$Q,0)),0),"")</f>
        <v>14856</v>
      </c>
      <c r="G153" s="123" t="n">
        <f aca="false">_xlfn.IFNA(INDEX(Spectrum!$P:$P,MATCH(RIGHT($B153,13)&amp;"|"&amp;$C153&amp;"|"&amp;$D153&amp;"|"&amp;F$14&amp;"|"&amp;"CY2021Q3",Spectrum!$Q:$Q,0)),"")</f>
        <v>29</v>
      </c>
      <c r="H153" s="115" t="n">
        <f aca="false">_xlfn.IFNA(ROUND(INDEX(Spectrum!$N:$N,MATCH(RIGHT($B153,13)&amp;"|"&amp;$C153&amp;"|"&amp;$D153&amp;"|"&amp;H$14&amp;"|"&amp;"CY2021Q3",Spectrum!$Q:$Q,0)),0),"")</f>
        <v>7616</v>
      </c>
      <c r="I153" s="123" t="n">
        <f aca="false">_xlfn.IFNA(INDEX(Spectrum!$P:$P,MATCH(RIGHT($B153,13)&amp;"|"&amp;$C153&amp;"|"&amp;$D153&amp;"|"&amp;H$14&amp;"|"&amp;"CY2021Q3",Spectrum!$Q:$Q,0)),"")</f>
        <v>24</v>
      </c>
      <c r="J153" s="117" t="n">
        <f aca="false">_xlfn.IFNA(INDEX(Spectrum!$N:$N,MATCH(RIGHT($B153,13)&amp;"|"&amp;$C153&amp;"|"&amp;$D153&amp;"|"&amp;J$14&amp;"|"&amp;"CY2021Q3",Spectrum!$Q:$Q,0)),"")</f>
        <v>0.5126672</v>
      </c>
      <c r="K153" s="123" t="n">
        <f aca="false">_xlfn.IFNA(INDEX(Spectrum!$P:$P,MATCH(RIGHT($B153,13)&amp;"|"&amp;$C153&amp;"|"&amp;$D153&amp;"|"&amp;J$14&amp;"|"&amp;"CY2021Q3",Spectrum!$Q:$Q,0)),"")</f>
        <v>6</v>
      </c>
      <c r="L153" s="115" t="n">
        <f aca="false">_xlfn.IFNA(ROUND(INDEX(Spectrum!$N:$N,MATCH(RIGHT($B153,13)&amp;"|"&amp;$C153&amp;"|"&amp;$D153&amp;"|"&amp;L$14&amp;"|"&amp;"CY2021Q3",Spectrum!$Q:$Q,0)),0),"")</f>
        <v>8019</v>
      </c>
      <c r="M153" s="123" t="n">
        <f aca="false">IF(OR(SUM($H153)&lt;=0,SUM($L153)&lt;=0),"",SUM($L153)/$H153)</f>
        <v>1.05291491596639</v>
      </c>
      <c r="N153" s="115" t="str">
        <f aca="false">_xlfn.IFNA(ROUND(INDEX(Spectrum!$N:$N,MATCH(RIGHT($B153,13)&amp;"|"&amp;$C153&amp;"|"&amp;$D153&amp;"|"&amp;N$14&amp;"|"&amp;"CY2020Q4",Spectrum!$Q:$Q,0)),0),"")</f>
        <v/>
      </c>
      <c r="O153" s="123" t="str">
        <f aca="false">_xlfn.IFNA(INDEX(Spectrum!$P:$P,MATCH(RIGHT($B153,13)&amp;"|"&amp;$C153&amp;"|"&amp;$D153&amp;"|"&amp;N$14&amp;"|"&amp;"CY2020Q4",Spectrum!$Q:$Q,0)),"")</f>
        <v/>
      </c>
      <c r="P153" s="115" t="n">
        <f aca="false">_xlfn.IFNA(ROUND(INDEX(Spectrum!$N:$N,MATCH(RIGHT($B153,13)&amp;"|"&amp;$C153&amp;"|"&amp;$D153&amp;"|"&amp;P$14&amp;"|"&amp;"CY2021Q3",Spectrum!$Q:$Q,0)),0),"")</f>
        <v>7397</v>
      </c>
      <c r="Q153" s="123" t="n">
        <f aca="false">_xlfn.IFNA(INDEX(Spectrum!$P:$P,MATCH(RIGHT($B153,13)&amp;"|"&amp;$C153&amp;"|"&amp;$D153&amp;"|"&amp;P$14&amp;"|"&amp;"CY2021Q3",Spectrum!$Q:$Q,0)),"")</f>
        <v>1</v>
      </c>
      <c r="R153" s="115"/>
      <c r="S153" s="123" t="str">
        <f aca="false">IF(OR(SUM($P153)&lt;=0,SUM($R153)&lt;=0),"",SUM($R153)/$P153)</f>
        <v/>
      </c>
      <c r="T153" s="139" t="n">
        <v>14</v>
      </c>
      <c r="U153" s="124" t="n">
        <v>13</v>
      </c>
      <c r="V153" s="124" t="n">
        <f aca="false">IF($U153-$T153=0,"",$U153-$T153)</f>
        <v>-1</v>
      </c>
      <c r="W153" s="123" t="n">
        <f aca="false">IF(LEFT($B153,4)="_Mil","",IFERROR(MIN(IF(SUM($N153)&lt;=0,SUM($U153)/SUM($P153),SUM($T153)/SUM($N153)),1),""))</f>
        <v>0.00175746924428822</v>
      </c>
      <c r="X153" s="123" t="n">
        <f aca="false">$W153</f>
        <v>0.00175746924428822</v>
      </c>
      <c r="Y153" s="123" t="n">
        <f aca="false">IFERROR(1/(1/INDEX(Spectrum!$N:$N,MATCH(RIGHT($B153,13)&amp;"|"&amp;$C153&amp;"|"&amp;$D153&amp;"|"&amp;Y$14&amp;"|"&amp;"CY2021Q3",Spectrum!$Q:$Q,0))),IF(SUM($H153)=0,"",MAX(SUM($P153),SUM($U153))/SUM($H153)))</f>
        <v>0.97124474789916</v>
      </c>
      <c r="Z153" s="123" t="n">
        <f aca="false">IF(SUM($Y153)=0,"",MAX(SUM($Y153),90%))</f>
        <v>0.97124474789916</v>
      </c>
      <c r="AA153" s="115" t="n">
        <f aca="false">IF(LEFT($B153,4)="_Mil","",ROUND(MAX(SUM($U153),SUM($P153))+IF(SUM($Z153)=0,0,MAX(SUM($Z153)-SUM($Y153),0)*SUM($H153)),0))</f>
        <v>7397</v>
      </c>
      <c r="AB153" s="115" t="n">
        <f aca="false">IF(SUM($AA153)=0,"",ROUND(MAX(SUM($AA153)-MAX(SUM($P153),SUM($U153)),0),0))</f>
        <v>0</v>
      </c>
      <c r="AC153" s="126" t="str">
        <f aca="false">IF($C153="&lt;01",IFERROR(ROUND(INDEX(EID!$N:$N,MATCH($B153,EID!$B:$B,0))/2,0),""),"")</f>
        <v/>
      </c>
      <c r="AD153" s="115" t="str">
        <f aca="false">IF($C153="&lt;01",IF(SUM($AC153)=0,"",ROUND(SUM($AC153)/$AG153,0)),IF(SUM($AB153)=0,"",ROUND(MAX($X153,0)*SUM($AB153),0)))</f>
        <v/>
      </c>
      <c r="AE153" s="115" t="n">
        <f aca="false">IF(AND(SUM($AD153)=0,SUM($U153)=0),"",ROUND(IF($C153="&lt;01",0,SUM($U153))+SUM($AD153),0))</f>
        <v>13</v>
      </c>
      <c r="AF153" s="122" t="n">
        <f aca="false">IF($C153="&lt;01","",100%)</f>
        <v>1</v>
      </c>
      <c r="AG153" s="123" t="n">
        <f aca="false">0.98</f>
        <v>0.98</v>
      </c>
      <c r="AH153" s="123" t="n">
        <f aca="false">0.98</f>
        <v>0.98</v>
      </c>
      <c r="AI153" s="124" t="n">
        <f aca="false">IF(OR($C153="&lt;01",SUM($U153)=0),"",ROUND(SUM($U153)*(1-$AH153),0))</f>
        <v>0</v>
      </c>
      <c r="AJ153" s="124" t="n">
        <f aca="false">IF(AND(SUM($AE153)=0,SUM($U153)=0),"",IF($C153="&lt;01",SUM($AD153),SUM($AE153) - ROUND(SUM($U153)*$AH153,0)))</f>
        <v>0</v>
      </c>
      <c r="AK153" s="124" t="n">
        <v>2</v>
      </c>
      <c r="AL153" s="124" t="n">
        <v>45</v>
      </c>
      <c r="AM153" s="115" t="n">
        <f aca="false">IF(AND(SUM($AD153)=0,SUM($U153)=0),"",IF($C153="&lt;01",SUM($AD153),ROUND(ROUND(SUM($AJ153)*$AF153,0)/$AG153,0)))</f>
        <v>0</v>
      </c>
      <c r="AN153" s="122" t="n">
        <f aca="false">0.7</f>
        <v>0.7</v>
      </c>
      <c r="AO153" s="123" t="n">
        <f aca="false">1</f>
        <v>1</v>
      </c>
      <c r="AP153" s="115" t="n">
        <f aca="false">IF(AND(SUM($U153)=0,SUM($AM153)=0),"",ROUND((SUM($AM153)*$AN153+IF($C153="&lt;01",0,$U153))*$AO153,0))</f>
        <v>13</v>
      </c>
      <c r="AQ153" s="122" t="n">
        <v>42</v>
      </c>
      <c r="AR153" s="123" t="n">
        <f aca="false">0.95</f>
        <v>0.95</v>
      </c>
      <c r="AS153" s="123" t="n">
        <f aca="false">0.95</f>
        <v>0.95</v>
      </c>
      <c r="AT153" s="115" t="n">
        <f aca="false">IF(SUM($AP153)=0,"",ROUND(SUM($AP153)*$AR153,0))</f>
        <v>12</v>
      </c>
      <c r="AU153" s="115" t="n">
        <f aca="false">IF(LEFT($B153,4)="_Mil","",ROUND(SUM($AA153)*SUM($AS153),0))</f>
        <v>7027</v>
      </c>
      <c r="AV153" s="124" t="n">
        <f aca="false">IF(SUM($AU153)&lt;=0,"",MAX(SUM($AU153)-SUM($R153),0))</f>
        <v>7027</v>
      </c>
      <c r="AW153" s="122" t="n">
        <f aca="false">0</f>
        <v>0</v>
      </c>
      <c r="AX153" s="124" t="str">
        <f aca="false">IF(SUM($AM153)=0,"",ROUND(SUM($AM153)*SUM($AW153),0))</f>
        <v/>
      </c>
      <c r="AY153" s="124" t="str">
        <f aca="false">IF(SUM($AM153)=0,"",SUM($AM153)-SUM($AX153))</f>
        <v/>
      </c>
      <c r="AZ153" s="123" t="n">
        <v>35</v>
      </c>
      <c r="BA153" s="123" t="n">
        <f aca="false">0.95</f>
        <v>0.95</v>
      </c>
      <c r="BB153" s="123"/>
      <c r="BC153" s="123" t="str">
        <f aca="false">IF(OR(SUM($AM153)&lt;=0,$C153="&lt;01"),"",MAX(IF(OR(SUM($Y153)&lt;70%,LEFT($B153,4)="_Mil"),30%,IF(SUM($Y153)&gt;=80%,75%,50%)),SUM($BB153)))</f>
        <v/>
      </c>
      <c r="BD153" s="115" t="str">
        <f aca="false">IF($C153="&lt;01",IFERROR(ROUND(INDEX(EID!$M:$M,MATCH($B153,EID!$B:$B,0)),0)/2,""),IF(SUM($AY153)=0,"",ROUND(SUM($AY153)/SUM($BA153),0)))</f>
        <v/>
      </c>
      <c r="BE153" s="115" t="str">
        <f aca="false">IF($C153="&lt;01","",IF(SUM($BD153)=0,"",ROUND(SUM($BD153)*SUM($BC153),0)))</f>
        <v/>
      </c>
      <c r="BF153" s="115" t="n">
        <f aca="false">_xlfn.IFNA(INDEX(PMTCT!$AE:$AE,MATCH($E153,PMTCT!$E:$E,0)),"")</f>
        <v>-3952</v>
      </c>
      <c r="BG153" s="115" t="str">
        <f aca="false">_xlfn.IFNA(INDEX(PMTCT!$AU:$AU,MATCH($E153,PMTCT!$E:$E,0)),"")</f>
        <v/>
      </c>
      <c r="BH153" s="115" t="n">
        <f aca="false">_xlfn.IFNA(INDEX(TB!$Q:$Q,MATCH($E153,TB!$E:$E,0)),"")</f>
        <v>-6776</v>
      </c>
      <c r="BI153" s="115" t="str">
        <f aca="false">_xlfn.IFNA(INDEX(VMMC!$AC:$AC,MATCH($E153,VMMC!$E:$E,0)),"")</f>
        <v/>
      </c>
      <c r="BJ153" s="115" t="str">
        <f aca="false">IF($C153="&lt;01",$BD153,"")</f>
        <v/>
      </c>
      <c r="BK153" s="115" t="str">
        <f aca="false">IF(SUM($BD153)=0,"",($BD153)-SUM($BE153:$BJ153))</f>
        <v/>
      </c>
      <c r="BL153" s="123" t="str">
        <f aca="false">IF(OR(SUM($BD153)=0,SUM($BE153)=0),"",SUM($BE153)/$BD153)</f>
        <v/>
      </c>
      <c r="BM153" s="123" t="str">
        <f aca="false">IF(OR(SUM($BD153)=0,SUM($BF153)=0),"",SUM($BF153)/$BD153)</f>
        <v/>
      </c>
      <c r="BN153" s="123" t="str">
        <f aca="false">IF(OR(SUM($BD153)=0,SUM($BG153)=0),"",SUM($BG153)/$BD153)</f>
        <v/>
      </c>
      <c r="BO153" s="123" t="str">
        <f aca="false">IF(OR(SUM($BD153)=0,SUM($BH153)=0),"",SUM($BH153)/$BD153)</f>
        <v/>
      </c>
      <c r="BP153" s="123" t="str">
        <f aca="false">IF(OR(SUM($BD153)=0,SUM($BI153)=0),"",SUM($BI153)/$BD153)</f>
        <v/>
      </c>
      <c r="BQ153" s="123" t="str">
        <f aca="false">IF(AND($C153="&lt;01",SUM($BJ153)&lt;&gt;0),$BJ153/SUM($BD153),"")</f>
        <v/>
      </c>
      <c r="BR153" s="123" t="str">
        <f aca="false">IF(OR(SUM($BD153)=0,SUM($BK153)=0),"",SUM($BK153)/$BD153)</f>
        <v/>
      </c>
      <c r="BS153" s="122" t="n">
        <f aca="false">IF(SUM($X153)&lt;=0,"",$X153)</f>
        <v>0.00175746924428822</v>
      </c>
      <c r="BT153" s="115" t="n">
        <f aca="false">IF(LEFT($B153,4)="_Mil","",MAX(SUM($L153)+ROUND(SUM($BD153)/IF(SUM($BS153)&lt;=0,1,SUM($BS153)),0),0))</f>
        <v>8019</v>
      </c>
    </row>
    <row r="154" customFormat="false" ht="15" hidden="false" customHeight="false" outlineLevel="0" collapsed="false">
      <c r="A154" s="0" t="s">
        <v>146</v>
      </c>
      <c r="B154" s="0" t="s">
        <v>45</v>
      </c>
      <c r="C154" s="0" t="s">
        <v>77</v>
      </c>
      <c r="D154" s="0" t="s">
        <v>58</v>
      </c>
      <c r="E154" s="0" t="str">
        <f aca="false">B154&amp;"|"&amp;C154&amp;"|"&amp;D154</f>
        <v>Maseru [#SNU] [#DREAMS] [tKOXiaNhAyJ]|40-44|Male</v>
      </c>
      <c r="F154" s="115" t="n">
        <f aca="false">_xlfn.IFNA(ROUND(INDEX(Spectrum!$N:$N,MATCH(RIGHT($B154,13)&amp;"|"&amp;$C154&amp;"|"&amp;$D154&amp;"|"&amp;F$14&amp;"|"&amp;"CY2021Q3",Spectrum!$Q:$Q,0)),0),"")</f>
        <v>15484</v>
      </c>
      <c r="G154" s="123" t="n">
        <f aca="false">_xlfn.IFNA(INDEX(Spectrum!$P:$P,MATCH(RIGHT($B154,13)&amp;"|"&amp;$C154&amp;"|"&amp;$D154&amp;"|"&amp;F$14&amp;"|"&amp;"CY2021Q3",Spectrum!$Q:$Q,0)),"")</f>
        <v>32</v>
      </c>
      <c r="H154" s="115" t="n">
        <f aca="false">_xlfn.IFNA(ROUND(INDEX(Spectrum!$N:$N,MATCH(RIGHT($B154,13)&amp;"|"&amp;$C154&amp;"|"&amp;$D154&amp;"|"&amp;H$14&amp;"|"&amp;"CY2021Q3",Spectrum!$Q:$Q,0)),0),"")</f>
        <v>6080</v>
      </c>
      <c r="I154" s="123" t="n">
        <f aca="false">_xlfn.IFNA(INDEX(Spectrum!$P:$P,MATCH(RIGHT($B154,13)&amp;"|"&amp;$C154&amp;"|"&amp;$D154&amp;"|"&amp;H$14&amp;"|"&amp;"CY2021Q3",Spectrum!$Q:$Q,0)),"")</f>
        <v>46</v>
      </c>
      <c r="J154" s="117" t="n">
        <f aca="false">_xlfn.IFNA(INDEX(Spectrum!$N:$N,MATCH(RIGHT($B154,13)&amp;"|"&amp;$C154&amp;"|"&amp;$D154&amp;"|"&amp;J$14&amp;"|"&amp;"CY2021Q3",Spectrum!$Q:$Q,0)),"")</f>
        <v>0.3926499</v>
      </c>
      <c r="K154" s="123" t="n">
        <f aca="false">_xlfn.IFNA(INDEX(Spectrum!$P:$P,MATCH(RIGHT($B154,13)&amp;"|"&amp;$C154&amp;"|"&amp;$D154&amp;"|"&amp;J$14&amp;"|"&amp;"CY2021Q3",Spectrum!$Q:$Q,0)),"")</f>
        <v>35</v>
      </c>
      <c r="L154" s="115" t="n">
        <f aca="false">_xlfn.IFNA(ROUND(INDEX(Spectrum!$N:$N,MATCH(RIGHT($B154,13)&amp;"|"&amp;$C154&amp;"|"&amp;$D154&amp;"|"&amp;L$14&amp;"|"&amp;"CY2021Q3",Spectrum!$Q:$Q,0)),0),"")</f>
        <v>5748</v>
      </c>
      <c r="M154" s="123" t="n">
        <f aca="false">IF(OR(SUM($H154)&lt;=0,SUM($L154)&lt;=0),"",SUM($L154)/$H154)</f>
        <v>0.945394736842105</v>
      </c>
      <c r="N154" s="115" t="str">
        <f aca="false">_xlfn.IFNA(ROUND(INDEX(Spectrum!$N:$N,MATCH(RIGHT($B154,13)&amp;"|"&amp;$C154&amp;"|"&amp;$D154&amp;"|"&amp;N$14&amp;"|"&amp;"CY2020Q4",Spectrum!$Q:$Q,0)),0),"")</f>
        <v/>
      </c>
      <c r="O154" s="123" t="str">
        <f aca="false">_xlfn.IFNA(INDEX(Spectrum!$P:$P,MATCH(RIGHT($B154,13)&amp;"|"&amp;$C154&amp;"|"&amp;$D154&amp;"|"&amp;N$14&amp;"|"&amp;"CY2020Q4",Spectrum!$Q:$Q,0)),"")</f>
        <v/>
      </c>
      <c r="P154" s="115" t="n">
        <f aca="false">_xlfn.IFNA(ROUND(INDEX(Spectrum!$N:$N,MATCH(RIGHT($B154,13)&amp;"|"&amp;$C154&amp;"|"&amp;$D154&amp;"|"&amp;P$14&amp;"|"&amp;"CY2021Q3",Spectrum!$Q:$Q,0)),0),"")</f>
        <v>4903</v>
      </c>
      <c r="Q154" s="123" t="n">
        <f aca="false">_xlfn.IFNA(INDEX(Spectrum!$P:$P,MATCH(RIGHT($B154,13)&amp;"|"&amp;$C154&amp;"|"&amp;$D154&amp;"|"&amp;P$14&amp;"|"&amp;"CY2021Q3",Spectrum!$Q:$Q,0)),"")</f>
        <v>9</v>
      </c>
      <c r="R154" s="115"/>
      <c r="S154" s="123" t="str">
        <f aca="false">IF(OR(SUM($P154)&lt;=0,SUM($R154)&lt;=0),"",SUM($R154)/$P154)</f>
        <v/>
      </c>
      <c r="T154" s="139" t="n">
        <v>19</v>
      </c>
      <c r="U154" s="124" t="n">
        <v>35</v>
      </c>
      <c r="V154" s="124" t="n">
        <f aca="false">IF($U154-$T154=0,"",$U154-$T154)</f>
        <v>16</v>
      </c>
      <c r="W154" s="123" t="n">
        <f aca="false">IF(LEFT($B154,4)="_Mil","",IFERROR(MIN(IF(SUM($N154)&lt;=0,SUM($U154)/SUM($P154),SUM($T154)/SUM($N154)),1),""))</f>
        <v>0.00713848664083214</v>
      </c>
      <c r="X154" s="123" t="n">
        <f aca="false">$W154</f>
        <v>0.00713848664083214</v>
      </c>
      <c r="Y154" s="123" t="n">
        <f aca="false">IFERROR(1/(1/INDEX(Spectrum!$N:$N,MATCH(RIGHT($B154,13)&amp;"|"&amp;$C154&amp;"|"&amp;$D154&amp;"|"&amp;Y$14&amp;"|"&amp;"CY2021Q3",Spectrum!$Q:$Q,0))),IF(SUM($H154)=0,"",MAX(SUM($P154),SUM($U154))/SUM($H154)))</f>
        <v>0.80641447368421</v>
      </c>
      <c r="Z154" s="123" t="n">
        <f aca="false">IF(SUM($Y154)=0,"",MAX(SUM($Y154),90%))</f>
        <v>0.9</v>
      </c>
      <c r="AA154" s="115" t="n">
        <f aca="false">IF(LEFT($B154,4)="_Mil","",ROUND(MAX(SUM($U154),SUM($P154))+IF(SUM($Z154)=0,0,MAX(SUM($Z154)-SUM($Y154),0)*SUM($H154)),0))</f>
        <v>5472</v>
      </c>
      <c r="AB154" s="115" t="n">
        <f aca="false">IF(SUM($AA154)=0,"",ROUND(MAX(SUM($AA154)-MAX(SUM($P154),SUM($U154)),0),0))</f>
        <v>569</v>
      </c>
      <c r="AC154" s="126" t="str">
        <f aca="false">IF($C154="&lt;01",IFERROR(ROUND(INDEX(EID!$N:$N,MATCH($B154,EID!$B:$B,0))/2,0),""),"")</f>
        <v/>
      </c>
      <c r="AD154" s="115" t="n">
        <f aca="false">IF($C154="&lt;01",IF(SUM($AC154)=0,"",ROUND(SUM($AC154)/$AG154,0)),IF(SUM($AB154)=0,"",ROUND(MAX($X154,0)*SUM($AB154),0)))</f>
        <v>4</v>
      </c>
      <c r="AE154" s="115" t="n">
        <f aca="false">IF(AND(SUM($AD154)=0,SUM($U154)=0),"",ROUND(IF($C154="&lt;01",0,SUM($U154))+SUM($AD154),0))</f>
        <v>39</v>
      </c>
      <c r="AF154" s="122" t="n">
        <f aca="false">IF($C154="&lt;01","",100%)</f>
        <v>1</v>
      </c>
      <c r="AG154" s="123" t="n">
        <f aca="false">0.98</f>
        <v>0.98</v>
      </c>
      <c r="AH154" s="123" t="n">
        <f aca="false">0.98</f>
        <v>0.98</v>
      </c>
      <c r="AI154" s="124" t="n">
        <f aca="false">IF(OR($C154="&lt;01",SUM($U154)=0),"",ROUND(SUM($U154)*(1-$AH154),0))</f>
        <v>1</v>
      </c>
      <c r="AJ154" s="124" t="n">
        <f aca="false">IF(AND(SUM($AE154)=0,SUM($U154)=0),"",IF($C154="&lt;01",SUM($AD154),SUM($AE154) - ROUND(SUM($U154)*$AH154,0)))</f>
        <v>5</v>
      </c>
      <c r="AK154" s="124" t="n">
        <v>37</v>
      </c>
      <c r="AL154" s="124" t="n">
        <v>9</v>
      </c>
      <c r="AM154" s="115" t="n">
        <f aca="false">IF(AND(SUM($AD154)=0,SUM($U154)=0),"",IF($C154="&lt;01",SUM($AD154),ROUND(ROUND(SUM($AJ154)*$AF154,0)/$AG154,0)))</f>
        <v>5</v>
      </c>
      <c r="AN154" s="122" t="n">
        <f aca="false">0.7</f>
        <v>0.7</v>
      </c>
      <c r="AO154" s="123" t="n">
        <f aca="false">1</f>
        <v>1</v>
      </c>
      <c r="AP154" s="115" t="n">
        <f aca="false">IF(AND(SUM($U154)=0,SUM($AM154)=0),"",ROUND((SUM($AM154)*$AN154+IF($C154="&lt;01",0,$U154))*$AO154,0))</f>
        <v>39</v>
      </c>
      <c r="AQ154" s="122" t="n">
        <v>39</v>
      </c>
      <c r="AR154" s="123" t="n">
        <f aca="false">0.95</f>
        <v>0.95</v>
      </c>
      <c r="AS154" s="123" t="n">
        <f aca="false">0.95</f>
        <v>0.95</v>
      </c>
      <c r="AT154" s="115" t="n">
        <f aca="false">IF(SUM($AP154)=0,"",ROUND(SUM($AP154)*$AR154,0))</f>
        <v>37</v>
      </c>
      <c r="AU154" s="115" t="n">
        <f aca="false">IF(LEFT($B154,4)="_Mil","",ROUND(SUM($AA154)*SUM($AS154),0))</f>
        <v>5198</v>
      </c>
      <c r="AV154" s="124" t="n">
        <f aca="false">IF(SUM($AU154)&lt;=0,"",MAX(SUM($AU154)-SUM($R154),0))</f>
        <v>5198</v>
      </c>
      <c r="AW154" s="122" t="n">
        <f aca="false">0</f>
        <v>0</v>
      </c>
      <c r="AX154" s="124" t="n">
        <f aca="false">IF(SUM($AM154)=0,"",ROUND(SUM($AM154)*SUM($AW154),0))</f>
        <v>0</v>
      </c>
      <c r="AY154" s="124" t="n">
        <f aca="false">IF(SUM($AM154)=0,"",SUM($AM154)-SUM($AX154))</f>
        <v>5</v>
      </c>
      <c r="AZ154" s="123" t="n">
        <v>5</v>
      </c>
      <c r="BA154" s="123" t="n">
        <f aca="false">0.95</f>
        <v>0.95</v>
      </c>
      <c r="BB154" s="123"/>
      <c r="BC154" s="123" t="n">
        <f aca="false">IF(OR(SUM($AM154)&lt;=0,$C154="&lt;01"),"",MAX(IF(OR(SUM($Y154)&lt;70%,LEFT($B154,4)="_Mil"),30%,IF(SUM($Y154)&gt;=80%,75%,50%)),SUM($BB154)))</f>
        <v>0.75</v>
      </c>
      <c r="BD154" s="115" t="n">
        <f aca="false">IF($C154="&lt;01",IFERROR(ROUND(INDEX(EID!$M:$M,MATCH($B154,EID!$B:$B,0)),0)/2,""),IF(SUM($AY154)=0,"",ROUND(SUM($AY154)/SUM($BA154),0)))</f>
        <v>5</v>
      </c>
      <c r="BE154" s="115" t="n">
        <f aca="false">IF($C154="&lt;01","",IF(SUM($BD154)=0,"",ROUND(SUM($BD154)*SUM($BC154),0)))</f>
        <v>4</v>
      </c>
      <c r="BF154" s="115" t="str">
        <f aca="false">_xlfn.IFNA(INDEX(PMTCT!$AE:$AE,MATCH($E154,PMTCT!$E:$E,0)),"")</f>
        <v/>
      </c>
      <c r="BG154" s="115" t="str">
        <f aca="false">_xlfn.IFNA(INDEX(PMTCT!$AU:$AU,MATCH($E154,PMTCT!$E:$E,0)),"")</f>
        <v/>
      </c>
      <c r="BH154" s="115" t="n">
        <f aca="false">_xlfn.IFNA(INDEX(TB!$Q:$Q,MATCH($E154,TB!$E:$E,0)),"")</f>
        <v>-1144</v>
      </c>
      <c r="BI154" s="115" t="str">
        <f aca="false">_xlfn.IFNA(INDEX(VMMC!$AC:$AC,MATCH($E154,VMMC!$E:$E,0)),"")</f>
        <v/>
      </c>
      <c r="BJ154" s="115" t="str">
        <f aca="false">IF($C154="&lt;01",$BD154,"")</f>
        <v/>
      </c>
      <c r="BK154" s="115" t="n">
        <f aca="false">IF(SUM($BD154)=0,"",($BD154)-SUM($BE154:$BJ154))</f>
        <v>1145</v>
      </c>
      <c r="BL154" s="123" t="n">
        <f aca="false">IF(OR(SUM($BD154)=0,SUM($BE154)=0),"",SUM($BE154)/$BD154)</f>
        <v>0.8</v>
      </c>
      <c r="BM154" s="123" t="str">
        <f aca="false">IF(OR(SUM($BD154)=0,SUM($BF154)=0),"",SUM($BF154)/$BD154)</f>
        <v/>
      </c>
      <c r="BN154" s="123" t="str">
        <f aca="false">IF(OR(SUM($BD154)=0,SUM($BG154)=0),"",SUM($BG154)/$BD154)</f>
        <v/>
      </c>
      <c r="BO154" s="123" t="n">
        <f aca="false">IF(OR(SUM($BD154)=0,SUM($BH154)=0),"",SUM($BH154)/$BD154)</f>
        <v>-228.8</v>
      </c>
      <c r="BP154" s="123" t="str">
        <f aca="false">IF(OR(SUM($BD154)=0,SUM($BI154)=0),"",SUM($BI154)/$BD154)</f>
        <v/>
      </c>
      <c r="BQ154" s="123" t="str">
        <f aca="false">IF(AND($C154="&lt;01",SUM($BJ154)&lt;&gt;0),$BJ154/SUM($BD154),"")</f>
        <v/>
      </c>
      <c r="BR154" s="123" t="n">
        <f aca="false">IF(OR(SUM($BD154)=0,SUM($BK154)=0),"",SUM($BK154)/$BD154)</f>
        <v>229</v>
      </c>
      <c r="BS154" s="122" t="n">
        <f aca="false">IF(SUM($X154)&lt;=0,"",$X154)</f>
        <v>0.00713848664083214</v>
      </c>
      <c r="BT154" s="115" t="n">
        <f aca="false">IF(LEFT($B154,4)="_Mil","",MAX(SUM($L154)+ROUND(SUM($BD154)/IF(SUM($BS154)&lt;=0,1,SUM($BS154)),0),0))</f>
        <v>6448</v>
      </c>
    </row>
    <row r="155" customFormat="false" ht="15" hidden="false" customHeight="false" outlineLevel="0" collapsed="false">
      <c r="A155" s="0" t="s">
        <v>146</v>
      </c>
      <c r="B155" s="0" t="s">
        <v>45</v>
      </c>
      <c r="C155" s="0" t="s">
        <v>80</v>
      </c>
      <c r="D155" s="0" t="s">
        <v>56</v>
      </c>
      <c r="E155" s="0" t="str">
        <f aca="false">B155&amp;"|"&amp;C155&amp;"|"&amp;D155</f>
        <v>Maseru [#SNU] [#DREAMS] [tKOXiaNhAyJ]|45-49|Female</v>
      </c>
      <c r="F155" s="115" t="n">
        <f aca="false">_xlfn.IFNA(ROUND(INDEX(Spectrum!$N:$N,MATCH(RIGHT($B155,13)&amp;"|"&amp;$C155&amp;"|"&amp;$D155&amp;"|"&amp;F$14&amp;"|"&amp;"CY2021Q3",Spectrum!$Q:$Q,0)),0),"")</f>
        <v>10843</v>
      </c>
      <c r="G155" s="123" t="n">
        <f aca="false">_xlfn.IFNA(INDEX(Spectrum!$P:$P,MATCH(RIGHT($B155,13)&amp;"|"&amp;$C155&amp;"|"&amp;$D155&amp;"|"&amp;F$14&amp;"|"&amp;"CY2021Q3",Spectrum!$Q:$Q,0)),"")</f>
        <v>24</v>
      </c>
      <c r="H155" s="115" t="n">
        <f aca="false">_xlfn.IFNA(ROUND(INDEX(Spectrum!$N:$N,MATCH(RIGHT($B155,13)&amp;"|"&amp;$C155&amp;"|"&amp;$D155&amp;"|"&amp;H$14&amp;"|"&amp;"CY2021Q3",Spectrum!$Q:$Q,0)),0),"")</f>
        <v>5384</v>
      </c>
      <c r="I155" s="123" t="n">
        <f aca="false">_xlfn.IFNA(INDEX(Spectrum!$P:$P,MATCH(RIGHT($B155,13)&amp;"|"&amp;$C155&amp;"|"&amp;$D155&amp;"|"&amp;H$14&amp;"|"&amp;"CY2021Q3",Spectrum!$Q:$Q,0)),"")</f>
        <v>44</v>
      </c>
      <c r="J155" s="117" t="n">
        <f aca="false">_xlfn.IFNA(INDEX(Spectrum!$N:$N,MATCH(RIGHT($B155,13)&amp;"|"&amp;$C155&amp;"|"&amp;$D155&amp;"|"&amp;J$14&amp;"|"&amp;"CY2021Q3",Spectrum!$Q:$Q,0)),"")</f>
        <v>0.4965834</v>
      </c>
      <c r="K155" s="123" t="n">
        <f aca="false">_xlfn.IFNA(INDEX(Spectrum!$P:$P,MATCH(RIGHT($B155,13)&amp;"|"&amp;$C155&amp;"|"&amp;$D155&amp;"|"&amp;J$14&amp;"|"&amp;"CY2021Q3",Spectrum!$Q:$Q,0)),"")</f>
        <v>26</v>
      </c>
      <c r="L155" s="115" t="n">
        <f aca="false">_xlfn.IFNA(ROUND(INDEX(Spectrum!$N:$N,MATCH(RIGHT($B155,13)&amp;"|"&amp;$C155&amp;"|"&amp;$D155&amp;"|"&amp;L$14&amp;"|"&amp;"CY2021Q3",Spectrum!$Q:$Q,0)),0),"")</f>
        <v>5717</v>
      </c>
      <c r="M155" s="123" t="n">
        <f aca="false">IF(OR(SUM($H155)&lt;=0,SUM($L155)&lt;=0),"",SUM($L155)/$H155)</f>
        <v>1.0618499257058</v>
      </c>
      <c r="N155" s="115" t="str">
        <f aca="false">_xlfn.IFNA(ROUND(INDEX(Spectrum!$N:$N,MATCH(RIGHT($B155,13)&amp;"|"&amp;$C155&amp;"|"&amp;$D155&amp;"|"&amp;N$14&amp;"|"&amp;"CY2020Q4",Spectrum!$Q:$Q,0)),0),"")</f>
        <v/>
      </c>
      <c r="O155" s="123" t="str">
        <f aca="false">_xlfn.IFNA(INDEX(Spectrum!$P:$P,MATCH(RIGHT($B155,13)&amp;"|"&amp;$C155&amp;"|"&amp;$D155&amp;"|"&amp;N$14&amp;"|"&amp;"CY2020Q4",Spectrum!$Q:$Q,0)),"")</f>
        <v/>
      </c>
      <c r="P155" s="115" t="n">
        <f aca="false">_xlfn.IFNA(ROUND(INDEX(Spectrum!$N:$N,MATCH(RIGHT($B155,13)&amp;"|"&amp;$C155&amp;"|"&amp;$D155&amp;"|"&amp;P$14&amp;"|"&amp;"CY2021Q3",Spectrum!$Q:$Q,0)),0),"")</f>
        <v>5215</v>
      </c>
      <c r="Q155" s="123" t="n">
        <f aca="false">_xlfn.IFNA(INDEX(Spectrum!$P:$P,MATCH(RIGHT($B155,13)&amp;"|"&amp;$C155&amp;"|"&amp;$D155&amp;"|"&amp;P$14&amp;"|"&amp;"CY2021Q3",Spectrum!$Q:$Q,0)),"")</f>
        <v>31</v>
      </c>
      <c r="R155" s="115"/>
      <c r="S155" s="123" t="str">
        <f aca="false">IF(OR(SUM($P155)&lt;=0,SUM($R155)&lt;=0),"",SUM($R155)/$P155)</f>
        <v/>
      </c>
      <c r="T155" s="139" t="n">
        <v>36</v>
      </c>
      <c r="U155" s="124" t="n">
        <v>17</v>
      </c>
      <c r="V155" s="124" t="n">
        <f aca="false">IF($U155-$T155=0,"",$U155-$T155)</f>
        <v>-19</v>
      </c>
      <c r="W155" s="123" t="n">
        <f aca="false">IF(LEFT($B155,4)="_Mil","",IFERROR(MIN(IF(SUM($N155)&lt;=0,SUM($U155)/SUM($P155),SUM($T155)/SUM($N155)),1),""))</f>
        <v>0.00325982742090125</v>
      </c>
      <c r="X155" s="123" t="n">
        <f aca="false">$W155</f>
        <v>0.00325982742090125</v>
      </c>
      <c r="Y155" s="123" t="n">
        <f aca="false">IFERROR(1/(1/INDEX(Spectrum!$N:$N,MATCH(RIGHT($B155,13)&amp;"|"&amp;$C155&amp;"|"&amp;$D155&amp;"|"&amp;Y$14&amp;"|"&amp;"CY2021Q3",Spectrum!$Q:$Q,0))),IF(SUM($H155)=0,"",MAX(SUM($P155),SUM($U155))/SUM($H155)))</f>
        <v>0.968610698365528</v>
      </c>
      <c r="Z155" s="123" t="n">
        <f aca="false">IF(SUM($Y155)=0,"",MAX(SUM($Y155),90%))</f>
        <v>0.968610698365528</v>
      </c>
      <c r="AA155" s="115" t="n">
        <f aca="false">IF(LEFT($B155,4)="_Mil","",ROUND(MAX(SUM($U155),SUM($P155))+IF(SUM($Z155)=0,0,MAX(SUM($Z155)-SUM($Y155),0)*SUM($H155)),0))</f>
        <v>5215</v>
      </c>
      <c r="AB155" s="115" t="n">
        <f aca="false">IF(SUM($AA155)=0,"",ROUND(MAX(SUM($AA155)-MAX(SUM($P155),SUM($U155)),0),0))</f>
        <v>0</v>
      </c>
      <c r="AC155" s="126" t="str">
        <f aca="false">IF($C155="&lt;01",IFERROR(ROUND(INDEX(EID!$N:$N,MATCH($B155,EID!$B:$B,0))/2,0),""),"")</f>
        <v/>
      </c>
      <c r="AD155" s="115" t="str">
        <f aca="false">IF($C155="&lt;01",IF(SUM($AC155)=0,"",ROUND(SUM($AC155)/$AG155,0)),IF(SUM($AB155)=0,"",ROUND(MAX($X155,0)*SUM($AB155),0)))</f>
        <v/>
      </c>
      <c r="AE155" s="115" t="n">
        <f aca="false">IF(AND(SUM($AD155)=0,SUM($U155)=0),"",ROUND(IF($C155="&lt;01",0,SUM($U155))+SUM($AD155),0))</f>
        <v>17</v>
      </c>
      <c r="AF155" s="122" t="n">
        <f aca="false">IF($C155="&lt;01","",100%)</f>
        <v>1</v>
      </c>
      <c r="AG155" s="123" t="n">
        <f aca="false">0.98</f>
        <v>0.98</v>
      </c>
      <c r="AH155" s="123" t="n">
        <f aca="false">0.98</f>
        <v>0.98</v>
      </c>
      <c r="AI155" s="124" t="n">
        <f aca="false">IF(OR($C155="&lt;01",SUM($U155)=0),"",ROUND(SUM($U155)*(1-$AH155),0))</f>
        <v>0</v>
      </c>
      <c r="AJ155" s="124" t="n">
        <f aca="false">IF(AND(SUM($AE155)=0,SUM($U155)=0),"",IF($C155="&lt;01",SUM($AD155),SUM($AE155) - ROUND(SUM($U155)*$AH155,0)))</f>
        <v>0</v>
      </c>
      <c r="AK155" s="124" t="n">
        <v>42</v>
      </c>
      <c r="AL155" s="124" t="n">
        <v>14</v>
      </c>
      <c r="AM155" s="115" t="n">
        <f aca="false">IF(AND(SUM($AD155)=0,SUM($U155)=0),"",IF($C155="&lt;01",SUM($AD155),ROUND(ROUND(SUM($AJ155)*$AF155,0)/$AG155,0)))</f>
        <v>0</v>
      </c>
      <c r="AN155" s="122" t="n">
        <f aca="false">0.7</f>
        <v>0.7</v>
      </c>
      <c r="AO155" s="123" t="n">
        <f aca="false">1</f>
        <v>1</v>
      </c>
      <c r="AP155" s="115" t="n">
        <f aca="false">IF(AND(SUM($U155)=0,SUM($AM155)=0),"",ROUND((SUM($AM155)*$AN155+IF($C155="&lt;01",0,$U155))*$AO155,0))</f>
        <v>17</v>
      </c>
      <c r="AQ155" s="122" t="n">
        <v>42</v>
      </c>
      <c r="AR155" s="123" t="n">
        <f aca="false">0.95</f>
        <v>0.95</v>
      </c>
      <c r="AS155" s="123" t="n">
        <f aca="false">0.95</f>
        <v>0.95</v>
      </c>
      <c r="AT155" s="115" t="n">
        <f aca="false">IF(SUM($AP155)=0,"",ROUND(SUM($AP155)*$AR155,0))</f>
        <v>16</v>
      </c>
      <c r="AU155" s="115" t="n">
        <f aca="false">IF(LEFT($B155,4)="_Mil","",ROUND(SUM($AA155)*SUM($AS155),0))</f>
        <v>4954</v>
      </c>
      <c r="AV155" s="124" t="n">
        <f aca="false">IF(SUM($AU155)&lt;=0,"",MAX(SUM($AU155)-SUM($R155),0))</f>
        <v>4954</v>
      </c>
      <c r="AW155" s="122" t="n">
        <f aca="false">0</f>
        <v>0</v>
      </c>
      <c r="AX155" s="124" t="str">
        <f aca="false">IF(SUM($AM155)=0,"",ROUND(SUM($AM155)*SUM($AW155),0))</f>
        <v/>
      </c>
      <c r="AY155" s="124" t="str">
        <f aca="false">IF(SUM($AM155)=0,"",SUM($AM155)-SUM($AX155))</f>
        <v/>
      </c>
      <c r="AZ155" s="123" t="n">
        <v>47</v>
      </c>
      <c r="BA155" s="123" t="n">
        <f aca="false">0.95</f>
        <v>0.95</v>
      </c>
      <c r="BB155" s="123"/>
      <c r="BC155" s="123" t="str">
        <f aca="false">IF(OR(SUM($AM155)&lt;=0,$C155="&lt;01"),"",MAX(IF(OR(SUM($Y155)&lt;70%,LEFT($B155,4)="_Mil"),30%,IF(SUM($Y155)&gt;=80%,75%,50%)),SUM($BB155)))</f>
        <v/>
      </c>
      <c r="BD155" s="115" t="str">
        <f aca="false">IF($C155="&lt;01",IFERROR(ROUND(INDEX(EID!$M:$M,MATCH($B155,EID!$B:$B,0)),0)/2,""),IF(SUM($AY155)=0,"",ROUND(SUM($AY155)/SUM($BA155),0)))</f>
        <v/>
      </c>
      <c r="BE155" s="115" t="str">
        <f aca="false">IF($C155="&lt;01","",IF(SUM($BD155)=0,"",ROUND(SUM($BD155)*SUM($BC155),0)))</f>
        <v/>
      </c>
      <c r="BF155" s="115" t="n">
        <f aca="false">_xlfn.IFNA(INDEX(PMTCT!$AE:$AE,MATCH($E155,PMTCT!$E:$E,0)),"")</f>
        <v>-0</v>
      </c>
      <c r="BG155" s="115" t="str">
        <f aca="false">_xlfn.IFNA(INDEX(PMTCT!$AU:$AU,MATCH($E155,PMTCT!$E:$E,0)),"")</f>
        <v/>
      </c>
      <c r="BH155" s="115" t="n">
        <f aca="false">_xlfn.IFNA(INDEX(TB!$Q:$Q,MATCH($E155,TB!$E:$E,0)),"")</f>
        <v>-588</v>
      </c>
      <c r="BI155" s="115" t="str">
        <f aca="false">_xlfn.IFNA(INDEX(VMMC!$AC:$AC,MATCH($E155,VMMC!$E:$E,0)),"")</f>
        <v/>
      </c>
      <c r="BJ155" s="115" t="str">
        <f aca="false">IF($C155="&lt;01",$BD155,"")</f>
        <v/>
      </c>
      <c r="BK155" s="115" t="str">
        <f aca="false">IF(SUM($BD155)=0,"",($BD155)-SUM($BE155:$BJ155))</f>
        <v/>
      </c>
      <c r="BL155" s="123" t="str">
        <f aca="false">IF(OR(SUM($BD155)=0,SUM($BE155)=0),"",SUM($BE155)/$BD155)</f>
        <v/>
      </c>
      <c r="BM155" s="123" t="str">
        <f aca="false">IF(OR(SUM($BD155)=0,SUM($BF155)=0),"",SUM($BF155)/$BD155)</f>
        <v/>
      </c>
      <c r="BN155" s="123" t="str">
        <f aca="false">IF(OR(SUM($BD155)=0,SUM($BG155)=0),"",SUM($BG155)/$BD155)</f>
        <v/>
      </c>
      <c r="BO155" s="123" t="str">
        <f aca="false">IF(OR(SUM($BD155)=0,SUM($BH155)=0),"",SUM($BH155)/$BD155)</f>
        <v/>
      </c>
      <c r="BP155" s="123" t="str">
        <f aca="false">IF(OR(SUM($BD155)=0,SUM($BI155)=0),"",SUM($BI155)/$BD155)</f>
        <v/>
      </c>
      <c r="BQ155" s="123" t="str">
        <f aca="false">IF(AND($C155="&lt;01",SUM($BJ155)&lt;&gt;0),$BJ155/SUM($BD155),"")</f>
        <v/>
      </c>
      <c r="BR155" s="123" t="str">
        <f aca="false">IF(OR(SUM($BD155)=0,SUM($BK155)=0),"",SUM($BK155)/$BD155)</f>
        <v/>
      </c>
      <c r="BS155" s="122" t="n">
        <f aca="false">IF(SUM($X155)&lt;=0,"",$X155)</f>
        <v>0.00325982742090125</v>
      </c>
      <c r="BT155" s="115" t="n">
        <f aca="false">IF(LEFT($B155,4)="_Mil","",MAX(SUM($L155)+ROUND(SUM($BD155)/IF(SUM($BS155)&lt;=0,1,SUM($BS155)),0),0))</f>
        <v>5717</v>
      </c>
    </row>
    <row r="156" customFormat="false" ht="15" hidden="false" customHeight="false" outlineLevel="0" collapsed="false">
      <c r="A156" s="0" t="s">
        <v>146</v>
      </c>
      <c r="B156" s="0" t="s">
        <v>45</v>
      </c>
      <c r="C156" s="0" t="s">
        <v>80</v>
      </c>
      <c r="D156" s="0" t="s">
        <v>58</v>
      </c>
      <c r="E156" s="0" t="str">
        <f aca="false">B156&amp;"|"&amp;C156&amp;"|"&amp;D156</f>
        <v>Maseru [#SNU] [#DREAMS] [tKOXiaNhAyJ]|45-49|Male</v>
      </c>
      <c r="F156" s="115" t="n">
        <f aca="false">_xlfn.IFNA(ROUND(INDEX(Spectrum!$N:$N,MATCH(RIGHT($B156,13)&amp;"|"&amp;$C156&amp;"|"&amp;$D156&amp;"|"&amp;F$14&amp;"|"&amp;"CY2021Q3",Spectrum!$Q:$Q,0)),0),"")</f>
        <v>10828</v>
      </c>
      <c r="G156" s="123" t="n">
        <f aca="false">_xlfn.IFNA(INDEX(Spectrum!$P:$P,MATCH(RIGHT($B156,13)&amp;"|"&amp;$C156&amp;"|"&amp;$D156&amp;"|"&amp;F$14&amp;"|"&amp;"CY2021Q3",Spectrum!$Q:$Q,0)),"")</f>
        <v>7</v>
      </c>
      <c r="H156" s="115" t="n">
        <f aca="false">_xlfn.IFNA(ROUND(INDEX(Spectrum!$N:$N,MATCH(RIGHT($B156,13)&amp;"|"&amp;$C156&amp;"|"&amp;$D156&amp;"|"&amp;H$14&amp;"|"&amp;"CY2021Q3",Spectrum!$Q:$Q,0)),0),"")</f>
        <v>4911</v>
      </c>
      <c r="I156" s="123" t="n">
        <f aca="false">_xlfn.IFNA(INDEX(Spectrum!$P:$P,MATCH(RIGHT($B156,13)&amp;"|"&amp;$C156&amp;"|"&amp;$D156&amp;"|"&amp;H$14&amp;"|"&amp;"CY2021Q3",Spectrum!$Q:$Q,0)),"")</f>
        <v>7</v>
      </c>
      <c r="J156" s="117" t="n">
        <f aca="false">_xlfn.IFNA(INDEX(Spectrum!$N:$N,MATCH(RIGHT($B156,13)&amp;"|"&amp;$C156&amp;"|"&amp;$D156&amp;"|"&amp;J$14&amp;"|"&amp;"CY2021Q3",Spectrum!$Q:$Q,0)),"")</f>
        <v>0.4535215</v>
      </c>
      <c r="K156" s="123" t="n">
        <f aca="false">_xlfn.IFNA(INDEX(Spectrum!$P:$P,MATCH(RIGHT($B156,13)&amp;"|"&amp;$C156&amp;"|"&amp;$D156&amp;"|"&amp;J$14&amp;"|"&amp;"CY2021Q3",Spectrum!$Q:$Q,0)),"")</f>
        <v>27</v>
      </c>
      <c r="L156" s="115" t="n">
        <f aca="false">_xlfn.IFNA(ROUND(INDEX(Spectrum!$N:$N,MATCH(RIGHT($B156,13)&amp;"|"&amp;$C156&amp;"|"&amp;$D156&amp;"|"&amp;L$14&amp;"|"&amp;"CY2021Q3",Spectrum!$Q:$Q,0)),0),"")</f>
        <v>4478</v>
      </c>
      <c r="M156" s="123" t="n">
        <f aca="false">IF(OR(SUM($H156)&lt;=0,SUM($L156)&lt;=0),"",SUM($L156)/$H156)</f>
        <v>0.911830584402362</v>
      </c>
      <c r="N156" s="115" t="str">
        <f aca="false">_xlfn.IFNA(ROUND(INDEX(Spectrum!$N:$N,MATCH(RIGHT($B156,13)&amp;"|"&amp;$C156&amp;"|"&amp;$D156&amp;"|"&amp;N$14&amp;"|"&amp;"CY2020Q4",Spectrum!$Q:$Q,0)),0),"")</f>
        <v/>
      </c>
      <c r="O156" s="123" t="str">
        <f aca="false">_xlfn.IFNA(INDEX(Spectrum!$P:$P,MATCH(RIGHT($B156,13)&amp;"|"&amp;$C156&amp;"|"&amp;$D156&amp;"|"&amp;N$14&amp;"|"&amp;"CY2020Q4",Spectrum!$Q:$Q,0)),"")</f>
        <v/>
      </c>
      <c r="P156" s="115" t="n">
        <f aca="false">_xlfn.IFNA(ROUND(INDEX(Spectrum!$N:$N,MATCH(RIGHT($B156,13)&amp;"|"&amp;$C156&amp;"|"&amp;$D156&amp;"|"&amp;P$14&amp;"|"&amp;"CY2021Q3",Spectrum!$Q:$Q,0)),0),"")</f>
        <v>3914</v>
      </c>
      <c r="Q156" s="123" t="n">
        <f aca="false">_xlfn.IFNA(INDEX(Spectrum!$P:$P,MATCH(RIGHT($B156,13)&amp;"|"&amp;$C156&amp;"|"&amp;$D156&amp;"|"&amp;P$14&amp;"|"&amp;"CY2021Q3",Spectrum!$Q:$Q,0)),"")</f>
        <v>12</v>
      </c>
      <c r="R156" s="115"/>
      <c r="S156" s="123" t="str">
        <f aca="false">IF(OR(SUM($P156)&lt;=0,SUM($R156)&lt;=0),"",SUM($R156)/$P156)</f>
        <v/>
      </c>
      <c r="T156" s="139" t="n">
        <v>11</v>
      </c>
      <c r="U156" s="124" t="n">
        <v>43</v>
      </c>
      <c r="V156" s="124" t="n">
        <f aca="false">IF($U156-$T156=0,"",$U156-$T156)</f>
        <v>32</v>
      </c>
      <c r="W156" s="123" t="n">
        <f aca="false">IF(LEFT($B156,4)="_Mil","",IFERROR(MIN(IF(SUM($N156)&lt;=0,SUM($U156)/SUM($P156),SUM($T156)/SUM($N156)),1),""))</f>
        <v>0.0109862033725089</v>
      </c>
      <c r="X156" s="123" t="n">
        <f aca="false">$W156</f>
        <v>0.0109862033725089</v>
      </c>
      <c r="Y156" s="123" t="n">
        <f aca="false">IFERROR(1/(1/INDEX(Spectrum!$N:$N,MATCH(RIGHT($B156,13)&amp;"|"&amp;$C156&amp;"|"&amp;$D156&amp;"|"&amp;Y$14&amp;"|"&amp;"CY2021Q3",Spectrum!$Q:$Q,0))),IF(SUM($H156)=0,"",MAX(SUM($P156),SUM($U156))/SUM($H156)))</f>
        <v>0.796986357157402</v>
      </c>
      <c r="Z156" s="123" t="n">
        <f aca="false">IF(SUM($Y156)=0,"",MAX(SUM($Y156),90%))</f>
        <v>0.9</v>
      </c>
      <c r="AA156" s="115" t="n">
        <f aca="false">IF(LEFT($B156,4)="_Mil","",ROUND(MAX(SUM($U156),SUM($P156))+IF(SUM($Z156)=0,0,MAX(SUM($Z156)-SUM($Y156),0)*SUM($H156)),0))</f>
        <v>4420</v>
      </c>
      <c r="AB156" s="115" t="n">
        <f aca="false">IF(SUM($AA156)=0,"",ROUND(MAX(SUM($AA156)-MAX(SUM($P156),SUM($U156)),0),0))</f>
        <v>506</v>
      </c>
      <c r="AC156" s="126" t="str">
        <f aca="false">IF($C156="&lt;01",IFERROR(ROUND(INDEX(EID!$N:$N,MATCH($B156,EID!$B:$B,0))/2,0),""),"")</f>
        <v/>
      </c>
      <c r="AD156" s="115" t="n">
        <f aca="false">IF($C156="&lt;01",IF(SUM($AC156)=0,"",ROUND(SUM($AC156)/$AG156,0)),IF(SUM($AB156)=0,"",ROUND(MAX($X156,0)*SUM($AB156),0)))</f>
        <v>6</v>
      </c>
      <c r="AE156" s="115" t="n">
        <f aca="false">IF(AND(SUM($AD156)=0,SUM($U156)=0),"",ROUND(IF($C156="&lt;01",0,SUM($U156))+SUM($AD156),0))</f>
        <v>49</v>
      </c>
      <c r="AF156" s="122" t="n">
        <f aca="false">IF($C156="&lt;01","",100%)</f>
        <v>1</v>
      </c>
      <c r="AG156" s="123" t="n">
        <f aca="false">0.98</f>
        <v>0.98</v>
      </c>
      <c r="AH156" s="123" t="n">
        <f aca="false">0.98</f>
        <v>0.98</v>
      </c>
      <c r="AI156" s="124" t="n">
        <f aca="false">IF(OR($C156="&lt;01",SUM($U156)=0),"",ROUND(SUM($U156)*(1-$AH156),0))</f>
        <v>1</v>
      </c>
      <c r="AJ156" s="124" t="n">
        <f aca="false">IF(AND(SUM($AE156)=0,SUM($U156)=0),"",IF($C156="&lt;01",SUM($AD156),SUM($AE156) - ROUND(SUM($U156)*$AH156,0)))</f>
        <v>7</v>
      </c>
      <c r="AK156" s="124" t="n">
        <v>34</v>
      </c>
      <c r="AL156" s="124" t="n">
        <v>39</v>
      </c>
      <c r="AM156" s="115" t="n">
        <f aca="false">IF(AND(SUM($AD156)=0,SUM($U156)=0),"",IF($C156="&lt;01",SUM($AD156),ROUND(ROUND(SUM($AJ156)*$AF156,0)/$AG156,0)))</f>
        <v>7</v>
      </c>
      <c r="AN156" s="122" t="n">
        <f aca="false">0.7</f>
        <v>0.7</v>
      </c>
      <c r="AO156" s="123" t="n">
        <f aca="false">1</f>
        <v>1</v>
      </c>
      <c r="AP156" s="115" t="n">
        <f aca="false">IF(AND(SUM($U156)=0,SUM($AM156)=0),"",ROUND((SUM($AM156)*$AN156+IF($C156="&lt;01",0,$U156))*$AO156,0))</f>
        <v>48</v>
      </c>
      <c r="AQ156" s="122" t="n">
        <v>16</v>
      </c>
      <c r="AR156" s="123" t="n">
        <f aca="false">0.95</f>
        <v>0.95</v>
      </c>
      <c r="AS156" s="123" t="n">
        <f aca="false">0.95</f>
        <v>0.95</v>
      </c>
      <c r="AT156" s="115" t="n">
        <f aca="false">IF(SUM($AP156)=0,"",ROUND(SUM($AP156)*$AR156,0))</f>
        <v>46</v>
      </c>
      <c r="AU156" s="115" t="n">
        <f aca="false">IF(LEFT($B156,4)="_Mil","",ROUND(SUM($AA156)*SUM($AS156),0))</f>
        <v>4199</v>
      </c>
      <c r="AV156" s="124" t="n">
        <f aca="false">IF(SUM($AU156)&lt;=0,"",MAX(SUM($AU156)-SUM($R156),0))</f>
        <v>4199</v>
      </c>
      <c r="AW156" s="122" t="n">
        <f aca="false">0</f>
        <v>0</v>
      </c>
      <c r="AX156" s="124" t="n">
        <f aca="false">IF(SUM($AM156)=0,"",ROUND(SUM($AM156)*SUM($AW156),0))</f>
        <v>0</v>
      </c>
      <c r="AY156" s="124" t="n">
        <f aca="false">IF(SUM($AM156)=0,"",SUM($AM156)-SUM($AX156))</f>
        <v>7</v>
      </c>
      <c r="AZ156" s="123" t="n">
        <v>28</v>
      </c>
      <c r="BA156" s="123" t="n">
        <f aca="false">0.95</f>
        <v>0.95</v>
      </c>
      <c r="BB156" s="123"/>
      <c r="BC156" s="123" t="n">
        <f aca="false">IF(OR(SUM($AM156)&lt;=0,$C156="&lt;01"),"",MAX(IF(OR(SUM($Y156)&lt;70%,LEFT($B156,4)="_Mil"),30%,IF(SUM($Y156)&gt;=80%,75%,50%)),SUM($BB156)))</f>
        <v>0.5</v>
      </c>
      <c r="BD156" s="115" t="n">
        <f aca="false">IF($C156="&lt;01",IFERROR(ROUND(INDEX(EID!$M:$M,MATCH($B156,EID!$B:$B,0)),0)/2,""),IF(SUM($AY156)=0,"",ROUND(SUM($AY156)/SUM($BA156),0)))</f>
        <v>7</v>
      </c>
      <c r="BE156" s="115" t="n">
        <f aca="false">IF($C156="&lt;01","",IF(SUM($BD156)=0,"",ROUND(SUM($BD156)*SUM($BC156),0)))</f>
        <v>4</v>
      </c>
      <c r="BF156" s="115" t="str">
        <f aca="false">_xlfn.IFNA(INDEX(PMTCT!$AE:$AE,MATCH($E156,PMTCT!$E:$E,0)),"")</f>
        <v/>
      </c>
      <c r="BG156" s="115" t="str">
        <f aca="false">_xlfn.IFNA(INDEX(PMTCT!$AU:$AU,MATCH($E156,PMTCT!$E:$E,0)),"")</f>
        <v/>
      </c>
      <c r="BH156" s="115" t="n">
        <f aca="false">_xlfn.IFNA(INDEX(TB!$Q:$Q,MATCH($E156,TB!$E:$E,0)),"")</f>
        <v>-8514</v>
      </c>
      <c r="BI156" s="115" t="str">
        <f aca="false">_xlfn.IFNA(INDEX(VMMC!$AC:$AC,MATCH($E156,VMMC!$E:$E,0)),"")</f>
        <v/>
      </c>
      <c r="BJ156" s="115" t="str">
        <f aca="false">IF($C156="&lt;01",$BD156,"")</f>
        <v/>
      </c>
      <c r="BK156" s="115" t="n">
        <f aca="false">IF(SUM($BD156)=0,"",($BD156)-SUM($BE156:$BJ156))</f>
        <v>8517</v>
      </c>
      <c r="BL156" s="123" t="n">
        <f aca="false">IF(OR(SUM($BD156)=0,SUM($BE156)=0),"",SUM($BE156)/$BD156)</f>
        <v>0.571428571428571</v>
      </c>
      <c r="BM156" s="123" t="str">
        <f aca="false">IF(OR(SUM($BD156)=0,SUM($BF156)=0),"",SUM($BF156)/$BD156)</f>
        <v/>
      </c>
      <c r="BN156" s="123" t="str">
        <f aca="false">IF(OR(SUM($BD156)=0,SUM($BG156)=0),"",SUM($BG156)/$BD156)</f>
        <v/>
      </c>
      <c r="BO156" s="123" t="n">
        <f aca="false">IF(OR(SUM($BD156)=0,SUM($BH156)=0),"",SUM($BH156)/$BD156)</f>
        <v>-1216.28571428571</v>
      </c>
      <c r="BP156" s="123" t="str">
        <f aca="false">IF(OR(SUM($BD156)=0,SUM($BI156)=0),"",SUM($BI156)/$BD156)</f>
        <v/>
      </c>
      <c r="BQ156" s="123" t="str">
        <f aca="false">IF(AND($C156="&lt;01",SUM($BJ156)&lt;&gt;0),$BJ156/SUM($BD156),"")</f>
        <v/>
      </c>
      <c r="BR156" s="123" t="n">
        <f aca="false">IF(OR(SUM($BD156)=0,SUM($BK156)=0),"",SUM($BK156)/$BD156)</f>
        <v>1216.71428571429</v>
      </c>
      <c r="BS156" s="122" t="n">
        <f aca="false">IF(SUM($X156)&lt;=0,"",$X156)</f>
        <v>0.0109862033725089</v>
      </c>
      <c r="BT156" s="115" t="n">
        <f aca="false">IF(LEFT($B156,4)="_Mil","",MAX(SUM($L156)+ROUND(SUM($BD156)/IF(SUM($BS156)&lt;=0,1,SUM($BS156)),0),0))</f>
        <v>5115</v>
      </c>
    </row>
    <row r="157" customFormat="false" ht="15" hidden="false" customHeight="false" outlineLevel="0" collapsed="false">
      <c r="A157" s="0" t="s">
        <v>146</v>
      </c>
      <c r="B157" s="0" t="s">
        <v>45</v>
      </c>
      <c r="C157" s="0" t="s">
        <v>86</v>
      </c>
      <c r="D157" s="0" t="s">
        <v>56</v>
      </c>
      <c r="E157" s="0" t="str">
        <f aca="false">B157&amp;"|"&amp;C157&amp;"|"&amp;D157</f>
        <v>Maseru [#SNU] [#DREAMS] [tKOXiaNhAyJ]|50+|Female</v>
      </c>
      <c r="F157" s="115" t="n">
        <f aca="false">_xlfn.IFNA(ROUND(INDEX(Spectrum!$N:$N,MATCH(RIGHT($B157,13)&amp;"|"&amp;$C157&amp;"|"&amp;$D157&amp;"|"&amp;F$14&amp;"|"&amp;"CY2021Q3",Spectrum!$Q:$Q,0)),0),"")</f>
        <v>44656</v>
      </c>
      <c r="G157" s="123" t="n">
        <f aca="false">_xlfn.IFNA(INDEX(Spectrum!$P:$P,MATCH(RIGHT($B157,13)&amp;"|"&amp;$C157&amp;"|"&amp;$D157&amp;"|"&amp;F$14&amp;"|"&amp;"CY2021Q3",Spectrum!$Q:$Q,0)),"")</f>
        <v>42</v>
      </c>
      <c r="H157" s="115" t="n">
        <f aca="false">_xlfn.IFNA(ROUND(INDEX(Spectrum!$N:$N,MATCH(RIGHT($B157,13)&amp;"|"&amp;$C157&amp;"|"&amp;$D157&amp;"|"&amp;H$14&amp;"|"&amp;"CY2021Q3",Spectrum!$Q:$Q,0)),0),"")</f>
        <v>12963</v>
      </c>
      <c r="I157" s="123" t="n">
        <f aca="false">_xlfn.IFNA(INDEX(Spectrum!$P:$P,MATCH(RIGHT($B157,13)&amp;"|"&amp;$C157&amp;"|"&amp;$D157&amp;"|"&amp;H$14&amp;"|"&amp;"CY2021Q3",Spectrum!$Q:$Q,0)),"")</f>
        <v>5</v>
      </c>
      <c r="J157" s="117" t="n">
        <f aca="false">_xlfn.IFNA(INDEX(Spectrum!$N:$N,MATCH(RIGHT($B157,13)&amp;"|"&amp;$C157&amp;"|"&amp;$D157&amp;"|"&amp;J$14&amp;"|"&amp;"CY2021Q3",Spectrum!$Q:$Q,0)),"")</f>
        <v>0.290296</v>
      </c>
      <c r="K157" s="123" t="n">
        <f aca="false">_xlfn.IFNA(INDEX(Spectrum!$P:$P,MATCH(RIGHT($B157,13)&amp;"|"&amp;$C157&amp;"|"&amp;$D157&amp;"|"&amp;J$14&amp;"|"&amp;"CY2021Q3",Spectrum!$Q:$Q,0)),"")</f>
        <v>14</v>
      </c>
      <c r="L157" s="115" t="n">
        <f aca="false">_xlfn.IFNA(ROUND(INDEX(Spectrum!$N:$N,MATCH(RIGHT($B157,13)&amp;"|"&amp;$C157&amp;"|"&amp;$D157&amp;"|"&amp;L$14&amp;"|"&amp;"CY2021Q3",Spectrum!$Q:$Q,0)),0),"")</f>
        <v>10560</v>
      </c>
      <c r="M157" s="123" t="n">
        <f aca="false">IF(OR(SUM($H157)&lt;=0,SUM($L157)&lt;=0),"",SUM($L157)/$H157)</f>
        <v>0.814626243925017</v>
      </c>
      <c r="N157" s="115" t="str">
        <f aca="false">_xlfn.IFNA(ROUND(INDEX(Spectrum!$N:$N,MATCH(RIGHT($B157,13)&amp;"|"&amp;$C157&amp;"|"&amp;$D157&amp;"|"&amp;N$14&amp;"|"&amp;"CY2020Q4",Spectrum!$Q:$Q,0)),0),"")</f>
        <v/>
      </c>
      <c r="O157" s="123" t="str">
        <f aca="false">_xlfn.IFNA(INDEX(Spectrum!$P:$P,MATCH(RIGHT($B157,13)&amp;"|"&amp;$C157&amp;"|"&amp;$D157&amp;"|"&amp;N$14&amp;"|"&amp;"CY2020Q4",Spectrum!$Q:$Q,0)),"")</f>
        <v/>
      </c>
      <c r="P157" s="115" t="n">
        <f aca="false">_xlfn.IFNA(ROUND(INDEX(Spectrum!$N:$N,MATCH(RIGHT($B157,13)&amp;"|"&amp;$C157&amp;"|"&amp;$D157&amp;"|"&amp;P$14&amp;"|"&amp;"CY2021Q3",Spectrum!$Q:$Q,0)),0),"")</f>
        <v>9750</v>
      </c>
      <c r="Q157" s="123" t="n">
        <f aca="false">_xlfn.IFNA(INDEX(Spectrum!$P:$P,MATCH(RIGHT($B157,13)&amp;"|"&amp;$C157&amp;"|"&amp;$D157&amp;"|"&amp;P$14&amp;"|"&amp;"CY2021Q3",Spectrum!$Q:$Q,0)),"")</f>
        <v>27</v>
      </c>
      <c r="R157" s="115"/>
      <c r="S157" s="123" t="str">
        <f aca="false">IF(OR(SUM($P157)&lt;=0,SUM($R157)&lt;=0),"",SUM($R157)/$P157)</f>
        <v/>
      </c>
      <c r="T157" s="139" t="n">
        <v>45</v>
      </c>
      <c r="U157" s="124" t="n">
        <v>43</v>
      </c>
      <c r="V157" s="124" t="n">
        <f aca="false">IF($U157-$T157=0,"",$U157-$T157)</f>
        <v>-2</v>
      </c>
      <c r="W157" s="123" t="n">
        <f aca="false">IF(LEFT($B157,4)="_Mil","",IFERROR(MIN(IF(SUM($N157)&lt;=0,SUM($U157)/SUM($P157),SUM($T157)/SUM($N157)),1),""))</f>
        <v>0.00441025641025641</v>
      </c>
      <c r="X157" s="123" t="n">
        <f aca="false">$W157</f>
        <v>0.00441025641025641</v>
      </c>
      <c r="Y157" s="123" t="n">
        <f aca="false">IFERROR(1/(1/INDEX(Spectrum!$N:$N,MATCH(RIGHT($B157,13)&amp;"|"&amp;$C157&amp;"|"&amp;$D157&amp;"|"&amp;Y$14&amp;"|"&amp;"CY2021Q3",Spectrum!$Q:$Q,0))),IF(SUM($H157)=0,"",MAX(SUM($P157),SUM($U157))/SUM($H157)))</f>
        <v>0.752140708169405</v>
      </c>
      <c r="Z157" s="123" t="n">
        <f aca="false">IF(SUM($Y157)=0,"",MAX(SUM($Y157),90%))</f>
        <v>0.9</v>
      </c>
      <c r="AA157" s="115" t="n">
        <f aca="false">IF(LEFT($B157,4)="_Mil","",ROUND(MAX(SUM($U157),SUM($P157))+IF(SUM($Z157)=0,0,MAX(SUM($Z157)-SUM($Y157),0)*SUM($H157)),0))</f>
        <v>11667</v>
      </c>
      <c r="AB157" s="115" t="n">
        <f aca="false">IF(SUM($AA157)=0,"",ROUND(MAX(SUM($AA157)-MAX(SUM($P157),SUM($U157)),0),0))</f>
        <v>1917</v>
      </c>
      <c r="AC157" s="126" t="str">
        <f aca="false">IF($C157="&lt;01",IFERROR(ROUND(INDEX(EID!$N:$N,MATCH($B157,EID!$B:$B,0))/2,0),""),"")</f>
        <v/>
      </c>
      <c r="AD157" s="115" t="n">
        <f aca="false">IF($C157="&lt;01",IF(SUM($AC157)=0,"",ROUND(SUM($AC157)/$AG157,0)),IF(SUM($AB157)=0,"",ROUND(MAX($X157,0)*SUM($AB157),0)))</f>
        <v>8</v>
      </c>
      <c r="AE157" s="115" t="n">
        <f aca="false">IF(AND(SUM($AD157)=0,SUM($U157)=0),"",ROUND(IF($C157="&lt;01",0,SUM($U157))+SUM($AD157),0))</f>
        <v>51</v>
      </c>
      <c r="AF157" s="122" t="n">
        <f aca="false">IF($C157="&lt;01","",100%)</f>
        <v>1</v>
      </c>
      <c r="AG157" s="123" t="n">
        <f aca="false">0.98</f>
        <v>0.98</v>
      </c>
      <c r="AH157" s="123" t="n">
        <f aca="false">0.98</f>
        <v>0.98</v>
      </c>
      <c r="AI157" s="124" t="n">
        <f aca="false">IF(OR($C157="&lt;01",SUM($U157)=0),"",ROUND(SUM($U157)*(1-$AH157),0))</f>
        <v>1</v>
      </c>
      <c r="AJ157" s="124" t="n">
        <f aca="false">IF(AND(SUM($AE157)=0,SUM($U157)=0),"",IF($C157="&lt;01",SUM($AD157),SUM($AE157) - ROUND(SUM($U157)*$AH157,0)))</f>
        <v>9</v>
      </c>
      <c r="AK157" s="124" t="n">
        <v>45</v>
      </c>
      <c r="AL157" s="124" t="n">
        <v>31</v>
      </c>
      <c r="AM157" s="115" t="n">
        <f aca="false">IF(AND(SUM($AD157)=0,SUM($U157)=0),"",IF($C157="&lt;01",SUM($AD157),ROUND(ROUND(SUM($AJ157)*$AF157,0)/$AG157,0)))</f>
        <v>9</v>
      </c>
      <c r="AN157" s="122" t="n">
        <f aca="false">0.7</f>
        <v>0.7</v>
      </c>
      <c r="AO157" s="123" t="n">
        <f aca="false">1</f>
        <v>1</v>
      </c>
      <c r="AP157" s="115" t="n">
        <f aca="false">IF(AND(SUM($U157)=0,SUM($AM157)=0),"",ROUND((SUM($AM157)*$AN157+IF($C157="&lt;01",0,$U157))*$AO157,0))</f>
        <v>49</v>
      </c>
      <c r="AQ157" s="122" t="n">
        <v>13</v>
      </c>
      <c r="AR157" s="123" t="n">
        <f aca="false">0.95</f>
        <v>0.95</v>
      </c>
      <c r="AS157" s="123" t="n">
        <f aca="false">0.95</f>
        <v>0.95</v>
      </c>
      <c r="AT157" s="115" t="n">
        <f aca="false">IF(SUM($AP157)=0,"",ROUND(SUM($AP157)*$AR157,0))</f>
        <v>47</v>
      </c>
      <c r="AU157" s="115" t="n">
        <f aca="false">IF(LEFT($B157,4)="_Mil","",ROUND(SUM($AA157)*SUM($AS157),0))</f>
        <v>11084</v>
      </c>
      <c r="AV157" s="124" t="n">
        <f aca="false">IF(SUM($AU157)&lt;=0,"",MAX(SUM($AU157)-SUM($R157),0))</f>
        <v>11084</v>
      </c>
      <c r="AW157" s="122" t="n">
        <f aca="false">0</f>
        <v>0</v>
      </c>
      <c r="AX157" s="124" t="n">
        <f aca="false">IF(SUM($AM157)=0,"",ROUND(SUM($AM157)*SUM($AW157),0))</f>
        <v>0</v>
      </c>
      <c r="AY157" s="124" t="n">
        <f aca="false">IF(SUM($AM157)=0,"",SUM($AM157)-SUM($AX157))</f>
        <v>9</v>
      </c>
      <c r="AZ157" s="123" t="n">
        <v>23</v>
      </c>
      <c r="BA157" s="123" t="n">
        <f aca="false">0.95</f>
        <v>0.95</v>
      </c>
      <c r="BB157" s="123"/>
      <c r="BC157" s="123" t="n">
        <f aca="false">IF(OR(SUM($AM157)&lt;=0,$C157="&lt;01"),"",MAX(IF(OR(SUM($Y157)&lt;70%,LEFT($B157,4)="_Mil"),30%,IF(SUM($Y157)&gt;=80%,75%,50%)),SUM($BB157)))</f>
        <v>0.5</v>
      </c>
      <c r="BD157" s="115" t="n">
        <f aca="false">IF($C157="&lt;01",IFERROR(ROUND(INDEX(EID!$M:$M,MATCH($B157,EID!$B:$B,0)),0)/2,""),IF(SUM($AY157)=0,"",ROUND(SUM($AY157)/SUM($BA157),0)))</f>
        <v>9</v>
      </c>
      <c r="BE157" s="115" t="n">
        <f aca="false">IF($C157="&lt;01","",IF(SUM($BD157)=0,"",ROUND(SUM($BD157)*SUM($BC157),0)))</f>
        <v>5</v>
      </c>
      <c r="BF157" s="115" t="str">
        <f aca="false">_xlfn.IFNA(INDEX(PMTCT!$AE:$AE,MATCH($E157,PMTCT!$E:$E,0)),"")</f>
        <v/>
      </c>
      <c r="BG157" s="115" t="str">
        <f aca="false">_xlfn.IFNA(INDEX(PMTCT!$AU:$AU,MATCH($E157,PMTCT!$E:$E,0)),"")</f>
        <v/>
      </c>
      <c r="BH157" s="115" t="n">
        <f aca="false">_xlfn.IFNA(INDEX(TB!$Q:$Q,MATCH($E157,TB!$E:$E,0)),"")</f>
        <v>-1786</v>
      </c>
      <c r="BI157" s="115" t="str">
        <f aca="false">_xlfn.IFNA(INDEX(VMMC!$AC:$AC,MATCH($E157,VMMC!$E:$E,0)),"")</f>
        <v/>
      </c>
      <c r="BJ157" s="115" t="str">
        <f aca="false">IF($C157="&lt;01",$BD157,"")</f>
        <v/>
      </c>
      <c r="BK157" s="115" t="n">
        <f aca="false">IF(SUM($BD157)=0,"",($BD157)-SUM($BE157:$BJ157))</f>
        <v>1790</v>
      </c>
      <c r="BL157" s="123" t="n">
        <f aca="false">IF(OR(SUM($BD157)=0,SUM($BE157)=0),"",SUM($BE157)/$BD157)</f>
        <v>0.555555555555556</v>
      </c>
      <c r="BM157" s="123" t="str">
        <f aca="false">IF(OR(SUM($BD157)=0,SUM($BF157)=0),"",SUM($BF157)/$BD157)</f>
        <v/>
      </c>
      <c r="BN157" s="123" t="str">
        <f aca="false">IF(OR(SUM($BD157)=0,SUM($BG157)=0),"",SUM($BG157)/$BD157)</f>
        <v/>
      </c>
      <c r="BO157" s="123" t="n">
        <f aca="false">IF(OR(SUM($BD157)=0,SUM($BH157)=0),"",SUM($BH157)/$BD157)</f>
        <v>-198.444444444444</v>
      </c>
      <c r="BP157" s="123" t="str">
        <f aca="false">IF(OR(SUM($BD157)=0,SUM($BI157)=0),"",SUM($BI157)/$BD157)</f>
        <v/>
      </c>
      <c r="BQ157" s="123" t="str">
        <f aca="false">IF(AND($C157="&lt;01",SUM($BJ157)&lt;&gt;0),$BJ157/SUM($BD157),"")</f>
        <v/>
      </c>
      <c r="BR157" s="123" t="n">
        <f aca="false">IF(OR(SUM($BD157)=0,SUM($BK157)=0),"",SUM($BK157)/$BD157)</f>
        <v>198.888888888889</v>
      </c>
      <c r="BS157" s="122" t="n">
        <f aca="false">IF(SUM($X157)&lt;=0,"",$X157)</f>
        <v>0.00441025641025641</v>
      </c>
      <c r="BT157" s="115" t="n">
        <f aca="false">IF(LEFT($B157,4)="_Mil","",MAX(SUM($L157)+ROUND(SUM($BD157)/IF(SUM($BS157)&lt;=0,1,SUM($BS157)),0),0))</f>
        <v>12601</v>
      </c>
    </row>
    <row r="158" customFormat="false" ht="15" hidden="false" customHeight="false" outlineLevel="0" collapsed="false">
      <c r="A158" s="0" t="s">
        <v>146</v>
      </c>
      <c r="B158" s="0" t="s">
        <v>45</v>
      </c>
      <c r="C158" s="0" t="s">
        <v>86</v>
      </c>
      <c r="D158" s="0" t="s">
        <v>58</v>
      </c>
      <c r="E158" s="0" t="str">
        <f aca="false">B158&amp;"|"&amp;C158&amp;"|"&amp;D158</f>
        <v>Maseru [#SNU] [#DREAMS] [tKOXiaNhAyJ]|50+|Male</v>
      </c>
      <c r="F158" s="115" t="n">
        <f aca="false">_xlfn.IFNA(ROUND(INDEX(Spectrum!$N:$N,MATCH(RIGHT($B158,13)&amp;"|"&amp;$C158&amp;"|"&amp;$D158&amp;"|"&amp;F$14&amp;"|"&amp;"CY2021Q3",Spectrum!$Q:$Q,0)),0),"")</f>
        <v>29873</v>
      </c>
      <c r="G158" s="123" t="n">
        <f aca="false">_xlfn.IFNA(INDEX(Spectrum!$P:$P,MATCH(RIGHT($B158,13)&amp;"|"&amp;$C158&amp;"|"&amp;$D158&amp;"|"&amp;F$14&amp;"|"&amp;"CY2021Q3",Spectrum!$Q:$Q,0)),"")</f>
        <v>44</v>
      </c>
      <c r="H158" s="115" t="n">
        <f aca="false">_xlfn.IFNA(ROUND(INDEX(Spectrum!$N:$N,MATCH(RIGHT($B158,13)&amp;"|"&amp;$C158&amp;"|"&amp;$D158&amp;"|"&amp;H$14&amp;"|"&amp;"CY2021Q3",Spectrum!$Q:$Q,0)),0),"")</f>
        <v>10015</v>
      </c>
      <c r="I158" s="123" t="n">
        <f aca="false">_xlfn.IFNA(INDEX(Spectrum!$P:$P,MATCH(RIGHT($B158,13)&amp;"|"&amp;$C158&amp;"|"&amp;$D158&amp;"|"&amp;H$14&amp;"|"&amp;"CY2021Q3",Spectrum!$Q:$Q,0)),"")</f>
        <v>10</v>
      </c>
      <c r="J158" s="117" t="n">
        <f aca="false">_xlfn.IFNA(INDEX(Spectrum!$N:$N,MATCH(RIGHT($B158,13)&amp;"|"&amp;$C158&amp;"|"&amp;$D158&amp;"|"&amp;J$14&amp;"|"&amp;"CY2021Q3",Spectrum!$Q:$Q,0)),"")</f>
        <v>0.3352566</v>
      </c>
      <c r="K158" s="123" t="n">
        <f aca="false">_xlfn.IFNA(INDEX(Spectrum!$P:$P,MATCH(RIGHT($B158,13)&amp;"|"&amp;$C158&amp;"|"&amp;$D158&amp;"|"&amp;J$14&amp;"|"&amp;"CY2021Q3",Spectrum!$Q:$Q,0)),"")</f>
        <v>28</v>
      </c>
      <c r="L158" s="115" t="n">
        <f aca="false">_xlfn.IFNA(ROUND(INDEX(Spectrum!$N:$N,MATCH(RIGHT($B158,13)&amp;"|"&amp;$C158&amp;"|"&amp;$D158&amp;"|"&amp;L$14&amp;"|"&amp;"CY2021Q3",Spectrum!$Q:$Q,0)),0),"")</f>
        <v>7930</v>
      </c>
      <c r="M158" s="123" t="n">
        <f aca="false">IF(OR(SUM($H158)&lt;=0,SUM($L158)&lt;=0),"",SUM($L158)/$H158)</f>
        <v>0.791812281577634</v>
      </c>
      <c r="N158" s="115" t="str">
        <f aca="false">_xlfn.IFNA(ROUND(INDEX(Spectrum!$N:$N,MATCH(RIGHT($B158,13)&amp;"|"&amp;$C158&amp;"|"&amp;$D158&amp;"|"&amp;N$14&amp;"|"&amp;"CY2020Q4",Spectrum!$Q:$Q,0)),0),"")</f>
        <v/>
      </c>
      <c r="O158" s="123" t="str">
        <f aca="false">_xlfn.IFNA(INDEX(Spectrum!$P:$P,MATCH(RIGHT($B158,13)&amp;"|"&amp;$C158&amp;"|"&amp;$D158&amp;"|"&amp;N$14&amp;"|"&amp;"CY2020Q4",Spectrum!$Q:$Q,0)),"")</f>
        <v/>
      </c>
      <c r="P158" s="115" t="n">
        <f aca="false">_xlfn.IFNA(ROUND(INDEX(Spectrum!$N:$N,MATCH(RIGHT($B158,13)&amp;"|"&amp;$C158&amp;"|"&amp;$D158&amp;"|"&amp;P$14&amp;"|"&amp;"CY2021Q3",Spectrum!$Q:$Q,0)),0),"")</f>
        <v>7118</v>
      </c>
      <c r="Q158" s="123" t="n">
        <f aca="false">_xlfn.IFNA(INDEX(Spectrum!$P:$P,MATCH(RIGHT($B158,13)&amp;"|"&amp;$C158&amp;"|"&amp;$D158&amp;"|"&amp;P$14&amp;"|"&amp;"CY2021Q3",Spectrum!$Q:$Q,0)),"")</f>
        <v>8</v>
      </c>
      <c r="R158" s="115"/>
      <c r="S158" s="123" t="str">
        <f aca="false">IF(OR(SUM($P158)&lt;=0,SUM($R158)&lt;=0),"",SUM($R158)/$P158)</f>
        <v/>
      </c>
      <c r="T158" s="139" t="n">
        <v>47</v>
      </c>
      <c r="U158" s="124" t="n">
        <v>14</v>
      </c>
      <c r="V158" s="124" t="n">
        <f aca="false">IF($U158-$T158=0,"",$U158-$T158)</f>
        <v>-33</v>
      </c>
      <c r="W158" s="123" t="n">
        <f aca="false">IF(LEFT($B158,4)="_Mil","",IFERROR(MIN(IF(SUM($N158)&lt;=0,SUM($U158)/SUM($P158),SUM($T158)/SUM($N158)),1),""))</f>
        <v>0.00196684461927508</v>
      </c>
      <c r="X158" s="123" t="n">
        <f aca="false">$W158</f>
        <v>0.00196684461927508</v>
      </c>
      <c r="Y158" s="123" t="n">
        <f aca="false">IFERROR(1/(1/INDEX(Spectrum!$N:$N,MATCH(RIGHT($B158,13)&amp;"|"&amp;$C158&amp;"|"&amp;$D158&amp;"|"&amp;Y$14&amp;"|"&amp;"CY2021Q3",Spectrum!$Q:$Q,0))),IF(SUM($H158)=0,"",MAX(SUM($P158),SUM($U158))/SUM($H158)))</f>
        <v>0.710733899151273</v>
      </c>
      <c r="Z158" s="123" t="n">
        <f aca="false">IF(SUM($Y158)=0,"",MAX(SUM($Y158),90%))</f>
        <v>0.9</v>
      </c>
      <c r="AA158" s="115" t="n">
        <f aca="false">IF(LEFT($B158,4)="_Mil","",ROUND(MAX(SUM($U158),SUM($P158))+IF(SUM($Z158)=0,0,MAX(SUM($Z158)-SUM($Y158),0)*SUM($H158)),0))</f>
        <v>9014</v>
      </c>
      <c r="AB158" s="115" t="n">
        <f aca="false">IF(SUM($AA158)=0,"",ROUND(MAX(SUM($AA158)-MAX(SUM($P158),SUM($U158)),0),0))</f>
        <v>1896</v>
      </c>
      <c r="AC158" s="126" t="str">
        <f aca="false">IF($C158="&lt;01",IFERROR(ROUND(INDEX(EID!$N:$N,MATCH($B158,EID!$B:$B,0))/2,0),""),"")</f>
        <v/>
      </c>
      <c r="AD158" s="115" t="n">
        <f aca="false">IF($C158="&lt;01",IF(SUM($AC158)=0,"",ROUND(SUM($AC158)/$AG158,0)),IF(SUM($AB158)=0,"",ROUND(MAX($X158,0)*SUM($AB158),0)))</f>
        <v>4</v>
      </c>
      <c r="AE158" s="115" t="n">
        <f aca="false">IF(AND(SUM($AD158)=0,SUM($U158)=0),"",ROUND(IF($C158="&lt;01",0,SUM($U158))+SUM($AD158),0))</f>
        <v>18</v>
      </c>
      <c r="AF158" s="122" t="n">
        <f aca="false">IF($C158="&lt;01","",100%)</f>
        <v>1</v>
      </c>
      <c r="AG158" s="123" t="n">
        <f aca="false">0.98</f>
        <v>0.98</v>
      </c>
      <c r="AH158" s="123" t="n">
        <f aca="false">0.98</f>
        <v>0.98</v>
      </c>
      <c r="AI158" s="124" t="n">
        <f aca="false">IF(OR($C158="&lt;01",SUM($U158)=0),"",ROUND(SUM($U158)*(1-$AH158),0))</f>
        <v>0</v>
      </c>
      <c r="AJ158" s="124" t="n">
        <f aca="false">IF(AND(SUM($AE158)=0,SUM($U158)=0),"",IF($C158="&lt;01",SUM($AD158),SUM($AE158) - ROUND(SUM($U158)*$AH158,0)))</f>
        <v>4</v>
      </c>
      <c r="AK158" s="124" t="n">
        <v>34</v>
      </c>
      <c r="AL158" s="124" t="n">
        <v>21</v>
      </c>
      <c r="AM158" s="115" t="n">
        <f aca="false">IF(AND(SUM($AD158)=0,SUM($U158)=0),"",IF($C158="&lt;01",SUM($AD158),ROUND(ROUND(SUM($AJ158)*$AF158,0)/$AG158,0)))</f>
        <v>4</v>
      </c>
      <c r="AN158" s="122" t="n">
        <f aca="false">0.7</f>
        <v>0.7</v>
      </c>
      <c r="AO158" s="123" t="n">
        <f aca="false">1</f>
        <v>1</v>
      </c>
      <c r="AP158" s="115" t="n">
        <f aca="false">IF(AND(SUM($U158)=0,SUM($AM158)=0),"",ROUND((SUM($AM158)*$AN158+IF($C158="&lt;01",0,$U158))*$AO158,0))</f>
        <v>17</v>
      </c>
      <c r="AQ158" s="122" t="n">
        <v>26</v>
      </c>
      <c r="AR158" s="123" t="n">
        <f aca="false">0.95</f>
        <v>0.95</v>
      </c>
      <c r="AS158" s="123" t="n">
        <f aca="false">0.95</f>
        <v>0.95</v>
      </c>
      <c r="AT158" s="115" t="n">
        <f aca="false">IF(SUM($AP158)=0,"",ROUND(SUM($AP158)*$AR158,0))</f>
        <v>16</v>
      </c>
      <c r="AU158" s="115" t="n">
        <f aca="false">IF(LEFT($B158,4)="_Mil","",ROUND(SUM($AA158)*SUM($AS158),0))</f>
        <v>8563</v>
      </c>
      <c r="AV158" s="124" t="n">
        <f aca="false">IF(SUM($AU158)&lt;=0,"",MAX(SUM($AU158)-SUM($R158),0))</f>
        <v>8563</v>
      </c>
      <c r="AW158" s="122" t="n">
        <f aca="false">0</f>
        <v>0</v>
      </c>
      <c r="AX158" s="124" t="n">
        <f aca="false">IF(SUM($AM158)=0,"",ROUND(SUM($AM158)*SUM($AW158),0))</f>
        <v>0</v>
      </c>
      <c r="AY158" s="124" t="n">
        <f aca="false">IF(SUM($AM158)=0,"",SUM($AM158)-SUM($AX158))</f>
        <v>4</v>
      </c>
      <c r="AZ158" s="123" t="n">
        <v>20</v>
      </c>
      <c r="BA158" s="123" t="n">
        <f aca="false">0.95</f>
        <v>0.95</v>
      </c>
      <c r="BB158" s="123"/>
      <c r="BC158" s="123" t="n">
        <f aca="false">IF(OR(SUM($AM158)&lt;=0,$C158="&lt;01"),"",MAX(IF(OR(SUM($Y158)&lt;70%,LEFT($B158,4)="_Mil"),30%,IF(SUM($Y158)&gt;=80%,75%,50%)),SUM($BB158)))</f>
        <v>0.5</v>
      </c>
      <c r="BD158" s="115" t="n">
        <f aca="false">IF($C158="&lt;01",IFERROR(ROUND(INDEX(EID!$M:$M,MATCH($B158,EID!$B:$B,0)),0)/2,""),IF(SUM($AY158)=0,"",ROUND(SUM($AY158)/SUM($BA158),0)))</f>
        <v>4</v>
      </c>
      <c r="BE158" s="115" t="n">
        <f aca="false">IF($C158="&lt;01","",IF(SUM($BD158)=0,"",ROUND(SUM($BD158)*SUM($BC158),0)))</f>
        <v>2</v>
      </c>
      <c r="BF158" s="115" t="str">
        <f aca="false">_xlfn.IFNA(INDEX(PMTCT!$AE:$AE,MATCH($E158,PMTCT!$E:$E,0)),"")</f>
        <v/>
      </c>
      <c r="BG158" s="115" t="str">
        <f aca="false">_xlfn.IFNA(INDEX(PMTCT!$AU:$AU,MATCH($E158,PMTCT!$E:$E,0)),"")</f>
        <v/>
      </c>
      <c r="BH158" s="115" t="n">
        <f aca="false">_xlfn.IFNA(INDEX(TB!$Q:$Q,MATCH($E158,TB!$E:$E,0)),"")</f>
        <v>-2640</v>
      </c>
      <c r="BI158" s="115" t="str">
        <f aca="false">_xlfn.IFNA(INDEX(VMMC!$AC:$AC,MATCH($E158,VMMC!$E:$E,0)),"")</f>
        <v/>
      </c>
      <c r="BJ158" s="115" t="str">
        <f aca="false">IF($C158="&lt;01",$BD158,"")</f>
        <v/>
      </c>
      <c r="BK158" s="115" t="n">
        <f aca="false">IF(SUM($BD158)=0,"",($BD158)-SUM($BE158:$BJ158))</f>
        <v>2642</v>
      </c>
      <c r="BL158" s="123" t="n">
        <f aca="false">IF(OR(SUM($BD158)=0,SUM($BE158)=0),"",SUM($BE158)/$BD158)</f>
        <v>0.5</v>
      </c>
      <c r="BM158" s="123" t="str">
        <f aca="false">IF(OR(SUM($BD158)=0,SUM($BF158)=0),"",SUM($BF158)/$BD158)</f>
        <v/>
      </c>
      <c r="BN158" s="123" t="str">
        <f aca="false">IF(OR(SUM($BD158)=0,SUM($BG158)=0),"",SUM($BG158)/$BD158)</f>
        <v/>
      </c>
      <c r="BO158" s="123" t="n">
        <f aca="false">IF(OR(SUM($BD158)=0,SUM($BH158)=0),"",SUM($BH158)/$BD158)</f>
        <v>-660</v>
      </c>
      <c r="BP158" s="123" t="str">
        <f aca="false">IF(OR(SUM($BD158)=0,SUM($BI158)=0),"",SUM($BI158)/$BD158)</f>
        <v/>
      </c>
      <c r="BQ158" s="123" t="str">
        <f aca="false">IF(AND($C158="&lt;01",SUM($BJ158)&lt;&gt;0),$BJ158/SUM($BD158),"")</f>
        <v/>
      </c>
      <c r="BR158" s="123" t="n">
        <f aca="false">IF(OR(SUM($BD158)=0,SUM($BK158)=0),"",SUM($BK158)/$BD158)</f>
        <v>660.5</v>
      </c>
      <c r="BS158" s="122" t="n">
        <f aca="false">IF(SUM($X158)&lt;=0,"",$X158)</f>
        <v>0.00196684461927508</v>
      </c>
      <c r="BT158" s="115" t="n">
        <f aca="false">IF(LEFT($B158,4)="_Mil","",MAX(SUM($L158)+ROUND(SUM($BD158)/IF(SUM($BS158)&lt;=0,1,SUM($BS158)),0),0))</f>
        <v>9964</v>
      </c>
    </row>
    <row r="159" customFormat="false" ht="15" hidden="false" customHeight="false" outlineLevel="0" collapsed="false">
      <c r="A159" s="0" t="s">
        <v>147</v>
      </c>
      <c r="B159" s="0" t="s">
        <v>105</v>
      </c>
      <c r="C159" s="0" t="s">
        <v>89</v>
      </c>
      <c r="D159" s="0" t="s">
        <v>56</v>
      </c>
      <c r="E159" s="0" t="str">
        <f aca="false">B159&amp;"|"&amp;C159&amp;"|"&amp;D159</f>
        <v>Mohale's Hoek [#SNU] [#DREAMS] [YGI7vISD2kJ]|&lt;01|Female</v>
      </c>
      <c r="F159" s="115" t="n">
        <f aca="false">_xlfn.IFNA(ROUND(INDEX(Spectrum!$N:$N,MATCH(RIGHT($B159,13)&amp;"|"&amp;$C159&amp;"|"&amp;$D159&amp;"|"&amp;F$14&amp;"|"&amp;"CY2021Q3",Spectrum!$Q:$Q,0)),0),"")</f>
        <v>1310</v>
      </c>
      <c r="G159" s="123" t="n">
        <f aca="false">_xlfn.IFNA(INDEX(Spectrum!$P:$P,MATCH(RIGHT($B159,13)&amp;"|"&amp;$C159&amp;"|"&amp;$D159&amp;"|"&amp;F$14&amp;"|"&amp;"CY2021Q3",Spectrum!$Q:$Q,0)),"")</f>
        <v>40</v>
      </c>
      <c r="H159" s="115" t="n">
        <f aca="false">_xlfn.IFNA(ROUND(INDEX(Spectrum!$N:$N,MATCH(RIGHT($B159,13)&amp;"|"&amp;$C159&amp;"|"&amp;$D159&amp;"|"&amp;H$14&amp;"|"&amp;"CY2021Q3",Spectrum!$Q:$Q,0)),0),"")</f>
        <v>11</v>
      </c>
      <c r="I159" s="123" t="n">
        <f aca="false">_xlfn.IFNA(INDEX(Spectrum!$P:$P,MATCH(RIGHT($B159,13)&amp;"|"&amp;$C159&amp;"|"&amp;$D159&amp;"|"&amp;H$14&amp;"|"&amp;"CY2021Q3",Spectrum!$Q:$Q,0)),"")</f>
        <v>18</v>
      </c>
      <c r="J159" s="117" t="n">
        <f aca="false">_xlfn.IFNA(INDEX(Spectrum!$N:$N,MATCH(RIGHT($B159,13)&amp;"|"&amp;$C159&amp;"|"&amp;$D159&amp;"|"&amp;J$14&amp;"|"&amp;"CY2021Q3",Spectrum!$Q:$Q,0)),"")</f>
        <v>0.0085136</v>
      </c>
      <c r="K159" s="123" t="n">
        <f aca="false">_xlfn.IFNA(INDEX(Spectrum!$P:$P,MATCH(RIGHT($B159,13)&amp;"|"&amp;$C159&amp;"|"&amp;$D159&amp;"|"&amp;J$14&amp;"|"&amp;"CY2021Q3",Spectrum!$Q:$Q,0)),"")</f>
        <v>50</v>
      </c>
      <c r="L159" s="115" t="n">
        <f aca="false">_xlfn.IFNA(ROUND(INDEX(Spectrum!$N:$N,MATCH(RIGHT($B159,13)&amp;"|"&amp;$C159&amp;"|"&amp;$D159&amp;"|"&amp;L$14&amp;"|"&amp;"CY2021Q3",Spectrum!$Q:$Q,0)),0),"")</f>
        <v>4</v>
      </c>
      <c r="M159" s="123" t="n">
        <f aca="false">IF(OR(SUM($H159)&lt;=0,SUM($L159)&lt;=0),"",SUM($L159)/$H159)</f>
        <v>0.363636363636364</v>
      </c>
      <c r="N159" s="115" t="str">
        <f aca="false">_xlfn.IFNA(ROUND(INDEX(Spectrum!$N:$N,MATCH(RIGHT($B159,13)&amp;"|"&amp;$C159&amp;"|"&amp;$D159&amp;"|"&amp;N$14&amp;"|"&amp;"CY2020Q4",Spectrum!$Q:$Q,0)),0),"")</f>
        <v/>
      </c>
      <c r="O159" s="123" t="str">
        <f aca="false">_xlfn.IFNA(INDEX(Spectrum!$P:$P,MATCH(RIGHT($B159,13)&amp;"|"&amp;$C159&amp;"|"&amp;$D159&amp;"|"&amp;N$14&amp;"|"&amp;"CY2020Q4",Spectrum!$Q:$Q,0)),"")</f>
        <v/>
      </c>
      <c r="P159" s="115" t="n">
        <f aca="false">_xlfn.IFNA(ROUND(INDEX(Spectrum!$N:$N,MATCH(RIGHT($B159,13)&amp;"|"&amp;$C159&amp;"|"&amp;$D159&amp;"|"&amp;P$14&amp;"|"&amp;"CY2021Q3",Spectrum!$Q:$Q,0)),0),"")</f>
        <v>5</v>
      </c>
      <c r="Q159" s="123" t="n">
        <f aca="false">_xlfn.IFNA(INDEX(Spectrum!$P:$P,MATCH(RIGHT($B159,13)&amp;"|"&amp;$C159&amp;"|"&amp;$D159&amp;"|"&amp;P$14&amp;"|"&amp;"CY2021Q3",Spectrum!$Q:$Q,0)),"")</f>
        <v>18</v>
      </c>
      <c r="R159" s="115"/>
      <c r="S159" s="123" t="str">
        <f aca="false">IF(OR(SUM($P159)&lt;=0,SUM($R159)&lt;=0),"",SUM($R159)/$P159)</f>
        <v/>
      </c>
      <c r="T159" s="139" t="n">
        <v>47</v>
      </c>
      <c r="U159" s="124" t="n">
        <v>19</v>
      </c>
      <c r="V159" s="124" t="n">
        <f aca="false">IF($U159-$T159=0,"",$U159-$T159)</f>
        <v>-28</v>
      </c>
      <c r="W159" s="123" t="n">
        <f aca="false">IF(LEFT($B159,4)="_Mil","",IFERROR(MIN(IF(SUM($N159)&lt;=0,SUM($U159)/SUM($P159),SUM($T159)/SUM($N159)),1),""))</f>
        <v>1</v>
      </c>
      <c r="X159" s="123" t="n">
        <f aca="false">$W159</f>
        <v>1</v>
      </c>
      <c r="Y159" s="123" t="n">
        <f aca="false">IFERROR(1/(1/INDEX(Spectrum!$N:$N,MATCH(RIGHT($B159,13)&amp;"|"&amp;$C159&amp;"|"&amp;$D159&amp;"|"&amp;Y$14&amp;"|"&amp;"CY2021Q3",Spectrum!$Q:$Q,0))),IF(SUM($H159)=0,"",MAX(SUM($P159),SUM($U159))/SUM($H159)))</f>
        <v>1.72727272727273</v>
      </c>
      <c r="Z159" s="123" t="n">
        <f aca="false">IF(SUM($Y159)=0,"",MAX(SUM($Y159),90%))</f>
        <v>1.72727272727273</v>
      </c>
      <c r="AA159" s="115" t="n">
        <f aca="false">IF(LEFT($B159,4)="_Mil","",ROUND(MAX(SUM($U159),SUM($P159))+IF(SUM($Z159)=0,0,MAX(SUM($Z159)-SUM($Y159),0)*SUM($H159)),0))</f>
        <v>19</v>
      </c>
      <c r="AB159" s="115" t="n">
        <f aca="false">IF(SUM($AA159)=0,"",ROUND(MAX(SUM($AA159)-MAX(SUM($P159),SUM($U159)),0),0))</f>
        <v>0</v>
      </c>
      <c r="AC159" s="126" t="n">
        <f aca="false">IF($C159="&lt;01",IFERROR(ROUND(INDEX(EID!$N:$N,MATCH($B159,EID!$B:$B,0))/2,0),""),"")</f>
        <v>7541</v>
      </c>
      <c r="AD159" s="115" t="n">
        <f aca="false">IF($C159="&lt;01",IF(SUM($AC159)=0,"",ROUND(SUM($AC159)/$AG159,0)),IF(SUM($AB159)=0,"",ROUND(MAX($X159,0)*SUM($AB159),0)))</f>
        <v>7695</v>
      </c>
      <c r="AE159" s="115" t="n">
        <f aca="false">IF(AND(SUM($AD159)=0,SUM($U159)=0),"",ROUND(IF($C159="&lt;01",0,SUM($U159))+SUM($AD159),0))</f>
        <v>7695</v>
      </c>
      <c r="AF159" s="122" t="str">
        <f aca="false">IF($C159="&lt;01","",100%)</f>
        <v/>
      </c>
      <c r="AG159" s="123" t="n">
        <f aca="false">0.98</f>
        <v>0.98</v>
      </c>
      <c r="AH159" s="123" t="n">
        <f aca="false">0.98</f>
        <v>0.98</v>
      </c>
      <c r="AI159" s="124" t="str">
        <f aca="false">IF(OR($C159="&lt;01",SUM($U159)=0),"",ROUND(SUM($U159)*(1-$AH159),0))</f>
        <v/>
      </c>
      <c r="AJ159" s="124" t="n">
        <f aca="false">IF(AND(SUM($AE159)=0,SUM($U159)=0),"",IF($C159="&lt;01",SUM($AD159),SUM($AE159) - ROUND(SUM($U159)*$AH159,0)))</f>
        <v>7695</v>
      </c>
      <c r="AK159" s="124" t="n">
        <v>7</v>
      </c>
      <c r="AL159" s="124" t="n">
        <v>23</v>
      </c>
      <c r="AM159" s="115" t="n">
        <f aca="false">IF(AND(SUM($AD159)=0,SUM($U159)=0),"",IF($C159="&lt;01",SUM($AD159),ROUND(ROUND(SUM($AJ159)*$AF159,0)/$AG159,0)))</f>
        <v>7695</v>
      </c>
      <c r="AN159" s="122" t="n">
        <f aca="false">0.7</f>
        <v>0.7</v>
      </c>
      <c r="AO159" s="123" t="n">
        <f aca="false">1</f>
        <v>1</v>
      </c>
      <c r="AP159" s="115" t="n">
        <f aca="false">IF(AND(SUM($U159)=0,SUM($AM159)=0),"",ROUND((SUM($AM159)*$AN159+IF($C159="&lt;01",0,$U159))*$AO159,0))</f>
        <v>5387</v>
      </c>
      <c r="AQ159" s="122" t="n">
        <v>31</v>
      </c>
      <c r="AR159" s="123" t="n">
        <f aca="false">0.95</f>
        <v>0.95</v>
      </c>
      <c r="AS159" s="123" t="n">
        <f aca="false">0.95</f>
        <v>0.95</v>
      </c>
      <c r="AT159" s="115" t="n">
        <f aca="false">IF(SUM($AP159)=0,"",ROUND(SUM($AP159)*$AR159,0))</f>
        <v>5118</v>
      </c>
      <c r="AU159" s="115" t="n">
        <f aca="false">IF(LEFT($B159,4)="_Mil","",ROUND(SUM($AA159)*SUM($AS159),0))</f>
        <v>18</v>
      </c>
      <c r="AV159" s="124" t="n">
        <f aca="false">IF(SUM($AU159)&lt;=0,"",MAX(SUM($AU159)-SUM($R159),0))</f>
        <v>18</v>
      </c>
      <c r="AW159" s="122" t="n">
        <f aca="false">0</f>
        <v>0</v>
      </c>
      <c r="AX159" s="124" t="n">
        <f aca="false">IF(SUM($AM159)=0,"",ROUND(SUM($AM159)*SUM($AW159),0))</f>
        <v>0</v>
      </c>
      <c r="AY159" s="124" t="n">
        <f aca="false">IF(SUM($AM159)=0,"",SUM($AM159)-SUM($AX159))</f>
        <v>7695</v>
      </c>
      <c r="AZ159" s="123" t="n">
        <v>39</v>
      </c>
      <c r="BA159" s="123" t="n">
        <f aca="false">0.95</f>
        <v>0.95</v>
      </c>
      <c r="BB159" s="123"/>
      <c r="BC159" s="123" t="str">
        <f aca="false">IF(OR(SUM($AM159)&lt;=0,$C159="&lt;01"),"",MAX(IF(OR(SUM($Y159)&lt;70%,LEFT($B159,4)="_Mil"),30%,IF(SUM($Y159)&gt;=80%,75%,50%)),SUM($BB159)))</f>
        <v/>
      </c>
      <c r="BD159" s="115" t="n">
        <f aca="false">IF($C159="&lt;01",IFERROR(ROUND(INDEX(EID!$M:$M,MATCH($B159,EID!$B:$B,0)),0)/2,""),IF(SUM($AY159)=0,"",ROUND(SUM($AY159)/SUM($BA159),0)))</f>
        <v>7938</v>
      </c>
      <c r="BE159" s="115" t="str">
        <f aca="false">IF($C159="&lt;01","",IF(SUM($BD159)=0,"",ROUND(SUM($BD159)*SUM($BC159),0)))</f>
        <v/>
      </c>
      <c r="BF159" s="115" t="str">
        <f aca="false">_xlfn.IFNA(INDEX(PMTCT!$AE:$AE,MATCH($E159,PMTCT!$E:$E,0)),"")</f>
        <v/>
      </c>
      <c r="BG159" s="115" t="str">
        <f aca="false">_xlfn.IFNA(INDEX(PMTCT!$AU:$AU,MATCH($E159,PMTCT!$E:$E,0)),"")</f>
        <v/>
      </c>
      <c r="BH159" s="115" t="str">
        <f aca="false">_xlfn.IFNA(INDEX(TB!$Q:$Q,MATCH($E159,TB!$E:$E,0)),"")</f>
        <v/>
      </c>
      <c r="BI159" s="115" t="str">
        <f aca="false">_xlfn.IFNA(INDEX(VMMC!$AC:$AC,MATCH($E159,VMMC!$E:$E,0)),"")</f>
        <v/>
      </c>
      <c r="BJ159" s="115" t="n">
        <f aca="false">IF($C159="&lt;01",$BD159,"")</f>
        <v>7938</v>
      </c>
      <c r="BK159" s="115" t="n">
        <f aca="false">IF(SUM($BD159)=0,"",($BD159)-SUM($BE159:$BJ159))</f>
        <v>0</v>
      </c>
      <c r="BL159" s="123" t="str">
        <f aca="false">IF(OR(SUM($BD159)=0,SUM($BE159)=0),"",SUM($BE159)/$BD159)</f>
        <v/>
      </c>
      <c r="BM159" s="123" t="str">
        <f aca="false">IF(OR(SUM($BD159)=0,SUM($BF159)=0),"",SUM($BF159)/$BD159)</f>
        <v/>
      </c>
      <c r="BN159" s="123" t="str">
        <f aca="false">IF(OR(SUM($BD159)=0,SUM($BG159)=0),"",SUM($BG159)/$BD159)</f>
        <v/>
      </c>
      <c r="BO159" s="123" t="str">
        <f aca="false">IF(OR(SUM($BD159)=0,SUM($BH159)=0),"",SUM($BH159)/$BD159)</f>
        <v/>
      </c>
      <c r="BP159" s="123" t="str">
        <f aca="false">IF(OR(SUM($BD159)=0,SUM($BI159)=0),"",SUM($BI159)/$BD159)</f>
        <v/>
      </c>
      <c r="BQ159" s="123" t="n">
        <f aca="false">IF(AND($C159="&lt;01",SUM($BJ159)&lt;&gt;0),$BJ159/SUM($BD159),"")</f>
        <v>1</v>
      </c>
      <c r="BR159" s="123" t="str">
        <f aca="false">IF(OR(SUM($BD159)=0,SUM($BK159)=0),"",SUM($BK159)/$BD159)</f>
        <v/>
      </c>
      <c r="BS159" s="122" t="n">
        <f aca="false">IF(SUM($X159)&lt;=0,"",$X159)</f>
        <v>1</v>
      </c>
      <c r="BT159" s="115" t="n">
        <f aca="false">IF(LEFT($B159,4)="_Mil","",MAX(SUM($L159)+ROUND(SUM($BD159)/IF(SUM($BS159)&lt;=0,1,SUM($BS159)),0),0))</f>
        <v>7942</v>
      </c>
    </row>
    <row r="160" customFormat="false" ht="15" hidden="false" customHeight="false" outlineLevel="0" collapsed="false">
      <c r="A160" s="0" t="s">
        <v>147</v>
      </c>
      <c r="B160" s="0" t="s">
        <v>105</v>
      </c>
      <c r="C160" s="0" t="s">
        <v>89</v>
      </c>
      <c r="D160" s="0" t="s">
        <v>58</v>
      </c>
      <c r="E160" s="0" t="str">
        <f aca="false">B160&amp;"|"&amp;C160&amp;"|"&amp;D160</f>
        <v>Mohale's Hoek [#SNU] [#DREAMS] [YGI7vISD2kJ]|&lt;01|Male</v>
      </c>
      <c r="F160" s="115" t="n">
        <f aca="false">_xlfn.IFNA(ROUND(INDEX(Spectrum!$N:$N,MATCH(RIGHT($B160,13)&amp;"|"&amp;$C160&amp;"|"&amp;$D160&amp;"|"&amp;F$14&amp;"|"&amp;"CY2021Q3",Spectrum!$Q:$Q,0)),0),"")</f>
        <v>1350</v>
      </c>
      <c r="G160" s="123" t="n">
        <f aca="false">_xlfn.IFNA(INDEX(Spectrum!$P:$P,MATCH(RIGHT($B160,13)&amp;"|"&amp;$C160&amp;"|"&amp;$D160&amp;"|"&amp;F$14&amp;"|"&amp;"CY2021Q3",Spectrum!$Q:$Q,0)),"")</f>
        <v>38</v>
      </c>
      <c r="H160" s="115" t="n">
        <f aca="false">_xlfn.IFNA(ROUND(INDEX(Spectrum!$N:$N,MATCH(RIGHT($B160,13)&amp;"|"&amp;$C160&amp;"|"&amp;$D160&amp;"|"&amp;H$14&amp;"|"&amp;"CY2021Q3",Spectrum!$Q:$Q,0)),0),"")</f>
        <v>11</v>
      </c>
      <c r="I160" s="123" t="n">
        <f aca="false">_xlfn.IFNA(INDEX(Spectrum!$P:$P,MATCH(RIGHT($B160,13)&amp;"|"&amp;$C160&amp;"|"&amp;$D160&amp;"|"&amp;H$14&amp;"|"&amp;"CY2021Q3",Spectrum!$Q:$Q,0)),"")</f>
        <v>49</v>
      </c>
      <c r="J160" s="117" t="n">
        <f aca="false">_xlfn.IFNA(INDEX(Spectrum!$N:$N,MATCH(RIGHT($B160,13)&amp;"|"&amp;$C160&amp;"|"&amp;$D160&amp;"|"&amp;J$14&amp;"|"&amp;"CY2021Q3",Spectrum!$Q:$Q,0)),"")</f>
        <v>0.0083585</v>
      </c>
      <c r="K160" s="123" t="n">
        <f aca="false">_xlfn.IFNA(INDEX(Spectrum!$P:$P,MATCH(RIGHT($B160,13)&amp;"|"&amp;$C160&amp;"|"&amp;$D160&amp;"|"&amp;J$14&amp;"|"&amp;"CY2021Q3",Spectrum!$Q:$Q,0)),"")</f>
        <v>33</v>
      </c>
      <c r="L160" s="115" t="n">
        <f aca="false">_xlfn.IFNA(ROUND(INDEX(Spectrum!$N:$N,MATCH(RIGHT($B160,13)&amp;"|"&amp;$C160&amp;"|"&amp;$D160&amp;"|"&amp;L$14&amp;"|"&amp;"CY2021Q3",Spectrum!$Q:$Q,0)),0),"")</f>
        <v>5</v>
      </c>
      <c r="M160" s="123" t="n">
        <f aca="false">IF(OR(SUM($H160)&lt;=0,SUM($L160)&lt;=0),"",SUM($L160)/$H160)</f>
        <v>0.454545454545455</v>
      </c>
      <c r="N160" s="115" t="str">
        <f aca="false">_xlfn.IFNA(ROUND(INDEX(Spectrum!$N:$N,MATCH(RIGHT($B160,13)&amp;"|"&amp;$C160&amp;"|"&amp;$D160&amp;"|"&amp;N$14&amp;"|"&amp;"CY2020Q4",Spectrum!$Q:$Q,0)),0),"")</f>
        <v/>
      </c>
      <c r="O160" s="123" t="str">
        <f aca="false">_xlfn.IFNA(INDEX(Spectrum!$P:$P,MATCH(RIGHT($B160,13)&amp;"|"&amp;$C160&amp;"|"&amp;$D160&amp;"|"&amp;N$14&amp;"|"&amp;"CY2020Q4",Spectrum!$Q:$Q,0)),"")</f>
        <v/>
      </c>
      <c r="P160" s="115" t="n">
        <f aca="false">_xlfn.IFNA(ROUND(INDEX(Spectrum!$N:$N,MATCH(RIGHT($B160,13)&amp;"|"&amp;$C160&amp;"|"&amp;$D160&amp;"|"&amp;P$14&amp;"|"&amp;"CY2021Q3",Spectrum!$Q:$Q,0)),0),"")</f>
        <v>5</v>
      </c>
      <c r="Q160" s="123" t="n">
        <f aca="false">_xlfn.IFNA(INDEX(Spectrum!$P:$P,MATCH(RIGHT($B160,13)&amp;"|"&amp;$C160&amp;"|"&amp;$D160&amp;"|"&amp;P$14&amp;"|"&amp;"CY2021Q3",Spectrum!$Q:$Q,0)),"")</f>
        <v>36</v>
      </c>
      <c r="R160" s="115"/>
      <c r="S160" s="123" t="str">
        <f aca="false">IF(OR(SUM($P160)&lt;=0,SUM($R160)&lt;=0),"",SUM($R160)/$P160)</f>
        <v/>
      </c>
      <c r="T160" s="139" t="n">
        <v>8</v>
      </c>
      <c r="U160" s="124" t="n">
        <v>25</v>
      </c>
      <c r="V160" s="124" t="n">
        <f aca="false">IF($U160-$T160=0,"",$U160-$T160)</f>
        <v>17</v>
      </c>
      <c r="W160" s="123" t="n">
        <f aca="false">IF(LEFT($B160,4)="_Mil","",IFERROR(MIN(IF(SUM($N160)&lt;=0,SUM($U160)/SUM($P160),SUM($T160)/SUM($N160)),1),""))</f>
        <v>1</v>
      </c>
      <c r="X160" s="123" t="n">
        <f aca="false">$W160</f>
        <v>1</v>
      </c>
      <c r="Y160" s="123" t="n">
        <f aca="false">IFERROR(1/(1/INDEX(Spectrum!$N:$N,MATCH(RIGHT($B160,13)&amp;"|"&amp;$C160&amp;"|"&amp;$D160&amp;"|"&amp;Y$14&amp;"|"&amp;"CY2021Q3",Spectrum!$Q:$Q,0))),IF(SUM($H160)=0,"",MAX(SUM($P160),SUM($U160))/SUM($H160)))</f>
        <v>2.27272727272727</v>
      </c>
      <c r="Z160" s="123" t="n">
        <f aca="false">IF(SUM($Y160)=0,"",MAX(SUM($Y160),90%))</f>
        <v>2.27272727272727</v>
      </c>
      <c r="AA160" s="115" t="n">
        <f aca="false">IF(LEFT($B160,4)="_Mil","",ROUND(MAX(SUM($U160),SUM($P160))+IF(SUM($Z160)=0,0,MAX(SUM($Z160)-SUM($Y160),0)*SUM($H160)),0))</f>
        <v>25</v>
      </c>
      <c r="AB160" s="115" t="n">
        <f aca="false">IF(SUM($AA160)=0,"",ROUND(MAX(SUM($AA160)-MAX(SUM($P160),SUM($U160)),0),0))</f>
        <v>0</v>
      </c>
      <c r="AC160" s="126" t="n">
        <f aca="false">IF($C160="&lt;01",IFERROR(ROUND(INDEX(EID!$N:$N,MATCH($B160,EID!$B:$B,0))/2,0),""),"")</f>
        <v>7541</v>
      </c>
      <c r="AD160" s="115" t="n">
        <f aca="false">IF($C160="&lt;01",IF(SUM($AC160)=0,"",ROUND(SUM($AC160)/$AG160,0)),IF(SUM($AB160)=0,"",ROUND(MAX($X160,0)*SUM($AB160),0)))</f>
        <v>7695</v>
      </c>
      <c r="AE160" s="115" t="n">
        <f aca="false">IF(AND(SUM($AD160)=0,SUM($U160)=0),"",ROUND(IF($C160="&lt;01",0,SUM($U160))+SUM($AD160),0))</f>
        <v>7695</v>
      </c>
      <c r="AF160" s="122" t="str">
        <f aca="false">IF($C160="&lt;01","",100%)</f>
        <v/>
      </c>
      <c r="AG160" s="123" t="n">
        <f aca="false">0.98</f>
        <v>0.98</v>
      </c>
      <c r="AH160" s="123" t="n">
        <f aca="false">0.98</f>
        <v>0.98</v>
      </c>
      <c r="AI160" s="124" t="str">
        <f aca="false">IF(OR($C160="&lt;01",SUM($U160)=0),"",ROUND(SUM($U160)*(1-$AH160),0))</f>
        <v/>
      </c>
      <c r="AJ160" s="124" t="n">
        <f aca="false">IF(AND(SUM($AE160)=0,SUM($U160)=0),"",IF($C160="&lt;01",SUM($AD160),SUM($AE160) - ROUND(SUM($U160)*$AH160,0)))</f>
        <v>7695</v>
      </c>
      <c r="AK160" s="124" t="n">
        <v>35</v>
      </c>
      <c r="AL160" s="124" t="n">
        <v>41</v>
      </c>
      <c r="AM160" s="115" t="n">
        <f aca="false">IF(AND(SUM($AD160)=0,SUM($U160)=0),"",IF($C160="&lt;01",SUM($AD160),ROUND(ROUND(SUM($AJ160)*$AF160,0)/$AG160,0)))</f>
        <v>7695</v>
      </c>
      <c r="AN160" s="122" t="n">
        <f aca="false">0.7</f>
        <v>0.7</v>
      </c>
      <c r="AO160" s="123" t="n">
        <f aca="false">1</f>
        <v>1</v>
      </c>
      <c r="AP160" s="115" t="n">
        <f aca="false">IF(AND(SUM($U160)=0,SUM($AM160)=0),"",ROUND((SUM($AM160)*$AN160+IF($C160="&lt;01",0,$U160))*$AO160,0))</f>
        <v>5387</v>
      </c>
      <c r="AQ160" s="122"/>
      <c r="AR160" s="123" t="n">
        <f aca="false">0.95</f>
        <v>0.95</v>
      </c>
      <c r="AS160" s="123" t="n">
        <f aca="false">0.95</f>
        <v>0.95</v>
      </c>
      <c r="AT160" s="115" t="n">
        <f aca="false">IF(SUM($AP160)=0,"",ROUND(SUM($AP160)*$AR160,0))</f>
        <v>5118</v>
      </c>
      <c r="AU160" s="115" t="n">
        <f aca="false">IF(LEFT($B160,4)="_Mil","",ROUND(SUM($AA160)*SUM($AS160),0))</f>
        <v>24</v>
      </c>
      <c r="AV160" s="124" t="n">
        <f aca="false">IF(SUM($AU160)&lt;=0,"",MAX(SUM($AU160)-SUM($R160),0))</f>
        <v>24</v>
      </c>
      <c r="AW160" s="122" t="n">
        <f aca="false">0</f>
        <v>0</v>
      </c>
      <c r="AX160" s="124" t="n">
        <f aca="false">IF(SUM($AM160)=0,"",ROUND(SUM($AM160)*SUM($AW160),0))</f>
        <v>0</v>
      </c>
      <c r="AY160" s="124" t="n">
        <f aca="false">IF(SUM($AM160)=0,"",SUM($AM160)-SUM($AX160))</f>
        <v>7695</v>
      </c>
      <c r="AZ160" s="123" t="n">
        <v>22</v>
      </c>
      <c r="BA160" s="123" t="n">
        <f aca="false">0.95</f>
        <v>0.95</v>
      </c>
      <c r="BB160" s="123"/>
      <c r="BC160" s="123" t="str">
        <f aca="false">IF(OR(SUM($AM160)&lt;=0,$C160="&lt;01"),"",MAX(IF(OR(SUM($Y160)&lt;70%,LEFT($B160,4)="_Mil"),30%,IF(SUM($Y160)&gt;=80%,75%,50%)),SUM($BB160)))</f>
        <v/>
      </c>
      <c r="BD160" s="115" t="n">
        <f aca="false">IF($C160="&lt;01",IFERROR(ROUND(INDEX(EID!$M:$M,MATCH($B160,EID!$B:$B,0)),0)/2,""),IF(SUM($AY160)=0,"",ROUND(SUM($AY160)/SUM($BA160),0)))</f>
        <v>7938</v>
      </c>
      <c r="BE160" s="115" t="str">
        <f aca="false">IF($C160="&lt;01","",IF(SUM($BD160)=0,"",ROUND(SUM($BD160)*SUM($BC160),0)))</f>
        <v/>
      </c>
      <c r="BF160" s="115" t="str">
        <f aca="false">_xlfn.IFNA(INDEX(PMTCT!$AE:$AE,MATCH($E160,PMTCT!$E:$E,0)),"")</f>
        <v/>
      </c>
      <c r="BG160" s="115" t="str">
        <f aca="false">_xlfn.IFNA(INDEX(PMTCT!$AU:$AU,MATCH($E160,PMTCT!$E:$E,0)),"")</f>
        <v/>
      </c>
      <c r="BH160" s="115" t="str">
        <f aca="false">_xlfn.IFNA(INDEX(TB!$Q:$Q,MATCH($E160,TB!$E:$E,0)),"")</f>
        <v/>
      </c>
      <c r="BI160" s="115" t="str">
        <f aca="false">_xlfn.IFNA(INDEX(VMMC!$AC:$AC,MATCH($E160,VMMC!$E:$E,0)),"")</f>
        <v/>
      </c>
      <c r="BJ160" s="115" t="n">
        <f aca="false">IF($C160="&lt;01",$BD160,"")</f>
        <v>7938</v>
      </c>
      <c r="BK160" s="115" t="n">
        <f aca="false">IF(SUM($BD160)=0,"",($BD160)-SUM($BE160:$BJ160))</f>
        <v>0</v>
      </c>
      <c r="BL160" s="123" t="str">
        <f aca="false">IF(OR(SUM($BD160)=0,SUM($BE160)=0),"",SUM($BE160)/$BD160)</f>
        <v/>
      </c>
      <c r="BM160" s="123" t="str">
        <f aca="false">IF(OR(SUM($BD160)=0,SUM($BF160)=0),"",SUM($BF160)/$BD160)</f>
        <v/>
      </c>
      <c r="BN160" s="123" t="str">
        <f aca="false">IF(OR(SUM($BD160)=0,SUM($BG160)=0),"",SUM($BG160)/$BD160)</f>
        <v/>
      </c>
      <c r="BO160" s="123" t="str">
        <f aca="false">IF(OR(SUM($BD160)=0,SUM($BH160)=0),"",SUM($BH160)/$BD160)</f>
        <v/>
      </c>
      <c r="BP160" s="123" t="str">
        <f aca="false">IF(OR(SUM($BD160)=0,SUM($BI160)=0),"",SUM($BI160)/$BD160)</f>
        <v/>
      </c>
      <c r="BQ160" s="123" t="n">
        <f aca="false">IF(AND($C160="&lt;01",SUM($BJ160)&lt;&gt;0),$BJ160/SUM($BD160),"")</f>
        <v>1</v>
      </c>
      <c r="BR160" s="123" t="str">
        <f aca="false">IF(OR(SUM($BD160)=0,SUM($BK160)=0),"",SUM($BK160)/$BD160)</f>
        <v/>
      </c>
      <c r="BS160" s="122" t="n">
        <f aca="false">IF(SUM($X160)&lt;=0,"",$X160)</f>
        <v>1</v>
      </c>
      <c r="BT160" s="115" t="n">
        <f aca="false">IF(LEFT($B160,4)="_Mil","",MAX(SUM($L160)+ROUND(SUM($BD160)/IF(SUM($BS160)&lt;=0,1,SUM($BS160)),0),0))</f>
        <v>7943</v>
      </c>
    </row>
    <row r="161" customFormat="false" ht="15" hidden="false" customHeight="false" outlineLevel="0" collapsed="false">
      <c r="A161" s="0" t="s">
        <v>147</v>
      </c>
      <c r="B161" s="0" t="s">
        <v>105</v>
      </c>
      <c r="C161" s="0" t="s">
        <v>54</v>
      </c>
      <c r="D161" s="0" t="s">
        <v>56</v>
      </c>
      <c r="E161" s="0" t="str">
        <f aca="false">B161&amp;"|"&amp;C161&amp;"|"&amp;D161</f>
        <v>Mohale's Hoek [#SNU] [#DREAMS] [YGI7vISD2kJ]|01-04|Female</v>
      </c>
      <c r="F161" s="115" t="n">
        <f aca="false">_xlfn.IFNA(ROUND(INDEX(Spectrum!$N:$N,MATCH(RIGHT($B161,13)&amp;"|"&amp;$C161&amp;"|"&amp;$D161&amp;"|"&amp;F$14&amp;"|"&amp;"CY2021Q3",Spectrum!$Q:$Q,0)),0),"")</f>
        <v>6085</v>
      </c>
      <c r="G161" s="123" t="n">
        <f aca="false">_xlfn.IFNA(INDEX(Spectrum!$P:$P,MATCH(RIGHT($B161,13)&amp;"|"&amp;$C161&amp;"|"&amp;$D161&amp;"|"&amp;F$14&amp;"|"&amp;"CY2021Q3",Spectrum!$Q:$Q,0)),"")</f>
        <v>16</v>
      </c>
      <c r="H161" s="115" t="n">
        <f aca="false">_xlfn.IFNA(ROUND(INDEX(Spectrum!$N:$N,MATCH(RIGHT($B161,13)&amp;"|"&amp;$C161&amp;"|"&amp;$D161&amp;"|"&amp;H$14&amp;"|"&amp;"CY2021Q3",Spectrum!$Q:$Q,0)),0),"")</f>
        <v>55</v>
      </c>
      <c r="I161" s="123" t="n">
        <f aca="false">_xlfn.IFNA(INDEX(Spectrum!$P:$P,MATCH(RIGHT($B161,13)&amp;"|"&amp;$C161&amp;"|"&amp;$D161&amp;"|"&amp;H$14&amp;"|"&amp;"CY2021Q3",Spectrum!$Q:$Q,0)),"")</f>
        <v>13</v>
      </c>
      <c r="J161" s="117" t="n">
        <f aca="false">_xlfn.IFNA(INDEX(Spectrum!$N:$N,MATCH(RIGHT($B161,13)&amp;"|"&amp;$C161&amp;"|"&amp;$D161&amp;"|"&amp;J$14&amp;"|"&amp;"CY2021Q3",Spectrum!$Q:$Q,0)),"")</f>
        <v>0.0090033</v>
      </c>
      <c r="K161" s="123" t="n">
        <f aca="false">_xlfn.IFNA(INDEX(Spectrum!$P:$P,MATCH(RIGHT($B161,13)&amp;"|"&amp;$C161&amp;"|"&amp;$D161&amp;"|"&amp;J$14&amp;"|"&amp;"CY2021Q3",Spectrum!$Q:$Q,0)),"")</f>
        <v>7</v>
      </c>
      <c r="L161" s="115" t="n">
        <f aca="false">_xlfn.IFNA(ROUND(INDEX(Spectrum!$N:$N,MATCH(RIGHT($B161,13)&amp;"|"&amp;$C161&amp;"|"&amp;$D161&amp;"|"&amp;L$14&amp;"|"&amp;"CY2021Q3",Spectrum!$Q:$Q,0)),0),"")</f>
        <v>21</v>
      </c>
      <c r="M161" s="123" t="n">
        <f aca="false">IF(OR(SUM($H161)&lt;=0,SUM($L161)&lt;=0),"",SUM($L161)/$H161)</f>
        <v>0.381818181818182</v>
      </c>
      <c r="N161" s="115" t="str">
        <f aca="false">_xlfn.IFNA(ROUND(INDEX(Spectrum!$N:$N,MATCH(RIGHT($B161,13)&amp;"|"&amp;$C161&amp;"|"&amp;$D161&amp;"|"&amp;N$14&amp;"|"&amp;"CY2020Q4",Spectrum!$Q:$Q,0)),0),"")</f>
        <v/>
      </c>
      <c r="O161" s="123" t="str">
        <f aca="false">_xlfn.IFNA(INDEX(Spectrum!$P:$P,MATCH(RIGHT($B161,13)&amp;"|"&amp;$C161&amp;"|"&amp;$D161&amp;"|"&amp;N$14&amp;"|"&amp;"CY2020Q4",Spectrum!$Q:$Q,0)),"")</f>
        <v/>
      </c>
      <c r="P161" s="115" t="n">
        <f aca="false">_xlfn.IFNA(ROUND(INDEX(Spectrum!$N:$N,MATCH(RIGHT($B161,13)&amp;"|"&amp;$C161&amp;"|"&amp;$D161&amp;"|"&amp;P$14&amp;"|"&amp;"CY2021Q3",Spectrum!$Q:$Q,0)),0),"")</f>
        <v>25</v>
      </c>
      <c r="Q161" s="123" t="n">
        <f aca="false">_xlfn.IFNA(INDEX(Spectrum!$P:$P,MATCH(RIGHT($B161,13)&amp;"|"&amp;$C161&amp;"|"&amp;$D161&amp;"|"&amp;P$14&amp;"|"&amp;"CY2021Q3",Spectrum!$Q:$Q,0)),"")</f>
        <v>2</v>
      </c>
      <c r="R161" s="115"/>
      <c r="S161" s="123" t="str">
        <f aca="false">IF(OR(SUM($P161)&lt;=0,SUM($R161)&lt;=0),"",SUM($R161)/$P161)</f>
        <v/>
      </c>
      <c r="T161" s="139" t="n">
        <v>45</v>
      </c>
      <c r="U161" s="124" t="n">
        <v>15</v>
      </c>
      <c r="V161" s="124" t="n">
        <f aca="false">IF($U161-$T161=0,"",$U161-$T161)</f>
        <v>-30</v>
      </c>
      <c r="W161" s="123" t="n">
        <f aca="false">IF(LEFT($B161,4)="_Mil","",IFERROR(MIN(IF(SUM($N161)&lt;=0,SUM($U161)/SUM($P161),SUM($T161)/SUM($N161)),1),""))</f>
        <v>0.6</v>
      </c>
      <c r="X161" s="123" t="n">
        <f aca="false">$W161</f>
        <v>0.6</v>
      </c>
      <c r="Y161" s="123" t="n">
        <f aca="false">IFERROR(1/(1/INDEX(Spectrum!$N:$N,MATCH(RIGHT($B161,13)&amp;"|"&amp;$C161&amp;"|"&amp;$D161&amp;"|"&amp;Y$14&amp;"|"&amp;"CY2021Q3",Spectrum!$Q:$Q,0))),IF(SUM($H161)=0,"",MAX(SUM($P161),SUM($U161))/SUM($H161)))</f>
        <v>0.454545454545455</v>
      </c>
      <c r="Z161" s="123" t="n">
        <f aca="false">IF(SUM($Y161)=0,"",MAX(SUM($Y161),90%))</f>
        <v>0.9</v>
      </c>
      <c r="AA161" s="115" t="n">
        <f aca="false">IF(LEFT($B161,4)="_Mil","",ROUND(MAX(SUM($U161),SUM($P161))+IF(SUM($Z161)=0,0,MAX(SUM($Z161)-SUM($Y161),0)*SUM($H161)),0))</f>
        <v>50</v>
      </c>
      <c r="AB161" s="115" t="n">
        <f aca="false">IF(SUM($AA161)=0,"",ROUND(MAX(SUM($AA161)-MAX(SUM($P161),SUM($U161)),0),0))</f>
        <v>25</v>
      </c>
      <c r="AC161" s="126" t="str">
        <f aca="false">IF($C161="&lt;01",IFERROR(ROUND(INDEX(EID!$N:$N,MATCH($B161,EID!$B:$B,0))/2,0),""),"")</f>
        <v/>
      </c>
      <c r="AD161" s="115" t="n">
        <f aca="false">IF($C161="&lt;01",IF(SUM($AC161)=0,"",ROUND(SUM($AC161)/$AG161,0)),IF(SUM($AB161)=0,"",ROUND(MAX($X161,0)*SUM($AB161),0)))</f>
        <v>15</v>
      </c>
      <c r="AE161" s="115" t="n">
        <f aca="false">IF(AND(SUM($AD161)=0,SUM($U161)=0),"",ROUND(IF($C161="&lt;01",0,SUM($U161))+SUM($AD161),0))</f>
        <v>30</v>
      </c>
      <c r="AF161" s="122" t="n">
        <f aca="false">IF($C161="&lt;01","",100%)</f>
        <v>1</v>
      </c>
      <c r="AG161" s="123" t="n">
        <f aca="false">0.98</f>
        <v>0.98</v>
      </c>
      <c r="AH161" s="123" t="n">
        <f aca="false">0.98</f>
        <v>0.98</v>
      </c>
      <c r="AI161" s="124" t="n">
        <f aca="false">IF(OR($C161="&lt;01",SUM($U161)=0),"",ROUND(SUM($U161)*(1-$AH161),0))</f>
        <v>0</v>
      </c>
      <c r="AJ161" s="124" t="n">
        <f aca="false">IF(AND(SUM($AE161)=0,SUM($U161)=0),"",IF($C161="&lt;01",SUM($AD161),SUM($AE161) - ROUND(SUM($U161)*$AH161,0)))</f>
        <v>15</v>
      </c>
      <c r="AK161" s="124" t="n">
        <v>0</v>
      </c>
      <c r="AL161" s="124" t="n">
        <v>44</v>
      </c>
      <c r="AM161" s="115" t="n">
        <f aca="false">IF(AND(SUM($AD161)=0,SUM($U161)=0),"",IF($C161="&lt;01",SUM($AD161),ROUND(ROUND(SUM($AJ161)*$AF161,0)/$AG161,0)))</f>
        <v>15</v>
      </c>
      <c r="AN161" s="122" t="n">
        <f aca="false">0.7</f>
        <v>0.7</v>
      </c>
      <c r="AO161" s="123" t="n">
        <f aca="false">1</f>
        <v>1</v>
      </c>
      <c r="AP161" s="115" t="n">
        <f aca="false">IF(AND(SUM($U161)=0,SUM($AM161)=0),"",ROUND((SUM($AM161)*$AN161+IF($C161="&lt;01",0,$U161))*$AO161,0))</f>
        <v>26</v>
      </c>
      <c r="AQ161" s="122" t="n">
        <v>34</v>
      </c>
      <c r="AR161" s="123" t="n">
        <f aca="false">0.95</f>
        <v>0.95</v>
      </c>
      <c r="AS161" s="123" t="n">
        <f aca="false">0.95</f>
        <v>0.95</v>
      </c>
      <c r="AT161" s="115" t="n">
        <f aca="false">IF(SUM($AP161)=0,"",ROUND(SUM($AP161)*$AR161,0))</f>
        <v>25</v>
      </c>
      <c r="AU161" s="115" t="n">
        <f aca="false">IF(LEFT($B161,4)="_Mil","",ROUND(SUM($AA161)*SUM($AS161),0))</f>
        <v>48</v>
      </c>
      <c r="AV161" s="124" t="n">
        <f aca="false">IF(SUM($AU161)&lt;=0,"",MAX(SUM($AU161)-SUM($R161),0))</f>
        <v>48</v>
      </c>
      <c r="AW161" s="122" t="n">
        <f aca="false">0</f>
        <v>0</v>
      </c>
      <c r="AX161" s="124" t="n">
        <f aca="false">IF(SUM($AM161)=0,"",ROUND(SUM($AM161)*SUM($AW161),0))</f>
        <v>0</v>
      </c>
      <c r="AY161" s="124" t="n">
        <f aca="false">IF(SUM($AM161)=0,"",SUM($AM161)-SUM($AX161))</f>
        <v>15</v>
      </c>
      <c r="AZ161" s="123" t="n">
        <v>6</v>
      </c>
      <c r="BA161" s="123" t="n">
        <f aca="false">0.95</f>
        <v>0.95</v>
      </c>
      <c r="BB161" s="123"/>
      <c r="BC161" s="123" t="n">
        <f aca="false">IF(OR(SUM($AM161)&lt;=0,$C161="&lt;01"),"",MAX(IF(OR(SUM($Y161)&lt;70%,LEFT($B161,4)="_Mil"),30%,IF(SUM($Y161)&gt;=80%,75%,50%)),SUM($BB161)))</f>
        <v>0.3</v>
      </c>
      <c r="BD161" s="115" t="n">
        <f aca="false">IF($C161="&lt;01",IFERROR(ROUND(INDEX(EID!$M:$M,MATCH($B161,EID!$B:$B,0)),0)/2,""),IF(SUM($AY161)=0,"",ROUND(SUM($AY161)/SUM($BA161),0)))</f>
        <v>16</v>
      </c>
      <c r="BE161" s="115" t="n">
        <f aca="false">IF($C161="&lt;01","",IF(SUM($BD161)=0,"",ROUND(SUM($BD161)*SUM($BC161),0)))</f>
        <v>5</v>
      </c>
      <c r="BF161" s="115" t="str">
        <f aca="false">_xlfn.IFNA(INDEX(PMTCT!$AE:$AE,MATCH($E161,PMTCT!$E:$E,0)),"")</f>
        <v/>
      </c>
      <c r="BG161" s="115" t="str">
        <f aca="false">_xlfn.IFNA(INDEX(PMTCT!$AU:$AU,MATCH($E161,PMTCT!$E:$E,0)),"")</f>
        <v/>
      </c>
      <c r="BH161" s="115" t="n">
        <f aca="false">_xlfn.IFNA(INDEX(TB!$Q:$Q,MATCH($E161,TB!$E:$E,0)),"")</f>
        <v>0</v>
      </c>
      <c r="BI161" s="115" t="str">
        <f aca="false">_xlfn.IFNA(INDEX(VMMC!$AC:$AC,MATCH($E161,VMMC!$E:$E,0)),"")</f>
        <v/>
      </c>
      <c r="BJ161" s="115" t="str">
        <f aca="false">IF($C161="&lt;01",$BD161,"")</f>
        <v/>
      </c>
      <c r="BK161" s="115" t="n">
        <f aca="false">IF(SUM($BD161)=0,"",($BD161)-SUM($BE161:$BJ161))</f>
        <v>11</v>
      </c>
      <c r="BL161" s="123" t="n">
        <f aca="false">IF(OR(SUM($BD161)=0,SUM($BE161)=0),"",SUM($BE161)/$BD161)</f>
        <v>0.3125</v>
      </c>
      <c r="BM161" s="123" t="str">
        <f aca="false">IF(OR(SUM($BD161)=0,SUM($BF161)=0),"",SUM($BF161)/$BD161)</f>
        <v/>
      </c>
      <c r="BN161" s="123" t="str">
        <f aca="false">IF(OR(SUM($BD161)=0,SUM($BG161)=0),"",SUM($BG161)/$BD161)</f>
        <v/>
      </c>
      <c r="BO161" s="123" t="str">
        <f aca="false">IF(OR(SUM($BD161)=0,SUM($BH161)=0),"",SUM($BH161)/$BD161)</f>
        <v/>
      </c>
      <c r="BP161" s="123" t="str">
        <f aca="false">IF(OR(SUM($BD161)=0,SUM($BI161)=0),"",SUM($BI161)/$BD161)</f>
        <v/>
      </c>
      <c r="BQ161" s="123" t="str">
        <f aca="false">IF(AND($C161="&lt;01",SUM($BJ161)&lt;&gt;0),$BJ161/SUM($BD161),"")</f>
        <v/>
      </c>
      <c r="BR161" s="123" t="n">
        <f aca="false">IF(OR(SUM($BD161)=0,SUM($BK161)=0),"",SUM($BK161)/$BD161)</f>
        <v>0.6875</v>
      </c>
      <c r="BS161" s="122" t="n">
        <f aca="false">IF(SUM($X161)&lt;=0,"",$X161)</f>
        <v>0.6</v>
      </c>
      <c r="BT161" s="115" t="n">
        <f aca="false">IF(LEFT($B161,4)="_Mil","",MAX(SUM($L161)+ROUND(SUM($BD161)/IF(SUM($BS161)&lt;=0,1,SUM($BS161)),0),0))</f>
        <v>48</v>
      </c>
    </row>
    <row r="162" customFormat="false" ht="15" hidden="false" customHeight="false" outlineLevel="0" collapsed="false">
      <c r="A162" s="0" t="s">
        <v>147</v>
      </c>
      <c r="B162" s="0" t="s">
        <v>105</v>
      </c>
      <c r="C162" s="0" t="s">
        <v>54</v>
      </c>
      <c r="D162" s="0" t="s">
        <v>58</v>
      </c>
      <c r="E162" s="0" t="str">
        <f aca="false">B162&amp;"|"&amp;C162&amp;"|"&amp;D162</f>
        <v>Mohale's Hoek [#SNU] [#DREAMS] [YGI7vISD2kJ]|01-04|Male</v>
      </c>
      <c r="F162" s="115" t="n">
        <f aca="false">_xlfn.IFNA(ROUND(INDEX(Spectrum!$N:$N,MATCH(RIGHT($B162,13)&amp;"|"&amp;$C162&amp;"|"&amp;$D162&amp;"|"&amp;F$14&amp;"|"&amp;"CY2021Q3",Spectrum!$Q:$Q,0)),0),"")</f>
        <v>6270</v>
      </c>
      <c r="G162" s="123" t="n">
        <f aca="false">_xlfn.IFNA(INDEX(Spectrum!$P:$P,MATCH(RIGHT($B162,13)&amp;"|"&amp;$C162&amp;"|"&amp;$D162&amp;"|"&amp;F$14&amp;"|"&amp;"CY2021Q3",Spectrum!$Q:$Q,0)),"")</f>
        <v>30</v>
      </c>
      <c r="H162" s="115" t="n">
        <f aca="false">_xlfn.IFNA(ROUND(INDEX(Spectrum!$N:$N,MATCH(RIGHT($B162,13)&amp;"|"&amp;$C162&amp;"|"&amp;$D162&amp;"|"&amp;H$14&amp;"|"&amp;"CY2021Q3",Spectrum!$Q:$Q,0)),0),"")</f>
        <v>55</v>
      </c>
      <c r="I162" s="123" t="n">
        <f aca="false">_xlfn.IFNA(INDEX(Spectrum!$P:$P,MATCH(RIGHT($B162,13)&amp;"|"&amp;$C162&amp;"|"&amp;$D162&amp;"|"&amp;H$14&amp;"|"&amp;"CY2021Q3",Spectrum!$Q:$Q,0)),"")</f>
        <v>2</v>
      </c>
      <c r="J162" s="117" t="n">
        <f aca="false">_xlfn.IFNA(INDEX(Spectrum!$N:$N,MATCH(RIGHT($B162,13)&amp;"|"&amp;$C162&amp;"|"&amp;$D162&amp;"|"&amp;J$14&amp;"|"&amp;"CY2021Q3",Spectrum!$Q:$Q,0)),"")</f>
        <v>0.0088393</v>
      </c>
      <c r="K162" s="123" t="n">
        <f aca="false">_xlfn.IFNA(INDEX(Spectrum!$P:$P,MATCH(RIGHT($B162,13)&amp;"|"&amp;$C162&amp;"|"&amp;$D162&amp;"|"&amp;J$14&amp;"|"&amp;"CY2021Q3",Spectrum!$Q:$Q,0)),"")</f>
        <v>32</v>
      </c>
      <c r="L162" s="115" t="n">
        <f aca="false">_xlfn.IFNA(ROUND(INDEX(Spectrum!$N:$N,MATCH(RIGHT($B162,13)&amp;"|"&amp;$C162&amp;"|"&amp;$D162&amp;"|"&amp;L$14&amp;"|"&amp;"CY2021Q3",Spectrum!$Q:$Q,0)),0),"")</f>
        <v>22</v>
      </c>
      <c r="M162" s="123" t="n">
        <f aca="false">IF(OR(SUM($H162)&lt;=0,SUM($L162)&lt;=0),"",SUM($L162)/$H162)</f>
        <v>0.4</v>
      </c>
      <c r="N162" s="115" t="str">
        <f aca="false">_xlfn.IFNA(ROUND(INDEX(Spectrum!$N:$N,MATCH(RIGHT($B162,13)&amp;"|"&amp;$C162&amp;"|"&amp;$D162&amp;"|"&amp;N$14&amp;"|"&amp;"CY2020Q4",Spectrum!$Q:$Q,0)),0),"")</f>
        <v/>
      </c>
      <c r="O162" s="123" t="str">
        <f aca="false">_xlfn.IFNA(INDEX(Spectrum!$P:$P,MATCH(RIGHT($B162,13)&amp;"|"&amp;$C162&amp;"|"&amp;$D162&amp;"|"&amp;N$14&amp;"|"&amp;"CY2020Q4",Spectrum!$Q:$Q,0)),"")</f>
        <v/>
      </c>
      <c r="P162" s="115" t="n">
        <f aca="false">_xlfn.IFNA(ROUND(INDEX(Spectrum!$N:$N,MATCH(RIGHT($B162,13)&amp;"|"&amp;$C162&amp;"|"&amp;$D162&amp;"|"&amp;P$14&amp;"|"&amp;"CY2021Q3",Spectrum!$Q:$Q,0)),0),"")</f>
        <v>26</v>
      </c>
      <c r="Q162" s="123" t="n">
        <f aca="false">_xlfn.IFNA(INDEX(Spectrum!$P:$P,MATCH(RIGHT($B162,13)&amp;"|"&amp;$C162&amp;"|"&amp;$D162&amp;"|"&amp;P$14&amp;"|"&amp;"CY2021Q3",Spectrum!$Q:$Q,0)),"")</f>
        <v>37</v>
      </c>
      <c r="R162" s="115"/>
      <c r="S162" s="123" t="str">
        <f aca="false">IF(OR(SUM($P162)&lt;=0,SUM($R162)&lt;=0),"",SUM($R162)/$P162)</f>
        <v/>
      </c>
      <c r="T162" s="139" t="n">
        <v>32</v>
      </c>
      <c r="U162" s="124" t="n">
        <v>5</v>
      </c>
      <c r="V162" s="124" t="n">
        <f aca="false">IF($U162-$T162=0,"",$U162-$T162)</f>
        <v>-27</v>
      </c>
      <c r="W162" s="123" t="n">
        <f aca="false">IF(LEFT($B162,4)="_Mil","",IFERROR(MIN(IF(SUM($N162)&lt;=0,SUM($U162)/SUM($P162),SUM($T162)/SUM($N162)),1),""))</f>
        <v>0.192307692307692</v>
      </c>
      <c r="X162" s="123" t="n">
        <f aca="false">$W162</f>
        <v>0.192307692307692</v>
      </c>
      <c r="Y162" s="123" t="n">
        <f aca="false">IFERROR(1/(1/INDEX(Spectrum!$N:$N,MATCH(RIGHT($B162,13)&amp;"|"&amp;$C162&amp;"|"&amp;$D162&amp;"|"&amp;Y$14&amp;"|"&amp;"CY2021Q3",Spectrum!$Q:$Q,0))),IF(SUM($H162)=0,"",MAX(SUM($P162),SUM($U162))/SUM($H162)))</f>
        <v>0.472727272727273</v>
      </c>
      <c r="Z162" s="123" t="n">
        <f aca="false">IF(SUM($Y162)=0,"",MAX(SUM($Y162),90%))</f>
        <v>0.9</v>
      </c>
      <c r="AA162" s="115" t="n">
        <f aca="false">IF(LEFT($B162,4)="_Mil","",ROUND(MAX(SUM($U162),SUM($P162))+IF(SUM($Z162)=0,0,MAX(SUM($Z162)-SUM($Y162),0)*SUM($H162)),0))</f>
        <v>50</v>
      </c>
      <c r="AB162" s="115" t="n">
        <f aca="false">IF(SUM($AA162)=0,"",ROUND(MAX(SUM($AA162)-MAX(SUM($P162),SUM($U162)),0),0))</f>
        <v>24</v>
      </c>
      <c r="AC162" s="126" t="str">
        <f aca="false">IF($C162="&lt;01",IFERROR(ROUND(INDEX(EID!$N:$N,MATCH($B162,EID!$B:$B,0))/2,0),""),"")</f>
        <v/>
      </c>
      <c r="AD162" s="115" t="n">
        <f aca="false">IF($C162="&lt;01",IF(SUM($AC162)=0,"",ROUND(SUM($AC162)/$AG162,0)),IF(SUM($AB162)=0,"",ROUND(MAX($X162,0)*SUM($AB162),0)))</f>
        <v>5</v>
      </c>
      <c r="AE162" s="115" t="n">
        <f aca="false">IF(AND(SUM($AD162)=0,SUM($U162)=0),"",ROUND(IF($C162="&lt;01",0,SUM($U162))+SUM($AD162),0))</f>
        <v>10</v>
      </c>
      <c r="AF162" s="122" t="n">
        <f aca="false">IF($C162="&lt;01","",100%)</f>
        <v>1</v>
      </c>
      <c r="AG162" s="123" t="n">
        <f aca="false">0.98</f>
        <v>0.98</v>
      </c>
      <c r="AH162" s="123" t="n">
        <f aca="false">0.98</f>
        <v>0.98</v>
      </c>
      <c r="AI162" s="124" t="n">
        <f aca="false">IF(OR($C162="&lt;01",SUM($U162)=0),"",ROUND(SUM($U162)*(1-$AH162),0))</f>
        <v>0</v>
      </c>
      <c r="AJ162" s="124" t="n">
        <f aca="false">IF(AND(SUM($AE162)=0,SUM($U162)=0),"",IF($C162="&lt;01",SUM($AD162),SUM($AE162) - ROUND(SUM($U162)*$AH162,0)))</f>
        <v>5</v>
      </c>
      <c r="AK162" s="124" t="n">
        <v>43</v>
      </c>
      <c r="AL162" s="124" t="n">
        <v>21</v>
      </c>
      <c r="AM162" s="115" t="n">
        <f aca="false">IF(AND(SUM($AD162)=0,SUM($U162)=0),"",IF($C162="&lt;01",SUM($AD162),ROUND(ROUND(SUM($AJ162)*$AF162,0)/$AG162,0)))</f>
        <v>5</v>
      </c>
      <c r="AN162" s="122" t="n">
        <f aca="false">0.7</f>
        <v>0.7</v>
      </c>
      <c r="AO162" s="123" t="n">
        <f aca="false">1</f>
        <v>1</v>
      </c>
      <c r="AP162" s="115" t="n">
        <f aca="false">IF(AND(SUM($U162)=0,SUM($AM162)=0),"",ROUND((SUM($AM162)*$AN162+IF($C162="&lt;01",0,$U162))*$AO162,0))</f>
        <v>9</v>
      </c>
      <c r="AQ162" s="122" t="n">
        <v>6</v>
      </c>
      <c r="AR162" s="123" t="n">
        <f aca="false">0.95</f>
        <v>0.95</v>
      </c>
      <c r="AS162" s="123" t="n">
        <f aca="false">0.95</f>
        <v>0.95</v>
      </c>
      <c r="AT162" s="115" t="n">
        <f aca="false">IF(SUM($AP162)=0,"",ROUND(SUM($AP162)*$AR162,0))</f>
        <v>9</v>
      </c>
      <c r="AU162" s="115" t="n">
        <f aca="false">IF(LEFT($B162,4)="_Mil","",ROUND(SUM($AA162)*SUM($AS162),0))</f>
        <v>48</v>
      </c>
      <c r="AV162" s="124" t="n">
        <f aca="false">IF(SUM($AU162)&lt;=0,"",MAX(SUM($AU162)-SUM($R162),0))</f>
        <v>48</v>
      </c>
      <c r="AW162" s="122" t="n">
        <f aca="false">0</f>
        <v>0</v>
      </c>
      <c r="AX162" s="124" t="n">
        <f aca="false">IF(SUM($AM162)=0,"",ROUND(SUM($AM162)*SUM($AW162),0))</f>
        <v>0</v>
      </c>
      <c r="AY162" s="124" t="n">
        <f aca="false">IF(SUM($AM162)=0,"",SUM($AM162)-SUM($AX162))</f>
        <v>5</v>
      </c>
      <c r="AZ162" s="123" t="n">
        <v>32</v>
      </c>
      <c r="BA162" s="123" t="n">
        <f aca="false">0.95</f>
        <v>0.95</v>
      </c>
      <c r="BB162" s="123"/>
      <c r="BC162" s="123" t="n">
        <f aca="false">IF(OR(SUM($AM162)&lt;=0,$C162="&lt;01"),"",MAX(IF(OR(SUM($Y162)&lt;70%,LEFT($B162,4)="_Mil"),30%,IF(SUM($Y162)&gt;=80%,75%,50%)),SUM($BB162)))</f>
        <v>0.3</v>
      </c>
      <c r="BD162" s="115" t="n">
        <f aca="false">IF($C162="&lt;01",IFERROR(ROUND(INDEX(EID!$M:$M,MATCH($B162,EID!$B:$B,0)),0)/2,""),IF(SUM($AY162)=0,"",ROUND(SUM($AY162)/SUM($BA162),0)))</f>
        <v>5</v>
      </c>
      <c r="BE162" s="115" t="n">
        <f aca="false">IF($C162="&lt;01","",IF(SUM($BD162)=0,"",ROUND(SUM($BD162)*SUM($BC162),0)))</f>
        <v>2</v>
      </c>
      <c r="BF162" s="115" t="str">
        <f aca="false">_xlfn.IFNA(INDEX(PMTCT!$AE:$AE,MATCH($E162,PMTCT!$E:$E,0)),"")</f>
        <v/>
      </c>
      <c r="BG162" s="115" t="str">
        <f aca="false">_xlfn.IFNA(INDEX(PMTCT!$AU:$AU,MATCH($E162,PMTCT!$E:$E,0)),"")</f>
        <v/>
      </c>
      <c r="BH162" s="115" t="n">
        <f aca="false">_xlfn.IFNA(INDEX(TB!$Q:$Q,MATCH($E162,TB!$E:$E,0)),"")</f>
        <v>0</v>
      </c>
      <c r="BI162" s="115" t="str">
        <f aca="false">_xlfn.IFNA(INDEX(VMMC!$AC:$AC,MATCH($E162,VMMC!$E:$E,0)),"")</f>
        <v/>
      </c>
      <c r="BJ162" s="115" t="str">
        <f aca="false">IF($C162="&lt;01",$BD162,"")</f>
        <v/>
      </c>
      <c r="BK162" s="115" t="n">
        <f aca="false">IF(SUM($BD162)=0,"",($BD162)-SUM($BE162:$BJ162))</f>
        <v>3</v>
      </c>
      <c r="BL162" s="123" t="n">
        <f aca="false">IF(OR(SUM($BD162)=0,SUM($BE162)=0),"",SUM($BE162)/$BD162)</f>
        <v>0.4</v>
      </c>
      <c r="BM162" s="123" t="str">
        <f aca="false">IF(OR(SUM($BD162)=0,SUM($BF162)=0),"",SUM($BF162)/$BD162)</f>
        <v/>
      </c>
      <c r="BN162" s="123" t="str">
        <f aca="false">IF(OR(SUM($BD162)=0,SUM($BG162)=0),"",SUM($BG162)/$BD162)</f>
        <v/>
      </c>
      <c r="BO162" s="123" t="str">
        <f aca="false">IF(OR(SUM($BD162)=0,SUM($BH162)=0),"",SUM($BH162)/$BD162)</f>
        <v/>
      </c>
      <c r="BP162" s="123" t="str">
        <f aca="false">IF(OR(SUM($BD162)=0,SUM($BI162)=0),"",SUM($BI162)/$BD162)</f>
        <v/>
      </c>
      <c r="BQ162" s="123" t="str">
        <f aca="false">IF(AND($C162="&lt;01",SUM($BJ162)&lt;&gt;0),$BJ162/SUM($BD162),"")</f>
        <v/>
      </c>
      <c r="BR162" s="123" t="n">
        <f aca="false">IF(OR(SUM($BD162)=0,SUM($BK162)=0),"",SUM($BK162)/$BD162)</f>
        <v>0.6</v>
      </c>
      <c r="BS162" s="122" t="n">
        <f aca="false">IF(SUM($X162)&lt;=0,"",$X162)</f>
        <v>0.192307692307692</v>
      </c>
      <c r="BT162" s="115" t="n">
        <f aca="false">IF(LEFT($B162,4)="_Mil","",MAX(SUM($L162)+ROUND(SUM($BD162)/IF(SUM($BS162)&lt;=0,1,SUM($BS162)),0),0))</f>
        <v>48</v>
      </c>
    </row>
    <row r="163" customFormat="false" ht="15" hidden="false" customHeight="false" outlineLevel="0" collapsed="false">
      <c r="A163" s="0" t="s">
        <v>147</v>
      </c>
      <c r="B163" s="0" t="s">
        <v>105</v>
      </c>
      <c r="C163" s="0" t="s">
        <v>83</v>
      </c>
      <c r="D163" s="0" t="s">
        <v>56</v>
      </c>
      <c r="E163" s="0" t="str">
        <f aca="false">B163&amp;"|"&amp;C163&amp;"|"&amp;D163</f>
        <v>Mohale's Hoek [#SNU] [#DREAMS] [YGI7vISD2kJ]|05-09|Female</v>
      </c>
      <c r="F163" s="115" t="n">
        <f aca="false">_xlfn.IFNA(ROUND(INDEX(Spectrum!$N:$N,MATCH(RIGHT($B163,13)&amp;"|"&amp;$C163&amp;"|"&amp;$D163&amp;"|"&amp;F$14&amp;"|"&amp;"CY2021Q3",Spectrum!$Q:$Q,0)),0),"")</f>
        <v>9204</v>
      </c>
      <c r="G163" s="123" t="n">
        <f aca="false">_xlfn.IFNA(INDEX(Spectrum!$P:$P,MATCH(RIGHT($B163,13)&amp;"|"&amp;$C163&amp;"|"&amp;$D163&amp;"|"&amp;F$14&amp;"|"&amp;"CY2021Q3",Spectrum!$Q:$Q,0)),"")</f>
        <v>5</v>
      </c>
      <c r="H163" s="115" t="n">
        <f aca="false">_xlfn.IFNA(ROUND(INDEX(Spectrum!$N:$N,MATCH(RIGHT($B163,13)&amp;"|"&amp;$C163&amp;"|"&amp;$D163&amp;"|"&amp;H$14&amp;"|"&amp;"CY2021Q3",Spectrum!$Q:$Q,0)),0),"")</f>
        <v>160</v>
      </c>
      <c r="I163" s="123" t="n">
        <f aca="false">_xlfn.IFNA(INDEX(Spectrum!$P:$P,MATCH(RIGHT($B163,13)&amp;"|"&amp;$C163&amp;"|"&amp;$D163&amp;"|"&amp;H$14&amp;"|"&amp;"CY2021Q3",Spectrum!$Q:$Q,0)),"")</f>
        <v>43</v>
      </c>
      <c r="J163" s="117" t="n">
        <f aca="false">_xlfn.IFNA(INDEX(Spectrum!$N:$N,MATCH(RIGHT($B163,13)&amp;"|"&amp;$C163&amp;"|"&amp;$D163&amp;"|"&amp;J$14&amp;"|"&amp;"CY2021Q3",Spectrum!$Q:$Q,0)),"")</f>
        <v>0.0174</v>
      </c>
      <c r="K163" s="123" t="n">
        <f aca="false">_xlfn.IFNA(INDEX(Spectrum!$P:$P,MATCH(RIGHT($B163,13)&amp;"|"&amp;$C163&amp;"|"&amp;$D163&amp;"|"&amp;J$14&amp;"|"&amp;"CY2021Q3",Spectrum!$Q:$Q,0)),"")</f>
        <v>20</v>
      </c>
      <c r="L163" s="115" t="n">
        <f aca="false">_xlfn.IFNA(ROUND(INDEX(Spectrum!$N:$N,MATCH(RIGHT($B163,13)&amp;"|"&amp;$C163&amp;"|"&amp;$D163&amp;"|"&amp;L$14&amp;"|"&amp;"CY2021Q3",Spectrum!$Q:$Q,0)),0),"")</f>
        <v>88</v>
      </c>
      <c r="M163" s="123" t="n">
        <f aca="false">IF(OR(SUM($H163)&lt;=0,SUM($L163)&lt;=0),"",SUM($L163)/$H163)</f>
        <v>0.55</v>
      </c>
      <c r="N163" s="115" t="str">
        <f aca="false">_xlfn.IFNA(ROUND(INDEX(Spectrum!$N:$N,MATCH(RIGHT($B163,13)&amp;"|"&amp;$C163&amp;"|"&amp;$D163&amp;"|"&amp;N$14&amp;"|"&amp;"CY2020Q4",Spectrum!$Q:$Q,0)),0),"")</f>
        <v/>
      </c>
      <c r="O163" s="123" t="str">
        <f aca="false">_xlfn.IFNA(INDEX(Spectrum!$P:$P,MATCH(RIGHT($B163,13)&amp;"|"&amp;$C163&amp;"|"&amp;$D163&amp;"|"&amp;N$14&amp;"|"&amp;"CY2020Q4",Spectrum!$Q:$Q,0)),"")</f>
        <v/>
      </c>
      <c r="P163" s="115" t="n">
        <f aca="false">_xlfn.IFNA(ROUND(INDEX(Spectrum!$N:$N,MATCH(RIGHT($B163,13)&amp;"|"&amp;$C163&amp;"|"&amp;$D163&amp;"|"&amp;P$14&amp;"|"&amp;"CY2021Q3",Spectrum!$Q:$Q,0)),0),"")</f>
        <v>93</v>
      </c>
      <c r="Q163" s="123" t="n">
        <f aca="false">_xlfn.IFNA(INDEX(Spectrum!$P:$P,MATCH(RIGHT($B163,13)&amp;"|"&amp;$C163&amp;"|"&amp;$D163&amp;"|"&amp;P$14&amp;"|"&amp;"CY2021Q3",Spectrum!$Q:$Q,0)),"")</f>
        <v>21</v>
      </c>
      <c r="R163" s="115"/>
      <c r="S163" s="123" t="str">
        <f aca="false">IF(OR(SUM($P163)&lt;=0,SUM($R163)&lt;=0),"",SUM($R163)/$P163)</f>
        <v/>
      </c>
      <c r="T163" s="139" t="n">
        <v>2</v>
      </c>
      <c r="U163" s="124" t="n">
        <v>33</v>
      </c>
      <c r="V163" s="124" t="n">
        <f aca="false">IF($U163-$T163=0,"",$U163-$T163)</f>
        <v>31</v>
      </c>
      <c r="W163" s="123" t="n">
        <f aca="false">IF(LEFT($B163,4)="_Mil","",IFERROR(MIN(IF(SUM($N163)&lt;=0,SUM($U163)/SUM($P163),SUM($T163)/SUM($N163)),1),""))</f>
        <v>0.354838709677419</v>
      </c>
      <c r="X163" s="123" t="n">
        <f aca="false">$W163</f>
        <v>0.354838709677419</v>
      </c>
      <c r="Y163" s="123" t="n">
        <f aca="false">IFERROR(1/(1/INDEX(Spectrum!$N:$N,MATCH(RIGHT($B163,13)&amp;"|"&amp;$C163&amp;"|"&amp;$D163&amp;"|"&amp;Y$14&amp;"|"&amp;"CY2021Q3",Spectrum!$Q:$Q,0))),IF(SUM($H163)=0,"",MAX(SUM($P163),SUM($U163))/SUM($H163)))</f>
        <v>0.58125</v>
      </c>
      <c r="Z163" s="123" t="n">
        <f aca="false">IF(SUM($Y163)=0,"",MAX(SUM($Y163),90%))</f>
        <v>0.9</v>
      </c>
      <c r="AA163" s="115" t="n">
        <f aca="false">IF(LEFT($B163,4)="_Mil","",ROUND(MAX(SUM($U163),SUM($P163))+IF(SUM($Z163)=0,0,MAX(SUM($Z163)-SUM($Y163),0)*SUM($H163)),0))</f>
        <v>144</v>
      </c>
      <c r="AB163" s="115" t="n">
        <f aca="false">IF(SUM($AA163)=0,"",ROUND(MAX(SUM($AA163)-MAX(SUM($P163),SUM($U163)),0),0))</f>
        <v>51</v>
      </c>
      <c r="AC163" s="126" t="str">
        <f aca="false">IF($C163="&lt;01",IFERROR(ROUND(INDEX(EID!$N:$N,MATCH($B163,EID!$B:$B,0))/2,0),""),"")</f>
        <v/>
      </c>
      <c r="AD163" s="115" t="n">
        <f aca="false">IF($C163="&lt;01",IF(SUM($AC163)=0,"",ROUND(SUM($AC163)/$AG163,0)),IF(SUM($AB163)=0,"",ROUND(MAX($X163,0)*SUM($AB163),0)))</f>
        <v>18</v>
      </c>
      <c r="AE163" s="115" t="n">
        <f aca="false">IF(AND(SUM($AD163)=0,SUM($U163)=0),"",ROUND(IF($C163="&lt;01",0,SUM($U163))+SUM($AD163),0))</f>
        <v>51</v>
      </c>
      <c r="AF163" s="122" t="n">
        <f aca="false">IF($C163="&lt;01","",100%)</f>
        <v>1</v>
      </c>
      <c r="AG163" s="123" t="n">
        <f aca="false">0.98</f>
        <v>0.98</v>
      </c>
      <c r="AH163" s="123" t="n">
        <f aca="false">0.98</f>
        <v>0.98</v>
      </c>
      <c r="AI163" s="124" t="n">
        <f aca="false">IF(OR($C163="&lt;01",SUM($U163)=0),"",ROUND(SUM($U163)*(1-$AH163),0))</f>
        <v>1</v>
      </c>
      <c r="AJ163" s="124" t="n">
        <f aca="false">IF(AND(SUM($AE163)=0,SUM($U163)=0),"",IF($C163="&lt;01",SUM($AD163),SUM($AE163) - ROUND(SUM($U163)*$AH163,0)))</f>
        <v>19</v>
      </c>
      <c r="AK163" s="124" t="n">
        <v>27</v>
      </c>
      <c r="AL163" s="124" t="n">
        <v>29</v>
      </c>
      <c r="AM163" s="115" t="n">
        <f aca="false">IF(AND(SUM($AD163)=0,SUM($U163)=0),"",IF($C163="&lt;01",SUM($AD163),ROUND(ROUND(SUM($AJ163)*$AF163,0)/$AG163,0)))</f>
        <v>19</v>
      </c>
      <c r="AN163" s="122" t="n">
        <f aca="false">0.7</f>
        <v>0.7</v>
      </c>
      <c r="AO163" s="123" t="n">
        <f aca="false">1</f>
        <v>1</v>
      </c>
      <c r="AP163" s="115" t="n">
        <f aca="false">IF(AND(SUM($U163)=0,SUM($AM163)=0),"",ROUND((SUM($AM163)*$AN163+IF($C163="&lt;01",0,$U163))*$AO163,0))</f>
        <v>46</v>
      </c>
      <c r="AQ163" s="122" t="n">
        <v>36</v>
      </c>
      <c r="AR163" s="123" t="n">
        <f aca="false">0.95</f>
        <v>0.95</v>
      </c>
      <c r="AS163" s="123" t="n">
        <f aca="false">0.95</f>
        <v>0.95</v>
      </c>
      <c r="AT163" s="115" t="n">
        <f aca="false">IF(SUM($AP163)=0,"",ROUND(SUM($AP163)*$AR163,0))</f>
        <v>44</v>
      </c>
      <c r="AU163" s="115" t="n">
        <f aca="false">IF(LEFT($B163,4)="_Mil","",ROUND(SUM($AA163)*SUM($AS163),0))</f>
        <v>137</v>
      </c>
      <c r="AV163" s="124" t="n">
        <f aca="false">IF(SUM($AU163)&lt;=0,"",MAX(SUM($AU163)-SUM($R163),0))</f>
        <v>137</v>
      </c>
      <c r="AW163" s="122" t="n">
        <f aca="false">0</f>
        <v>0</v>
      </c>
      <c r="AX163" s="124" t="n">
        <f aca="false">IF(SUM($AM163)=0,"",ROUND(SUM($AM163)*SUM($AW163),0))</f>
        <v>0</v>
      </c>
      <c r="AY163" s="124" t="n">
        <f aca="false">IF(SUM($AM163)=0,"",SUM($AM163)-SUM($AX163))</f>
        <v>19</v>
      </c>
      <c r="AZ163" s="123" t="n">
        <v>4</v>
      </c>
      <c r="BA163" s="123" t="n">
        <f aca="false">0.95</f>
        <v>0.95</v>
      </c>
      <c r="BB163" s="123"/>
      <c r="BC163" s="123" t="n">
        <f aca="false">IF(OR(SUM($AM163)&lt;=0,$C163="&lt;01"),"",MAX(IF(OR(SUM($Y163)&lt;70%,LEFT($B163,4)="_Mil"),30%,IF(SUM($Y163)&gt;=80%,75%,50%)),SUM($BB163)))</f>
        <v>0.3</v>
      </c>
      <c r="BD163" s="115" t="n">
        <f aca="false">IF($C163="&lt;01",IFERROR(ROUND(INDEX(EID!$M:$M,MATCH($B163,EID!$B:$B,0)),0)/2,""),IF(SUM($AY163)=0,"",ROUND(SUM($AY163)/SUM($BA163),0)))</f>
        <v>20</v>
      </c>
      <c r="BE163" s="115" t="n">
        <f aca="false">IF($C163="&lt;01","",IF(SUM($BD163)=0,"",ROUND(SUM($BD163)*SUM($BC163),0)))</f>
        <v>6</v>
      </c>
      <c r="BF163" s="115" t="str">
        <f aca="false">_xlfn.IFNA(INDEX(PMTCT!$AE:$AE,MATCH($E163,PMTCT!$E:$E,0)),"")</f>
        <v/>
      </c>
      <c r="BG163" s="115" t="str">
        <f aca="false">_xlfn.IFNA(INDEX(PMTCT!$AU:$AU,MATCH($E163,PMTCT!$E:$E,0)),"")</f>
        <v/>
      </c>
      <c r="BH163" s="115" t="n">
        <f aca="false">_xlfn.IFNA(INDEX(TB!$Q:$Q,MATCH($E163,TB!$E:$E,0)),"")</f>
        <v>0</v>
      </c>
      <c r="BI163" s="115" t="str">
        <f aca="false">_xlfn.IFNA(INDEX(VMMC!$AC:$AC,MATCH($E163,VMMC!$E:$E,0)),"")</f>
        <v/>
      </c>
      <c r="BJ163" s="115" t="str">
        <f aca="false">IF($C163="&lt;01",$BD163,"")</f>
        <v/>
      </c>
      <c r="BK163" s="115" t="n">
        <f aca="false">IF(SUM($BD163)=0,"",($BD163)-SUM($BE163:$BJ163))</f>
        <v>14</v>
      </c>
      <c r="BL163" s="123" t="n">
        <f aca="false">IF(OR(SUM($BD163)=0,SUM($BE163)=0),"",SUM($BE163)/$BD163)</f>
        <v>0.3</v>
      </c>
      <c r="BM163" s="123" t="str">
        <f aca="false">IF(OR(SUM($BD163)=0,SUM($BF163)=0),"",SUM($BF163)/$BD163)</f>
        <v/>
      </c>
      <c r="BN163" s="123" t="str">
        <f aca="false">IF(OR(SUM($BD163)=0,SUM($BG163)=0),"",SUM($BG163)/$BD163)</f>
        <v/>
      </c>
      <c r="BO163" s="123" t="str">
        <f aca="false">IF(OR(SUM($BD163)=0,SUM($BH163)=0),"",SUM($BH163)/$BD163)</f>
        <v/>
      </c>
      <c r="BP163" s="123" t="str">
        <f aca="false">IF(OR(SUM($BD163)=0,SUM($BI163)=0),"",SUM($BI163)/$BD163)</f>
        <v/>
      </c>
      <c r="BQ163" s="123" t="str">
        <f aca="false">IF(AND($C163="&lt;01",SUM($BJ163)&lt;&gt;0),$BJ163/SUM($BD163),"")</f>
        <v/>
      </c>
      <c r="BR163" s="123" t="n">
        <f aca="false">IF(OR(SUM($BD163)=0,SUM($BK163)=0),"",SUM($BK163)/$BD163)</f>
        <v>0.7</v>
      </c>
      <c r="BS163" s="122" t="n">
        <f aca="false">IF(SUM($X163)&lt;=0,"",$X163)</f>
        <v>0.354838709677419</v>
      </c>
      <c r="BT163" s="115" t="n">
        <f aca="false">IF(LEFT($B163,4)="_Mil","",MAX(SUM($L163)+ROUND(SUM($BD163)/IF(SUM($BS163)&lt;=0,1,SUM($BS163)),0),0))</f>
        <v>144</v>
      </c>
    </row>
    <row r="164" customFormat="false" ht="15" hidden="false" customHeight="false" outlineLevel="0" collapsed="false">
      <c r="A164" s="0" t="s">
        <v>147</v>
      </c>
      <c r="B164" s="0" t="s">
        <v>105</v>
      </c>
      <c r="C164" s="0" t="s">
        <v>83</v>
      </c>
      <c r="D164" s="0" t="s">
        <v>58</v>
      </c>
      <c r="E164" s="0" t="str">
        <f aca="false">B164&amp;"|"&amp;C164&amp;"|"&amp;D164</f>
        <v>Mohale's Hoek [#SNU] [#DREAMS] [YGI7vISD2kJ]|05-09|Male</v>
      </c>
      <c r="F164" s="115" t="n">
        <f aca="false">_xlfn.IFNA(ROUND(INDEX(Spectrum!$N:$N,MATCH(RIGHT($B164,13)&amp;"|"&amp;$C164&amp;"|"&amp;$D164&amp;"|"&amp;F$14&amp;"|"&amp;"CY2021Q3",Spectrum!$Q:$Q,0)),0),"")</f>
        <v>8972</v>
      </c>
      <c r="G164" s="123" t="n">
        <f aca="false">_xlfn.IFNA(INDEX(Spectrum!$P:$P,MATCH(RIGHT($B164,13)&amp;"|"&amp;$C164&amp;"|"&amp;$D164&amp;"|"&amp;F$14&amp;"|"&amp;"CY2021Q3",Spectrum!$Q:$Q,0)),"")</f>
        <v>21</v>
      </c>
      <c r="H164" s="115" t="n">
        <f aca="false">_xlfn.IFNA(ROUND(INDEX(Spectrum!$N:$N,MATCH(RIGHT($B164,13)&amp;"|"&amp;$C164&amp;"|"&amp;$D164&amp;"|"&amp;H$14&amp;"|"&amp;"CY2021Q3",Spectrum!$Q:$Q,0)),0),"")</f>
        <v>155</v>
      </c>
      <c r="I164" s="123" t="n">
        <f aca="false">_xlfn.IFNA(INDEX(Spectrum!$P:$P,MATCH(RIGHT($B164,13)&amp;"|"&amp;$C164&amp;"|"&amp;$D164&amp;"|"&amp;H$14&amp;"|"&amp;"CY2021Q3",Spectrum!$Q:$Q,0)),"")</f>
        <v>15</v>
      </c>
      <c r="J164" s="117" t="n">
        <f aca="false">_xlfn.IFNA(INDEX(Spectrum!$N:$N,MATCH(RIGHT($B164,13)&amp;"|"&amp;$C164&amp;"|"&amp;$D164&amp;"|"&amp;J$14&amp;"|"&amp;"CY2021Q3",Spectrum!$Q:$Q,0)),"")</f>
        <v>0.0172495</v>
      </c>
      <c r="K164" s="123" t="n">
        <f aca="false">_xlfn.IFNA(INDEX(Spectrum!$P:$P,MATCH(RIGHT($B164,13)&amp;"|"&amp;$C164&amp;"|"&amp;$D164&amp;"|"&amp;J$14&amp;"|"&amp;"CY2021Q3",Spectrum!$Q:$Q,0)),"")</f>
        <v>22</v>
      </c>
      <c r="L164" s="115" t="n">
        <f aca="false">_xlfn.IFNA(ROUND(INDEX(Spectrum!$N:$N,MATCH(RIGHT($B164,13)&amp;"|"&amp;$C164&amp;"|"&amp;$D164&amp;"|"&amp;L$14&amp;"|"&amp;"CY2021Q3",Spectrum!$Q:$Q,0)),0),"")</f>
        <v>89</v>
      </c>
      <c r="M164" s="123" t="n">
        <f aca="false">IF(OR(SUM($H164)&lt;=0,SUM($L164)&lt;=0),"",SUM($L164)/$H164)</f>
        <v>0.574193548387097</v>
      </c>
      <c r="N164" s="115" t="str">
        <f aca="false">_xlfn.IFNA(ROUND(INDEX(Spectrum!$N:$N,MATCH(RIGHT($B164,13)&amp;"|"&amp;$C164&amp;"|"&amp;$D164&amp;"|"&amp;N$14&amp;"|"&amp;"CY2020Q4",Spectrum!$Q:$Q,0)),0),"")</f>
        <v/>
      </c>
      <c r="O164" s="123" t="str">
        <f aca="false">_xlfn.IFNA(INDEX(Spectrum!$P:$P,MATCH(RIGHT($B164,13)&amp;"|"&amp;$C164&amp;"|"&amp;$D164&amp;"|"&amp;N$14&amp;"|"&amp;"CY2020Q4",Spectrum!$Q:$Q,0)),"")</f>
        <v/>
      </c>
      <c r="P164" s="115" t="n">
        <f aca="false">_xlfn.IFNA(ROUND(INDEX(Spectrum!$N:$N,MATCH(RIGHT($B164,13)&amp;"|"&amp;$C164&amp;"|"&amp;$D164&amp;"|"&amp;P$14&amp;"|"&amp;"CY2021Q3",Spectrum!$Q:$Q,0)),0),"")</f>
        <v>94</v>
      </c>
      <c r="Q164" s="123" t="n">
        <f aca="false">_xlfn.IFNA(INDEX(Spectrum!$P:$P,MATCH(RIGHT($B164,13)&amp;"|"&amp;$C164&amp;"|"&amp;$D164&amp;"|"&amp;P$14&amp;"|"&amp;"CY2021Q3",Spectrum!$Q:$Q,0)),"")</f>
        <v>43</v>
      </c>
      <c r="R164" s="115"/>
      <c r="S164" s="123" t="str">
        <f aca="false">IF(OR(SUM($P164)&lt;=0,SUM($R164)&lt;=0),"",SUM($R164)/$P164)</f>
        <v/>
      </c>
      <c r="T164" s="139" t="n">
        <v>33</v>
      </c>
      <c r="U164" s="124" t="n">
        <v>5</v>
      </c>
      <c r="V164" s="124" t="n">
        <f aca="false">IF($U164-$T164=0,"",$U164-$T164)</f>
        <v>-28</v>
      </c>
      <c r="W164" s="123" t="n">
        <f aca="false">IF(LEFT($B164,4)="_Mil","",IFERROR(MIN(IF(SUM($N164)&lt;=0,SUM($U164)/SUM($P164),SUM($T164)/SUM($N164)),1),""))</f>
        <v>0.0531914893617021</v>
      </c>
      <c r="X164" s="123" t="n">
        <f aca="false">$W164</f>
        <v>0.0531914893617021</v>
      </c>
      <c r="Y164" s="123" t="n">
        <f aca="false">IFERROR(1/(1/INDEX(Spectrum!$N:$N,MATCH(RIGHT($B164,13)&amp;"|"&amp;$C164&amp;"|"&amp;$D164&amp;"|"&amp;Y$14&amp;"|"&amp;"CY2021Q3",Spectrum!$Q:$Q,0))),IF(SUM($H164)=0,"",MAX(SUM($P164),SUM($U164))/SUM($H164)))</f>
        <v>0.606451612903226</v>
      </c>
      <c r="Z164" s="123" t="n">
        <f aca="false">IF(SUM($Y164)=0,"",MAX(SUM($Y164),90%))</f>
        <v>0.9</v>
      </c>
      <c r="AA164" s="115" t="n">
        <f aca="false">IF(LEFT($B164,4)="_Mil","",ROUND(MAX(SUM($U164),SUM($P164))+IF(SUM($Z164)=0,0,MAX(SUM($Z164)-SUM($Y164),0)*SUM($H164)),0))</f>
        <v>140</v>
      </c>
      <c r="AB164" s="115" t="n">
        <f aca="false">IF(SUM($AA164)=0,"",ROUND(MAX(SUM($AA164)-MAX(SUM($P164),SUM($U164)),0),0))</f>
        <v>46</v>
      </c>
      <c r="AC164" s="126" t="str">
        <f aca="false">IF($C164="&lt;01",IFERROR(ROUND(INDEX(EID!$N:$N,MATCH($B164,EID!$B:$B,0))/2,0),""),"")</f>
        <v/>
      </c>
      <c r="AD164" s="115" t="n">
        <f aca="false">IF($C164="&lt;01",IF(SUM($AC164)=0,"",ROUND(SUM($AC164)/$AG164,0)),IF(SUM($AB164)=0,"",ROUND(MAX($X164,0)*SUM($AB164),0)))</f>
        <v>2</v>
      </c>
      <c r="AE164" s="115" t="n">
        <f aca="false">IF(AND(SUM($AD164)=0,SUM($U164)=0),"",ROUND(IF($C164="&lt;01",0,SUM($U164))+SUM($AD164),0))</f>
        <v>7</v>
      </c>
      <c r="AF164" s="122" t="n">
        <f aca="false">IF($C164="&lt;01","",100%)</f>
        <v>1</v>
      </c>
      <c r="AG164" s="123" t="n">
        <f aca="false">0.98</f>
        <v>0.98</v>
      </c>
      <c r="AH164" s="123" t="n">
        <f aca="false">0.98</f>
        <v>0.98</v>
      </c>
      <c r="AI164" s="124" t="n">
        <f aca="false">IF(OR($C164="&lt;01",SUM($U164)=0),"",ROUND(SUM($U164)*(1-$AH164),0))</f>
        <v>0</v>
      </c>
      <c r="AJ164" s="124" t="n">
        <f aca="false">IF(AND(SUM($AE164)=0,SUM($U164)=0),"",IF($C164="&lt;01",SUM($AD164),SUM($AE164) - ROUND(SUM($U164)*$AH164,0)))</f>
        <v>2</v>
      </c>
      <c r="AK164" s="124" t="n">
        <v>27</v>
      </c>
      <c r="AL164" s="124" t="n">
        <v>42</v>
      </c>
      <c r="AM164" s="115" t="n">
        <f aca="false">IF(AND(SUM($AD164)=0,SUM($U164)=0),"",IF($C164="&lt;01",SUM($AD164),ROUND(ROUND(SUM($AJ164)*$AF164,0)/$AG164,0)))</f>
        <v>2</v>
      </c>
      <c r="AN164" s="122" t="n">
        <f aca="false">0.7</f>
        <v>0.7</v>
      </c>
      <c r="AO164" s="123" t="n">
        <f aca="false">1</f>
        <v>1</v>
      </c>
      <c r="AP164" s="115" t="n">
        <f aca="false">IF(AND(SUM($U164)=0,SUM($AM164)=0),"",ROUND((SUM($AM164)*$AN164+IF($C164="&lt;01",0,$U164))*$AO164,0))</f>
        <v>6</v>
      </c>
      <c r="AQ164" s="122" t="n">
        <v>39</v>
      </c>
      <c r="AR164" s="123" t="n">
        <f aca="false">0.95</f>
        <v>0.95</v>
      </c>
      <c r="AS164" s="123" t="n">
        <f aca="false">0.95</f>
        <v>0.95</v>
      </c>
      <c r="AT164" s="115" t="n">
        <f aca="false">IF(SUM($AP164)=0,"",ROUND(SUM($AP164)*$AR164,0))</f>
        <v>6</v>
      </c>
      <c r="AU164" s="115" t="n">
        <f aca="false">IF(LEFT($B164,4)="_Mil","",ROUND(SUM($AA164)*SUM($AS164),0))</f>
        <v>133</v>
      </c>
      <c r="AV164" s="124" t="n">
        <f aca="false">IF(SUM($AU164)&lt;=0,"",MAX(SUM($AU164)-SUM($R164),0))</f>
        <v>133</v>
      </c>
      <c r="AW164" s="122" t="n">
        <f aca="false">0</f>
        <v>0</v>
      </c>
      <c r="AX164" s="124" t="n">
        <f aca="false">IF(SUM($AM164)=0,"",ROUND(SUM($AM164)*SUM($AW164),0))</f>
        <v>0</v>
      </c>
      <c r="AY164" s="124" t="n">
        <f aca="false">IF(SUM($AM164)=0,"",SUM($AM164)-SUM($AX164))</f>
        <v>2</v>
      </c>
      <c r="AZ164" s="123" t="n">
        <v>32</v>
      </c>
      <c r="BA164" s="123" t="n">
        <f aca="false">0.95</f>
        <v>0.95</v>
      </c>
      <c r="BB164" s="123"/>
      <c r="BC164" s="123" t="n">
        <f aca="false">IF(OR(SUM($AM164)&lt;=0,$C164="&lt;01"),"",MAX(IF(OR(SUM($Y164)&lt;70%,LEFT($B164,4)="_Mil"),30%,IF(SUM($Y164)&gt;=80%,75%,50%)),SUM($BB164)))</f>
        <v>0.3</v>
      </c>
      <c r="BD164" s="115" t="n">
        <f aca="false">IF($C164="&lt;01",IFERROR(ROUND(INDEX(EID!$M:$M,MATCH($B164,EID!$B:$B,0)),0)/2,""),IF(SUM($AY164)=0,"",ROUND(SUM($AY164)/SUM($BA164),0)))</f>
        <v>2</v>
      </c>
      <c r="BE164" s="115" t="n">
        <f aca="false">IF($C164="&lt;01","",IF(SUM($BD164)=0,"",ROUND(SUM($BD164)*SUM($BC164),0)))</f>
        <v>1</v>
      </c>
      <c r="BF164" s="115" t="str">
        <f aca="false">_xlfn.IFNA(INDEX(PMTCT!$AE:$AE,MATCH($E164,PMTCT!$E:$E,0)),"")</f>
        <v/>
      </c>
      <c r="BG164" s="115" t="str">
        <f aca="false">_xlfn.IFNA(INDEX(PMTCT!$AU:$AU,MATCH($E164,PMTCT!$E:$E,0)),"")</f>
        <v/>
      </c>
      <c r="BH164" s="115" t="n">
        <f aca="false">_xlfn.IFNA(INDEX(TB!$Q:$Q,MATCH($E164,TB!$E:$E,0)),"")</f>
        <v>0</v>
      </c>
      <c r="BI164" s="115" t="str">
        <f aca="false">_xlfn.IFNA(INDEX(VMMC!$AC:$AC,MATCH($E164,VMMC!$E:$E,0)),"")</f>
        <v/>
      </c>
      <c r="BJ164" s="115" t="str">
        <f aca="false">IF($C164="&lt;01",$BD164,"")</f>
        <v/>
      </c>
      <c r="BK164" s="115" t="n">
        <f aca="false">IF(SUM($BD164)=0,"",($BD164)-SUM($BE164:$BJ164))</f>
        <v>1</v>
      </c>
      <c r="BL164" s="123" t="n">
        <f aca="false">IF(OR(SUM($BD164)=0,SUM($BE164)=0),"",SUM($BE164)/$BD164)</f>
        <v>0.5</v>
      </c>
      <c r="BM164" s="123" t="str">
        <f aca="false">IF(OR(SUM($BD164)=0,SUM($BF164)=0),"",SUM($BF164)/$BD164)</f>
        <v/>
      </c>
      <c r="BN164" s="123" t="str">
        <f aca="false">IF(OR(SUM($BD164)=0,SUM($BG164)=0),"",SUM($BG164)/$BD164)</f>
        <v/>
      </c>
      <c r="BO164" s="123" t="str">
        <f aca="false">IF(OR(SUM($BD164)=0,SUM($BH164)=0),"",SUM($BH164)/$BD164)</f>
        <v/>
      </c>
      <c r="BP164" s="123" t="str">
        <f aca="false">IF(OR(SUM($BD164)=0,SUM($BI164)=0),"",SUM($BI164)/$BD164)</f>
        <v/>
      </c>
      <c r="BQ164" s="123" t="str">
        <f aca="false">IF(AND($C164="&lt;01",SUM($BJ164)&lt;&gt;0),$BJ164/SUM($BD164),"")</f>
        <v/>
      </c>
      <c r="BR164" s="123" t="n">
        <f aca="false">IF(OR(SUM($BD164)=0,SUM($BK164)=0),"",SUM($BK164)/$BD164)</f>
        <v>0.5</v>
      </c>
      <c r="BS164" s="122" t="n">
        <f aca="false">IF(SUM($X164)&lt;=0,"",$X164)</f>
        <v>0.0531914893617021</v>
      </c>
      <c r="BT164" s="115" t="n">
        <f aca="false">IF(LEFT($B164,4)="_Mil","",MAX(SUM($L164)+ROUND(SUM($BD164)/IF(SUM($BS164)&lt;=0,1,SUM($BS164)),0),0))</f>
        <v>127</v>
      </c>
    </row>
    <row r="165" customFormat="false" ht="15" hidden="false" customHeight="false" outlineLevel="0" collapsed="false">
      <c r="A165" s="0" t="s">
        <v>147</v>
      </c>
      <c r="B165" s="0" t="s">
        <v>105</v>
      </c>
      <c r="C165" s="0" t="s">
        <v>61</v>
      </c>
      <c r="D165" s="0" t="s">
        <v>56</v>
      </c>
      <c r="E165" s="0" t="str">
        <f aca="false">B165&amp;"|"&amp;C165&amp;"|"&amp;D165</f>
        <v>Mohale's Hoek [#SNU] [#DREAMS] [YGI7vISD2kJ]|10-14|Female</v>
      </c>
      <c r="F165" s="115" t="n">
        <f aca="false">_xlfn.IFNA(ROUND(INDEX(Spectrum!$N:$N,MATCH(RIGHT($B165,13)&amp;"|"&amp;$C165&amp;"|"&amp;$D165&amp;"|"&amp;F$14&amp;"|"&amp;"CY2021Q3",Spectrum!$Q:$Q,0)),0),"")</f>
        <v>8928</v>
      </c>
      <c r="G165" s="123" t="n">
        <f aca="false">_xlfn.IFNA(INDEX(Spectrum!$P:$P,MATCH(RIGHT($B165,13)&amp;"|"&amp;$C165&amp;"|"&amp;$D165&amp;"|"&amp;F$14&amp;"|"&amp;"CY2021Q3",Spectrum!$Q:$Q,0)),"")</f>
        <v>50</v>
      </c>
      <c r="H165" s="115" t="n">
        <f aca="false">_xlfn.IFNA(ROUND(INDEX(Spectrum!$N:$N,MATCH(RIGHT($B165,13)&amp;"|"&amp;$C165&amp;"|"&amp;$D165&amp;"|"&amp;H$14&amp;"|"&amp;"CY2021Q3",Spectrum!$Q:$Q,0)),0),"")</f>
        <v>261</v>
      </c>
      <c r="I165" s="123" t="n">
        <f aca="false">_xlfn.IFNA(INDEX(Spectrum!$P:$P,MATCH(RIGHT($B165,13)&amp;"|"&amp;$C165&amp;"|"&amp;$D165&amp;"|"&amp;H$14&amp;"|"&amp;"CY2021Q3",Spectrum!$Q:$Q,0)),"")</f>
        <v>39</v>
      </c>
      <c r="J165" s="117" t="n">
        <f aca="false">_xlfn.IFNA(INDEX(Spectrum!$N:$N,MATCH(RIGHT($B165,13)&amp;"|"&amp;$C165&amp;"|"&amp;$D165&amp;"|"&amp;J$14&amp;"|"&amp;"CY2021Q3",Spectrum!$Q:$Q,0)),"")</f>
        <v>0.029204</v>
      </c>
      <c r="K165" s="123" t="n">
        <f aca="false">_xlfn.IFNA(INDEX(Spectrum!$P:$P,MATCH(RIGHT($B165,13)&amp;"|"&amp;$C165&amp;"|"&amp;$D165&amp;"|"&amp;J$14&amp;"|"&amp;"CY2021Q3",Spectrum!$Q:$Q,0)),"")</f>
        <v>50</v>
      </c>
      <c r="L165" s="115" t="n">
        <f aca="false">_xlfn.IFNA(ROUND(INDEX(Spectrum!$N:$N,MATCH(RIGHT($B165,13)&amp;"|"&amp;$C165&amp;"|"&amp;$D165&amp;"|"&amp;L$14&amp;"|"&amp;"CY2021Q3",Spectrum!$Q:$Q,0)),0),"")</f>
        <v>175</v>
      </c>
      <c r="M165" s="123" t="n">
        <f aca="false">IF(OR(SUM($H165)&lt;=0,SUM($L165)&lt;=0),"",SUM($L165)/$H165)</f>
        <v>0.670498084291188</v>
      </c>
      <c r="N165" s="115" t="str">
        <f aca="false">_xlfn.IFNA(ROUND(INDEX(Spectrum!$N:$N,MATCH(RIGHT($B165,13)&amp;"|"&amp;$C165&amp;"|"&amp;$D165&amp;"|"&amp;N$14&amp;"|"&amp;"CY2020Q4",Spectrum!$Q:$Q,0)),0),"")</f>
        <v/>
      </c>
      <c r="O165" s="123" t="str">
        <f aca="false">_xlfn.IFNA(INDEX(Spectrum!$P:$P,MATCH(RIGHT($B165,13)&amp;"|"&amp;$C165&amp;"|"&amp;$D165&amp;"|"&amp;N$14&amp;"|"&amp;"CY2020Q4",Spectrum!$Q:$Q,0)),"")</f>
        <v/>
      </c>
      <c r="P165" s="115" t="n">
        <f aca="false">_xlfn.IFNA(ROUND(INDEX(Spectrum!$N:$N,MATCH(RIGHT($B165,13)&amp;"|"&amp;$C165&amp;"|"&amp;$D165&amp;"|"&amp;P$14&amp;"|"&amp;"CY2021Q3",Spectrum!$Q:$Q,0)),0),"")</f>
        <v>196</v>
      </c>
      <c r="Q165" s="123" t="n">
        <f aca="false">_xlfn.IFNA(INDEX(Spectrum!$P:$P,MATCH(RIGHT($B165,13)&amp;"|"&amp;$C165&amp;"|"&amp;$D165&amp;"|"&amp;P$14&amp;"|"&amp;"CY2021Q3",Spectrum!$Q:$Q,0)),"")</f>
        <v>7</v>
      </c>
      <c r="R165" s="115"/>
      <c r="S165" s="123" t="str">
        <f aca="false">IF(OR(SUM($P165)&lt;=0,SUM($R165)&lt;=0),"",SUM($R165)/$P165)</f>
        <v/>
      </c>
      <c r="T165" s="139" t="n">
        <v>47</v>
      </c>
      <c r="U165" s="124" t="n">
        <v>23</v>
      </c>
      <c r="V165" s="124" t="n">
        <f aca="false">IF($U165-$T165=0,"",$U165-$T165)</f>
        <v>-24</v>
      </c>
      <c r="W165" s="123" t="n">
        <f aca="false">IF(LEFT($B165,4)="_Mil","",IFERROR(MIN(IF(SUM($N165)&lt;=0,SUM($U165)/SUM($P165),SUM($T165)/SUM($N165)),1),""))</f>
        <v>0.11734693877551</v>
      </c>
      <c r="X165" s="123" t="n">
        <f aca="false">$W165</f>
        <v>0.11734693877551</v>
      </c>
      <c r="Y165" s="123" t="n">
        <f aca="false">IFERROR(1/(1/INDEX(Spectrum!$N:$N,MATCH(RIGHT($B165,13)&amp;"|"&amp;$C165&amp;"|"&amp;$D165&amp;"|"&amp;Y$14&amp;"|"&amp;"CY2021Q3",Spectrum!$Q:$Q,0))),IF(SUM($H165)=0,"",MAX(SUM($P165),SUM($U165))/SUM($H165)))</f>
        <v>0.75095785440613</v>
      </c>
      <c r="Z165" s="123" t="n">
        <f aca="false">IF(SUM($Y165)=0,"",MAX(SUM($Y165),90%))</f>
        <v>0.9</v>
      </c>
      <c r="AA165" s="115" t="n">
        <f aca="false">IF(LEFT($B165,4)="_Mil","",ROUND(MAX(SUM($U165),SUM($P165))+IF(SUM($Z165)=0,0,MAX(SUM($Z165)-SUM($Y165),0)*SUM($H165)),0))</f>
        <v>235</v>
      </c>
      <c r="AB165" s="115" t="n">
        <f aca="false">IF(SUM($AA165)=0,"",ROUND(MAX(SUM($AA165)-MAX(SUM($P165),SUM($U165)),0),0))</f>
        <v>39</v>
      </c>
      <c r="AC165" s="126" t="str">
        <f aca="false">IF($C165="&lt;01",IFERROR(ROUND(INDEX(EID!$N:$N,MATCH($B165,EID!$B:$B,0))/2,0),""),"")</f>
        <v/>
      </c>
      <c r="AD165" s="115" t="n">
        <f aca="false">IF($C165="&lt;01",IF(SUM($AC165)=0,"",ROUND(SUM($AC165)/$AG165,0)),IF(SUM($AB165)=0,"",ROUND(MAX($X165,0)*SUM($AB165),0)))</f>
        <v>5</v>
      </c>
      <c r="AE165" s="115" t="n">
        <f aca="false">IF(AND(SUM($AD165)=0,SUM($U165)=0),"",ROUND(IF($C165="&lt;01",0,SUM($U165))+SUM($AD165),0))</f>
        <v>28</v>
      </c>
      <c r="AF165" s="122" t="n">
        <f aca="false">IF($C165="&lt;01","",100%)</f>
        <v>1</v>
      </c>
      <c r="AG165" s="123" t="n">
        <f aca="false">0.98</f>
        <v>0.98</v>
      </c>
      <c r="AH165" s="123" t="n">
        <f aca="false">0.98</f>
        <v>0.98</v>
      </c>
      <c r="AI165" s="124" t="n">
        <f aca="false">IF(OR($C165="&lt;01",SUM($U165)=0),"",ROUND(SUM($U165)*(1-$AH165),0))</f>
        <v>0</v>
      </c>
      <c r="AJ165" s="124" t="n">
        <f aca="false">IF(AND(SUM($AE165)=0,SUM($U165)=0),"",IF($C165="&lt;01",SUM($AD165),SUM($AE165) - ROUND(SUM($U165)*$AH165,0)))</f>
        <v>5</v>
      </c>
      <c r="AK165" s="124" t="n">
        <v>50</v>
      </c>
      <c r="AL165" s="124" t="n">
        <v>16</v>
      </c>
      <c r="AM165" s="115" t="n">
        <f aca="false">IF(AND(SUM($AD165)=0,SUM($U165)=0),"",IF($C165="&lt;01",SUM($AD165),ROUND(ROUND(SUM($AJ165)*$AF165,0)/$AG165,0)))</f>
        <v>5</v>
      </c>
      <c r="AN165" s="122" t="n">
        <f aca="false">0.7</f>
        <v>0.7</v>
      </c>
      <c r="AO165" s="123" t="n">
        <f aca="false">1</f>
        <v>1</v>
      </c>
      <c r="AP165" s="115" t="n">
        <f aca="false">IF(AND(SUM($U165)=0,SUM($AM165)=0),"",ROUND((SUM($AM165)*$AN165+IF($C165="&lt;01",0,$U165))*$AO165,0))</f>
        <v>27</v>
      </c>
      <c r="AQ165" s="122" t="n">
        <v>19</v>
      </c>
      <c r="AR165" s="123" t="n">
        <f aca="false">0.95</f>
        <v>0.95</v>
      </c>
      <c r="AS165" s="123" t="n">
        <f aca="false">0.95</f>
        <v>0.95</v>
      </c>
      <c r="AT165" s="115" t="n">
        <f aca="false">IF(SUM($AP165)=0,"",ROUND(SUM($AP165)*$AR165,0))</f>
        <v>26</v>
      </c>
      <c r="AU165" s="115" t="n">
        <f aca="false">IF(LEFT($B165,4)="_Mil","",ROUND(SUM($AA165)*SUM($AS165),0))</f>
        <v>223</v>
      </c>
      <c r="AV165" s="124" t="n">
        <f aca="false">IF(SUM($AU165)&lt;=0,"",MAX(SUM($AU165)-SUM($R165),0))</f>
        <v>223</v>
      </c>
      <c r="AW165" s="122" t="n">
        <f aca="false">0</f>
        <v>0</v>
      </c>
      <c r="AX165" s="124" t="n">
        <f aca="false">IF(SUM($AM165)=0,"",ROUND(SUM($AM165)*SUM($AW165),0))</f>
        <v>0</v>
      </c>
      <c r="AY165" s="124" t="n">
        <f aca="false">IF(SUM($AM165)=0,"",SUM($AM165)-SUM($AX165))</f>
        <v>5</v>
      </c>
      <c r="AZ165" s="123" t="n">
        <v>23</v>
      </c>
      <c r="BA165" s="123" t="n">
        <f aca="false">0.95</f>
        <v>0.95</v>
      </c>
      <c r="BB165" s="123"/>
      <c r="BC165" s="123" t="n">
        <f aca="false">IF(OR(SUM($AM165)&lt;=0,$C165="&lt;01"),"",MAX(IF(OR(SUM($Y165)&lt;70%,LEFT($B165,4)="_Mil"),30%,IF(SUM($Y165)&gt;=80%,75%,50%)),SUM($BB165)))</f>
        <v>0.5</v>
      </c>
      <c r="BD165" s="115" t="n">
        <f aca="false">IF($C165="&lt;01",IFERROR(ROUND(INDEX(EID!$M:$M,MATCH($B165,EID!$B:$B,0)),0)/2,""),IF(SUM($AY165)=0,"",ROUND(SUM($AY165)/SUM($BA165),0)))</f>
        <v>5</v>
      </c>
      <c r="BE165" s="115" t="n">
        <f aca="false">IF($C165="&lt;01","",IF(SUM($BD165)=0,"",ROUND(SUM($BD165)*SUM($BC165),0)))</f>
        <v>3</v>
      </c>
      <c r="BF165" s="115" t="n">
        <f aca="false">_xlfn.IFNA(INDEX(PMTCT!$AE:$AE,MATCH($E165,PMTCT!$E:$E,0)),"")</f>
        <v>-0</v>
      </c>
      <c r="BG165" s="115" t="str">
        <f aca="false">_xlfn.IFNA(INDEX(PMTCT!$AU:$AU,MATCH($E165,PMTCT!$E:$E,0)),"")</f>
        <v/>
      </c>
      <c r="BH165" s="115" t="n">
        <f aca="false">_xlfn.IFNA(INDEX(TB!$Q:$Q,MATCH($E165,TB!$E:$E,0)),"")</f>
        <v>0</v>
      </c>
      <c r="BI165" s="115" t="str">
        <f aca="false">_xlfn.IFNA(INDEX(VMMC!$AC:$AC,MATCH($E165,VMMC!$E:$E,0)),"")</f>
        <v/>
      </c>
      <c r="BJ165" s="115" t="str">
        <f aca="false">IF($C165="&lt;01",$BD165,"")</f>
        <v/>
      </c>
      <c r="BK165" s="115" t="n">
        <f aca="false">IF(SUM($BD165)=0,"",($BD165)-SUM($BE165:$BJ165))</f>
        <v>2</v>
      </c>
      <c r="BL165" s="123" t="n">
        <f aca="false">IF(OR(SUM($BD165)=0,SUM($BE165)=0),"",SUM($BE165)/$BD165)</f>
        <v>0.6</v>
      </c>
      <c r="BM165" s="123" t="str">
        <f aca="false">IF(OR(SUM($BD165)=0,SUM($BF165)=0),"",SUM($BF165)/$BD165)</f>
        <v/>
      </c>
      <c r="BN165" s="123" t="str">
        <f aca="false">IF(OR(SUM($BD165)=0,SUM($BG165)=0),"",SUM($BG165)/$BD165)</f>
        <v/>
      </c>
      <c r="BO165" s="123" t="str">
        <f aca="false">IF(OR(SUM($BD165)=0,SUM($BH165)=0),"",SUM($BH165)/$BD165)</f>
        <v/>
      </c>
      <c r="BP165" s="123" t="str">
        <f aca="false">IF(OR(SUM($BD165)=0,SUM($BI165)=0),"",SUM($BI165)/$BD165)</f>
        <v/>
      </c>
      <c r="BQ165" s="123" t="str">
        <f aca="false">IF(AND($C165="&lt;01",SUM($BJ165)&lt;&gt;0),$BJ165/SUM($BD165),"")</f>
        <v/>
      </c>
      <c r="BR165" s="123" t="n">
        <f aca="false">IF(OR(SUM($BD165)=0,SUM($BK165)=0),"",SUM($BK165)/$BD165)</f>
        <v>0.4</v>
      </c>
      <c r="BS165" s="122" t="n">
        <f aca="false">IF(SUM($X165)&lt;=0,"",$X165)</f>
        <v>0.11734693877551</v>
      </c>
      <c r="BT165" s="115" t="n">
        <f aca="false">IF(LEFT($B165,4)="_Mil","",MAX(SUM($L165)+ROUND(SUM($BD165)/IF(SUM($BS165)&lt;=0,1,SUM($BS165)),0),0))</f>
        <v>218</v>
      </c>
    </row>
    <row r="166" customFormat="false" ht="15" hidden="false" customHeight="false" outlineLevel="0" collapsed="false">
      <c r="A166" s="0" t="s">
        <v>147</v>
      </c>
      <c r="B166" s="0" t="s">
        <v>105</v>
      </c>
      <c r="C166" s="0" t="s">
        <v>61</v>
      </c>
      <c r="D166" s="0" t="s">
        <v>58</v>
      </c>
      <c r="E166" s="0" t="str">
        <f aca="false">B166&amp;"|"&amp;C166&amp;"|"&amp;D166</f>
        <v>Mohale's Hoek [#SNU] [#DREAMS] [YGI7vISD2kJ]|10-14|Male</v>
      </c>
      <c r="F166" s="115" t="n">
        <f aca="false">_xlfn.IFNA(ROUND(INDEX(Spectrum!$N:$N,MATCH(RIGHT($B166,13)&amp;"|"&amp;$C166&amp;"|"&amp;$D166&amp;"|"&amp;F$14&amp;"|"&amp;"CY2021Q3",Spectrum!$Q:$Q,0)),0),"")</f>
        <v>8753</v>
      </c>
      <c r="G166" s="123" t="n">
        <f aca="false">_xlfn.IFNA(INDEX(Spectrum!$P:$P,MATCH(RIGHT($B166,13)&amp;"|"&amp;$C166&amp;"|"&amp;$D166&amp;"|"&amp;F$14&amp;"|"&amp;"CY2021Q3",Spectrum!$Q:$Q,0)),"")</f>
        <v>18</v>
      </c>
      <c r="H166" s="115" t="n">
        <f aca="false">_xlfn.IFNA(ROUND(INDEX(Spectrum!$N:$N,MATCH(RIGHT($B166,13)&amp;"|"&amp;$C166&amp;"|"&amp;$D166&amp;"|"&amp;H$14&amp;"|"&amp;"CY2021Q3",Spectrum!$Q:$Q,0)),0),"")</f>
        <v>263</v>
      </c>
      <c r="I166" s="123" t="n">
        <f aca="false">_xlfn.IFNA(INDEX(Spectrum!$P:$P,MATCH(RIGHT($B166,13)&amp;"|"&amp;$C166&amp;"|"&amp;$D166&amp;"|"&amp;H$14&amp;"|"&amp;"CY2021Q3",Spectrum!$Q:$Q,0)),"")</f>
        <v>13</v>
      </c>
      <c r="J166" s="117" t="n">
        <f aca="false">_xlfn.IFNA(INDEX(Spectrum!$N:$N,MATCH(RIGHT($B166,13)&amp;"|"&amp;$C166&amp;"|"&amp;$D166&amp;"|"&amp;J$14&amp;"|"&amp;"CY2021Q3",Spectrum!$Q:$Q,0)),"")</f>
        <v>0.0300597</v>
      </c>
      <c r="K166" s="123" t="n">
        <f aca="false">_xlfn.IFNA(INDEX(Spectrum!$P:$P,MATCH(RIGHT($B166,13)&amp;"|"&amp;$C166&amp;"|"&amp;$D166&amp;"|"&amp;J$14&amp;"|"&amp;"CY2021Q3",Spectrum!$Q:$Q,0)),"")</f>
        <v>46</v>
      </c>
      <c r="L166" s="115" t="n">
        <f aca="false">_xlfn.IFNA(ROUND(INDEX(Spectrum!$N:$N,MATCH(RIGHT($B166,13)&amp;"|"&amp;$C166&amp;"|"&amp;$D166&amp;"|"&amp;L$14&amp;"|"&amp;"CY2021Q3",Spectrum!$Q:$Q,0)),0),"")</f>
        <v>178</v>
      </c>
      <c r="M166" s="123" t="n">
        <f aca="false">IF(OR(SUM($H166)&lt;=0,SUM($L166)&lt;=0),"",SUM($L166)/$H166)</f>
        <v>0.67680608365019</v>
      </c>
      <c r="N166" s="115" t="str">
        <f aca="false">_xlfn.IFNA(ROUND(INDEX(Spectrum!$N:$N,MATCH(RIGHT($B166,13)&amp;"|"&amp;$C166&amp;"|"&amp;$D166&amp;"|"&amp;N$14&amp;"|"&amp;"CY2020Q4",Spectrum!$Q:$Q,0)),0),"")</f>
        <v/>
      </c>
      <c r="O166" s="123" t="str">
        <f aca="false">_xlfn.IFNA(INDEX(Spectrum!$P:$P,MATCH(RIGHT($B166,13)&amp;"|"&amp;$C166&amp;"|"&amp;$D166&amp;"|"&amp;N$14&amp;"|"&amp;"CY2020Q4",Spectrum!$Q:$Q,0)),"")</f>
        <v/>
      </c>
      <c r="P166" s="115" t="n">
        <f aca="false">_xlfn.IFNA(ROUND(INDEX(Spectrum!$N:$N,MATCH(RIGHT($B166,13)&amp;"|"&amp;$C166&amp;"|"&amp;$D166&amp;"|"&amp;P$14&amp;"|"&amp;"CY2021Q3",Spectrum!$Q:$Q,0)),0),"")</f>
        <v>201</v>
      </c>
      <c r="Q166" s="123" t="n">
        <f aca="false">_xlfn.IFNA(INDEX(Spectrum!$P:$P,MATCH(RIGHT($B166,13)&amp;"|"&amp;$C166&amp;"|"&amp;$D166&amp;"|"&amp;P$14&amp;"|"&amp;"CY2021Q3",Spectrum!$Q:$Q,0)),"")</f>
        <v>22</v>
      </c>
      <c r="R166" s="115"/>
      <c r="S166" s="123" t="str">
        <f aca="false">IF(OR(SUM($P166)&lt;=0,SUM($R166)&lt;=0),"",SUM($R166)/$P166)</f>
        <v/>
      </c>
      <c r="T166" s="139" t="n">
        <v>0</v>
      </c>
      <c r="U166" s="124" t="n">
        <v>46</v>
      </c>
      <c r="V166" s="124" t="n">
        <f aca="false">IF($U166-$T166=0,"",$U166-$T166)</f>
        <v>46</v>
      </c>
      <c r="W166" s="123" t="n">
        <f aca="false">IF(LEFT($B166,4)="_Mil","",IFERROR(MIN(IF(SUM($N166)&lt;=0,SUM($U166)/SUM($P166),SUM($T166)/SUM($N166)),1),""))</f>
        <v>0.228855721393035</v>
      </c>
      <c r="X166" s="123" t="n">
        <f aca="false">$W166</f>
        <v>0.228855721393035</v>
      </c>
      <c r="Y166" s="123" t="n">
        <f aca="false">IFERROR(1/(1/INDEX(Spectrum!$N:$N,MATCH(RIGHT($B166,13)&amp;"|"&amp;$C166&amp;"|"&amp;$D166&amp;"|"&amp;Y$14&amp;"|"&amp;"CY2021Q3",Spectrum!$Q:$Q,0))),IF(SUM($H166)=0,"",MAX(SUM($P166),SUM($U166))/SUM($H166)))</f>
        <v>0.76425855513308</v>
      </c>
      <c r="Z166" s="123" t="n">
        <f aca="false">IF(SUM($Y166)=0,"",MAX(SUM($Y166),90%))</f>
        <v>0.9</v>
      </c>
      <c r="AA166" s="115" t="n">
        <f aca="false">IF(LEFT($B166,4)="_Mil","",ROUND(MAX(SUM($U166),SUM($P166))+IF(SUM($Z166)=0,0,MAX(SUM($Z166)-SUM($Y166),0)*SUM($H166)),0))</f>
        <v>237</v>
      </c>
      <c r="AB166" s="115" t="n">
        <f aca="false">IF(SUM($AA166)=0,"",ROUND(MAX(SUM($AA166)-MAX(SUM($P166),SUM($U166)),0),0))</f>
        <v>36</v>
      </c>
      <c r="AC166" s="126" t="str">
        <f aca="false">IF($C166="&lt;01",IFERROR(ROUND(INDEX(EID!$N:$N,MATCH($B166,EID!$B:$B,0))/2,0),""),"")</f>
        <v/>
      </c>
      <c r="AD166" s="115" t="n">
        <f aca="false">IF($C166="&lt;01",IF(SUM($AC166)=0,"",ROUND(SUM($AC166)/$AG166,0)),IF(SUM($AB166)=0,"",ROUND(MAX($X166,0)*SUM($AB166),0)))</f>
        <v>8</v>
      </c>
      <c r="AE166" s="115" t="n">
        <f aca="false">IF(AND(SUM($AD166)=0,SUM($U166)=0),"",ROUND(IF($C166="&lt;01",0,SUM($U166))+SUM($AD166),0))</f>
        <v>54</v>
      </c>
      <c r="AF166" s="122" t="n">
        <f aca="false">IF($C166="&lt;01","",100%)</f>
        <v>1</v>
      </c>
      <c r="AG166" s="123" t="n">
        <f aca="false">0.98</f>
        <v>0.98</v>
      </c>
      <c r="AH166" s="123" t="n">
        <f aca="false">0.98</f>
        <v>0.98</v>
      </c>
      <c r="AI166" s="124" t="n">
        <f aca="false">IF(OR($C166="&lt;01",SUM($U166)=0),"",ROUND(SUM($U166)*(1-$AH166),0))</f>
        <v>1</v>
      </c>
      <c r="AJ166" s="124" t="n">
        <f aca="false">IF(AND(SUM($AE166)=0,SUM($U166)=0),"",IF($C166="&lt;01",SUM($AD166),SUM($AE166) - ROUND(SUM($U166)*$AH166,0)))</f>
        <v>9</v>
      </c>
      <c r="AK166" s="124" t="n">
        <v>40</v>
      </c>
      <c r="AL166" s="124" t="n">
        <v>12</v>
      </c>
      <c r="AM166" s="115" t="n">
        <f aca="false">IF(AND(SUM($AD166)=0,SUM($U166)=0),"",IF($C166="&lt;01",SUM($AD166),ROUND(ROUND(SUM($AJ166)*$AF166,0)/$AG166,0)))</f>
        <v>9</v>
      </c>
      <c r="AN166" s="122" t="n">
        <f aca="false">0.7</f>
        <v>0.7</v>
      </c>
      <c r="AO166" s="123" t="n">
        <f aca="false">1</f>
        <v>1</v>
      </c>
      <c r="AP166" s="115" t="n">
        <f aca="false">IF(AND(SUM($U166)=0,SUM($AM166)=0),"",ROUND((SUM($AM166)*$AN166+IF($C166="&lt;01",0,$U166))*$AO166,0))</f>
        <v>52</v>
      </c>
      <c r="AQ166" s="122" t="n">
        <v>19</v>
      </c>
      <c r="AR166" s="123" t="n">
        <f aca="false">0.95</f>
        <v>0.95</v>
      </c>
      <c r="AS166" s="123" t="n">
        <f aca="false">0.95</f>
        <v>0.95</v>
      </c>
      <c r="AT166" s="115" t="n">
        <f aca="false">IF(SUM($AP166)=0,"",ROUND(SUM($AP166)*$AR166,0))</f>
        <v>49</v>
      </c>
      <c r="AU166" s="115" t="n">
        <f aca="false">IF(LEFT($B166,4)="_Mil","",ROUND(SUM($AA166)*SUM($AS166),0))</f>
        <v>225</v>
      </c>
      <c r="AV166" s="124" t="n">
        <f aca="false">IF(SUM($AU166)&lt;=0,"",MAX(SUM($AU166)-SUM($R166),0))</f>
        <v>225</v>
      </c>
      <c r="AW166" s="122" t="n">
        <f aca="false">0</f>
        <v>0</v>
      </c>
      <c r="AX166" s="124" t="n">
        <f aca="false">IF(SUM($AM166)=0,"",ROUND(SUM($AM166)*SUM($AW166),0))</f>
        <v>0</v>
      </c>
      <c r="AY166" s="124" t="n">
        <f aca="false">IF(SUM($AM166)=0,"",SUM($AM166)-SUM($AX166))</f>
        <v>9</v>
      </c>
      <c r="AZ166" s="123" t="n">
        <v>13</v>
      </c>
      <c r="BA166" s="123" t="n">
        <f aca="false">0.95</f>
        <v>0.95</v>
      </c>
      <c r="BB166" s="123"/>
      <c r="BC166" s="123" t="n">
        <f aca="false">IF(OR(SUM($AM166)&lt;=0,$C166="&lt;01"),"",MAX(IF(OR(SUM($Y166)&lt;70%,LEFT($B166,4)="_Mil"),30%,IF(SUM($Y166)&gt;=80%,75%,50%)),SUM($BB166)))</f>
        <v>0.5</v>
      </c>
      <c r="BD166" s="115" t="n">
        <f aca="false">IF($C166="&lt;01",IFERROR(ROUND(INDEX(EID!$M:$M,MATCH($B166,EID!$B:$B,0)),0)/2,""),IF(SUM($AY166)=0,"",ROUND(SUM($AY166)/SUM($BA166),0)))</f>
        <v>9</v>
      </c>
      <c r="BE166" s="115" t="n">
        <f aca="false">IF($C166="&lt;01","",IF(SUM($BD166)=0,"",ROUND(SUM($BD166)*SUM($BC166),0)))</f>
        <v>5</v>
      </c>
      <c r="BF166" s="115" t="str">
        <f aca="false">_xlfn.IFNA(INDEX(PMTCT!$AE:$AE,MATCH($E166,PMTCT!$E:$E,0)),"")</f>
        <v/>
      </c>
      <c r="BG166" s="115" t="str">
        <f aca="false">_xlfn.IFNA(INDEX(PMTCT!$AU:$AU,MATCH($E166,PMTCT!$E:$E,0)),"")</f>
        <v/>
      </c>
      <c r="BH166" s="115" t="n">
        <f aca="false">_xlfn.IFNA(INDEX(TB!$Q:$Q,MATCH($E166,TB!$E:$E,0)),"")</f>
        <v>-0</v>
      </c>
      <c r="BI166" s="115" t="str">
        <f aca="false">_xlfn.IFNA(INDEX(VMMC!$AC:$AC,MATCH($E166,VMMC!$E:$E,0)),"")</f>
        <v/>
      </c>
      <c r="BJ166" s="115" t="str">
        <f aca="false">IF($C166="&lt;01",$BD166,"")</f>
        <v/>
      </c>
      <c r="BK166" s="115" t="n">
        <f aca="false">IF(SUM($BD166)=0,"",($BD166)-SUM($BE166:$BJ166))</f>
        <v>4</v>
      </c>
      <c r="BL166" s="123" t="n">
        <f aca="false">IF(OR(SUM($BD166)=0,SUM($BE166)=0),"",SUM($BE166)/$BD166)</f>
        <v>0.555555555555556</v>
      </c>
      <c r="BM166" s="123" t="str">
        <f aca="false">IF(OR(SUM($BD166)=0,SUM($BF166)=0),"",SUM($BF166)/$BD166)</f>
        <v/>
      </c>
      <c r="BN166" s="123" t="str">
        <f aca="false">IF(OR(SUM($BD166)=0,SUM($BG166)=0),"",SUM($BG166)/$BD166)</f>
        <v/>
      </c>
      <c r="BO166" s="123" t="str">
        <f aca="false">IF(OR(SUM($BD166)=0,SUM($BH166)=0),"",SUM($BH166)/$BD166)</f>
        <v/>
      </c>
      <c r="BP166" s="123" t="str">
        <f aca="false">IF(OR(SUM($BD166)=0,SUM($BI166)=0),"",SUM($BI166)/$BD166)</f>
        <v/>
      </c>
      <c r="BQ166" s="123" t="str">
        <f aca="false">IF(AND($C166="&lt;01",SUM($BJ166)&lt;&gt;0),$BJ166/SUM($BD166),"")</f>
        <v/>
      </c>
      <c r="BR166" s="123" t="n">
        <f aca="false">IF(OR(SUM($BD166)=0,SUM($BK166)=0),"",SUM($BK166)/$BD166)</f>
        <v>0.444444444444444</v>
      </c>
      <c r="BS166" s="122" t="n">
        <f aca="false">IF(SUM($X166)&lt;=0,"",$X166)</f>
        <v>0.228855721393035</v>
      </c>
      <c r="BT166" s="115" t="n">
        <f aca="false">IF(LEFT($B166,4)="_Mil","",MAX(SUM($L166)+ROUND(SUM($BD166)/IF(SUM($BS166)&lt;=0,1,SUM($BS166)),0),0))</f>
        <v>217</v>
      </c>
    </row>
    <row r="167" customFormat="false" ht="15" hidden="false" customHeight="false" outlineLevel="0" collapsed="false">
      <c r="A167" s="0" t="s">
        <v>147</v>
      </c>
      <c r="B167" s="0" t="s">
        <v>105</v>
      </c>
      <c r="C167" s="0" t="s">
        <v>63</v>
      </c>
      <c r="D167" s="0" t="s">
        <v>56</v>
      </c>
      <c r="E167" s="0" t="str">
        <f aca="false">B167&amp;"|"&amp;C167&amp;"|"&amp;D167</f>
        <v>Mohale's Hoek [#SNU] [#DREAMS] [YGI7vISD2kJ]|15-19|Female</v>
      </c>
      <c r="F167" s="115" t="n">
        <f aca="false">_xlfn.IFNA(ROUND(INDEX(Spectrum!$N:$N,MATCH(RIGHT($B167,13)&amp;"|"&amp;$C167&amp;"|"&amp;$D167&amp;"|"&amp;F$14&amp;"|"&amp;"CY2021Q3",Spectrum!$Q:$Q,0)),0),"")</f>
        <v>7445</v>
      </c>
      <c r="G167" s="123" t="n">
        <f aca="false">_xlfn.IFNA(INDEX(Spectrum!$P:$P,MATCH(RIGHT($B167,13)&amp;"|"&amp;$C167&amp;"|"&amp;$D167&amp;"|"&amp;F$14&amp;"|"&amp;"CY2021Q3",Spectrum!$Q:$Q,0)),"")</f>
        <v>12</v>
      </c>
      <c r="H167" s="115" t="n">
        <f aca="false">_xlfn.IFNA(ROUND(INDEX(Spectrum!$N:$N,MATCH(RIGHT($B167,13)&amp;"|"&amp;$C167&amp;"|"&amp;$D167&amp;"|"&amp;H$14&amp;"|"&amp;"CY2021Q3",Spectrum!$Q:$Q,0)),0),"")</f>
        <v>413</v>
      </c>
      <c r="I167" s="123" t="n">
        <f aca="false">_xlfn.IFNA(INDEX(Spectrum!$P:$P,MATCH(RIGHT($B167,13)&amp;"|"&amp;$C167&amp;"|"&amp;$D167&amp;"|"&amp;H$14&amp;"|"&amp;"CY2021Q3",Spectrum!$Q:$Q,0)),"")</f>
        <v>20</v>
      </c>
      <c r="J167" s="117" t="n">
        <f aca="false">_xlfn.IFNA(INDEX(Spectrum!$N:$N,MATCH(RIGHT($B167,13)&amp;"|"&amp;$C167&amp;"|"&amp;$D167&amp;"|"&amp;J$14&amp;"|"&amp;"CY2021Q3",Spectrum!$Q:$Q,0)),"")</f>
        <v>0.0554485</v>
      </c>
      <c r="K167" s="123" t="n">
        <f aca="false">_xlfn.IFNA(INDEX(Spectrum!$P:$P,MATCH(RIGHT($B167,13)&amp;"|"&amp;$C167&amp;"|"&amp;$D167&amp;"|"&amp;J$14&amp;"|"&amp;"CY2021Q3",Spectrum!$Q:$Q,0)),"")</f>
        <v>22</v>
      </c>
      <c r="L167" s="115" t="n">
        <f aca="false">_xlfn.IFNA(ROUND(INDEX(Spectrum!$N:$N,MATCH(RIGHT($B167,13)&amp;"|"&amp;$C167&amp;"|"&amp;$D167&amp;"|"&amp;L$14&amp;"|"&amp;"CY2021Q3",Spectrum!$Q:$Q,0)),0),"")</f>
        <v>335</v>
      </c>
      <c r="M167" s="123" t="n">
        <f aca="false">IF(OR(SUM($H167)&lt;=0,SUM($L167)&lt;=0),"",SUM($L167)/$H167)</f>
        <v>0.811138014527845</v>
      </c>
      <c r="N167" s="115" t="str">
        <f aca="false">_xlfn.IFNA(ROUND(INDEX(Spectrum!$N:$N,MATCH(RIGHT($B167,13)&amp;"|"&amp;$C167&amp;"|"&amp;$D167&amp;"|"&amp;N$14&amp;"|"&amp;"CY2020Q4",Spectrum!$Q:$Q,0)),0),"")</f>
        <v/>
      </c>
      <c r="O167" s="123" t="str">
        <f aca="false">_xlfn.IFNA(INDEX(Spectrum!$P:$P,MATCH(RIGHT($B167,13)&amp;"|"&amp;$C167&amp;"|"&amp;$D167&amp;"|"&amp;N$14&amp;"|"&amp;"CY2020Q4",Spectrum!$Q:$Q,0)),"")</f>
        <v/>
      </c>
      <c r="P167" s="115" t="n">
        <f aca="false">_xlfn.IFNA(ROUND(INDEX(Spectrum!$N:$N,MATCH(RIGHT($B167,13)&amp;"|"&amp;$C167&amp;"|"&amp;$D167&amp;"|"&amp;P$14&amp;"|"&amp;"CY2021Q3",Spectrum!$Q:$Q,0)),0),"")</f>
        <v>289</v>
      </c>
      <c r="Q167" s="123" t="n">
        <f aca="false">_xlfn.IFNA(INDEX(Spectrum!$P:$P,MATCH(RIGHT($B167,13)&amp;"|"&amp;$C167&amp;"|"&amp;$D167&amp;"|"&amp;P$14&amp;"|"&amp;"CY2021Q3",Spectrum!$Q:$Q,0)),"")</f>
        <v>50</v>
      </c>
      <c r="R167" s="115"/>
      <c r="S167" s="123" t="str">
        <f aca="false">IF(OR(SUM($P167)&lt;=0,SUM($R167)&lt;=0),"",SUM($R167)/$P167)</f>
        <v/>
      </c>
      <c r="T167" s="139" t="n">
        <v>27</v>
      </c>
      <c r="U167" s="124" t="n">
        <v>23</v>
      </c>
      <c r="V167" s="124" t="n">
        <f aca="false">IF($U167-$T167=0,"",$U167-$T167)</f>
        <v>-4</v>
      </c>
      <c r="W167" s="123" t="n">
        <f aca="false">IF(LEFT($B167,4)="_Mil","",IFERROR(MIN(IF(SUM($N167)&lt;=0,SUM($U167)/SUM($P167),SUM($T167)/SUM($N167)),1),""))</f>
        <v>0.0795847750865052</v>
      </c>
      <c r="X167" s="123" t="n">
        <f aca="false">$W167</f>
        <v>0.0795847750865052</v>
      </c>
      <c r="Y167" s="123" t="n">
        <f aca="false">IFERROR(1/(1/INDEX(Spectrum!$N:$N,MATCH(RIGHT($B167,13)&amp;"|"&amp;$C167&amp;"|"&amp;$D167&amp;"|"&amp;Y$14&amp;"|"&amp;"CY2021Q3",Spectrum!$Q:$Q,0))),IF(SUM($H167)=0,"",MAX(SUM($P167),SUM($U167))/SUM($H167)))</f>
        <v>0.699757869249395</v>
      </c>
      <c r="Z167" s="123" t="n">
        <f aca="false">IF(SUM($Y167)=0,"",MAX(SUM($Y167),90%))</f>
        <v>0.9</v>
      </c>
      <c r="AA167" s="115" t="n">
        <f aca="false">IF(LEFT($B167,4)="_Mil","",ROUND(MAX(SUM($U167),SUM($P167))+IF(SUM($Z167)=0,0,MAX(SUM($Z167)-SUM($Y167),0)*SUM($H167)),0))</f>
        <v>372</v>
      </c>
      <c r="AB167" s="115" t="n">
        <f aca="false">IF(SUM($AA167)=0,"",ROUND(MAX(SUM($AA167)-MAX(SUM($P167),SUM($U167)),0),0))</f>
        <v>83</v>
      </c>
      <c r="AC167" s="126" t="str">
        <f aca="false">IF($C167="&lt;01",IFERROR(ROUND(INDEX(EID!$N:$N,MATCH($B167,EID!$B:$B,0))/2,0),""),"")</f>
        <v/>
      </c>
      <c r="AD167" s="115" t="n">
        <f aca="false">IF($C167="&lt;01",IF(SUM($AC167)=0,"",ROUND(SUM($AC167)/$AG167,0)),IF(SUM($AB167)=0,"",ROUND(MAX($X167,0)*SUM($AB167),0)))</f>
        <v>7</v>
      </c>
      <c r="AE167" s="115" t="n">
        <f aca="false">IF(AND(SUM($AD167)=0,SUM($U167)=0),"",ROUND(IF($C167="&lt;01",0,SUM($U167))+SUM($AD167),0))</f>
        <v>30</v>
      </c>
      <c r="AF167" s="122" t="n">
        <f aca="false">IF($C167="&lt;01","",100%)</f>
        <v>1</v>
      </c>
      <c r="AG167" s="123" t="n">
        <f aca="false">0.98</f>
        <v>0.98</v>
      </c>
      <c r="AH167" s="123" t="n">
        <f aca="false">0.98</f>
        <v>0.98</v>
      </c>
      <c r="AI167" s="124" t="n">
        <f aca="false">IF(OR($C167="&lt;01",SUM($U167)=0),"",ROUND(SUM($U167)*(1-$AH167),0))</f>
        <v>0</v>
      </c>
      <c r="AJ167" s="124" t="n">
        <f aca="false">IF(AND(SUM($AE167)=0,SUM($U167)=0),"",IF($C167="&lt;01",SUM($AD167),SUM($AE167) - ROUND(SUM($U167)*$AH167,0)))</f>
        <v>7</v>
      </c>
      <c r="AK167" s="124" t="n">
        <v>4</v>
      </c>
      <c r="AL167" s="124" t="n">
        <v>39</v>
      </c>
      <c r="AM167" s="115" t="n">
        <f aca="false">IF(AND(SUM($AD167)=0,SUM($U167)=0),"",IF($C167="&lt;01",SUM($AD167),ROUND(ROUND(SUM($AJ167)*$AF167,0)/$AG167,0)))</f>
        <v>7</v>
      </c>
      <c r="AN167" s="122" t="n">
        <f aca="false">0.7</f>
        <v>0.7</v>
      </c>
      <c r="AO167" s="123" t="n">
        <f aca="false">1</f>
        <v>1</v>
      </c>
      <c r="AP167" s="115" t="n">
        <f aca="false">IF(AND(SUM($U167)=0,SUM($AM167)=0),"",ROUND((SUM($AM167)*$AN167+IF($C167="&lt;01",0,$U167))*$AO167,0))</f>
        <v>28</v>
      </c>
      <c r="AQ167" s="122" t="n">
        <v>21</v>
      </c>
      <c r="AR167" s="123" t="n">
        <f aca="false">0.95</f>
        <v>0.95</v>
      </c>
      <c r="AS167" s="123" t="n">
        <f aca="false">0.95</f>
        <v>0.95</v>
      </c>
      <c r="AT167" s="115" t="n">
        <f aca="false">IF(SUM($AP167)=0,"",ROUND(SUM($AP167)*$AR167,0))</f>
        <v>27</v>
      </c>
      <c r="AU167" s="115" t="n">
        <f aca="false">IF(LEFT($B167,4)="_Mil","",ROUND(SUM($AA167)*SUM($AS167),0))</f>
        <v>353</v>
      </c>
      <c r="AV167" s="124" t="n">
        <f aca="false">IF(SUM($AU167)&lt;=0,"",MAX(SUM($AU167)-SUM($R167),0))</f>
        <v>353</v>
      </c>
      <c r="AW167" s="122" t="n">
        <f aca="false">0</f>
        <v>0</v>
      </c>
      <c r="AX167" s="124" t="n">
        <f aca="false">IF(SUM($AM167)=0,"",ROUND(SUM($AM167)*SUM($AW167),0))</f>
        <v>0</v>
      </c>
      <c r="AY167" s="124" t="n">
        <f aca="false">IF(SUM($AM167)=0,"",SUM($AM167)-SUM($AX167))</f>
        <v>7</v>
      </c>
      <c r="AZ167" s="123" t="n">
        <v>37</v>
      </c>
      <c r="BA167" s="123" t="n">
        <f aca="false">0.95</f>
        <v>0.95</v>
      </c>
      <c r="BB167" s="123"/>
      <c r="BC167" s="123" t="n">
        <f aca="false">IF(OR(SUM($AM167)&lt;=0,$C167="&lt;01"),"",MAX(IF(OR(SUM($Y167)&lt;70%,LEFT($B167,4)="_Mil"),30%,IF(SUM($Y167)&gt;=80%,75%,50%)),SUM($BB167)))</f>
        <v>0.3</v>
      </c>
      <c r="BD167" s="115" t="n">
        <f aca="false">IF($C167="&lt;01",IFERROR(ROUND(INDEX(EID!$M:$M,MATCH($B167,EID!$B:$B,0)),0)/2,""),IF(SUM($AY167)=0,"",ROUND(SUM($AY167)/SUM($BA167),0)))</f>
        <v>7</v>
      </c>
      <c r="BE167" s="115" t="n">
        <f aca="false">IF($C167="&lt;01","",IF(SUM($BD167)=0,"",ROUND(SUM($BD167)*SUM($BC167),0)))</f>
        <v>2</v>
      </c>
      <c r="BF167" s="115" t="n">
        <f aca="false">_xlfn.IFNA(INDEX(PMTCT!$AE:$AE,MATCH($E167,PMTCT!$E:$E,0)),"")</f>
        <v>-3024</v>
      </c>
      <c r="BG167" s="115" t="str">
        <f aca="false">_xlfn.IFNA(INDEX(PMTCT!$AU:$AU,MATCH($E167,PMTCT!$E:$E,0)),"")</f>
        <v/>
      </c>
      <c r="BH167" s="115" t="n">
        <f aca="false">_xlfn.IFNA(INDEX(TB!$Q:$Q,MATCH($E167,TB!$E:$E,0)),"")</f>
        <v>-0</v>
      </c>
      <c r="BI167" s="115" t="str">
        <f aca="false">_xlfn.IFNA(INDEX(VMMC!$AC:$AC,MATCH($E167,VMMC!$E:$E,0)),"")</f>
        <v/>
      </c>
      <c r="BJ167" s="115" t="str">
        <f aca="false">IF($C167="&lt;01",$BD167,"")</f>
        <v/>
      </c>
      <c r="BK167" s="115" t="n">
        <f aca="false">IF(SUM($BD167)=0,"",($BD167)-SUM($BE167:$BJ167))</f>
        <v>3029</v>
      </c>
      <c r="BL167" s="123" t="n">
        <f aca="false">IF(OR(SUM($BD167)=0,SUM($BE167)=0),"",SUM($BE167)/$BD167)</f>
        <v>0.285714285714286</v>
      </c>
      <c r="BM167" s="123" t="n">
        <f aca="false">IF(OR(SUM($BD167)=0,SUM($BF167)=0),"",SUM($BF167)/$BD167)</f>
        <v>-432</v>
      </c>
      <c r="BN167" s="123" t="str">
        <f aca="false">IF(OR(SUM($BD167)=0,SUM($BG167)=0),"",SUM($BG167)/$BD167)</f>
        <v/>
      </c>
      <c r="BO167" s="123" t="str">
        <f aca="false">IF(OR(SUM($BD167)=0,SUM($BH167)=0),"",SUM($BH167)/$BD167)</f>
        <v/>
      </c>
      <c r="BP167" s="123" t="str">
        <f aca="false">IF(OR(SUM($BD167)=0,SUM($BI167)=0),"",SUM($BI167)/$BD167)</f>
        <v/>
      </c>
      <c r="BQ167" s="123" t="str">
        <f aca="false">IF(AND($C167="&lt;01",SUM($BJ167)&lt;&gt;0),$BJ167/SUM($BD167),"")</f>
        <v/>
      </c>
      <c r="BR167" s="123" t="n">
        <f aca="false">IF(OR(SUM($BD167)=0,SUM($BK167)=0),"",SUM($BK167)/$BD167)</f>
        <v>432.714285714286</v>
      </c>
      <c r="BS167" s="122" t="n">
        <f aca="false">IF(SUM($X167)&lt;=0,"",$X167)</f>
        <v>0.0795847750865052</v>
      </c>
      <c r="BT167" s="115" t="n">
        <f aca="false">IF(LEFT($B167,4)="_Mil","",MAX(SUM($L167)+ROUND(SUM($BD167)/IF(SUM($BS167)&lt;=0,1,SUM($BS167)),0),0))</f>
        <v>423</v>
      </c>
    </row>
    <row r="168" customFormat="false" ht="15" hidden="false" customHeight="false" outlineLevel="0" collapsed="false">
      <c r="A168" s="0" t="s">
        <v>147</v>
      </c>
      <c r="B168" s="0" t="s">
        <v>105</v>
      </c>
      <c r="C168" s="0" t="s">
        <v>63</v>
      </c>
      <c r="D168" s="0" t="s">
        <v>58</v>
      </c>
      <c r="E168" s="0" t="str">
        <f aca="false">B168&amp;"|"&amp;C168&amp;"|"&amp;D168</f>
        <v>Mohale's Hoek [#SNU] [#DREAMS] [YGI7vISD2kJ]|15-19|Male</v>
      </c>
      <c r="F168" s="115" t="n">
        <f aca="false">_xlfn.IFNA(ROUND(INDEX(Spectrum!$N:$N,MATCH(RIGHT($B168,13)&amp;"|"&amp;$C168&amp;"|"&amp;$D168&amp;"|"&amp;F$14&amp;"|"&amp;"CY2021Q3",Spectrum!$Q:$Q,0)),0),"")</f>
        <v>8177</v>
      </c>
      <c r="G168" s="123" t="n">
        <f aca="false">_xlfn.IFNA(INDEX(Spectrum!$P:$P,MATCH(RIGHT($B168,13)&amp;"|"&amp;$C168&amp;"|"&amp;$D168&amp;"|"&amp;F$14&amp;"|"&amp;"CY2021Q3",Spectrum!$Q:$Q,0)),"")</f>
        <v>22</v>
      </c>
      <c r="H168" s="115" t="n">
        <f aca="false">_xlfn.IFNA(ROUND(INDEX(Spectrum!$N:$N,MATCH(RIGHT($B168,13)&amp;"|"&amp;$C168&amp;"|"&amp;$D168&amp;"|"&amp;H$14&amp;"|"&amp;"CY2021Q3",Spectrum!$Q:$Q,0)),0),"")</f>
        <v>266</v>
      </c>
      <c r="I168" s="123" t="n">
        <f aca="false">_xlfn.IFNA(INDEX(Spectrum!$P:$P,MATCH(RIGHT($B168,13)&amp;"|"&amp;$C168&amp;"|"&amp;$D168&amp;"|"&amp;H$14&amp;"|"&amp;"CY2021Q3",Spectrum!$Q:$Q,0)),"")</f>
        <v>6</v>
      </c>
      <c r="J168" s="117" t="n">
        <f aca="false">_xlfn.IFNA(INDEX(Spectrum!$N:$N,MATCH(RIGHT($B168,13)&amp;"|"&amp;$C168&amp;"|"&amp;$D168&amp;"|"&amp;J$14&amp;"|"&amp;"CY2021Q3",Spectrum!$Q:$Q,0)),"")</f>
        <v>0.0324753</v>
      </c>
      <c r="K168" s="123" t="n">
        <f aca="false">_xlfn.IFNA(INDEX(Spectrum!$P:$P,MATCH(RIGHT($B168,13)&amp;"|"&amp;$C168&amp;"|"&amp;$D168&amp;"|"&amp;J$14&amp;"|"&amp;"CY2021Q3",Spectrum!$Q:$Q,0)),"")</f>
        <v>12</v>
      </c>
      <c r="L168" s="115" t="n">
        <f aca="false">_xlfn.IFNA(ROUND(INDEX(Spectrum!$N:$N,MATCH(RIGHT($B168,13)&amp;"|"&amp;$C168&amp;"|"&amp;$D168&amp;"|"&amp;L$14&amp;"|"&amp;"CY2021Q3",Spectrum!$Q:$Q,0)),0),"")</f>
        <v>252</v>
      </c>
      <c r="M168" s="123" t="n">
        <f aca="false">IF(OR(SUM($H168)&lt;=0,SUM($L168)&lt;=0),"",SUM($L168)/$H168)</f>
        <v>0.947368421052632</v>
      </c>
      <c r="N168" s="115" t="str">
        <f aca="false">_xlfn.IFNA(ROUND(INDEX(Spectrum!$N:$N,MATCH(RIGHT($B168,13)&amp;"|"&amp;$C168&amp;"|"&amp;$D168&amp;"|"&amp;N$14&amp;"|"&amp;"CY2020Q4",Spectrum!$Q:$Q,0)),0),"")</f>
        <v/>
      </c>
      <c r="O168" s="123" t="str">
        <f aca="false">_xlfn.IFNA(INDEX(Spectrum!$P:$P,MATCH(RIGHT($B168,13)&amp;"|"&amp;$C168&amp;"|"&amp;$D168&amp;"|"&amp;N$14&amp;"|"&amp;"CY2020Q4",Spectrum!$Q:$Q,0)),"")</f>
        <v/>
      </c>
      <c r="P168" s="115" t="n">
        <f aca="false">_xlfn.IFNA(ROUND(INDEX(Spectrum!$N:$N,MATCH(RIGHT($B168,13)&amp;"|"&amp;$C168&amp;"|"&amp;$D168&amp;"|"&amp;P$14&amp;"|"&amp;"CY2021Q3",Spectrum!$Q:$Q,0)),0),"")</f>
        <v>224</v>
      </c>
      <c r="Q168" s="123" t="n">
        <f aca="false">_xlfn.IFNA(INDEX(Spectrum!$P:$P,MATCH(RIGHT($B168,13)&amp;"|"&amp;$C168&amp;"|"&amp;$D168&amp;"|"&amp;P$14&amp;"|"&amp;"CY2021Q3",Spectrum!$Q:$Q,0)),"")</f>
        <v>15</v>
      </c>
      <c r="R168" s="115"/>
      <c r="S168" s="123" t="str">
        <f aca="false">IF(OR(SUM($P168)&lt;=0,SUM($R168)&lt;=0),"",SUM($R168)/$P168)</f>
        <v/>
      </c>
      <c r="T168" s="139" t="n">
        <v>32</v>
      </c>
      <c r="U168" s="124" t="n">
        <v>14</v>
      </c>
      <c r="V168" s="124" t="n">
        <f aca="false">IF($U168-$T168=0,"",$U168-$T168)</f>
        <v>-18</v>
      </c>
      <c r="W168" s="123" t="n">
        <f aca="false">IF(LEFT($B168,4)="_Mil","",IFERROR(MIN(IF(SUM($N168)&lt;=0,SUM($U168)/SUM($P168),SUM($T168)/SUM($N168)),1),""))</f>
        <v>0.0625</v>
      </c>
      <c r="X168" s="123" t="n">
        <f aca="false">$W168</f>
        <v>0.0625</v>
      </c>
      <c r="Y168" s="123" t="n">
        <f aca="false">IFERROR(1/(1/INDEX(Spectrum!$N:$N,MATCH(RIGHT($B168,13)&amp;"|"&amp;$C168&amp;"|"&amp;$D168&amp;"|"&amp;Y$14&amp;"|"&amp;"CY2021Q3",Spectrum!$Q:$Q,0))),IF(SUM($H168)=0,"",MAX(SUM($P168),SUM($U168))/SUM($H168)))</f>
        <v>0.842105263157895</v>
      </c>
      <c r="Z168" s="123" t="n">
        <f aca="false">IF(SUM($Y168)=0,"",MAX(SUM($Y168),90%))</f>
        <v>0.9</v>
      </c>
      <c r="AA168" s="115" t="n">
        <f aca="false">IF(LEFT($B168,4)="_Mil","",ROUND(MAX(SUM($U168),SUM($P168))+IF(SUM($Z168)=0,0,MAX(SUM($Z168)-SUM($Y168),0)*SUM($H168)),0))</f>
        <v>239</v>
      </c>
      <c r="AB168" s="115" t="n">
        <f aca="false">IF(SUM($AA168)=0,"",ROUND(MAX(SUM($AA168)-MAX(SUM($P168),SUM($U168)),0),0))</f>
        <v>15</v>
      </c>
      <c r="AC168" s="126" t="str">
        <f aca="false">IF($C168="&lt;01",IFERROR(ROUND(INDEX(EID!$N:$N,MATCH($B168,EID!$B:$B,0))/2,0),""),"")</f>
        <v/>
      </c>
      <c r="AD168" s="115" t="n">
        <f aca="false">IF($C168="&lt;01",IF(SUM($AC168)=0,"",ROUND(SUM($AC168)/$AG168,0)),IF(SUM($AB168)=0,"",ROUND(MAX($X168,0)*SUM($AB168),0)))</f>
        <v>1</v>
      </c>
      <c r="AE168" s="115" t="n">
        <f aca="false">IF(AND(SUM($AD168)=0,SUM($U168)=0),"",ROUND(IF($C168="&lt;01",0,SUM($U168))+SUM($AD168),0))</f>
        <v>15</v>
      </c>
      <c r="AF168" s="122" t="n">
        <f aca="false">IF($C168="&lt;01","",100%)</f>
        <v>1</v>
      </c>
      <c r="AG168" s="123" t="n">
        <f aca="false">0.98</f>
        <v>0.98</v>
      </c>
      <c r="AH168" s="123" t="n">
        <f aca="false">0.98</f>
        <v>0.98</v>
      </c>
      <c r="AI168" s="124" t="n">
        <f aca="false">IF(OR($C168="&lt;01",SUM($U168)=0),"",ROUND(SUM($U168)*(1-$AH168),0))</f>
        <v>0</v>
      </c>
      <c r="AJ168" s="124" t="n">
        <f aca="false">IF(AND(SUM($AE168)=0,SUM($U168)=0),"",IF($C168="&lt;01",SUM($AD168),SUM($AE168) - ROUND(SUM($U168)*$AH168,0)))</f>
        <v>1</v>
      </c>
      <c r="AK168" s="124" t="n">
        <v>12</v>
      </c>
      <c r="AL168" s="124" t="n">
        <v>7</v>
      </c>
      <c r="AM168" s="115" t="n">
        <f aca="false">IF(AND(SUM($AD168)=0,SUM($U168)=0),"",IF($C168="&lt;01",SUM($AD168),ROUND(ROUND(SUM($AJ168)*$AF168,0)/$AG168,0)))</f>
        <v>1</v>
      </c>
      <c r="AN168" s="122" t="n">
        <f aca="false">0.7</f>
        <v>0.7</v>
      </c>
      <c r="AO168" s="123" t="n">
        <f aca="false">1</f>
        <v>1</v>
      </c>
      <c r="AP168" s="115" t="n">
        <f aca="false">IF(AND(SUM($U168)=0,SUM($AM168)=0),"",ROUND((SUM($AM168)*$AN168+IF($C168="&lt;01",0,$U168))*$AO168,0))</f>
        <v>15</v>
      </c>
      <c r="AQ168" s="122" t="n">
        <v>48</v>
      </c>
      <c r="AR168" s="123" t="n">
        <f aca="false">0.95</f>
        <v>0.95</v>
      </c>
      <c r="AS168" s="123" t="n">
        <f aca="false">0.95</f>
        <v>0.95</v>
      </c>
      <c r="AT168" s="115" t="n">
        <f aca="false">IF(SUM($AP168)=0,"",ROUND(SUM($AP168)*$AR168,0))</f>
        <v>14</v>
      </c>
      <c r="AU168" s="115" t="n">
        <f aca="false">IF(LEFT($B168,4)="_Mil","",ROUND(SUM($AA168)*SUM($AS168),0))</f>
        <v>227</v>
      </c>
      <c r="AV168" s="124" t="n">
        <f aca="false">IF(SUM($AU168)&lt;=0,"",MAX(SUM($AU168)-SUM($R168),0))</f>
        <v>227</v>
      </c>
      <c r="AW168" s="122" t="n">
        <f aca="false">0</f>
        <v>0</v>
      </c>
      <c r="AX168" s="124" t="n">
        <f aca="false">IF(SUM($AM168)=0,"",ROUND(SUM($AM168)*SUM($AW168),0))</f>
        <v>0</v>
      </c>
      <c r="AY168" s="124" t="n">
        <f aca="false">IF(SUM($AM168)=0,"",SUM($AM168)-SUM($AX168))</f>
        <v>1</v>
      </c>
      <c r="AZ168" s="123" t="n">
        <v>33</v>
      </c>
      <c r="BA168" s="123" t="n">
        <f aca="false">0.95</f>
        <v>0.95</v>
      </c>
      <c r="BB168" s="123"/>
      <c r="BC168" s="123" t="n">
        <f aca="false">IF(OR(SUM($AM168)&lt;=0,$C168="&lt;01"),"",MAX(IF(OR(SUM($Y168)&lt;70%,LEFT($B168,4)="_Mil"),30%,IF(SUM($Y168)&gt;=80%,75%,50%)),SUM($BB168)))</f>
        <v>0.75</v>
      </c>
      <c r="BD168" s="115" t="n">
        <f aca="false">IF($C168="&lt;01",IFERROR(ROUND(INDEX(EID!$M:$M,MATCH($B168,EID!$B:$B,0)),0)/2,""),IF(SUM($AY168)=0,"",ROUND(SUM($AY168)/SUM($BA168),0)))</f>
        <v>1</v>
      </c>
      <c r="BE168" s="115" t="n">
        <f aca="false">IF($C168="&lt;01","",IF(SUM($BD168)=0,"",ROUND(SUM($BD168)*SUM($BC168),0)))</f>
        <v>1</v>
      </c>
      <c r="BF168" s="115" t="str">
        <f aca="false">_xlfn.IFNA(INDEX(PMTCT!$AE:$AE,MATCH($E168,PMTCT!$E:$E,0)),"")</f>
        <v/>
      </c>
      <c r="BG168" s="115" t="str">
        <f aca="false">_xlfn.IFNA(INDEX(PMTCT!$AU:$AU,MATCH($E168,PMTCT!$E:$E,0)),"")</f>
        <v/>
      </c>
      <c r="BH168" s="115" t="n">
        <f aca="false">_xlfn.IFNA(INDEX(TB!$Q:$Q,MATCH($E168,TB!$E:$E,0)),"")</f>
        <v>-0</v>
      </c>
      <c r="BI168" s="115" t="str">
        <f aca="false">_xlfn.IFNA(INDEX(VMMC!$AC:$AC,MATCH($E168,VMMC!$E:$E,0)),"")</f>
        <v/>
      </c>
      <c r="BJ168" s="115" t="str">
        <f aca="false">IF($C168="&lt;01",$BD168,"")</f>
        <v/>
      </c>
      <c r="BK168" s="115" t="n">
        <f aca="false">IF(SUM($BD168)=0,"",($BD168)-SUM($BE168:$BJ168))</f>
        <v>0</v>
      </c>
      <c r="BL168" s="123" t="n">
        <f aca="false">IF(OR(SUM($BD168)=0,SUM($BE168)=0),"",SUM($BE168)/$BD168)</f>
        <v>1</v>
      </c>
      <c r="BM168" s="123" t="str">
        <f aca="false">IF(OR(SUM($BD168)=0,SUM($BF168)=0),"",SUM($BF168)/$BD168)</f>
        <v/>
      </c>
      <c r="BN168" s="123" t="str">
        <f aca="false">IF(OR(SUM($BD168)=0,SUM($BG168)=0),"",SUM($BG168)/$BD168)</f>
        <v/>
      </c>
      <c r="BO168" s="123" t="str">
        <f aca="false">IF(OR(SUM($BD168)=0,SUM($BH168)=0),"",SUM($BH168)/$BD168)</f>
        <v/>
      </c>
      <c r="BP168" s="123" t="str">
        <f aca="false">IF(OR(SUM($BD168)=0,SUM($BI168)=0),"",SUM($BI168)/$BD168)</f>
        <v/>
      </c>
      <c r="BQ168" s="123" t="str">
        <f aca="false">IF(AND($C168="&lt;01",SUM($BJ168)&lt;&gt;0),$BJ168/SUM($BD168),"")</f>
        <v/>
      </c>
      <c r="BR168" s="123" t="str">
        <f aca="false">IF(OR(SUM($BD168)=0,SUM($BK168)=0),"",SUM($BK168)/$BD168)</f>
        <v/>
      </c>
      <c r="BS168" s="122" t="n">
        <f aca="false">IF(SUM($X168)&lt;=0,"",$X168)</f>
        <v>0.0625</v>
      </c>
      <c r="BT168" s="115" t="n">
        <f aca="false">IF(LEFT($B168,4)="_Mil","",MAX(SUM($L168)+ROUND(SUM($BD168)/IF(SUM($BS168)&lt;=0,1,SUM($BS168)),0),0))</f>
        <v>268</v>
      </c>
    </row>
    <row r="169" customFormat="false" ht="15" hidden="false" customHeight="false" outlineLevel="0" collapsed="false">
      <c r="A169" s="0" t="s">
        <v>147</v>
      </c>
      <c r="B169" s="0" t="s">
        <v>105</v>
      </c>
      <c r="C169" s="0" t="s">
        <v>66</v>
      </c>
      <c r="D169" s="0" t="s">
        <v>56</v>
      </c>
      <c r="E169" s="0" t="str">
        <f aca="false">B169&amp;"|"&amp;C169&amp;"|"&amp;D169</f>
        <v>Mohale's Hoek [#SNU] [#DREAMS] [YGI7vISD2kJ]|20-24|Female</v>
      </c>
      <c r="F169" s="115" t="n">
        <f aca="false">_xlfn.IFNA(ROUND(INDEX(Spectrum!$N:$N,MATCH(RIGHT($B169,13)&amp;"|"&amp;$C169&amp;"|"&amp;$D169&amp;"|"&amp;F$14&amp;"|"&amp;"CY2021Q3",Spectrum!$Q:$Q,0)),0),"")</f>
        <v>7079</v>
      </c>
      <c r="G169" s="123" t="n">
        <f aca="false">_xlfn.IFNA(INDEX(Spectrum!$P:$P,MATCH(RIGHT($B169,13)&amp;"|"&amp;$C169&amp;"|"&amp;$D169&amp;"|"&amp;F$14&amp;"|"&amp;"CY2021Q3",Spectrum!$Q:$Q,0)),"")</f>
        <v>22</v>
      </c>
      <c r="H169" s="115" t="n">
        <f aca="false">_xlfn.IFNA(ROUND(INDEX(Spectrum!$N:$N,MATCH(RIGHT($B169,13)&amp;"|"&amp;$C169&amp;"|"&amp;$D169&amp;"|"&amp;H$14&amp;"|"&amp;"CY2021Q3",Spectrum!$Q:$Q,0)),0),"")</f>
        <v>1047</v>
      </c>
      <c r="I169" s="123" t="n">
        <f aca="false">_xlfn.IFNA(INDEX(Spectrum!$P:$P,MATCH(RIGHT($B169,13)&amp;"|"&amp;$C169&amp;"|"&amp;$D169&amp;"|"&amp;H$14&amp;"|"&amp;"CY2021Q3",Spectrum!$Q:$Q,0)),"")</f>
        <v>35</v>
      </c>
      <c r="J169" s="117" t="n">
        <f aca="false">_xlfn.IFNA(INDEX(Spectrum!$N:$N,MATCH(RIGHT($B169,13)&amp;"|"&amp;$C169&amp;"|"&amp;$D169&amp;"|"&amp;J$14&amp;"|"&amp;"CY2021Q3",Spectrum!$Q:$Q,0)),"")</f>
        <v>0.147954</v>
      </c>
      <c r="K169" s="123" t="n">
        <f aca="false">_xlfn.IFNA(INDEX(Spectrum!$P:$P,MATCH(RIGHT($B169,13)&amp;"|"&amp;$C169&amp;"|"&amp;$D169&amp;"|"&amp;J$14&amp;"|"&amp;"CY2021Q3",Spectrum!$Q:$Q,0)),"")</f>
        <v>45</v>
      </c>
      <c r="L169" s="115" t="n">
        <f aca="false">_xlfn.IFNA(ROUND(INDEX(Spectrum!$N:$N,MATCH(RIGHT($B169,13)&amp;"|"&amp;$C169&amp;"|"&amp;$D169&amp;"|"&amp;L$14&amp;"|"&amp;"CY2021Q3",Spectrum!$Q:$Q,0)),0),"")</f>
        <v>776</v>
      </c>
      <c r="M169" s="123" t="n">
        <f aca="false">IF(OR(SUM($H169)&lt;=0,SUM($L169)&lt;=0),"",SUM($L169)/$H169)</f>
        <v>0.74116523400191</v>
      </c>
      <c r="N169" s="115" t="str">
        <f aca="false">_xlfn.IFNA(ROUND(INDEX(Spectrum!$N:$N,MATCH(RIGHT($B169,13)&amp;"|"&amp;$C169&amp;"|"&amp;$D169&amp;"|"&amp;N$14&amp;"|"&amp;"CY2020Q4",Spectrum!$Q:$Q,0)),0),"")</f>
        <v/>
      </c>
      <c r="O169" s="123" t="str">
        <f aca="false">_xlfn.IFNA(INDEX(Spectrum!$P:$P,MATCH(RIGHT($B169,13)&amp;"|"&amp;$C169&amp;"|"&amp;$D169&amp;"|"&amp;N$14&amp;"|"&amp;"CY2020Q4",Spectrum!$Q:$Q,0)),"")</f>
        <v/>
      </c>
      <c r="P169" s="115" t="n">
        <f aca="false">_xlfn.IFNA(ROUND(INDEX(Spectrum!$N:$N,MATCH(RIGHT($B169,13)&amp;"|"&amp;$C169&amp;"|"&amp;$D169&amp;"|"&amp;P$14&amp;"|"&amp;"CY2021Q3",Spectrum!$Q:$Q,0)),0),"")</f>
        <v>643</v>
      </c>
      <c r="Q169" s="123" t="n">
        <f aca="false">_xlfn.IFNA(INDEX(Spectrum!$P:$P,MATCH(RIGHT($B169,13)&amp;"|"&amp;$C169&amp;"|"&amp;$D169&amp;"|"&amp;P$14&amp;"|"&amp;"CY2021Q3",Spectrum!$Q:$Q,0)),"")</f>
        <v>46</v>
      </c>
      <c r="R169" s="115"/>
      <c r="S169" s="123" t="str">
        <f aca="false">IF(OR(SUM($P169)&lt;=0,SUM($R169)&lt;=0),"",SUM($R169)/$P169)</f>
        <v/>
      </c>
      <c r="T169" s="139" t="n">
        <v>2</v>
      </c>
      <c r="U169" s="124" t="n">
        <v>28</v>
      </c>
      <c r="V169" s="124" t="n">
        <f aca="false">IF($U169-$T169=0,"",$U169-$T169)</f>
        <v>26</v>
      </c>
      <c r="W169" s="123" t="n">
        <f aca="false">IF(LEFT($B169,4)="_Mil","",IFERROR(MIN(IF(SUM($N169)&lt;=0,SUM($U169)/SUM($P169),SUM($T169)/SUM($N169)),1),""))</f>
        <v>0.0435458786936236</v>
      </c>
      <c r="X169" s="123" t="n">
        <f aca="false">$W169</f>
        <v>0.0435458786936236</v>
      </c>
      <c r="Y169" s="123" t="n">
        <f aca="false">IFERROR(1/(1/INDEX(Spectrum!$N:$N,MATCH(RIGHT($B169,13)&amp;"|"&amp;$C169&amp;"|"&amp;$D169&amp;"|"&amp;Y$14&amp;"|"&amp;"CY2021Q3",Spectrum!$Q:$Q,0))),IF(SUM($H169)=0,"",MAX(SUM($P169),SUM($U169))/SUM($H169)))</f>
        <v>0.614135625596944</v>
      </c>
      <c r="Z169" s="123" t="n">
        <f aca="false">IF(SUM($Y169)=0,"",MAX(SUM($Y169),90%))</f>
        <v>0.9</v>
      </c>
      <c r="AA169" s="115" t="n">
        <f aca="false">IF(LEFT($B169,4)="_Mil","",ROUND(MAX(SUM($U169),SUM($P169))+IF(SUM($Z169)=0,0,MAX(SUM($Z169)-SUM($Y169),0)*SUM($H169)),0))</f>
        <v>942</v>
      </c>
      <c r="AB169" s="115" t="n">
        <f aca="false">IF(SUM($AA169)=0,"",ROUND(MAX(SUM($AA169)-MAX(SUM($P169),SUM($U169)),0),0))</f>
        <v>299</v>
      </c>
      <c r="AC169" s="126" t="str">
        <f aca="false">IF($C169="&lt;01",IFERROR(ROUND(INDEX(EID!$N:$N,MATCH($B169,EID!$B:$B,0))/2,0),""),"")</f>
        <v/>
      </c>
      <c r="AD169" s="115" t="n">
        <f aca="false">IF($C169="&lt;01",IF(SUM($AC169)=0,"",ROUND(SUM($AC169)/$AG169,0)),IF(SUM($AB169)=0,"",ROUND(MAX($X169,0)*SUM($AB169),0)))</f>
        <v>13</v>
      </c>
      <c r="AE169" s="115" t="n">
        <f aca="false">IF(AND(SUM($AD169)=0,SUM($U169)=0),"",ROUND(IF($C169="&lt;01",0,SUM($U169))+SUM($AD169),0))</f>
        <v>41</v>
      </c>
      <c r="AF169" s="122" t="n">
        <f aca="false">IF($C169="&lt;01","",100%)</f>
        <v>1</v>
      </c>
      <c r="AG169" s="123" t="n">
        <f aca="false">0.98</f>
        <v>0.98</v>
      </c>
      <c r="AH169" s="123" t="n">
        <f aca="false">0.98</f>
        <v>0.98</v>
      </c>
      <c r="AI169" s="124" t="n">
        <f aca="false">IF(OR($C169="&lt;01",SUM($U169)=0),"",ROUND(SUM($U169)*(1-$AH169),0))</f>
        <v>1</v>
      </c>
      <c r="AJ169" s="124" t="n">
        <f aca="false">IF(AND(SUM($AE169)=0,SUM($U169)=0),"",IF($C169="&lt;01",SUM($AD169),SUM($AE169) - ROUND(SUM($U169)*$AH169,0)))</f>
        <v>14</v>
      </c>
      <c r="AK169" s="124" t="n">
        <v>49</v>
      </c>
      <c r="AL169" s="124" t="n">
        <v>17</v>
      </c>
      <c r="AM169" s="115" t="n">
        <f aca="false">IF(AND(SUM($AD169)=0,SUM($U169)=0),"",IF($C169="&lt;01",SUM($AD169),ROUND(ROUND(SUM($AJ169)*$AF169,0)/$AG169,0)))</f>
        <v>14</v>
      </c>
      <c r="AN169" s="122" t="n">
        <f aca="false">0.7</f>
        <v>0.7</v>
      </c>
      <c r="AO169" s="123" t="n">
        <f aca="false">1</f>
        <v>1</v>
      </c>
      <c r="AP169" s="115" t="n">
        <f aca="false">IF(AND(SUM($U169)=0,SUM($AM169)=0),"",ROUND((SUM($AM169)*$AN169+IF($C169="&lt;01",0,$U169))*$AO169,0))</f>
        <v>38</v>
      </c>
      <c r="AQ169" s="122" t="n">
        <v>22</v>
      </c>
      <c r="AR169" s="123" t="n">
        <f aca="false">0.95</f>
        <v>0.95</v>
      </c>
      <c r="AS169" s="123" t="n">
        <f aca="false">0.95</f>
        <v>0.95</v>
      </c>
      <c r="AT169" s="115" t="n">
        <f aca="false">IF(SUM($AP169)=0,"",ROUND(SUM($AP169)*$AR169,0))</f>
        <v>36</v>
      </c>
      <c r="AU169" s="115" t="n">
        <f aca="false">IF(LEFT($B169,4)="_Mil","",ROUND(SUM($AA169)*SUM($AS169),0))</f>
        <v>895</v>
      </c>
      <c r="AV169" s="124" t="n">
        <f aca="false">IF(SUM($AU169)&lt;=0,"",MAX(SUM($AU169)-SUM($R169),0))</f>
        <v>895</v>
      </c>
      <c r="AW169" s="122" t="n">
        <f aca="false">0</f>
        <v>0</v>
      </c>
      <c r="AX169" s="124" t="n">
        <f aca="false">IF(SUM($AM169)=0,"",ROUND(SUM($AM169)*SUM($AW169),0))</f>
        <v>0</v>
      </c>
      <c r="AY169" s="124" t="n">
        <f aca="false">IF(SUM($AM169)=0,"",SUM($AM169)-SUM($AX169))</f>
        <v>14</v>
      </c>
      <c r="AZ169" s="123" t="n">
        <v>45</v>
      </c>
      <c r="BA169" s="123" t="n">
        <f aca="false">0.95</f>
        <v>0.95</v>
      </c>
      <c r="BB169" s="123"/>
      <c r="BC169" s="123" t="n">
        <f aca="false">IF(OR(SUM($AM169)&lt;=0,$C169="&lt;01"),"",MAX(IF(OR(SUM($Y169)&lt;70%,LEFT($B169,4)="_Mil"),30%,IF(SUM($Y169)&gt;=80%,75%,50%)),SUM($BB169)))</f>
        <v>0.3</v>
      </c>
      <c r="BD169" s="115" t="n">
        <f aca="false">IF($C169="&lt;01",IFERROR(ROUND(INDEX(EID!$M:$M,MATCH($B169,EID!$B:$B,0)),0)/2,""),IF(SUM($AY169)=0,"",ROUND(SUM($AY169)/SUM($BA169),0)))</f>
        <v>15</v>
      </c>
      <c r="BE169" s="115" t="n">
        <f aca="false">IF($C169="&lt;01","",IF(SUM($BD169)=0,"",ROUND(SUM($BD169)*SUM($BC169),0)))</f>
        <v>5</v>
      </c>
      <c r="BF169" s="115" t="n">
        <f aca="false">_xlfn.IFNA(INDEX(PMTCT!$AE:$AE,MATCH($E169,PMTCT!$E:$E,0)),"")</f>
        <v>-5355</v>
      </c>
      <c r="BG169" s="115" t="str">
        <f aca="false">_xlfn.IFNA(INDEX(PMTCT!$AU:$AU,MATCH($E169,PMTCT!$E:$E,0)),"")</f>
        <v/>
      </c>
      <c r="BH169" s="115" t="n">
        <f aca="false">_xlfn.IFNA(INDEX(TB!$Q:$Q,MATCH($E169,TB!$E:$E,0)),"")</f>
        <v>-0</v>
      </c>
      <c r="BI169" s="115" t="str">
        <f aca="false">_xlfn.IFNA(INDEX(VMMC!$AC:$AC,MATCH($E169,VMMC!$E:$E,0)),"")</f>
        <v/>
      </c>
      <c r="BJ169" s="115" t="str">
        <f aca="false">IF($C169="&lt;01",$BD169,"")</f>
        <v/>
      </c>
      <c r="BK169" s="115" t="n">
        <f aca="false">IF(SUM($BD169)=0,"",($BD169)-SUM($BE169:$BJ169))</f>
        <v>5365</v>
      </c>
      <c r="BL169" s="123" t="n">
        <f aca="false">IF(OR(SUM($BD169)=0,SUM($BE169)=0),"",SUM($BE169)/$BD169)</f>
        <v>0.333333333333333</v>
      </c>
      <c r="BM169" s="123" t="n">
        <f aca="false">IF(OR(SUM($BD169)=0,SUM($BF169)=0),"",SUM($BF169)/$BD169)</f>
        <v>-357</v>
      </c>
      <c r="BN169" s="123" t="str">
        <f aca="false">IF(OR(SUM($BD169)=0,SUM($BG169)=0),"",SUM($BG169)/$BD169)</f>
        <v/>
      </c>
      <c r="BO169" s="123" t="str">
        <f aca="false">IF(OR(SUM($BD169)=0,SUM($BH169)=0),"",SUM($BH169)/$BD169)</f>
        <v/>
      </c>
      <c r="BP169" s="123" t="str">
        <f aca="false">IF(OR(SUM($BD169)=0,SUM($BI169)=0),"",SUM($BI169)/$BD169)</f>
        <v/>
      </c>
      <c r="BQ169" s="123" t="str">
        <f aca="false">IF(AND($C169="&lt;01",SUM($BJ169)&lt;&gt;0),$BJ169/SUM($BD169),"")</f>
        <v/>
      </c>
      <c r="BR169" s="123" t="n">
        <f aca="false">IF(OR(SUM($BD169)=0,SUM($BK169)=0),"",SUM($BK169)/$BD169)</f>
        <v>357.666666666667</v>
      </c>
      <c r="BS169" s="122" t="n">
        <f aca="false">IF(SUM($X169)&lt;=0,"",$X169)</f>
        <v>0.0435458786936236</v>
      </c>
      <c r="BT169" s="115" t="n">
        <f aca="false">IF(LEFT($B169,4)="_Mil","",MAX(SUM($L169)+ROUND(SUM($BD169)/IF(SUM($BS169)&lt;=0,1,SUM($BS169)),0),0))</f>
        <v>1120</v>
      </c>
    </row>
    <row r="170" customFormat="false" ht="15" hidden="false" customHeight="false" outlineLevel="0" collapsed="false">
      <c r="A170" s="0" t="s">
        <v>147</v>
      </c>
      <c r="B170" s="0" t="s">
        <v>105</v>
      </c>
      <c r="C170" s="0" t="s">
        <v>66</v>
      </c>
      <c r="D170" s="0" t="s">
        <v>58</v>
      </c>
      <c r="E170" s="0" t="str">
        <f aca="false">B170&amp;"|"&amp;C170&amp;"|"&amp;D170</f>
        <v>Mohale's Hoek [#SNU] [#DREAMS] [YGI7vISD2kJ]|20-24|Male</v>
      </c>
      <c r="F170" s="115" t="n">
        <f aca="false">_xlfn.IFNA(ROUND(INDEX(Spectrum!$N:$N,MATCH(RIGHT($B170,13)&amp;"|"&amp;$C170&amp;"|"&amp;$D170&amp;"|"&amp;F$14&amp;"|"&amp;"CY2021Q3",Spectrum!$Q:$Q,0)),0),"")</f>
        <v>7344</v>
      </c>
      <c r="G170" s="123" t="n">
        <f aca="false">_xlfn.IFNA(INDEX(Spectrum!$P:$P,MATCH(RIGHT($B170,13)&amp;"|"&amp;$C170&amp;"|"&amp;$D170&amp;"|"&amp;F$14&amp;"|"&amp;"CY2021Q3",Spectrum!$Q:$Q,0)),"")</f>
        <v>20</v>
      </c>
      <c r="H170" s="115" t="n">
        <f aca="false">_xlfn.IFNA(ROUND(INDEX(Spectrum!$N:$N,MATCH(RIGHT($B170,13)&amp;"|"&amp;$C170&amp;"|"&amp;$D170&amp;"|"&amp;H$14&amp;"|"&amp;"CY2021Q3",Spectrum!$Q:$Q,0)),0),"")</f>
        <v>416</v>
      </c>
      <c r="I170" s="123" t="n">
        <f aca="false">_xlfn.IFNA(INDEX(Spectrum!$P:$P,MATCH(RIGHT($B170,13)&amp;"|"&amp;$C170&amp;"|"&amp;$D170&amp;"|"&amp;H$14&amp;"|"&amp;"CY2021Q3",Spectrum!$Q:$Q,0)),"")</f>
        <v>6</v>
      </c>
      <c r="J170" s="117" t="n">
        <f aca="false">_xlfn.IFNA(INDEX(Spectrum!$N:$N,MATCH(RIGHT($B170,13)&amp;"|"&amp;$C170&amp;"|"&amp;$D170&amp;"|"&amp;J$14&amp;"|"&amp;"CY2021Q3",Spectrum!$Q:$Q,0)),"")</f>
        <v>0.0566988</v>
      </c>
      <c r="K170" s="123" t="n">
        <f aca="false">_xlfn.IFNA(INDEX(Spectrum!$P:$P,MATCH(RIGHT($B170,13)&amp;"|"&amp;$C170&amp;"|"&amp;$D170&amp;"|"&amp;J$14&amp;"|"&amp;"CY2021Q3",Spectrum!$Q:$Q,0)),"")</f>
        <v>5</v>
      </c>
      <c r="L170" s="115" t="n">
        <f aca="false">_xlfn.IFNA(ROUND(INDEX(Spectrum!$N:$N,MATCH(RIGHT($B170,13)&amp;"|"&amp;$C170&amp;"|"&amp;$D170&amp;"|"&amp;L$14&amp;"|"&amp;"CY2021Q3",Spectrum!$Q:$Q,0)),0),"")</f>
        <v>304</v>
      </c>
      <c r="M170" s="123" t="n">
        <f aca="false">IF(OR(SUM($H170)&lt;=0,SUM($L170)&lt;=0),"",SUM($L170)/$H170)</f>
        <v>0.730769230769231</v>
      </c>
      <c r="N170" s="115" t="str">
        <f aca="false">_xlfn.IFNA(ROUND(INDEX(Spectrum!$N:$N,MATCH(RIGHT($B170,13)&amp;"|"&amp;$C170&amp;"|"&amp;$D170&amp;"|"&amp;N$14&amp;"|"&amp;"CY2020Q4",Spectrum!$Q:$Q,0)),0),"")</f>
        <v/>
      </c>
      <c r="O170" s="123" t="str">
        <f aca="false">_xlfn.IFNA(INDEX(Spectrum!$P:$P,MATCH(RIGHT($B170,13)&amp;"|"&amp;$C170&amp;"|"&amp;$D170&amp;"|"&amp;N$14&amp;"|"&amp;"CY2020Q4",Spectrum!$Q:$Q,0)),"")</f>
        <v/>
      </c>
      <c r="P170" s="115" t="n">
        <f aca="false">_xlfn.IFNA(ROUND(INDEX(Spectrum!$N:$N,MATCH(RIGHT($B170,13)&amp;"|"&amp;$C170&amp;"|"&amp;$D170&amp;"|"&amp;P$14&amp;"|"&amp;"CY2021Q3",Spectrum!$Q:$Q,0)),0),"")</f>
        <v>223</v>
      </c>
      <c r="Q170" s="123" t="n">
        <f aca="false">_xlfn.IFNA(INDEX(Spectrum!$P:$P,MATCH(RIGHT($B170,13)&amp;"|"&amp;$C170&amp;"|"&amp;$D170&amp;"|"&amp;P$14&amp;"|"&amp;"CY2021Q3",Spectrum!$Q:$Q,0)),"")</f>
        <v>12</v>
      </c>
      <c r="R170" s="115"/>
      <c r="S170" s="123" t="str">
        <f aca="false">IF(OR(SUM($P170)&lt;=0,SUM($R170)&lt;=0),"",SUM($R170)/$P170)</f>
        <v/>
      </c>
      <c r="T170" s="139" t="n">
        <v>41</v>
      </c>
      <c r="U170" s="124" t="n">
        <v>43</v>
      </c>
      <c r="V170" s="124" t="n">
        <f aca="false">IF($U170-$T170=0,"",$U170-$T170)</f>
        <v>2</v>
      </c>
      <c r="W170" s="123" t="n">
        <f aca="false">IF(LEFT($B170,4)="_Mil","",IFERROR(MIN(IF(SUM($N170)&lt;=0,SUM($U170)/SUM($P170),SUM($T170)/SUM($N170)),1),""))</f>
        <v>0.192825112107623</v>
      </c>
      <c r="X170" s="123" t="n">
        <f aca="false">$W170</f>
        <v>0.192825112107623</v>
      </c>
      <c r="Y170" s="123" t="n">
        <f aca="false">IFERROR(1/(1/INDEX(Spectrum!$N:$N,MATCH(RIGHT($B170,13)&amp;"|"&amp;$C170&amp;"|"&amp;$D170&amp;"|"&amp;Y$14&amp;"|"&amp;"CY2021Q3",Spectrum!$Q:$Q,0))),IF(SUM($H170)=0,"",MAX(SUM($P170),SUM($U170))/SUM($H170)))</f>
        <v>0.536057692307692</v>
      </c>
      <c r="Z170" s="123" t="n">
        <f aca="false">IF(SUM($Y170)=0,"",MAX(SUM($Y170),90%))</f>
        <v>0.9</v>
      </c>
      <c r="AA170" s="115" t="n">
        <f aca="false">IF(LEFT($B170,4)="_Mil","",ROUND(MAX(SUM($U170),SUM($P170))+IF(SUM($Z170)=0,0,MAX(SUM($Z170)-SUM($Y170),0)*SUM($H170)),0))</f>
        <v>374</v>
      </c>
      <c r="AB170" s="115" t="n">
        <f aca="false">IF(SUM($AA170)=0,"",ROUND(MAX(SUM($AA170)-MAX(SUM($P170),SUM($U170)),0),0))</f>
        <v>151</v>
      </c>
      <c r="AC170" s="126" t="str">
        <f aca="false">IF($C170="&lt;01",IFERROR(ROUND(INDEX(EID!$N:$N,MATCH($B170,EID!$B:$B,0))/2,0),""),"")</f>
        <v/>
      </c>
      <c r="AD170" s="115" t="n">
        <f aca="false">IF($C170="&lt;01",IF(SUM($AC170)=0,"",ROUND(SUM($AC170)/$AG170,0)),IF(SUM($AB170)=0,"",ROUND(MAX($X170,0)*SUM($AB170),0)))</f>
        <v>29</v>
      </c>
      <c r="AE170" s="115" t="n">
        <f aca="false">IF(AND(SUM($AD170)=0,SUM($U170)=0),"",ROUND(IF($C170="&lt;01",0,SUM($U170))+SUM($AD170),0))</f>
        <v>72</v>
      </c>
      <c r="AF170" s="122" t="n">
        <f aca="false">IF($C170="&lt;01","",100%)</f>
        <v>1</v>
      </c>
      <c r="AG170" s="123" t="n">
        <f aca="false">0.98</f>
        <v>0.98</v>
      </c>
      <c r="AH170" s="123" t="n">
        <f aca="false">0.98</f>
        <v>0.98</v>
      </c>
      <c r="AI170" s="124" t="n">
        <f aca="false">IF(OR($C170="&lt;01",SUM($U170)=0),"",ROUND(SUM($U170)*(1-$AH170),0))</f>
        <v>1</v>
      </c>
      <c r="AJ170" s="124" t="n">
        <f aca="false">IF(AND(SUM($AE170)=0,SUM($U170)=0),"",IF($C170="&lt;01",SUM($AD170),SUM($AE170) - ROUND(SUM($U170)*$AH170,0)))</f>
        <v>30</v>
      </c>
      <c r="AK170" s="124" t="n">
        <v>28</v>
      </c>
      <c r="AL170" s="124" t="n">
        <v>32</v>
      </c>
      <c r="AM170" s="115" t="n">
        <f aca="false">IF(AND(SUM($AD170)=0,SUM($U170)=0),"",IF($C170="&lt;01",SUM($AD170),ROUND(ROUND(SUM($AJ170)*$AF170,0)/$AG170,0)))</f>
        <v>31</v>
      </c>
      <c r="AN170" s="122" t="n">
        <f aca="false">0.7</f>
        <v>0.7</v>
      </c>
      <c r="AO170" s="123" t="n">
        <f aca="false">1</f>
        <v>1</v>
      </c>
      <c r="AP170" s="115" t="n">
        <f aca="false">IF(AND(SUM($U170)=0,SUM($AM170)=0),"",ROUND((SUM($AM170)*$AN170+IF($C170="&lt;01",0,$U170))*$AO170,0))</f>
        <v>65</v>
      </c>
      <c r="AQ170" s="122" t="n">
        <v>39</v>
      </c>
      <c r="AR170" s="123" t="n">
        <f aca="false">0.95</f>
        <v>0.95</v>
      </c>
      <c r="AS170" s="123" t="n">
        <f aca="false">0.95</f>
        <v>0.95</v>
      </c>
      <c r="AT170" s="115" t="n">
        <f aca="false">IF(SUM($AP170)=0,"",ROUND(SUM($AP170)*$AR170,0))</f>
        <v>62</v>
      </c>
      <c r="AU170" s="115" t="n">
        <f aca="false">IF(LEFT($B170,4)="_Mil","",ROUND(SUM($AA170)*SUM($AS170),0))</f>
        <v>355</v>
      </c>
      <c r="AV170" s="124" t="n">
        <f aca="false">IF(SUM($AU170)&lt;=0,"",MAX(SUM($AU170)-SUM($R170),0))</f>
        <v>355</v>
      </c>
      <c r="AW170" s="122" t="n">
        <f aca="false">0</f>
        <v>0</v>
      </c>
      <c r="AX170" s="124" t="n">
        <f aca="false">IF(SUM($AM170)=0,"",ROUND(SUM($AM170)*SUM($AW170),0))</f>
        <v>0</v>
      </c>
      <c r="AY170" s="124" t="n">
        <f aca="false">IF(SUM($AM170)=0,"",SUM($AM170)-SUM($AX170))</f>
        <v>31</v>
      </c>
      <c r="AZ170" s="123" t="n">
        <v>19</v>
      </c>
      <c r="BA170" s="123" t="n">
        <f aca="false">0.95</f>
        <v>0.95</v>
      </c>
      <c r="BB170" s="123"/>
      <c r="BC170" s="123" t="n">
        <f aca="false">IF(OR(SUM($AM170)&lt;=0,$C170="&lt;01"),"",MAX(IF(OR(SUM($Y170)&lt;70%,LEFT($B170,4)="_Mil"),30%,IF(SUM($Y170)&gt;=80%,75%,50%)),SUM($BB170)))</f>
        <v>0.3</v>
      </c>
      <c r="BD170" s="115" t="n">
        <f aca="false">IF($C170="&lt;01",IFERROR(ROUND(INDEX(EID!$M:$M,MATCH($B170,EID!$B:$B,0)),0)/2,""),IF(SUM($AY170)=0,"",ROUND(SUM($AY170)/SUM($BA170),0)))</f>
        <v>33</v>
      </c>
      <c r="BE170" s="115" t="n">
        <f aca="false">IF($C170="&lt;01","",IF(SUM($BD170)=0,"",ROUND(SUM($BD170)*SUM($BC170),0)))</f>
        <v>10</v>
      </c>
      <c r="BF170" s="115" t="str">
        <f aca="false">_xlfn.IFNA(INDEX(PMTCT!$AE:$AE,MATCH($E170,PMTCT!$E:$E,0)),"")</f>
        <v/>
      </c>
      <c r="BG170" s="115" t="str">
        <f aca="false">_xlfn.IFNA(INDEX(PMTCT!$AU:$AU,MATCH($E170,PMTCT!$E:$E,0)),"")</f>
        <v/>
      </c>
      <c r="BH170" s="115" t="n">
        <f aca="false">_xlfn.IFNA(INDEX(TB!$Q:$Q,MATCH($E170,TB!$E:$E,0)),"")</f>
        <v>1000</v>
      </c>
      <c r="BI170" s="115" t="str">
        <f aca="false">_xlfn.IFNA(INDEX(VMMC!$AC:$AC,MATCH($E170,VMMC!$E:$E,0)),"")</f>
        <v/>
      </c>
      <c r="BJ170" s="115" t="str">
        <f aca="false">IF($C170="&lt;01",$BD170,"")</f>
        <v/>
      </c>
      <c r="BK170" s="115" t="n">
        <f aca="false">IF(SUM($BD170)=0,"",($BD170)-SUM($BE170:$BJ170))</f>
        <v>-977</v>
      </c>
      <c r="BL170" s="123" t="n">
        <f aca="false">IF(OR(SUM($BD170)=0,SUM($BE170)=0),"",SUM($BE170)/$BD170)</f>
        <v>0.303030303030303</v>
      </c>
      <c r="BM170" s="123" t="str">
        <f aca="false">IF(OR(SUM($BD170)=0,SUM($BF170)=0),"",SUM($BF170)/$BD170)</f>
        <v/>
      </c>
      <c r="BN170" s="123" t="str">
        <f aca="false">IF(OR(SUM($BD170)=0,SUM($BG170)=0),"",SUM($BG170)/$BD170)</f>
        <v/>
      </c>
      <c r="BO170" s="123" t="n">
        <f aca="false">IF(OR(SUM($BD170)=0,SUM($BH170)=0),"",SUM($BH170)/$BD170)</f>
        <v>30.3030303030303</v>
      </c>
      <c r="BP170" s="123" t="str">
        <f aca="false">IF(OR(SUM($BD170)=0,SUM($BI170)=0),"",SUM($BI170)/$BD170)</f>
        <v/>
      </c>
      <c r="BQ170" s="123" t="str">
        <f aca="false">IF(AND($C170="&lt;01",SUM($BJ170)&lt;&gt;0),$BJ170/SUM($BD170),"")</f>
        <v/>
      </c>
      <c r="BR170" s="123" t="n">
        <f aca="false">IF(OR(SUM($BD170)=0,SUM($BK170)=0),"",SUM($BK170)/$BD170)</f>
        <v>-29.6060606060606</v>
      </c>
      <c r="BS170" s="122" t="n">
        <f aca="false">IF(SUM($X170)&lt;=0,"",$X170)</f>
        <v>0.192825112107623</v>
      </c>
      <c r="BT170" s="115" t="n">
        <f aca="false">IF(LEFT($B170,4)="_Mil","",MAX(SUM($L170)+ROUND(SUM($BD170)/IF(SUM($BS170)&lt;=0,1,SUM($BS170)),0),0))</f>
        <v>475</v>
      </c>
    </row>
    <row r="171" customFormat="false" ht="15" hidden="false" customHeight="false" outlineLevel="0" collapsed="false">
      <c r="A171" s="0" t="s">
        <v>147</v>
      </c>
      <c r="B171" s="0" t="s">
        <v>105</v>
      </c>
      <c r="C171" s="0" t="s">
        <v>69</v>
      </c>
      <c r="D171" s="0" t="s">
        <v>56</v>
      </c>
      <c r="E171" s="0" t="str">
        <f aca="false">B171&amp;"|"&amp;C171&amp;"|"&amp;D171</f>
        <v>Mohale's Hoek [#SNU] [#DREAMS] [YGI7vISD2kJ]|25-29|Female</v>
      </c>
      <c r="F171" s="115" t="n">
        <f aca="false">_xlfn.IFNA(ROUND(INDEX(Spectrum!$N:$N,MATCH(RIGHT($B171,13)&amp;"|"&amp;$C171&amp;"|"&amp;$D171&amp;"|"&amp;F$14&amp;"|"&amp;"CY2021Q3",Spectrum!$Q:$Q,0)),0),"")</f>
        <v>7139</v>
      </c>
      <c r="G171" s="123" t="n">
        <f aca="false">_xlfn.IFNA(INDEX(Spectrum!$P:$P,MATCH(RIGHT($B171,13)&amp;"|"&amp;$C171&amp;"|"&amp;$D171&amp;"|"&amp;F$14&amp;"|"&amp;"CY2021Q3",Spectrum!$Q:$Q,0)),"")</f>
        <v>13</v>
      </c>
      <c r="H171" s="115" t="n">
        <f aca="false">_xlfn.IFNA(ROUND(INDEX(Spectrum!$N:$N,MATCH(RIGHT($B171,13)&amp;"|"&amp;$C171&amp;"|"&amp;$D171&amp;"|"&amp;H$14&amp;"|"&amp;"CY2021Q3",Spectrum!$Q:$Q,0)),0),"")</f>
        <v>1900</v>
      </c>
      <c r="I171" s="123" t="n">
        <f aca="false">_xlfn.IFNA(INDEX(Spectrum!$P:$P,MATCH(RIGHT($B171,13)&amp;"|"&amp;$C171&amp;"|"&amp;$D171&amp;"|"&amp;H$14&amp;"|"&amp;"CY2021Q3",Spectrum!$Q:$Q,0)),"")</f>
        <v>27</v>
      </c>
      <c r="J171" s="117" t="n">
        <f aca="false">_xlfn.IFNA(INDEX(Spectrum!$N:$N,MATCH(RIGHT($B171,13)&amp;"|"&amp;$C171&amp;"|"&amp;$D171&amp;"|"&amp;J$14&amp;"|"&amp;"CY2021Q3",Spectrum!$Q:$Q,0)),"")</f>
        <v>0.266158</v>
      </c>
      <c r="K171" s="123" t="n">
        <f aca="false">_xlfn.IFNA(INDEX(Spectrum!$P:$P,MATCH(RIGHT($B171,13)&amp;"|"&amp;$C171&amp;"|"&amp;$D171&amp;"|"&amp;J$14&amp;"|"&amp;"CY2021Q3",Spectrum!$Q:$Q,0)),"")</f>
        <v>35</v>
      </c>
      <c r="L171" s="115" t="n">
        <f aca="false">_xlfn.IFNA(ROUND(INDEX(Spectrum!$N:$N,MATCH(RIGHT($B171,13)&amp;"|"&amp;$C171&amp;"|"&amp;$D171&amp;"|"&amp;L$14&amp;"|"&amp;"CY2021Q3",Spectrum!$Q:$Q,0)),0),"")</f>
        <v>1307</v>
      </c>
      <c r="M171" s="123" t="n">
        <f aca="false">IF(OR(SUM($H171)&lt;=0,SUM($L171)&lt;=0),"",SUM($L171)/$H171)</f>
        <v>0.687894736842105</v>
      </c>
      <c r="N171" s="115" t="str">
        <f aca="false">_xlfn.IFNA(ROUND(INDEX(Spectrum!$N:$N,MATCH(RIGHT($B171,13)&amp;"|"&amp;$C171&amp;"|"&amp;$D171&amp;"|"&amp;N$14&amp;"|"&amp;"CY2020Q4",Spectrum!$Q:$Q,0)),0),"")</f>
        <v/>
      </c>
      <c r="O171" s="123" t="str">
        <f aca="false">_xlfn.IFNA(INDEX(Spectrum!$P:$P,MATCH(RIGHT($B171,13)&amp;"|"&amp;$C171&amp;"|"&amp;$D171&amp;"|"&amp;N$14&amp;"|"&amp;"CY2020Q4",Spectrum!$Q:$Q,0)),"")</f>
        <v/>
      </c>
      <c r="P171" s="115" t="n">
        <f aca="false">_xlfn.IFNA(ROUND(INDEX(Spectrum!$N:$N,MATCH(RIGHT($B171,13)&amp;"|"&amp;$C171&amp;"|"&amp;$D171&amp;"|"&amp;P$14&amp;"|"&amp;"CY2021Q3",Spectrum!$Q:$Q,0)),0),"")</f>
        <v>1131</v>
      </c>
      <c r="Q171" s="123" t="n">
        <f aca="false">_xlfn.IFNA(INDEX(Spectrum!$P:$P,MATCH(RIGHT($B171,13)&amp;"|"&amp;$C171&amp;"|"&amp;$D171&amp;"|"&amp;P$14&amp;"|"&amp;"CY2021Q3",Spectrum!$Q:$Q,0)),"")</f>
        <v>50</v>
      </c>
      <c r="R171" s="115"/>
      <c r="S171" s="123" t="str">
        <f aca="false">IF(OR(SUM($P171)&lt;=0,SUM($R171)&lt;=0),"",SUM($R171)/$P171)</f>
        <v/>
      </c>
      <c r="T171" s="139" t="n">
        <v>35</v>
      </c>
      <c r="U171" s="124" t="n">
        <v>1</v>
      </c>
      <c r="V171" s="124" t="n">
        <f aca="false">IF($U171-$T171=0,"",$U171-$T171)</f>
        <v>-34</v>
      </c>
      <c r="W171" s="123" t="n">
        <f aca="false">IF(LEFT($B171,4)="_Mil","",IFERROR(MIN(IF(SUM($N171)&lt;=0,SUM($U171)/SUM($P171),SUM($T171)/SUM($N171)),1),""))</f>
        <v>0.000884173297966401</v>
      </c>
      <c r="X171" s="123" t="n">
        <f aca="false">$W171</f>
        <v>0.000884173297966401</v>
      </c>
      <c r="Y171" s="123" t="n">
        <f aca="false">IFERROR(1/(1/INDEX(Spectrum!$N:$N,MATCH(RIGHT($B171,13)&amp;"|"&amp;$C171&amp;"|"&amp;$D171&amp;"|"&amp;Y$14&amp;"|"&amp;"CY2021Q3",Spectrum!$Q:$Q,0))),IF(SUM($H171)=0,"",MAX(SUM($P171),SUM($U171))/SUM($H171)))</f>
        <v>0.595263157894737</v>
      </c>
      <c r="Z171" s="123" t="n">
        <f aca="false">IF(SUM($Y171)=0,"",MAX(SUM($Y171),90%))</f>
        <v>0.9</v>
      </c>
      <c r="AA171" s="115" t="n">
        <f aca="false">IF(LEFT($B171,4)="_Mil","",ROUND(MAX(SUM($U171),SUM($P171))+IF(SUM($Z171)=0,0,MAX(SUM($Z171)-SUM($Y171),0)*SUM($H171)),0))</f>
        <v>1710</v>
      </c>
      <c r="AB171" s="115" t="n">
        <f aca="false">IF(SUM($AA171)=0,"",ROUND(MAX(SUM($AA171)-MAX(SUM($P171),SUM($U171)),0),0))</f>
        <v>579</v>
      </c>
      <c r="AC171" s="126" t="str">
        <f aca="false">IF($C171="&lt;01",IFERROR(ROUND(INDEX(EID!$N:$N,MATCH($B171,EID!$B:$B,0))/2,0),""),"")</f>
        <v/>
      </c>
      <c r="AD171" s="115" t="n">
        <f aca="false">IF($C171="&lt;01",IF(SUM($AC171)=0,"",ROUND(SUM($AC171)/$AG171,0)),IF(SUM($AB171)=0,"",ROUND(MAX($X171,0)*SUM($AB171),0)))</f>
        <v>1</v>
      </c>
      <c r="AE171" s="115" t="n">
        <f aca="false">IF(AND(SUM($AD171)=0,SUM($U171)=0),"",ROUND(IF($C171="&lt;01",0,SUM($U171))+SUM($AD171),0))</f>
        <v>2</v>
      </c>
      <c r="AF171" s="122" t="n">
        <f aca="false">IF($C171="&lt;01","",100%)</f>
        <v>1</v>
      </c>
      <c r="AG171" s="123" t="n">
        <f aca="false">0.98</f>
        <v>0.98</v>
      </c>
      <c r="AH171" s="123" t="n">
        <f aca="false">0.98</f>
        <v>0.98</v>
      </c>
      <c r="AI171" s="124" t="n">
        <f aca="false">IF(OR($C171="&lt;01",SUM($U171)=0),"",ROUND(SUM($U171)*(1-$AH171),0))</f>
        <v>0</v>
      </c>
      <c r="AJ171" s="124" t="n">
        <f aca="false">IF(AND(SUM($AE171)=0,SUM($U171)=0),"",IF($C171="&lt;01",SUM($AD171),SUM($AE171) - ROUND(SUM($U171)*$AH171,0)))</f>
        <v>1</v>
      </c>
      <c r="AK171" s="124" t="n">
        <v>6</v>
      </c>
      <c r="AL171" s="124" t="n">
        <v>21</v>
      </c>
      <c r="AM171" s="115" t="n">
        <f aca="false">IF(AND(SUM($AD171)=0,SUM($U171)=0),"",IF($C171="&lt;01",SUM($AD171),ROUND(ROUND(SUM($AJ171)*$AF171,0)/$AG171,0)))</f>
        <v>1</v>
      </c>
      <c r="AN171" s="122" t="n">
        <f aca="false">0.7</f>
        <v>0.7</v>
      </c>
      <c r="AO171" s="123" t="n">
        <f aca="false">1</f>
        <v>1</v>
      </c>
      <c r="AP171" s="115" t="n">
        <f aca="false">IF(AND(SUM($U171)=0,SUM($AM171)=0),"",ROUND((SUM($AM171)*$AN171+IF($C171="&lt;01",0,$U171))*$AO171,0))</f>
        <v>2</v>
      </c>
      <c r="AQ171" s="122" t="n">
        <v>38</v>
      </c>
      <c r="AR171" s="123" t="n">
        <f aca="false">0.95</f>
        <v>0.95</v>
      </c>
      <c r="AS171" s="123" t="n">
        <f aca="false">0.95</f>
        <v>0.95</v>
      </c>
      <c r="AT171" s="115" t="n">
        <f aca="false">IF(SUM($AP171)=0,"",ROUND(SUM($AP171)*$AR171,0))</f>
        <v>2</v>
      </c>
      <c r="AU171" s="115" t="n">
        <f aca="false">IF(LEFT($B171,4)="_Mil","",ROUND(SUM($AA171)*SUM($AS171),0))</f>
        <v>1625</v>
      </c>
      <c r="AV171" s="124" t="n">
        <f aca="false">IF(SUM($AU171)&lt;=0,"",MAX(SUM($AU171)-SUM($R171),0))</f>
        <v>1625</v>
      </c>
      <c r="AW171" s="122" t="n">
        <f aca="false">0</f>
        <v>0</v>
      </c>
      <c r="AX171" s="124" t="n">
        <f aca="false">IF(SUM($AM171)=0,"",ROUND(SUM($AM171)*SUM($AW171),0))</f>
        <v>0</v>
      </c>
      <c r="AY171" s="124" t="n">
        <f aca="false">IF(SUM($AM171)=0,"",SUM($AM171)-SUM($AX171))</f>
        <v>1</v>
      </c>
      <c r="AZ171" s="123" t="n">
        <v>7</v>
      </c>
      <c r="BA171" s="123" t="n">
        <f aca="false">0.95</f>
        <v>0.95</v>
      </c>
      <c r="BB171" s="123"/>
      <c r="BC171" s="123" t="n">
        <f aca="false">IF(OR(SUM($AM171)&lt;=0,$C171="&lt;01"),"",MAX(IF(OR(SUM($Y171)&lt;70%,LEFT($B171,4)="_Mil"),30%,IF(SUM($Y171)&gt;=80%,75%,50%)),SUM($BB171)))</f>
        <v>0.3</v>
      </c>
      <c r="BD171" s="115" t="n">
        <f aca="false">IF($C171="&lt;01",IFERROR(ROUND(INDEX(EID!$M:$M,MATCH($B171,EID!$B:$B,0)),0)/2,""),IF(SUM($AY171)=0,"",ROUND(SUM($AY171)/SUM($BA171),0)))</f>
        <v>1</v>
      </c>
      <c r="BE171" s="115" t="n">
        <f aca="false">IF($C171="&lt;01","",IF(SUM($BD171)=0,"",ROUND(SUM($BD171)*SUM($BC171),0)))</f>
        <v>0</v>
      </c>
      <c r="BF171" s="115" t="n">
        <f aca="false">_xlfn.IFNA(INDEX(PMTCT!$AE:$AE,MATCH($E171,PMTCT!$E:$E,0)),"")</f>
        <v>-512</v>
      </c>
      <c r="BG171" s="115" t="str">
        <f aca="false">_xlfn.IFNA(INDEX(PMTCT!$AU:$AU,MATCH($E171,PMTCT!$E:$E,0)),"")</f>
        <v/>
      </c>
      <c r="BH171" s="115" t="n">
        <f aca="false">_xlfn.IFNA(INDEX(TB!$Q:$Q,MATCH($E171,TB!$E:$E,0)),"")</f>
        <v>-10584</v>
      </c>
      <c r="BI171" s="115" t="str">
        <f aca="false">_xlfn.IFNA(INDEX(VMMC!$AC:$AC,MATCH($E171,VMMC!$E:$E,0)),"")</f>
        <v/>
      </c>
      <c r="BJ171" s="115" t="str">
        <f aca="false">IF($C171="&lt;01",$BD171,"")</f>
        <v/>
      </c>
      <c r="BK171" s="115" t="n">
        <f aca="false">IF(SUM($BD171)=0,"",($BD171)-SUM($BE171:$BJ171))</f>
        <v>11097</v>
      </c>
      <c r="BL171" s="123" t="str">
        <f aca="false">IF(OR(SUM($BD171)=0,SUM($BE171)=0),"",SUM($BE171)/$BD171)</f>
        <v/>
      </c>
      <c r="BM171" s="123" t="n">
        <f aca="false">IF(OR(SUM($BD171)=0,SUM($BF171)=0),"",SUM($BF171)/$BD171)</f>
        <v>-512</v>
      </c>
      <c r="BN171" s="123" t="str">
        <f aca="false">IF(OR(SUM($BD171)=0,SUM($BG171)=0),"",SUM($BG171)/$BD171)</f>
        <v/>
      </c>
      <c r="BO171" s="123" t="n">
        <f aca="false">IF(OR(SUM($BD171)=0,SUM($BH171)=0),"",SUM($BH171)/$BD171)</f>
        <v>-10584</v>
      </c>
      <c r="BP171" s="123" t="str">
        <f aca="false">IF(OR(SUM($BD171)=0,SUM($BI171)=0),"",SUM($BI171)/$BD171)</f>
        <v/>
      </c>
      <c r="BQ171" s="123" t="str">
        <f aca="false">IF(AND($C171="&lt;01",SUM($BJ171)&lt;&gt;0),$BJ171/SUM($BD171),"")</f>
        <v/>
      </c>
      <c r="BR171" s="123" t="n">
        <f aca="false">IF(OR(SUM($BD171)=0,SUM($BK171)=0),"",SUM($BK171)/$BD171)</f>
        <v>11097</v>
      </c>
      <c r="BS171" s="122" t="n">
        <f aca="false">IF(SUM($X171)&lt;=0,"",$X171)</f>
        <v>0.000884173297966401</v>
      </c>
      <c r="BT171" s="115" t="n">
        <f aca="false">IF(LEFT($B171,4)="_Mil","",MAX(SUM($L171)+ROUND(SUM($BD171)/IF(SUM($BS171)&lt;=0,1,SUM($BS171)),0),0))</f>
        <v>2438</v>
      </c>
    </row>
    <row r="172" customFormat="false" ht="15" hidden="false" customHeight="false" outlineLevel="0" collapsed="false">
      <c r="A172" s="0" t="s">
        <v>147</v>
      </c>
      <c r="B172" s="0" t="s">
        <v>105</v>
      </c>
      <c r="C172" s="0" t="s">
        <v>69</v>
      </c>
      <c r="D172" s="0" t="s">
        <v>58</v>
      </c>
      <c r="E172" s="0" t="str">
        <f aca="false">B172&amp;"|"&amp;C172&amp;"|"&amp;D172</f>
        <v>Mohale's Hoek [#SNU] [#DREAMS] [YGI7vISD2kJ]|25-29|Male</v>
      </c>
      <c r="F172" s="115" t="n">
        <f aca="false">_xlfn.IFNA(ROUND(INDEX(Spectrum!$N:$N,MATCH(RIGHT($B172,13)&amp;"|"&amp;$C172&amp;"|"&amp;$D172&amp;"|"&amp;F$14&amp;"|"&amp;"CY2021Q3",Spectrum!$Q:$Q,0)),0),"")</f>
        <v>7855</v>
      </c>
      <c r="G172" s="123" t="n">
        <f aca="false">_xlfn.IFNA(INDEX(Spectrum!$P:$P,MATCH(RIGHT($B172,13)&amp;"|"&amp;$C172&amp;"|"&amp;$D172&amp;"|"&amp;F$14&amp;"|"&amp;"CY2021Q3",Spectrum!$Q:$Q,0)),"")</f>
        <v>26</v>
      </c>
      <c r="H172" s="115" t="n">
        <f aca="false">_xlfn.IFNA(ROUND(INDEX(Spectrum!$N:$N,MATCH(RIGHT($B172,13)&amp;"|"&amp;$C172&amp;"|"&amp;$D172&amp;"|"&amp;H$14&amp;"|"&amp;"CY2021Q3",Spectrum!$Q:$Q,0)),0),"")</f>
        <v>912</v>
      </c>
      <c r="I172" s="123" t="n">
        <f aca="false">_xlfn.IFNA(INDEX(Spectrum!$P:$P,MATCH(RIGHT($B172,13)&amp;"|"&amp;$C172&amp;"|"&amp;$D172&amp;"|"&amp;H$14&amp;"|"&amp;"CY2021Q3",Spectrum!$Q:$Q,0)),"")</f>
        <v>10</v>
      </c>
      <c r="J172" s="117" t="n">
        <f aca="false">_xlfn.IFNA(INDEX(Spectrum!$N:$N,MATCH(RIGHT($B172,13)&amp;"|"&amp;$C172&amp;"|"&amp;$D172&amp;"|"&amp;J$14&amp;"|"&amp;"CY2021Q3",Spectrum!$Q:$Q,0)),"")</f>
        <v>0.1161061</v>
      </c>
      <c r="K172" s="123" t="n">
        <f aca="false">_xlfn.IFNA(INDEX(Spectrum!$P:$P,MATCH(RIGHT($B172,13)&amp;"|"&amp;$C172&amp;"|"&amp;$D172&amp;"|"&amp;J$14&amp;"|"&amp;"CY2021Q3",Spectrum!$Q:$Q,0)),"")</f>
        <v>18</v>
      </c>
      <c r="L172" s="115" t="n">
        <f aca="false">_xlfn.IFNA(ROUND(INDEX(Spectrum!$N:$N,MATCH(RIGHT($B172,13)&amp;"|"&amp;$C172&amp;"|"&amp;$D172&amp;"|"&amp;L$14&amp;"|"&amp;"CY2021Q3",Spectrum!$Q:$Q,0)),0),"")</f>
        <v>539</v>
      </c>
      <c r="M172" s="123" t="n">
        <f aca="false">IF(OR(SUM($H172)&lt;=0,SUM($L172)&lt;=0),"",SUM($L172)/$H172)</f>
        <v>0.591008771929825</v>
      </c>
      <c r="N172" s="115" t="str">
        <f aca="false">_xlfn.IFNA(ROUND(INDEX(Spectrum!$N:$N,MATCH(RIGHT($B172,13)&amp;"|"&amp;$C172&amp;"|"&amp;$D172&amp;"|"&amp;N$14&amp;"|"&amp;"CY2020Q4",Spectrum!$Q:$Q,0)),0),"")</f>
        <v/>
      </c>
      <c r="O172" s="123" t="str">
        <f aca="false">_xlfn.IFNA(INDEX(Spectrum!$P:$P,MATCH(RIGHT($B172,13)&amp;"|"&amp;$C172&amp;"|"&amp;$D172&amp;"|"&amp;N$14&amp;"|"&amp;"CY2020Q4",Spectrum!$Q:$Q,0)),"")</f>
        <v/>
      </c>
      <c r="P172" s="115" t="n">
        <f aca="false">_xlfn.IFNA(ROUND(INDEX(Spectrum!$N:$N,MATCH(RIGHT($B172,13)&amp;"|"&amp;$C172&amp;"|"&amp;$D172&amp;"|"&amp;P$14&amp;"|"&amp;"CY2021Q3",Spectrum!$Q:$Q,0)),0),"")</f>
        <v>399</v>
      </c>
      <c r="Q172" s="123" t="n">
        <f aca="false">_xlfn.IFNA(INDEX(Spectrum!$P:$P,MATCH(RIGHT($B172,13)&amp;"|"&amp;$C172&amp;"|"&amp;$D172&amp;"|"&amp;P$14&amp;"|"&amp;"CY2021Q3",Spectrum!$Q:$Q,0)),"")</f>
        <v>2</v>
      </c>
      <c r="R172" s="115"/>
      <c r="S172" s="123" t="str">
        <f aca="false">IF(OR(SUM($P172)&lt;=0,SUM($R172)&lt;=0),"",SUM($R172)/$P172)</f>
        <v/>
      </c>
      <c r="T172" s="139" t="n">
        <v>26</v>
      </c>
      <c r="U172" s="124" t="n">
        <v>8</v>
      </c>
      <c r="V172" s="124" t="n">
        <f aca="false">IF($U172-$T172=0,"",$U172-$T172)</f>
        <v>-18</v>
      </c>
      <c r="W172" s="123" t="n">
        <f aca="false">IF(LEFT($B172,4)="_Mil","",IFERROR(MIN(IF(SUM($N172)&lt;=0,SUM($U172)/SUM($P172),SUM($T172)/SUM($N172)),1),""))</f>
        <v>0.0200501253132832</v>
      </c>
      <c r="X172" s="123" t="n">
        <f aca="false">$W172</f>
        <v>0.0200501253132832</v>
      </c>
      <c r="Y172" s="123" t="n">
        <f aca="false">IFERROR(1/(1/INDEX(Spectrum!$N:$N,MATCH(RIGHT($B172,13)&amp;"|"&amp;$C172&amp;"|"&amp;$D172&amp;"|"&amp;Y$14&amp;"|"&amp;"CY2021Q3",Spectrum!$Q:$Q,0))),IF(SUM($H172)=0,"",MAX(SUM($P172),SUM($U172))/SUM($H172)))</f>
        <v>0.4375</v>
      </c>
      <c r="Z172" s="123" t="n">
        <f aca="false">IF(SUM($Y172)=0,"",MAX(SUM($Y172),90%))</f>
        <v>0.9</v>
      </c>
      <c r="AA172" s="115" t="n">
        <f aca="false">IF(LEFT($B172,4)="_Mil","",ROUND(MAX(SUM($U172),SUM($P172))+IF(SUM($Z172)=0,0,MAX(SUM($Z172)-SUM($Y172),0)*SUM($H172)),0))</f>
        <v>821</v>
      </c>
      <c r="AB172" s="115" t="n">
        <f aca="false">IF(SUM($AA172)=0,"",ROUND(MAX(SUM($AA172)-MAX(SUM($P172),SUM($U172)),0),0))</f>
        <v>422</v>
      </c>
      <c r="AC172" s="126" t="str">
        <f aca="false">IF($C172="&lt;01",IFERROR(ROUND(INDEX(EID!$N:$N,MATCH($B172,EID!$B:$B,0))/2,0),""),"")</f>
        <v/>
      </c>
      <c r="AD172" s="115" t="n">
        <f aca="false">IF($C172="&lt;01",IF(SUM($AC172)=0,"",ROUND(SUM($AC172)/$AG172,0)),IF(SUM($AB172)=0,"",ROUND(MAX($X172,0)*SUM($AB172),0)))</f>
        <v>8</v>
      </c>
      <c r="AE172" s="115" t="n">
        <f aca="false">IF(AND(SUM($AD172)=0,SUM($U172)=0),"",ROUND(IF($C172="&lt;01",0,SUM($U172))+SUM($AD172),0))</f>
        <v>16</v>
      </c>
      <c r="AF172" s="122" t="n">
        <f aca="false">IF($C172="&lt;01","",100%)</f>
        <v>1</v>
      </c>
      <c r="AG172" s="123" t="n">
        <f aca="false">0.98</f>
        <v>0.98</v>
      </c>
      <c r="AH172" s="123" t="n">
        <f aca="false">0.98</f>
        <v>0.98</v>
      </c>
      <c r="AI172" s="124" t="n">
        <f aca="false">IF(OR($C172="&lt;01",SUM($U172)=0),"",ROUND(SUM($U172)*(1-$AH172),0))</f>
        <v>0</v>
      </c>
      <c r="AJ172" s="124" t="n">
        <f aca="false">IF(AND(SUM($AE172)=0,SUM($U172)=0),"",IF($C172="&lt;01",SUM($AD172),SUM($AE172) - ROUND(SUM($U172)*$AH172,0)))</f>
        <v>8</v>
      </c>
      <c r="AK172" s="124" t="n">
        <v>24</v>
      </c>
      <c r="AL172" s="124" t="n">
        <v>15</v>
      </c>
      <c r="AM172" s="115" t="n">
        <f aca="false">IF(AND(SUM($AD172)=0,SUM($U172)=0),"",IF($C172="&lt;01",SUM($AD172),ROUND(ROUND(SUM($AJ172)*$AF172,0)/$AG172,0)))</f>
        <v>8</v>
      </c>
      <c r="AN172" s="122" t="n">
        <f aca="false">0.7</f>
        <v>0.7</v>
      </c>
      <c r="AO172" s="123" t="n">
        <f aca="false">1</f>
        <v>1</v>
      </c>
      <c r="AP172" s="115" t="n">
        <f aca="false">IF(AND(SUM($U172)=0,SUM($AM172)=0),"",ROUND((SUM($AM172)*$AN172+IF($C172="&lt;01",0,$U172))*$AO172,0))</f>
        <v>14</v>
      </c>
      <c r="AQ172" s="122" t="n">
        <v>28</v>
      </c>
      <c r="AR172" s="123" t="n">
        <f aca="false">0.95</f>
        <v>0.95</v>
      </c>
      <c r="AS172" s="123" t="n">
        <f aca="false">0.95</f>
        <v>0.95</v>
      </c>
      <c r="AT172" s="115" t="n">
        <f aca="false">IF(SUM($AP172)=0,"",ROUND(SUM($AP172)*$AR172,0))</f>
        <v>13</v>
      </c>
      <c r="AU172" s="115" t="n">
        <f aca="false">IF(LEFT($B172,4)="_Mil","",ROUND(SUM($AA172)*SUM($AS172),0))</f>
        <v>780</v>
      </c>
      <c r="AV172" s="124" t="n">
        <f aca="false">IF(SUM($AU172)&lt;=0,"",MAX(SUM($AU172)-SUM($R172),0))</f>
        <v>780</v>
      </c>
      <c r="AW172" s="122" t="n">
        <f aca="false">0</f>
        <v>0</v>
      </c>
      <c r="AX172" s="124" t="n">
        <f aca="false">IF(SUM($AM172)=0,"",ROUND(SUM($AM172)*SUM($AW172),0))</f>
        <v>0</v>
      </c>
      <c r="AY172" s="124" t="n">
        <f aca="false">IF(SUM($AM172)=0,"",SUM($AM172)-SUM($AX172))</f>
        <v>8</v>
      </c>
      <c r="AZ172" s="123" t="n">
        <v>19</v>
      </c>
      <c r="BA172" s="123" t="n">
        <f aca="false">0.95</f>
        <v>0.95</v>
      </c>
      <c r="BB172" s="123"/>
      <c r="BC172" s="123" t="n">
        <f aca="false">IF(OR(SUM($AM172)&lt;=0,$C172="&lt;01"),"",MAX(IF(OR(SUM($Y172)&lt;70%,LEFT($B172,4)="_Mil"),30%,IF(SUM($Y172)&gt;=80%,75%,50%)),SUM($BB172)))</f>
        <v>0.3</v>
      </c>
      <c r="BD172" s="115" t="n">
        <f aca="false">IF($C172="&lt;01",IFERROR(ROUND(INDEX(EID!$M:$M,MATCH($B172,EID!$B:$B,0)),0)/2,""),IF(SUM($AY172)=0,"",ROUND(SUM($AY172)/SUM($BA172),0)))</f>
        <v>8</v>
      </c>
      <c r="BE172" s="115" t="n">
        <f aca="false">IF($C172="&lt;01","",IF(SUM($BD172)=0,"",ROUND(SUM($BD172)*SUM($BC172),0)))</f>
        <v>2</v>
      </c>
      <c r="BF172" s="115" t="str">
        <f aca="false">_xlfn.IFNA(INDEX(PMTCT!$AE:$AE,MATCH($E172,PMTCT!$E:$E,0)),"")</f>
        <v/>
      </c>
      <c r="BG172" s="115" t="str">
        <f aca="false">_xlfn.IFNA(INDEX(PMTCT!$AU:$AU,MATCH($E172,PMTCT!$E:$E,0)),"")</f>
        <v/>
      </c>
      <c r="BH172" s="115" t="n">
        <f aca="false">_xlfn.IFNA(INDEX(TB!$Q:$Q,MATCH($E172,TB!$E:$E,0)),"")</f>
        <v>-8619</v>
      </c>
      <c r="BI172" s="115" t="str">
        <f aca="false">_xlfn.IFNA(INDEX(VMMC!$AC:$AC,MATCH($E172,VMMC!$E:$E,0)),"")</f>
        <v/>
      </c>
      <c r="BJ172" s="115" t="str">
        <f aca="false">IF($C172="&lt;01",$BD172,"")</f>
        <v/>
      </c>
      <c r="BK172" s="115" t="n">
        <f aca="false">IF(SUM($BD172)=0,"",($BD172)-SUM($BE172:$BJ172))</f>
        <v>8625</v>
      </c>
      <c r="BL172" s="123" t="n">
        <f aca="false">IF(OR(SUM($BD172)=0,SUM($BE172)=0),"",SUM($BE172)/$BD172)</f>
        <v>0.25</v>
      </c>
      <c r="BM172" s="123" t="str">
        <f aca="false">IF(OR(SUM($BD172)=0,SUM($BF172)=0),"",SUM($BF172)/$BD172)</f>
        <v/>
      </c>
      <c r="BN172" s="123" t="str">
        <f aca="false">IF(OR(SUM($BD172)=0,SUM($BG172)=0),"",SUM($BG172)/$BD172)</f>
        <v/>
      </c>
      <c r="BO172" s="123" t="n">
        <f aca="false">IF(OR(SUM($BD172)=0,SUM($BH172)=0),"",SUM($BH172)/$BD172)</f>
        <v>-1077.375</v>
      </c>
      <c r="BP172" s="123" t="str">
        <f aca="false">IF(OR(SUM($BD172)=0,SUM($BI172)=0),"",SUM($BI172)/$BD172)</f>
        <v/>
      </c>
      <c r="BQ172" s="123" t="str">
        <f aca="false">IF(AND($C172="&lt;01",SUM($BJ172)&lt;&gt;0),$BJ172/SUM($BD172),"")</f>
        <v/>
      </c>
      <c r="BR172" s="123" t="n">
        <f aca="false">IF(OR(SUM($BD172)=0,SUM($BK172)=0),"",SUM($BK172)/$BD172)</f>
        <v>1078.125</v>
      </c>
      <c r="BS172" s="122" t="n">
        <f aca="false">IF(SUM($X172)&lt;=0,"",$X172)</f>
        <v>0.0200501253132832</v>
      </c>
      <c r="BT172" s="115" t="n">
        <f aca="false">IF(LEFT($B172,4)="_Mil","",MAX(SUM($L172)+ROUND(SUM($BD172)/IF(SUM($BS172)&lt;=0,1,SUM($BS172)),0),0))</f>
        <v>938</v>
      </c>
    </row>
    <row r="173" customFormat="false" ht="15" hidden="false" customHeight="false" outlineLevel="0" collapsed="false">
      <c r="A173" s="0" t="s">
        <v>147</v>
      </c>
      <c r="B173" s="0" t="s">
        <v>105</v>
      </c>
      <c r="C173" s="0" t="s">
        <v>72</v>
      </c>
      <c r="D173" s="0" t="s">
        <v>56</v>
      </c>
      <c r="E173" s="0" t="str">
        <f aca="false">B173&amp;"|"&amp;C173&amp;"|"&amp;D173</f>
        <v>Mohale's Hoek [#SNU] [#DREAMS] [YGI7vISD2kJ]|30-34|Female</v>
      </c>
      <c r="F173" s="115" t="n">
        <f aca="false">_xlfn.IFNA(ROUND(INDEX(Spectrum!$N:$N,MATCH(RIGHT($B173,13)&amp;"|"&amp;$C173&amp;"|"&amp;$D173&amp;"|"&amp;F$14&amp;"|"&amp;"CY2021Q3",Spectrum!$Q:$Q,0)),0),"")</f>
        <v>6556</v>
      </c>
      <c r="G173" s="123" t="n">
        <f aca="false">_xlfn.IFNA(INDEX(Spectrum!$P:$P,MATCH(RIGHT($B173,13)&amp;"|"&amp;$C173&amp;"|"&amp;$D173&amp;"|"&amp;F$14&amp;"|"&amp;"CY2021Q3",Spectrum!$Q:$Q,0)),"")</f>
        <v>12</v>
      </c>
      <c r="H173" s="115" t="n">
        <f aca="false">_xlfn.IFNA(ROUND(INDEX(Spectrum!$N:$N,MATCH(RIGHT($B173,13)&amp;"|"&amp;$C173&amp;"|"&amp;$D173&amp;"|"&amp;H$14&amp;"|"&amp;"CY2021Q3",Spectrum!$Q:$Q,0)),0),"")</f>
        <v>2555</v>
      </c>
      <c r="I173" s="123" t="n">
        <f aca="false">_xlfn.IFNA(INDEX(Spectrum!$P:$P,MATCH(RIGHT($B173,13)&amp;"|"&amp;$C173&amp;"|"&amp;$D173&amp;"|"&amp;H$14&amp;"|"&amp;"CY2021Q3",Spectrum!$Q:$Q,0)),"")</f>
        <v>3</v>
      </c>
      <c r="J173" s="117" t="n">
        <f aca="false">_xlfn.IFNA(INDEX(Spectrum!$N:$N,MATCH(RIGHT($B173,13)&amp;"|"&amp;$C173&amp;"|"&amp;$D173&amp;"|"&amp;J$14&amp;"|"&amp;"CY2021Q3",Spectrum!$Q:$Q,0)),"")</f>
        <v>0.3897711</v>
      </c>
      <c r="K173" s="123" t="n">
        <f aca="false">_xlfn.IFNA(INDEX(Spectrum!$P:$P,MATCH(RIGHT($B173,13)&amp;"|"&amp;$C173&amp;"|"&amp;$D173&amp;"|"&amp;J$14&amp;"|"&amp;"CY2021Q3",Spectrum!$Q:$Q,0)),"")</f>
        <v>5</v>
      </c>
      <c r="L173" s="115" t="n">
        <f aca="false">_xlfn.IFNA(ROUND(INDEX(Spectrum!$N:$N,MATCH(RIGHT($B173,13)&amp;"|"&amp;$C173&amp;"|"&amp;$D173&amp;"|"&amp;L$14&amp;"|"&amp;"CY2021Q3",Spectrum!$Q:$Q,0)),0),"")</f>
        <v>1635</v>
      </c>
      <c r="M173" s="123" t="n">
        <f aca="false">IF(OR(SUM($H173)&lt;=0,SUM($L173)&lt;=0),"",SUM($L173)/$H173)</f>
        <v>0.639921722113503</v>
      </c>
      <c r="N173" s="115" t="str">
        <f aca="false">_xlfn.IFNA(ROUND(INDEX(Spectrum!$N:$N,MATCH(RIGHT($B173,13)&amp;"|"&amp;$C173&amp;"|"&amp;$D173&amp;"|"&amp;N$14&amp;"|"&amp;"CY2020Q4",Spectrum!$Q:$Q,0)),0),"")</f>
        <v/>
      </c>
      <c r="O173" s="123" t="str">
        <f aca="false">_xlfn.IFNA(INDEX(Spectrum!$P:$P,MATCH(RIGHT($B173,13)&amp;"|"&amp;$C173&amp;"|"&amp;$D173&amp;"|"&amp;N$14&amp;"|"&amp;"CY2020Q4",Spectrum!$Q:$Q,0)),"")</f>
        <v/>
      </c>
      <c r="P173" s="115" t="n">
        <f aca="false">_xlfn.IFNA(ROUND(INDEX(Spectrum!$N:$N,MATCH(RIGHT($B173,13)&amp;"|"&amp;$C173&amp;"|"&amp;$D173&amp;"|"&amp;P$14&amp;"|"&amp;"CY2021Q3",Spectrum!$Q:$Q,0)),0),"")</f>
        <v>1473</v>
      </c>
      <c r="Q173" s="123" t="n">
        <f aca="false">_xlfn.IFNA(INDEX(Spectrum!$P:$P,MATCH(RIGHT($B173,13)&amp;"|"&amp;$C173&amp;"|"&amp;$D173&amp;"|"&amp;P$14&amp;"|"&amp;"CY2021Q3",Spectrum!$Q:$Q,0)),"")</f>
        <v>41</v>
      </c>
      <c r="R173" s="115"/>
      <c r="S173" s="123" t="str">
        <f aca="false">IF(OR(SUM($P173)&lt;=0,SUM($R173)&lt;=0),"",SUM($R173)/$P173)</f>
        <v/>
      </c>
      <c r="T173" s="139" t="n">
        <v>42</v>
      </c>
      <c r="U173" s="124" t="n">
        <v>13</v>
      </c>
      <c r="V173" s="124" t="n">
        <f aca="false">IF($U173-$T173=0,"",$U173-$T173)</f>
        <v>-29</v>
      </c>
      <c r="W173" s="123" t="n">
        <f aca="false">IF(LEFT($B173,4)="_Mil","",IFERROR(MIN(IF(SUM($N173)&lt;=0,SUM($U173)/SUM($P173),SUM($T173)/SUM($N173)),1),""))</f>
        <v>0.0088255261371351</v>
      </c>
      <c r="X173" s="123" t="n">
        <f aca="false">$W173</f>
        <v>0.0088255261371351</v>
      </c>
      <c r="Y173" s="123" t="n">
        <f aca="false">IFERROR(1/(1/INDEX(Spectrum!$N:$N,MATCH(RIGHT($B173,13)&amp;"|"&amp;$C173&amp;"|"&amp;$D173&amp;"|"&amp;Y$14&amp;"|"&amp;"CY2021Q3",Spectrum!$Q:$Q,0))),IF(SUM($H173)=0,"",MAX(SUM($P173),SUM($U173))/SUM($H173)))</f>
        <v>0.576516634050881</v>
      </c>
      <c r="Z173" s="123" t="n">
        <f aca="false">IF(SUM($Y173)=0,"",MAX(SUM($Y173),90%))</f>
        <v>0.9</v>
      </c>
      <c r="AA173" s="115" t="n">
        <f aca="false">IF(LEFT($B173,4)="_Mil","",ROUND(MAX(SUM($U173),SUM($P173))+IF(SUM($Z173)=0,0,MAX(SUM($Z173)-SUM($Y173),0)*SUM($H173)),0))</f>
        <v>2300</v>
      </c>
      <c r="AB173" s="115" t="n">
        <f aca="false">IF(SUM($AA173)=0,"",ROUND(MAX(SUM($AA173)-MAX(SUM($P173),SUM($U173)),0),0))</f>
        <v>827</v>
      </c>
      <c r="AC173" s="126" t="str">
        <f aca="false">IF($C173="&lt;01",IFERROR(ROUND(INDEX(EID!$N:$N,MATCH($B173,EID!$B:$B,0))/2,0),""),"")</f>
        <v/>
      </c>
      <c r="AD173" s="115" t="n">
        <f aca="false">IF($C173="&lt;01",IF(SUM($AC173)=0,"",ROUND(SUM($AC173)/$AG173,0)),IF(SUM($AB173)=0,"",ROUND(MAX($X173,0)*SUM($AB173),0)))</f>
        <v>7</v>
      </c>
      <c r="AE173" s="115" t="n">
        <f aca="false">IF(AND(SUM($AD173)=0,SUM($U173)=0),"",ROUND(IF($C173="&lt;01",0,SUM($U173))+SUM($AD173),0))</f>
        <v>20</v>
      </c>
      <c r="AF173" s="122" t="n">
        <f aca="false">IF($C173="&lt;01","",100%)</f>
        <v>1</v>
      </c>
      <c r="AG173" s="123" t="n">
        <f aca="false">0.98</f>
        <v>0.98</v>
      </c>
      <c r="AH173" s="123" t="n">
        <f aca="false">0.98</f>
        <v>0.98</v>
      </c>
      <c r="AI173" s="124" t="n">
        <f aca="false">IF(OR($C173="&lt;01",SUM($U173)=0),"",ROUND(SUM($U173)*(1-$AH173),0))</f>
        <v>0</v>
      </c>
      <c r="AJ173" s="124" t="n">
        <f aca="false">IF(AND(SUM($AE173)=0,SUM($U173)=0),"",IF($C173="&lt;01",SUM($AD173),SUM($AE173) - ROUND(SUM($U173)*$AH173,0)))</f>
        <v>7</v>
      </c>
      <c r="AK173" s="124" t="n">
        <v>2</v>
      </c>
      <c r="AL173" s="124" t="n">
        <v>27</v>
      </c>
      <c r="AM173" s="115" t="n">
        <f aca="false">IF(AND(SUM($AD173)=0,SUM($U173)=0),"",IF($C173="&lt;01",SUM($AD173),ROUND(ROUND(SUM($AJ173)*$AF173,0)/$AG173,0)))</f>
        <v>7</v>
      </c>
      <c r="AN173" s="122" t="n">
        <f aca="false">0.7</f>
        <v>0.7</v>
      </c>
      <c r="AO173" s="123" t="n">
        <f aca="false">1</f>
        <v>1</v>
      </c>
      <c r="AP173" s="115" t="n">
        <f aca="false">IF(AND(SUM($U173)=0,SUM($AM173)=0),"",ROUND((SUM($AM173)*$AN173+IF($C173="&lt;01",0,$U173))*$AO173,0))</f>
        <v>18</v>
      </c>
      <c r="AQ173" s="122" t="n">
        <v>46</v>
      </c>
      <c r="AR173" s="123" t="n">
        <f aca="false">0.95</f>
        <v>0.95</v>
      </c>
      <c r="AS173" s="123" t="n">
        <f aca="false">0.95</f>
        <v>0.95</v>
      </c>
      <c r="AT173" s="115" t="n">
        <f aca="false">IF(SUM($AP173)=0,"",ROUND(SUM($AP173)*$AR173,0))</f>
        <v>17</v>
      </c>
      <c r="AU173" s="115" t="n">
        <f aca="false">IF(LEFT($B173,4)="_Mil","",ROUND(SUM($AA173)*SUM($AS173),0))</f>
        <v>2185</v>
      </c>
      <c r="AV173" s="124" t="n">
        <f aca="false">IF(SUM($AU173)&lt;=0,"",MAX(SUM($AU173)-SUM($R173),0))</f>
        <v>2185</v>
      </c>
      <c r="AW173" s="122" t="n">
        <f aca="false">0</f>
        <v>0</v>
      </c>
      <c r="AX173" s="124" t="n">
        <f aca="false">IF(SUM($AM173)=0,"",ROUND(SUM($AM173)*SUM($AW173),0))</f>
        <v>0</v>
      </c>
      <c r="AY173" s="124" t="n">
        <f aca="false">IF(SUM($AM173)=0,"",SUM($AM173)-SUM($AX173))</f>
        <v>7</v>
      </c>
      <c r="AZ173" s="123" t="n">
        <v>24</v>
      </c>
      <c r="BA173" s="123" t="n">
        <f aca="false">0.95</f>
        <v>0.95</v>
      </c>
      <c r="BB173" s="123"/>
      <c r="BC173" s="123" t="n">
        <f aca="false">IF(OR(SUM($AM173)&lt;=0,$C173="&lt;01"),"",MAX(IF(OR(SUM($Y173)&lt;70%,LEFT($B173,4)="_Mil"),30%,IF(SUM($Y173)&gt;=80%,75%,50%)),SUM($BB173)))</f>
        <v>0.3</v>
      </c>
      <c r="BD173" s="115" t="n">
        <f aca="false">IF($C173="&lt;01",IFERROR(ROUND(INDEX(EID!$M:$M,MATCH($B173,EID!$B:$B,0)),0)/2,""),IF(SUM($AY173)=0,"",ROUND(SUM($AY173)/SUM($BA173),0)))</f>
        <v>7</v>
      </c>
      <c r="BE173" s="115" t="n">
        <f aca="false">IF($C173="&lt;01","",IF(SUM($BD173)=0,"",ROUND(SUM($BD173)*SUM($BC173),0)))</f>
        <v>2</v>
      </c>
      <c r="BF173" s="115" t="n">
        <f aca="false">_xlfn.IFNA(INDEX(PMTCT!$AE:$AE,MATCH($E173,PMTCT!$E:$E,0)),"")</f>
        <v>-23736</v>
      </c>
      <c r="BG173" s="115" t="str">
        <f aca="false">_xlfn.IFNA(INDEX(PMTCT!$AU:$AU,MATCH($E173,PMTCT!$E:$E,0)),"")</f>
        <v/>
      </c>
      <c r="BH173" s="115" t="n">
        <f aca="false">_xlfn.IFNA(INDEX(TB!$Q:$Q,MATCH($E173,TB!$E:$E,0)),"")</f>
        <v>-26013</v>
      </c>
      <c r="BI173" s="115" t="str">
        <f aca="false">_xlfn.IFNA(INDEX(VMMC!$AC:$AC,MATCH($E173,VMMC!$E:$E,0)),"")</f>
        <v/>
      </c>
      <c r="BJ173" s="115" t="str">
        <f aca="false">IF($C173="&lt;01",$BD173,"")</f>
        <v/>
      </c>
      <c r="BK173" s="115" t="n">
        <f aca="false">IF(SUM($BD173)=0,"",($BD173)-SUM($BE173:$BJ173))</f>
        <v>49754</v>
      </c>
      <c r="BL173" s="123" t="n">
        <f aca="false">IF(OR(SUM($BD173)=0,SUM($BE173)=0),"",SUM($BE173)/$BD173)</f>
        <v>0.285714285714286</v>
      </c>
      <c r="BM173" s="123" t="n">
        <f aca="false">IF(OR(SUM($BD173)=0,SUM($BF173)=0),"",SUM($BF173)/$BD173)</f>
        <v>-3390.85714285714</v>
      </c>
      <c r="BN173" s="123" t="str">
        <f aca="false">IF(OR(SUM($BD173)=0,SUM($BG173)=0),"",SUM($BG173)/$BD173)</f>
        <v/>
      </c>
      <c r="BO173" s="123" t="n">
        <f aca="false">IF(OR(SUM($BD173)=0,SUM($BH173)=0),"",SUM($BH173)/$BD173)</f>
        <v>-3716.14285714286</v>
      </c>
      <c r="BP173" s="123" t="str">
        <f aca="false">IF(OR(SUM($BD173)=0,SUM($BI173)=0),"",SUM($BI173)/$BD173)</f>
        <v/>
      </c>
      <c r="BQ173" s="123" t="str">
        <f aca="false">IF(AND($C173="&lt;01",SUM($BJ173)&lt;&gt;0),$BJ173/SUM($BD173),"")</f>
        <v/>
      </c>
      <c r="BR173" s="123" t="n">
        <f aca="false">IF(OR(SUM($BD173)=0,SUM($BK173)=0),"",SUM($BK173)/$BD173)</f>
        <v>7107.71428571429</v>
      </c>
      <c r="BS173" s="122" t="n">
        <f aca="false">IF(SUM($X173)&lt;=0,"",$X173)</f>
        <v>0.0088255261371351</v>
      </c>
      <c r="BT173" s="115" t="n">
        <f aca="false">IF(LEFT($B173,4)="_Mil","",MAX(SUM($L173)+ROUND(SUM($BD173)/IF(SUM($BS173)&lt;=0,1,SUM($BS173)),0),0))</f>
        <v>2428</v>
      </c>
    </row>
    <row r="174" customFormat="false" ht="15" hidden="false" customHeight="false" outlineLevel="0" collapsed="false">
      <c r="A174" s="0" t="s">
        <v>147</v>
      </c>
      <c r="B174" s="0" t="s">
        <v>105</v>
      </c>
      <c r="C174" s="0" t="s">
        <v>72</v>
      </c>
      <c r="D174" s="0" t="s">
        <v>58</v>
      </c>
      <c r="E174" s="0" t="str">
        <f aca="false">B174&amp;"|"&amp;C174&amp;"|"&amp;D174</f>
        <v>Mohale's Hoek [#SNU] [#DREAMS] [YGI7vISD2kJ]|30-34|Male</v>
      </c>
      <c r="F174" s="115" t="n">
        <f aca="false">_xlfn.IFNA(ROUND(INDEX(Spectrum!$N:$N,MATCH(RIGHT($B174,13)&amp;"|"&amp;$C174&amp;"|"&amp;$D174&amp;"|"&amp;F$14&amp;"|"&amp;"CY2021Q3",Spectrum!$Q:$Q,0)),0),"")</f>
        <v>7762</v>
      </c>
      <c r="G174" s="123" t="n">
        <f aca="false">_xlfn.IFNA(INDEX(Spectrum!$P:$P,MATCH(RIGHT($B174,13)&amp;"|"&amp;$C174&amp;"|"&amp;$D174&amp;"|"&amp;F$14&amp;"|"&amp;"CY2021Q3",Spectrum!$Q:$Q,0)),"")</f>
        <v>20</v>
      </c>
      <c r="H174" s="115" t="n">
        <f aca="false">_xlfn.IFNA(ROUND(INDEX(Spectrum!$N:$N,MATCH(RIGHT($B174,13)&amp;"|"&amp;$C174&amp;"|"&amp;$D174&amp;"|"&amp;H$14&amp;"|"&amp;"CY2021Q3",Spectrum!$Q:$Q,0)),0),"")</f>
        <v>1635</v>
      </c>
      <c r="I174" s="123" t="n">
        <f aca="false">_xlfn.IFNA(INDEX(Spectrum!$P:$P,MATCH(RIGHT($B174,13)&amp;"|"&amp;$C174&amp;"|"&amp;$D174&amp;"|"&amp;H$14&amp;"|"&amp;"CY2021Q3",Spectrum!$Q:$Q,0)),"")</f>
        <v>49</v>
      </c>
      <c r="J174" s="117" t="n">
        <f aca="false">_xlfn.IFNA(INDEX(Spectrum!$N:$N,MATCH(RIGHT($B174,13)&amp;"|"&amp;$C174&amp;"|"&amp;$D174&amp;"|"&amp;J$14&amp;"|"&amp;"CY2021Q3",Spectrum!$Q:$Q,0)),"")</f>
        <v>0.2107007</v>
      </c>
      <c r="K174" s="123" t="n">
        <f aca="false">_xlfn.IFNA(INDEX(Spectrum!$P:$P,MATCH(RIGHT($B174,13)&amp;"|"&amp;$C174&amp;"|"&amp;$D174&amp;"|"&amp;J$14&amp;"|"&amp;"CY2021Q3",Spectrum!$Q:$Q,0)),"")</f>
        <v>46</v>
      </c>
      <c r="L174" s="115" t="n">
        <f aca="false">_xlfn.IFNA(ROUND(INDEX(Spectrum!$N:$N,MATCH(RIGHT($B174,13)&amp;"|"&amp;$C174&amp;"|"&amp;$D174&amp;"|"&amp;L$14&amp;"|"&amp;"CY2021Q3",Spectrum!$Q:$Q,0)),0),"")</f>
        <v>886</v>
      </c>
      <c r="M174" s="123" t="n">
        <f aca="false">IF(OR(SUM($H174)&lt;=0,SUM($L174)&lt;=0),"",SUM($L174)/$H174)</f>
        <v>0.541896024464832</v>
      </c>
      <c r="N174" s="115" t="str">
        <f aca="false">_xlfn.IFNA(ROUND(INDEX(Spectrum!$N:$N,MATCH(RIGHT($B174,13)&amp;"|"&amp;$C174&amp;"|"&amp;$D174&amp;"|"&amp;N$14&amp;"|"&amp;"CY2020Q4",Spectrum!$Q:$Q,0)),0),"")</f>
        <v/>
      </c>
      <c r="O174" s="123" t="str">
        <f aca="false">_xlfn.IFNA(INDEX(Spectrum!$P:$P,MATCH(RIGHT($B174,13)&amp;"|"&amp;$C174&amp;"|"&amp;$D174&amp;"|"&amp;N$14&amp;"|"&amp;"CY2020Q4",Spectrum!$Q:$Q,0)),"")</f>
        <v/>
      </c>
      <c r="P174" s="115" t="n">
        <f aca="false">_xlfn.IFNA(ROUND(INDEX(Spectrum!$N:$N,MATCH(RIGHT($B174,13)&amp;"|"&amp;$C174&amp;"|"&amp;$D174&amp;"|"&amp;P$14&amp;"|"&amp;"CY2021Q3",Spectrum!$Q:$Q,0)),0),"")</f>
        <v>701</v>
      </c>
      <c r="Q174" s="123" t="n">
        <f aca="false">_xlfn.IFNA(INDEX(Spectrum!$P:$P,MATCH(RIGHT($B174,13)&amp;"|"&amp;$C174&amp;"|"&amp;$D174&amp;"|"&amp;P$14&amp;"|"&amp;"CY2021Q3",Spectrum!$Q:$Q,0)),"")</f>
        <v>43</v>
      </c>
      <c r="R174" s="115"/>
      <c r="S174" s="123" t="str">
        <f aca="false">IF(OR(SUM($P174)&lt;=0,SUM($R174)&lt;=0),"",SUM($R174)/$P174)</f>
        <v/>
      </c>
      <c r="T174" s="139" t="n">
        <v>10</v>
      </c>
      <c r="U174" s="124" t="n">
        <v>14</v>
      </c>
      <c r="V174" s="124" t="n">
        <f aca="false">IF($U174-$T174=0,"",$U174-$T174)</f>
        <v>4</v>
      </c>
      <c r="W174" s="123" t="n">
        <f aca="false">IF(LEFT($B174,4)="_Mil","",IFERROR(MIN(IF(SUM($N174)&lt;=0,SUM($U174)/SUM($P174),SUM($T174)/SUM($N174)),1),""))</f>
        <v>0.0199714693295292</v>
      </c>
      <c r="X174" s="123" t="n">
        <f aca="false">$W174</f>
        <v>0.0199714693295292</v>
      </c>
      <c r="Y174" s="123" t="n">
        <f aca="false">IFERROR(1/(1/INDEX(Spectrum!$N:$N,MATCH(RIGHT($B174,13)&amp;"|"&amp;$C174&amp;"|"&amp;$D174&amp;"|"&amp;Y$14&amp;"|"&amp;"CY2021Q3",Spectrum!$Q:$Q,0))),IF(SUM($H174)=0,"",MAX(SUM($P174),SUM($U174))/SUM($H174)))</f>
        <v>0.428746177370031</v>
      </c>
      <c r="Z174" s="123" t="n">
        <f aca="false">IF(SUM($Y174)=0,"",MAX(SUM($Y174),90%))</f>
        <v>0.9</v>
      </c>
      <c r="AA174" s="115" t="n">
        <f aca="false">IF(LEFT($B174,4)="_Mil","",ROUND(MAX(SUM($U174),SUM($P174))+IF(SUM($Z174)=0,0,MAX(SUM($Z174)-SUM($Y174),0)*SUM($H174)),0))</f>
        <v>1472</v>
      </c>
      <c r="AB174" s="115" t="n">
        <f aca="false">IF(SUM($AA174)=0,"",ROUND(MAX(SUM($AA174)-MAX(SUM($P174),SUM($U174)),0),0))</f>
        <v>771</v>
      </c>
      <c r="AC174" s="126" t="str">
        <f aca="false">IF($C174="&lt;01",IFERROR(ROUND(INDEX(EID!$N:$N,MATCH($B174,EID!$B:$B,0))/2,0),""),"")</f>
        <v/>
      </c>
      <c r="AD174" s="115" t="n">
        <f aca="false">IF($C174="&lt;01",IF(SUM($AC174)=0,"",ROUND(SUM($AC174)/$AG174,0)),IF(SUM($AB174)=0,"",ROUND(MAX($X174,0)*SUM($AB174),0)))</f>
        <v>15</v>
      </c>
      <c r="AE174" s="115" t="n">
        <f aca="false">IF(AND(SUM($AD174)=0,SUM($U174)=0),"",ROUND(IF($C174="&lt;01",0,SUM($U174))+SUM($AD174),0))</f>
        <v>29</v>
      </c>
      <c r="AF174" s="122" t="n">
        <f aca="false">IF($C174="&lt;01","",100%)</f>
        <v>1</v>
      </c>
      <c r="AG174" s="123" t="n">
        <f aca="false">0.98</f>
        <v>0.98</v>
      </c>
      <c r="AH174" s="123" t="n">
        <f aca="false">0.98</f>
        <v>0.98</v>
      </c>
      <c r="AI174" s="124" t="n">
        <f aca="false">IF(OR($C174="&lt;01",SUM($U174)=0),"",ROUND(SUM($U174)*(1-$AH174),0))</f>
        <v>0</v>
      </c>
      <c r="AJ174" s="124" t="n">
        <f aca="false">IF(AND(SUM($AE174)=0,SUM($U174)=0),"",IF($C174="&lt;01",SUM($AD174),SUM($AE174) - ROUND(SUM($U174)*$AH174,0)))</f>
        <v>15</v>
      </c>
      <c r="AK174" s="124" t="n">
        <v>27</v>
      </c>
      <c r="AL174" s="124" t="n">
        <v>19</v>
      </c>
      <c r="AM174" s="115" t="n">
        <f aca="false">IF(AND(SUM($AD174)=0,SUM($U174)=0),"",IF($C174="&lt;01",SUM($AD174),ROUND(ROUND(SUM($AJ174)*$AF174,0)/$AG174,0)))</f>
        <v>15</v>
      </c>
      <c r="AN174" s="122" t="n">
        <f aca="false">0.7</f>
        <v>0.7</v>
      </c>
      <c r="AO174" s="123" t="n">
        <f aca="false">1</f>
        <v>1</v>
      </c>
      <c r="AP174" s="115" t="n">
        <f aca="false">IF(AND(SUM($U174)=0,SUM($AM174)=0),"",ROUND((SUM($AM174)*$AN174+IF($C174="&lt;01",0,$U174))*$AO174,0))</f>
        <v>25</v>
      </c>
      <c r="AQ174" s="122" t="n">
        <v>8</v>
      </c>
      <c r="AR174" s="123" t="n">
        <f aca="false">0.95</f>
        <v>0.95</v>
      </c>
      <c r="AS174" s="123" t="n">
        <f aca="false">0.95</f>
        <v>0.95</v>
      </c>
      <c r="AT174" s="115" t="n">
        <f aca="false">IF(SUM($AP174)=0,"",ROUND(SUM($AP174)*$AR174,0))</f>
        <v>24</v>
      </c>
      <c r="AU174" s="115" t="n">
        <f aca="false">IF(LEFT($B174,4)="_Mil","",ROUND(SUM($AA174)*SUM($AS174),0))</f>
        <v>1398</v>
      </c>
      <c r="AV174" s="124" t="n">
        <f aca="false">IF(SUM($AU174)&lt;=0,"",MAX(SUM($AU174)-SUM($R174),0))</f>
        <v>1398</v>
      </c>
      <c r="AW174" s="122" t="n">
        <f aca="false">0</f>
        <v>0</v>
      </c>
      <c r="AX174" s="124" t="n">
        <f aca="false">IF(SUM($AM174)=0,"",ROUND(SUM($AM174)*SUM($AW174),0))</f>
        <v>0</v>
      </c>
      <c r="AY174" s="124" t="n">
        <f aca="false">IF(SUM($AM174)=0,"",SUM($AM174)-SUM($AX174))</f>
        <v>15</v>
      </c>
      <c r="AZ174" s="123" t="n">
        <v>8</v>
      </c>
      <c r="BA174" s="123" t="n">
        <f aca="false">0.95</f>
        <v>0.95</v>
      </c>
      <c r="BB174" s="123"/>
      <c r="BC174" s="123" t="n">
        <f aca="false">IF(OR(SUM($AM174)&lt;=0,$C174="&lt;01"),"",MAX(IF(OR(SUM($Y174)&lt;70%,LEFT($B174,4)="_Mil"),30%,IF(SUM($Y174)&gt;=80%,75%,50%)),SUM($BB174)))</f>
        <v>0.3</v>
      </c>
      <c r="BD174" s="115" t="n">
        <f aca="false">IF($C174="&lt;01",IFERROR(ROUND(INDEX(EID!$M:$M,MATCH($B174,EID!$B:$B,0)),0)/2,""),IF(SUM($AY174)=0,"",ROUND(SUM($AY174)/SUM($BA174),0)))</f>
        <v>16</v>
      </c>
      <c r="BE174" s="115" t="n">
        <f aca="false">IF($C174="&lt;01","",IF(SUM($BD174)=0,"",ROUND(SUM($BD174)*SUM($BC174),0)))</f>
        <v>5</v>
      </c>
      <c r="BF174" s="115" t="str">
        <f aca="false">_xlfn.IFNA(INDEX(PMTCT!$AE:$AE,MATCH($E174,PMTCT!$E:$E,0)),"")</f>
        <v/>
      </c>
      <c r="BG174" s="115" t="str">
        <f aca="false">_xlfn.IFNA(INDEX(PMTCT!$AU:$AU,MATCH($E174,PMTCT!$E:$E,0)),"")</f>
        <v/>
      </c>
      <c r="BH174" s="115" t="n">
        <f aca="false">_xlfn.IFNA(INDEX(TB!$Q:$Q,MATCH($E174,TB!$E:$E,0)),"")</f>
        <v>-48510</v>
      </c>
      <c r="BI174" s="115" t="str">
        <f aca="false">_xlfn.IFNA(INDEX(VMMC!$AC:$AC,MATCH($E174,VMMC!$E:$E,0)),"")</f>
        <v/>
      </c>
      <c r="BJ174" s="115" t="str">
        <f aca="false">IF($C174="&lt;01",$BD174,"")</f>
        <v/>
      </c>
      <c r="BK174" s="115" t="n">
        <f aca="false">IF(SUM($BD174)=0,"",($BD174)-SUM($BE174:$BJ174))</f>
        <v>48521</v>
      </c>
      <c r="BL174" s="123" t="n">
        <f aca="false">IF(OR(SUM($BD174)=0,SUM($BE174)=0),"",SUM($BE174)/$BD174)</f>
        <v>0.3125</v>
      </c>
      <c r="BM174" s="123" t="str">
        <f aca="false">IF(OR(SUM($BD174)=0,SUM($BF174)=0),"",SUM($BF174)/$BD174)</f>
        <v/>
      </c>
      <c r="BN174" s="123" t="str">
        <f aca="false">IF(OR(SUM($BD174)=0,SUM($BG174)=0),"",SUM($BG174)/$BD174)</f>
        <v/>
      </c>
      <c r="BO174" s="123" t="n">
        <f aca="false">IF(OR(SUM($BD174)=0,SUM($BH174)=0),"",SUM($BH174)/$BD174)</f>
        <v>-3031.875</v>
      </c>
      <c r="BP174" s="123" t="str">
        <f aca="false">IF(OR(SUM($BD174)=0,SUM($BI174)=0),"",SUM($BI174)/$BD174)</f>
        <v/>
      </c>
      <c r="BQ174" s="123" t="str">
        <f aca="false">IF(AND($C174="&lt;01",SUM($BJ174)&lt;&gt;0),$BJ174/SUM($BD174),"")</f>
        <v/>
      </c>
      <c r="BR174" s="123" t="n">
        <f aca="false">IF(OR(SUM($BD174)=0,SUM($BK174)=0),"",SUM($BK174)/$BD174)</f>
        <v>3032.5625</v>
      </c>
      <c r="BS174" s="122" t="n">
        <f aca="false">IF(SUM($X174)&lt;=0,"",$X174)</f>
        <v>0.0199714693295292</v>
      </c>
      <c r="BT174" s="115" t="n">
        <f aca="false">IF(LEFT($B174,4)="_Mil","",MAX(SUM($L174)+ROUND(SUM($BD174)/IF(SUM($BS174)&lt;=0,1,SUM($BS174)),0),0))</f>
        <v>1687</v>
      </c>
    </row>
    <row r="175" customFormat="false" ht="15" hidden="false" customHeight="false" outlineLevel="0" collapsed="false">
      <c r="A175" s="0" t="s">
        <v>147</v>
      </c>
      <c r="B175" s="0" t="s">
        <v>105</v>
      </c>
      <c r="C175" s="0" t="s">
        <v>75</v>
      </c>
      <c r="D175" s="0" t="s">
        <v>56</v>
      </c>
      <c r="E175" s="0" t="str">
        <f aca="false">B175&amp;"|"&amp;C175&amp;"|"&amp;D175</f>
        <v>Mohale's Hoek [#SNU] [#DREAMS] [YGI7vISD2kJ]|35-39|Female</v>
      </c>
      <c r="F175" s="115" t="n">
        <f aca="false">_xlfn.IFNA(ROUND(INDEX(Spectrum!$N:$N,MATCH(RIGHT($B175,13)&amp;"|"&amp;$C175&amp;"|"&amp;$D175&amp;"|"&amp;F$14&amp;"|"&amp;"CY2021Q3",Spectrum!$Q:$Q,0)),0),"")</f>
        <v>4644</v>
      </c>
      <c r="G175" s="123" t="n">
        <f aca="false">_xlfn.IFNA(INDEX(Spectrum!$P:$P,MATCH(RIGHT($B175,13)&amp;"|"&amp;$C175&amp;"|"&amp;$D175&amp;"|"&amp;F$14&amp;"|"&amp;"CY2021Q3",Spectrum!$Q:$Q,0)),"")</f>
        <v>30</v>
      </c>
      <c r="H175" s="115" t="n">
        <f aca="false">_xlfn.IFNA(ROUND(INDEX(Spectrum!$N:$N,MATCH(RIGHT($B175,13)&amp;"|"&amp;$C175&amp;"|"&amp;$D175&amp;"|"&amp;H$14&amp;"|"&amp;"CY2021Q3",Spectrum!$Q:$Q,0)),0),"")</f>
        <v>2343</v>
      </c>
      <c r="I175" s="123" t="n">
        <f aca="false">_xlfn.IFNA(INDEX(Spectrum!$P:$P,MATCH(RIGHT($B175,13)&amp;"|"&amp;$C175&amp;"|"&amp;$D175&amp;"|"&amp;H$14&amp;"|"&amp;"CY2021Q3",Spectrum!$Q:$Q,0)),"")</f>
        <v>23</v>
      </c>
      <c r="J175" s="117" t="n">
        <f aca="false">_xlfn.IFNA(INDEX(Spectrum!$N:$N,MATCH(RIGHT($B175,13)&amp;"|"&amp;$C175&amp;"|"&amp;$D175&amp;"|"&amp;J$14&amp;"|"&amp;"CY2021Q3",Spectrum!$Q:$Q,0)),"")</f>
        <v>0.5044309</v>
      </c>
      <c r="K175" s="123" t="n">
        <f aca="false">_xlfn.IFNA(INDEX(Spectrum!$P:$P,MATCH(RIGHT($B175,13)&amp;"|"&amp;$C175&amp;"|"&amp;$D175&amp;"|"&amp;J$14&amp;"|"&amp;"CY2021Q3",Spectrum!$Q:$Q,0)),"")</f>
        <v>48</v>
      </c>
      <c r="L175" s="115" t="n">
        <f aca="false">_xlfn.IFNA(ROUND(INDEX(Spectrum!$N:$N,MATCH(RIGHT($B175,13)&amp;"|"&amp;$C175&amp;"|"&amp;$D175&amp;"|"&amp;L$14&amp;"|"&amp;"CY2021Q3",Spectrum!$Q:$Q,0)),0),"")</f>
        <v>1762</v>
      </c>
      <c r="M175" s="123" t="n">
        <f aca="false">IF(OR(SUM($H175)&lt;=0,SUM($L175)&lt;=0),"",SUM($L175)/$H175)</f>
        <v>0.752027315407597</v>
      </c>
      <c r="N175" s="115" t="str">
        <f aca="false">_xlfn.IFNA(ROUND(INDEX(Spectrum!$N:$N,MATCH(RIGHT($B175,13)&amp;"|"&amp;$C175&amp;"|"&amp;$D175&amp;"|"&amp;N$14&amp;"|"&amp;"CY2020Q4",Spectrum!$Q:$Q,0)),0),"")</f>
        <v/>
      </c>
      <c r="O175" s="123" t="str">
        <f aca="false">_xlfn.IFNA(INDEX(Spectrum!$P:$P,MATCH(RIGHT($B175,13)&amp;"|"&amp;$C175&amp;"|"&amp;$D175&amp;"|"&amp;N$14&amp;"|"&amp;"CY2020Q4",Spectrum!$Q:$Q,0)),"")</f>
        <v/>
      </c>
      <c r="P175" s="115" t="n">
        <f aca="false">_xlfn.IFNA(ROUND(INDEX(Spectrum!$N:$N,MATCH(RIGHT($B175,13)&amp;"|"&amp;$C175&amp;"|"&amp;$D175&amp;"|"&amp;P$14&amp;"|"&amp;"CY2021Q3",Spectrum!$Q:$Q,0)),0),"")</f>
        <v>1641</v>
      </c>
      <c r="Q175" s="123" t="n">
        <f aca="false">_xlfn.IFNA(INDEX(Spectrum!$P:$P,MATCH(RIGHT($B175,13)&amp;"|"&amp;$C175&amp;"|"&amp;$D175&amp;"|"&amp;P$14&amp;"|"&amp;"CY2021Q3",Spectrum!$Q:$Q,0)),"")</f>
        <v>28</v>
      </c>
      <c r="R175" s="115"/>
      <c r="S175" s="123" t="str">
        <f aca="false">IF(OR(SUM($P175)&lt;=0,SUM($R175)&lt;=0),"",SUM($R175)/$P175)</f>
        <v/>
      </c>
      <c r="T175" s="139" t="n">
        <v>20</v>
      </c>
      <c r="U175" s="124" t="n">
        <v>15</v>
      </c>
      <c r="V175" s="124" t="n">
        <f aca="false">IF($U175-$T175=0,"",$U175-$T175)</f>
        <v>-5</v>
      </c>
      <c r="W175" s="123" t="n">
        <f aca="false">IF(LEFT($B175,4)="_Mil","",IFERROR(MIN(IF(SUM($N175)&lt;=0,SUM($U175)/SUM($P175),SUM($T175)/SUM($N175)),1),""))</f>
        <v>0.00914076782449726</v>
      </c>
      <c r="X175" s="123" t="n">
        <f aca="false">$W175</f>
        <v>0.00914076782449726</v>
      </c>
      <c r="Y175" s="123" t="n">
        <f aca="false">IFERROR(1/(1/INDEX(Spectrum!$N:$N,MATCH(RIGHT($B175,13)&amp;"|"&amp;$C175&amp;"|"&amp;$D175&amp;"|"&amp;Y$14&amp;"|"&amp;"CY2021Q3",Spectrum!$Q:$Q,0))),IF(SUM($H175)=0,"",MAX(SUM($P175),SUM($U175))/SUM($H175)))</f>
        <v>0.700384122919334</v>
      </c>
      <c r="Z175" s="123" t="n">
        <f aca="false">IF(SUM($Y175)=0,"",MAX(SUM($Y175),90%))</f>
        <v>0.9</v>
      </c>
      <c r="AA175" s="115" t="n">
        <f aca="false">IF(LEFT($B175,4)="_Mil","",ROUND(MAX(SUM($U175),SUM($P175))+IF(SUM($Z175)=0,0,MAX(SUM($Z175)-SUM($Y175),0)*SUM($H175)),0))</f>
        <v>2109</v>
      </c>
      <c r="AB175" s="115" t="n">
        <f aca="false">IF(SUM($AA175)=0,"",ROUND(MAX(SUM($AA175)-MAX(SUM($P175),SUM($U175)),0),0))</f>
        <v>468</v>
      </c>
      <c r="AC175" s="126" t="str">
        <f aca="false">IF($C175="&lt;01",IFERROR(ROUND(INDEX(EID!$N:$N,MATCH($B175,EID!$B:$B,0))/2,0),""),"")</f>
        <v/>
      </c>
      <c r="AD175" s="115" t="n">
        <f aca="false">IF($C175="&lt;01",IF(SUM($AC175)=0,"",ROUND(SUM($AC175)/$AG175,0)),IF(SUM($AB175)=0,"",ROUND(MAX($X175,0)*SUM($AB175),0)))</f>
        <v>4</v>
      </c>
      <c r="AE175" s="115" t="n">
        <f aca="false">IF(AND(SUM($AD175)=0,SUM($U175)=0),"",ROUND(IF($C175="&lt;01",0,SUM($U175))+SUM($AD175),0))</f>
        <v>19</v>
      </c>
      <c r="AF175" s="122" t="n">
        <f aca="false">IF($C175="&lt;01","",100%)</f>
        <v>1</v>
      </c>
      <c r="AG175" s="123" t="n">
        <f aca="false">0.98</f>
        <v>0.98</v>
      </c>
      <c r="AH175" s="123" t="n">
        <f aca="false">0.98</f>
        <v>0.98</v>
      </c>
      <c r="AI175" s="124" t="n">
        <f aca="false">IF(OR($C175="&lt;01",SUM($U175)=0),"",ROUND(SUM($U175)*(1-$AH175),0))</f>
        <v>0</v>
      </c>
      <c r="AJ175" s="124" t="n">
        <f aca="false">IF(AND(SUM($AE175)=0,SUM($U175)=0),"",IF($C175="&lt;01",SUM($AD175),SUM($AE175) - ROUND(SUM($U175)*$AH175,0)))</f>
        <v>4</v>
      </c>
      <c r="AK175" s="124" t="n">
        <v>11</v>
      </c>
      <c r="AL175" s="124" t="n">
        <v>43</v>
      </c>
      <c r="AM175" s="115" t="n">
        <f aca="false">IF(AND(SUM($AD175)=0,SUM($U175)=0),"",IF($C175="&lt;01",SUM($AD175),ROUND(ROUND(SUM($AJ175)*$AF175,0)/$AG175,0)))</f>
        <v>4</v>
      </c>
      <c r="AN175" s="122" t="n">
        <f aca="false">0.7</f>
        <v>0.7</v>
      </c>
      <c r="AO175" s="123" t="n">
        <f aca="false">1</f>
        <v>1</v>
      </c>
      <c r="AP175" s="115" t="n">
        <f aca="false">IF(AND(SUM($U175)=0,SUM($AM175)=0),"",ROUND((SUM($AM175)*$AN175+IF($C175="&lt;01",0,$U175))*$AO175,0))</f>
        <v>18</v>
      </c>
      <c r="AQ175" s="122" t="n">
        <v>47</v>
      </c>
      <c r="AR175" s="123" t="n">
        <f aca="false">0.95</f>
        <v>0.95</v>
      </c>
      <c r="AS175" s="123" t="n">
        <f aca="false">0.95</f>
        <v>0.95</v>
      </c>
      <c r="AT175" s="115" t="n">
        <f aca="false">IF(SUM($AP175)=0,"",ROUND(SUM($AP175)*$AR175,0))</f>
        <v>17</v>
      </c>
      <c r="AU175" s="115" t="n">
        <f aca="false">IF(LEFT($B175,4)="_Mil","",ROUND(SUM($AA175)*SUM($AS175),0))</f>
        <v>2004</v>
      </c>
      <c r="AV175" s="124" t="n">
        <f aca="false">IF(SUM($AU175)&lt;=0,"",MAX(SUM($AU175)-SUM($R175),0))</f>
        <v>2004</v>
      </c>
      <c r="AW175" s="122" t="n">
        <f aca="false">0</f>
        <v>0</v>
      </c>
      <c r="AX175" s="124" t="n">
        <f aca="false">IF(SUM($AM175)=0,"",ROUND(SUM($AM175)*SUM($AW175),0))</f>
        <v>0</v>
      </c>
      <c r="AY175" s="124" t="n">
        <f aca="false">IF(SUM($AM175)=0,"",SUM($AM175)-SUM($AX175))</f>
        <v>4</v>
      </c>
      <c r="AZ175" s="123" t="n">
        <v>11</v>
      </c>
      <c r="BA175" s="123" t="n">
        <f aca="false">0.95</f>
        <v>0.95</v>
      </c>
      <c r="BB175" s="123"/>
      <c r="BC175" s="123" t="n">
        <f aca="false">IF(OR(SUM($AM175)&lt;=0,$C175="&lt;01"),"",MAX(IF(OR(SUM($Y175)&lt;70%,LEFT($B175,4)="_Mil"),30%,IF(SUM($Y175)&gt;=80%,75%,50%)),SUM($BB175)))</f>
        <v>0.5</v>
      </c>
      <c r="BD175" s="115" t="n">
        <f aca="false">IF($C175="&lt;01",IFERROR(ROUND(INDEX(EID!$M:$M,MATCH($B175,EID!$B:$B,0)),0)/2,""),IF(SUM($AY175)=0,"",ROUND(SUM($AY175)/SUM($BA175),0)))</f>
        <v>4</v>
      </c>
      <c r="BE175" s="115" t="n">
        <f aca="false">IF($C175="&lt;01","",IF(SUM($BD175)=0,"",ROUND(SUM($BD175)*SUM($BC175),0)))</f>
        <v>2</v>
      </c>
      <c r="BF175" s="115" t="n">
        <f aca="false">_xlfn.IFNA(INDEX(PMTCT!$AE:$AE,MATCH($E175,PMTCT!$E:$E,0)),"")</f>
        <v>-392</v>
      </c>
      <c r="BG175" s="115" t="str">
        <f aca="false">_xlfn.IFNA(INDEX(PMTCT!$AU:$AU,MATCH($E175,PMTCT!$E:$E,0)),"")</f>
        <v/>
      </c>
      <c r="BH175" s="115" t="n">
        <f aca="false">_xlfn.IFNA(INDEX(TB!$Q:$Q,MATCH($E175,TB!$E:$E,0)),"")</f>
        <v>-12375</v>
      </c>
      <c r="BI175" s="115" t="str">
        <f aca="false">_xlfn.IFNA(INDEX(VMMC!$AC:$AC,MATCH($E175,VMMC!$E:$E,0)),"")</f>
        <v/>
      </c>
      <c r="BJ175" s="115" t="str">
        <f aca="false">IF($C175="&lt;01",$BD175,"")</f>
        <v/>
      </c>
      <c r="BK175" s="115" t="n">
        <f aca="false">IF(SUM($BD175)=0,"",($BD175)-SUM($BE175:$BJ175))</f>
        <v>12769</v>
      </c>
      <c r="BL175" s="123" t="n">
        <f aca="false">IF(OR(SUM($BD175)=0,SUM($BE175)=0),"",SUM($BE175)/$BD175)</f>
        <v>0.5</v>
      </c>
      <c r="BM175" s="123" t="n">
        <f aca="false">IF(OR(SUM($BD175)=0,SUM($BF175)=0),"",SUM($BF175)/$BD175)</f>
        <v>-98</v>
      </c>
      <c r="BN175" s="123" t="str">
        <f aca="false">IF(OR(SUM($BD175)=0,SUM($BG175)=0),"",SUM($BG175)/$BD175)</f>
        <v/>
      </c>
      <c r="BO175" s="123" t="n">
        <f aca="false">IF(OR(SUM($BD175)=0,SUM($BH175)=0),"",SUM($BH175)/$BD175)</f>
        <v>-3093.75</v>
      </c>
      <c r="BP175" s="123" t="str">
        <f aca="false">IF(OR(SUM($BD175)=0,SUM($BI175)=0),"",SUM($BI175)/$BD175)</f>
        <v/>
      </c>
      <c r="BQ175" s="123" t="str">
        <f aca="false">IF(AND($C175="&lt;01",SUM($BJ175)&lt;&gt;0),$BJ175/SUM($BD175),"")</f>
        <v/>
      </c>
      <c r="BR175" s="123" t="n">
        <f aca="false">IF(OR(SUM($BD175)=0,SUM($BK175)=0),"",SUM($BK175)/$BD175)</f>
        <v>3192.25</v>
      </c>
      <c r="BS175" s="122" t="n">
        <f aca="false">IF(SUM($X175)&lt;=0,"",$X175)</f>
        <v>0.00914076782449726</v>
      </c>
      <c r="BT175" s="115" t="n">
        <f aca="false">IF(LEFT($B175,4)="_Mil","",MAX(SUM($L175)+ROUND(SUM($BD175)/IF(SUM($BS175)&lt;=0,1,SUM($BS175)),0),0))</f>
        <v>2200</v>
      </c>
    </row>
    <row r="176" customFormat="false" ht="15" hidden="false" customHeight="false" outlineLevel="0" collapsed="false">
      <c r="A176" s="0" t="s">
        <v>147</v>
      </c>
      <c r="B176" s="0" t="s">
        <v>105</v>
      </c>
      <c r="C176" s="0" t="s">
        <v>75</v>
      </c>
      <c r="D176" s="0" t="s">
        <v>58</v>
      </c>
      <c r="E176" s="0" t="str">
        <f aca="false">B176&amp;"|"&amp;C176&amp;"|"&amp;D176</f>
        <v>Mohale's Hoek [#SNU] [#DREAMS] [YGI7vISD2kJ]|35-39|Male</v>
      </c>
      <c r="F176" s="115" t="n">
        <f aca="false">_xlfn.IFNA(ROUND(INDEX(Spectrum!$N:$N,MATCH(RIGHT($B176,13)&amp;"|"&amp;$C176&amp;"|"&amp;$D176&amp;"|"&amp;F$14&amp;"|"&amp;"CY2021Q3",Spectrum!$Q:$Q,0)),0),"")</f>
        <v>5666</v>
      </c>
      <c r="G176" s="123" t="n">
        <f aca="false">_xlfn.IFNA(INDEX(Spectrum!$P:$P,MATCH(RIGHT($B176,13)&amp;"|"&amp;$C176&amp;"|"&amp;$D176&amp;"|"&amp;F$14&amp;"|"&amp;"CY2021Q3",Spectrum!$Q:$Q,0)),"")</f>
        <v>40</v>
      </c>
      <c r="H176" s="115" t="n">
        <f aca="false">_xlfn.IFNA(ROUND(INDEX(Spectrum!$N:$N,MATCH(RIGHT($B176,13)&amp;"|"&amp;$C176&amp;"|"&amp;$D176&amp;"|"&amp;H$14&amp;"|"&amp;"CY2021Q3",Spectrum!$Q:$Q,0)),0),"")</f>
        <v>1903</v>
      </c>
      <c r="I176" s="123" t="n">
        <f aca="false">_xlfn.IFNA(INDEX(Spectrum!$P:$P,MATCH(RIGHT($B176,13)&amp;"|"&amp;$C176&amp;"|"&amp;$D176&amp;"|"&amp;H$14&amp;"|"&amp;"CY2021Q3",Spectrum!$Q:$Q,0)),"")</f>
        <v>44</v>
      </c>
      <c r="J176" s="117" t="n">
        <f aca="false">_xlfn.IFNA(INDEX(Spectrum!$N:$N,MATCH(RIGHT($B176,13)&amp;"|"&amp;$C176&amp;"|"&amp;$D176&amp;"|"&amp;J$14&amp;"|"&amp;"CY2021Q3",Spectrum!$Q:$Q,0)),"")</f>
        <v>0.3358209</v>
      </c>
      <c r="K176" s="123" t="n">
        <f aca="false">_xlfn.IFNA(INDEX(Spectrum!$P:$P,MATCH(RIGHT($B176,13)&amp;"|"&amp;$C176&amp;"|"&amp;$D176&amp;"|"&amp;J$14&amp;"|"&amp;"CY2021Q3",Spectrum!$Q:$Q,0)),"")</f>
        <v>41</v>
      </c>
      <c r="L176" s="115" t="n">
        <f aca="false">_xlfn.IFNA(ROUND(INDEX(Spectrum!$N:$N,MATCH(RIGHT($B176,13)&amp;"|"&amp;$C176&amp;"|"&amp;$D176&amp;"|"&amp;L$14&amp;"|"&amp;"CY2021Q3",Spectrum!$Q:$Q,0)),0),"")</f>
        <v>1187</v>
      </c>
      <c r="M176" s="123" t="n">
        <f aca="false">IF(OR(SUM($H176)&lt;=0,SUM($L176)&lt;=0),"",SUM($L176)/$H176)</f>
        <v>0.62375197057278</v>
      </c>
      <c r="N176" s="115" t="str">
        <f aca="false">_xlfn.IFNA(ROUND(INDEX(Spectrum!$N:$N,MATCH(RIGHT($B176,13)&amp;"|"&amp;$C176&amp;"|"&amp;$D176&amp;"|"&amp;N$14&amp;"|"&amp;"CY2020Q4",Spectrum!$Q:$Q,0)),0),"")</f>
        <v/>
      </c>
      <c r="O176" s="123" t="str">
        <f aca="false">_xlfn.IFNA(INDEX(Spectrum!$P:$P,MATCH(RIGHT($B176,13)&amp;"|"&amp;$C176&amp;"|"&amp;$D176&amp;"|"&amp;N$14&amp;"|"&amp;"CY2020Q4",Spectrum!$Q:$Q,0)),"")</f>
        <v/>
      </c>
      <c r="P176" s="115" t="n">
        <f aca="false">_xlfn.IFNA(ROUND(INDEX(Spectrum!$N:$N,MATCH(RIGHT($B176,13)&amp;"|"&amp;$C176&amp;"|"&amp;$D176&amp;"|"&amp;P$14&amp;"|"&amp;"CY2021Q3",Spectrum!$Q:$Q,0)),0),"")</f>
        <v>987</v>
      </c>
      <c r="Q176" s="123" t="n">
        <f aca="false">_xlfn.IFNA(INDEX(Spectrum!$P:$P,MATCH(RIGHT($B176,13)&amp;"|"&amp;$C176&amp;"|"&amp;$D176&amp;"|"&amp;P$14&amp;"|"&amp;"CY2021Q3",Spectrum!$Q:$Q,0)),"")</f>
        <v>27</v>
      </c>
      <c r="R176" s="115"/>
      <c r="S176" s="123" t="str">
        <f aca="false">IF(OR(SUM($P176)&lt;=0,SUM($R176)&lt;=0),"",SUM($R176)/$P176)</f>
        <v/>
      </c>
      <c r="T176" s="139" t="n">
        <v>25</v>
      </c>
      <c r="U176" s="124" t="n">
        <v>30</v>
      </c>
      <c r="V176" s="124" t="n">
        <f aca="false">IF($U176-$T176=0,"",$U176-$T176)</f>
        <v>5</v>
      </c>
      <c r="W176" s="123" t="n">
        <f aca="false">IF(LEFT($B176,4)="_Mil","",IFERROR(MIN(IF(SUM($N176)&lt;=0,SUM($U176)/SUM($P176),SUM($T176)/SUM($N176)),1),""))</f>
        <v>0.0303951367781155</v>
      </c>
      <c r="X176" s="123" t="n">
        <f aca="false">$W176</f>
        <v>0.0303951367781155</v>
      </c>
      <c r="Y176" s="123" t="n">
        <f aca="false">IFERROR(1/(1/INDEX(Spectrum!$N:$N,MATCH(RIGHT($B176,13)&amp;"|"&amp;$C176&amp;"|"&amp;$D176&amp;"|"&amp;Y$14&amp;"|"&amp;"CY2021Q3",Spectrum!$Q:$Q,0))),IF(SUM($H176)=0,"",MAX(SUM($P176),SUM($U176))/SUM($H176)))</f>
        <v>0.518654755648975</v>
      </c>
      <c r="Z176" s="123" t="n">
        <f aca="false">IF(SUM($Y176)=0,"",MAX(SUM($Y176),90%))</f>
        <v>0.9</v>
      </c>
      <c r="AA176" s="115" t="n">
        <f aca="false">IF(LEFT($B176,4)="_Mil","",ROUND(MAX(SUM($U176),SUM($P176))+IF(SUM($Z176)=0,0,MAX(SUM($Z176)-SUM($Y176),0)*SUM($H176)),0))</f>
        <v>1713</v>
      </c>
      <c r="AB176" s="115" t="n">
        <f aca="false">IF(SUM($AA176)=0,"",ROUND(MAX(SUM($AA176)-MAX(SUM($P176),SUM($U176)),0),0))</f>
        <v>726</v>
      </c>
      <c r="AC176" s="126" t="str">
        <f aca="false">IF($C176="&lt;01",IFERROR(ROUND(INDEX(EID!$N:$N,MATCH($B176,EID!$B:$B,0))/2,0),""),"")</f>
        <v/>
      </c>
      <c r="AD176" s="115" t="n">
        <f aca="false">IF($C176="&lt;01",IF(SUM($AC176)=0,"",ROUND(SUM($AC176)/$AG176,0)),IF(SUM($AB176)=0,"",ROUND(MAX($X176,0)*SUM($AB176),0)))</f>
        <v>22</v>
      </c>
      <c r="AE176" s="115" t="n">
        <f aca="false">IF(AND(SUM($AD176)=0,SUM($U176)=0),"",ROUND(IF($C176="&lt;01",0,SUM($U176))+SUM($AD176),0))</f>
        <v>52</v>
      </c>
      <c r="AF176" s="122" t="n">
        <f aca="false">IF($C176="&lt;01","",100%)</f>
        <v>1</v>
      </c>
      <c r="AG176" s="123" t="n">
        <f aca="false">0.98</f>
        <v>0.98</v>
      </c>
      <c r="AH176" s="123" t="n">
        <f aca="false">0.98</f>
        <v>0.98</v>
      </c>
      <c r="AI176" s="124" t="n">
        <f aca="false">IF(OR($C176="&lt;01",SUM($U176)=0),"",ROUND(SUM($U176)*(1-$AH176),0))</f>
        <v>1</v>
      </c>
      <c r="AJ176" s="124" t="n">
        <f aca="false">IF(AND(SUM($AE176)=0,SUM($U176)=0),"",IF($C176="&lt;01",SUM($AD176),SUM($AE176) - ROUND(SUM($U176)*$AH176,0)))</f>
        <v>23</v>
      </c>
      <c r="AK176" s="124" t="n">
        <v>30</v>
      </c>
      <c r="AL176" s="124" t="n">
        <v>8</v>
      </c>
      <c r="AM176" s="115" t="n">
        <f aca="false">IF(AND(SUM($AD176)=0,SUM($U176)=0),"",IF($C176="&lt;01",SUM($AD176),ROUND(ROUND(SUM($AJ176)*$AF176,0)/$AG176,0)))</f>
        <v>23</v>
      </c>
      <c r="AN176" s="122" t="n">
        <f aca="false">0.7</f>
        <v>0.7</v>
      </c>
      <c r="AO176" s="123" t="n">
        <f aca="false">1</f>
        <v>1</v>
      </c>
      <c r="AP176" s="115" t="n">
        <f aca="false">IF(AND(SUM($U176)=0,SUM($AM176)=0),"",ROUND((SUM($AM176)*$AN176+IF($C176="&lt;01",0,$U176))*$AO176,0))</f>
        <v>46</v>
      </c>
      <c r="AQ176" s="122" t="n">
        <v>2</v>
      </c>
      <c r="AR176" s="123" t="n">
        <f aca="false">0.95</f>
        <v>0.95</v>
      </c>
      <c r="AS176" s="123" t="n">
        <f aca="false">0.95</f>
        <v>0.95</v>
      </c>
      <c r="AT176" s="115" t="n">
        <f aca="false">IF(SUM($AP176)=0,"",ROUND(SUM($AP176)*$AR176,0))</f>
        <v>44</v>
      </c>
      <c r="AU176" s="115" t="n">
        <f aca="false">IF(LEFT($B176,4)="_Mil","",ROUND(SUM($AA176)*SUM($AS176),0))</f>
        <v>1627</v>
      </c>
      <c r="AV176" s="124" t="n">
        <f aca="false">IF(SUM($AU176)&lt;=0,"",MAX(SUM($AU176)-SUM($R176),0))</f>
        <v>1627</v>
      </c>
      <c r="AW176" s="122" t="n">
        <f aca="false">0</f>
        <v>0</v>
      </c>
      <c r="AX176" s="124" t="n">
        <f aca="false">IF(SUM($AM176)=0,"",ROUND(SUM($AM176)*SUM($AW176),0))</f>
        <v>0</v>
      </c>
      <c r="AY176" s="124" t="n">
        <f aca="false">IF(SUM($AM176)=0,"",SUM($AM176)-SUM($AX176))</f>
        <v>23</v>
      </c>
      <c r="AZ176" s="123" t="n">
        <v>23</v>
      </c>
      <c r="BA176" s="123" t="n">
        <f aca="false">0.95</f>
        <v>0.95</v>
      </c>
      <c r="BB176" s="123"/>
      <c r="BC176" s="123" t="n">
        <f aca="false">IF(OR(SUM($AM176)&lt;=0,$C176="&lt;01"),"",MAX(IF(OR(SUM($Y176)&lt;70%,LEFT($B176,4)="_Mil"),30%,IF(SUM($Y176)&gt;=80%,75%,50%)),SUM($BB176)))</f>
        <v>0.3</v>
      </c>
      <c r="BD176" s="115" t="n">
        <f aca="false">IF($C176="&lt;01",IFERROR(ROUND(INDEX(EID!$M:$M,MATCH($B176,EID!$B:$B,0)),0)/2,""),IF(SUM($AY176)=0,"",ROUND(SUM($AY176)/SUM($BA176),0)))</f>
        <v>24</v>
      </c>
      <c r="BE176" s="115" t="n">
        <f aca="false">IF($C176="&lt;01","",IF(SUM($BD176)=0,"",ROUND(SUM($BD176)*SUM($BC176),0)))</f>
        <v>7</v>
      </c>
      <c r="BF176" s="115" t="str">
        <f aca="false">_xlfn.IFNA(INDEX(PMTCT!$AE:$AE,MATCH($E176,PMTCT!$E:$E,0)),"")</f>
        <v/>
      </c>
      <c r="BG176" s="115" t="str">
        <f aca="false">_xlfn.IFNA(INDEX(PMTCT!$AU:$AU,MATCH($E176,PMTCT!$E:$E,0)),"")</f>
        <v/>
      </c>
      <c r="BH176" s="115" t="n">
        <f aca="false">_xlfn.IFNA(INDEX(TB!$Q:$Q,MATCH($E176,TB!$E:$E,0)),"")</f>
        <v>-60</v>
      </c>
      <c r="BI176" s="115" t="str">
        <f aca="false">_xlfn.IFNA(INDEX(VMMC!$AC:$AC,MATCH($E176,VMMC!$E:$E,0)),"")</f>
        <v/>
      </c>
      <c r="BJ176" s="115" t="str">
        <f aca="false">IF($C176="&lt;01",$BD176,"")</f>
        <v/>
      </c>
      <c r="BK176" s="115" t="n">
        <f aca="false">IF(SUM($BD176)=0,"",($BD176)-SUM($BE176:$BJ176))</f>
        <v>77</v>
      </c>
      <c r="BL176" s="123" t="n">
        <f aca="false">IF(OR(SUM($BD176)=0,SUM($BE176)=0),"",SUM($BE176)/$BD176)</f>
        <v>0.291666666666667</v>
      </c>
      <c r="BM176" s="123" t="str">
        <f aca="false">IF(OR(SUM($BD176)=0,SUM($BF176)=0),"",SUM($BF176)/$BD176)</f>
        <v/>
      </c>
      <c r="BN176" s="123" t="str">
        <f aca="false">IF(OR(SUM($BD176)=0,SUM($BG176)=0),"",SUM($BG176)/$BD176)</f>
        <v/>
      </c>
      <c r="BO176" s="123" t="n">
        <f aca="false">IF(OR(SUM($BD176)=0,SUM($BH176)=0),"",SUM($BH176)/$BD176)</f>
        <v>-2.5</v>
      </c>
      <c r="BP176" s="123" t="str">
        <f aca="false">IF(OR(SUM($BD176)=0,SUM($BI176)=0),"",SUM($BI176)/$BD176)</f>
        <v/>
      </c>
      <c r="BQ176" s="123" t="str">
        <f aca="false">IF(AND($C176="&lt;01",SUM($BJ176)&lt;&gt;0),$BJ176/SUM($BD176),"")</f>
        <v/>
      </c>
      <c r="BR176" s="123" t="n">
        <f aca="false">IF(OR(SUM($BD176)=0,SUM($BK176)=0),"",SUM($BK176)/$BD176)</f>
        <v>3.20833333333333</v>
      </c>
      <c r="BS176" s="122" t="n">
        <f aca="false">IF(SUM($X176)&lt;=0,"",$X176)</f>
        <v>0.0303951367781155</v>
      </c>
      <c r="BT176" s="115" t="n">
        <f aca="false">IF(LEFT($B176,4)="_Mil","",MAX(SUM($L176)+ROUND(SUM($BD176)/IF(SUM($BS176)&lt;=0,1,SUM($BS176)),0),0))</f>
        <v>1977</v>
      </c>
    </row>
    <row r="177" customFormat="false" ht="15" hidden="false" customHeight="false" outlineLevel="0" collapsed="false">
      <c r="A177" s="0" t="s">
        <v>147</v>
      </c>
      <c r="B177" s="0" t="s">
        <v>105</v>
      </c>
      <c r="C177" s="0" t="s">
        <v>77</v>
      </c>
      <c r="D177" s="0" t="s">
        <v>56</v>
      </c>
      <c r="E177" s="0" t="str">
        <f aca="false">B177&amp;"|"&amp;C177&amp;"|"&amp;D177</f>
        <v>Mohale's Hoek [#SNU] [#DREAMS] [YGI7vISD2kJ]|40-44|Female</v>
      </c>
      <c r="F177" s="115" t="n">
        <f aca="false">_xlfn.IFNA(ROUND(INDEX(Spectrum!$N:$N,MATCH(RIGHT($B177,13)&amp;"|"&amp;$C177&amp;"|"&amp;$D177&amp;"|"&amp;F$14&amp;"|"&amp;"CY2021Q3",Spectrum!$Q:$Q,0)),0),"")</f>
        <v>3526</v>
      </c>
      <c r="G177" s="123" t="n">
        <f aca="false">_xlfn.IFNA(INDEX(Spectrum!$P:$P,MATCH(RIGHT($B177,13)&amp;"|"&amp;$C177&amp;"|"&amp;$D177&amp;"|"&amp;F$14&amp;"|"&amp;"CY2021Q3",Spectrum!$Q:$Q,0)),"")</f>
        <v>47</v>
      </c>
      <c r="H177" s="115" t="n">
        <f aca="false">_xlfn.IFNA(ROUND(INDEX(Spectrum!$N:$N,MATCH(RIGHT($B177,13)&amp;"|"&amp;$C177&amp;"|"&amp;$D177&amp;"|"&amp;H$14&amp;"|"&amp;"CY2021Q3",Spectrum!$Q:$Q,0)),0),"")</f>
        <v>1861</v>
      </c>
      <c r="I177" s="123" t="n">
        <f aca="false">_xlfn.IFNA(INDEX(Spectrum!$P:$P,MATCH(RIGHT($B177,13)&amp;"|"&amp;$C177&amp;"|"&amp;$D177&amp;"|"&amp;H$14&amp;"|"&amp;"CY2021Q3",Spectrum!$Q:$Q,0)),"")</f>
        <v>10</v>
      </c>
      <c r="J177" s="117" t="n">
        <f aca="false">_xlfn.IFNA(INDEX(Spectrum!$N:$N,MATCH(RIGHT($B177,13)&amp;"|"&amp;$C177&amp;"|"&amp;$D177&amp;"|"&amp;J$14&amp;"|"&amp;"CY2021Q3",Spectrum!$Q:$Q,0)),"")</f>
        <v>0.5278903</v>
      </c>
      <c r="K177" s="123" t="n">
        <f aca="false">_xlfn.IFNA(INDEX(Spectrum!$P:$P,MATCH(RIGHT($B177,13)&amp;"|"&amp;$C177&amp;"|"&amp;$D177&amp;"|"&amp;J$14&amp;"|"&amp;"CY2021Q3",Spectrum!$Q:$Q,0)),"")</f>
        <v>35</v>
      </c>
      <c r="L177" s="115" t="n">
        <f aca="false">_xlfn.IFNA(ROUND(INDEX(Spectrum!$N:$N,MATCH(RIGHT($B177,13)&amp;"|"&amp;$C177&amp;"|"&amp;$D177&amp;"|"&amp;L$14&amp;"|"&amp;"CY2021Q3",Spectrum!$Q:$Q,0)),0),"")</f>
        <v>1716</v>
      </c>
      <c r="M177" s="123" t="n">
        <f aca="false">IF(OR(SUM($H177)&lt;=0,SUM($L177)&lt;=0),"",SUM($L177)/$H177)</f>
        <v>0.92208490059108</v>
      </c>
      <c r="N177" s="115" t="str">
        <f aca="false">_xlfn.IFNA(ROUND(INDEX(Spectrum!$N:$N,MATCH(RIGHT($B177,13)&amp;"|"&amp;$C177&amp;"|"&amp;$D177&amp;"|"&amp;N$14&amp;"|"&amp;"CY2020Q4",Spectrum!$Q:$Q,0)),0),"")</f>
        <v/>
      </c>
      <c r="O177" s="123" t="str">
        <f aca="false">_xlfn.IFNA(INDEX(Spectrum!$P:$P,MATCH(RIGHT($B177,13)&amp;"|"&amp;$C177&amp;"|"&amp;$D177&amp;"|"&amp;N$14&amp;"|"&amp;"CY2020Q4",Spectrum!$Q:$Q,0)),"")</f>
        <v/>
      </c>
      <c r="P177" s="115" t="n">
        <f aca="false">_xlfn.IFNA(ROUND(INDEX(Spectrum!$N:$N,MATCH(RIGHT($B177,13)&amp;"|"&amp;$C177&amp;"|"&amp;$D177&amp;"|"&amp;P$14&amp;"|"&amp;"CY2021Q3",Spectrum!$Q:$Q,0)),0),"")</f>
        <v>1626</v>
      </c>
      <c r="Q177" s="123" t="n">
        <f aca="false">_xlfn.IFNA(INDEX(Spectrum!$P:$P,MATCH(RIGHT($B177,13)&amp;"|"&amp;$C177&amp;"|"&amp;$D177&amp;"|"&amp;P$14&amp;"|"&amp;"CY2021Q3",Spectrum!$Q:$Q,0)),"")</f>
        <v>5</v>
      </c>
      <c r="R177" s="115"/>
      <c r="S177" s="123" t="str">
        <f aca="false">IF(OR(SUM($P177)&lt;=0,SUM($R177)&lt;=0),"",SUM($R177)/$P177)</f>
        <v/>
      </c>
      <c r="T177" s="139" t="n">
        <v>3</v>
      </c>
      <c r="U177" s="124" t="n">
        <v>43</v>
      </c>
      <c r="V177" s="124" t="n">
        <f aca="false">IF($U177-$T177=0,"",$U177-$T177)</f>
        <v>40</v>
      </c>
      <c r="W177" s="123" t="n">
        <f aca="false">IF(LEFT($B177,4)="_Mil","",IFERROR(MIN(IF(SUM($N177)&lt;=0,SUM($U177)/SUM($P177),SUM($T177)/SUM($N177)),1),""))</f>
        <v>0.0264452644526445</v>
      </c>
      <c r="X177" s="123" t="n">
        <f aca="false">$W177</f>
        <v>0.0264452644526445</v>
      </c>
      <c r="Y177" s="123" t="n">
        <f aca="false">IFERROR(1/(1/INDEX(Spectrum!$N:$N,MATCH(RIGHT($B177,13)&amp;"|"&amp;$C177&amp;"|"&amp;$D177&amp;"|"&amp;Y$14&amp;"|"&amp;"CY2021Q3",Spectrum!$Q:$Q,0))),IF(SUM($H177)=0,"",MAX(SUM($P177),SUM($U177))/SUM($H177)))</f>
        <v>0.873723804406233</v>
      </c>
      <c r="Z177" s="123" t="n">
        <f aca="false">IF(SUM($Y177)=0,"",MAX(SUM($Y177),90%))</f>
        <v>0.9</v>
      </c>
      <c r="AA177" s="115" t="n">
        <f aca="false">IF(LEFT($B177,4)="_Mil","",ROUND(MAX(SUM($U177),SUM($P177))+IF(SUM($Z177)=0,0,MAX(SUM($Z177)-SUM($Y177),0)*SUM($H177)),0))</f>
        <v>1675</v>
      </c>
      <c r="AB177" s="115" t="n">
        <f aca="false">IF(SUM($AA177)=0,"",ROUND(MAX(SUM($AA177)-MAX(SUM($P177),SUM($U177)),0),0))</f>
        <v>49</v>
      </c>
      <c r="AC177" s="126" t="str">
        <f aca="false">IF($C177="&lt;01",IFERROR(ROUND(INDEX(EID!$N:$N,MATCH($B177,EID!$B:$B,0))/2,0),""),"")</f>
        <v/>
      </c>
      <c r="AD177" s="115" t="n">
        <f aca="false">IF($C177="&lt;01",IF(SUM($AC177)=0,"",ROUND(SUM($AC177)/$AG177,0)),IF(SUM($AB177)=0,"",ROUND(MAX($X177,0)*SUM($AB177),0)))</f>
        <v>1</v>
      </c>
      <c r="AE177" s="115" t="n">
        <f aca="false">IF(AND(SUM($AD177)=0,SUM($U177)=0),"",ROUND(IF($C177="&lt;01",0,SUM($U177))+SUM($AD177),0))</f>
        <v>44</v>
      </c>
      <c r="AF177" s="122" t="n">
        <f aca="false">IF($C177="&lt;01","",100%)</f>
        <v>1</v>
      </c>
      <c r="AG177" s="123" t="n">
        <f aca="false">0.98</f>
        <v>0.98</v>
      </c>
      <c r="AH177" s="123" t="n">
        <f aca="false">0.98</f>
        <v>0.98</v>
      </c>
      <c r="AI177" s="124" t="n">
        <f aca="false">IF(OR($C177="&lt;01",SUM($U177)=0),"",ROUND(SUM($U177)*(1-$AH177),0))</f>
        <v>1</v>
      </c>
      <c r="AJ177" s="124" t="n">
        <f aca="false">IF(AND(SUM($AE177)=0,SUM($U177)=0),"",IF($C177="&lt;01",SUM($AD177),SUM($AE177) - ROUND(SUM($U177)*$AH177,0)))</f>
        <v>2</v>
      </c>
      <c r="AK177" s="124" t="n">
        <v>33</v>
      </c>
      <c r="AL177" s="124" t="n">
        <v>10</v>
      </c>
      <c r="AM177" s="115" t="n">
        <f aca="false">IF(AND(SUM($AD177)=0,SUM($U177)=0),"",IF($C177="&lt;01",SUM($AD177),ROUND(ROUND(SUM($AJ177)*$AF177,0)/$AG177,0)))</f>
        <v>2</v>
      </c>
      <c r="AN177" s="122" t="n">
        <f aca="false">0.7</f>
        <v>0.7</v>
      </c>
      <c r="AO177" s="123" t="n">
        <f aca="false">1</f>
        <v>1</v>
      </c>
      <c r="AP177" s="115" t="n">
        <f aca="false">IF(AND(SUM($U177)=0,SUM($AM177)=0),"",ROUND((SUM($AM177)*$AN177+IF($C177="&lt;01",0,$U177))*$AO177,0))</f>
        <v>44</v>
      </c>
      <c r="AQ177" s="122" t="n">
        <v>5</v>
      </c>
      <c r="AR177" s="123" t="n">
        <f aca="false">0.95</f>
        <v>0.95</v>
      </c>
      <c r="AS177" s="123" t="n">
        <f aca="false">0.95</f>
        <v>0.95</v>
      </c>
      <c r="AT177" s="115" t="n">
        <f aca="false">IF(SUM($AP177)=0,"",ROUND(SUM($AP177)*$AR177,0))</f>
        <v>42</v>
      </c>
      <c r="AU177" s="115" t="n">
        <f aca="false">IF(LEFT($B177,4)="_Mil","",ROUND(SUM($AA177)*SUM($AS177),0))</f>
        <v>1591</v>
      </c>
      <c r="AV177" s="124" t="n">
        <f aca="false">IF(SUM($AU177)&lt;=0,"",MAX(SUM($AU177)-SUM($R177),0))</f>
        <v>1591</v>
      </c>
      <c r="AW177" s="122" t="n">
        <f aca="false">0</f>
        <v>0</v>
      </c>
      <c r="AX177" s="124" t="n">
        <f aca="false">IF(SUM($AM177)=0,"",ROUND(SUM($AM177)*SUM($AW177),0))</f>
        <v>0</v>
      </c>
      <c r="AY177" s="124" t="n">
        <f aca="false">IF(SUM($AM177)=0,"",SUM($AM177)-SUM($AX177))</f>
        <v>2</v>
      </c>
      <c r="AZ177" s="123" t="n">
        <v>12</v>
      </c>
      <c r="BA177" s="123" t="n">
        <f aca="false">0.95</f>
        <v>0.95</v>
      </c>
      <c r="BB177" s="123"/>
      <c r="BC177" s="123" t="n">
        <f aca="false">IF(OR(SUM($AM177)&lt;=0,$C177="&lt;01"),"",MAX(IF(OR(SUM($Y177)&lt;70%,LEFT($B177,4)="_Mil"),30%,IF(SUM($Y177)&gt;=80%,75%,50%)),SUM($BB177)))</f>
        <v>0.75</v>
      </c>
      <c r="BD177" s="115" t="n">
        <f aca="false">IF($C177="&lt;01",IFERROR(ROUND(INDEX(EID!$M:$M,MATCH($B177,EID!$B:$B,0)),0)/2,""),IF(SUM($AY177)=0,"",ROUND(SUM($AY177)/SUM($BA177),0)))</f>
        <v>2</v>
      </c>
      <c r="BE177" s="115" t="n">
        <f aca="false">IF($C177="&lt;01","",IF(SUM($BD177)=0,"",ROUND(SUM($BD177)*SUM($BC177),0)))</f>
        <v>2</v>
      </c>
      <c r="BF177" s="115" t="n">
        <f aca="false">_xlfn.IFNA(INDEX(PMTCT!$AE:$AE,MATCH($E177,PMTCT!$E:$E,0)),"")</f>
        <v>-28710</v>
      </c>
      <c r="BG177" s="115" t="str">
        <f aca="false">_xlfn.IFNA(INDEX(PMTCT!$AU:$AU,MATCH($E177,PMTCT!$E:$E,0)),"")</f>
        <v/>
      </c>
      <c r="BH177" s="115" t="n">
        <f aca="false">_xlfn.IFNA(INDEX(TB!$Q:$Q,MATCH($E177,TB!$E:$E,0)),"")</f>
        <v>-19140</v>
      </c>
      <c r="BI177" s="115" t="str">
        <f aca="false">_xlfn.IFNA(INDEX(VMMC!$AC:$AC,MATCH($E177,VMMC!$E:$E,0)),"")</f>
        <v/>
      </c>
      <c r="BJ177" s="115" t="str">
        <f aca="false">IF($C177="&lt;01",$BD177,"")</f>
        <v/>
      </c>
      <c r="BK177" s="115" t="n">
        <f aca="false">IF(SUM($BD177)=0,"",($BD177)-SUM($BE177:$BJ177))</f>
        <v>47850</v>
      </c>
      <c r="BL177" s="123" t="n">
        <f aca="false">IF(OR(SUM($BD177)=0,SUM($BE177)=0),"",SUM($BE177)/$BD177)</f>
        <v>1</v>
      </c>
      <c r="BM177" s="123" t="n">
        <f aca="false">IF(OR(SUM($BD177)=0,SUM($BF177)=0),"",SUM($BF177)/$BD177)</f>
        <v>-14355</v>
      </c>
      <c r="BN177" s="123" t="str">
        <f aca="false">IF(OR(SUM($BD177)=0,SUM($BG177)=0),"",SUM($BG177)/$BD177)</f>
        <v/>
      </c>
      <c r="BO177" s="123" t="n">
        <f aca="false">IF(OR(SUM($BD177)=0,SUM($BH177)=0),"",SUM($BH177)/$BD177)</f>
        <v>-9570</v>
      </c>
      <c r="BP177" s="123" t="str">
        <f aca="false">IF(OR(SUM($BD177)=0,SUM($BI177)=0),"",SUM($BI177)/$BD177)</f>
        <v/>
      </c>
      <c r="BQ177" s="123" t="str">
        <f aca="false">IF(AND($C177="&lt;01",SUM($BJ177)&lt;&gt;0),$BJ177/SUM($BD177),"")</f>
        <v/>
      </c>
      <c r="BR177" s="123" t="n">
        <f aca="false">IF(OR(SUM($BD177)=0,SUM($BK177)=0),"",SUM($BK177)/$BD177)</f>
        <v>23925</v>
      </c>
      <c r="BS177" s="122" t="n">
        <f aca="false">IF(SUM($X177)&lt;=0,"",$X177)</f>
        <v>0.0264452644526445</v>
      </c>
      <c r="BT177" s="115" t="n">
        <f aca="false">IF(LEFT($B177,4)="_Mil","",MAX(SUM($L177)+ROUND(SUM($BD177)/IF(SUM($BS177)&lt;=0,1,SUM($BS177)),0),0))</f>
        <v>1792</v>
      </c>
    </row>
    <row r="178" customFormat="false" ht="15" hidden="false" customHeight="false" outlineLevel="0" collapsed="false">
      <c r="A178" s="0" t="s">
        <v>147</v>
      </c>
      <c r="B178" s="0" t="s">
        <v>105</v>
      </c>
      <c r="C178" s="0" t="s">
        <v>77</v>
      </c>
      <c r="D178" s="0" t="s">
        <v>58</v>
      </c>
      <c r="E178" s="0" t="str">
        <f aca="false">B178&amp;"|"&amp;C178&amp;"|"&amp;D178</f>
        <v>Mohale's Hoek [#SNU] [#DREAMS] [YGI7vISD2kJ]|40-44|Male</v>
      </c>
      <c r="F178" s="115" t="n">
        <f aca="false">_xlfn.IFNA(ROUND(INDEX(Spectrum!$N:$N,MATCH(RIGHT($B178,13)&amp;"|"&amp;$C178&amp;"|"&amp;$D178&amp;"|"&amp;F$14&amp;"|"&amp;"CY2021Q3",Spectrum!$Q:$Q,0)),0),"")</f>
        <v>3842</v>
      </c>
      <c r="G178" s="123" t="n">
        <f aca="false">_xlfn.IFNA(INDEX(Spectrum!$P:$P,MATCH(RIGHT($B178,13)&amp;"|"&amp;$C178&amp;"|"&amp;$D178&amp;"|"&amp;F$14&amp;"|"&amp;"CY2021Q3",Spectrum!$Q:$Q,0)),"")</f>
        <v>47</v>
      </c>
      <c r="H178" s="115" t="n">
        <f aca="false">_xlfn.IFNA(ROUND(INDEX(Spectrum!$N:$N,MATCH(RIGHT($B178,13)&amp;"|"&amp;$C178&amp;"|"&amp;$D178&amp;"|"&amp;H$14&amp;"|"&amp;"CY2021Q3",Spectrum!$Q:$Q,0)),0),"")</f>
        <v>1622</v>
      </c>
      <c r="I178" s="123" t="n">
        <f aca="false">_xlfn.IFNA(INDEX(Spectrum!$P:$P,MATCH(RIGHT($B178,13)&amp;"|"&amp;$C178&amp;"|"&amp;$D178&amp;"|"&amp;H$14&amp;"|"&amp;"CY2021Q3",Spectrum!$Q:$Q,0)),"")</f>
        <v>26</v>
      </c>
      <c r="J178" s="117" t="n">
        <f aca="false">_xlfn.IFNA(INDEX(Spectrum!$N:$N,MATCH(RIGHT($B178,13)&amp;"|"&amp;$C178&amp;"|"&amp;$D178&amp;"|"&amp;J$14&amp;"|"&amp;"CY2021Q3",Spectrum!$Q:$Q,0)),"")</f>
        <v>0.4220097</v>
      </c>
      <c r="K178" s="123" t="n">
        <f aca="false">_xlfn.IFNA(INDEX(Spectrum!$P:$P,MATCH(RIGHT($B178,13)&amp;"|"&amp;$C178&amp;"|"&amp;$D178&amp;"|"&amp;J$14&amp;"|"&amp;"CY2021Q3",Spectrum!$Q:$Q,0)),"")</f>
        <v>42</v>
      </c>
      <c r="L178" s="115" t="n">
        <f aca="false">_xlfn.IFNA(ROUND(INDEX(Spectrum!$N:$N,MATCH(RIGHT($B178,13)&amp;"|"&amp;$C178&amp;"|"&amp;$D178&amp;"|"&amp;L$14&amp;"|"&amp;"CY2021Q3",Spectrum!$Q:$Q,0)),0),"")</f>
        <v>1204</v>
      </c>
      <c r="M178" s="123" t="n">
        <f aca="false">IF(OR(SUM($H178)&lt;=0,SUM($L178)&lt;=0),"",SUM($L178)/$H178)</f>
        <v>0.7422934648582</v>
      </c>
      <c r="N178" s="115" t="str">
        <f aca="false">_xlfn.IFNA(ROUND(INDEX(Spectrum!$N:$N,MATCH(RIGHT($B178,13)&amp;"|"&amp;$C178&amp;"|"&amp;$D178&amp;"|"&amp;N$14&amp;"|"&amp;"CY2020Q4",Spectrum!$Q:$Q,0)),0),"")</f>
        <v/>
      </c>
      <c r="O178" s="123" t="str">
        <f aca="false">_xlfn.IFNA(INDEX(Spectrum!$P:$P,MATCH(RIGHT($B178,13)&amp;"|"&amp;$C178&amp;"|"&amp;$D178&amp;"|"&amp;N$14&amp;"|"&amp;"CY2020Q4",Spectrum!$Q:$Q,0)),"")</f>
        <v/>
      </c>
      <c r="P178" s="115" t="n">
        <f aca="false">_xlfn.IFNA(ROUND(INDEX(Spectrum!$N:$N,MATCH(RIGHT($B178,13)&amp;"|"&amp;$C178&amp;"|"&amp;$D178&amp;"|"&amp;P$14&amp;"|"&amp;"CY2021Q3",Spectrum!$Q:$Q,0)),0),"")</f>
        <v>1027</v>
      </c>
      <c r="Q178" s="123" t="n">
        <f aca="false">_xlfn.IFNA(INDEX(Spectrum!$P:$P,MATCH(RIGHT($B178,13)&amp;"|"&amp;$C178&amp;"|"&amp;$D178&amp;"|"&amp;P$14&amp;"|"&amp;"CY2021Q3",Spectrum!$Q:$Q,0)),"")</f>
        <v>9</v>
      </c>
      <c r="R178" s="115"/>
      <c r="S178" s="123" t="str">
        <f aca="false">IF(OR(SUM($P178)&lt;=0,SUM($R178)&lt;=0),"",SUM($R178)/$P178)</f>
        <v/>
      </c>
      <c r="T178" s="139" t="n">
        <v>47</v>
      </c>
      <c r="U178" s="124" t="n">
        <v>45</v>
      </c>
      <c r="V178" s="124" t="n">
        <f aca="false">IF($U178-$T178=0,"",$U178-$T178)</f>
        <v>-2</v>
      </c>
      <c r="W178" s="123" t="n">
        <f aca="false">IF(LEFT($B178,4)="_Mil","",IFERROR(MIN(IF(SUM($N178)&lt;=0,SUM($U178)/SUM($P178),SUM($T178)/SUM($N178)),1),""))</f>
        <v>0.0438169425511198</v>
      </c>
      <c r="X178" s="123" t="n">
        <f aca="false">$W178</f>
        <v>0.0438169425511198</v>
      </c>
      <c r="Y178" s="123" t="n">
        <f aca="false">IFERROR(1/(1/INDEX(Spectrum!$N:$N,MATCH(RIGHT($B178,13)&amp;"|"&amp;$C178&amp;"|"&amp;$D178&amp;"|"&amp;Y$14&amp;"|"&amp;"CY2021Q3",Spectrum!$Q:$Q,0))),IF(SUM($H178)=0,"",MAX(SUM($P178),SUM($U178))/SUM($H178)))</f>
        <v>0.633168927250308</v>
      </c>
      <c r="Z178" s="123" t="n">
        <f aca="false">IF(SUM($Y178)=0,"",MAX(SUM($Y178),90%))</f>
        <v>0.9</v>
      </c>
      <c r="AA178" s="115" t="n">
        <f aca="false">IF(LEFT($B178,4)="_Mil","",ROUND(MAX(SUM($U178),SUM($P178))+IF(SUM($Z178)=0,0,MAX(SUM($Z178)-SUM($Y178),0)*SUM($H178)),0))</f>
        <v>1460</v>
      </c>
      <c r="AB178" s="115" t="n">
        <f aca="false">IF(SUM($AA178)=0,"",ROUND(MAX(SUM($AA178)-MAX(SUM($P178),SUM($U178)),0),0))</f>
        <v>433</v>
      </c>
      <c r="AC178" s="126" t="str">
        <f aca="false">IF($C178="&lt;01",IFERROR(ROUND(INDEX(EID!$N:$N,MATCH($B178,EID!$B:$B,0))/2,0),""),"")</f>
        <v/>
      </c>
      <c r="AD178" s="115" t="n">
        <f aca="false">IF($C178="&lt;01",IF(SUM($AC178)=0,"",ROUND(SUM($AC178)/$AG178,0)),IF(SUM($AB178)=0,"",ROUND(MAX($X178,0)*SUM($AB178),0)))</f>
        <v>19</v>
      </c>
      <c r="AE178" s="115" t="n">
        <f aca="false">IF(AND(SUM($AD178)=0,SUM($U178)=0),"",ROUND(IF($C178="&lt;01",0,SUM($U178))+SUM($AD178),0))</f>
        <v>64</v>
      </c>
      <c r="AF178" s="122" t="n">
        <f aca="false">IF($C178="&lt;01","",100%)</f>
        <v>1</v>
      </c>
      <c r="AG178" s="123" t="n">
        <f aca="false">0.98</f>
        <v>0.98</v>
      </c>
      <c r="AH178" s="123" t="n">
        <f aca="false">0.98</f>
        <v>0.98</v>
      </c>
      <c r="AI178" s="124" t="n">
        <f aca="false">IF(OR($C178="&lt;01",SUM($U178)=0),"",ROUND(SUM($U178)*(1-$AH178),0))</f>
        <v>1</v>
      </c>
      <c r="AJ178" s="124" t="n">
        <f aca="false">IF(AND(SUM($AE178)=0,SUM($U178)=0),"",IF($C178="&lt;01",SUM($AD178),SUM($AE178) - ROUND(SUM($U178)*$AH178,0)))</f>
        <v>20</v>
      </c>
      <c r="AK178" s="124" t="n">
        <v>31</v>
      </c>
      <c r="AL178" s="124" t="n">
        <v>29</v>
      </c>
      <c r="AM178" s="115" t="n">
        <f aca="false">IF(AND(SUM($AD178)=0,SUM($U178)=0),"",IF($C178="&lt;01",SUM($AD178),ROUND(ROUND(SUM($AJ178)*$AF178,0)/$AG178,0)))</f>
        <v>20</v>
      </c>
      <c r="AN178" s="122" t="n">
        <f aca="false">0.7</f>
        <v>0.7</v>
      </c>
      <c r="AO178" s="123" t="n">
        <f aca="false">1</f>
        <v>1</v>
      </c>
      <c r="AP178" s="115" t="n">
        <f aca="false">IF(AND(SUM($U178)=0,SUM($AM178)=0),"",ROUND((SUM($AM178)*$AN178+IF($C178="&lt;01",0,$U178))*$AO178,0))</f>
        <v>59</v>
      </c>
      <c r="AQ178" s="122" t="n">
        <v>37</v>
      </c>
      <c r="AR178" s="123" t="n">
        <f aca="false">0.95</f>
        <v>0.95</v>
      </c>
      <c r="AS178" s="123" t="n">
        <f aca="false">0.95</f>
        <v>0.95</v>
      </c>
      <c r="AT178" s="115" t="n">
        <f aca="false">IF(SUM($AP178)=0,"",ROUND(SUM($AP178)*$AR178,0))</f>
        <v>56</v>
      </c>
      <c r="AU178" s="115" t="n">
        <f aca="false">IF(LEFT($B178,4)="_Mil","",ROUND(SUM($AA178)*SUM($AS178),0))</f>
        <v>1387</v>
      </c>
      <c r="AV178" s="124" t="n">
        <f aca="false">IF(SUM($AU178)&lt;=0,"",MAX(SUM($AU178)-SUM($R178),0))</f>
        <v>1387</v>
      </c>
      <c r="AW178" s="122" t="n">
        <f aca="false">0</f>
        <v>0</v>
      </c>
      <c r="AX178" s="124" t="n">
        <f aca="false">IF(SUM($AM178)=0,"",ROUND(SUM($AM178)*SUM($AW178),0))</f>
        <v>0</v>
      </c>
      <c r="AY178" s="124" t="n">
        <f aca="false">IF(SUM($AM178)=0,"",SUM($AM178)-SUM($AX178))</f>
        <v>20</v>
      </c>
      <c r="AZ178" s="123" t="n">
        <v>18</v>
      </c>
      <c r="BA178" s="123" t="n">
        <f aca="false">0.95</f>
        <v>0.95</v>
      </c>
      <c r="BB178" s="123"/>
      <c r="BC178" s="123" t="n">
        <f aca="false">IF(OR(SUM($AM178)&lt;=0,$C178="&lt;01"),"",MAX(IF(OR(SUM($Y178)&lt;70%,LEFT($B178,4)="_Mil"),30%,IF(SUM($Y178)&gt;=80%,75%,50%)),SUM($BB178)))</f>
        <v>0.3</v>
      </c>
      <c r="BD178" s="115" t="n">
        <f aca="false">IF($C178="&lt;01",IFERROR(ROUND(INDEX(EID!$M:$M,MATCH($B178,EID!$B:$B,0)),0)/2,""),IF(SUM($AY178)=0,"",ROUND(SUM($AY178)/SUM($BA178),0)))</f>
        <v>21</v>
      </c>
      <c r="BE178" s="115" t="n">
        <f aca="false">IF($C178="&lt;01","",IF(SUM($BD178)=0,"",ROUND(SUM($BD178)*SUM($BC178),0)))</f>
        <v>6</v>
      </c>
      <c r="BF178" s="115" t="str">
        <f aca="false">_xlfn.IFNA(INDEX(PMTCT!$AE:$AE,MATCH($E178,PMTCT!$E:$E,0)),"")</f>
        <v/>
      </c>
      <c r="BG178" s="115" t="str">
        <f aca="false">_xlfn.IFNA(INDEX(PMTCT!$AU:$AU,MATCH($E178,PMTCT!$E:$E,0)),"")</f>
        <v/>
      </c>
      <c r="BH178" s="115" t="n">
        <f aca="false">_xlfn.IFNA(INDEX(TB!$Q:$Q,MATCH($E178,TB!$E:$E,0)),"")</f>
        <v>-8742</v>
      </c>
      <c r="BI178" s="115" t="str">
        <f aca="false">_xlfn.IFNA(INDEX(VMMC!$AC:$AC,MATCH($E178,VMMC!$E:$E,0)),"")</f>
        <v/>
      </c>
      <c r="BJ178" s="115" t="str">
        <f aca="false">IF($C178="&lt;01",$BD178,"")</f>
        <v/>
      </c>
      <c r="BK178" s="115" t="n">
        <f aca="false">IF(SUM($BD178)=0,"",($BD178)-SUM($BE178:$BJ178))</f>
        <v>8757</v>
      </c>
      <c r="BL178" s="123" t="n">
        <f aca="false">IF(OR(SUM($BD178)=0,SUM($BE178)=0),"",SUM($BE178)/$BD178)</f>
        <v>0.285714285714286</v>
      </c>
      <c r="BM178" s="123" t="str">
        <f aca="false">IF(OR(SUM($BD178)=0,SUM($BF178)=0),"",SUM($BF178)/$BD178)</f>
        <v/>
      </c>
      <c r="BN178" s="123" t="str">
        <f aca="false">IF(OR(SUM($BD178)=0,SUM($BG178)=0),"",SUM($BG178)/$BD178)</f>
        <v/>
      </c>
      <c r="BO178" s="123" t="n">
        <f aca="false">IF(OR(SUM($BD178)=0,SUM($BH178)=0),"",SUM($BH178)/$BD178)</f>
        <v>-416.285714285714</v>
      </c>
      <c r="BP178" s="123" t="str">
        <f aca="false">IF(OR(SUM($BD178)=0,SUM($BI178)=0),"",SUM($BI178)/$BD178)</f>
        <v/>
      </c>
      <c r="BQ178" s="123" t="str">
        <f aca="false">IF(AND($C178="&lt;01",SUM($BJ178)&lt;&gt;0),$BJ178/SUM($BD178),"")</f>
        <v/>
      </c>
      <c r="BR178" s="123" t="n">
        <f aca="false">IF(OR(SUM($BD178)=0,SUM($BK178)=0),"",SUM($BK178)/$BD178)</f>
        <v>417</v>
      </c>
      <c r="BS178" s="122" t="n">
        <f aca="false">IF(SUM($X178)&lt;=0,"",$X178)</f>
        <v>0.0438169425511198</v>
      </c>
      <c r="BT178" s="115" t="n">
        <f aca="false">IF(LEFT($B178,4)="_Mil","",MAX(SUM($L178)+ROUND(SUM($BD178)/IF(SUM($BS178)&lt;=0,1,SUM($BS178)),0),0))</f>
        <v>1683</v>
      </c>
    </row>
    <row r="179" customFormat="false" ht="15" hidden="false" customHeight="false" outlineLevel="0" collapsed="false">
      <c r="A179" s="0" t="s">
        <v>147</v>
      </c>
      <c r="B179" s="0" t="s">
        <v>105</v>
      </c>
      <c r="C179" s="0" t="s">
        <v>80</v>
      </c>
      <c r="D179" s="0" t="s">
        <v>56</v>
      </c>
      <c r="E179" s="0" t="str">
        <f aca="false">B179&amp;"|"&amp;C179&amp;"|"&amp;D179</f>
        <v>Mohale's Hoek [#SNU] [#DREAMS] [YGI7vISD2kJ]|45-49|Female</v>
      </c>
      <c r="F179" s="115" t="n">
        <f aca="false">_xlfn.IFNA(ROUND(INDEX(Spectrum!$N:$N,MATCH(RIGHT($B179,13)&amp;"|"&amp;$C179&amp;"|"&amp;$D179&amp;"|"&amp;F$14&amp;"|"&amp;"CY2021Q3",Spectrum!$Q:$Q,0)),0),"")</f>
        <v>2998</v>
      </c>
      <c r="G179" s="123" t="n">
        <f aca="false">_xlfn.IFNA(INDEX(Spectrum!$P:$P,MATCH(RIGHT($B179,13)&amp;"|"&amp;$C179&amp;"|"&amp;$D179&amp;"|"&amp;F$14&amp;"|"&amp;"CY2021Q3",Spectrum!$Q:$Q,0)),"")</f>
        <v>41</v>
      </c>
      <c r="H179" s="115" t="n">
        <f aca="false">_xlfn.IFNA(ROUND(INDEX(Spectrum!$N:$N,MATCH(RIGHT($B179,13)&amp;"|"&amp;$C179&amp;"|"&amp;$D179&amp;"|"&amp;H$14&amp;"|"&amp;"CY2021Q3",Spectrum!$Q:$Q,0)),0),"")</f>
        <v>1478</v>
      </c>
      <c r="I179" s="123" t="n">
        <f aca="false">_xlfn.IFNA(INDEX(Spectrum!$P:$P,MATCH(RIGHT($B179,13)&amp;"|"&amp;$C179&amp;"|"&amp;$D179&amp;"|"&amp;H$14&amp;"|"&amp;"CY2021Q3",Spectrum!$Q:$Q,0)),"")</f>
        <v>5</v>
      </c>
      <c r="J179" s="117" t="n">
        <f aca="false">_xlfn.IFNA(INDEX(Spectrum!$N:$N,MATCH(RIGHT($B179,13)&amp;"|"&amp;$C179&amp;"|"&amp;$D179&amp;"|"&amp;J$14&amp;"|"&amp;"CY2021Q3",Spectrum!$Q:$Q,0)),"")</f>
        <v>0.4931339</v>
      </c>
      <c r="K179" s="123" t="n">
        <f aca="false">_xlfn.IFNA(INDEX(Spectrum!$P:$P,MATCH(RIGHT($B179,13)&amp;"|"&amp;$C179&amp;"|"&amp;$D179&amp;"|"&amp;J$14&amp;"|"&amp;"CY2021Q3",Spectrum!$Q:$Q,0)),"")</f>
        <v>15</v>
      </c>
      <c r="L179" s="115" t="n">
        <f aca="false">_xlfn.IFNA(ROUND(INDEX(Spectrum!$N:$N,MATCH(RIGHT($B179,13)&amp;"|"&amp;$C179&amp;"|"&amp;$D179&amp;"|"&amp;L$14&amp;"|"&amp;"CY2021Q3",Spectrum!$Q:$Q,0)),0),"")</f>
        <v>1430</v>
      </c>
      <c r="M179" s="123" t="n">
        <f aca="false">IF(OR(SUM($H179)&lt;=0,SUM($L179)&lt;=0),"",SUM($L179)/$H179)</f>
        <v>0.967523680649526</v>
      </c>
      <c r="N179" s="115" t="str">
        <f aca="false">_xlfn.IFNA(ROUND(INDEX(Spectrum!$N:$N,MATCH(RIGHT($B179,13)&amp;"|"&amp;$C179&amp;"|"&amp;$D179&amp;"|"&amp;N$14&amp;"|"&amp;"CY2020Q4",Spectrum!$Q:$Q,0)),0),"")</f>
        <v/>
      </c>
      <c r="O179" s="123" t="str">
        <f aca="false">_xlfn.IFNA(INDEX(Spectrum!$P:$P,MATCH(RIGHT($B179,13)&amp;"|"&amp;$C179&amp;"|"&amp;$D179&amp;"|"&amp;N$14&amp;"|"&amp;"CY2020Q4",Spectrum!$Q:$Q,0)),"")</f>
        <v/>
      </c>
      <c r="P179" s="115" t="n">
        <f aca="false">_xlfn.IFNA(ROUND(INDEX(Spectrum!$N:$N,MATCH(RIGHT($B179,13)&amp;"|"&amp;$C179&amp;"|"&amp;$D179&amp;"|"&amp;P$14&amp;"|"&amp;"CY2021Q3",Spectrum!$Q:$Q,0)),0),"")</f>
        <v>1377</v>
      </c>
      <c r="Q179" s="123" t="n">
        <f aca="false">_xlfn.IFNA(INDEX(Spectrum!$P:$P,MATCH(RIGHT($B179,13)&amp;"|"&amp;$C179&amp;"|"&amp;$D179&amp;"|"&amp;P$14&amp;"|"&amp;"CY2021Q3",Spectrum!$Q:$Q,0)),"")</f>
        <v>22</v>
      </c>
      <c r="R179" s="115"/>
      <c r="S179" s="123" t="str">
        <f aca="false">IF(OR(SUM($P179)&lt;=0,SUM($R179)&lt;=0),"",SUM($R179)/$P179)</f>
        <v/>
      </c>
      <c r="T179" s="139" t="n">
        <v>42</v>
      </c>
      <c r="U179" s="124" t="n">
        <v>21</v>
      </c>
      <c r="V179" s="124" t="n">
        <f aca="false">IF($U179-$T179=0,"",$U179-$T179)</f>
        <v>-21</v>
      </c>
      <c r="W179" s="123" t="n">
        <f aca="false">IF(LEFT($B179,4)="_Mil","",IFERROR(MIN(IF(SUM($N179)&lt;=0,SUM($U179)/SUM($P179),SUM($T179)/SUM($N179)),1),""))</f>
        <v>0.0152505446623094</v>
      </c>
      <c r="X179" s="123" t="n">
        <f aca="false">$W179</f>
        <v>0.0152505446623094</v>
      </c>
      <c r="Y179" s="123" t="n">
        <f aca="false">IFERROR(1/(1/INDEX(Spectrum!$N:$N,MATCH(RIGHT($B179,13)&amp;"|"&amp;$C179&amp;"|"&amp;$D179&amp;"|"&amp;Y$14&amp;"|"&amp;"CY2021Q3",Spectrum!$Q:$Q,0))),IF(SUM($H179)=0,"",MAX(SUM($P179),SUM($U179))/SUM($H179)))</f>
        <v>0.931664411366712</v>
      </c>
      <c r="Z179" s="123" t="n">
        <f aca="false">IF(SUM($Y179)=0,"",MAX(SUM($Y179),90%))</f>
        <v>0.931664411366712</v>
      </c>
      <c r="AA179" s="115" t="n">
        <f aca="false">IF(LEFT($B179,4)="_Mil","",ROUND(MAX(SUM($U179),SUM($P179))+IF(SUM($Z179)=0,0,MAX(SUM($Z179)-SUM($Y179),0)*SUM($H179)),0))</f>
        <v>1377</v>
      </c>
      <c r="AB179" s="115" t="n">
        <f aca="false">IF(SUM($AA179)=0,"",ROUND(MAX(SUM($AA179)-MAX(SUM($P179),SUM($U179)),0),0))</f>
        <v>0</v>
      </c>
      <c r="AC179" s="126" t="str">
        <f aca="false">IF($C179="&lt;01",IFERROR(ROUND(INDEX(EID!$N:$N,MATCH($B179,EID!$B:$B,0))/2,0),""),"")</f>
        <v/>
      </c>
      <c r="AD179" s="115" t="str">
        <f aca="false">IF($C179="&lt;01",IF(SUM($AC179)=0,"",ROUND(SUM($AC179)/$AG179,0)),IF(SUM($AB179)=0,"",ROUND(MAX($X179,0)*SUM($AB179),0)))</f>
        <v/>
      </c>
      <c r="AE179" s="115" t="n">
        <f aca="false">IF(AND(SUM($AD179)=0,SUM($U179)=0),"",ROUND(IF($C179="&lt;01",0,SUM($U179))+SUM($AD179),0))</f>
        <v>21</v>
      </c>
      <c r="AF179" s="122" t="n">
        <f aca="false">IF($C179="&lt;01","",100%)</f>
        <v>1</v>
      </c>
      <c r="AG179" s="123" t="n">
        <f aca="false">0.98</f>
        <v>0.98</v>
      </c>
      <c r="AH179" s="123" t="n">
        <f aca="false">0.98</f>
        <v>0.98</v>
      </c>
      <c r="AI179" s="124" t="n">
        <f aca="false">IF(OR($C179="&lt;01",SUM($U179)=0),"",ROUND(SUM($U179)*(1-$AH179),0))</f>
        <v>0</v>
      </c>
      <c r="AJ179" s="124" t="n">
        <f aca="false">IF(AND(SUM($AE179)=0,SUM($U179)=0),"",IF($C179="&lt;01",SUM($AD179),SUM($AE179) - ROUND(SUM($U179)*$AH179,0)))</f>
        <v>0</v>
      </c>
      <c r="AK179" s="124" t="n">
        <v>11</v>
      </c>
      <c r="AL179" s="124" t="n">
        <v>11</v>
      </c>
      <c r="AM179" s="115" t="n">
        <f aca="false">IF(AND(SUM($AD179)=0,SUM($U179)=0),"",IF($C179="&lt;01",SUM($AD179),ROUND(ROUND(SUM($AJ179)*$AF179,0)/$AG179,0)))</f>
        <v>0</v>
      </c>
      <c r="AN179" s="122" t="n">
        <f aca="false">0.7</f>
        <v>0.7</v>
      </c>
      <c r="AO179" s="123" t="n">
        <f aca="false">1</f>
        <v>1</v>
      </c>
      <c r="AP179" s="115" t="n">
        <f aca="false">IF(AND(SUM($U179)=0,SUM($AM179)=0),"",ROUND((SUM($AM179)*$AN179+IF($C179="&lt;01",0,$U179))*$AO179,0))</f>
        <v>21</v>
      </c>
      <c r="AQ179" s="122" t="n">
        <v>14</v>
      </c>
      <c r="AR179" s="123" t="n">
        <f aca="false">0.95</f>
        <v>0.95</v>
      </c>
      <c r="AS179" s="123" t="n">
        <f aca="false">0.95</f>
        <v>0.95</v>
      </c>
      <c r="AT179" s="115" t="n">
        <f aca="false">IF(SUM($AP179)=0,"",ROUND(SUM($AP179)*$AR179,0))</f>
        <v>20</v>
      </c>
      <c r="AU179" s="115" t="n">
        <f aca="false">IF(LEFT($B179,4)="_Mil","",ROUND(SUM($AA179)*SUM($AS179),0))</f>
        <v>1308</v>
      </c>
      <c r="AV179" s="124" t="n">
        <f aca="false">IF(SUM($AU179)&lt;=0,"",MAX(SUM($AU179)-SUM($R179),0))</f>
        <v>1308</v>
      </c>
      <c r="AW179" s="122" t="n">
        <f aca="false">0</f>
        <v>0</v>
      </c>
      <c r="AX179" s="124" t="str">
        <f aca="false">IF(SUM($AM179)=0,"",ROUND(SUM($AM179)*SUM($AW179),0))</f>
        <v/>
      </c>
      <c r="AY179" s="124" t="str">
        <f aca="false">IF(SUM($AM179)=0,"",SUM($AM179)-SUM($AX179))</f>
        <v/>
      </c>
      <c r="AZ179" s="123" t="n">
        <v>44</v>
      </c>
      <c r="BA179" s="123" t="n">
        <f aca="false">0.95</f>
        <v>0.95</v>
      </c>
      <c r="BB179" s="123"/>
      <c r="BC179" s="123" t="str">
        <f aca="false">IF(OR(SUM($AM179)&lt;=0,$C179="&lt;01"),"",MAX(IF(OR(SUM($Y179)&lt;70%,LEFT($B179,4)="_Mil"),30%,IF(SUM($Y179)&gt;=80%,75%,50%)),SUM($BB179)))</f>
        <v/>
      </c>
      <c r="BD179" s="115" t="str">
        <f aca="false">IF($C179="&lt;01",IFERROR(ROUND(INDEX(EID!$M:$M,MATCH($B179,EID!$B:$B,0)),0)/2,""),IF(SUM($AY179)=0,"",ROUND(SUM($AY179)/SUM($BA179),0)))</f>
        <v/>
      </c>
      <c r="BE179" s="115" t="str">
        <f aca="false">IF($C179="&lt;01","",IF(SUM($BD179)=0,"",ROUND(SUM($BD179)*SUM($BC179),0)))</f>
        <v/>
      </c>
      <c r="BF179" s="115" t="n">
        <f aca="false">_xlfn.IFNA(INDEX(PMTCT!$AE:$AE,MATCH($E179,PMTCT!$E:$E,0)),"")</f>
        <v>0</v>
      </c>
      <c r="BG179" s="115" t="n">
        <f aca="false">_xlfn.IFNA(INDEX(PMTCT!$AU:$AU,MATCH($E179,PMTCT!$E:$E,0)),"")</f>
        <v>0</v>
      </c>
      <c r="BH179" s="115" t="n">
        <f aca="false">_xlfn.IFNA(INDEX(TB!$Q:$Q,MATCH($E179,TB!$E:$E,0)),"")</f>
        <v>-0</v>
      </c>
      <c r="BI179" s="115" t="str">
        <f aca="false">_xlfn.IFNA(INDEX(VMMC!$AC:$AC,MATCH($E179,VMMC!$E:$E,0)),"")</f>
        <v/>
      </c>
      <c r="BJ179" s="115" t="str">
        <f aca="false">IF($C179="&lt;01",$BD179,"")</f>
        <v/>
      </c>
      <c r="BK179" s="115" t="str">
        <f aca="false">IF(SUM($BD179)=0,"",($BD179)-SUM($BE179:$BJ179))</f>
        <v/>
      </c>
      <c r="BL179" s="123" t="str">
        <f aca="false">IF(OR(SUM($BD179)=0,SUM($BE179)=0),"",SUM($BE179)/$BD179)</f>
        <v/>
      </c>
      <c r="BM179" s="123" t="str">
        <f aca="false">IF(OR(SUM($BD179)=0,SUM($BF179)=0),"",SUM($BF179)/$BD179)</f>
        <v/>
      </c>
      <c r="BN179" s="123" t="str">
        <f aca="false">IF(OR(SUM($BD179)=0,SUM($BG179)=0),"",SUM($BG179)/$BD179)</f>
        <v/>
      </c>
      <c r="BO179" s="123" t="str">
        <f aca="false">IF(OR(SUM($BD179)=0,SUM($BH179)=0),"",SUM($BH179)/$BD179)</f>
        <v/>
      </c>
      <c r="BP179" s="123" t="str">
        <f aca="false">IF(OR(SUM($BD179)=0,SUM($BI179)=0),"",SUM($BI179)/$BD179)</f>
        <v/>
      </c>
      <c r="BQ179" s="123" t="str">
        <f aca="false">IF(AND($C179="&lt;01",SUM($BJ179)&lt;&gt;0),$BJ179/SUM($BD179),"")</f>
        <v/>
      </c>
      <c r="BR179" s="123" t="str">
        <f aca="false">IF(OR(SUM($BD179)=0,SUM($BK179)=0),"",SUM($BK179)/$BD179)</f>
        <v/>
      </c>
      <c r="BS179" s="122" t="n">
        <f aca="false">IF(SUM($X179)&lt;=0,"",$X179)</f>
        <v>0.0152505446623094</v>
      </c>
      <c r="BT179" s="115" t="n">
        <f aca="false">IF(LEFT($B179,4)="_Mil","",MAX(SUM($L179)+ROUND(SUM($BD179)/IF(SUM($BS179)&lt;=0,1,SUM($BS179)),0),0))</f>
        <v>1430</v>
      </c>
    </row>
    <row r="180" customFormat="false" ht="15" hidden="false" customHeight="false" outlineLevel="0" collapsed="false">
      <c r="A180" s="0" t="s">
        <v>147</v>
      </c>
      <c r="B180" s="0" t="s">
        <v>105</v>
      </c>
      <c r="C180" s="0" t="s">
        <v>80</v>
      </c>
      <c r="D180" s="0" t="s">
        <v>58</v>
      </c>
      <c r="E180" s="0" t="str">
        <f aca="false">B180&amp;"|"&amp;C180&amp;"|"&amp;D180</f>
        <v>Mohale's Hoek [#SNU] [#DREAMS] [YGI7vISD2kJ]|45-49|Male</v>
      </c>
      <c r="F180" s="115" t="n">
        <f aca="false">_xlfn.IFNA(ROUND(INDEX(Spectrum!$N:$N,MATCH(RIGHT($B180,13)&amp;"|"&amp;$C180&amp;"|"&amp;$D180&amp;"|"&amp;F$14&amp;"|"&amp;"CY2021Q3",Spectrum!$Q:$Q,0)),0),"")</f>
        <v>2708</v>
      </c>
      <c r="G180" s="123" t="n">
        <f aca="false">_xlfn.IFNA(INDEX(Spectrum!$P:$P,MATCH(RIGHT($B180,13)&amp;"|"&amp;$C180&amp;"|"&amp;$D180&amp;"|"&amp;F$14&amp;"|"&amp;"CY2021Q3",Spectrum!$Q:$Q,0)),"")</f>
        <v>38</v>
      </c>
      <c r="H180" s="115" t="n">
        <f aca="false">_xlfn.IFNA(ROUND(INDEX(Spectrum!$N:$N,MATCH(RIGHT($B180,13)&amp;"|"&amp;$C180&amp;"|"&amp;$D180&amp;"|"&amp;H$14&amp;"|"&amp;"CY2021Q3",Spectrum!$Q:$Q,0)),0),"")</f>
        <v>1334</v>
      </c>
      <c r="I180" s="123" t="n">
        <f aca="false">_xlfn.IFNA(INDEX(Spectrum!$P:$P,MATCH(RIGHT($B180,13)&amp;"|"&amp;$C180&amp;"|"&amp;$D180&amp;"|"&amp;H$14&amp;"|"&amp;"CY2021Q3",Spectrum!$Q:$Q,0)),"")</f>
        <v>37</v>
      </c>
      <c r="J180" s="117" t="n">
        <f aca="false">_xlfn.IFNA(INDEX(Spectrum!$N:$N,MATCH(RIGHT($B180,13)&amp;"|"&amp;$C180&amp;"|"&amp;$D180&amp;"|"&amp;J$14&amp;"|"&amp;"CY2021Q3",Spectrum!$Q:$Q,0)),"")</f>
        <v>0.492662</v>
      </c>
      <c r="K180" s="123" t="n">
        <f aca="false">_xlfn.IFNA(INDEX(Spectrum!$P:$P,MATCH(RIGHT($B180,13)&amp;"|"&amp;$C180&amp;"|"&amp;$D180&amp;"|"&amp;J$14&amp;"|"&amp;"CY2021Q3",Spectrum!$Q:$Q,0)),"")</f>
        <v>10</v>
      </c>
      <c r="L180" s="115" t="n">
        <f aca="false">_xlfn.IFNA(ROUND(INDEX(Spectrum!$N:$N,MATCH(RIGHT($B180,13)&amp;"|"&amp;$C180&amp;"|"&amp;$D180&amp;"|"&amp;L$14&amp;"|"&amp;"CY2021Q3",Spectrum!$Q:$Q,0)),0),"")</f>
        <v>996</v>
      </c>
      <c r="M180" s="123" t="n">
        <f aca="false">IF(OR(SUM($H180)&lt;=0,SUM($L180)&lt;=0),"",SUM($L180)/$H180)</f>
        <v>0.746626686656672</v>
      </c>
      <c r="N180" s="115" t="str">
        <f aca="false">_xlfn.IFNA(ROUND(INDEX(Spectrum!$N:$N,MATCH(RIGHT($B180,13)&amp;"|"&amp;$C180&amp;"|"&amp;$D180&amp;"|"&amp;N$14&amp;"|"&amp;"CY2020Q4",Spectrum!$Q:$Q,0)),0),"")</f>
        <v/>
      </c>
      <c r="O180" s="123" t="str">
        <f aca="false">_xlfn.IFNA(INDEX(Spectrum!$P:$P,MATCH(RIGHT($B180,13)&amp;"|"&amp;$C180&amp;"|"&amp;$D180&amp;"|"&amp;N$14&amp;"|"&amp;"CY2020Q4",Spectrum!$Q:$Q,0)),"")</f>
        <v/>
      </c>
      <c r="P180" s="115" t="n">
        <f aca="false">_xlfn.IFNA(ROUND(INDEX(Spectrum!$N:$N,MATCH(RIGHT($B180,13)&amp;"|"&amp;$C180&amp;"|"&amp;$D180&amp;"|"&amp;P$14&amp;"|"&amp;"CY2021Q3",Spectrum!$Q:$Q,0)),0),"")</f>
        <v>893</v>
      </c>
      <c r="Q180" s="123" t="n">
        <f aca="false">_xlfn.IFNA(INDEX(Spectrum!$P:$P,MATCH(RIGHT($B180,13)&amp;"|"&amp;$C180&amp;"|"&amp;$D180&amp;"|"&amp;P$14&amp;"|"&amp;"CY2021Q3",Spectrum!$Q:$Q,0)),"")</f>
        <v>20</v>
      </c>
      <c r="R180" s="115"/>
      <c r="S180" s="123" t="str">
        <f aca="false">IF(OR(SUM($P180)&lt;=0,SUM($R180)&lt;=0),"",SUM($R180)/$P180)</f>
        <v/>
      </c>
      <c r="T180" s="139" t="n">
        <v>13</v>
      </c>
      <c r="U180" s="124" t="n">
        <v>6</v>
      </c>
      <c r="V180" s="124" t="n">
        <f aca="false">IF($U180-$T180=0,"",$U180-$T180)</f>
        <v>-7</v>
      </c>
      <c r="W180" s="123" t="n">
        <f aca="false">IF(LEFT($B180,4)="_Mil","",IFERROR(MIN(IF(SUM($N180)&lt;=0,SUM($U180)/SUM($P180),SUM($T180)/SUM($N180)),1),""))</f>
        <v>0.00671892497200448</v>
      </c>
      <c r="X180" s="123" t="n">
        <f aca="false">$W180</f>
        <v>0.00671892497200448</v>
      </c>
      <c r="Y180" s="123" t="n">
        <f aca="false">IFERROR(1/(1/INDEX(Spectrum!$N:$N,MATCH(RIGHT($B180,13)&amp;"|"&amp;$C180&amp;"|"&amp;$D180&amp;"|"&amp;Y$14&amp;"|"&amp;"CY2021Q3",Spectrum!$Q:$Q,0))),IF(SUM($H180)=0,"",MAX(SUM($P180),SUM($U180))/SUM($H180)))</f>
        <v>0.669415292353823</v>
      </c>
      <c r="Z180" s="123" t="n">
        <f aca="false">IF(SUM($Y180)=0,"",MAX(SUM($Y180),90%))</f>
        <v>0.9</v>
      </c>
      <c r="AA180" s="115" t="n">
        <f aca="false">IF(LEFT($B180,4)="_Mil","",ROUND(MAX(SUM($U180),SUM($P180))+IF(SUM($Z180)=0,0,MAX(SUM($Z180)-SUM($Y180),0)*SUM($H180)),0))</f>
        <v>1201</v>
      </c>
      <c r="AB180" s="115" t="n">
        <f aca="false">IF(SUM($AA180)=0,"",ROUND(MAX(SUM($AA180)-MAX(SUM($P180),SUM($U180)),0),0))</f>
        <v>308</v>
      </c>
      <c r="AC180" s="126" t="str">
        <f aca="false">IF($C180="&lt;01",IFERROR(ROUND(INDEX(EID!$N:$N,MATCH($B180,EID!$B:$B,0))/2,0),""),"")</f>
        <v/>
      </c>
      <c r="AD180" s="115" t="n">
        <f aca="false">IF($C180="&lt;01",IF(SUM($AC180)=0,"",ROUND(SUM($AC180)/$AG180,0)),IF(SUM($AB180)=0,"",ROUND(MAX($X180,0)*SUM($AB180),0)))</f>
        <v>2</v>
      </c>
      <c r="AE180" s="115" t="n">
        <f aca="false">IF(AND(SUM($AD180)=0,SUM($U180)=0),"",ROUND(IF($C180="&lt;01",0,SUM($U180))+SUM($AD180),0))</f>
        <v>8</v>
      </c>
      <c r="AF180" s="122" t="n">
        <f aca="false">IF($C180="&lt;01","",100%)</f>
        <v>1</v>
      </c>
      <c r="AG180" s="123" t="n">
        <f aca="false">0.98</f>
        <v>0.98</v>
      </c>
      <c r="AH180" s="123" t="n">
        <f aca="false">0.98</f>
        <v>0.98</v>
      </c>
      <c r="AI180" s="124" t="n">
        <f aca="false">IF(OR($C180="&lt;01",SUM($U180)=0),"",ROUND(SUM($U180)*(1-$AH180),0))</f>
        <v>0</v>
      </c>
      <c r="AJ180" s="124" t="n">
        <f aca="false">IF(AND(SUM($AE180)=0,SUM($U180)=0),"",IF($C180="&lt;01",SUM($AD180),SUM($AE180) - ROUND(SUM($U180)*$AH180,0)))</f>
        <v>2</v>
      </c>
      <c r="AK180" s="124" t="n">
        <v>32</v>
      </c>
      <c r="AL180" s="124" t="n">
        <v>5</v>
      </c>
      <c r="AM180" s="115" t="n">
        <f aca="false">IF(AND(SUM($AD180)=0,SUM($U180)=0),"",IF($C180="&lt;01",SUM($AD180),ROUND(ROUND(SUM($AJ180)*$AF180,0)/$AG180,0)))</f>
        <v>2</v>
      </c>
      <c r="AN180" s="122" t="n">
        <f aca="false">0.7</f>
        <v>0.7</v>
      </c>
      <c r="AO180" s="123" t="n">
        <f aca="false">1</f>
        <v>1</v>
      </c>
      <c r="AP180" s="115" t="n">
        <f aca="false">IF(AND(SUM($U180)=0,SUM($AM180)=0),"",ROUND((SUM($AM180)*$AN180+IF($C180="&lt;01",0,$U180))*$AO180,0))</f>
        <v>7</v>
      </c>
      <c r="AQ180" s="122" t="n">
        <v>14</v>
      </c>
      <c r="AR180" s="123" t="n">
        <f aca="false">0.95</f>
        <v>0.95</v>
      </c>
      <c r="AS180" s="123" t="n">
        <f aca="false">0.95</f>
        <v>0.95</v>
      </c>
      <c r="AT180" s="115" t="n">
        <f aca="false">IF(SUM($AP180)=0,"",ROUND(SUM($AP180)*$AR180,0))</f>
        <v>7</v>
      </c>
      <c r="AU180" s="115" t="n">
        <f aca="false">IF(LEFT($B180,4)="_Mil","",ROUND(SUM($AA180)*SUM($AS180),0))</f>
        <v>1141</v>
      </c>
      <c r="AV180" s="124" t="n">
        <f aca="false">IF(SUM($AU180)&lt;=0,"",MAX(SUM($AU180)-SUM($R180),0))</f>
        <v>1141</v>
      </c>
      <c r="AW180" s="122" t="n">
        <f aca="false">0</f>
        <v>0</v>
      </c>
      <c r="AX180" s="124" t="n">
        <f aca="false">IF(SUM($AM180)=0,"",ROUND(SUM($AM180)*SUM($AW180),0))</f>
        <v>0</v>
      </c>
      <c r="AY180" s="124" t="n">
        <f aca="false">IF(SUM($AM180)=0,"",SUM($AM180)-SUM($AX180))</f>
        <v>2</v>
      </c>
      <c r="AZ180" s="123" t="n">
        <v>40</v>
      </c>
      <c r="BA180" s="123" t="n">
        <f aca="false">0.95</f>
        <v>0.95</v>
      </c>
      <c r="BB180" s="123"/>
      <c r="BC180" s="123" t="n">
        <f aca="false">IF(OR(SUM($AM180)&lt;=0,$C180="&lt;01"),"",MAX(IF(OR(SUM($Y180)&lt;70%,LEFT($B180,4)="_Mil"),30%,IF(SUM($Y180)&gt;=80%,75%,50%)),SUM($BB180)))</f>
        <v>0.3</v>
      </c>
      <c r="BD180" s="115" t="n">
        <f aca="false">IF($C180="&lt;01",IFERROR(ROUND(INDEX(EID!$M:$M,MATCH($B180,EID!$B:$B,0)),0)/2,""),IF(SUM($AY180)=0,"",ROUND(SUM($AY180)/SUM($BA180),0)))</f>
        <v>2</v>
      </c>
      <c r="BE180" s="115" t="n">
        <f aca="false">IF($C180="&lt;01","",IF(SUM($BD180)=0,"",ROUND(SUM($BD180)*SUM($BC180),0)))</f>
        <v>1</v>
      </c>
      <c r="BF180" s="115" t="str">
        <f aca="false">_xlfn.IFNA(INDEX(PMTCT!$AE:$AE,MATCH($E180,PMTCT!$E:$E,0)),"")</f>
        <v/>
      </c>
      <c r="BG180" s="115" t="str">
        <f aca="false">_xlfn.IFNA(INDEX(PMTCT!$AU:$AU,MATCH($E180,PMTCT!$E:$E,0)),"")</f>
        <v/>
      </c>
      <c r="BH180" s="115" t="n">
        <f aca="false">_xlfn.IFNA(INDEX(TB!$Q:$Q,MATCH($E180,TB!$E:$E,0)),"")</f>
        <v>-27720</v>
      </c>
      <c r="BI180" s="115" t="str">
        <f aca="false">_xlfn.IFNA(INDEX(VMMC!$AC:$AC,MATCH($E180,VMMC!$E:$E,0)),"")</f>
        <v/>
      </c>
      <c r="BJ180" s="115" t="str">
        <f aca="false">IF($C180="&lt;01",$BD180,"")</f>
        <v/>
      </c>
      <c r="BK180" s="115" t="n">
        <f aca="false">IF(SUM($BD180)=0,"",($BD180)-SUM($BE180:$BJ180))</f>
        <v>27721</v>
      </c>
      <c r="BL180" s="123" t="n">
        <f aca="false">IF(OR(SUM($BD180)=0,SUM($BE180)=0),"",SUM($BE180)/$BD180)</f>
        <v>0.5</v>
      </c>
      <c r="BM180" s="123" t="str">
        <f aca="false">IF(OR(SUM($BD180)=0,SUM($BF180)=0),"",SUM($BF180)/$BD180)</f>
        <v/>
      </c>
      <c r="BN180" s="123" t="str">
        <f aca="false">IF(OR(SUM($BD180)=0,SUM($BG180)=0),"",SUM($BG180)/$BD180)</f>
        <v/>
      </c>
      <c r="BO180" s="123" t="n">
        <f aca="false">IF(OR(SUM($BD180)=0,SUM($BH180)=0),"",SUM($BH180)/$BD180)</f>
        <v>-13860</v>
      </c>
      <c r="BP180" s="123" t="str">
        <f aca="false">IF(OR(SUM($BD180)=0,SUM($BI180)=0),"",SUM($BI180)/$BD180)</f>
        <v/>
      </c>
      <c r="BQ180" s="123" t="str">
        <f aca="false">IF(AND($C180="&lt;01",SUM($BJ180)&lt;&gt;0),$BJ180/SUM($BD180),"")</f>
        <v/>
      </c>
      <c r="BR180" s="123" t="n">
        <f aca="false">IF(OR(SUM($BD180)=0,SUM($BK180)=0),"",SUM($BK180)/$BD180)</f>
        <v>13860.5</v>
      </c>
      <c r="BS180" s="122" t="n">
        <f aca="false">IF(SUM($X180)&lt;=0,"",$X180)</f>
        <v>0.00671892497200448</v>
      </c>
      <c r="BT180" s="115" t="n">
        <f aca="false">IF(LEFT($B180,4)="_Mil","",MAX(SUM($L180)+ROUND(SUM($BD180)/IF(SUM($BS180)&lt;=0,1,SUM($BS180)),0),0))</f>
        <v>1294</v>
      </c>
    </row>
    <row r="181" customFormat="false" ht="15" hidden="false" customHeight="false" outlineLevel="0" collapsed="false">
      <c r="A181" s="0" t="s">
        <v>147</v>
      </c>
      <c r="B181" s="0" t="s">
        <v>105</v>
      </c>
      <c r="C181" s="0" t="s">
        <v>86</v>
      </c>
      <c r="D181" s="0" t="s">
        <v>56</v>
      </c>
      <c r="E181" s="0" t="str">
        <f aca="false">B181&amp;"|"&amp;C181&amp;"|"&amp;D181</f>
        <v>Mohale's Hoek [#SNU] [#DREAMS] [YGI7vISD2kJ]|50+|Female</v>
      </c>
      <c r="F181" s="115" t="n">
        <f aca="false">_xlfn.IFNA(ROUND(INDEX(Spectrum!$N:$N,MATCH(RIGHT($B181,13)&amp;"|"&amp;$C181&amp;"|"&amp;$D181&amp;"|"&amp;F$14&amp;"|"&amp;"CY2021Q3",Spectrum!$Q:$Q,0)),0),"")</f>
        <v>17899</v>
      </c>
      <c r="G181" s="123" t="n">
        <f aca="false">_xlfn.IFNA(INDEX(Spectrum!$P:$P,MATCH(RIGHT($B181,13)&amp;"|"&amp;$C181&amp;"|"&amp;$D181&amp;"|"&amp;F$14&amp;"|"&amp;"CY2021Q3",Spectrum!$Q:$Q,0)),"")</f>
        <v>19</v>
      </c>
      <c r="H181" s="115" t="n">
        <f aca="false">_xlfn.IFNA(ROUND(INDEX(Spectrum!$N:$N,MATCH(RIGHT($B181,13)&amp;"|"&amp;$C181&amp;"|"&amp;$D181&amp;"|"&amp;H$14&amp;"|"&amp;"CY2021Q3",Spectrum!$Q:$Q,0)),0),"")</f>
        <v>4868</v>
      </c>
      <c r="I181" s="123" t="n">
        <f aca="false">_xlfn.IFNA(INDEX(Spectrum!$P:$P,MATCH(RIGHT($B181,13)&amp;"|"&amp;$C181&amp;"|"&amp;$D181&amp;"|"&amp;H$14&amp;"|"&amp;"CY2021Q3",Spectrum!$Q:$Q,0)),"")</f>
        <v>38</v>
      </c>
      <c r="J181" s="117" t="n">
        <f aca="false">_xlfn.IFNA(INDEX(Spectrum!$N:$N,MATCH(RIGHT($B181,13)&amp;"|"&amp;$C181&amp;"|"&amp;$D181&amp;"|"&amp;J$14&amp;"|"&amp;"CY2021Q3",Spectrum!$Q:$Q,0)),"")</f>
        <v>0.2719929</v>
      </c>
      <c r="K181" s="123" t="n">
        <f aca="false">_xlfn.IFNA(INDEX(Spectrum!$P:$P,MATCH(RIGHT($B181,13)&amp;"|"&amp;$C181&amp;"|"&amp;$D181&amp;"|"&amp;J$14&amp;"|"&amp;"CY2021Q3",Spectrum!$Q:$Q,0)),"")</f>
        <v>25</v>
      </c>
      <c r="L181" s="115" t="n">
        <f aca="false">_xlfn.IFNA(ROUND(INDEX(Spectrum!$N:$N,MATCH(RIGHT($B181,13)&amp;"|"&amp;$C181&amp;"|"&amp;$D181&amp;"|"&amp;L$14&amp;"|"&amp;"CY2021Q3",Spectrum!$Q:$Q,0)),0),"")</f>
        <v>3736</v>
      </c>
      <c r="M181" s="123" t="n">
        <f aca="false">IF(OR(SUM($H181)&lt;=0,SUM($L181)&lt;=0),"",SUM($L181)/$H181)</f>
        <v>0.767460969597371</v>
      </c>
      <c r="N181" s="115" t="str">
        <f aca="false">_xlfn.IFNA(ROUND(INDEX(Spectrum!$N:$N,MATCH(RIGHT($B181,13)&amp;"|"&amp;$C181&amp;"|"&amp;$D181&amp;"|"&amp;N$14&amp;"|"&amp;"CY2020Q4",Spectrum!$Q:$Q,0)),0),"")</f>
        <v/>
      </c>
      <c r="O181" s="123" t="str">
        <f aca="false">_xlfn.IFNA(INDEX(Spectrum!$P:$P,MATCH(RIGHT($B181,13)&amp;"|"&amp;$C181&amp;"|"&amp;$D181&amp;"|"&amp;N$14&amp;"|"&amp;"CY2020Q4",Spectrum!$Q:$Q,0)),"")</f>
        <v/>
      </c>
      <c r="P181" s="115" t="n">
        <f aca="false">_xlfn.IFNA(ROUND(INDEX(Spectrum!$N:$N,MATCH(RIGHT($B181,13)&amp;"|"&amp;$C181&amp;"|"&amp;$D181&amp;"|"&amp;P$14&amp;"|"&amp;"CY2021Q3",Spectrum!$Q:$Q,0)),0),"")</f>
        <v>3612</v>
      </c>
      <c r="Q181" s="123" t="n">
        <f aca="false">_xlfn.IFNA(INDEX(Spectrum!$P:$P,MATCH(RIGHT($B181,13)&amp;"|"&amp;$C181&amp;"|"&amp;$D181&amp;"|"&amp;P$14&amp;"|"&amp;"CY2021Q3",Spectrum!$Q:$Q,0)),"")</f>
        <v>38</v>
      </c>
      <c r="R181" s="115"/>
      <c r="S181" s="123" t="str">
        <f aca="false">IF(OR(SUM($P181)&lt;=0,SUM($R181)&lt;=0),"",SUM($R181)/$P181)</f>
        <v/>
      </c>
      <c r="T181" s="139" t="n">
        <v>30</v>
      </c>
      <c r="U181" s="124" t="n">
        <v>45</v>
      </c>
      <c r="V181" s="124" t="n">
        <f aca="false">IF($U181-$T181=0,"",$U181-$T181)</f>
        <v>15</v>
      </c>
      <c r="W181" s="123" t="n">
        <f aca="false">IF(LEFT($B181,4)="_Mil","",IFERROR(MIN(IF(SUM($N181)&lt;=0,SUM($U181)/SUM($P181),SUM($T181)/SUM($N181)),1),""))</f>
        <v>0.0124584717607973</v>
      </c>
      <c r="X181" s="123" t="n">
        <f aca="false">$W181</f>
        <v>0.0124584717607973</v>
      </c>
      <c r="Y181" s="123" t="n">
        <f aca="false">IFERROR(1/(1/INDEX(Spectrum!$N:$N,MATCH(RIGHT($B181,13)&amp;"|"&amp;$C181&amp;"|"&amp;$D181&amp;"|"&amp;Y$14&amp;"|"&amp;"CY2021Q3",Spectrum!$Q:$Q,0))),IF(SUM($H181)=0,"",MAX(SUM($P181),SUM($U181))/SUM($H181)))</f>
        <v>0.741988496302383</v>
      </c>
      <c r="Z181" s="123" t="n">
        <f aca="false">IF(SUM($Y181)=0,"",MAX(SUM($Y181),90%))</f>
        <v>0.9</v>
      </c>
      <c r="AA181" s="115" t="n">
        <f aca="false">IF(LEFT($B181,4)="_Mil","",ROUND(MAX(SUM($U181),SUM($P181))+IF(SUM($Z181)=0,0,MAX(SUM($Z181)-SUM($Y181),0)*SUM($H181)),0))</f>
        <v>4381</v>
      </c>
      <c r="AB181" s="115" t="n">
        <f aca="false">IF(SUM($AA181)=0,"",ROUND(MAX(SUM($AA181)-MAX(SUM($P181),SUM($U181)),0),0))</f>
        <v>769</v>
      </c>
      <c r="AC181" s="126" t="str">
        <f aca="false">IF($C181="&lt;01",IFERROR(ROUND(INDEX(EID!$N:$N,MATCH($B181,EID!$B:$B,0))/2,0),""),"")</f>
        <v/>
      </c>
      <c r="AD181" s="115" t="n">
        <f aca="false">IF($C181="&lt;01",IF(SUM($AC181)=0,"",ROUND(SUM($AC181)/$AG181,0)),IF(SUM($AB181)=0,"",ROUND(MAX($X181,0)*SUM($AB181),0)))</f>
        <v>10</v>
      </c>
      <c r="AE181" s="115" t="n">
        <f aca="false">IF(AND(SUM($AD181)=0,SUM($U181)=0),"",ROUND(IF($C181="&lt;01",0,SUM($U181))+SUM($AD181),0))</f>
        <v>55</v>
      </c>
      <c r="AF181" s="122" t="n">
        <f aca="false">IF($C181="&lt;01","",100%)</f>
        <v>1</v>
      </c>
      <c r="AG181" s="123" t="n">
        <f aca="false">0.98</f>
        <v>0.98</v>
      </c>
      <c r="AH181" s="123" t="n">
        <f aca="false">0.98</f>
        <v>0.98</v>
      </c>
      <c r="AI181" s="124" t="n">
        <f aca="false">IF(OR($C181="&lt;01",SUM($U181)=0),"",ROUND(SUM($U181)*(1-$AH181),0))</f>
        <v>1</v>
      </c>
      <c r="AJ181" s="124" t="n">
        <f aca="false">IF(AND(SUM($AE181)=0,SUM($U181)=0),"",IF($C181="&lt;01",SUM($AD181),SUM($AE181) - ROUND(SUM($U181)*$AH181,0)))</f>
        <v>11</v>
      </c>
      <c r="AK181" s="124" t="n">
        <v>30</v>
      </c>
      <c r="AL181" s="124" t="n">
        <v>5</v>
      </c>
      <c r="AM181" s="115" t="n">
        <f aca="false">IF(AND(SUM($AD181)=0,SUM($U181)=0),"",IF($C181="&lt;01",SUM($AD181),ROUND(ROUND(SUM($AJ181)*$AF181,0)/$AG181,0)))</f>
        <v>11</v>
      </c>
      <c r="AN181" s="122" t="n">
        <f aca="false">0.7</f>
        <v>0.7</v>
      </c>
      <c r="AO181" s="123" t="n">
        <f aca="false">1</f>
        <v>1</v>
      </c>
      <c r="AP181" s="115" t="n">
        <f aca="false">IF(AND(SUM($U181)=0,SUM($AM181)=0),"",ROUND((SUM($AM181)*$AN181+IF($C181="&lt;01",0,$U181))*$AO181,0))</f>
        <v>53</v>
      </c>
      <c r="AQ181" s="122" t="n">
        <v>20</v>
      </c>
      <c r="AR181" s="123" t="n">
        <f aca="false">0.95</f>
        <v>0.95</v>
      </c>
      <c r="AS181" s="123" t="n">
        <f aca="false">0.95</f>
        <v>0.95</v>
      </c>
      <c r="AT181" s="115" t="n">
        <f aca="false">IF(SUM($AP181)=0,"",ROUND(SUM($AP181)*$AR181,0))</f>
        <v>50</v>
      </c>
      <c r="AU181" s="115" t="n">
        <f aca="false">IF(LEFT($B181,4)="_Mil","",ROUND(SUM($AA181)*SUM($AS181),0))</f>
        <v>4162</v>
      </c>
      <c r="AV181" s="124" t="n">
        <f aca="false">IF(SUM($AU181)&lt;=0,"",MAX(SUM($AU181)-SUM($R181),0))</f>
        <v>4162</v>
      </c>
      <c r="AW181" s="122" t="n">
        <f aca="false">0</f>
        <v>0</v>
      </c>
      <c r="AX181" s="124" t="n">
        <f aca="false">IF(SUM($AM181)=0,"",ROUND(SUM($AM181)*SUM($AW181),0))</f>
        <v>0</v>
      </c>
      <c r="AY181" s="124" t="n">
        <f aca="false">IF(SUM($AM181)=0,"",SUM($AM181)-SUM($AX181))</f>
        <v>11</v>
      </c>
      <c r="AZ181" s="123" t="n">
        <v>38</v>
      </c>
      <c r="BA181" s="123" t="n">
        <f aca="false">0.95</f>
        <v>0.95</v>
      </c>
      <c r="BB181" s="123"/>
      <c r="BC181" s="123" t="n">
        <f aca="false">IF(OR(SUM($AM181)&lt;=0,$C181="&lt;01"),"",MAX(IF(OR(SUM($Y181)&lt;70%,LEFT($B181,4)="_Mil"),30%,IF(SUM($Y181)&gt;=80%,75%,50%)),SUM($BB181)))</f>
        <v>0.5</v>
      </c>
      <c r="BD181" s="115" t="n">
        <f aca="false">IF($C181="&lt;01",IFERROR(ROUND(INDEX(EID!$M:$M,MATCH($B181,EID!$B:$B,0)),0)/2,""),IF(SUM($AY181)=0,"",ROUND(SUM($AY181)/SUM($BA181),0)))</f>
        <v>12</v>
      </c>
      <c r="BE181" s="115" t="n">
        <f aca="false">IF($C181="&lt;01","",IF(SUM($BD181)=0,"",ROUND(SUM($BD181)*SUM($BC181),0)))</f>
        <v>6</v>
      </c>
      <c r="BF181" s="115" t="str">
        <f aca="false">_xlfn.IFNA(INDEX(PMTCT!$AE:$AE,MATCH($E181,PMTCT!$E:$E,0)),"")</f>
        <v/>
      </c>
      <c r="BG181" s="115" t="str">
        <f aca="false">_xlfn.IFNA(INDEX(PMTCT!$AU:$AU,MATCH($E181,PMTCT!$E:$E,0)),"")</f>
        <v/>
      </c>
      <c r="BH181" s="115" t="n">
        <f aca="false">_xlfn.IFNA(INDEX(TB!$Q:$Q,MATCH($E181,TB!$E:$E,0)),"")</f>
        <v>-19320</v>
      </c>
      <c r="BI181" s="115" t="str">
        <f aca="false">_xlfn.IFNA(INDEX(VMMC!$AC:$AC,MATCH($E181,VMMC!$E:$E,0)),"")</f>
        <v/>
      </c>
      <c r="BJ181" s="115" t="str">
        <f aca="false">IF($C181="&lt;01",$BD181,"")</f>
        <v/>
      </c>
      <c r="BK181" s="115" t="n">
        <f aca="false">IF(SUM($BD181)=0,"",($BD181)-SUM($BE181:$BJ181))</f>
        <v>19326</v>
      </c>
      <c r="BL181" s="123" t="n">
        <f aca="false">IF(OR(SUM($BD181)=0,SUM($BE181)=0),"",SUM($BE181)/$BD181)</f>
        <v>0.5</v>
      </c>
      <c r="BM181" s="123" t="str">
        <f aca="false">IF(OR(SUM($BD181)=0,SUM($BF181)=0),"",SUM($BF181)/$BD181)</f>
        <v/>
      </c>
      <c r="BN181" s="123" t="str">
        <f aca="false">IF(OR(SUM($BD181)=0,SUM($BG181)=0),"",SUM($BG181)/$BD181)</f>
        <v/>
      </c>
      <c r="BO181" s="123" t="n">
        <f aca="false">IF(OR(SUM($BD181)=0,SUM($BH181)=0),"",SUM($BH181)/$BD181)</f>
        <v>-1610</v>
      </c>
      <c r="BP181" s="123" t="str">
        <f aca="false">IF(OR(SUM($BD181)=0,SUM($BI181)=0),"",SUM($BI181)/$BD181)</f>
        <v/>
      </c>
      <c r="BQ181" s="123" t="str">
        <f aca="false">IF(AND($C181="&lt;01",SUM($BJ181)&lt;&gt;0),$BJ181/SUM($BD181),"")</f>
        <v/>
      </c>
      <c r="BR181" s="123" t="n">
        <f aca="false">IF(OR(SUM($BD181)=0,SUM($BK181)=0),"",SUM($BK181)/$BD181)</f>
        <v>1610.5</v>
      </c>
      <c r="BS181" s="122" t="n">
        <f aca="false">IF(SUM($X181)&lt;=0,"",$X181)</f>
        <v>0.0124584717607973</v>
      </c>
      <c r="BT181" s="115" t="n">
        <f aca="false">IF(LEFT($B181,4)="_Mil","",MAX(SUM($L181)+ROUND(SUM($BD181)/IF(SUM($BS181)&lt;=0,1,SUM($BS181)),0),0))</f>
        <v>4699</v>
      </c>
    </row>
    <row r="182" customFormat="false" ht="15" hidden="false" customHeight="false" outlineLevel="0" collapsed="false">
      <c r="A182" s="0" t="s">
        <v>147</v>
      </c>
      <c r="B182" s="0" t="s">
        <v>105</v>
      </c>
      <c r="C182" s="0" t="s">
        <v>86</v>
      </c>
      <c r="D182" s="0" t="s">
        <v>58</v>
      </c>
      <c r="E182" s="0" t="str">
        <f aca="false">B182&amp;"|"&amp;C182&amp;"|"&amp;D182</f>
        <v>Mohale's Hoek [#SNU] [#DREAMS] [YGI7vISD2kJ]|50+|Male</v>
      </c>
      <c r="F182" s="115" t="n">
        <f aca="false">_xlfn.IFNA(ROUND(INDEX(Spectrum!$N:$N,MATCH(RIGHT($B182,13)&amp;"|"&amp;$C182&amp;"|"&amp;$D182&amp;"|"&amp;F$14&amp;"|"&amp;"CY2021Q3",Spectrum!$Q:$Q,0)),0),"")</f>
        <v>11413</v>
      </c>
      <c r="G182" s="123" t="n">
        <f aca="false">_xlfn.IFNA(INDEX(Spectrum!$P:$P,MATCH(RIGHT($B182,13)&amp;"|"&amp;$C182&amp;"|"&amp;$D182&amp;"|"&amp;F$14&amp;"|"&amp;"CY2021Q3",Spectrum!$Q:$Q,0)),"")</f>
        <v>13</v>
      </c>
      <c r="H182" s="115" t="n">
        <f aca="false">_xlfn.IFNA(ROUND(INDEX(Spectrum!$N:$N,MATCH(RIGHT($B182,13)&amp;"|"&amp;$C182&amp;"|"&amp;$D182&amp;"|"&amp;H$14&amp;"|"&amp;"CY2021Q3",Spectrum!$Q:$Q,0)),0),"")</f>
        <v>3561</v>
      </c>
      <c r="I182" s="123" t="n">
        <f aca="false">_xlfn.IFNA(INDEX(Spectrum!$P:$P,MATCH(RIGHT($B182,13)&amp;"|"&amp;$C182&amp;"|"&amp;$D182&amp;"|"&amp;H$14&amp;"|"&amp;"CY2021Q3",Spectrum!$Q:$Q,0)),"")</f>
        <v>23</v>
      </c>
      <c r="J182" s="117" t="n">
        <f aca="false">_xlfn.IFNA(INDEX(Spectrum!$N:$N,MATCH(RIGHT($B182,13)&amp;"|"&amp;$C182&amp;"|"&amp;$D182&amp;"|"&amp;J$14&amp;"|"&amp;"CY2021Q3",Spectrum!$Q:$Q,0)),"")</f>
        <v>0.3120265</v>
      </c>
      <c r="K182" s="123" t="n">
        <f aca="false">_xlfn.IFNA(INDEX(Spectrum!$P:$P,MATCH(RIGHT($B182,13)&amp;"|"&amp;$C182&amp;"|"&amp;$D182&amp;"|"&amp;J$14&amp;"|"&amp;"CY2021Q3",Spectrum!$Q:$Q,0)),"")</f>
        <v>2</v>
      </c>
      <c r="L182" s="115" t="n">
        <f aca="false">_xlfn.IFNA(ROUND(INDEX(Spectrum!$N:$N,MATCH(RIGHT($B182,13)&amp;"|"&amp;$C182&amp;"|"&amp;$D182&amp;"|"&amp;L$14&amp;"|"&amp;"CY2021Q3",Spectrum!$Q:$Q,0)),0),"")</f>
        <v>2496</v>
      </c>
      <c r="M182" s="123" t="n">
        <f aca="false">IF(OR(SUM($H182)&lt;=0,SUM($L182)&lt;=0),"",SUM($L182)/$H182)</f>
        <v>0.700926705981466</v>
      </c>
      <c r="N182" s="115" t="str">
        <f aca="false">_xlfn.IFNA(ROUND(INDEX(Spectrum!$N:$N,MATCH(RIGHT($B182,13)&amp;"|"&amp;$C182&amp;"|"&amp;$D182&amp;"|"&amp;N$14&amp;"|"&amp;"CY2020Q4",Spectrum!$Q:$Q,0)),0),"")</f>
        <v/>
      </c>
      <c r="O182" s="123" t="str">
        <f aca="false">_xlfn.IFNA(INDEX(Spectrum!$P:$P,MATCH(RIGHT($B182,13)&amp;"|"&amp;$C182&amp;"|"&amp;$D182&amp;"|"&amp;N$14&amp;"|"&amp;"CY2020Q4",Spectrum!$Q:$Q,0)),"")</f>
        <v/>
      </c>
      <c r="P182" s="115" t="n">
        <f aca="false">_xlfn.IFNA(ROUND(INDEX(Spectrum!$N:$N,MATCH(RIGHT($B182,13)&amp;"|"&amp;$C182&amp;"|"&amp;$D182&amp;"|"&amp;P$14&amp;"|"&amp;"CY2021Q3",Spectrum!$Q:$Q,0)),0),"")</f>
        <v>2329</v>
      </c>
      <c r="Q182" s="123" t="n">
        <f aca="false">_xlfn.IFNA(INDEX(Spectrum!$P:$P,MATCH(RIGHT($B182,13)&amp;"|"&amp;$C182&amp;"|"&amp;$D182&amp;"|"&amp;P$14&amp;"|"&amp;"CY2021Q3",Spectrum!$Q:$Q,0)),"")</f>
        <v>11</v>
      </c>
      <c r="R182" s="115"/>
      <c r="S182" s="123" t="str">
        <f aca="false">IF(OR(SUM($P182)&lt;=0,SUM($R182)&lt;=0),"",SUM($R182)/$P182)</f>
        <v/>
      </c>
      <c r="T182" s="139" t="n">
        <v>47</v>
      </c>
      <c r="U182" s="124" t="n">
        <v>20</v>
      </c>
      <c r="V182" s="124" t="n">
        <f aca="false">IF($U182-$T182=0,"",$U182-$T182)</f>
        <v>-27</v>
      </c>
      <c r="W182" s="123" t="n">
        <f aca="false">IF(LEFT($B182,4)="_Mil","",IFERROR(MIN(IF(SUM($N182)&lt;=0,SUM($U182)/SUM($P182),SUM($T182)/SUM($N182)),1),""))</f>
        <v>0.008587376556462</v>
      </c>
      <c r="X182" s="123" t="n">
        <f aca="false">$W182</f>
        <v>0.008587376556462</v>
      </c>
      <c r="Y182" s="123" t="n">
        <f aca="false">IFERROR(1/(1/INDEX(Spectrum!$N:$N,MATCH(RIGHT($B182,13)&amp;"|"&amp;$C182&amp;"|"&amp;$D182&amp;"|"&amp;Y$14&amp;"|"&amp;"CY2021Q3",Spectrum!$Q:$Q,0))),IF(SUM($H182)=0,"",MAX(SUM($P182),SUM($U182))/SUM($H182)))</f>
        <v>0.654029766919405</v>
      </c>
      <c r="Z182" s="123" t="n">
        <f aca="false">IF(SUM($Y182)=0,"",MAX(SUM($Y182),90%))</f>
        <v>0.9</v>
      </c>
      <c r="AA182" s="115" t="n">
        <f aca="false">IF(LEFT($B182,4)="_Mil","",ROUND(MAX(SUM($U182),SUM($P182))+IF(SUM($Z182)=0,0,MAX(SUM($Z182)-SUM($Y182),0)*SUM($H182)),0))</f>
        <v>3205</v>
      </c>
      <c r="AB182" s="115" t="n">
        <f aca="false">IF(SUM($AA182)=0,"",ROUND(MAX(SUM($AA182)-MAX(SUM($P182),SUM($U182)),0),0))</f>
        <v>876</v>
      </c>
      <c r="AC182" s="126" t="str">
        <f aca="false">IF($C182="&lt;01",IFERROR(ROUND(INDEX(EID!$N:$N,MATCH($B182,EID!$B:$B,0))/2,0),""),"")</f>
        <v/>
      </c>
      <c r="AD182" s="115" t="n">
        <f aca="false">IF($C182="&lt;01",IF(SUM($AC182)=0,"",ROUND(SUM($AC182)/$AG182,0)),IF(SUM($AB182)=0,"",ROUND(MAX($X182,0)*SUM($AB182),0)))</f>
        <v>8</v>
      </c>
      <c r="AE182" s="115" t="n">
        <f aca="false">IF(AND(SUM($AD182)=0,SUM($U182)=0),"",ROUND(IF($C182="&lt;01",0,SUM($U182))+SUM($AD182),0))</f>
        <v>28</v>
      </c>
      <c r="AF182" s="122" t="n">
        <f aca="false">IF($C182="&lt;01","",100%)</f>
        <v>1</v>
      </c>
      <c r="AG182" s="123" t="n">
        <f aca="false">0.98</f>
        <v>0.98</v>
      </c>
      <c r="AH182" s="123" t="n">
        <f aca="false">0.98</f>
        <v>0.98</v>
      </c>
      <c r="AI182" s="124" t="n">
        <f aca="false">IF(OR($C182="&lt;01",SUM($U182)=0),"",ROUND(SUM($U182)*(1-$AH182),0))</f>
        <v>0</v>
      </c>
      <c r="AJ182" s="124" t="n">
        <f aca="false">IF(AND(SUM($AE182)=0,SUM($U182)=0),"",IF($C182="&lt;01",SUM($AD182),SUM($AE182) - ROUND(SUM($U182)*$AH182,0)))</f>
        <v>8</v>
      </c>
      <c r="AK182" s="124" t="n">
        <v>4</v>
      </c>
      <c r="AL182" s="124" t="n">
        <v>42</v>
      </c>
      <c r="AM182" s="115" t="n">
        <f aca="false">IF(AND(SUM($AD182)=0,SUM($U182)=0),"",IF($C182="&lt;01",SUM($AD182),ROUND(ROUND(SUM($AJ182)*$AF182,0)/$AG182,0)))</f>
        <v>8</v>
      </c>
      <c r="AN182" s="122" t="n">
        <f aca="false">0.7</f>
        <v>0.7</v>
      </c>
      <c r="AO182" s="123" t="n">
        <f aca="false">1</f>
        <v>1</v>
      </c>
      <c r="AP182" s="115" t="n">
        <f aca="false">IF(AND(SUM($U182)=0,SUM($AM182)=0),"",ROUND((SUM($AM182)*$AN182+IF($C182="&lt;01",0,$U182))*$AO182,0))</f>
        <v>26</v>
      </c>
      <c r="AQ182" s="122" t="n">
        <v>34</v>
      </c>
      <c r="AR182" s="123" t="n">
        <f aca="false">0.95</f>
        <v>0.95</v>
      </c>
      <c r="AS182" s="123" t="n">
        <f aca="false">0.95</f>
        <v>0.95</v>
      </c>
      <c r="AT182" s="115" t="n">
        <f aca="false">IF(SUM($AP182)=0,"",ROUND(SUM($AP182)*$AR182,0))</f>
        <v>25</v>
      </c>
      <c r="AU182" s="115" t="n">
        <f aca="false">IF(LEFT($B182,4)="_Mil","",ROUND(SUM($AA182)*SUM($AS182),0))</f>
        <v>3045</v>
      </c>
      <c r="AV182" s="124" t="n">
        <f aca="false">IF(SUM($AU182)&lt;=0,"",MAX(SUM($AU182)-SUM($R182),0))</f>
        <v>3045</v>
      </c>
      <c r="AW182" s="122" t="n">
        <f aca="false">0</f>
        <v>0</v>
      </c>
      <c r="AX182" s="124" t="n">
        <f aca="false">IF(SUM($AM182)=0,"",ROUND(SUM($AM182)*SUM($AW182),0))</f>
        <v>0</v>
      </c>
      <c r="AY182" s="124" t="n">
        <f aca="false">IF(SUM($AM182)=0,"",SUM($AM182)-SUM($AX182))</f>
        <v>8</v>
      </c>
      <c r="AZ182" s="123" t="n">
        <v>46</v>
      </c>
      <c r="BA182" s="123" t="n">
        <f aca="false">0.95</f>
        <v>0.95</v>
      </c>
      <c r="BB182" s="123"/>
      <c r="BC182" s="123" t="n">
        <f aca="false">IF(OR(SUM($AM182)&lt;=0,$C182="&lt;01"),"",MAX(IF(OR(SUM($Y182)&lt;70%,LEFT($B182,4)="_Mil"),30%,IF(SUM($Y182)&gt;=80%,75%,50%)),SUM($BB182)))</f>
        <v>0.3</v>
      </c>
      <c r="BD182" s="115" t="n">
        <f aca="false">IF($C182="&lt;01",IFERROR(ROUND(INDEX(EID!$M:$M,MATCH($B182,EID!$B:$B,0)),0)/2,""),IF(SUM($AY182)=0,"",ROUND(SUM($AY182)/SUM($BA182),0)))</f>
        <v>8</v>
      </c>
      <c r="BE182" s="115" t="n">
        <f aca="false">IF($C182="&lt;01","",IF(SUM($BD182)=0,"",ROUND(SUM($BD182)*SUM($BC182),0)))</f>
        <v>2</v>
      </c>
      <c r="BF182" s="115" t="str">
        <f aca="false">_xlfn.IFNA(INDEX(PMTCT!$AE:$AE,MATCH($E182,PMTCT!$E:$E,0)),"")</f>
        <v/>
      </c>
      <c r="BG182" s="115" t="str">
        <f aca="false">_xlfn.IFNA(INDEX(PMTCT!$AU:$AU,MATCH($E182,PMTCT!$E:$E,0)),"")</f>
        <v/>
      </c>
      <c r="BH182" s="115" t="n">
        <f aca="false">_xlfn.IFNA(INDEX(TB!$Q:$Q,MATCH($E182,TB!$E:$E,0)),"")</f>
        <v>0</v>
      </c>
      <c r="BI182" s="115" t="str">
        <f aca="false">_xlfn.IFNA(INDEX(VMMC!$AC:$AC,MATCH($E182,VMMC!$E:$E,0)),"")</f>
        <v/>
      </c>
      <c r="BJ182" s="115" t="str">
        <f aca="false">IF($C182="&lt;01",$BD182,"")</f>
        <v/>
      </c>
      <c r="BK182" s="115" t="n">
        <f aca="false">IF(SUM($BD182)=0,"",($BD182)-SUM($BE182:$BJ182))</f>
        <v>6</v>
      </c>
      <c r="BL182" s="123" t="n">
        <f aca="false">IF(OR(SUM($BD182)=0,SUM($BE182)=0),"",SUM($BE182)/$BD182)</f>
        <v>0.25</v>
      </c>
      <c r="BM182" s="123" t="str">
        <f aca="false">IF(OR(SUM($BD182)=0,SUM($BF182)=0),"",SUM($BF182)/$BD182)</f>
        <v/>
      </c>
      <c r="BN182" s="123" t="str">
        <f aca="false">IF(OR(SUM($BD182)=0,SUM($BG182)=0),"",SUM($BG182)/$BD182)</f>
        <v/>
      </c>
      <c r="BO182" s="123" t="str">
        <f aca="false">IF(OR(SUM($BD182)=0,SUM($BH182)=0),"",SUM($BH182)/$BD182)</f>
        <v/>
      </c>
      <c r="BP182" s="123" t="str">
        <f aca="false">IF(OR(SUM($BD182)=0,SUM($BI182)=0),"",SUM($BI182)/$BD182)</f>
        <v/>
      </c>
      <c r="BQ182" s="123" t="str">
        <f aca="false">IF(AND($C182="&lt;01",SUM($BJ182)&lt;&gt;0),$BJ182/SUM($BD182),"")</f>
        <v/>
      </c>
      <c r="BR182" s="123" t="n">
        <f aca="false">IF(OR(SUM($BD182)=0,SUM($BK182)=0),"",SUM($BK182)/$BD182)</f>
        <v>0.75</v>
      </c>
      <c r="BS182" s="122" t="n">
        <f aca="false">IF(SUM($X182)&lt;=0,"",$X182)</f>
        <v>0.008587376556462</v>
      </c>
      <c r="BT182" s="115" t="n">
        <f aca="false">IF(LEFT($B182,4)="_Mil","",MAX(SUM($L182)+ROUND(SUM($BD182)/IF(SUM($BS182)&lt;=0,1,SUM($BS182)),0),0))</f>
        <v>3428</v>
      </c>
    </row>
    <row r="183" customFormat="false" ht="15" hidden="false" customHeight="false" outlineLevel="0" collapsed="false">
      <c r="A183" s="0" t="s">
        <v>148</v>
      </c>
      <c r="B183" s="0" t="s">
        <v>113</v>
      </c>
      <c r="C183" s="0" t="s">
        <v>89</v>
      </c>
      <c r="D183" s="0" t="s">
        <v>56</v>
      </c>
      <c r="E183" s="0" t="str">
        <f aca="false">B183&amp;"|"&amp;C183&amp;"|"&amp;D183</f>
        <v>Mokhotlong [#SNU] [tjhYqc1MlVo]|&lt;01|Female</v>
      </c>
      <c r="F183" s="115" t="n">
        <f aca="false">_xlfn.IFNA(ROUND(INDEX(Spectrum!$N:$N,MATCH(RIGHT($B183,13)&amp;"|"&amp;$C183&amp;"|"&amp;$D183&amp;"|"&amp;F$14&amp;"|"&amp;"CY2021Q3",Spectrum!$Q:$Q,0)),0),"")</f>
        <v>892</v>
      </c>
      <c r="G183" s="123" t="n">
        <f aca="false">_xlfn.IFNA(INDEX(Spectrum!$P:$P,MATCH(RIGHT($B183,13)&amp;"|"&amp;$C183&amp;"|"&amp;$D183&amp;"|"&amp;F$14&amp;"|"&amp;"CY2021Q3",Spectrum!$Q:$Q,0)),"")</f>
        <v>7</v>
      </c>
      <c r="H183" s="115" t="n">
        <f aca="false">_xlfn.IFNA(ROUND(INDEX(Spectrum!$N:$N,MATCH(RIGHT($B183,13)&amp;"|"&amp;$C183&amp;"|"&amp;$D183&amp;"|"&amp;H$14&amp;"|"&amp;"CY2021Q3",Spectrum!$Q:$Q,0)),0),"")</f>
        <v>6</v>
      </c>
      <c r="I183" s="123" t="n">
        <f aca="false">_xlfn.IFNA(INDEX(Spectrum!$P:$P,MATCH(RIGHT($B183,13)&amp;"|"&amp;$C183&amp;"|"&amp;$D183&amp;"|"&amp;H$14&amp;"|"&amp;"CY2021Q3",Spectrum!$Q:$Q,0)),"")</f>
        <v>13</v>
      </c>
      <c r="J183" s="117" t="n">
        <f aca="false">_xlfn.IFNA(INDEX(Spectrum!$N:$N,MATCH(RIGHT($B183,13)&amp;"|"&amp;$C183&amp;"|"&amp;$D183&amp;"|"&amp;J$14&amp;"|"&amp;"CY2021Q3",Spectrum!$Q:$Q,0)),"")</f>
        <v>0.0072252</v>
      </c>
      <c r="K183" s="123" t="n">
        <f aca="false">_xlfn.IFNA(INDEX(Spectrum!$P:$P,MATCH(RIGHT($B183,13)&amp;"|"&amp;$C183&amp;"|"&amp;$D183&amp;"|"&amp;J$14&amp;"|"&amp;"CY2021Q3",Spectrum!$Q:$Q,0)),"")</f>
        <v>48</v>
      </c>
      <c r="L183" s="115" t="n">
        <f aca="false">_xlfn.IFNA(ROUND(INDEX(Spectrum!$N:$N,MATCH(RIGHT($B183,13)&amp;"|"&amp;$C183&amp;"|"&amp;$D183&amp;"|"&amp;L$14&amp;"|"&amp;"CY2021Q3",Spectrum!$Q:$Q,0)),0),"")</f>
        <v>3</v>
      </c>
      <c r="M183" s="123" t="n">
        <f aca="false">IF(OR(SUM($H183)&lt;=0,SUM($L183)&lt;=0),"",SUM($L183)/$H183)</f>
        <v>0.5</v>
      </c>
      <c r="N183" s="115" t="str">
        <f aca="false">_xlfn.IFNA(ROUND(INDEX(Spectrum!$N:$N,MATCH(RIGHT($B183,13)&amp;"|"&amp;$C183&amp;"|"&amp;$D183&amp;"|"&amp;N$14&amp;"|"&amp;"CY2020Q4",Spectrum!$Q:$Q,0)),0),"")</f>
        <v/>
      </c>
      <c r="O183" s="123" t="str">
        <f aca="false">_xlfn.IFNA(INDEX(Spectrum!$P:$P,MATCH(RIGHT($B183,13)&amp;"|"&amp;$C183&amp;"|"&amp;$D183&amp;"|"&amp;N$14&amp;"|"&amp;"CY2020Q4",Spectrum!$Q:$Q,0)),"")</f>
        <v/>
      </c>
      <c r="P183" s="115" t="n">
        <f aca="false">_xlfn.IFNA(ROUND(INDEX(Spectrum!$N:$N,MATCH(RIGHT($B183,13)&amp;"|"&amp;$C183&amp;"|"&amp;$D183&amp;"|"&amp;P$14&amp;"|"&amp;"CY2021Q3",Spectrum!$Q:$Q,0)),0),"")</f>
        <v>3</v>
      </c>
      <c r="Q183" s="123" t="n">
        <f aca="false">_xlfn.IFNA(INDEX(Spectrum!$P:$P,MATCH(RIGHT($B183,13)&amp;"|"&amp;$C183&amp;"|"&amp;$D183&amp;"|"&amp;P$14&amp;"|"&amp;"CY2021Q3",Spectrum!$Q:$Q,0)),"")</f>
        <v>32</v>
      </c>
      <c r="R183" s="115"/>
      <c r="S183" s="123" t="str">
        <f aca="false">IF(OR(SUM($P183)&lt;=0,SUM($R183)&lt;=0),"",SUM($R183)/$P183)</f>
        <v/>
      </c>
      <c r="T183" s="139" t="n">
        <v>17</v>
      </c>
      <c r="U183" s="124" t="n">
        <v>13</v>
      </c>
      <c r="V183" s="124" t="n">
        <f aca="false">IF($U183-$T183=0,"",$U183-$T183)</f>
        <v>-4</v>
      </c>
      <c r="W183" s="123" t="n">
        <f aca="false">IF(LEFT($B183,4)="_Mil","",IFERROR(MIN(IF(SUM($N183)&lt;=0,SUM($U183)/SUM($P183),SUM($T183)/SUM($N183)),1),""))</f>
        <v>1</v>
      </c>
      <c r="X183" s="123" t="n">
        <f aca="false">$W183</f>
        <v>1</v>
      </c>
      <c r="Y183" s="123" t="n">
        <f aca="false">IFERROR(1/(1/INDEX(Spectrum!$N:$N,MATCH(RIGHT($B183,13)&amp;"|"&amp;$C183&amp;"|"&amp;$D183&amp;"|"&amp;Y$14&amp;"|"&amp;"CY2021Q3",Spectrum!$Q:$Q,0))),IF(SUM($H183)=0,"",MAX(SUM($P183),SUM($U183))/SUM($H183)))</f>
        <v>2.16666666666667</v>
      </c>
      <c r="Z183" s="123" t="n">
        <f aca="false">IF(SUM($Y183)=0,"",MAX(SUM($Y183),90%))</f>
        <v>2.16666666666667</v>
      </c>
      <c r="AA183" s="115" t="n">
        <f aca="false">IF(LEFT($B183,4)="_Mil","",ROUND(MAX(SUM($U183),SUM($P183))+IF(SUM($Z183)=0,0,MAX(SUM($Z183)-SUM($Y183),0)*SUM($H183)),0))</f>
        <v>13</v>
      </c>
      <c r="AB183" s="115" t="n">
        <f aca="false">IF(SUM($AA183)=0,"",ROUND(MAX(SUM($AA183)-MAX(SUM($P183),SUM($U183)),0),0))</f>
        <v>0</v>
      </c>
      <c r="AC183" s="126" t="n">
        <f aca="false">IF($C183="&lt;01",IFERROR(ROUND(INDEX(EID!$N:$N,MATCH($B183,EID!$B:$B,0))/2,0),""),"")</f>
        <v>12043</v>
      </c>
      <c r="AD183" s="115" t="n">
        <f aca="false">IF($C183="&lt;01",IF(SUM($AC183)=0,"",ROUND(SUM($AC183)/$AG183,0)),IF(SUM($AB183)=0,"",ROUND(MAX($X183,0)*SUM($AB183),0)))</f>
        <v>12289</v>
      </c>
      <c r="AE183" s="115" t="n">
        <f aca="false">IF(AND(SUM($AD183)=0,SUM($U183)=0),"",ROUND(IF($C183="&lt;01",0,SUM($U183))+SUM($AD183),0))</f>
        <v>12289</v>
      </c>
      <c r="AF183" s="122" t="str">
        <f aca="false">IF($C183="&lt;01","",100%)</f>
        <v/>
      </c>
      <c r="AG183" s="123" t="n">
        <f aca="false">0.98</f>
        <v>0.98</v>
      </c>
      <c r="AH183" s="123" t="n">
        <f aca="false">0.98</f>
        <v>0.98</v>
      </c>
      <c r="AI183" s="124" t="str">
        <f aca="false">IF(OR($C183="&lt;01",SUM($U183)=0),"",ROUND(SUM($U183)*(1-$AH183),0))</f>
        <v/>
      </c>
      <c r="AJ183" s="124" t="n">
        <f aca="false">IF(AND(SUM($AE183)=0,SUM($U183)=0),"",IF($C183="&lt;01",SUM($AD183),SUM($AE183) - ROUND(SUM($U183)*$AH183,0)))</f>
        <v>12289</v>
      </c>
      <c r="AK183" s="124"/>
      <c r="AL183" s="124" t="n">
        <v>8</v>
      </c>
      <c r="AM183" s="115" t="n">
        <f aca="false">IF(AND(SUM($AD183)=0,SUM($U183)=0),"",IF($C183="&lt;01",SUM($AD183),ROUND(ROUND(SUM($AJ183)*$AF183,0)/$AG183,0)))</f>
        <v>12289</v>
      </c>
      <c r="AN183" s="122" t="n">
        <f aca="false">0.7</f>
        <v>0.7</v>
      </c>
      <c r="AO183" s="123" t="n">
        <f aca="false">1</f>
        <v>1</v>
      </c>
      <c r="AP183" s="115" t="n">
        <f aca="false">IF(AND(SUM($U183)=0,SUM($AM183)=0),"",ROUND((SUM($AM183)*$AN183+IF($C183="&lt;01",0,$U183))*$AO183,0))</f>
        <v>8602</v>
      </c>
      <c r="AQ183" s="122" t="n">
        <v>27</v>
      </c>
      <c r="AR183" s="123" t="n">
        <f aca="false">0.95</f>
        <v>0.95</v>
      </c>
      <c r="AS183" s="123" t="n">
        <f aca="false">0.95</f>
        <v>0.95</v>
      </c>
      <c r="AT183" s="115" t="n">
        <f aca="false">IF(SUM($AP183)=0,"",ROUND(SUM($AP183)*$AR183,0))</f>
        <v>8172</v>
      </c>
      <c r="AU183" s="115" t="n">
        <f aca="false">IF(LEFT($B183,4)="_Mil","",ROUND(SUM($AA183)*SUM($AS183),0))</f>
        <v>12</v>
      </c>
      <c r="AV183" s="124" t="n">
        <f aca="false">IF(SUM($AU183)&lt;=0,"",MAX(SUM($AU183)-SUM($R183),0))</f>
        <v>12</v>
      </c>
      <c r="AW183" s="122" t="n">
        <f aca="false">0</f>
        <v>0</v>
      </c>
      <c r="AX183" s="124" t="n">
        <f aca="false">IF(SUM($AM183)=0,"",ROUND(SUM($AM183)*SUM($AW183),0))</f>
        <v>0</v>
      </c>
      <c r="AY183" s="124" t="n">
        <f aca="false">IF(SUM($AM183)=0,"",SUM($AM183)-SUM($AX183))</f>
        <v>12289</v>
      </c>
      <c r="AZ183" s="123"/>
      <c r="BA183" s="123" t="n">
        <f aca="false">0.95</f>
        <v>0.95</v>
      </c>
      <c r="BB183" s="123"/>
      <c r="BC183" s="123" t="str">
        <f aca="false">IF(OR(SUM($AM183)&lt;=0,$C183="&lt;01"),"",MAX(IF(OR(SUM($Y183)&lt;70%,LEFT($B183,4)="_Mil"),30%,IF(SUM($Y183)&gt;=80%,75%,50%)),SUM($BB183)))</f>
        <v/>
      </c>
      <c r="BD183" s="115" t="n">
        <f aca="false">IF($C183="&lt;01",IFERROR(ROUND(INDEX(EID!$M:$M,MATCH($B183,EID!$B:$B,0)),0)/2,""),IF(SUM($AY183)=0,"",ROUND(SUM($AY183)/SUM($BA183),0)))</f>
        <v>12677</v>
      </c>
      <c r="BE183" s="115" t="str">
        <f aca="false">IF($C183="&lt;01","",IF(SUM($BD183)=0,"",ROUND(SUM($BD183)*SUM($BC183),0)))</f>
        <v/>
      </c>
      <c r="BF183" s="115" t="str">
        <f aca="false">_xlfn.IFNA(INDEX(PMTCT!$AE:$AE,MATCH($E183,PMTCT!$E:$E,0)),"")</f>
        <v/>
      </c>
      <c r="BG183" s="115" t="str">
        <f aca="false">_xlfn.IFNA(INDEX(PMTCT!$AU:$AU,MATCH($E183,PMTCT!$E:$E,0)),"")</f>
        <v/>
      </c>
      <c r="BH183" s="115" t="str">
        <f aca="false">_xlfn.IFNA(INDEX(TB!$Q:$Q,MATCH($E183,TB!$E:$E,0)),"")</f>
        <v/>
      </c>
      <c r="BI183" s="115" t="str">
        <f aca="false">_xlfn.IFNA(INDEX(VMMC!$AC:$AC,MATCH($E183,VMMC!$E:$E,0)),"")</f>
        <v/>
      </c>
      <c r="BJ183" s="115" t="n">
        <f aca="false">IF($C183="&lt;01",$BD183,"")</f>
        <v>12677</v>
      </c>
      <c r="BK183" s="115" t="n">
        <f aca="false">IF(SUM($BD183)=0,"",($BD183)-SUM($BE183:$BJ183))</f>
        <v>0</v>
      </c>
      <c r="BL183" s="123" t="str">
        <f aca="false">IF(OR(SUM($BD183)=0,SUM($BE183)=0),"",SUM($BE183)/$BD183)</f>
        <v/>
      </c>
      <c r="BM183" s="123" t="str">
        <f aca="false">IF(OR(SUM($BD183)=0,SUM($BF183)=0),"",SUM($BF183)/$BD183)</f>
        <v/>
      </c>
      <c r="BN183" s="123" t="str">
        <f aca="false">IF(OR(SUM($BD183)=0,SUM($BG183)=0),"",SUM($BG183)/$BD183)</f>
        <v/>
      </c>
      <c r="BO183" s="123" t="str">
        <f aca="false">IF(OR(SUM($BD183)=0,SUM($BH183)=0),"",SUM($BH183)/$BD183)</f>
        <v/>
      </c>
      <c r="BP183" s="123" t="str">
        <f aca="false">IF(OR(SUM($BD183)=0,SUM($BI183)=0),"",SUM($BI183)/$BD183)</f>
        <v/>
      </c>
      <c r="BQ183" s="123" t="n">
        <f aca="false">IF(AND($C183="&lt;01",SUM($BJ183)&lt;&gt;0),$BJ183/SUM($BD183),"")</f>
        <v>1</v>
      </c>
      <c r="BR183" s="123" t="str">
        <f aca="false">IF(OR(SUM($BD183)=0,SUM($BK183)=0),"",SUM($BK183)/$BD183)</f>
        <v/>
      </c>
      <c r="BS183" s="122" t="n">
        <f aca="false">IF(SUM($X183)&lt;=0,"",$X183)</f>
        <v>1</v>
      </c>
      <c r="BT183" s="115" t="n">
        <f aca="false">IF(LEFT($B183,4)="_Mil","",MAX(SUM($L183)+ROUND(SUM($BD183)/IF(SUM($BS183)&lt;=0,1,SUM($BS183)),0),0))</f>
        <v>12680</v>
      </c>
    </row>
    <row r="184" customFormat="false" ht="15" hidden="false" customHeight="false" outlineLevel="0" collapsed="false">
      <c r="A184" s="0" t="s">
        <v>148</v>
      </c>
      <c r="B184" s="0" t="s">
        <v>113</v>
      </c>
      <c r="C184" s="0" t="s">
        <v>89</v>
      </c>
      <c r="D184" s="0" t="s">
        <v>58</v>
      </c>
      <c r="E184" s="0" t="str">
        <f aca="false">B184&amp;"|"&amp;C184&amp;"|"&amp;D184</f>
        <v>Mokhotlong [#SNU] [tjhYqc1MlVo]|&lt;01|Male</v>
      </c>
      <c r="F184" s="115" t="n">
        <f aca="false">_xlfn.IFNA(ROUND(INDEX(Spectrum!$N:$N,MATCH(RIGHT($B184,13)&amp;"|"&amp;$C184&amp;"|"&amp;$D184&amp;"|"&amp;F$14&amp;"|"&amp;"CY2021Q3",Spectrum!$Q:$Q,0)),0),"")</f>
        <v>930</v>
      </c>
      <c r="G184" s="123" t="n">
        <f aca="false">_xlfn.IFNA(INDEX(Spectrum!$P:$P,MATCH(RIGHT($B184,13)&amp;"|"&amp;$C184&amp;"|"&amp;$D184&amp;"|"&amp;F$14&amp;"|"&amp;"CY2021Q3",Spectrum!$Q:$Q,0)),"")</f>
        <v>5</v>
      </c>
      <c r="H184" s="115" t="n">
        <f aca="false">_xlfn.IFNA(ROUND(INDEX(Spectrum!$N:$N,MATCH(RIGHT($B184,13)&amp;"|"&amp;$C184&amp;"|"&amp;$D184&amp;"|"&amp;H$14&amp;"|"&amp;"CY2021Q3",Spectrum!$Q:$Q,0)),0),"")</f>
        <v>7</v>
      </c>
      <c r="I184" s="123" t="n">
        <f aca="false">_xlfn.IFNA(INDEX(Spectrum!$P:$P,MATCH(RIGHT($B184,13)&amp;"|"&amp;$C184&amp;"|"&amp;$D184&amp;"|"&amp;H$14&amp;"|"&amp;"CY2021Q3",Spectrum!$Q:$Q,0)),"")</f>
        <v>11</v>
      </c>
      <c r="J184" s="117" t="n">
        <f aca="false">_xlfn.IFNA(INDEX(Spectrum!$N:$N,MATCH(RIGHT($B184,13)&amp;"|"&amp;$C184&amp;"|"&amp;$D184&amp;"|"&amp;J$14&amp;"|"&amp;"CY2021Q3",Spectrum!$Q:$Q,0)),"")</f>
        <v>0.0070511</v>
      </c>
      <c r="K184" s="123" t="n">
        <f aca="false">_xlfn.IFNA(INDEX(Spectrum!$P:$P,MATCH(RIGHT($B184,13)&amp;"|"&amp;$C184&amp;"|"&amp;$D184&amp;"|"&amp;J$14&amp;"|"&amp;"CY2021Q3",Spectrum!$Q:$Q,0)),"")</f>
        <v>6</v>
      </c>
      <c r="L184" s="115" t="n">
        <f aca="false">_xlfn.IFNA(ROUND(INDEX(Spectrum!$N:$N,MATCH(RIGHT($B184,13)&amp;"|"&amp;$C184&amp;"|"&amp;$D184&amp;"|"&amp;L$14&amp;"|"&amp;"CY2021Q3",Spectrum!$Q:$Q,0)),0),"")</f>
        <v>3</v>
      </c>
      <c r="M184" s="123" t="n">
        <f aca="false">IF(OR(SUM($H184)&lt;=0,SUM($L184)&lt;=0),"",SUM($L184)/$H184)</f>
        <v>0.428571428571429</v>
      </c>
      <c r="N184" s="115" t="str">
        <f aca="false">_xlfn.IFNA(ROUND(INDEX(Spectrum!$N:$N,MATCH(RIGHT($B184,13)&amp;"|"&amp;$C184&amp;"|"&amp;$D184&amp;"|"&amp;N$14&amp;"|"&amp;"CY2020Q4",Spectrum!$Q:$Q,0)),0),"")</f>
        <v/>
      </c>
      <c r="O184" s="123" t="str">
        <f aca="false">_xlfn.IFNA(INDEX(Spectrum!$P:$P,MATCH(RIGHT($B184,13)&amp;"|"&amp;$C184&amp;"|"&amp;$D184&amp;"|"&amp;N$14&amp;"|"&amp;"CY2020Q4",Spectrum!$Q:$Q,0)),"")</f>
        <v/>
      </c>
      <c r="P184" s="115" t="n">
        <f aca="false">_xlfn.IFNA(ROUND(INDEX(Spectrum!$N:$N,MATCH(RIGHT($B184,13)&amp;"|"&amp;$C184&amp;"|"&amp;$D184&amp;"|"&amp;P$14&amp;"|"&amp;"CY2021Q3",Spectrum!$Q:$Q,0)),0),"")</f>
        <v>3</v>
      </c>
      <c r="Q184" s="123" t="n">
        <f aca="false">_xlfn.IFNA(INDEX(Spectrum!$P:$P,MATCH(RIGHT($B184,13)&amp;"|"&amp;$C184&amp;"|"&amp;$D184&amp;"|"&amp;P$14&amp;"|"&amp;"CY2021Q3",Spectrum!$Q:$Q,0)),"")</f>
        <v>11</v>
      </c>
      <c r="R184" s="115"/>
      <c r="S184" s="123" t="str">
        <f aca="false">IF(OR(SUM($P184)&lt;=0,SUM($R184)&lt;=0),"",SUM($R184)/$P184)</f>
        <v/>
      </c>
      <c r="T184" s="139" t="n">
        <v>25</v>
      </c>
      <c r="U184" s="124" t="n">
        <v>29</v>
      </c>
      <c r="V184" s="124" t="n">
        <f aca="false">IF($U184-$T184=0,"",$U184-$T184)</f>
        <v>4</v>
      </c>
      <c r="W184" s="123" t="n">
        <f aca="false">IF(LEFT($B184,4)="_Mil","",IFERROR(MIN(IF(SUM($N184)&lt;=0,SUM($U184)/SUM($P184),SUM($T184)/SUM($N184)),1),""))</f>
        <v>1</v>
      </c>
      <c r="X184" s="123" t="n">
        <f aca="false">$W184</f>
        <v>1</v>
      </c>
      <c r="Y184" s="123" t="n">
        <f aca="false">IFERROR(1/(1/INDEX(Spectrum!$N:$N,MATCH(RIGHT($B184,13)&amp;"|"&amp;$C184&amp;"|"&amp;$D184&amp;"|"&amp;Y$14&amp;"|"&amp;"CY2021Q3",Spectrum!$Q:$Q,0))),IF(SUM($H184)=0,"",MAX(SUM($P184),SUM($U184))/SUM($H184)))</f>
        <v>4.14285714285714</v>
      </c>
      <c r="Z184" s="123" t="n">
        <f aca="false">IF(SUM($Y184)=0,"",MAX(SUM($Y184),90%))</f>
        <v>4.14285714285714</v>
      </c>
      <c r="AA184" s="115" t="n">
        <f aca="false">IF(LEFT($B184,4)="_Mil","",ROUND(MAX(SUM($U184),SUM($P184))+IF(SUM($Z184)=0,0,MAX(SUM($Z184)-SUM($Y184),0)*SUM($H184)),0))</f>
        <v>29</v>
      </c>
      <c r="AB184" s="115" t="n">
        <f aca="false">IF(SUM($AA184)=0,"",ROUND(MAX(SUM($AA184)-MAX(SUM($P184),SUM($U184)),0),0))</f>
        <v>0</v>
      </c>
      <c r="AC184" s="126" t="n">
        <f aca="false">IF($C184="&lt;01",IFERROR(ROUND(INDEX(EID!$N:$N,MATCH($B184,EID!$B:$B,0))/2,0),""),"")</f>
        <v>12043</v>
      </c>
      <c r="AD184" s="115" t="n">
        <f aca="false">IF($C184="&lt;01",IF(SUM($AC184)=0,"",ROUND(SUM($AC184)/$AG184,0)),IF(SUM($AB184)=0,"",ROUND(MAX($X184,0)*SUM($AB184),0)))</f>
        <v>12289</v>
      </c>
      <c r="AE184" s="115" t="n">
        <f aca="false">IF(AND(SUM($AD184)=0,SUM($U184)=0),"",ROUND(IF($C184="&lt;01",0,SUM($U184))+SUM($AD184),0))</f>
        <v>12289</v>
      </c>
      <c r="AF184" s="122" t="str">
        <f aca="false">IF($C184="&lt;01","",100%)</f>
        <v/>
      </c>
      <c r="AG184" s="123" t="n">
        <f aca="false">0.98</f>
        <v>0.98</v>
      </c>
      <c r="AH184" s="123" t="n">
        <f aca="false">0.98</f>
        <v>0.98</v>
      </c>
      <c r="AI184" s="124" t="str">
        <f aca="false">IF(OR($C184="&lt;01",SUM($U184)=0),"",ROUND(SUM($U184)*(1-$AH184),0))</f>
        <v/>
      </c>
      <c r="AJ184" s="124" t="n">
        <f aca="false">IF(AND(SUM($AE184)=0,SUM($U184)=0),"",IF($C184="&lt;01",SUM($AD184),SUM($AE184) - ROUND(SUM($U184)*$AH184,0)))</f>
        <v>12289</v>
      </c>
      <c r="AK184" s="124" t="n">
        <v>27</v>
      </c>
      <c r="AL184" s="124" t="n">
        <v>29</v>
      </c>
      <c r="AM184" s="115" t="n">
        <f aca="false">IF(AND(SUM($AD184)=0,SUM($U184)=0),"",IF($C184="&lt;01",SUM($AD184),ROUND(ROUND(SUM($AJ184)*$AF184,0)/$AG184,0)))</f>
        <v>12289</v>
      </c>
      <c r="AN184" s="122" t="n">
        <f aca="false">0.7</f>
        <v>0.7</v>
      </c>
      <c r="AO184" s="123" t="n">
        <f aca="false">1</f>
        <v>1</v>
      </c>
      <c r="AP184" s="115" t="n">
        <f aca="false">IF(AND(SUM($U184)=0,SUM($AM184)=0),"",ROUND((SUM($AM184)*$AN184+IF($C184="&lt;01",0,$U184))*$AO184,0))</f>
        <v>8602</v>
      </c>
      <c r="AQ184" s="122"/>
      <c r="AR184" s="123" t="n">
        <f aca="false">0.95</f>
        <v>0.95</v>
      </c>
      <c r="AS184" s="123" t="n">
        <f aca="false">0.95</f>
        <v>0.95</v>
      </c>
      <c r="AT184" s="115" t="n">
        <f aca="false">IF(SUM($AP184)=0,"",ROUND(SUM($AP184)*$AR184,0))</f>
        <v>8172</v>
      </c>
      <c r="AU184" s="115" t="n">
        <f aca="false">IF(LEFT($B184,4)="_Mil","",ROUND(SUM($AA184)*SUM($AS184),0))</f>
        <v>28</v>
      </c>
      <c r="AV184" s="124" t="n">
        <f aca="false">IF(SUM($AU184)&lt;=0,"",MAX(SUM($AU184)-SUM($R184),0))</f>
        <v>28</v>
      </c>
      <c r="AW184" s="122" t="n">
        <f aca="false">0</f>
        <v>0</v>
      </c>
      <c r="AX184" s="124" t="n">
        <f aca="false">IF(SUM($AM184)=0,"",ROUND(SUM($AM184)*SUM($AW184),0))</f>
        <v>0</v>
      </c>
      <c r="AY184" s="124" t="n">
        <f aca="false">IF(SUM($AM184)=0,"",SUM($AM184)-SUM($AX184))</f>
        <v>12289</v>
      </c>
      <c r="AZ184" s="123" t="n">
        <v>28</v>
      </c>
      <c r="BA184" s="123" t="n">
        <f aca="false">0.95</f>
        <v>0.95</v>
      </c>
      <c r="BB184" s="123"/>
      <c r="BC184" s="123" t="str">
        <f aca="false">IF(OR(SUM($AM184)&lt;=0,$C184="&lt;01"),"",MAX(IF(OR(SUM($Y184)&lt;70%,LEFT($B184,4)="_Mil"),30%,IF(SUM($Y184)&gt;=80%,75%,50%)),SUM($BB184)))</f>
        <v/>
      </c>
      <c r="BD184" s="115" t="n">
        <f aca="false">IF($C184="&lt;01",IFERROR(ROUND(INDEX(EID!$M:$M,MATCH($B184,EID!$B:$B,0)),0)/2,""),IF(SUM($AY184)=0,"",ROUND(SUM($AY184)/SUM($BA184),0)))</f>
        <v>12677</v>
      </c>
      <c r="BE184" s="115" t="str">
        <f aca="false">IF($C184="&lt;01","",IF(SUM($BD184)=0,"",ROUND(SUM($BD184)*SUM($BC184),0)))</f>
        <v/>
      </c>
      <c r="BF184" s="115" t="str">
        <f aca="false">_xlfn.IFNA(INDEX(PMTCT!$AE:$AE,MATCH($E184,PMTCT!$E:$E,0)),"")</f>
        <v/>
      </c>
      <c r="BG184" s="115" t="str">
        <f aca="false">_xlfn.IFNA(INDEX(PMTCT!$AU:$AU,MATCH($E184,PMTCT!$E:$E,0)),"")</f>
        <v/>
      </c>
      <c r="BH184" s="115" t="str">
        <f aca="false">_xlfn.IFNA(INDEX(TB!$Q:$Q,MATCH($E184,TB!$E:$E,0)),"")</f>
        <v/>
      </c>
      <c r="BI184" s="115" t="str">
        <f aca="false">_xlfn.IFNA(INDEX(VMMC!$AC:$AC,MATCH($E184,VMMC!$E:$E,0)),"")</f>
        <v/>
      </c>
      <c r="BJ184" s="115" t="n">
        <f aca="false">IF($C184="&lt;01",$BD184,"")</f>
        <v>12677</v>
      </c>
      <c r="BK184" s="115" t="n">
        <f aca="false">IF(SUM($BD184)=0,"",($BD184)-SUM($BE184:$BJ184))</f>
        <v>0</v>
      </c>
      <c r="BL184" s="123" t="str">
        <f aca="false">IF(OR(SUM($BD184)=0,SUM($BE184)=0),"",SUM($BE184)/$BD184)</f>
        <v/>
      </c>
      <c r="BM184" s="123" t="str">
        <f aca="false">IF(OR(SUM($BD184)=0,SUM($BF184)=0),"",SUM($BF184)/$BD184)</f>
        <v/>
      </c>
      <c r="BN184" s="123" t="str">
        <f aca="false">IF(OR(SUM($BD184)=0,SUM($BG184)=0),"",SUM($BG184)/$BD184)</f>
        <v/>
      </c>
      <c r="BO184" s="123" t="str">
        <f aca="false">IF(OR(SUM($BD184)=0,SUM($BH184)=0),"",SUM($BH184)/$BD184)</f>
        <v/>
      </c>
      <c r="BP184" s="123" t="str">
        <f aca="false">IF(OR(SUM($BD184)=0,SUM($BI184)=0),"",SUM($BI184)/$BD184)</f>
        <v/>
      </c>
      <c r="BQ184" s="123" t="n">
        <f aca="false">IF(AND($C184="&lt;01",SUM($BJ184)&lt;&gt;0),$BJ184/SUM($BD184),"")</f>
        <v>1</v>
      </c>
      <c r="BR184" s="123" t="str">
        <f aca="false">IF(OR(SUM($BD184)=0,SUM($BK184)=0),"",SUM($BK184)/$BD184)</f>
        <v/>
      </c>
      <c r="BS184" s="122" t="n">
        <f aca="false">IF(SUM($X184)&lt;=0,"",$X184)</f>
        <v>1</v>
      </c>
      <c r="BT184" s="115" t="n">
        <f aca="false">IF(LEFT($B184,4)="_Mil","",MAX(SUM($L184)+ROUND(SUM($BD184)/IF(SUM($BS184)&lt;=0,1,SUM($BS184)),0),0))</f>
        <v>12680</v>
      </c>
    </row>
    <row r="185" customFormat="false" ht="15" hidden="false" customHeight="false" outlineLevel="0" collapsed="false">
      <c r="A185" s="0" t="s">
        <v>148</v>
      </c>
      <c r="B185" s="0" t="s">
        <v>113</v>
      </c>
      <c r="C185" s="0" t="s">
        <v>54</v>
      </c>
      <c r="D185" s="0" t="s">
        <v>56</v>
      </c>
      <c r="E185" s="0" t="str">
        <f aca="false">B185&amp;"|"&amp;C185&amp;"|"&amp;D185</f>
        <v>Mokhotlong [#SNU] [tjhYqc1MlVo]|01-04|Female</v>
      </c>
      <c r="F185" s="115" t="n">
        <f aca="false">_xlfn.IFNA(ROUND(INDEX(Spectrum!$N:$N,MATCH(RIGHT($B185,13)&amp;"|"&amp;$C185&amp;"|"&amp;$D185&amp;"|"&amp;F$14&amp;"|"&amp;"CY2021Q3",Spectrum!$Q:$Q,0)),0),"")</f>
        <v>4144</v>
      </c>
      <c r="G185" s="123" t="n">
        <f aca="false">_xlfn.IFNA(INDEX(Spectrum!$P:$P,MATCH(RIGHT($B185,13)&amp;"|"&amp;$C185&amp;"|"&amp;$D185&amp;"|"&amp;F$14&amp;"|"&amp;"CY2021Q3",Spectrum!$Q:$Q,0)),"")</f>
        <v>7</v>
      </c>
      <c r="H185" s="115" t="n">
        <f aca="false">_xlfn.IFNA(ROUND(INDEX(Spectrum!$N:$N,MATCH(RIGHT($B185,13)&amp;"|"&amp;$C185&amp;"|"&amp;$D185&amp;"|"&amp;H$14&amp;"|"&amp;"CY2021Q3",Spectrum!$Q:$Q,0)),0),"")</f>
        <v>32</v>
      </c>
      <c r="I185" s="123" t="n">
        <f aca="false">_xlfn.IFNA(INDEX(Spectrum!$P:$P,MATCH(RIGHT($B185,13)&amp;"|"&amp;$C185&amp;"|"&amp;$D185&amp;"|"&amp;H$14&amp;"|"&amp;"CY2021Q3",Spectrum!$Q:$Q,0)),"")</f>
        <v>50</v>
      </c>
      <c r="J185" s="117" t="n">
        <f aca="false">_xlfn.IFNA(INDEX(Spectrum!$N:$N,MATCH(RIGHT($B185,13)&amp;"|"&amp;$C185&amp;"|"&amp;$D185&amp;"|"&amp;J$14&amp;"|"&amp;"CY2021Q3",Spectrum!$Q:$Q,0)),"")</f>
        <v>0.0076408</v>
      </c>
      <c r="K185" s="123" t="n">
        <f aca="false">_xlfn.IFNA(INDEX(Spectrum!$P:$P,MATCH(RIGHT($B185,13)&amp;"|"&amp;$C185&amp;"|"&amp;$D185&amp;"|"&amp;J$14&amp;"|"&amp;"CY2021Q3",Spectrum!$Q:$Q,0)),"")</f>
        <v>9</v>
      </c>
      <c r="L185" s="115" t="n">
        <f aca="false">_xlfn.IFNA(ROUND(INDEX(Spectrum!$N:$N,MATCH(RIGHT($B185,13)&amp;"|"&amp;$C185&amp;"|"&amp;$D185&amp;"|"&amp;L$14&amp;"|"&amp;"CY2021Q3",Spectrum!$Q:$Q,0)),0),"")</f>
        <v>12</v>
      </c>
      <c r="M185" s="123" t="n">
        <f aca="false">IF(OR(SUM($H185)&lt;=0,SUM($L185)&lt;=0),"",SUM($L185)/$H185)</f>
        <v>0.375</v>
      </c>
      <c r="N185" s="115" t="str">
        <f aca="false">_xlfn.IFNA(ROUND(INDEX(Spectrum!$N:$N,MATCH(RIGHT($B185,13)&amp;"|"&amp;$C185&amp;"|"&amp;$D185&amp;"|"&amp;N$14&amp;"|"&amp;"CY2020Q4",Spectrum!$Q:$Q,0)),0),"")</f>
        <v/>
      </c>
      <c r="O185" s="123" t="str">
        <f aca="false">_xlfn.IFNA(INDEX(Spectrum!$P:$P,MATCH(RIGHT($B185,13)&amp;"|"&amp;$C185&amp;"|"&amp;$D185&amp;"|"&amp;N$14&amp;"|"&amp;"CY2020Q4",Spectrum!$Q:$Q,0)),"")</f>
        <v/>
      </c>
      <c r="P185" s="115" t="n">
        <f aca="false">_xlfn.IFNA(ROUND(INDEX(Spectrum!$N:$N,MATCH(RIGHT($B185,13)&amp;"|"&amp;$C185&amp;"|"&amp;$D185&amp;"|"&amp;P$14&amp;"|"&amp;"CY2021Q3",Spectrum!$Q:$Q,0)),0),"")</f>
        <v>14</v>
      </c>
      <c r="Q185" s="123" t="n">
        <f aca="false">_xlfn.IFNA(INDEX(Spectrum!$P:$P,MATCH(RIGHT($B185,13)&amp;"|"&amp;$C185&amp;"|"&amp;$D185&amp;"|"&amp;P$14&amp;"|"&amp;"CY2021Q3",Spectrum!$Q:$Q,0)),"")</f>
        <v>38</v>
      </c>
      <c r="R185" s="115"/>
      <c r="S185" s="123" t="str">
        <f aca="false">IF(OR(SUM($P185)&lt;=0,SUM($R185)&lt;=0),"",SUM($R185)/$P185)</f>
        <v/>
      </c>
      <c r="T185" s="139" t="n">
        <v>32</v>
      </c>
      <c r="U185" s="124" t="n">
        <v>11</v>
      </c>
      <c r="V185" s="124" t="n">
        <f aca="false">IF($U185-$T185=0,"",$U185-$T185)</f>
        <v>-21</v>
      </c>
      <c r="W185" s="123" t="n">
        <f aca="false">IF(LEFT($B185,4)="_Mil","",IFERROR(MIN(IF(SUM($N185)&lt;=0,SUM($U185)/SUM($P185),SUM($T185)/SUM($N185)),1),""))</f>
        <v>0.785714285714286</v>
      </c>
      <c r="X185" s="123" t="n">
        <f aca="false">$W185</f>
        <v>0.785714285714286</v>
      </c>
      <c r="Y185" s="123" t="n">
        <f aca="false">IFERROR(1/(1/INDEX(Spectrum!$N:$N,MATCH(RIGHT($B185,13)&amp;"|"&amp;$C185&amp;"|"&amp;$D185&amp;"|"&amp;Y$14&amp;"|"&amp;"CY2021Q3",Spectrum!$Q:$Q,0))),IF(SUM($H185)=0,"",MAX(SUM($P185),SUM($U185))/SUM($H185)))</f>
        <v>0.4375</v>
      </c>
      <c r="Z185" s="123" t="n">
        <f aca="false">IF(SUM($Y185)=0,"",MAX(SUM($Y185),90%))</f>
        <v>0.9</v>
      </c>
      <c r="AA185" s="115" t="n">
        <f aca="false">IF(LEFT($B185,4)="_Mil","",ROUND(MAX(SUM($U185),SUM($P185))+IF(SUM($Z185)=0,0,MAX(SUM($Z185)-SUM($Y185),0)*SUM($H185)),0))</f>
        <v>29</v>
      </c>
      <c r="AB185" s="115" t="n">
        <f aca="false">IF(SUM($AA185)=0,"",ROUND(MAX(SUM($AA185)-MAX(SUM($P185),SUM($U185)),0),0))</f>
        <v>15</v>
      </c>
      <c r="AC185" s="126" t="str">
        <f aca="false">IF($C185="&lt;01",IFERROR(ROUND(INDEX(EID!$N:$N,MATCH($B185,EID!$B:$B,0))/2,0),""),"")</f>
        <v/>
      </c>
      <c r="AD185" s="115" t="n">
        <f aca="false">IF($C185="&lt;01",IF(SUM($AC185)=0,"",ROUND(SUM($AC185)/$AG185,0)),IF(SUM($AB185)=0,"",ROUND(MAX($X185,0)*SUM($AB185),0)))</f>
        <v>12</v>
      </c>
      <c r="AE185" s="115" t="n">
        <f aca="false">IF(AND(SUM($AD185)=0,SUM($U185)=0),"",ROUND(IF($C185="&lt;01",0,SUM($U185))+SUM($AD185),0))</f>
        <v>23</v>
      </c>
      <c r="AF185" s="122" t="n">
        <f aca="false">IF($C185="&lt;01","",100%)</f>
        <v>1</v>
      </c>
      <c r="AG185" s="123" t="n">
        <f aca="false">0.98</f>
        <v>0.98</v>
      </c>
      <c r="AH185" s="123" t="n">
        <f aca="false">0.98</f>
        <v>0.98</v>
      </c>
      <c r="AI185" s="124" t="n">
        <f aca="false">IF(OR($C185="&lt;01",SUM($U185)=0),"",ROUND(SUM($U185)*(1-$AH185),0))</f>
        <v>0</v>
      </c>
      <c r="AJ185" s="124" t="n">
        <f aca="false">IF(AND(SUM($AE185)=0,SUM($U185)=0),"",IF($C185="&lt;01",SUM($AD185),SUM($AE185) - ROUND(SUM($U185)*$AH185,0)))</f>
        <v>12</v>
      </c>
      <c r="AK185" s="124"/>
      <c r="AL185" s="124" t="n">
        <v>29</v>
      </c>
      <c r="AM185" s="115" t="n">
        <f aca="false">IF(AND(SUM($AD185)=0,SUM($U185)=0),"",IF($C185="&lt;01",SUM($AD185),ROUND(ROUND(SUM($AJ185)*$AF185,0)/$AG185,0)))</f>
        <v>12</v>
      </c>
      <c r="AN185" s="122" t="n">
        <f aca="false">0.7</f>
        <v>0.7</v>
      </c>
      <c r="AO185" s="123" t="n">
        <f aca="false">1</f>
        <v>1</v>
      </c>
      <c r="AP185" s="115" t="n">
        <f aca="false">IF(AND(SUM($U185)=0,SUM($AM185)=0),"",ROUND((SUM($AM185)*$AN185+IF($C185="&lt;01",0,$U185))*$AO185,0))</f>
        <v>19</v>
      </c>
      <c r="AQ185" s="122" t="n">
        <v>12</v>
      </c>
      <c r="AR185" s="123" t="n">
        <f aca="false">0.95</f>
        <v>0.95</v>
      </c>
      <c r="AS185" s="123" t="n">
        <f aca="false">0.95</f>
        <v>0.95</v>
      </c>
      <c r="AT185" s="115" t="n">
        <f aca="false">IF(SUM($AP185)=0,"",ROUND(SUM($AP185)*$AR185,0))</f>
        <v>18</v>
      </c>
      <c r="AU185" s="115" t="n">
        <f aca="false">IF(LEFT($B185,4)="_Mil","",ROUND(SUM($AA185)*SUM($AS185),0))</f>
        <v>28</v>
      </c>
      <c r="AV185" s="124" t="n">
        <f aca="false">IF(SUM($AU185)&lt;=0,"",MAX(SUM($AU185)-SUM($R185),0))</f>
        <v>28</v>
      </c>
      <c r="AW185" s="122" t="n">
        <f aca="false">0</f>
        <v>0</v>
      </c>
      <c r="AX185" s="124" t="n">
        <f aca="false">IF(SUM($AM185)=0,"",ROUND(SUM($AM185)*SUM($AW185),0))</f>
        <v>0</v>
      </c>
      <c r="AY185" s="124" t="n">
        <f aca="false">IF(SUM($AM185)=0,"",SUM($AM185)-SUM($AX185))</f>
        <v>12</v>
      </c>
      <c r="AZ185" s="123"/>
      <c r="BA185" s="123" t="n">
        <f aca="false">0.95</f>
        <v>0.95</v>
      </c>
      <c r="BB185" s="123"/>
      <c r="BC185" s="123" t="n">
        <f aca="false">IF(OR(SUM($AM185)&lt;=0,$C185="&lt;01"),"",MAX(IF(OR(SUM($Y185)&lt;70%,LEFT($B185,4)="_Mil"),30%,IF(SUM($Y185)&gt;=80%,75%,50%)),SUM($BB185)))</f>
        <v>0.3</v>
      </c>
      <c r="BD185" s="115" t="n">
        <f aca="false">IF($C185="&lt;01",IFERROR(ROUND(INDEX(EID!$M:$M,MATCH($B185,EID!$B:$B,0)),0)/2,""),IF(SUM($AY185)=0,"",ROUND(SUM($AY185)/SUM($BA185),0)))</f>
        <v>13</v>
      </c>
      <c r="BE185" s="115" t="n">
        <f aca="false">IF($C185="&lt;01","",IF(SUM($BD185)=0,"",ROUND(SUM($BD185)*SUM($BC185),0)))</f>
        <v>4</v>
      </c>
      <c r="BF185" s="115" t="str">
        <f aca="false">_xlfn.IFNA(INDEX(PMTCT!$AE:$AE,MATCH($E185,PMTCT!$E:$E,0)),"")</f>
        <v/>
      </c>
      <c r="BG185" s="115" t="str">
        <f aca="false">_xlfn.IFNA(INDEX(PMTCT!$AU:$AU,MATCH($E185,PMTCT!$E:$E,0)),"")</f>
        <v/>
      </c>
      <c r="BH185" s="115" t="n">
        <f aca="false">_xlfn.IFNA(INDEX(TB!$Q:$Q,MATCH($E185,TB!$E:$E,0)),"")</f>
        <v>0</v>
      </c>
      <c r="BI185" s="115" t="str">
        <f aca="false">_xlfn.IFNA(INDEX(VMMC!$AC:$AC,MATCH($E185,VMMC!$E:$E,0)),"")</f>
        <v/>
      </c>
      <c r="BJ185" s="115" t="str">
        <f aca="false">IF($C185="&lt;01",$BD185,"")</f>
        <v/>
      </c>
      <c r="BK185" s="115" t="n">
        <f aca="false">IF(SUM($BD185)=0,"",($BD185)-SUM($BE185:$BJ185))</f>
        <v>9</v>
      </c>
      <c r="BL185" s="123" t="n">
        <f aca="false">IF(OR(SUM($BD185)=0,SUM($BE185)=0),"",SUM($BE185)/$BD185)</f>
        <v>0.307692307692308</v>
      </c>
      <c r="BM185" s="123" t="str">
        <f aca="false">IF(OR(SUM($BD185)=0,SUM($BF185)=0),"",SUM($BF185)/$BD185)</f>
        <v/>
      </c>
      <c r="BN185" s="123" t="str">
        <f aca="false">IF(OR(SUM($BD185)=0,SUM($BG185)=0),"",SUM($BG185)/$BD185)</f>
        <v/>
      </c>
      <c r="BO185" s="123" t="str">
        <f aca="false">IF(OR(SUM($BD185)=0,SUM($BH185)=0),"",SUM($BH185)/$BD185)</f>
        <v/>
      </c>
      <c r="BP185" s="123" t="str">
        <f aca="false">IF(OR(SUM($BD185)=0,SUM($BI185)=0),"",SUM($BI185)/$BD185)</f>
        <v/>
      </c>
      <c r="BQ185" s="123" t="str">
        <f aca="false">IF(AND($C185="&lt;01",SUM($BJ185)&lt;&gt;0),$BJ185/SUM($BD185),"")</f>
        <v/>
      </c>
      <c r="BR185" s="123" t="n">
        <f aca="false">IF(OR(SUM($BD185)=0,SUM($BK185)=0),"",SUM($BK185)/$BD185)</f>
        <v>0.692307692307692</v>
      </c>
      <c r="BS185" s="122" t="n">
        <f aca="false">IF(SUM($X185)&lt;=0,"",$X185)</f>
        <v>0.785714285714286</v>
      </c>
      <c r="BT185" s="115" t="n">
        <f aca="false">IF(LEFT($B185,4)="_Mil","",MAX(SUM($L185)+ROUND(SUM($BD185)/IF(SUM($BS185)&lt;=0,1,SUM($BS185)),0),0))</f>
        <v>29</v>
      </c>
    </row>
    <row r="186" customFormat="false" ht="15" hidden="false" customHeight="false" outlineLevel="0" collapsed="false">
      <c r="A186" s="0" t="s">
        <v>148</v>
      </c>
      <c r="B186" s="0" t="s">
        <v>113</v>
      </c>
      <c r="C186" s="0" t="s">
        <v>54</v>
      </c>
      <c r="D186" s="0" t="s">
        <v>58</v>
      </c>
      <c r="E186" s="0" t="str">
        <f aca="false">B186&amp;"|"&amp;C186&amp;"|"&amp;D186</f>
        <v>Mokhotlong [#SNU] [tjhYqc1MlVo]|01-04|Male</v>
      </c>
      <c r="F186" s="115" t="n">
        <f aca="false">_xlfn.IFNA(ROUND(INDEX(Spectrum!$N:$N,MATCH(RIGHT($B186,13)&amp;"|"&amp;$C186&amp;"|"&amp;$D186&amp;"|"&amp;F$14&amp;"|"&amp;"CY2021Q3",Spectrum!$Q:$Q,0)),0),"")</f>
        <v>4321</v>
      </c>
      <c r="G186" s="123" t="n">
        <f aca="false">_xlfn.IFNA(INDEX(Spectrum!$P:$P,MATCH(RIGHT($B186,13)&amp;"|"&amp;$C186&amp;"|"&amp;$D186&amp;"|"&amp;F$14&amp;"|"&amp;"CY2021Q3",Spectrum!$Q:$Q,0)),"")</f>
        <v>44</v>
      </c>
      <c r="H186" s="115" t="n">
        <f aca="false">_xlfn.IFNA(ROUND(INDEX(Spectrum!$N:$N,MATCH(RIGHT($B186,13)&amp;"|"&amp;$C186&amp;"|"&amp;$D186&amp;"|"&amp;H$14&amp;"|"&amp;"CY2021Q3",Spectrum!$Q:$Q,0)),0),"")</f>
        <v>32</v>
      </c>
      <c r="I186" s="123" t="n">
        <f aca="false">_xlfn.IFNA(INDEX(Spectrum!$P:$P,MATCH(RIGHT($B186,13)&amp;"|"&amp;$C186&amp;"|"&amp;$D186&amp;"|"&amp;H$14&amp;"|"&amp;"CY2021Q3",Spectrum!$Q:$Q,0)),"")</f>
        <v>31</v>
      </c>
      <c r="J186" s="117" t="n">
        <f aca="false">_xlfn.IFNA(INDEX(Spectrum!$N:$N,MATCH(RIGHT($B186,13)&amp;"|"&amp;$C186&amp;"|"&amp;$D186&amp;"|"&amp;J$14&amp;"|"&amp;"CY2021Q3",Spectrum!$Q:$Q,0)),"")</f>
        <v>0.0074567</v>
      </c>
      <c r="K186" s="123" t="n">
        <f aca="false">_xlfn.IFNA(INDEX(Spectrum!$P:$P,MATCH(RIGHT($B186,13)&amp;"|"&amp;$C186&amp;"|"&amp;$D186&amp;"|"&amp;J$14&amp;"|"&amp;"CY2021Q3",Spectrum!$Q:$Q,0)),"")</f>
        <v>42</v>
      </c>
      <c r="L186" s="115" t="n">
        <f aca="false">_xlfn.IFNA(ROUND(INDEX(Spectrum!$N:$N,MATCH(RIGHT($B186,13)&amp;"|"&amp;$C186&amp;"|"&amp;$D186&amp;"|"&amp;L$14&amp;"|"&amp;"CY2021Q3",Spectrum!$Q:$Q,0)),0),"")</f>
        <v>12</v>
      </c>
      <c r="M186" s="123" t="n">
        <f aca="false">IF(OR(SUM($H186)&lt;=0,SUM($L186)&lt;=0),"",SUM($L186)/$H186)</f>
        <v>0.375</v>
      </c>
      <c r="N186" s="115" t="str">
        <f aca="false">_xlfn.IFNA(ROUND(INDEX(Spectrum!$N:$N,MATCH(RIGHT($B186,13)&amp;"|"&amp;$C186&amp;"|"&amp;$D186&amp;"|"&amp;N$14&amp;"|"&amp;"CY2020Q4",Spectrum!$Q:$Q,0)),0),"")</f>
        <v/>
      </c>
      <c r="O186" s="123" t="str">
        <f aca="false">_xlfn.IFNA(INDEX(Spectrum!$P:$P,MATCH(RIGHT($B186,13)&amp;"|"&amp;$C186&amp;"|"&amp;$D186&amp;"|"&amp;N$14&amp;"|"&amp;"CY2020Q4",Spectrum!$Q:$Q,0)),"")</f>
        <v/>
      </c>
      <c r="P186" s="115" t="n">
        <f aca="false">_xlfn.IFNA(ROUND(INDEX(Spectrum!$N:$N,MATCH(RIGHT($B186,13)&amp;"|"&amp;$C186&amp;"|"&amp;$D186&amp;"|"&amp;P$14&amp;"|"&amp;"CY2021Q3",Spectrum!$Q:$Q,0)),0),"")</f>
        <v>15</v>
      </c>
      <c r="Q186" s="123" t="n">
        <f aca="false">_xlfn.IFNA(INDEX(Spectrum!$P:$P,MATCH(RIGHT($B186,13)&amp;"|"&amp;$C186&amp;"|"&amp;$D186&amp;"|"&amp;P$14&amp;"|"&amp;"CY2021Q3",Spectrum!$Q:$Q,0)),"")</f>
        <v>43</v>
      </c>
      <c r="R186" s="115"/>
      <c r="S186" s="123" t="str">
        <f aca="false">IF(OR(SUM($P186)&lt;=0,SUM($R186)&lt;=0),"",SUM($R186)/$P186)</f>
        <v/>
      </c>
      <c r="T186" s="139" t="n">
        <v>26</v>
      </c>
      <c r="U186" s="124" t="n">
        <v>25</v>
      </c>
      <c r="V186" s="124" t="n">
        <f aca="false">IF($U186-$T186=0,"",$U186-$T186)</f>
        <v>-1</v>
      </c>
      <c r="W186" s="123" t="n">
        <f aca="false">IF(LEFT($B186,4)="_Mil","",IFERROR(MIN(IF(SUM($N186)&lt;=0,SUM($U186)/SUM($P186),SUM($T186)/SUM($N186)),1),""))</f>
        <v>1</v>
      </c>
      <c r="X186" s="123" t="n">
        <f aca="false">$W186</f>
        <v>1</v>
      </c>
      <c r="Y186" s="123" t="n">
        <f aca="false">IFERROR(1/(1/INDEX(Spectrum!$N:$N,MATCH(RIGHT($B186,13)&amp;"|"&amp;$C186&amp;"|"&amp;$D186&amp;"|"&amp;Y$14&amp;"|"&amp;"CY2021Q3",Spectrum!$Q:$Q,0))),IF(SUM($H186)=0,"",MAX(SUM($P186),SUM($U186))/SUM($H186)))</f>
        <v>0.78125</v>
      </c>
      <c r="Z186" s="123" t="n">
        <f aca="false">IF(SUM($Y186)=0,"",MAX(SUM($Y186),90%))</f>
        <v>0.9</v>
      </c>
      <c r="AA186" s="115" t="n">
        <f aca="false">IF(LEFT($B186,4)="_Mil","",ROUND(MAX(SUM($U186),SUM($P186))+IF(SUM($Z186)=0,0,MAX(SUM($Z186)-SUM($Y186),0)*SUM($H186)),0))</f>
        <v>29</v>
      </c>
      <c r="AB186" s="115" t="n">
        <f aca="false">IF(SUM($AA186)=0,"",ROUND(MAX(SUM($AA186)-MAX(SUM($P186),SUM($U186)),0),0))</f>
        <v>4</v>
      </c>
      <c r="AC186" s="126" t="str">
        <f aca="false">IF($C186="&lt;01",IFERROR(ROUND(INDEX(EID!$N:$N,MATCH($B186,EID!$B:$B,0))/2,0),""),"")</f>
        <v/>
      </c>
      <c r="AD186" s="115" t="n">
        <f aca="false">IF($C186="&lt;01",IF(SUM($AC186)=0,"",ROUND(SUM($AC186)/$AG186,0)),IF(SUM($AB186)=0,"",ROUND(MAX($X186,0)*SUM($AB186),0)))</f>
        <v>4</v>
      </c>
      <c r="AE186" s="115" t="n">
        <f aca="false">IF(AND(SUM($AD186)=0,SUM($U186)=0),"",ROUND(IF($C186="&lt;01",0,SUM($U186))+SUM($AD186),0))</f>
        <v>29</v>
      </c>
      <c r="AF186" s="122" t="n">
        <f aca="false">IF($C186="&lt;01","",100%)</f>
        <v>1</v>
      </c>
      <c r="AG186" s="123" t="n">
        <f aca="false">0.98</f>
        <v>0.98</v>
      </c>
      <c r="AH186" s="123" t="n">
        <f aca="false">0.98</f>
        <v>0.98</v>
      </c>
      <c r="AI186" s="124" t="n">
        <f aca="false">IF(OR($C186="&lt;01",SUM($U186)=0),"",ROUND(SUM($U186)*(1-$AH186),0))</f>
        <v>1</v>
      </c>
      <c r="AJ186" s="124" t="n">
        <f aca="false">IF(AND(SUM($AE186)=0,SUM($U186)=0),"",IF($C186="&lt;01",SUM($AD186),SUM($AE186) - ROUND(SUM($U186)*$AH186,0)))</f>
        <v>4</v>
      </c>
      <c r="AK186" s="124" t="n">
        <v>9</v>
      </c>
      <c r="AL186" s="124" t="n">
        <v>15</v>
      </c>
      <c r="AM186" s="115" t="n">
        <f aca="false">IF(AND(SUM($AD186)=0,SUM($U186)=0),"",IF($C186="&lt;01",SUM($AD186),ROUND(ROUND(SUM($AJ186)*$AF186,0)/$AG186,0)))</f>
        <v>4</v>
      </c>
      <c r="AN186" s="122" t="n">
        <f aca="false">0.7</f>
        <v>0.7</v>
      </c>
      <c r="AO186" s="123" t="n">
        <f aca="false">1</f>
        <v>1</v>
      </c>
      <c r="AP186" s="115" t="n">
        <f aca="false">IF(AND(SUM($U186)=0,SUM($AM186)=0),"",ROUND((SUM($AM186)*$AN186+IF($C186="&lt;01",0,$U186))*$AO186,0))</f>
        <v>28</v>
      </c>
      <c r="AQ186" s="122" t="n">
        <v>17</v>
      </c>
      <c r="AR186" s="123" t="n">
        <f aca="false">0.95</f>
        <v>0.95</v>
      </c>
      <c r="AS186" s="123" t="n">
        <f aca="false">0.95</f>
        <v>0.95</v>
      </c>
      <c r="AT186" s="115" t="n">
        <f aca="false">IF(SUM($AP186)=0,"",ROUND(SUM($AP186)*$AR186,0))</f>
        <v>27</v>
      </c>
      <c r="AU186" s="115" t="n">
        <f aca="false">IF(LEFT($B186,4)="_Mil","",ROUND(SUM($AA186)*SUM($AS186),0))</f>
        <v>28</v>
      </c>
      <c r="AV186" s="124" t="n">
        <f aca="false">IF(SUM($AU186)&lt;=0,"",MAX(SUM($AU186)-SUM($R186),0))</f>
        <v>28</v>
      </c>
      <c r="AW186" s="122" t="n">
        <f aca="false">0</f>
        <v>0</v>
      </c>
      <c r="AX186" s="124" t="n">
        <f aca="false">IF(SUM($AM186)=0,"",ROUND(SUM($AM186)*SUM($AW186),0))</f>
        <v>0</v>
      </c>
      <c r="AY186" s="124" t="n">
        <f aca="false">IF(SUM($AM186)=0,"",SUM($AM186)-SUM($AX186))</f>
        <v>4</v>
      </c>
      <c r="AZ186" s="123" t="n">
        <v>30</v>
      </c>
      <c r="BA186" s="123" t="n">
        <f aca="false">0.95</f>
        <v>0.95</v>
      </c>
      <c r="BB186" s="123"/>
      <c r="BC186" s="123" t="n">
        <f aca="false">IF(OR(SUM($AM186)&lt;=0,$C186="&lt;01"),"",MAX(IF(OR(SUM($Y186)&lt;70%,LEFT($B186,4)="_Mil"),30%,IF(SUM($Y186)&gt;=80%,75%,50%)),SUM($BB186)))</f>
        <v>0.5</v>
      </c>
      <c r="BD186" s="115" t="n">
        <f aca="false">IF($C186="&lt;01",IFERROR(ROUND(INDEX(EID!$M:$M,MATCH($B186,EID!$B:$B,0)),0)/2,""),IF(SUM($AY186)=0,"",ROUND(SUM($AY186)/SUM($BA186),0)))</f>
        <v>4</v>
      </c>
      <c r="BE186" s="115" t="n">
        <f aca="false">IF($C186="&lt;01","",IF(SUM($BD186)=0,"",ROUND(SUM($BD186)*SUM($BC186),0)))</f>
        <v>2</v>
      </c>
      <c r="BF186" s="115" t="str">
        <f aca="false">_xlfn.IFNA(INDEX(PMTCT!$AE:$AE,MATCH($E186,PMTCT!$E:$E,0)),"")</f>
        <v/>
      </c>
      <c r="BG186" s="115" t="str">
        <f aca="false">_xlfn.IFNA(INDEX(PMTCT!$AU:$AU,MATCH($E186,PMTCT!$E:$E,0)),"")</f>
        <v/>
      </c>
      <c r="BH186" s="115" t="n">
        <f aca="false">_xlfn.IFNA(INDEX(TB!$Q:$Q,MATCH($E186,TB!$E:$E,0)),"")</f>
        <v>0</v>
      </c>
      <c r="BI186" s="115" t="str">
        <f aca="false">_xlfn.IFNA(INDEX(VMMC!$AC:$AC,MATCH($E186,VMMC!$E:$E,0)),"")</f>
        <v/>
      </c>
      <c r="BJ186" s="115" t="str">
        <f aca="false">IF($C186="&lt;01",$BD186,"")</f>
        <v/>
      </c>
      <c r="BK186" s="115" t="n">
        <f aca="false">IF(SUM($BD186)=0,"",($BD186)-SUM($BE186:$BJ186))</f>
        <v>2</v>
      </c>
      <c r="BL186" s="123" t="n">
        <f aca="false">IF(OR(SUM($BD186)=0,SUM($BE186)=0),"",SUM($BE186)/$BD186)</f>
        <v>0.5</v>
      </c>
      <c r="BM186" s="123" t="str">
        <f aca="false">IF(OR(SUM($BD186)=0,SUM($BF186)=0),"",SUM($BF186)/$BD186)</f>
        <v/>
      </c>
      <c r="BN186" s="123" t="str">
        <f aca="false">IF(OR(SUM($BD186)=0,SUM($BG186)=0),"",SUM($BG186)/$BD186)</f>
        <v/>
      </c>
      <c r="BO186" s="123" t="str">
        <f aca="false">IF(OR(SUM($BD186)=0,SUM($BH186)=0),"",SUM($BH186)/$BD186)</f>
        <v/>
      </c>
      <c r="BP186" s="123" t="str">
        <f aca="false">IF(OR(SUM($BD186)=0,SUM($BI186)=0),"",SUM($BI186)/$BD186)</f>
        <v/>
      </c>
      <c r="BQ186" s="123" t="str">
        <f aca="false">IF(AND($C186="&lt;01",SUM($BJ186)&lt;&gt;0),$BJ186/SUM($BD186),"")</f>
        <v/>
      </c>
      <c r="BR186" s="123" t="n">
        <f aca="false">IF(OR(SUM($BD186)=0,SUM($BK186)=0),"",SUM($BK186)/$BD186)</f>
        <v>0.5</v>
      </c>
      <c r="BS186" s="122" t="n">
        <f aca="false">IF(SUM($X186)&lt;=0,"",$X186)</f>
        <v>1</v>
      </c>
      <c r="BT186" s="115" t="n">
        <f aca="false">IF(LEFT($B186,4)="_Mil","",MAX(SUM($L186)+ROUND(SUM($BD186)/IF(SUM($BS186)&lt;=0,1,SUM($BS186)),0),0))</f>
        <v>16</v>
      </c>
    </row>
    <row r="187" customFormat="false" ht="15" hidden="false" customHeight="false" outlineLevel="0" collapsed="false">
      <c r="A187" s="0" t="s">
        <v>148</v>
      </c>
      <c r="B187" s="0" t="s">
        <v>113</v>
      </c>
      <c r="C187" s="0" t="s">
        <v>83</v>
      </c>
      <c r="D187" s="0" t="s">
        <v>56</v>
      </c>
      <c r="E187" s="0" t="str">
        <f aca="false">B187&amp;"|"&amp;C187&amp;"|"&amp;D187</f>
        <v>Mokhotlong [#SNU] [tjhYqc1MlVo]|05-09|Female</v>
      </c>
      <c r="F187" s="115" t="n">
        <f aca="false">_xlfn.IFNA(ROUND(INDEX(Spectrum!$N:$N,MATCH(RIGHT($B187,13)&amp;"|"&amp;$C187&amp;"|"&amp;$D187&amp;"|"&amp;F$14&amp;"|"&amp;"CY2021Q3",Spectrum!$Q:$Q,0)),0),"")</f>
        <v>6508</v>
      </c>
      <c r="G187" s="123" t="n">
        <f aca="false">_xlfn.IFNA(INDEX(Spectrum!$P:$P,MATCH(RIGHT($B187,13)&amp;"|"&amp;$C187&amp;"|"&amp;$D187&amp;"|"&amp;F$14&amp;"|"&amp;"CY2021Q3",Spectrum!$Q:$Q,0)),"")</f>
        <v>42</v>
      </c>
      <c r="H187" s="115" t="n">
        <f aca="false">_xlfn.IFNA(ROUND(INDEX(Spectrum!$N:$N,MATCH(RIGHT($B187,13)&amp;"|"&amp;$C187&amp;"|"&amp;$D187&amp;"|"&amp;H$14&amp;"|"&amp;"CY2021Q3",Spectrum!$Q:$Q,0)),0),"")</f>
        <v>99</v>
      </c>
      <c r="I187" s="123" t="n">
        <f aca="false">_xlfn.IFNA(INDEX(Spectrum!$P:$P,MATCH(RIGHT($B187,13)&amp;"|"&amp;$C187&amp;"|"&amp;$D187&amp;"|"&amp;H$14&amp;"|"&amp;"CY2021Q3",Spectrum!$Q:$Q,0)),"")</f>
        <v>32</v>
      </c>
      <c r="J187" s="117" t="n">
        <f aca="false">_xlfn.IFNA(INDEX(Spectrum!$N:$N,MATCH(RIGHT($B187,13)&amp;"|"&amp;$C187&amp;"|"&amp;$D187&amp;"|"&amp;J$14&amp;"|"&amp;"CY2021Q3",Spectrum!$Q:$Q,0)),"")</f>
        <v>0.0152005</v>
      </c>
      <c r="K187" s="123" t="n">
        <f aca="false">_xlfn.IFNA(INDEX(Spectrum!$P:$P,MATCH(RIGHT($B187,13)&amp;"|"&amp;$C187&amp;"|"&amp;$D187&amp;"|"&amp;J$14&amp;"|"&amp;"CY2021Q3",Spectrum!$Q:$Q,0)),"")</f>
        <v>2</v>
      </c>
      <c r="L187" s="115" t="n">
        <f aca="false">_xlfn.IFNA(ROUND(INDEX(Spectrum!$N:$N,MATCH(RIGHT($B187,13)&amp;"|"&amp;$C187&amp;"|"&amp;$D187&amp;"|"&amp;L$14&amp;"|"&amp;"CY2021Q3",Spectrum!$Q:$Q,0)),0),"")</f>
        <v>53</v>
      </c>
      <c r="M187" s="123" t="n">
        <f aca="false">IF(OR(SUM($H187)&lt;=0,SUM($L187)&lt;=0),"",SUM($L187)/$H187)</f>
        <v>0.535353535353535</v>
      </c>
      <c r="N187" s="115" t="str">
        <f aca="false">_xlfn.IFNA(ROUND(INDEX(Spectrum!$N:$N,MATCH(RIGHT($B187,13)&amp;"|"&amp;$C187&amp;"|"&amp;$D187&amp;"|"&amp;N$14&amp;"|"&amp;"CY2020Q4",Spectrum!$Q:$Q,0)),0),"")</f>
        <v/>
      </c>
      <c r="O187" s="123" t="str">
        <f aca="false">_xlfn.IFNA(INDEX(Spectrum!$P:$P,MATCH(RIGHT($B187,13)&amp;"|"&amp;$C187&amp;"|"&amp;$D187&amp;"|"&amp;N$14&amp;"|"&amp;"CY2020Q4",Spectrum!$Q:$Q,0)),"")</f>
        <v/>
      </c>
      <c r="P187" s="115" t="n">
        <f aca="false">_xlfn.IFNA(ROUND(INDEX(Spectrum!$N:$N,MATCH(RIGHT($B187,13)&amp;"|"&amp;$C187&amp;"|"&amp;$D187&amp;"|"&amp;P$14&amp;"|"&amp;"CY2021Q3",Spectrum!$Q:$Q,0)),0),"")</f>
        <v>56</v>
      </c>
      <c r="Q187" s="123" t="n">
        <f aca="false">_xlfn.IFNA(INDEX(Spectrum!$P:$P,MATCH(RIGHT($B187,13)&amp;"|"&amp;$C187&amp;"|"&amp;$D187&amp;"|"&amp;P$14&amp;"|"&amp;"CY2021Q3",Spectrum!$Q:$Q,0)),"")</f>
        <v>22</v>
      </c>
      <c r="R187" s="115"/>
      <c r="S187" s="123" t="str">
        <f aca="false">IF(OR(SUM($P187)&lt;=0,SUM($R187)&lt;=0),"",SUM($R187)/$P187)</f>
        <v/>
      </c>
      <c r="T187" s="139" t="n">
        <v>13</v>
      </c>
      <c r="U187" s="124" t="n">
        <v>19</v>
      </c>
      <c r="V187" s="124" t="n">
        <f aca="false">IF($U187-$T187=0,"",$U187-$T187)</f>
        <v>6</v>
      </c>
      <c r="W187" s="123" t="n">
        <f aca="false">IF(LEFT($B187,4)="_Mil","",IFERROR(MIN(IF(SUM($N187)&lt;=0,SUM($U187)/SUM($P187),SUM($T187)/SUM($N187)),1),""))</f>
        <v>0.339285714285714</v>
      </c>
      <c r="X187" s="123" t="n">
        <f aca="false">$W187</f>
        <v>0.339285714285714</v>
      </c>
      <c r="Y187" s="123" t="n">
        <f aca="false">IFERROR(1/(1/INDEX(Spectrum!$N:$N,MATCH(RIGHT($B187,13)&amp;"|"&amp;$C187&amp;"|"&amp;$D187&amp;"|"&amp;Y$14&amp;"|"&amp;"CY2021Q3",Spectrum!$Q:$Q,0))),IF(SUM($H187)=0,"",MAX(SUM($P187),SUM($U187))/SUM($H187)))</f>
        <v>0.565656565656566</v>
      </c>
      <c r="Z187" s="123" t="n">
        <f aca="false">IF(SUM($Y187)=0,"",MAX(SUM($Y187),90%))</f>
        <v>0.9</v>
      </c>
      <c r="AA187" s="115" t="n">
        <f aca="false">IF(LEFT($B187,4)="_Mil","",ROUND(MAX(SUM($U187),SUM($P187))+IF(SUM($Z187)=0,0,MAX(SUM($Z187)-SUM($Y187),0)*SUM($H187)),0))</f>
        <v>89</v>
      </c>
      <c r="AB187" s="115" t="n">
        <f aca="false">IF(SUM($AA187)=0,"",ROUND(MAX(SUM($AA187)-MAX(SUM($P187),SUM($U187)),0),0))</f>
        <v>33</v>
      </c>
      <c r="AC187" s="126" t="str">
        <f aca="false">IF($C187="&lt;01",IFERROR(ROUND(INDEX(EID!$N:$N,MATCH($B187,EID!$B:$B,0))/2,0),""),"")</f>
        <v/>
      </c>
      <c r="AD187" s="115" t="n">
        <f aca="false">IF($C187="&lt;01",IF(SUM($AC187)=0,"",ROUND(SUM($AC187)/$AG187,0)),IF(SUM($AB187)=0,"",ROUND(MAX($X187,0)*SUM($AB187),0)))</f>
        <v>11</v>
      </c>
      <c r="AE187" s="115" t="n">
        <f aca="false">IF(AND(SUM($AD187)=0,SUM($U187)=0),"",ROUND(IF($C187="&lt;01",0,SUM($U187))+SUM($AD187),0))</f>
        <v>30</v>
      </c>
      <c r="AF187" s="122" t="n">
        <f aca="false">IF($C187="&lt;01","",100%)</f>
        <v>1</v>
      </c>
      <c r="AG187" s="123" t="n">
        <f aca="false">0.98</f>
        <v>0.98</v>
      </c>
      <c r="AH187" s="123" t="n">
        <f aca="false">0.98</f>
        <v>0.98</v>
      </c>
      <c r="AI187" s="124" t="n">
        <f aca="false">IF(OR($C187="&lt;01",SUM($U187)=0),"",ROUND(SUM($U187)*(1-$AH187),0))</f>
        <v>0</v>
      </c>
      <c r="AJ187" s="124" t="n">
        <f aca="false">IF(AND(SUM($AE187)=0,SUM($U187)=0),"",IF($C187="&lt;01",SUM($AD187),SUM($AE187) - ROUND(SUM($U187)*$AH187,0)))</f>
        <v>11</v>
      </c>
      <c r="AK187" s="124" t="n">
        <v>19</v>
      </c>
      <c r="AL187" s="124" t="n">
        <v>39</v>
      </c>
      <c r="AM187" s="115" t="n">
        <f aca="false">IF(AND(SUM($AD187)=0,SUM($U187)=0),"",IF($C187="&lt;01",SUM($AD187),ROUND(ROUND(SUM($AJ187)*$AF187,0)/$AG187,0)))</f>
        <v>11</v>
      </c>
      <c r="AN187" s="122" t="n">
        <f aca="false">0.7</f>
        <v>0.7</v>
      </c>
      <c r="AO187" s="123" t="n">
        <f aca="false">1</f>
        <v>1</v>
      </c>
      <c r="AP187" s="115" t="n">
        <f aca="false">IF(AND(SUM($U187)=0,SUM($AM187)=0),"",ROUND((SUM($AM187)*$AN187+IF($C187="&lt;01",0,$U187))*$AO187,0))</f>
        <v>27</v>
      </c>
      <c r="AQ187" s="122" t="n">
        <v>39</v>
      </c>
      <c r="AR187" s="123" t="n">
        <f aca="false">0.95</f>
        <v>0.95</v>
      </c>
      <c r="AS187" s="123" t="n">
        <f aca="false">0.95</f>
        <v>0.95</v>
      </c>
      <c r="AT187" s="115" t="n">
        <f aca="false">IF(SUM($AP187)=0,"",ROUND(SUM($AP187)*$AR187,0))</f>
        <v>26</v>
      </c>
      <c r="AU187" s="115" t="n">
        <f aca="false">IF(LEFT($B187,4)="_Mil","",ROUND(SUM($AA187)*SUM($AS187),0))</f>
        <v>85</v>
      </c>
      <c r="AV187" s="124" t="n">
        <f aca="false">IF(SUM($AU187)&lt;=0,"",MAX(SUM($AU187)-SUM($R187),0))</f>
        <v>85</v>
      </c>
      <c r="AW187" s="122" t="n">
        <f aca="false">0</f>
        <v>0</v>
      </c>
      <c r="AX187" s="124" t="n">
        <f aca="false">IF(SUM($AM187)=0,"",ROUND(SUM($AM187)*SUM($AW187),0))</f>
        <v>0</v>
      </c>
      <c r="AY187" s="124" t="n">
        <f aca="false">IF(SUM($AM187)=0,"",SUM($AM187)-SUM($AX187))</f>
        <v>11</v>
      </c>
      <c r="AZ187" s="123" t="n">
        <v>39</v>
      </c>
      <c r="BA187" s="123" t="n">
        <f aca="false">0.95</f>
        <v>0.95</v>
      </c>
      <c r="BB187" s="123"/>
      <c r="BC187" s="123" t="n">
        <f aca="false">IF(OR(SUM($AM187)&lt;=0,$C187="&lt;01"),"",MAX(IF(OR(SUM($Y187)&lt;70%,LEFT($B187,4)="_Mil"),30%,IF(SUM($Y187)&gt;=80%,75%,50%)),SUM($BB187)))</f>
        <v>0.3</v>
      </c>
      <c r="BD187" s="115" t="n">
        <f aca="false">IF($C187="&lt;01",IFERROR(ROUND(INDEX(EID!$M:$M,MATCH($B187,EID!$B:$B,0)),0)/2,""),IF(SUM($AY187)=0,"",ROUND(SUM($AY187)/SUM($BA187),0)))</f>
        <v>12</v>
      </c>
      <c r="BE187" s="115" t="n">
        <f aca="false">IF($C187="&lt;01","",IF(SUM($BD187)=0,"",ROUND(SUM($BD187)*SUM($BC187),0)))</f>
        <v>4</v>
      </c>
      <c r="BF187" s="115" t="str">
        <f aca="false">_xlfn.IFNA(INDEX(PMTCT!$AE:$AE,MATCH($E187,PMTCT!$E:$E,0)),"")</f>
        <v/>
      </c>
      <c r="BG187" s="115" t="str">
        <f aca="false">_xlfn.IFNA(INDEX(PMTCT!$AU:$AU,MATCH($E187,PMTCT!$E:$E,0)),"")</f>
        <v/>
      </c>
      <c r="BH187" s="115" t="n">
        <f aca="false">_xlfn.IFNA(INDEX(TB!$Q:$Q,MATCH($E187,TB!$E:$E,0)),"")</f>
        <v>0</v>
      </c>
      <c r="BI187" s="115" t="str">
        <f aca="false">_xlfn.IFNA(INDEX(VMMC!$AC:$AC,MATCH($E187,VMMC!$E:$E,0)),"")</f>
        <v/>
      </c>
      <c r="BJ187" s="115" t="str">
        <f aca="false">IF($C187="&lt;01",$BD187,"")</f>
        <v/>
      </c>
      <c r="BK187" s="115" t="n">
        <f aca="false">IF(SUM($BD187)=0,"",($BD187)-SUM($BE187:$BJ187))</f>
        <v>8</v>
      </c>
      <c r="BL187" s="123" t="n">
        <f aca="false">IF(OR(SUM($BD187)=0,SUM($BE187)=0),"",SUM($BE187)/$BD187)</f>
        <v>0.333333333333333</v>
      </c>
      <c r="BM187" s="123" t="str">
        <f aca="false">IF(OR(SUM($BD187)=0,SUM($BF187)=0),"",SUM($BF187)/$BD187)</f>
        <v/>
      </c>
      <c r="BN187" s="123" t="str">
        <f aca="false">IF(OR(SUM($BD187)=0,SUM($BG187)=0),"",SUM($BG187)/$BD187)</f>
        <v/>
      </c>
      <c r="BO187" s="123" t="str">
        <f aca="false">IF(OR(SUM($BD187)=0,SUM($BH187)=0),"",SUM($BH187)/$BD187)</f>
        <v/>
      </c>
      <c r="BP187" s="123" t="str">
        <f aca="false">IF(OR(SUM($BD187)=0,SUM($BI187)=0),"",SUM($BI187)/$BD187)</f>
        <v/>
      </c>
      <c r="BQ187" s="123" t="str">
        <f aca="false">IF(AND($C187="&lt;01",SUM($BJ187)&lt;&gt;0),$BJ187/SUM($BD187),"")</f>
        <v/>
      </c>
      <c r="BR187" s="123" t="n">
        <f aca="false">IF(OR(SUM($BD187)=0,SUM($BK187)=0),"",SUM($BK187)/$BD187)</f>
        <v>0.666666666666667</v>
      </c>
      <c r="BS187" s="122" t="n">
        <f aca="false">IF(SUM($X187)&lt;=0,"",$X187)</f>
        <v>0.339285714285714</v>
      </c>
      <c r="BT187" s="115" t="n">
        <f aca="false">IF(LEFT($B187,4)="_Mil","",MAX(SUM($L187)+ROUND(SUM($BD187)/IF(SUM($BS187)&lt;=0,1,SUM($BS187)),0),0))</f>
        <v>88</v>
      </c>
    </row>
    <row r="188" customFormat="false" ht="15" hidden="false" customHeight="false" outlineLevel="0" collapsed="false">
      <c r="A188" s="0" t="s">
        <v>148</v>
      </c>
      <c r="B188" s="0" t="s">
        <v>113</v>
      </c>
      <c r="C188" s="0" t="s">
        <v>83</v>
      </c>
      <c r="D188" s="0" t="s">
        <v>58</v>
      </c>
      <c r="E188" s="0" t="str">
        <f aca="false">B188&amp;"|"&amp;C188&amp;"|"&amp;D188</f>
        <v>Mokhotlong [#SNU] [tjhYqc1MlVo]|05-09|Male</v>
      </c>
      <c r="F188" s="115" t="n">
        <f aca="false">_xlfn.IFNA(ROUND(INDEX(Spectrum!$N:$N,MATCH(RIGHT($B188,13)&amp;"|"&amp;$C188&amp;"|"&amp;$D188&amp;"|"&amp;F$14&amp;"|"&amp;"CY2021Q3",Spectrum!$Q:$Q,0)),0),"")</f>
        <v>6529</v>
      </c>
      <c r="G188" s="123" t="n">
        <f aca="false">_xlfn.IFNA(INDEX(Spectrum!$P:$P,MATCH(RIGHT($B188,13)&amp;"|"&amp;$C188&amp;"|"&amp;$D188&amp;"|"&amp;F$14&amp;"|"&amp;"CY2021Q3",Spectrum!$Q:$Q,0)),"")</f>
        <v>10</v>
      </c>
      <c r="H188" s="115" t="n">
        <f aca="false">_xlfn.IFNA(ROUND(INDEX(Spectrum!$N:$N,MATCH(RIGHT($B188,13)&amp;"|"&amp;$C188&amp;"|"&amp;$D188&amp;"|"&amp;H$14&amp;"|"&amp;"CY2021Q3",Spectrum!$Q:$Q,0)),0),"")</f>
        <v>98</v>
      </c>
      <c r="I188" s="123" t="n">
        <f aca="false">_xlfn.IFNA(INDEX(Spectrum!$P:$P,MATCH(RIGHT($B188,13)&amp;"|"&amp;$C188&amp;"|"&amp;$D188&amp;"|"&amp;H$14&amp;"|"&amp;"CY2021Q3",Spectrum!$Q:$Q,0)),"")</f>
        <v>26</v>
      </c>
      <c r="J188" s="117" t="n">
        <f aca="false">_xlfn.IFNA(INDEX(Spectrum!$N:$N,MATCH(RIGHT($B188,13)&amp;"|"&amp;$C188&amp;"|"&amp;$D188&amp;"|"&amp;J$14&amp;"|"&amp;"CY2021Q3",Spectrum!$Q:$Q,0)),"")</f>
        <v>0.0149578</v>
      </c>
      <c r="K188" s="123" t="n">
        <f aca="false">_xlfn.IFNA(INDEX(Spectrum!$P:$P,MATCH(RIGHT($B188,13)&amp;"|"&amp;$C188&amp;"|"&amp;$D188&amp;"|"&amp;J$14&amp;"|"&amp;"CY2021Q3",Spectrum!$Q:$Q,0)),"")</f>
        <v>25</v>
      </c>
      <c r="L188" s="115" t="n">
        <f aca="false">_xlfn.IFNA(ROUND(INDEX(Spectrum!$N:$N,MATCH(RIGHT($B188,13)&amp;"|"&amp;$C188&amp;"|"&amp;$D188&amp;"|"&amp;L$14&amp;"|"&amp;"CY2021Q3",Spectrum!$Q:$Q,0)),0),"")</f>
        <v>55</v>
      </c>
      <c r="M188" s="123" t="n">
        <f aca="false">IF(OR(SUM($H188)&lt;=0,SUM($L188)&lt;=0),"",SUM($L188)/$H188)</f>
        <v>0.561224489795918</v>
      </c>
      <c r="N188" s="115" t="str">
        <f aca="false">_xlfn.IFNA(ROUND(INDEX(Spectrum!$N:$N,MATCH(RIGHT($B188,13)&amp;"|"&amp;$C188&amp;"|"&amp;$D188&amp;"|"&amp;N$14&amp;"|"&amp;"CY2020Q4",Spectrum!$Q:$Q,0)),0),"")</f>
        <v/>
      </c>
      <c r="O188" s="123" t="str">
        <f aca="false">_xlfn.IFNA(INDEX(Spectrum!$P:$P,MATCH(RIGHT($B188,13)&amp;"|"&amp;$C188&amp;"|"&amp;$D188&amp;"|"&amp;N$14&amp;"|"&amp;"CY2020Q4",Spectrum!$Q:$Q,0)),"")</f>
        <v/>
      </c>
      <c r="P188" s="115" t="n">
        <f aca="false">_xlfn.IFNA(ROUND(INDEX(Spectrum!$N:$N,MATCH(RIGHT($B188,13)&amp;"|"&amp;$C188&amp;"|"&amp;$D188&amp;"|"&amp;P$14&amp;"|"&amp;"CY2021Q3",Spectrum!$Q:$Q,0)),0),"")</f>
        <v>58</v>
      </c>
      <c r="Q188" s="123" t="n">
        <f aca="false">_xlfn.IFNA(INDEX(Spectrum!$P:$P,MATCH(RIGHT($B188,13)&amp;"|"&amp;$C188&amp;"|"&amp;$D188&amp;"|"&amp;P$14&amp;"|"&amp;"CY2021Q3",Spectrum!$Q:$Q,0)),"")</f>
        <v>30</v>
      </c>
      <c r="R188" s="115"/>
      <c r="S188" s="123" t="str">
        <f aca="false">IF(OR(SUM($P188)&lt;=0,SUM($R188)&lt;=0),"",SUM($R188)/$P188)</f>
        <v/>
      </c>
      <c r="T188" s="139" t="n">
        <v>4</v>
      </c>
      <c r="U188" s="124" t="n">
        <v>31</v>
      </c>
      <c r="V188" s="124" t="n">
        <f aca="false">IF($U188-$T188=0,"",$U188-$T188)</f>
        <v>27</v>
      </c>
      <c r="W188" s="123" t="n">
        <f aca="false">IF(LEFT($B188,4)="_Mil","",IFERROR(MIN(IF(SUM($N188)&lt;=0,SUM($U188)/SUM($P188),SUM($T188)/SUM($N188)),1),""))</f>
        <v>0.53448275862069</v>
      </c>
      <c r="X188" s="123" t="n">
        <f aca="false">$W188</f>
        <v>0.53448275862069</v>
      </c>
      <c r="Y188" s="123" t="n">
        <f aca="false">IFERROR(1/(1/INDEX(Spectrum!$N:$N,MATCH(RIGHT($B188,13)&amp;"|"&amp;$C188&amp;"|"&amp;$D188&amp;"|"&amp;Y$14&amp;"|"&amp;"CY2021Q3",Spectrum!$Q:$Q,0))),IF(SUM($H188)=0,"",MAX(SUM($P188),SUM($U188))/SUM($H188)))</f>
        <v>0.591836734693878</v>
      </c>
      <c r="Z188" s="123" t="n">
        <f aca="false">IF(SUM($Y188)=0,"",MAX(SUM($Y188),90%))</f>
        <v>0.9</v>
      </c>
      <c r="AA188" s="115" t="n">
        <f aca="false">IF(LEFT($B188,4)="_Mil","",ROUND(MAX(SUM($U188),SUM($P188))+IF(SUM($Z188)=0,0,MAX(SUM($Z188)-SUM($Y188),0)*SUM($H188)),0))</f>
        <v>88</v>
      </c>
      <c r="AB188" s="115" t="n">
        <f aca="false">IF(SUM($AA188)=0,"",ROUND(MAX(SUM($AA188)-MAX(SUM($P188),SUM($U188)),0),0))</f>
        <v>30</v>
      </c>
      <c r="AC188" s="126" t="str">
        <f aca="false">IF($C188="&lt;01",IFERROR(ROUND(INDEX(EID!$N:$N,MATCH($B188,EID!$B:$B,0))/2,0),""),"")</f>
        <v/>
      </c>
      <c r="AD188" s="115" t="n">
        <f aca="false">IF($C188="&lt;01",IF(SUM($AC188)=0,"",ROUND(SUM($AC188)/$AG188,0)),IF(SUM($AB188)=0,"",ROUND(MAX($X188,0)*SUM($AB188),0)))</f>
        <v>16</v>
      </c>
      <c r="AE188" s="115" t="n">
        <f aca="false">IF(AND(SUM($AD188)=0,SUM($U188)=0),"",ROUND(IF($C188="&lt;01",0,SUM($U188))+SUM($AD188),0))</f>
        <v>47</v>
      </c>
      <c r="AF188" s="122" t="n">
        <f aca="false">IF($C188="&lt;01","",100%)</f>
        <v>1</v>
      </c>
      <c r="AG188" s="123" t="n">
        <f aca="false">0.98</f>
        <v>0.98</v>
      </c>
      <c r="AH188" s="123" t="n">
        <f aca="false">0.98</f>
        <v>0.98</v>
      </c>
      <c r="AI188" s="124" t="n">
        <f aca="false">IF(OR($C188="&lt;01",SUM($U188)=0),"",ROUND(SUM($U188)*(1-$AH188),0))</f>
        <v>1</v>
      </c>
      <c r="AJ188" s="124" t="n">
        <f aca="false">IF(AND(SUM($AE188)=0,SUM($U188)=0),"",IF($C188="&lt;01",SUM($AD188),SUM($AE188) - ROUND(SUM($U188)*$AH188,0)))</f>
        <v>17</v>
      </c>
      <c r="AK188" s="124" t="n">
        <v>8</v>
      </c>
      <c r="AL188" s="124" t="n">
        <v>7</v>
      </c>
      <c r="AM188" s="115" t="n">
        <f aca="false">IF(AND(SUM($AD188)=0,SUM($U188)=0),"",IF($C188="&lt;01",SUM($AD188),ROUND(ROUND(SUM($AJ188)*$AF188,0)/$AG188,0)))</f>
        <v>17</v>
      </c>
      <c r="AN188" s="122" t="n">
        <f aca="false">0.7</f>
        <v>0.7</v>
      </c>
      <c r="AO188" s="123" t="n">
        <f aca="false">1</f>
        <v>1</v>
      </c>
      <c r="AP188" s="115" t="n">
        <f aca="false">IF(AND(SUM($U188)=0,SUM($AM188)=0),"",ROUND((SUM($AM188)*$AN188+IF($C188="&lt;01",0,$U188))*$AO188,0))</f>
        <v>43</v>
      </c>
      <c r="AQ188" s="122" t="n">
        <v>24</v>
      </c>
      <c r="AR188" s="123" t="n">
        <f aca="false">0.95</f>
        <v>0.95</v>
      </c>
      <c r="AS188" s="123" t="n">
        <f aca="false">0.95</f>
        <v>0.95</v>
      </c>
      <c r="AT188" s="115" t="n">
        <f aca="false">IF(SUM($AP188)=0,"",ROUND(SUM($AP188)*$AR188,0))</f>
        <v>41</v>
      </c>
      <c r="AU188" s="115" t="n">
        <f aca="false">IF(LEFT($B188,4)="_Mil","",ROUND(SUM($AA188)*SUM($AS188),0))</f>
        <v>84</v>
      </c>
      <c r="AV188" s="124" t="n">
        <f aca="false">IF(SUM($AU188)&lt;=0,"",MAX(SUM($AU188)-SUM($R188),0))</f>
        <v>84</v>
      </c>
      <c r="AW188" s="122" t="n">
        <f aca="false">0</f>
        <v>0</v>
      </c>
      <c r="AX188" s="124" t="n">
        <f aca="false">IF(SUM($AM188)=0,"",ROUND(SUM($AM188)*SUM($AW188),0))</f>
        <v>0</v>
      </c>
      <c r="AY188" s="124" t="n">
        <f aca="false">IF(SUM($AM188)=0,"",SUM($AM188)-SUM($AX188))</f>
        <v>17</v>
      </c>
      <c r="AZ188" s="123" t="n">
        <v>40</v>
      </c>
      <c r="BA188" s="123" t="n">
        <f aca="false">0.95</f>
        <v>0.95</v>
      </c>
      <c r="BB188" s="123"/>
      <c r="BC188" s="123" t="n">
        <f aca="false">IF(OR(SUM($AM188)&lt;=0,$C188="&lt;01"),"",MAX(IF(OR(SUM($Y188)&lt;70%,LEFT($B188,4)="_Mil"),30%,IF(SUM($Y188)&gt;=80%,75%,50%)),SUM($BB188)))</f>
        <v>0.3</v>
      </c>
      <c r="BD188" s="115" t="n">
        <f aca="false">IF($C188="&lt;01",IFERROR(ROUND(INDEX(EID!$M:$M,MATCH($B188,EID!$B:$B,0)),0)/2,""),IF(SUM($AY188)=0,"",ROUND(SUM($AY188)/SUM($BA188),0)))</f>
        <v>18</v>
      </c>
      <c r="BE188" s="115" t="n">
        <f aca="false">IF($C188="&lt;01","",IF(SUM($BD188)=0,"",ROUND(SUM($BD188)*SUM($BC188),0)))</f>
        <v>5</v>
      </c>
      <c r="BF188" s="115" t="str">
        <f aca="false">_xlfn.IFNA(INDEX(PMTCT!$AE:$AE,MATCH($E188,PMTCT!$E:$E,0)),"")</f>
        <v/>
      </c>
      <c r="BG188" s="115" t="str">
        <f aca="false">_xlfn.IFNA(INDEX(PMTCT!$AU:$AU,MATCH($E188,PMTCT!$E:$E,0)),"")</f>
        <v/>
      </c>
      <c r="BH188" s="115" t="n">
        <f aca="false">_xlfn.IFNA(INDEX(TB!$Q:$Q,MATCH($E188,TB!$E:$E,0)),"")</f>
        <v>0</v>
      </c>
      <c r="BI188" s="115" t="str">
        <f aca="false">_xlfn.IFNA(INDEX(VMMC!$AC:$AC,MATCH($E188,VMMC!$E:$E,0)),"")</f>
        <v/>
      </c>
      <c r="BJ188" s="115" t="str">
        <f aca="false">IF($C188="&lt;01",$BD188,"")</f>
        <v/>
      </c>
      <c r="BK188" s="115" t="n">
        <f aca="false">IF(SUM($BD188)=0,"",($BD188)-SUM($BE188:$BJ188))</f>
        <v>13</v>
      </c>
      <c r="BL188" s="123" t="n">
        <f aca="false">IF(OR(SUM($BD188)=0,SUM($BE188)=0),"",SUM($BE188)/$BD188)</f>
        <v>0.277777777777778</v>
      </c>
      <c r="BM188" s="123" t="str">
        <f aca="false">IF(OR(SUM($BD188)=0,SUM($BF188)=0),"",SUM($BF188)/$BD188)</f>
        <v/>
      </c>
      <c r="BN188" s="123" t="str">
        <f aca="false">IF(OR(SUM($BD188)=0,SUM($BG188)=0),"",SUM($BG188)/$BD188)</f>
        <v/>
      </c>
      <c r="BO188" s="123" t="str">
        <f aca="false">IF(OR(SUM($BD188)=0,SUM($BH188)=0),"",SUM($BH188)/$BD188)</f>
        <v/>
      </c>
      <c r="BP188" s="123" t="str">
        <f aca="false">IF(OR(SUM($BD188)=0,SUM($BI188)=0),"",SUM($BI188)/$BD188)</f>
        <v/>
      </c>
      <c r="BQ188" s="123" t="str">
        <f aca="false">IF(AND($C188="&lt;01",SUM($BJ188)&lt;&gt;0),$BJ188/SUM($BD188),"")</f>
        <v/>
      </c>
      <c r="BR188" s="123" t="n">
        <f aca="false">IF(OR(SUM($BD188)=0,SUM($BK188)=0),"",SUM($BK188)/$BD188)</f>
        <v>0.722222222222222</v>
      </c>
      <c r="BS188" s="122" t="n">
        <f aca="false">IF(SUM($X188)&lt;=0,"",$X188)</f>
        <v>0.53448275862069</v>
      </c>
      <c r="BT188" s="115" t="n">
        <f aca="false">IF(LEFT($B188,4)="_Mil","",MAX(SUM($L188)+ROUND(SUM($BD188)/IF(SUM($BS188)&lt;=0,1,SUM($BS188)),0),0))</f>
        <v>89</v>
      </c>
    </row>
    <row r="189" customFormat="false" ht="15" hidden="false" customHeight="false" outlineLevel="0" collapsed="false">
      <c r="A189" s="0" t="s">
        <v>148</v>
      </c>
      <c r="B189" s="0" t="s">
        <v>113</v>
      </c>
      <c r="C189" s="0" t="s">
        <v>61</v>
      </c>
      <c r="D189" s="0" t="s">
        <v>56</v>
      </c>
      <c r="E189" s="0" t="str">
        <f aca="false">B189&amp;"|"&amp;C189&amp;"|"&amp;D189</f>
        <v>Mokhotlong [#SNU] [tjhYqc1MlVo]|10-14|Female</v>
      </c>
      <c r="F189" s="115" t="n">
        <f aca="false">_xlfn.IFNA(ROUND(INDEX(Spectrum!$N:$N,MATCH(RIGHT($B189,13)&amp;"|"&amp;$C189&amp;"|"&amp;$D189&amp;"|"&amp;F$14&amp;"|"&amp;"CY2021Q3",Spectrum!$Q:$Q,0)),0),"")</f>
        <v>6700</v>
      </c>
      <c r="G189" s="123" t="n">
        <f aca="false">_xlfn.IFNA(INDEX(Spectrum!$P:$P,MATCH(RIGHT($B189,13)&amp;"|"&amp;$C189&amp;"|"&amp;$D189&amp;"|"&amp;F$14&amp;"|"&amp;"CY2021Q3",Spectrum!$Q:$Q,0)),"")</f>
        <v>17</v>
      </c>
      <c r="H189" s="115" t="n">
        <f aca="false">_xlfn.IFNA(ROUND(INDEX(Spectrum!$N:$N,MATCH(RIGHT($B189,13)&amp;"|"&amp;$C189&amp;"|"&amp;$D189&amp;"|"&amp;H$14&amp;"|"&amp;"CY2021Q3",Spectrum!$Q:$Q,0)),0),"")</f>
        <v>167</v>
      </c>
      <c r="I189" s="123" t="n">
        <f aca="false">_xlfn.IFNA(INDEX(Spectrum!$P:$P,MATCH(RIGHT($B189,13)&amp;"|"&amp;$C189&amp;"|"&amp;$D189&amp;"|"&amp;H$14&amp;"|"&amp;"CY2021Q3",Spectrum!$Q:$Q,0)),"")</f>
        <v>43</v>
      </c>
      <c r="J189" s="117" t="n">
        <f aca="false">_xlfn.IFNA(INDEX(Spectrum!$N:$N,MATCH(RIGHT($B189,13)&amp;"|"&amp;$C189&amp;"|"&amp;$D189&amp;"|"&amp;J$14&amp;"|"&amp;"CY2021Q3",Spectrum!$Q:$Q,0)),"")</f>
        <v>0.0248856</v>
      </c>
      <c r="K189" s="123" t="n">
        <f aca="false">_xlfn.IFNA(INDEX(Spectrum!$P:$P,MATCH(RIGHT($B189,13)&amp;"|"&amp;$C189&amp;"|"&amp;$D189&amp;"|"&amp;J$14&amp;"|"&amp;"CY2021Q3",Spectrum!$Q:$Q,0)),"")</f>
        <v>49</v>
      </c>
      <c r="L189" s="115" t="n">
        <f aca="false">_xlfn.IFNA(ROUND(INDEX(Spectrum!$N:$N,MATCH(RIGHT($B189,13)&amp;"|"&amp;$C189&amp;"|"&amp;$D189&amp;"|"&amp;L$14&amp;"|"&amp;"CY2021Q3",Spectrum!$Q:$Q,0)),0),"")</f>
        <v>108</v>
      </c>
      <c r="M189" s="123" t="n">
        <f aca="false">IF(OR(SUM($H189)&lt;=0,SUM($L189)&lt;=0),"",SUM($L189)/$H189)</f>
        <v>0.646706586826347</v>
      </c>
      <c r="N189" s="115" t="str">
        <f aca="false">_xlfn.IFNA(ROUND(INDEX(Spectrum!$N:$N,MATCH(RIGHT($B189,13)&amp;"|"&amp;$C189&amp;"|"&amp;$D189&amp;"|"&amp;N$14&amp;"|"&amp;"CY2020Q4",Spectrum!$Q:$Q,0)),0),"")</f>
        <v/>
      </c>
      <c r="O189" s="123" t="str">
        <f aca="false">_xlfn.IFNA(INDEX(Spectrum!$P:$P,MATCH(RIGHT($B189,13)&amp;"|"&amp;$C189&amp;"|"&amp;$D189&amp;"|"&amp;N$14&amp;"|"&amp;"CY2020Q4",Spectrum!$Q:$Q,0)),"")</f>
        <v/>
      </c>
      <c r="P189" s="115" t="n">
        <f aca="false">_xlfn.IFNA(ROUND(INDEX(Spectrum!$N:$N,MATCH(RIGHT($B189,13)&amp;"|"&amp;$C189&amp;"|"&amp;$D189&amp;"|"&amp;P$14&amp;"|"&amp;"CY2021Q3",Spectrum!$Q:$Q,0)),0),"")</f>
        <v>121</v>
      </c>
      <c r="Q189" s="123" t="n">
        <f aca="false">_xlfn.IFNA(INDEX(Spectrum!$P:$P,MATCH(RIGHT($B189,13)&amp;"|"&amp;$C189&amp;"|"&amp;$D189&amp;"|"&amp;P$14&amp;"|"&amp;"CY2021Q3",Spectrum!$Q:$Q,0)),"")</f>
        <v>34</v>
      </c>
      <c r="R189" s="115"/>
      <c r="S189" s="123" t="str">
        <f aca="false">IF(OR(SUM($P189)&lt;=0,SUM($R189)&lt;=0),"",SUM($R189)/$P189)</f>
        <v/>
      </c>
      <c r="T189" s="139" t="n">
        <v>39</v>
      </c>
      <c r="U189" s="124" t="n">
        <v>23</v>
      </c>
      <c r="V189" s="124" t="n">
        <f aca="false">IF($U189-$T189=0,"",$U189-$T189)</f>
        <v>-16</v>
      </c>
      <c r="W189" s="123" t="n">
        <f aca="false">IF(LEFT($B189,4)="_Mil","",IFERROR(MIN(IF(SUM($N189)&lt;=0,SUM($U189)/SUM($P189),SUM($T189)/SUM($N189)),1),""))</f>
        <v>0.190082644628099</v>
      </c>
      <c r="X189" s="123" t="n">
        <f aca="false">$W189</f>
        <v>0.190082644628099</v>
      </c>
      <c r="Y189" s="123" t="n">
        <f aca="false">IFERROR(1/(1/INDEX(Spectrum!$N:$N,MATCH(RIGHT($B189,13)&amp;"|"&amp;$C189&amp;"|"&amp;$D189&amp;"|"&amp;Y$14&amp;"|"&amp;"CY2021Q3",Spectrum!$Q:$Q,0))),IF(SUM($H189)=0,"",MAX(SUM($P189),SUM($U189))/SUM($H189)))</f>
        <v>0.724550898203593</v>
      </c>
      <c r="Z189" s="123" t="n">
        <f aca="false">IF(SUM($Y189)=0,"",MAX(SUM($Y189),90%))</f>
        <v>0.9</v>
      </c>
      <c r="AA189" s="115" t="n">
        <f aca="false">IF(LEFT($B189,4)="_Mil","",ROUND(MAX(SUM($U189),SUM($P189))+IF(SUM($Z189)=0,0,MAX(SUM($Z189)-SUM($Y189),0)*SUM($H189)),0))</f>
        <v>150</v>
      </c>
      <c r="AB189" s="115" t="n">
        <f aca="false">IF(SUM($AA189)=0,"",ROUND(MAX(SUM($AA189)-MAX(SUM($P189),SUM($U189)),0),0))</f>
        <v>29</v>
      </c>
      <c r="AC189" s="126" t="str">
        <f aca="false">IF($C189="&lt;01",IFERROR(ROUND(INDEX(EID!$N:$N,MATCH($B189,EID!$B:$B,0))/2,0),""),"")</f>
        <v/>
      </c>
      <c r="AD189" s="115" t="n">
        <f aca="false">IF($C189="&lt;01",IF(SUM($AC189)=0,"",ROUND(SUM($AC189)/$AG189,0)),IF(SUM($AB189)=0,"",ROUND(MAX($X189,0)*SUM($AB189),0)))</f>
        <v>6</v>
      </c>
      <c r="AE189" s="115" t="n">
        <f aca="false">IF(AND(SUM($AD189)=0,SUM($U189)=0),"",ROUND(IF($C189="&lt;01",0,SUM($U189))+SUM($AD189),0))</f>
        <v>29</v>
      </c>
      <c r="AF189" s="122" t="n">
        <f aca="false">IF($C189="&lt;01","",100%)</f>
        <v>1</v>
      </c>
      <c r="AG189" s="123" t="n">
        <f aca="false">0.98</f>
        <v>0.98</v>
      </c>
      <c r="AH189" s="123" t="n">
        <f aca="false">0.98</f>
        <v>0.98</v>
      </c>
      <c r="AI189" s="124" t="n">
        <f aca="false">IF(OR($C189="&lt;01",SUM($U189)=0),"",ROUND(SUM($U189)*(1-$AH189),0))</f>
        <v>0</v>
      </c>
      <c r="AJ189" s="124" t="n">
        <f aca="false">IF(AND(SUM($AE189)=0,SUM($U189)=0),"",IF($C189="&lt;01",SUM($AD189),SUM($AE189) - ROUND(SUM($U189)*$AH189,0)))</f>
        <v>6</v>
      </c>
      <c r="AK189" s="124" t="n">
        <v>8</v>
      </c>
      <c r="AL189" s="124" t="n">
        <v>12</v>
      </c>
      <c r="AM189" s="115" t="n">
        <f aca="false">IF(AND(SUM($AD189)=0,SUM($U189)=0),"",IF($C189="&lt;01",SUM($AD189),ROUND(ROUND(SUM($AJ189)*$AF189,0)/$AG189,0)))</f>
        <v>6</v>
      </c>
      <c r="AN189" s="122" t="n">
        <f aca="false">0.7</f>
        <v>0.7</v>
      </c>
      <c r="AO189" s="123" t="n">
        <f aca="false">1</f>
        <v>1</v>
      </c>
      <c r="AP189" s="115" t="n">
        <f aca="false">IF(AND(SUM($U189)=0,SUM($AM189)=0),"",ROUND((SUM($AM189)*$AN189+IF($C189="&lt;01",0,$U189))*$AO189,0))</f>
        <v>27</v>
      </c>
      <c r="AQ189" s="122" t="n">
        <v>40</v>
      </c>
      <c r="AR189" s="123" t="n">
        <f aca="false">0.95</f>
        <v>0.95</v>
      </c>
      <c r="AS189" s="123" t="n">
        <f aca="false">0.95</f>
        <v>0.95</v>
      </c>
      <c r="AT189" s="115" t="n">
        <f aca="false">IF(SUM($AP189)=0,"",ROUND(SUM($AP189)*$AR189,0))</f>
        <v>26</v>
      </c>
      <c r="AU189" s="115" t="n">
        <f aca="false">IF(LEFT($B189,4)="_Mil","",ROUND(SUM($AA189)*SUM($AS189),0))</f>
        <v>143</v>
      </c>
      <c r="AV189" s="124" t="n">
        <f aca="false">IF(SUM($AU189)&lt;=0,"",MAX(SUM($AU189)-SUM($R189),0))</f>
        <v>143</v>
      </c>
      <c r="AW189" s="122" t="n">
        <f aca="false">0</f>
        <v>0</v>
      </c>
      <c r="AX189" s="124" t="n">
        <f aca="false">IF(SUM($AM189)=0,"",ROUND(SUM($AM189)*SUM($AW189),0))</f>
        <v>0</v>
      </c>
      <c r="AY189" s="124" t="n">
        <f aca="false">IF(SUM($AM189)=0,"",SUM($AM189)-SUM($AX189))</f>
        <v>6</v>
      </c>
      <c r="AZ189" s="123" t="n">
        <v>7</v>
      </c>
      <c r="BA189" s="123" t="n">
        <f aca="false">0.95</f>
        <v>0.95</v>
      </c>
      <c r="BB189" s="123"/>
      <c r="BC189" s="123" t="n">
        <f aca="false">IF(OR(SUM($AM189)&lt;=0,$C189="&lt;01"),"",MAX(IF(OR(SUM($Y189)&lt;70%,LEFT($B189,4)="_Mil"),30%,IF(SUM($Y189)&gt;=80%,75%,50%)),SUM($BB189)))</f>
        <v>0.5</v>
      </c>
      <c r="BD189" s="115" t="n">
        <f aca="false">IF($C189="&lt;01",IFERROR(ROUND(INDEX(EID!$M:$M,MATCH($B189,EID!$B:$B,0)),0)/2,""),IF(SUM($AY189)=0,"",ROUND(SUM($AY189)/SUM($BA189),0)))</f>
        <v>6</v>
      </c>
      <c r="BE189" s="115" t="n">
        <f aca="false">IF($C189="&lt;01","",IF(SUM($BD189)=0,"",ROUND(SUM($BD189)*SUM($BC189),0)))</f>
        <v>3</v>
      </c>
      <c r="BF189" s="115" t="str">
        <f aca="false">_xlfn.IFNA(INDEX(PMTCT!$AE:$AE,MATCH($E189,PMTCT!$E:$E,0)),"")</f>
        <v/>
      </c>
      <c r="BG189" s="115" t="str">
        <f aca="false">_xlfn.IFNA(INDEX(PMTCT!$AU:$AU,MATCH($E189,PMTCT!$E:$E,0)),"")</f>
        <v/>
      </c>
      <c r="BH189" s="115" t="n">
        <f aca="false">_xlfn.IFNA(INDEX(TB!$Q:$Q,MATCH($E189,TB!$E:$E,0)),"")</f>
        <v>0</v>
      </c>
      <c r="BI189" s="115" t="str">
        <f aca="false">_xlfn.IFNA(INDEX(VMMC!$AC:$AC,MATCH($E189,VMMC!$E:$E,0)),"")</f>
        <v/>
      </c>
      <c r="BJ189" s="115" t="str">
        <f aca="false">IF($C189="&lt;01",$BD189,"")</f>
        <v/>
      </c>
      <c r="BK189" s="115" t="n">
        <f aca="false">IF(SUM($BD189)=0,"",($BD189)-SUM($BE189:$BJ189))</f>
        <v>3</v>
      </c>
      <c r="BL189" s="123" t="n">
        <f aca="false">IF(OR(SUM($BD189)=0,SUM($BE189)=0),"",SUM($BE189)/$BD189)</f>
        <v>0.5</v>
      </c>
      <c r="BM189" s="123" t="str">
        <f aca="false">IF(OR(SUM($BD189)=0,SUM($BF189)=0),"",SUM($BF189)/$BD189)</f>
        <v/>
      </c>
      <c r="BN189" s="123" t="str">
        <f aca="false">IF(OR(SUM($BD189)=0,SUM($BG189)=0),"",SUM($BG189)/$BD189)</f>
        <v/>
      </c>
      <c r="BO189" s="123" t="str">
        <f aca="false">IF(OR(SUM($BD189)=0,SUM($BH189)=0),"",SUM($BH189)/$BD189)</f>
        <v/>
      </c>
      <c r="BP189" s="123" t="str">
        <f aca="false">IF(OR(SUM($BD189)=0,SUM($BI189)=0),"",SUM($BI189)/$BD189)</f>
        <v/>
      </c>
      <c r="BQ189" s="123" t="str">
        <f aca="false">IF(AND($C189="&lt;01",SUM($BJ189)&lt;&gt;0),$BJ189/SUM($BD189),"")</f>
        <v/>
      </c>
      <c r="BR189" s="123" t="n">
        <f aca="false">IF(OR(SUM($BD189)=0,SUM($BK189)=0),"",SUM($BK189)/$BD189)</f>
        <v>0.5</v>
      </c>
      <c r="BS189" s="122" t="n">
        <f aca="false">IF(SUM($X189)&lt;=0,"",$X189)</f>
        <v>0.190082644628099</v>
      </c>
      <c r="BT189" s="115" t="n">
        <f aca="false">IF(LEFT($B189,4)="_Mil","",MAX(SUM($L189)+ROUND(SUM($BD189)/IF(SUM($BS189)&lt;=0,1,SUM($BS189)),0),0))</f>
        <v>140</v>
      </c>
    </row>
    <row r="190" customFormat="false" ht="15" hidden="false" customHeight="false" outlineLevel="0" collapsed="false">
      <c r="A190" s="0" t="s">
        <v>148</v>
      </c>
      <c r="B190" s="0" t="s">
        <v>113</v>
      </c>
      <c r="C190" s="0" t="s">
        <v>61</v>
      </c>
      <c r="D190" s="0" t="s">
        <v>58</v>
      </c>
      <c r="E190" s="0" t="str">
        <f aca="false">B190&amp;"|"&amp;C190&amp;"|"&amp;D190</f>
        <v>Mokhotlong [#SNU] [tjhYqc1MlVo]|10-14|Male</v>
      </c>
      <c r="F190" s="115" t="n">
        <f aca="false">_xlfn.IFNA(ROUND(INDEX(Spectrum!$N:$N,MATCH(RIGHT($B190,13)&amp;"|"&amp;$C190&amp;"|"&amp;$D190&amp;"|"&amp;F$14&amp;"|"&amp;"CY2021Q3",Spectrum!$Q:$Q,0)),0),"")</f>
        <v>6580</v>
      </c>
      <c r="G190" s="123" t="n">
        <f aca="false">_xlfn.IFNA(INDEX(Spectrum!$P:$P,MATCH(RIGHT($B190,13)&amp;"|"&amp;$C190&amp;"|"&amp;$D190&amp;"|"&amp;F$14&amp;"|"&amp;"CY2021Q3",Spectrum!$Q:$Q,0)),"")</f>
        <v>25</v>
      </c>
      <c r="H190" s="115" t="n">
        <f aca="false">_xlfn.IFNA(ROUND(INDEX(Spectrum!$N:$N,MATCH(RIGHT($B190,13)&amp;"|"&amp;$C190&amp;"|"&amp;$D190&amp;"|"&amp;H$14&amp;"|"&amp;"CY2021Q3",Spectrum!$Q:$Q,0)),0),"")</f>
        <v>171</v>
      </c>
      <c r="I190" s="123" t="n">
        <f aca="false">_xlfn.IFNA(INDEX(Spectrum!$P:$P,MATCH(RIGHT($B190,13)&amp;"|"&amp;$C190&amp;"|"&amp;$D190&amp;"|"&amp;H$14&amp;"|"&amp;"CY2021Q3",Spectrum!$Q:$Q,0)),"")</f>
        <v>26</v>
      </c>
      <c r="J190" s="117" t="n">
        <f aca="false">_xlfn.IFNA(INDEX(Spectrum!$N:$N,MATCH(RIGHT($B190,13)&amp;"|"&amp;$C190&amp;"|"&amp;$D190&amp;"|"&amp;J$14&amp;"|"&amp;"CY2021Q3",Spectrum!$Q:$Q,0)),"")</f>
        <v>0.025959</v>
      </c>
      <c r="K190" s="123" t="n">
        <f aca="false">_xlfn.IFNA(INDEX(Spectrum!$P:$P,MATCH(RIGHT($B190,13)&amp;"|"&amp;$C190&amp;"|"&amp;$D190&amp;"|"&amp;J$14&amp;"|"&amp;"CY2021Q3",Spectrum!$Q:$Q,0)),"")</f>
        <v>14</v>
      </c>
      <c r="L190" s="115" t="n">
        <f aca="false">_xlfn.IFNA(ROUND(INDEX(Spectrum!$N:$N,MATCH(RIGHT($B190,13)&amp;"|"&amp;$C190&amp;"|"&amp;$D190&amp;"|"&amp;L$14&amp;"|"&amp;"CY2021Q3",Spectrum!$Q:$Q,0)),0),"")</f>
        <v>111</v>
      </c>
      <c r="M190" s="123" t="n">
        <f aca="false">IF(OR(SUM($H190)&lt;=0,SUM($L190)&lt;=0),"",SUM($L190)/$H190)</f>
        <v>0.649122807017544</v>
      </c>
      <c r="N190" s="115" t="str">
        <f aca="false">_xlfn.IFNA(ROUND(INDEX(Spectrum!$N:$N,MATCH(RIGHT($B190,13)&amp;"|"&amp;$C190&amp;"|"&amp;$D190&amp;"|"&amp;N$14&amp;"|"&amp;"CY2020Q4",Spectrum!$Q:$Q,0)),0),"")</f>
        <v/>
      </c>
      <c r="O190" s="123" t="str">
        <f aca="false">_xlfn.IFNA(INDEX(Spectrum!$P:$P,MATCH(RIGHT($B190,13)&amp;"|"&amp;$C190&amp;"|"&amp;$D190&amp;"|"&amp;N$14&amp;"|"&amp;"CY2020Q4",Spectrum!$Q:$Q,0)),"")</f>
        <v/>
      </c>
      <c r="P190" s="115" t="n">
        <f aca="false">_xlfn.IFNA(ROUND(INDEX(Spectrum!$N:$N,MATCH(RIGHT($B190,13)&amp;"|"&amp;$C190&amp;"|"&amp;$D190&amp;"|"&amp;P$14&amp;"|"&amp;"CY2021Q3",Spectrum!$Q:$Q,0)),0),"")</f>
        <v>125</v>
      </c>
      <c r="Q190" s="123" t="n">
        <f aca="false">_xlfn.IFNA(INDEX(Spectrum!$P:$P,MATCH(RIGHT($B190,13)&amp;"|"&amp;$C190&amp;"|"&amp;$D190&amp;"|"&amp;P$14&amp;"|"&amp;"CY2021Q3",Spectrum!$Q:$Q,0)),"")</f>
        <v>44</v>
      </c>
      <c r="R190" s="115"/>
      <c r="S190" s="123" t="str">
        <f aca="false">IF(OR(SUM($P190)&lt;=0,SUM($R190)&lt;=0),"",SUM($R190)/$P190)</f>
        <v/>
      </c>
      <c r="T190" s="139" t="n">
        <v>2</v>
      </c>
      <c r="U190" s="124" t="n">
        <v>4</v>
      </c>
      <c r="V190" s="124" t="n">
        <f aca="false">IF($U190-$T190=0,"",$U190-$T190)</f>
        <v>2</v>
      </c>
      <c r="W190" s="123" t="n">
        <f aca="false">IF(LEFT($B190,4)="_Mil","",IFERROR(MIN(IF(SUM($N190)&lt;=0,SUM($U190)/SUM($P190),SUM($T190)/SUM($N190)),1),""))</f>
        <v>0.032</v>
      </c>
      <c r="X190" s="123" t="n">
        <f aca="false">$W190</f>
        <v>0.032</v>
      </c>
      <c r="Y190" s="123" t="n">
        <f aca="false">IFERROR(1/(1/INDEX(Spectrum!$N:$N,MATCH(RIGHT($B190,13)&amp;"|"&amp;$C190&amp;"|"&amp;$D190&amp;"|"&amp;Y$14&amp;"|"&amp;"CY2021Q3",Spectrum!$Q:$Q,0))),IF(SUM($H190)=0,"",MAX(SUM($P190),SUM($U190))/SUM($H190)))</f>
        <v>0.730994152046784</v>
      </c>
      <c r="Z190" s="123" t="n">
        <f aca="false">IF(SUM($Y190)=0,"",MAX(SUM($Y190),90%))</f>
        <v>0.9</v>
      </c>
      <c r="AA190" s="115" t="n">
        <f aca="false">IF(LEFT($B190,4)="_Mil","",ROUND(MAX(SUM($U190),SUM($P190))+IF(SUM($Z190)=0,0,MAX(SUM($Z190)-SUM($Y190),0)*SUM($H190)),0))</f>
        <v>154</v>
      </c>
      <c r="AB190" s="115" t="n">
        <f aca="false">IF(SUM($AA190)=0,"",ROUND(MAX(SUM($AA190)-MAX(SUM($P190),SUM($U190)),0),0))</f>
        <v>29</v>
      </c>
      <c r="AC190" s="126" t="str">
        <f aca="false">IF($C190="&lt;01",IFERROR(ROUND(INDEX(EID!$N:$N,MATCH($B190,EID!$B:$B,0))/2,0),""),"")</f>
        <v/>
      </c>
      <c r="AD190" s="115" t="n">
        <f aca="false">IF($C190="&lt;01",IF(SUM($AC190)=0,"",ROUND(SUM($AC190)/$AG190,0)),IF(SUM($AB190)=0,"",ROUND(MAX($X190,0)*SUM($AB190),0)))</f>
        <v>1</v>
      </c>
      <c r="AE190" s="115" t="n">
        <f aca="false">IF(AND(SUM($AD190)=0,SUM($U190)=0),"",ROUND(IF($C190="&lt;01",0,SUM($U190))+SUM($AD190),0))</f>
        <v>5</v>
      </c>
      <c r="AF190" s="122" t="n">
        <f aca="false">IF($C190="&lt;01","",100%)</f>
        <v>1</v>
      </c>
      <c r="AG190" s="123" t="n">
        <f aca="false">0.98</f>
        <v>0.98</v>
      </c>
      <c r="AH190" s="123" t="n">
        <f aca="false">0.98</f>
        <v>0.98</v>
      </c>
      <c r="AI190" s="124" t="n">
        <f aca="false">IF(OR($C190="&lt;01",SUM($U190)=0),"",ROUND(SUM($U190)*(1-$AH190),0))</f>
        <v>0</v>
      </c>
      <c r="AJ190" s="124" t="n">
        <f aca="false">IF(AND(SUM($AE190)=0,SUM($U190)=0),"",IF($C190="&lt;01",SUM($AD190),SUM($AE190) - ROUND(SUM($U190)*$AH190,0)))</f>
        <v>1</v>
      </c>
      <c r="AK190" s="124" t="n">
        <v>15</v>
      </c>
      <c r="AL190" s="124" t="n">
        <v>21</v>
      </c>
      <c r="AM190" s="115" t="n">
        <f aca="false">IF(AND(SUM($AD190)=0,SUM($U190)=0),"",IF($C190="&lt;01",SUM($AD190),ROUND(ROUND(SUM($AJ190)*$AF190,0)/$AG190,0)))</f>
        <v>1</v>
      </c>
      <c r="AN190" s="122" t="n">
        <f aca="false">0.7</f>
        <v>0.7</v>
      </c>
      <c r="AO190" s="123" t="n">
        <f aca="false">1</f>
        <v>1</v>
      </c>
      <c r="AP190" s="115" t="n">
        <f aca="false">IF(AND(SUM($U190)=0,SUM($AM190)=0),"",ROUND((SUM($AM190)*$AN190+IF($C190="&lt;01",0,$U190))*$AO190,0))</f>
        <v>5</v>
      </c>
      <c r="AQ190" s="122" t="n">
        <v>48</v>
      </c>
      <c r="AR190" s="123" t="n">
        <f aca="false">0.95</f>
        <v>0.95</v>
      </c>
      <c r="AS190" s="123" t="n">
        <f aca="false">0.95</f>
        <v>0.95</v>
      </c>
      <c r="AT190" s="115" t="n">
        <f aca="false">IF(SUM($AP190)=0,"",ROUND(SUM($AP190)*$AR190,0))</f>
        <v>5</v>
      </c>
      <c r="AU190" s="115" t="n">
        <f aca="false">IF(LEFT($B190,4)="_Mil","",ROUND(SUM($AA190)*SUM($AS190),0))</f>
        <v>146</v>
      </c>
      <c r="AV190" s="124" t="n">
        <f aca="false">IF(SUM($AU190)&lt;=0,"",MAX(SUM($AU190)-SUM($R190),0))</f>
        <v>146</v>
      </c>
      <c r="AW190" s="122" t="n">
        <f aca="false">0</f>
        <v>0</v>
      </c>
      <c r="AX190" s="124" t="n">
        <f aca="false">IF(SUM($AM190)=0,"",ROUND(SUM($AM190)*SUM($AW190),0))</f>
        <v>0</v>
      </c>
      <c r="AY190" s="124" t="n">
        <f aca="false">IF(SUM($AM190)=0,"",SUM($AM190)-SUM($AX190))</f>
        <v>1</v>
      </c>
      <c r="AZ190" s="123" t="n">
        <v>33</v>
      </c>
      <c r="BA190" s="123" t="n">
        <f aca="false">0.95</f>
        <v>0.95</v>
      </c>
      <c r="BB190" s="123"/>
      <c r="BC190" s="123" t="n">
        <f aca="false">IF(OR(SUM($AM190)&lt;=0,$C190="&lt;01"),"",MAX(IF(OR(SUM($Y190)&lt;70%,LEFT($B190,4)="_Mil"),30%,IF(SUM($Y190)&gt;=80%,75%,50%)),SUM($BB190)))</f>
        <v>0.5</v>
      </c>
      <c r="BD190" s="115" t="n">
        <f aca="false">IF($C190="&lt;01",IFERROR(ROUND(INDEX(EID!$M:$M,MATCH($B190,EID!$B:$B,0)),0)/2,""),IF(SUM($AY190)=0,"",ROUND(SUM($AY190)/SUM($BA190),0)))</f>
        <v>1</v>
      </c>
      <c r="BE190" s="115" t="n">
        <f aca="false">IF($C190="&lt;01","",IF(SUM($BD190)=0,"",ROUND(SUM($BD190)*SUM($BC190),0)))</f>
        <v>1</v>
      </c>
      <c r="BF190" s="115" t="str">
        <f aca="false">_xlfn.IFNA(INDEX(PMTCT!$AE:$AE,MATCH($E190,PMTCT!$E:$E,0)),"")</f>
        <v/>
      </c>
      <c r="BG190" s="115" t="str">
        <f aca="false">_xlfn.IFNA(INDEX(PMTCT!$AU:$AU,MATCH($E190,PMTCT!$E:$E,0)),"")</f>
        <v/>
      </c>
      <c r="BH190" s="115" t="n">
        <f aca="false">_xlfn.IFNA(INDEX(TB!$Q:$Q,MATCH($E190,TB!$E:$E,0)),"")</f>
        <v>1080</v>
      </c>
      <c r="BI190" s="115" t="str">
        <f aca="false">_xlfn.IFNA(INDEX(VMMC!$AC:$AC,MATCH($E190,VMMC!$E:$E,0)),"")</f>
        <v/>
      </c>
      <c r="BJ190" s="115" t="str">
        <f aca="false">IF($C190="&lt;01",$BD190,"")</f>
        <v/>
      </c>
      <c r="BK190" s="115" t="n">
        <f aca="false">IF(SUM($BD190)=0,"",($BD190)-SUM($BE190:$BJ190))</f>
        <v>-1080</v>
      </c>
      <c r="BL190" s="123" t="n">
        <f aca="false">IF(OR(SUM($BD190)=0,SUM($BE190)=0),"",SUM($BE190)/$BD190)</f>
        <v>1</v>
      </c>
      <c r="BM190" s="123" t="str">
        <f aca="false">IF(OR(SUM($BD190)=0,SUM($BF190)=0),"",SUM($BF190)/$BD190)</f>
        <v/>
      </c>
      <c r="BN190" s="123" t="str">
        <f aca="false">IF(OR(SUM($BD190)=0,SUM($BG190)=0),"",SUM($BG190)/$BD190)</f>
        <v/>
      </c>
      <c r="BO190" s="123" t="n">
        <f aca="false">IF(OR(SUM($BD190)=0,SUM($BH190)=0),"",SUM($BH190)/$BD190)</f>
        <v>1080</v>
      </c>
      <c r="BP190" s="123" t="str">
        <f aca="false">IF(OR(SUM($BD190)=0,SUM($BI190)=0),"",SUM($BI190)/$BD190)</f>
        <v/>
      </c>
      <c r="BQ190" s="123" t="str">
        <f aca="false">IF(AND($C190="&lt;01",SUM($BJ190)&lt;&gt;0),$BJ190/SUM($BD190),"")</f>
        <v/>
      </c>
      <c r="BR190" s="123" t="n">
        <f aca="false">IF(OR(SUM($BD190)=0,SUM($BK190)=0),"",SUM($BK190)/$BD190)</f>
        <v>-1080</v>
      </c>
      <c r="BS190" s="122" t="n">
        <f aca="false">IF(SUM($X190)&lt;=0,"",$X190)</f>
        <v>0.032</v>
      </c>
      <c r="BT190" s="115" t="n">
        <f aca="false">IF(LEFT($B190,4)="_Mil","",MAX(SUM($L190)+ROUND(SUM($BD190)/IF(SUM($BS190)&lt;=0,1,SUM($BS190)),0),0))</f>
        <v>142</v>
      </c>
    </row>
    <row r="191" customFormat="false" ht="15" hidden="false" customHeight="false" outlineLevel="0" collapsed="false">
      <c r="A191" s="0" t="s">
        <v>148</v>
      </c>
      <c r="B191" s="0" t="s">
        <v>113</v>
      </c>
      <c r="C191" s="0" t="s">
        <v>63</v>
      </c>
      <c r="D191" s="0" t="s">
        <v>56</v>
      </c>
      <c r="E191" s="0" t="str">
        <f aca="false">B191&amp;"|"&amp;C191&amp;"|"&amp;D191</f>
        <v>Mokhotlong [#SNU] [tjhYqc1MlVo]|15-19|Female</v>
      </c>
      <c r="F191" s="115" t="n">
        <f aca="false">_xlfn.IFNA(ROUND(INDEX(Spectrum!$N:$N,MATCH(RIGHT($B191,13)&amp;"|"&amp;$C191&amp;"|"&amp;$D191&amp;"|"&amp;F$14&amp;"|"&amp;"CY2021Q3",Spectrum!$Q:$Q,0)),0),"")</f>
        <v>5619</v>
      </c>
      <c r="G191" s="123" t="n">
        <f aca="false">_xlfn.IFNA(INDEX(Spectrum!$P:$P,MATCH(RIGHT($B191,13)&amp;"|"&amp;$C191&amp;"|"&amp;$D191&amp;"|"&amp;F$14&amp;"|"&amp;"CY2021Q3",Spectrum!$Q:$Q,0)),"")</f>
        <v>7</v>
      </c>
      <c r="H191" s="115" t="n">
        <f aca="false">_xlfn.IFNA(ROUND(INDEX(Spectrum!$N:$N,MATCH(RIGHT($B191,13)&amp;"|"&amp;$C191&amp;"|"&amp;$D191&amp;"|"&amp;H$14&amp;"|"&amp;"CY2021Q3",Spectrum!$Q:$Q,0)),0),"")</f>
        <v>273</v>
      </c>
      <c r="I191" s="123" t="n">
        <f aca="false">_xlfn.IFNA(INDEX(Spectrum!$P:$P,MATCH(RIGHT($B191,13)&amp;"|"&amp;$C191&amp;"|"&amp;$D191&amp;"|"&amp;H$14&amp;"|"&amp;"CY2021Q3",Spectrum!$Q:$Q,0)),"")</f>
        <v>42</v>
      </c>
      <c r="J191" s="117" t="n">
        <f aca="false">_xlfn.IFNA(INDEX(Spectrum!$N:$N,MATCH(RIGHT($B191,13)&amp;"|"&amp;$C191&amp;"|"&amp;$D191&amp;"|"&amp;J$14&amp;"|"&amp;"CY2021Q3",Spectrum!$Q:$Q,0)),"")</f>
        <v>0.0486723</v>
      </c>
      <c r="K191" s="123" t="n">
        <f aca="false">_xlfn.IFNA(INDEX(Spectrum!$P:$P,MATCH(RIGHT($B191,13)&amp;"|"&amp;$C191&amp;"|"&amp;$D191&amp;"|"&amp;J$14&amp;"|"&amp;"CY2021Q3",Spectrum!$Q:$Q,0)),"")</f>
        <v>25</v>
      </c>
      <c r="L191" s="115" t="n">
        <f aca="false">_xlfn.IFNA(ROUND(INDEX(Spectrum!$N:$N,MATCH(RIGHT($B191,13)&amp;"|"&amp;$C191&amp;"|"&amp;$D191&amp;"|"&amp;L$14&amp;"|"&amp;"CY2021Q3",Spectrum!$Q:$Q,0)),0),"")</f>
        <v>207</v>
      </c>
      <c r="M191" s="123" t="n">
        <f aca="false">IF(OR(SUM($H191)&lt;=0,SUM($L191)&lt;=0),"",SUM($L191)/$H191)</f>
        <v>0.758241758241758</v>
      </c>
      <c r="N191" s="115" t="str">
        <f aca="false">_xlfn.IFNA(ROUND(INDEX(Spectrum!$N:$N,MATCH(RIGHT($B191,13)&amp;"|"&amp;$C191&amp;"|"&amp;$D191&amp;"|"&amp;N$14&amp;"|"&amp;"CY2020Q4",Spectrum!$Q:$Q,0)),0),"")</f>
        <v/>
      </c>
      <c r="O191" s="123" t="str">
        <f aca="false">_xlfn.IFNA(INDEX(Spectrum!$P:$P,MATCH(RIGHT($B191,13)&amp;"|"&amp;$C191&amp;"|"&amp;$D191&amp;"|"&amp;N$14&amp;"|"&amp;"CY2020Q4",Spectrum!$Q:$Q,0)),"")</f>
        <v/>
      </c>
      <c r="P191" s="115" t="n">
        <f aca="false">_xlfn.IFNA(ROUND(INDEX(Spectrum!$N:$N,MATCH(RIGHT($B191,13)&amp;"|"&amp;$C191&amp;"|"&amp;$D191&amp;"|"&amp;P$14&amp;"|"&amp;"CY2021Q3",Spectrum!$Q:$Q,0)),0),"")</f>
        <v>179</v>
      </c>
      <c r="Q191" s="123" t="n">
        <f aca="false">_xlfn.IFNA(INDEX(Spectrum!$P:$P,MATCH(RIGHT($B191,13)&amp;"|"&amp;$C191&amp;"|"&amp;$D191&amp;"|"&amp;P$14&amp;"|"&amp;"CY2021Q3",Spectrum!$Q:$Q,0)),"")</f>
        <v>47</v>
      </c>
      <c r="R191" s="115"/>
      <c r="S191" s="123" t="str">
        <f aca="false">IF(OR(SUM($P191)&lt;=0,SUM($R191)&lt;=0),"",SUM($R191)/$P191)</f>
        <v/>
      </c>
      <c r="T191" s="139" t="n">
        <v>17</v>
      </c>
      <c r="U191" s="124" t="n">
        <v>47</v>
      </c>
      <c r="V191" s="124" t="n">
        <f aca="false">IF($U191-$T191=0,"",$U191-$T191)</f>
        <v>30</v>
      </c>
      <c r="W191" s="123" t="n">
        <f aca="false">IF(LEFT($B191,4)="_Mil","",IFERROR(MIN(IF(SUM($N191)&lt;=0,SUM($U191)/SUM($P191),SUM($T191)/SUM($N191)),1),""))</f>
        <v>0.262569832402235</v>
      </c>
      <c r="X191" s="123" t="n">
        <f aca="false">$W191</f>
        <v>0.262569832402235</v>
      </c>
      <c r="Y191" s="123" t="n">
        <f aca="false">IFERROR(1/(1/INDEX(Spectrum!$N:$N,MATCH(RIGHT($B191,13)&amp;"|"&amp;$C191&amp;"|"&amp;$D191&amp;"|"&amp;Y$14&amp;"|"&amp;"CY2021Q3",Spectrum!$Q:$Q,0))),IF(SUM($H191)=0,"",MAX(SUM($P191),SUM($U191))/SUM($H191)))</f>
        <v>0.655677655677656</v>
      </c>
      <c r="Z191" s="123" t="n">
        <f aca="false">IF(SUM($Y191)=0,"",MAX(SUM($Y191),90%))</f>
        <v>0.9</v>
      </c>
      <c r="AA191" s="115" t="n">
        <f aca="false">IF(LEFT($B191,4)="_Mil","",ROUND(MAX(SUM($U191),SUM($P191))+IF(SUM($Z191)=0,0,MAX(SUM($Z191)-SUM($Y191),0)*SUM($H191)),0))</f>
        <v>246</v>
      </c>
      <c r="AB191" s="115" t="n">
        <f aca="false">IF(SUM($AA191)=0,"",ROUND(MAX(SUM($AA191)-MAX(SUM($P191),SUM($U191)),0),0))</f>
        <v>67</v>
      </c>
      <c r="AC191" s="126" t="str">
        <f aca="false">IF($C191="&lt;01",IFERROR(ROUND(INDEX(EID!$N:$N,MATCH($B191,EID!$B:$B,0))/2,0),""),"")</f>
        <v/>
      </c>
      <c r="AD191" s="115" t="n">
        <f aca="false">IF($C191="&lt;01",IF(SUM($AC191)=0,"",ROUND(SUM($AC191)/$AG191,0)),IF(SUM($AB191)=0,"",ROUND(MAX($X191,0)*SUM($AB191),0)))</f>
        <v>18</v>
      </c>
      <c r="AE191" s="115" t="n">
        <f aca="false">IF(AND(SUM($AD191)=0,SUM($U191)=0),"",ROUND(IF($C191="&lt;01",0,SUM($U191))+SUM($AD191),0))</f>
        <v>65</v>
      </c>
      <c r="AF191" s="122" t="n">
        <f aca="false">IF($C191="&lt;01","",100%)</f>
        <v>1</v>
      </c>
      <c r="AG191" s="123" t="n">
        <f aca="false">0.98</f>
        <v>0.98</v>
      </c>
      <c r="AH191" s="123" t="n">
        <f aca="false">0.98</f>
        <v>0.98</v>
      </c>
      <c r="AI191" s="124" t="n">
        <f aca="false">IF(OR($C191="&lt;01",SUM($U191)=0),"",ROUND(SUM($U191)*(1-$AH191),0))</f>
        <v>1</v>
      </c>
      <c r="AJ191" s="124" t="n">
        <f aca="false">IF(AND(SUM($AE191)=0,SUM($U191)=0),"",IF($C191="&lt;01",SUM($AD191),SUM($AE191) - ROUND(SUM($U191)*$AH191,0)))</f>
        <v>19</v>
      </c>
      <c r="AK191" s="124" t="n">
        <v>25</v>
      </c>
      <c r="AL191" s="124" t="n">
        <v>47</v>
      </c>
      <c r="AM191" s="115" t="n">
        <f aca="false">IF(AND(SUM($AD191)=0,SUM($U191)=0),"",IF($C191="&lt;01",SUM($AD191),ROUND(ROUND(SUM($AJ191)*$AF191,0)/$AG191,0)))</f>
        <v>19</v>
      </c>
      <c r="AN191" s="122" t="n">
        <f aca="false">0.7</f>
        <v>0.7</v>
      </c>
      <c r="AO191" s="123" t="n">
        <f aca="false">1</f>
        <v>1</v>
      </c>
      <c r="AP191" s="115" t="n">
        <f aca="false">IF(AND(SUM($U191)=0,SUM($AM191)=0),"",ROUND((SUM($AM191)*$AN191+IF($C191="&lt;01",0,$U191))*$AO191,0))</f>
        <v>60</v>
      </c>
      <c r="AQ191" s="122" t="n">
        <v>35</v>
      </c>
      <c r="AR191" s="123" t="n">
        <f aca="false">0.95</f>
        <v>0.95</v>
      </c>
      <c r="AS191" s="123" t="n">
        <f aca="false">0.95</f>
        <v>0.95</v>
      </c>
      <c r="AT191" s="115" t="n">
        <f aca="false">IF(SUM($AP191)=0,"",ROUND(SUM($AP191)*$AR191,0))</f>
        <v>57</v>
      </c>
      <c r="AU191" s="115" t="n">
        <f aca="false">IF(LEFT($B191,4)="_Mil","",ROUND(SUM($AA191)*SUM($AS191),0))</f>
        <v>234</v>
      </c>
      <c r="AV191" s="124" t="n">
        <f aca="false">IF(SUM($AU191)&lt;=0,"",MAX(SUM($AU191)-SUM($R191),0))</f>
        <v>234</v>
      </c>
      <c r="AW191" s="122" t="n">
        <f aca="false">0</f>
        <v>0</v>
      </c>
      <c r="AX191" s="124" t="n">
        <f aca="false">IF(SUM($AM191)=0,"",ROUND(SUM($AM191)*SUM($AW191),0))</f>
        <v>0</v>
      </c>
      <c r="AY191" s="124" t="n">
        <f aca="false">IF(SUM($AM191)=0,"",SUM($AM191)-SUM($AX191))</f>
        <v>19</v>
      </c>
      <c r="AZ191" s="123" t="n">
        <v>49</v>
      </c>
      <c r="BA191" s="123" t="n">
        <f aca="false">0.95</f>
        <v>0.95</v>
      </c>
      <c r="BB191" s="123"/>
      <c r="BC191" s="123" t="n">
        <f aca="false">IF(OR(SUM($AM191)&lt;=0,$C191="&lt;01"),"",MAX(IF(OR(SUM($Y191)&lt;70%,LEFT($B191,4)="_Mil"),30%,IF(SUM($Y191)&gt;=80%,75%,50%)),SUM($BB191)))</f>
        <v>0.3</v>
      </c>
      <c r="BD191" s="115" t="n">
        <f aca="false">IF($C191="&lt;01",IFERROR(ROUND(INDEX(EID!$M:$M,MATCH($B191,EID!$B:$B,0)),0)/2,""),IF(SUM($AY191)=0,"",ROUND(SUM($AY191)/SUM($BA191),0)))</f>
        <v>20</v>
      </c>
      <c r="BE191" s="115" t="n">
        <f aca="false">IF($C191="&lt;01","",IF(SUM($BD191)=0,"",ROUND(SUM($BD191)*SUM($BC191),0)))</f>
        <v>6</v>
      </c>
      <c r="BF191" s="115" t="n">
        <f aca="false">_xlfn.IFNA(INDEX(PMTCT!$AE:$AE,MATCH($E191,PMTCT!$E:$E,0)),"")</f>
        <v>-1296</v>
      </c>
      <c r="BG191" s="115" t="str">
        <f aca="false">_xlfn.IFNA(INDEX(PMTCT!$AU:$AU,MATCH($E191,PMTCT!$E:$E,0)),"")</f>
        <v/>
      </c>
      <c r="BH191" s="115" t="n">
        <f aca="false">_xlfn.IFNA(INDEX(TB!$Q:$Q,MATCH($E191,TB!$E:$E,0)),"")</f>
        <v>-0</v>
      </c>
      <c r="BI191" s="115" t="str">
        <f aca="false">_xlfn.IFNA(INDEX(VMMC!$AC:$AC,MATCH($E191,VMMC!$E:$E,0)),"")</f>
        <v/>
      </c>
      <c r="BJ191" s="115" t="str">
        <f aca="false">IF($C191="&lt;01",$BD191,"")</f>
        <v/>
      </c>
      <c r="BK191" s="115" t="n">
        <f aca="false">IF(SUM($BD191)=0,"",($BD191)-SUM($BE191:$BJ191))</f>
        <v>1310</v>
      </c>
      <c r="BL191" s="123" t="n">
        <f aca="false">IF(OR(SUM($BD191)=0,SUM($BE191)=0),"",SUM($BE191)/$BD191)</f>
        <v>0.3</v>
      </c>
      <c r="BM191" s="123" t="n">
        <f aca="false">IF(OR(SUM($BD191)=0,SUM($BF191)=0),"",SUM($BF191)/$BD191)</f>
        <v>-64.8</v>
      </c>
      <c r="BN191" s="123" t="str">
        <f aca="false">IF(OR(SUM($BD191)=0,SUM($BG191)=0),"",SUM($BG191)/$BD191)</f>
        <v/>
      </c>
      <c r="BO191" s="123" t="str">
        <f aca="false">IF(OR(SUM($BD191)=0,SUM($BH191)=0),"",SUM($BH191)/$BD191)</f>
        <v/>
      </c>
      <c r="BP191" s="123" t="str">
        <f aca="false">IF(OR(SUM($BD191)=0,SUM($BI191)=0),"",SUM($BI191)/$BD191)</f>
        <v/>
      </c>
      <c r="BQ191" s="123" t="str">
        <f aca="false">IF(AND($C191="&lt;01",SUM($BJ191)&lt;&gt;0),$BJ191/SUM($BD191),"")</f>
        <v/>
      </c>
      <c r="BR191" s="123" t="n">
        <f aca="false">IF(OR(SUM($BD191)=0,SUM($BK191)=0),"",SUM($BK191)/$BD191)</f>
        <v>65.5</v>
      </c>
      <c r="BS191" s="122" t="n">
        <f aca="false">IF(SUM($X191)&lt;=0,"",$X191)</f>
        <v>0.262569832402235</v>
      </c>
      <c r="BT191" s="115" t="n">
        <f aca="false">IF(LEFT($B191,4)="_Mil","",MAX(SUM($L191)+ROUND(SUM($BD191)/IF(SUM($BS191)&lt;=0,1,SUM($BS191)),0),0))</f>
        <v>283</v>
      </c>
    </row>
    <row r="192" customFormat="false" ht="15" hidden="false" customHeight="false" outlineLevel="0" collapsed="false">
      <c r="A192" s="0" t="s">
        <v>148</v>
      </c>
      <c r="B192" s="0" t="s">
        <v>113</v>
      </c>
      <c r="C192" s="0" t="s">
        <v>63</v>
      </c>
      <c r="D192" s="0" t="s">
        <v>58</v>
      </c>
      <c r="E192" s="0" t="str">
        <f aca="false">B192&amp;"|"&amp;C192&amp;"|"&amp;D192</f>
        <v>Mokhotlong [#SNU] [tjhYqc1MlVo]|15-19|Male</v>
      </c>
      <c r="F192" s="115" t="n">
        <f aca="false">_xlfn.IFNA(ROUND(INDEX(Spectrum!$N:$N,MATCH(RIGHT($B192,13)&amp;"|"&amp;$C192&amp;"|"&amp;$D192&amp;"|"&amp;F$14&amp;"|"&amp;"CY2021Q3",Spectrum!$Q:$Q,0)),0),"")</f>
        <v>5548</v>
      </c>
      <c r="G192" s="123" t="n">
        <f aca="false">_xlfn.IFNA(INDEX(Spectrum!$P:$P,MATCH(RIGHT($B192,13)&amp;"|"&amp;$C192&amp;"|"&amp;$D192&amp;"|"&amp;F$14&amp;"|"&amp;"CY2021Q3",Spectrum!$Q:$Q,0)),"")</f>
        <v>43</v>
      </c>
      <c r="H192" s="115" t="n">
        <f aca="false">_xlfn.IFNA(ROUND(INDEX(Spectrum!$N:$N,MATCH(RIGHT($B192,13)&amp;"|"&amp;$C192&amp;"|"&amp;$D192&amp;"|"&amp;H$14&amp;"|"&amp;"CY2021Q3",Spectrum!$Q:$Q,0)),0),"")</f>
        <v>168</v>
      </c>
      <c r="I192" s="123" t="n">
        <f aca="false">_xlfn.IFNA(INDEX(Spectrum!$P:$P,MATCH(RIGHT($B192,13)&amp;"|"&amp;$C192&amp;"|"&amp;$D192&amp;"|"&amp;H$14&amp;"|"&amp;"CY2021Q3",Spectrum!$Q:$Q,0)),"")</f>
        <v>29</v>
      </c>
      <c r="J192" s="117" t="n">
        <f aca="false">_xlfn.IFNA(INDEX(Spectrum!$N:$N,MATCH(RIGHT($B192,13)&amp;"|"&amp;$C192&amp;"|"&amp;$D192&amp;"|"&amp;J$14&amp;"|"&amp;"CY2021Q3",Spectrum!$Q:$Q,0)),"")</f>
        <v>0.0302121</v>
      </c>
      <c r="K192" s="123" t="n">
        <f aca="false">_xlfn.IFNA(INDEX(Spectrum!$P:$P,MATCH(RIGHT($B192,13)&amp;"|"&amp;$C192&amp;"|"&amp;$D192&amp;"|"&amp;J$14&amp;"|"&amp;"CY2021Q3",Spectrum!$Q:$Q,0)),"")</f>
        <v>21</v>
      </c>
      <c r="L192" s="115" t="n">
        <f aca="false">_xlfn.IFNA(ROUND(INDEX(Spectrum!$N:$N,MATCH(RIGHT($B192,13)&amp;"|"&amp;$C192&amp;"|"&amp;$D192&amp;"|"&amp;L$14&amp;"|"&amp;"CY2021Q3",Spectrum!$Q:$Q,0)),0),"")</f>
        <v>153</v>
      </c>
      <c r="M192" s="123" t="n">
        <f aca="false">IF(OR(SUM($H192)&lt;=0,SUM($L192)&lt;=0),"",SUM($L192)/$H192)</f>
        <v>0.910714285714286</v>
      </c>
      <c r="N192" s="115" t="str">
        <f aca="false">_xlfn.IFNA(ROUND(INDEX(Spectrum!$N:$N,MATCH(RIGHT($B192,13)&amp;"|"&amp;$C192&amp;"|"&amp;$D192&amp;"|"&amp;N$14&amp;"|"&amp;"CY2020Q4",Spectrum!$Q:$Q,0)),0),"")</f>
        <v/>
      </c>
      <c r="O192" s="123" t="str">
        <f aca="false">_xlfn.IFNA(INDEX(Spectrum!$P:$P,MATCH(RIGHT($B192,13)&amp;"|"&amp;$C192&amp;"|"&amp;$D192&amp;"|"&amp;N$14&amp;"|"&amp;"CY2020Q4",Spectrum!$Q:$Q,0)),"")</f>
        <v/>
      </c>
      <c r="P192" s="115" t="n">
        <f aca="false">_xlfn.IFNA(ROUND(INDEX(Spectrum!$N:$N,MATCH(RIGHT($B192,13)&amp;"|"&amp;$C192&amp;"|"&amp;$D192&amp;"|"&amp;P$14&amp;"|"&amp;"CY2021Q3",Spectrum!$Q:$Q,0)),0),"")</f>
        <v>135</v>
      </c>
      <c r="Q192" s="123" t="n">
        <f aca="false">_xlfn.IFNA(INDEX(Spectrum!$P:$P,MATCH(RIGHT($B192,13)&amp;"|"&amp;$C192&amp;"|"&amp;$D192&amp;"|"&amp;P$14&amp;"|"&amp;"CY2021Q3",Spectrum!$Q:$Q,0)),"")</f>
        <v>18</v>
      </c>
      <c r="R192" s="115"/>
      <c r="S192" s="123" t="str">
        <f aca="false">IF(OR(SUM($P192)&lt;=0,SUM($R192)&lt;=0),"",SUM($R192)/$P192)</f>
        <v/>
      </c>
      <c r="T192" s="139" t="n">
        <v>42</v>
      </c>
      <c r="U192" s="124" t="n">
        <v>17</v>
      </c>
      <c r="V192" s="124" t="n">
        <f aca="false">IF($U192-$T192=0,"",$U192-$T192)</f>
        <v>-25</v>
      </c>
      <c r="W192" s="123" t="n">
        <f aca="false">IF(LEFT($B192,4)="_Mil","",IFERROR(MIN(IF(SUM($N192)&lt;=0,SUM($U192)/SUM($P192),SUM($T192)/SUM($N192)),1),""))</f>
        <v>0.125925925925926</v>
      </c>
      <c r="X192" s="123" t="n">
        <f aca="false">$W192</f>
        <v>0.125925925925926</v>
      </c>
      <c r="Y192" s="123" t="n">
        <f aca="false">IFERROR(1/(1/INDEX(Spectrum!$N:$N,MATCH(RIGHT($B192,13)&amp;"|"&amp;$C192&amp;"|"&amp;$D192&amp;"|"&amp;Y$14&amp;"|"&amp;"CY2021Q3",Spectrum!$Q:$Q,0))),IF(SUM($H192)=0,"",MAX(SUM($P192),SUM($U192))/SUM($H192)))</f>
        <v>0.803571428571429</v>
      </c>
      <c r="Z192" s="123" t="n">
        <f aca="false">IF(SUM($Y192)=0,"",MAX(SUM($Y192),90%))</f>
        <v>0.9</v>
      </c>
      <c r="AA192" s="115" t="n">
        <f aca="false">IF(LEFT($B192,4)="_Mil","",ROUND(MAX(SUM($U192),SUM($P192))+IF(SUM($Z192)=0,0,MAX(SUM($Z192)-SUM($Y192),0)*SUM($H192)),0))</f>
        <v>151</v>
      </c>
      <c r="AB192" s="115" t="n">
        <f aca="false">IF(SUM($AA192)=0,"",ROUND(MAX(SUM($AA192)-MAX(SUM($P192),SUM($U192)),0),0))</f>
        <v>16</v>
      </c>
      <c r="AC192" s="126" t="str">
        <f aca="false">IF($C192="&lt;01",IFERROR(ROUND(INDEX(EID!$N:$N,MATCH($B192,EID!$B:$B,0))/2,0),""),"")</f>
        <v/>
      </c>
      <c r="AD192" s="115" t="n">
        <f aca="false">IF($C192="&lt;01",IF(SUM($AC192)=0,"",ROUND(SUM($AC192)/$AG192,0)),IF(SUM($AB192)=0,"",ROUND(MAX($X192,0)*SUM($AB192),0)))</f>
        <v>2</v>
      </c>
      <c r="AE192" s="115" t="n">
        <f aca="false">IF(AND(SUM($AD192)=0,SUM($U192)=0),"",ROUND(IF($C192="&lt;01",0,SUM($U192))+SUM($AD192),0))</f>
        <v>19</v>
      </c>
      <c r="AF192" s="122" t="n">
        <f aca="false">IF($C192="&lt;01","",100%)</f>
        <v>1</v>
      </c>
      <c r="AG192" s="123" t="n">
        <f aca="false">0.98</f>
        <v>0.98</v>
      </c>
      <c r="AH192" s="123" t="n">
        <f aca="false">0.98</f>
        <v>0.98</v>
      </c>
      <c r="AI192" s="124" t="n">
        <f aca="false">IF(OR($C192="&lt;01",SUM($U192)=0),"",ROUND(SUM($U192)*(1-$AH192),0))</f>
        <v>0</v>
      </c>
      <c r="AJ192" s="124" t="n">
        <f aca="false">IF(AND(SUM($AE192)=0,SUM($U192)=0),"",IF($C192="&lt;01",SUM($AD192),SUM($AE192) - ROUND(SUM($U192)*$AH192,0)))</f>
        <v>2</v>
      </c>
      <c r="AK192" s="124" t="n">
        <v>43</v>
      </c>
      <c r="AL192" s="124" t="n">
        <v>6</v>
      </c>
      <c r="AM192" s="115" t="n">
        <f aca="false">IF(AND(SUM($AD192)=0,SUM($U192)=0),"",IF($C192="&lt;01",SUM($AD192),ROUND(ROUND(SUM($AJ192)*$AF192,0)/$AG192,0)))</f>
        <v>2</v>
      </c>
      <c r="AN192" s="122" t="n">
        <f aca="false">0.7</f>
        <v>0.7</v>
      </c>
      <c r="AO192" s="123" t="n">
        <f aca="false">1</f>
        <v>1</v>
      </c>
      <c r="AP192" s="115" t="n">
        <f aca="false">IF(AND(SUM($U192)=0,SUM($AM192)=0),"",ROUND((SUM($AM192)*$AN192+IF($C192="&lt;01",0,$U192))*$AO192,0))</f>
        <v>18</v>
      </c>
      <c r="AQ192" s="122" t="n">
        <v>2</v>
      </c>
      <c r="AR192" s="123" t="n">
        <f aca="false">0.95</f>
        <v>0.95</v>
      </c>
      <c r="AS192" s="123" t="n">
        <f aca="false">0.95</f>
        <v>0.95</v>
      </c>
      <c r="AT192" s="115" t="n">
        <f aca="false">IF(SUM($AP192)=0,"",ROUND(SUM($AP192)*$AR192,0))</f>
        <v>17</v>
      </c>
      <c r="AU192" s="115" t="n">
        <f aca="false">IF(LEFT($B192,4)="_Mil","",ROUND(SUM($AA192)*SUM($AS192),0))</f>
        <v>143</v>
      </c>
      <c r="AV192" s="124" t="n">
        <f aca="false">IF(SUM($AU192)&lt;=0,"",MAX(SUM($AU192)-SUM($R192),0))</f>
        <v>143</v>
      </c>
      <c r="AW192" s="122" t="n">
        <f aca="false">0</f>
        <v>0</v>
      </c>
      <c r="AX192" s="124" t="n">
        <f aca="false">IF(SUM($AM192)=0,"",ROUND(SUM($AM192)*SUM($AW192),0))</f>
        <v>0</v>
      </c>
      <c r="AY192" s="124" t="n">
        <f aca="false">IF(SUM($AM192)=0,"",SUM($AM192)-SUM($AX192))</f>
        <v>2</v>
      </c>
      <c r="AZ192" s="123" t="n">
        <v>19</v>
      </c>
      <c r="BA192" s="123" t="n">
        <f aca="false">0.95</f>
        <v>0.95</v>
      </c>
      <c r="BB192" s="123"/>
      <c r="BC192" s="123" t="n">
        <f aca="false">IF(OR(SUM($AM192)&lt;=0,$C192="&lt;01"),"",MAX(IF(OR(SUM($Y192)&lt;70%,LEFT($B192,4)="_Mil"),30%,IF(SUM($Y192)&gt;=80%,75%,50%)),SUM($BB192)))</f>
        <v>0.75</v>
      </c>
      <c r="BD192" s="115" t="n">
        <f aca="false">IF($C192="&lt;01",IFERROR(ROUND(INDEX(EID!$M:$M,MATCH($B192,EID!$B:$B,0)),0)/2,""),IF(SUM($AY192)=0,"",ROUND(SUM($AY192)/SUM($BA192),0)))</f>
        <v>2</v>
      </c>
      <c r="BE192" s="115" t="n">
        <f aca="false">IF($C192="&lt;01","",IF(SUM($BD192)=0,"",ROUND(SUM($BD192)*SUM($BC192),0)))</f>
        <v>2</v>
      </c>
      <c r="BF192" s="115" t="str">
        <f aca="false">_xlfn.IFNA(INDEX(PMTCT!$AE:$AE,MATCH($E192,PMTCT!$E:$E,0)),"")</f>
        <v/>
      </c>
      <c r="BG192" s="115" t="str">
        <f aca="false">_xlfn.IFNA(INDEX(PMTCT!$AU:$AU,MATCH($E192,PMTCT!$E:$E,0)),"")</f>
        <v/>
      </c>
      <c r="BH192" s="115" t="n">
        <f aca="false">_xlfn.IFNA(INDEX(TB!$Q:$Q,MATCH($E192,TB!$E:$E,0)),"")</f>
        <v>0</v>
      </c>
      <c r="BI192" s="115" t="str">
        <f aca="false">_xlfn.IFNA(INDEX(VMMC!$AC:$AC,MATCH($E192,VMMC!$E:$E,0)),"")</f>
        <v/>
      </c>
      <c r="BJ192" s="115" t="str">
        <f aca="false">IF($C192="&lt;01",$BD192,"")</f>
        <v/>
      </c>
      <c r="BK192" s="115" t="n">
        <f aca="false">IF(SUM($BD192)=0,"",($BD192)-SUM($BE192:$BJ192))</f>
        <v>0</v>
      </c>
      <c r="BL192" s="123" t="n">
        <f aca="false">IF(OR(SUM($BD192)=0,SUM($BE192)=0),"",SUM($BE192)/$BD192)</f>
        <v>1</v>
      </c>
      <c r="BM192" s="123" t="str">
        <f aca="false">IF(OR(SUM($BD192)=0,SUM($BF192)=0),"",SUM($BF192)/$BD192)</f>
        <v/>
      </c>
      <c r="BN192" s="123" t="str">
        <f aca="false">IF(OR(SUM($BD192)=0,SUM($BG192)=0),"",SUM($BG192)/$BD192)</f>
        <v/>
      </c>
      <c r="BO192" s="123" t="str">
        <f aca="false">IF(OR(SUM($BD192)=0,SUM($BH192)=0),"",SUM($BH192)/$BD192)</f>
        <v/>
      </c>
      <c r="BP192" s="123" t="str">
        <f aca="false">IF(OR(SUM($BD192)=0,SUM($BI192)=0),"",SUM($BI192)/$BD192)</f>
        <v/>
      </c>
      <c r="BQ192" s="123" t="str">
        <f aca="false">IF(AND($C192="&lt;01",SUM($BJ192)&lt;&gt;0),$BJ192/SUM($BD192),"")</f>
        <v/>
      </c>
      <c r="BR192" s="123" t="str">
        <f aca="false">IF(OR(SUM($BD192)=0,SUM($BK192)=0),"",SUM($BK192)/$BD192)</f>
        <v/>
      </c>
      <c r="BS192" s="122" t="n">
        <f aca="false">IF(SUM($X192)&lt;=0,"",$X192)</f>
        <v>0.125925925925926</v>
      </c>
      <c r="BT192" s="115" t="n">
        <f aca="false">IF(LEFT($B192,4)="_Mil","",MAX(SUM($L192)+ROUND(SUM($BD192)/IF(SUM($BS192)&lt;=0,1,SUM($BS192)),0),0))</f>
        <v>169</v>
      </c>
    </row>
    <row r="193" customFormat="false" ht="15" hidden="false" customHeight="false" outlineLevel="0" collapsed="false">
      <c r="A193" s="0" t="s">
        <v>148</v>
      </c>
      <c r="B193" s="0" t="s">
        <v>113</v>
      </c>
      <c r="C193" s="0" t="s">
        <v>66</v>
      </c>
      <c r="D193" s="0" t="s">
        <v>56</v>
      </c>
      <c r="E193" s="0" t="str">
        <f aca="false">B193&amp;"|"&amp;C193&amp;"|"&amp;D193</f>
        <v>Mokhotlong [#SNU] [tjhYqc1MlVo]|20-24|Female</v>
      </c>
      <c r="F193" s="115" t="n">
        <f aca="false">_xlfn.IFNA(ROUND(INDEX(Spectrum!$N:$N,MATCH(RIGHT($B193,13)&amp;"|"&amp;$C193&amp;"|"&amp;$D193&amp;"|"&amp;F$14&amp;"|"&amp;"CY2021Q3",Spectrum!$Q:$Q,0)),0),"")</f>
        <v>4377</v>
      </c>
      <c r="G193" s="123" t="n">
        <f aca="false">_xlfn.IFNA(INDEX(Spectrum!$P:$P,MATCH(RIGHT($B193,13)&amp;"|"&amp;$C193&amp;"|"&amp;$D193&amp;"|"&amp;F$14&amp;"|"&amp;"CY2021Q3",Spectrum!$Q:$Q,0)),"")</f>
        <v>26</v>
      </c>
      <c r="H193" s="115" t="n">
        <f aca="false">_xlfn.IFNA(ROUND(INDEX(Spectrum!$N:$N,MATCH(RIGHT($B193,13)&amp;"|"&amp;$C193&amp;"|"&amp;$D193&amp;"|"&amp;H$14&amp;"|"&amp;"CY2021Q3",Spectrum!$Q:$Q,0)),0),"")</f>
        <v>636</v>
      </c>
      <c r="I193" s="123" t="n">
        <f aca="false">_xlfn.IFNA(INDEX(Spectrum!$P:$P,MATCH(RIGHT($B193,13)&amp;"|"&amp;$C193&amp;"|"&amp;$D193&amp;"|"&amp;H$14&amp;"|"&amp;"CY2021Q3",Spectrum!$Q:$Q,0)),"")</f>
        <v>50</v>
      </c>
      <c r="J193" s="117" t="n">
        <f aca="false">_xlfn.IFNA(INDEX(Spectrum!$N:$N,MATCH(RIGHT($B193,13)&amp;"|"&amp;$C193&amp;"|"&amp;$D193&amp;"|"&amp;J$14&amp;"|"&amp;"CY2021Q3",Spectrum!$Q:$Q,0)),"")</f>
        <v>0.1453799</v>
      </c>
      <c r="K193" s="123" t="n">
        <f aca="false">_xlfn.IFNA(INDEX(Spectrum!$P:$P,MATCH(RIGHT($B193,13)&amp;"|"&amp;$C193&amp;"|"&amp;$D193&amp;"|"&amp;J$14&amp;"|"&amp;"CY2021Q3",Spectrum!$Q:$Q,0)),"")</f>
        <v>9</v>
      </c>
      <c r="L193" s="115" t="n">
        <f aca="false">_xlfn.IFNA(ROUND(INDEX(Spectrum!$N:$N,MATCH(RIGHT($B193,13)&amp;"|"&amp;$C193&amp;"|"&amp;$D193&amp;"|"&amp;L$14&amp;"|"&amp;"CY2021Q3",Spectrum!$Q:$Q,0)),0),"")</f>
        <v>460</v>
      </c>
      <c r="M193" s="123" t="n">
        <f aca="false">IF(OR(SUM($H193)&lt;=0,SUM($L193)&lt;=0),"",SUM($L193)/$H193)</f>
        <v>0.723270440251572</v>
      </c>
      <c r="N193" s="115" t="str">
        <f aca="false">_xlfn.IFNA(ROUND(INDEX(Spectrum!$N:$N,MATCH(RIGHT($B193,13)&amp;"|"&amp;$C193&amp;"|"&amp;$D193&amp;"|"&amp;N$14&amp;"|"&amp;"CY2020Q4",Spectrum!$Q:$Q,0)),0),"")</f>
        <v/>
      </c>
      <c r="O193" s="123" t="str">
        <f aca="false">_xlfn.IFNA(INDEX(Spectrum!$P:$P,MATCH(RIGHT($B193,13)&amp;"|"&amp;$C193&amp;"|"&amp;$D193&amp;"|"&amp;N$14&amp;"|"&amp;"CY2020Q4",Spectrum!$Q:$Q,0)),"")</f>
        <v/>
      </c>
      <c r="P193" s="115" t="n">
        <f aca="false">_xlfn.IFNA(ROUND(INDEX(Spectrum!$N:$N,MATCH(RIGHT($B193,13)&amp;"|"&amp;$C193&amp;"|"&amp;$D193&amp;"|"&amp;P$14&amp;"|"&amp;"CY2021Q3",Spectrum!$Q:$Q,0)),0),"")</f>
        <v>375</v>
      </c>
      <c r="Q193" s="123" t="n">
        <f aca="false">_xlfn.IFNA(INDEX(Spectrum!$P:$P,MATCH(RIGHT($B193,13)&amp;"|"&amp;$C193&amp;"|"&amp;$D193&amp;"|"&amp;P$14&amp;"|"&amp;"CY2021Q3",Spectrum!$Q:$Q,0)),"")</f>
        <v>41</v>
      </c>
      <c r="R193" s="115"/>
      <c r="S193" s="123" t="str">
        <f aca="false">IF(OR(SUM($P193)&lt;=0,SUM($R193)&lt;=0),"",SUM($R193)/$P193)</f>
        <v/>
      </c>
      <c r="T193" s="139" t="n">
        <v>45</v>
      </c>
      <c r="U193" s="124" t="n">
        <v>4</v>
      </c>
      <c r="V193" s="124" t="n">
        <f aca="false">IF($U193-$T193=0,"",$U193-$T193)</f>
        <v>-41</v>
      </c>
      <c r="W193" s="123" t="n">
        <f aca="false">IF(LEFT($B193,4)="_Mil","",IFERROR(MIN(IF(SUM($N193)&lt;=0,SUM($U193)/SUM($P193),SUM($T193)/SUM($N193)),1),""))</f>
        <v>0.0106666666666667</v>
      </c>
      <c r="X193" s="123" t="n">
        <f aca="false">$W193</f>
        <v>0.0106666666666667</v>
      </c>
      <c r="Y193" s="123" t="n">
        <f aca="false">IFERROR(1/(1/INDEX(Spectrum!$N:$N,MATCH(RIGHT($B193,13)&amp;"|"&amp;$C193&amp;"|"&amp;$D193&amp;"|"&amp;Y$14&amp;"|"&amp;"CY2021Q3",Spectrum!$Q:$Q,0))),IF(SUM($H193)=0,"",MAX(SUM($P193),SUM($U193))/SUM($H193)))</f>
        <v>0.589622641509434</v>
      </c>
      <c r="Z193" s="123" t="n">
        <f aca="false">IF(SUM($Y193)=0,"",MAX(SUM($Y193),90%))</f>
        <v>0.9</v>
      </c>
      <c r="AA193" s="115" t="n">
        <f aca="false">IF(LEFT($B193,4)="_Mil","",ROUND(MAX(SUM($U193),SUM($P193))+IF(SUM($Z193)=0,0,MAX(SUM($Z193)-SUM($Y193),0)*SUM($H193)),0))</f>
        <v>572</v>
      </c>
      <c r="AB193" s="115" t="n">
        <f aca="false">IF(SUM($AA193)=0,"",ROUND(MAX(SUM($AA193)-MAX(SUM($P193),SUM($U193)),0),0))</f>
        <v>197</v>
      </c>
      <c r="AC193" s="126" t="str">
        <f aca="false">IF($C193="&lt;01",IFERROR(ROUND(INDEX(EID!$N:$N,MATCH($B193,EID!$B:$B,0))/2,0),""),"")</f>
        <v/>
      </c>
      <c r="AD193" s="115" t="n">
        <f aca="false">IF($C193="&lt;01",IF(SUM($AC193)=0,"",ROUND(SUM($AC193)/$AG193,0)),IF(SUM($AB193)=0,"",ROUND(MAX($X193,0)*SUM($AB193),0)))</f>
        <v>2</v>
      </c>
      <c r="AE193" s="115" t="n">
        <f aca="false">IF(AND(SUM($AD193)=0,SUM($U193)=0),"",ROUND(IF($C193="&lt;01",0,SUM($U193))+SUM($AD193),0))</f>
        <v>6</v>
      </c>
      <c r="AF193" s="122" t="n">
        <f aca="false">IF($C193="&lt;01","",100%)</f>
        <v>1</v>
      </c>
      <c r="AG193" s="123" t="n">
        <f aca="false">0.98</f>
        <v>0.98</v>
      </c>
      <c r="AH193" s="123" t="n">
        <f aca="false">0.98</f>
        <v>0.98</v>
      </c>
      <c r="AI193" s="124" t="n">
        <f aca="false">IF(OR($C193="&lt;01",SUM($U193)=0),"",ROUND(SUM($U193)*(1-$AH193),0))</f>
        <v>0</v>
      </c>
      <c r="AJ193" s="124" t="n">
        <f aca="false">IF(AND(SUM($AE193)=0,SUM($U193)=0),"",IF($C193="&lt;01",SUM($AD193),SUM($AE193) - ROUND(SUM($U193)*$AH193,0)))</f>
        <v>2</v>
      </c>
      <c r="AK193" s="124" t="n">
        <v>44</v>
      </c>
      <c r="AL193" s="124" t="n">
        <v>23</v>
      </c>
      <c r="AM193" s="115" t="n">
        <f aca="false">IF(AND(SUM($AD193)=0,SUM($U193)=0),"",IF($C193="&lt;01",SUM($AD193),ROUND(ROUND(SUM($AJ193)*$AF193,0)/$AG193,0)))</f>
        <v>2</v>
      </c>
      <c r="AN193" s="122" t="n">
        <f aca="false">0.7</f>
        <v>0.7</v>
      </c>
      <c r="AO193" s="123" t="n">
        <f aca="false">1</f>
        <v>1</v>
      </c>
      <c r="AP193" s="115" t="n">
        <f aca="false">IF(AND(SUM($U193)=0,SUM($AM193)=0),"",ROUND((SUM($AM193)*$AN193+IF($C193="&lt;01",0,$U193))*$AO193,0))</f>
        <v>5</v>
      </c>
      <c r="AQ193" s="122" t="n">
        <v>28</v>
      </c>
      <c r="AR193" s="123" t="n">
        <f aca="false">0.95</f>
        <v>0.95</v>
      </c>
      <c r="AS193" s="123" t="n">
        <f aca="false">0.95</f>
        <v>0.95</v>
      </c>
      <c r="AT193" s="115" t="n">
        <f aca="false">IF(SUM($AP193)=0,"",ROUND(SUM($AP193)*$AR193,0))</f>
        <v>5</v>
      </c>
      <c r="AU193" s="115" t="n">
        <f aca="false">IF(LEFT($B193,4)="_Mil","",ROUND(SUM($AA193)*SUM($AS193),0))</f>
        <v>543</v>
      </c>
      <c r="AV193" s="124" t="n">
        <f aca="false">IF(SUM($AU193)&lt;=0,"",MAX(SUM($AU193)-SUM($R193),0))</f>
        <v>543</v>
      </c>
      <c r="AW193" s="122" t="n">
        <f aca="false">0</f>
        <v>0</v>
      </c>
      <c r="AX193" s="124" t="n">
        <f aca="false">IF(SUM($AM193)=0,"",ROUND(SUM($AM193)*SUM($AW193),0))</f>
        <v>0</v>
      </c>
      <c r="AY193" s="124" t="n">
        <f aca="false">IF(SUM($AM193)=0,"",SUM($AM193)-SUM($AX193))</f>
        <v>2</v>
      </c>
      <c r="AZ193" s="123" t="n">
        <v>32</v>
      </c>
      <c r="BA193" s="123" t="n">
        <f aca="false">0.95</f>
        <v>0.95</v>
      </c>
      <c r="BB193" s="123"/>
      <c r="BC193" s="123" t="n">
        <f aca="false">IF(OR(SUM($AM193)&lt;=0,$C193="&lt;01"),"",MAX(IF(OR(SUM($Y193)&lt;70%,LEFT($B193,4)="_Mil"),30%,IF(SUM($Y193)&gt;=80%,75%,50%)),SUM($BB193)))</f>
        <v>0.3</v>
      </c>
      <c r="BD193" s="115" t="n">
        <f aca="false">IF($C193="&lt;01",IFERROR(ROUND(INDEX(EID!$M:$M,MATCH($B193,EID!$B:$B,0)),0)/2,""),IF(SUM($AY193)=0,"",ROUND(SUM($AY193)/SUM($BA193),0)))</f>
        <v>2</v>
      </c>
      <c r="BE193" s="115" t="n">
        <f aca="false">IF($C193="&lt;01","",IF(SUM($BD193)=0,"",ROUND(SUM($BD193)*SUM($BC193),0)))</f>
        <v>1</v>
      </c>
      <c r="BF193" s="115" t="n">
        <f aca="false">_xlfn.IFNA(INDEX(PMTCT!$AE:$AE,MATCH($E193,PMTCT!$E:$E,0)),"")</f>
        <v>-15120</v>
      </c>
      <c r="BG193" s="115" t="str">
        <f aca="false">_xlfn.IFNA(INDEX(PMTCT!$AU:$AU,MATCH($E193,PMTCT!$E:$E,0)),"")</f>
        <v/>
      </c>
      <c r="BH193" s="115" t="n">
        <f aca="false">_xlfn.IFNA(INDEX(TB!$Q:$Q,MATCH($E193,TB!$E:$E,0)),"")</f>
        <v>-44640</v>
      </c>
      <c r="BI193" s="115" t="str">
        <f aca="false">_xlfn.IFNA(INDEX(VMMC!$AC:$AC,MATCH($E193,VMMC!$E:$E,0)),"")</f>
        <v/>
      </c>
      <c r="BJ193" s="115" t="str">
        <f aca="false">IF($C193="&lt;01",$BD193,"")</f>
        <v/>
      </c>
      <c r="BK193" s="115" t="n">
        <f aca="false">IF(SUM($BD193)=0,"",($BD193)-SUM($BE193:$BJ193))</f>
        <v>59761</v>
      </c>
      <c r="BL193" s="123" t="n">
        <f aca="false">IF(OR(SUM($BD193)=0,SUM($BE193)=0),"",SUM($BE193)/$BD193)</f>
        <v>0.5</v>
      </c>
      <c r="BM193" s="123" t="n">
        <f aca="false">IF(OR(SUM($BD193)=0,SUM($BF193)=0),"",SUM($BF193)/$BD193)</f>
        <v>-7560</v>
      </c>
      <c r="BN193" s="123" t="str">
        <f aca="false">IF(OR(SUM($BD193)=0,SUM($BG193)=0),"",SUM($BG193)/$BD193)</f>
        <v/>
      </c>
      <c r="BO193" s="123" t="n">
        <f aca="false">IF(OR(SUM($BD193)=0,SUM($BH193)=0),"",SUM($BH193)/$BD193)</f>
        <v>-22320</v>
      </c>
      <c r="BP193" s="123" t="str">
        <f aca="false">IF(OR(SUM($BD193)=0,SUM($BI193)=0),"",SUM($BI193)/$BD193)</f>
        <v/>
      </c>
      <c r="BQ193" s="123" t="str">
        <f aca="false">IF(AND($C193="&lt;01",SUM($BJ193)&lt;&gt;0),$BJ193/SUM($BD193),"")</f>
        <v/>
      </c>
      <c r="BR193" s="123" t="n">
        <f aca="false">IF(OR(SUM($BD193)=0,SUM($BK193)=0),"",SUM($BK193)/$BD193)</f>
        <v>29880.5</v>
      </c>
      <c r="BS193" s="122" t="n">
        <f aca="false">IF(SUM($X193)&lt;=0,"",$X193)</f>
        <v>0.0106666666666667</v>
      </c>
      <c r="BT193" s="115" t="n">
        <f aca="false">IF(LEFT($B193,4)="_Mil","",MAX(SUM($L193)+ROUND(SUM($BD193)/IF(SUM($BS193)&lt;=0,1,SUM($BS193)),0),0))</f>
        <v>648</v>
      </c>
    </row>
    <row r="194" customFormat="false" ht="15" hidden="false" customHeight="false" outlineLevel="0" collapsed="false">
      <c r="A194" s="0" t="s">
        <v>148</v>
      </c>
      <c r="B194" s="0" t="s">
        <v>113</v>
      </c>
      <c r="C194" s="0" t="s">
        <v>66</v>
      </c>
      <c r="D194" s="0" t="s">
        <v>58</v>
      </c>
      <c r="E194" s="0" t="str">
        <f aca="false">B194&amp;"|"&amp;C194&amp;"|"&amp;D194</f>
        <v>Mokhotlong [#SNU] [tjhYqc1MlVo]|20-24|Male</v>
      </c>
      <c r="F194" s="115" t="n">
        <f aca="false">_xlfn.IFNA(ROUND(INDEX(Spectrum!$N:$N,MATCH(RIGHT($B194,13)&amp;"|"&amp;$C194&amp;"|"&amp;$D194&amp;"|"&amp;F$14&amp;"|"&amp;"CY2021Q3",Spectrum!$Q:$Q,0)),0),"")</f>
        <v>4562</v>
      </c>
      <c r="G194" s="123" t="n">
        <f aca="false">_xlfn.IFNA(INDEX(Spectrum!$P:$P,MATCH(RIGHT($B194,13)&amp;"|"&amp;$C194&amp;"|"&amp;$D194&amp;"|"&amp;F$14&amp;"|"&amp;"CY2021Q3",Spectrum!$Q:$Q,0)),"")</f>
        <v>44</v>
      </c>
      <c r="H194" s="115" t="n">
        <f aca="false">_xlfn.IFNA(ROUND(INDEX(Spectrum!$N:$N,MATCH(RIGHT($B194,13)&amp;"|"&amp;$C194&amp;"|"&amp;$D194&amp;"|"&amp;H$14&amp;"|"&amp;"CY2021Q3",Spectrum!$Q:$Q,0)),0),"")</f>
        <v>243</v>
      </c>
      <c r="I194" s="123" t="n">
        <f aca="false">_xlfn.IFNA(INDEX(Spectrum!$P:$P,MATCH(RIGHT($B194,13)&amp;"|"&amp;$C194&amp;"|"&amp;$D194&amp;"|"&amp;H$14&amp;"|"&amp;"CY2021Q3",Spectrum!$Q:$Q,0)),"")</f>
        <v>8</v>
      </c>
      <c r="J194" s="117" t="n">
        <f aca="false">_xlfn.IFNA(INDEX(Spectrum!$N:$N,MATCH(RIGHT($B194,13)&amp;"|"&amp;$C194&amp;"|"&amp;$D194&amp;"|"&amp;J$14&amp;"|"&amp;"CY2021Q3",Spectrum!$Q:$Q,0)),"")</f>
        <v>0.0532271</v>
      </c>
      <c r="K194" s="123" t="n">
        <f aca="false">_xlfn.IFNA(INDEX(Spectrum!$P:$P,MATCH(RIGHT($B194,13)&amp;"|"&amp;$C194&amp;"|"&amp;$D194&amp;"|"&amp;J$14&amp;"|"&amp;"CY2021Q3",Spectrum!$Q:$Q,0)),"")</f>
        <v>22</v>
      </c>
      <c r="L194" s="115" t="n">
        <f aca="false">_xlfn.IFNA(ROUND(INDEX(Spectrum!$N:$N,MATCH(RIGHT($B194,13)&amp;"|"&amp;$C194&amp;"|"&amp;$D194&amp;"|"&amp;L$14&amp;"|"&amp;"CY2021Q3",Spectrum!$Q:$Q,0)),0),"")</f>
        <v>178</v>
      </c>
      <c r="M194" s="123" t="n">
        <f aca="false">IF(OR(SUM($H194)&lt;=0,SUM($L194)&lt;=0),"",SUM($L194)/$H194)</f>
        <v>0.732510288065844</v>
      </c>
      <c r="N194" s="115" t="str">
        <f aca="false">_xlfn.IFNA(ROUND(INDEX(Spectrum!$N:$N,MATCH(RIGHT($B194,13)&amp;"|"&amp;$C194&amp;"|"&amp;$D194&amp;"|"&amp;N$14&amp;"|"&amp;"CY2020Q4",Spectrum!$Q:$Q,0)),0),"")</f>
        <v/>
      </c>
      <c r="O194" s="123" t="str">
        <f aca="false">_xlfn.IFNA(INDEX(Spectrum!$P:$P,MATCH(RIGHT($B194,13)&amp;"|"&amp;$C194&amp;"|"&amp;$D194&amp;"|"&amp;N$14&amp;"|"&amp;"CY2020Q4",Spectrum!$Q:$Q,0)),"")</f>
        <v/>
      </c>
      <c r="P194" s="115" t="n">
        <f aca="false">_xlfn.IFNA(ROUND(INDEX(Spectrum!$N:$N,MATCH(RIGHT($B194,13)&amp;"|"&amp;$C194&amp;"|"&amp;$D194&amp;"|"&amp;P$14&amp;"|"&amp;"CY2021Q3",Spectrum!$Q:$Q,0)),0),"")</f>
        <v>129</v>
      </c>
      <c r="Q194" s="123" t="n">
        <f aca="false">_xlfn.IFNA(INDEX(Spectrum!$P:$P,MATCH(RIGHT($B194,13)&amp;"|"&amp;$C194&amp;"|"&amp;$D194&amp;"|"&amp;P$14&amp;"|"&amp;"CY2021Q3",Spectrum!$Q:$Q,0)),"")</f>
        <v>39</v>
      </c>
      <c r="R194" s="115"/>
      <c r="S194" s="123" t="str">
        <f aca="false">IF(OR(SUM($P194)&lt;=0,SUM($R194)&lt;=0),"",SUM($R194)/$P194)</f>
        <v/>
      </c>
      <c r="T194" s="139" t="n">
        <v>23</v>
      </c>
      <c r="U194" s="124" t="n">
        <v>32</v>
      </c>
      <c r="V194" s="124" t="n">
        <f aca="false">IF($U194-$T194=0,"",$U194-$T194)</f>
        <v>9</v>
      </c>
      <c r="W194" s="123" t="n">
        <f aca="false">IF(LEFT($B194,4)="_Mil","",IFERROR(MIN(IF(SUM($N194)&lt;=0,SUM($U194)/SUM($P194),SUM($T194)/SUM($N194)),1),""))</f>
        <v>0.248062015503876</v>
      </c>
      <c r="X194" s="123" t="n">
        <f aca="false">$W194</f>
        <v>0.248062015503876</v>
      </c>
      <c r="Y194" s="123" t="n">
        <f aca="false">IFERROR(1/(1/INDEX(Spectrum!$N:$N,MATCH(RIGHT($B194,13)&amp;"|"&amp;$C194&amp;"|"&amp;$D194&amp;"|"&amp;Y$14&amp;"|"&amp;"CY2021Q3",Spectrum!$Q:$Q,0))),IF(SUM($H194)=0,"",MAX(SUM($P194),SUM($U194))/SUM($H194)))</f>
        <v>0.530864197530864</v>
      </c>
      <c r="Z194" s="123" t="n">
        <f aca="false">IF(SUM($Y194)=0,"",MAX(SUM($Y194),90%))</f>
        <v>0.9</v>
      </c>
      <c r="AA194" s="115" t="n">
        <f aca="false">IF(LEFT($B194,4)="_Mil","",ROUND(MAX(SUM($U194),SUM($P194))+IF(SUM($Z194)=0,0,MAX(SUM($Z194)-SUM($Y194),0)*SUM($H194)),0))</f>
        <v>219</v>
      </c>
      <c r="AB194" s="115" t="n">
        <f aca="false">IF(SUM($AA194)=0,"",ROUND(MAX(SUM($AA194)-MAX(SUM($P194),SUM($U194)),0),0))</f>
        <v>90</v>
      </c>
      <c r="AC194" s="126" t="str">
        <f aca="false">IF($C194="&lt;01",IFERROR(ROUND(INDEX(EID!$N:$N,MATCH($B194,EID!$B:$B,0))/2,0),""),"")</f>
        <v/>
      </c>
      <c r="AD194" s="115" t="n">
        <f aca="false">IF($C194="&lt;01",IF(SUM($AC194)=0,"",ROUND(SUM($AC194)/$AG194,0)),IF(SUM($AB194)=0,"",ROUND(MAX($X194,0)*SUM($AB194),0)))</f>
        <v>22</v>
      </c>
      <c r="AE194" s="115" t="n">
        <f aca="false">IF(AND(SUM($AD194)=0,SUM($U194)=0),"",ROUND(IF($C194="&lt;01",0,SUM($U194))+SUM($AD194),0))</f>
        <v>54</v>
      </c>
      <c r="AF194" s="122" t="n">
        <f aca="false">IF($C194="&lt;01","",100%)</f>
        <v>1</v>
      </c>
      <c r="AG194" s="123" t="n">
        <f aca="false">0.98</f>
        <v>0.98</v>
      </c>
      <c r="AH194" s="123" t="n">
        <f aca="false">0.98</f>
        <v>0.98</v>
      </c>
      <c r="AI194" s="124" t="n">
        <f aca="false">IF(OR($C194="&lt;01",SUM($U194)=0),"",ROUND(SUM($U194)*(1-$AH194),0))</f>
        <v>1</v>
      </c>
      <c r="AJ194" s="124" t="n">
        <f aca="false">IF(AND(SUM($AE194)=0,SUM($U194)=0),"",IF($C194="&lt;01",SUM($AD194),SUM($AE194) - ROUND(SUM($U194)*$AH194,0)))</f>
        <v>23</v>
      </c>
      <c r="AK194" s="124" t="n">
        <v>19</v>
      </c>
      <c r="AL194" s="124" t="n">
        <v>3</v>
      </c>
      <c r="AM194" s="115" t="n">
        <f aca="false">IF(AND(SUM($AD194)=0,SUM($U194)=0),"",IF($C194="&lt;01",SUM($AD194),ROUND(ROUND(SUM($AJ194)*$AF194,0)/$AG194,0)))</f>
        <v>23</v>
      </c>
      <c r="AN194" s="122" t="n">
        <f aca="false">0.7</f>
        <v>0.7</v>
      </c>
      <c r="AO194" s="123" t="n">
        <f aca="false">1</f>
        <v>1</v>
      </c>
      <c r="AP194" s="115" t="n">
        <f aca="false">IF(AND(SUM($U194)=0,SUM($AM194)=0),"",ROUND((SUM($AM194)*$AN194+IF($C194="&lt;01",0,$U194))*$AO194,0))</f>
        <v>48</v>
      </c>
      <c r="AQ194" s="122" t="n">
        <v>30</v>
      </c>
      <c r="AR194" s="123" t="n">
        <f aca="false">0.95</f>
        <v>0.95</v>
      </c>
      <c r="AS194" s="123" t="n">
        <f aca="false">0.95</f>
        <v>0.95</v>
      </c>
      <c r="AT194" s="115" t="n">
        <f aca="false">IF(SUM($AP194)=0,"",ROUND(SUM($AP194)*$AR194,0))</f>
        <v>46</v>
      </c>
      <c r="AU194" s="115" t="n">
        <f aca="false">IF(LEFT($B194,4)="_Mil","",ROUND(SUM($AA194)*SUM($AS194),0))</f>
        <v>208</v>
      </c>
      <c r="AV194" s="124" t="n">
        <f aca="false">IF(SUM($AU194)&lt;=0,"",MAX(SUM($AU194)-SUM($R194),0))</f>
        <v>208</v>
      </c>
      <c r="AW194" s="122" t="n">
        <f aca="false">0</f>
        <v>0</v>
      </c>
      <c r="AX194" s="124" t="n">
        <f aca="false">IF(SUM($AM194)=0,"",ROUND(SUM($AM194)*SUM($AW194),0))</f>
        <v>0</v>
      </c>
      <c r="AY194" s="124" t="n">
        <f aca="false">IF(SUM($AM194)=0,"",SUM($AM194)-SUM($AX194))</f>
        <v>23</v>
      </c>
      <c r="AZ194" s="123" t="n">
        <v>25</v>
      </c>
      <c r="BA194" s="123" t="n">
        <f aca="false">0.95</f>
        <v>0.95</v>
      </c>
      <c r="BB194" s="123"/>
      <c r="BC194" s="123" t="n">
        <f aca="false">IF(OR(SUM($AM194)&lt;=0,$C194="&lt;01"),"",MAX(IF(OR(SUM($Y194)&lt;70%,LEFT($B194,4)="_Mil"),30%,IF(SUM($Y194)&gt;=80%,75%,50%)),SUM($BB194)))</f>
        <v>0.3</v>
      </c>
      <c r="BD194" s="115" t="n">
        <f aca="false">IF($C194="&lt;01",IFERROR(ROUND(INDEX(EID!$M:$M,MATCH($B194,EID!$B:$B,0)),0)/2,""),IF(SUM($AY194)=0,"",ROUND(SUM($AY194)/SUM($BA194),0)))</f>
        <v>24</v>
      </c>
      <c r="BE194" s="115" t="n">
        <f aca="false">IF($C194="&lt;01","",IF(SUM($BD194)=0,"",ROUND(SUM($BD194)*SUM($BC194),0)))</f>
        <v>7</v>
      </c>
      <c r="BF194" s="115" t="str">
        <f aca="false">_xlfn.IFNA(INDEX(PMTCT!$AE:$AE,MATCH($E194,PMTCT!$E:$E,0)),"")</f>
        <v/>
      </c>
      <c r="BG194" s="115" t="str">
        <f aca="false">_xlfn.IFNA(INDEX(PMTCT!$AU:$AU,MATCH($E194,PMTCT!$E:$E,0)),"")</f>
        <v/>
      </c>
      <c r="BH194" s="115" t="n">
        <f aca="false">_xlfn.IFNA(INDEX(TB!$Q:$Q,MATCH($E194,TB!$E:$E,0)),"")</f>
        <v>0</v>
      </c>
      <c r="BI194" s="115" t="str">
        <f aca="false">_xlfn.IFNA(INDEX(VMMC!$AC:$AC,MATCH($E194,VMMC!$E:$E,0)),"")</f>
        <v/>
      </c>
      <c r="BJ194" s="115" t="str">
        <f aca="false">IF($C194="&lt;01",$BD194,"")</f>
        <v/>
      </c>
      <c r="BK194" s="115" t="n">
        <f aca="false">IF(SUM($BD194)=0,"",($BD194)-SUM($BE194:$BJ194))</f>
        <v>17</v>
      </c>
      <c r="BL194" s="123" t="n">
        <f aca="false">IF(OR(SUM($BD194)=0,SUM($BE194)=0),"",SUM($BE194)/$BD194)</f>
        <v>0.291666666666667</v>
      </c>
      <c r="BM194" s="123" t="str">
        <f aca="false">IF(OR(SUM($BD194)=0,SUM($BF194)=0),"",SUM($BF194)/$BD194)</f>
        <v/>
      </c>
      <c r="BN194" s="123" t="str">
        <f aca="false">IF(OR(SUM($BD194)=0,SUM($BG194)=0),"",SUM($BG194)/$BD194)</f>
        <v/>
      </c>
      <c r="BO194" s="123" t="str">
        <f aca="false">IF(OR(SUM($BD194)=0,SUM($BH194)=0),"",SUM($BH194)/$BD194)</f>
        <v/>
      </c>
      <c r="BP194" s="123" t="str">
        <f aca="false">IF(OR(SUM($BD194)=0,SUM($BI194)=0),"",SUM($BI194)/$BD194)</f>
        <v/>
      </c>
      <c r="BQ194" s="123" t="str">
        <f aca="false">IF(AND($C194="&lt;01",SUM($BJ194)&lt;&gt;0),$BJ194/SUM($BD194),"")</f>
        <v/>
      </c>
      <c r="BR194" s="123" t="n">
        <f aca="false">IF(OR(SUM($BD194)=0,SUM($BK194)=0),"",SUM($BK194)/$BD194)</f>
        <v>0.708333333333333</v>
      </c>
      <c r="BS194" s="122" t="n">
        <f aca="false">IF(SUM($X194)&lt;=0,"",$X194)</f>
        <v>0.248062015503876</v>
      </c>
      <c r="BT194" s="115" t="n">
        <f aca="false">IF(LEFT($B194,4)="_Mil","",MAX(SUM($L194)+ROUND(SUM($BD194)/IF(SUM($BS194)&lt;=0,1,SUM($BS194)),0),0))</f>
        <v>275</v>
      </c>
    </row>
    <row r="195" customFormat="false" ht="15" hidden="false" customHeight="false" outlineLevel="0" collapsed="false">
      <c r="A195" s="0" t="s">
        <v>148</v>
      </c>
      <c r="B195" s="0" t="s">
        <v>113</v>
      </c>
      <c r="C195" s="0" t="s">
        <v>69</v>
      </c>
      <c r="D195" s="0" t="s">
        <v>56</v>
      </c>
      <c r="E195" s="0" t="str">
        <f aca="false">B195&amp;"|"&amp;C195&amp;"|"&amp;D195</f>
        <v>Mokhotlong [#SNU] [tjhYqc1MlVo]|25-29|Female</v>
      </c>
      <c r="F195" s="115" t="n">
        <f aca="false">_xlfn.IFNA(ROUND(INDEX(Spectrum!$N:$N,MATCH(RIGHT($B195,13)&amp;"|"&amp;$C195&amp;"|"&amp;$D195&amp;"|"&amp;F$14&amp;"|"&amp;"CY2021Q3",Spectrum!$Q:$Q,0)),0),"")</f>
        <v>3880</v>
      </c>
      <c r="G195" s="123" t="n">
        <f aca="false">_xlfn.IFNA(INDEX(Spectrum!$P:$P,MATCH(RIGHT($B195,13)&amp;"|"&amp;$C195&amp;"|"&amp;$D195&amp;"|"&amp;F$14&amp;"|"&amp;"CY2021Q3",Spectrum!$Q:$Q,0)),"")</f>
        <v>1</v>
      </c>
      <c r="H195" s="115" t="n">
        <f aca="false">_xlfn.IFNA(ROUND(INDEX(Spectrum!$N:$N,MATCH(RIGHT($B195,13)&amp;"|"&amp;$C195&amp;"|"&amp;$D195&amp;"|"&amp;H$14&amp;"|"&amp;"CY2021Q3",Spectrum!$Q:$Q,0)),0),"")</f>
        <v>1036</v>
      </c>
      <c r="I195" s="123" t="n">
        <f aca="false">_xlfn.IFNA(INDEX(Spectrum!$P:$P,MATCH(RIGHT($B195,13)&amp;"|"&amp;$C195&amp;"|"&amp;$D195&amp;"|"&amp;H$14&amp;"|"&amp;"CY2021Q3",Spectrum!$Q:$Q,0)),"")</f>
        <v>48</v>
      </c>
      <c r="J195" s="117" t="n">
        <f aca="false">_xlfn.IFNA(INDEX(Spectrum!$N:$N,MATCH(RIGHT($B195,13)&amp;"|"&amp;$C195&amp;"|"&amp;$D195&amp;"|"&amp;J$14&amp;"|"&amp;"CY2021Q3",Spectrum!$Q:$Q,0)),"")</f>
        <v>0.2670246</v>
      </c>
      <c r="K195" s="123" t="n">
        <f aca="false">_xlfn.IFNA(INDEX(Spectrum!$P:$P,MATCH(RIGHT($B195,13)&amp;"|"&amp;$C195&amp;"|"&amp;$D195&amp;"|"&amp;J$14&amp;"|"&amp;"CY2021Q3",Spectrum!$Q:$Q,0)),"")</f>
        <v>32</v>
      </c>
      <c r="L195" s="115" t="n">
        <f aca="false">_xlfn.IFNA(ROUND(INDEX(Spectrum!$N:$N,MATCH(RIGHT($B195,13)&amp;"|"&amp;$C195&amp;"|"&amp;$D195&amp;"|"&amp;L$14&amp;"|"&amp;"CY2021Q3",Spectrum!$Q:$Q,0)),0),"")</f>
        <v>732</v>
      </c>
      <c r="M195" s="123" t="n">
        <f aca="false">IF(OR(SUM($H195)&lt;=0,SUM($L195)&lt;=0),"",SUM($L195)/$H195)</f>
        <v>0.706563706563707</v>
      </c>
      <c r="N195" s="115" t="str">
        <f aca="false">_xlfn.IFNA(ROUND(INDEX(Spectrum!$N:$N,MATCH(RIGHT($B195,13)&amp;"|"&amp;$C195&amp;"|"&amp;$D195&amp;"|"&amp;N$14&amp;"|"&amp;"CY2020Q4",Spectrum!$Q:$Q,0)),0),"")</f>
        <v/>
      </c>
      <c r="O195" s="123" t="str">
        <f aca="false">_xlfn.IFNA(INDEX(Spectrum!$P:$P,MATCH(RIGHT($B195,13)&amp;"|"&amp;$C195&amp;"|"&amp;$D195&amp;"|"&amp;N$14&amp;"|"&amp;"CY2020Q4",Spectrum!$Q:$Q,0)),"")</f>
        <v/>
      </c>
      <c r="P195" s="115" t="n">
        <f aca="false">_xlfn.IFNA(ROUND(INDEX(Spectrum!$N:$N,MATCH(RIGHT($B195,13)&amp;"|"&amp;$C195&amp;"|"&amp;$D195&amp;"|"&amp;P$14&amp;"|"&amp;"CY2021Q3",Spectrum!$Q:$Q,0)),0),"")</f>
        <v>625</v>
      </c>
      <c r="Q195" s="123" t="n">
        <f aca="false">_xlfn.IFNA(INDEX(Spectrum!$P:$P,MATCH(RIGHT($B195,13)&amp;"|"&amp;$C195&amp;"|"&amp;$D195&amp;"|"&amp;P$14&amp;"|"&amp;"CY2021Q3",Spectrum!$Q:$Q,0)),"")</f>
        <v>46</v>
      </c>
      <c r="R195" s="115"/>
      <c r="S195" s="123" t="str">
        <f aca="false">IF(OR(SUM($P195)&lt;=0,SUM($R195)&lt;=0),"",SUM($R195)/$P195)</f>
        <v/>
      </c>
      <c r="T195" s="139" t="n">
        <v>22</v>
      </c>
      <c r="U195" s="124" t="n">
        <v>36</v>
      </c>
      <c r="V195" s="124" t="n">
        <f aca="false">IF($U195-$T195=0,"",$U195-$T195)</f>
        <v>14</v>
      </c>
      <c r="W195" s="123" t="n">
        <f aca="false">IF(LEFT($B195,4)="_Mil","",IFERROR(MIN(IF(SUM($N195)&lt;=0,SUM($U195)/SUM($P195),SUM($T195)/SUM($N195)),1),""))</f>
        <v>0.0576</v>
      </c>
      <c r="X195" s="123" t="n">
        <f aca="false">$W195</f>
        <v>0.0576</v>
      </c>
      <c r="Y195" s="123" t="n">
        <f aca="false">IFERROR(1/(1/INDEX(Spectrum!$N:$N,MATCH(RIGHT($B195,13)&amp;"|"&amp;$C195&amp;"|"&amp;$D195&amp;"|"&amp;Y$14&amp;"|"&amp;"CY2021Q3",Spectrum!$Q:$Q,0))),IF(SUM($H195)=0,"",MAX(SUM($P195),SUM($U195))/SUM($H195)))</f>
        <v>0.603281853281853</v>
      </c>
      <c r="Z195" s="123" t="n">
        <f aca="false">IF(SUM($Y195)=0,"",MAX(SUM($Y195),90%))</f>
        <v>0.9</v>
      </c>
      <c r="AA195" s="115" t="n">
        <f aca="false">IF(LEFT($B195,4)="_Mil","",ROUND(MAX(SUM($U195),SUM($P195))+IF(SUM($Z195)=0,0,MAX(SUM($Z195)-SUM($Y195),0)*SUM($H195)),0))</f>
        <v>932</v>
      </c>
      <c r="AB195" s="115" t="n">
        <f aca="false">IF(SUM($AA195)=0,"",ROUND(MAX(SUM($AA195)-MAX(SUM($P195),SUM($U195)),0),0))</f>
        <v>307</v>
      </c>
      <c r="AC195" s="126" t="str">
        <f aca="false">IF($C195="&lt;01",IFERROR(ROUND(INDEX(EID!$N:$N,MATCH($B195,EID!$B:$B,0))/2,0),""),"")</f>
        <v/>
      </c>
      <c r="AD195" s="115" t="n">
        <f aca="false">IF($C195="&lt;01",IF(SUM($AC195)=0,"",ROUND(SUM($AC195)/$AG195,0)),IF(SUM($AB195)=0,"",ROUND(MAX($X195,0)*SUM($AB195),0)))</f>
        <v>18</v>
      </c>
      <c r="AE195" s="115" t="n">
        <f aca="false">IF(AND(SUM($AD195)=0,SUM($U195)=0),"",ROUND(IF($C195="&lt;01",0,SUM($U195))+SUM($AD195),0))</f>
        <v>54</v>
      </c>
      <c r="AF195" s="122" t="n">
        <f aca="false">IF($C195="&lt;01","",100%)</f>
        <v>1</v>
      </c>
      <c r="AG195" s="123" t="n">
        <f aca="false">0.98</f>
        <v>0.98</v>
      </c>
      <c r="AH195" s="123" t="n">
        <f aca="false">0.98</f>
        <v>0.98</v>
      </c>
      <c r="AI195" s="124" t="n">
        <f aca="false">IF(OR($C195="&lt;01",SUM($U195)=0),"",ROUND(SUM($U195)*(1-$AH195),0))</f>
        <v>1</v>
      </c>
      <c r="AJ195" s="124" t="n">
        <f aca="false">IF(AND(SUM($AE195)=0,SUM($U195)=0),"",IF($C195="&lt;01",SUM($AD195),SUM($AE195) - ROUND(SUM($U195)*$AH195,0)))</f>
        <v>19</v>
      </c>
      <c r="AK195" s="124" t="n">
        <v>26</v>
      </c>
      <c r="AL195" s="124" t="n">
        <v>3</v>
      </c>
      <c r="AM195" s="115" t="n">
        <f aca="false">IF(AND(SUM($AD195)=0,SUM($U195)=0),"",IF($C195="&lt;01",SUM($AD195),ROUND(ROUND(SUM($AJ195)*$AF195,0)/$AG195,0)))</f>
        <v>19</v>
      </c>
      <c r="AN195" s="122" t="n">
        <f aca="false">0.7</f>
        <v>0.7</v>
      </c>
      <c r="AO195" s="123" t="n">
        <f aca="false">1</f>
        <v>1</v>
      </c>
      <c r="AP195" s="115" t="n">
        <f aca="false">IF(AND(SUM($U195)=0,SUM($AM195)=0),"",ROUND((SUM($AM195)*$AN195+IF($C195="&lt;01",0,$U195))*$AO195,0))</f>
        <v>49</v>
      </c>
      <c r="AQ195" s="122" t="n">
        <v>16</v>
      </c>
      <c r="AR195" s="123" t="n">
        <f aca="false">0.95</f>
        <v>0.95</v>
      </c>
      <c r="AS195" s="123" t="n">
        <f aca="false">0.95</f>
        <v>0.95</v>
      </c>
      <c r="AT195" s="115" t="n">
        <f aca="false">IF(SUM($AP195)=0,"",ROUND(SUM($AP195)*$AR195,0))</f>
        <v>47</v>
      </c>
      <c r="AU195" s="115" t="n">
        <f aca="false">IF(LEFT($B195,4)="_Mil","",ROUND(SUM($AA195)*SUM($AS195),0))</f>
        <v>885</v>
      </c>
      <c r="AV195" s="124" t="n">
        <f aca="false">IF(SUM($AU195)&lt;=0,"",MAX(SUM($AU195)-SUM($R195),0))</f>
        <v>885</v>
      </c>
      <c r="AW195" s="122" t="n">
        <f aca="false">0</f>
        <v>0</v>
      </c>
      <c r="AX195" s="124" t="n">
        <f aca="false">IF(SUM($AM195)=0,"",ROUND(SUM($AM195)*SUM($AW195),0))</f>
        <v>0</v>
      </c>
      <c r="AY195" s="124" t="n">
        <f aca="false">IF(SUM($AM195)=0,"",SUM($AM195)-SUM($AX195))</f>
        <v>19</v>
      </c>
      <c r="AZ195" s="123" t="n">
        <v>12</v>
      </c>
      <c r="BA195" s="123" t="n">
        <f aca="false">0.95</f>
        <v>0.95</v>
      </c>
      <c r="BB195" s="123"/>
      <c r="BC195" s="123" t="n">
        <f aca="false">IF(OR(SUM($AM195)&lt;=0,$C195="&lt;01"),"",MAX(IF(OR(SUM($Y195)&lt;70%,LEFT($B195,4)="_Mil"),30%,IF(SUM($Y195)&gt;=80%,75%,50%)),SUM($BB195)))</f>
        <v>0.3</v>
      </c>
      <c r="BD195" s="115" t="n">
        <f aca="false">IF($C195="&lt;01",IFERROR(ROUND(INDEX(EID!$M:$M,MATCH($B195,EID!$B:$B,0)),0)/2,""),IF(SUM($AY195)=0,"",ROUND(SUM($AY195)/SUM($BA195),0)))</f>
        <v>20</v>
      </c>
      <c r="BE195" s="115" t="n">
        <f aca="false">IF($C195="&lt;01","",IF(SUM($BD195)=0,"",ROUND(SUM($BD195)*SUM($BC195),0)))</f>
        <v>6</v>
      </c>
      <c r="BF195" s="115" t="n">
        <f aca="false">_xlfn.IFNA(INDEX(PMTCT!$AE:$AE,MATCH($E195,PMTCT!$E:$E,0)),"")</f>
        <v>-12580</v>
      </c>
      <c r="BG195" s="115" t="str">
        <f aca="false">_xlfn.IFNA(INDEX(PMTCT!$AU:$AU,MATCH($E195,PMTCT!$E:$E,0)),"")</f>
        <v/>
      </c>
      <c r="BH195" s="115" t="n">
        <f aca="false">_xlfn.IFNA(INDEX(TB!$Q:$Q,MATCH($E195,TB!$E:$E,0)),"")</f>
        <v>-210</v>
      </c>
      <c r="BI195" s="115" t="str">
        <f aca="false">_xlfn.IFNA(INDEX(VMMC!$AC:$AC,MATCH($E195,VMMC!$E:$E,0)),"")</f>
        <v/>
      </c>
      <c r="BJ195" s="115" t="str">
        <f aca="false">IF($C195="&lt;01",$BD195,"")</f>
        <v/>
      </c>
      <c r="BK195" s="115" t="n">
        <f aca="false">IF(SUM($BD195)=0,"",($BD195)-SUM($BE195:$BJ195))</f>
        <v>12804</v>
      </c>
      <c r="BL195" s="123" t="n">
        <f aca="false">IF(OR(SUM($BD195)=0,SUM($BE195)=0),"",SUM($BE195)/$BD195)</f>
        <v>0.3</v>
      </c>
      <c r="BM195" s="123" t="n">
        <f aca="false">IF(OR(SUM($BD195)=0,SUM($BF195)=0),"",SUM($BF195)/$BD195)</f>
        <v>-629</v>
      </c>
      <c r="BN195" s="123" t="str">
        <f aca="false">IF(OR(SUM($BD195)=0,SUM($BG195)=0),"",SUM($BG195)/$BD195)</f>
        <v/>
      </c>
      <c r="BO195" s="123" t="n">
        <f aca="false">IF(OR(SUM($BD195)=0,SUM($BH195)=0),"",SUM($BH195)/$BD195)</f>
        <v>-10.5</v>
      </c>
      <c r="BP195" s="123" t="str">
        <f aca="false">IF(OR(SUM($BD195)=0,SUM($BI195)=0),"",SUM($BI195)/$BD195)</f>
        <v/>
      </c>
      <c r="BQ195" s="123" t="str">
        <f aca="false">IF(AND($C195="&lt;01",SUM($BJ195)&lt;&gt;0),$BJ195/SUM($BD195),"")</f>
        <v/>
      </c>
      <c r="BR195" s="123" t="n">
        <f aca="false">IF(OR(SUM($BD195)=0,SUM($BK195)=0),"",SUM($BK195)/$BD195)</f>
        <v>640.2</v>
      </c>
      <c r="BS195" s="122" t="n">
        <f aca="false">IF(SUM($X195)&lt;=0,"",$X195)</f>
        <v>0.0576</v>
      </c>
      <c r="BT195" s="115" t="n">
        <f aca="false">IF(LEFT($B195,4)="_Mil","",MAX(SUM($L195)+ROUND(SUM($BD195)/IF(SUM($BS195)&lt;=0,1,SUM($BS195)),0),0))</f>
        <v>1079</v>
      </c>
    </row>
    <row r="196" customFormat="false" ht="15" hidden="false" customHeight="false" outlineLevel="0" collapsed="false">
      <c r="A196" s="0" t="s">
        <v>148</v>
      </c>
      <c r="B196" s="0" t="s">
        <v>113</v>
      </c>
      <c r="C196" s="0" t="s">
        <v>69</v>
      </c>
      <c r="D196" s="0" t="s">
        <v>58</v>
      </c>
      <c r="E196" s="0" t="str">
        <f aca="false">B196&amp;"|"&amp;C196&amp;"|"&amp;D196</f>
        <v>Mokhotlong [#SNU] [tjhYqc1MlVo]|25-29|Male</v>
      </c>
      <c r="F196" s="115" t="n">
        <f aca="false">_xlfn.IFNA(ROUND(INDEX(Spectrum!$N:$N,MATCH(RIGHT($B196,13)&amp;"|"&amp;$C196&amp;"|"&amp;$D196&amp;"|"&amp;F$14&amp;"|"&amp;"CY2021Q3",Spectrum!$Q:$Q,0)),0),"")</f>
        <v>4530</v>
      </c>
      <c r="G196" s="123" t="n">
        <f aca="false">_xlfn.IFNA(INDEX(Spectrum!$P:$P,MATCH(RIGHT($B196,13)&amp;"|"&amp;$C196&amp;"|"&amp;$D196&amp;"|"&amp;F$14&amp;"|"&amp;"CY2021Q3",Spectrum!$Q:$Q,0)),"")</f>
        <v>35</v>
      </c>
      <c r="H196" s="115" t="n">
        <f aca="false">_xlfn.IFNA(ROUND(INDEX(Spectrum!$N:$N,MATCH(RIGHT($B196,13)&amp;"|"&amp;$C196&amp;"|"&amp;$D196&amp;"|"&amp;H$14&amp;"|"&amp;"CY2021Q3",Spectrum!$Q:$Q,0)),0),"")</f>
        <v>500</v>
      </c>
      <c r="I196" s="123" t="n">
        <f aca="false">_xlfn.IFNA(INDEX(Spectrum!$P:$P,MATCH(RIGHT($B196,13)&amp;"|"&amp;$C196&amp;"|"&amp;$D196&amp;"|"&amp;H$14&amp;"|"&amp;"CY2021Q3",Spectrum!$Q:$Q,0)),"")</f>
        <v>22</v>
      </c>
      <c r="J196" s="117" t="n">
        <f aca="false">_xlfn.IFNA(INDEX(Spectrum!$N:$N,MATCH(RIGHT($B196,13)&amp;"|"&amp;$C196&amp;"|"&amp;$D196&amp;"|"&amp;J$14&amp;"|"&amp;"CY2021Q3",Spectrum!$Q:$Q,0)),"")</f>
        <v>0.1102954</v>
      </c>
      <c r="K196" s="123" t="n">
        <f aca="false">_xlfn.IFNA(INDEX(Spectrum!$P:$P,MATCH(RIGHT($B196,13)&amp;"|"&amp;$C196&amp;"|"&amp;$D196&amp;"|"&amp;J$14&amp;"|"&amp;"CY2021Q3",Spectrum!$Q:$Q,0)),"")</f>
        <v>4</v>
      </c>
      <c r="L196" s="115" t="n">
        <f aca="false">_xlfn.IFNA(ROUND(INDEX(Spectrum!$N:$N,MATCH(RIGHT($B196,13)&amp;"|"&amp;$C196&amp;"|"&amp;$D196&amp;"|"&amp;L$14&amp;"|"&amp;"CY2021Q3",Spectrum!$Q:$Q,0)),0),"")</f>
        <v>321</v>
      </c>
      <c r="M196" s="123" t="n">
        <f aca="false">IF(OR(SUM($H196)&lt;=0,SUM($L196)&lt;=0),"",SUM($L196)/$H196)</f>
        <v>0.642</v>
      </c>
      <c r="N196" s="115" t="str">
        <f aca="false">_xlfn.IFNA(ROUND(INDEX(Spectrum!$N:$N,MATCH(RIGHT($B196,13)&amp;"|"&amp;$C196&amp;"|"&amp;$D196&amp;"|"&amp;N$14&amp;"|"&amp;"CY2020Q4",Spectrum!$Q:$Q,0)),0),"")</f>
        <v/>
      </c>
      <c r="O196" s="123" t="str">
        <f aca="false">_xlfn.IFNA(INDEX(Spectrum!$P:$P,MATCH(RIGHT($B196,13)&amp;"|"&amp;$C196&amp;"|"&amp;$D196&amp;"|"&amp;N$14&amp;"|"&amp;"CY2020Q4",Spectrum!$Q:$Q,0)),"")</f>
        <v/>
      </c>
      <c r="P196" s="115" t="n">
        <f aca="false">_xlfn.IFNA(ROUND(INDEX(Spectrum!$N:$N,MATCH(RIGHT($B196,13)&amp;"|"&amp;$C196&amp;"|"&amp;$D196&amp;"|"&amp;P$14&amp;"|"&amp;"CY2021Q3",Spectrum!$Q:$Q,0)),0),"")</f>
        <v>236</v>
      </c>
      <c r="Q196" s="123" t="n">
        <f aca="false">_xlfn.IFNA(INDEX(Spectrum!$P:$P,MATCH(RIGHT($B196,13)&amp;"|"&amp;$C196&amp;"|"&amp;$D196&amp;"|"&amp;P$14&amp;"|"&amp;"CY2021Q3",Spectrum!$Q:$Q,0)),"")</f>
        <v>46</v>
      </c>
      <c r="R196" s="115"/>
      <c r="S196" s="123" t="str">
        <f aca="false">IF(OR(SUM($P196)&lt;=0,SUM($R196)&lt;=0),"",SUM($R196)/$P196)</f>
        <v/>
      </c>
      <c r="T196" s="139" t="n">
        <v>43</v>
      </c>
      <c r="U196" s="124" t="n">
        <v>46</v>
      </c>
      <c r="V196" s="124" t="n">
        <f aca="false">IF($U196-$T196=0,"",$U196-$T196)</f>
        <v>3</v>
      </c>
      <c r="W196" s="123" t="n">
        <f aca="false">IF(LEFT($B196,4)="_Mil","",IFERROR(MIN(IF(SUM($N196)&lt;=0,SUM($U196)/SUM($P196),SUM($T196)/SUM($N196)),1),""))</f>
        <v>0.194915254237288</v>
      </c>
      <c r="X196" s="123" t="n">
        <f aca="false">$W196</f>
        <v>0.194915254237288</v>
      </c>
      <c r="Y196" s="123" t="n">
        <f aca="false">IFERROR(1/(1/INDEX(Spectrum!$N:$N,MATCH(RIGHT($B196,13)&amp;"|"&amp;$C196&amp;"|"&amp;$D196&amp;"|"&amp;Y$14&amp;"|"&amp;"CY2021Q3",Spectrum!$Q:$Q,0))),IF(SUM($H196)=0,"",MAX(SUM($P196),SUM($U196))/SUM($H196)))</f>
        <v>0.472</v>
      </c>
      <c r="Z196" s="123" t="n">
        <f aca="false">IF(SUM($Y196)=0,"",MAX(SUM($Y196),90%))</f>
        <v>0.9</v>
      </c>
      <c r="AA196" s="115" t="n">
        <f aca="false">IF(LEFT($B196,4)="_Mil","",ROUND(MAX(SUM($U196),SUM($P196))+IF(SUM($Z196)=0,0,MAX(SUM($Z196)-SUM($Y196),0)*SUM($H196)),0))</f>
        <v>450</v>
      </c>
      <c r="AB196" s="115" t="n">
        <f aca="false">IF(SUM($AA196)=0,"",ROUND(MAX(SUM($AA196)-MAX(SUM($P196),SUM($U196)),0),0))</f>
        <v>214</v>
      </c>
      <c r="AC196" s="126" t="str">
        <f aca="false">IF($C196="&lt;01",IFERROR(ROUND(INDEX(EID!$N:$N,MATCH($B196,EID!$B:$B,0))/2,0),""),"")</f>
        <v/>
      </c>
      <c r="AD196" s="115" t="n">
        <f aca="false">IF($C196="&lt;01",IF(SUM($AC196)=0,"",ROUND(SUM($AC196)/$AG196,0)),IF(SUM($AB196)=0,"",ROUND(MAX($X196,0)*SUM($AB196),0)))</f>
        <v>42</v>
      </c>
      <c r="AE196" s="115" t="n">
        <f aca="false">IF(AND(SUM($AD196)=0,SUM($U196)=0),"",ROUND(IF($C196="&lt;01",0,SUM($U196))+SUM($AD196),0))</f>
        <v>88</v>
      </c>
      <c r="AF196" s="122" t="n">
        <f aca="false">IF($C196="&lt;01","",100%)</f>
        <v>1</v>
      </c>
      <c r="AG196" s="123" t="n">
        <f aca="false">0.98</f>
        <v>0.98</v>
      </c>
      <c r="AH196" s="123" t="n">
        <f aca="false">0.98</f>
        <v>0.98</v>
      </c>
      <c r="AI196" s="124" t="n">
        <f aca="false">IF(OR($C196="&lt;01",SUM($U196)=0),"",ROUND(SUM($U196)*(1-$AH196),0))</f>
        <v>1</v>
      </c>
      <c r="AJ196" s="124" t="n">
        <f aca="false">IF(AND(SUM($AE196)=0,SUM($U196)=0),"",IF($C196="&lt;01",SUM($AD196),SUM($AE196) - ROUND(SUM($U196)*$AH196,0)))</f>
        <v>43</v>
      </c>
      <c r="AK196" s="124" t="n">
        <v>10</v>
      </c>
      <c r="AL196" s="124" t="n">
        <v>12</v>
      </c>
      <c r="AM196" s="115" t="n">
        <f aca="false">IF(AND(SUM($AD196)=0,SUM($U196)=0),"",IF($C196="&lt;01",SUM($AD196),ROUND(ROUND(SUM($AJ196)*$AF196,0)/$AG196,0)))</f>
        <v>44</v>
      </c>
      <c r="AN196" s="122" t="n">
        <f aca="false">0.7</f>
        <v>0.7</v>
      </c>
      <c r="AO196" s="123" t="n">
        <f aca="false">1</f>
        <v>1</v>
      </c>
      <c r="AP196" s="115" t="n">
        <f aca="false">IF(AND(SUM($U196)=0,SUM($AM196)=0),"",ROUND((SUM($AM196)*$AN196+IF($C196="&lt;01",0,$U196))*$AO196,0))</f>
        <v>77</v>
      </c>
      <c r="AQ196" s="122" t="n">
        <v>39</v>
      </c>
      <c r="AR196" s="123" t="n">
        <f aca="false">0.95</f>
        <v>0.95</v>
      </c>
      <c r="AS196" s="123" t="n">
        <f aca="false">0.95</f>
        <v>0.95</v>
      </c>
      <c r="AT196" s="115" t="n">
        <f aca="false">IF(SUM($AP196)=0,"",ROUND(SUM($AP196)*$AR196,0))</f>
        <v>73</v>
      </c>
      <c r="AU196" s="115" t="n">
        <f aca="false">IF(LEFT($B196,4)="_Mil","",ROUND(SUM($AA196)*SUM($AS196),0))</f>
        <v>428</v>
      </c>
      <c r="AV196" s="124" t="n">
        <f aca="false">IF(SUM($AU196)&lt;=0,"",MAX(SUM($AU196)-SUM($R196),0))</f>
        <v>428</v>
      </c>
      <c r="AW196" s="122" t="n">
        <f aca="false">0</f>
        <v>0</v>
      </c>
      <c r="AX196" s="124" t="n">
        <f aca="false">IF(SUM($AM196)=0,"",ROUND(SUM($AM196)*SUM($AW196),0))</f>
        <v>0</v>
      </c>
      <c r="AY196" s="124" t="n">
        <f aca="false">IF(SUM($AM196)=0,"",SUM($AM196)-SUM($AX196))</f>
        <v>44</v>
      </c>
      <c r="AZ196" s="123" t="n">
        <v>25</v>
      </c>
      <c r="BA196" s="123" t="n">
        <f aca="false">0.95</f>
        <v>0.95</v>
      </c>
      <c r="BB196" s="123"/>
      <c r="BC196" s="123" t="n">
        <f aca="false">IF(OR(SUM($AM196)&lt;=0,$C196="&lt;01"),"",MAX(IF(OR(SUM($Y196)&lt;70%,LEFT($B196,4)="_Mil"),30%,IF(SUM($Y196)&gt;=80%,75%,50%)),SUM($BB196)))</f>
        <v>0.3</v>
      </c>
      <c r="BD196" s="115" t="n">
        <f aca="false">IF($C196="&lt;01",IFERROR(ROUND(INDEX(EID!$M:$M,MATCH($B196,EID!$B:$B,0)),0)/2,""),IF(SUM($AY196)=0,"",ROUND(SUM($AY196)/SUM($BA196),0)))</f>
        <v>46</v>
      </c>
      <c r="BE196" s="115" t="n">
        <f aca="false">IF($C196="&lt;01","",IF(SUM($BD196)=0,"",ROUND(SUM($BD196)*SUM($BC196),0)))</f>
        <v>14</v>
      </c>
      <c r="BF196" s="115" t="str">
        <f aca="false">_xlfn.IFNA(INDEX(PMTCT!$AE:$AE,MATCH($E196,PMTCT!$E:$E,0)),"")</f>
        <v/>
      </c>
      <c r="BG196" s="115" t="str">
        <f aca="false">_xlfn.IFNA(INDEX(PMTCT!$AU:$AU,MATCH($E196,PMTCT!$E:$E,0)),"")</f>
        <v/>
      </c>
      <c r="BH196" s="115" t="n">
        <f aca="false">_xlfn.IFNA(INDEX(TB!$Q:$Q,MATCH($E196,TB!$E:$E,0)),"")</f>
        <v>-29716</v>
      </c>
      <c r="BI196" s="115" t="str">
        <f aca="false">_xlfn.IFNA(INDEX(VMMC!$AC:$AC,MATCH($E196,VMMC!$E:$E,0)),"")</f>
        <v/>
      </c>
      <c r="BJ196" s="115" t="str">
        <f aca="false">IF($C196="&lt;01",$BD196,"")</f>
        <v/>
      </c>
      <c r="BK196" s="115" t="n">
        <f aca="false">IF(SUM($BD196)=0,"",($BD196)-SUM($BE196:$BJ196))</f>
        <v>29748</v>
      </c>
      <c r="BL196" s="123" t="n">
        <f aca="false">IF(OR(SUM($BD196)=0,SUM($BE196)=0),"",SUM($BE196)/$BD196)</f>
        <v>0.304347826086957</v>
      </c>
      <c r="BM196" s="123" t="str">
        <f aca="false">IF(OR(SUM($BD196)=0,SUM($BF196)=0),"",SUM($BF196)/$BD196)</f>
        <v/>
      </c>
      <c r="BN196" s="123" t="str">
        <f aca="false">IF(OR(SUM($BD196)=0,SUM($BG196)=0),"",SUM($BG196)/$BD196)</f>
        <v/>
      </c>
      <c r="BO196" s="123" t="n">
        <f aca="false">IF(OR(SUM($BD196)=0,SUM($BH196)=0),"",SUM($BH196)/$BD196)</f>
        <v>-646</v>
      </c>
      <c r="BP196" s="123" t="str">
        <f aca="false">IF(OR(SUM($BD196)=0,SUM($BI196)=0),"",SUM($BI196)/$BD196)</f>
        <v/>
      </c>
      <c r="BQ196" s="123" t="str">
        <f aca="false">IF(AND($C196="&lt;01",SUM($BJ196)&lt;&gt;0),$BJ196/SUM($BD196),"")</f>
        <v/>
      </c>
      <c r="BR196" s="123" t="n">
        <f aca="false">IF(OR(SUM($BD196)=0,SUM($BK196)=0),"",SUM($BK196)/$BD196)</f>
        <v>646.695652173913</v>
      </c>
      <c r="BS196" s="122" t="n">
        <f aca="false">IF(SUM($X196)&lt;=0,"",$X196)</f>
        <v>0.194915254237288</v>
      </c>
      <c r="BT196" s="115" t="n">
        <f aca="false">IF(LEFT($B196,4)="_Mil","",MAX(SUM($L196)+ROUND(SUM($BD196)/IF(SUM($BS196)&lt;=0,1,SUM($BS196)),0),0))</f>
        <v>557</v>
      </c>
    </row>
    <row r="197" customFormat="false" ht="15" hidden="false" customHeight="false" outlineLevel="0" collapsed="false">
      <c r="A197" s="0" t="s">
        <v>148</v>
      </c>
      <c r="B197" s="0" t="s">
        <v>113</v>
      </c>
      <c r="C197" s="0" t="s">
        <v>72</v>
      </c>
      <c r="D197" s="0" t="s">
        <v>56</v>
      </c>
      <c r="E197" s="0" t="str">
        <f aca="false">B197&amp;"|"&amp;C197&amp;"|"&amp;D197</f>
        <v>Mokhotlong [#SNU] [tjhYqc1MlVo]|30-34|Female</v>
      </c>
      <c r="F197" s="115" t="n">
        <f aca="false">_xlfn.IFNA(ROUND(INDEX(Spectrum!$N:$N,MATCH(RIGHT($B197,13)&amp;"|"&amp;$C197&amp;"|"&amp;$D197&amp;"|"&amp;F$14&amp;"|"&amp;"CY2021Q3",Spectrum!$Q:$Q,0)),0),"")</f>
        <v>3641</v>
      </c>
      <c r="G197" s="123" t="n">
        <f aca="false">_xlfn.IFNA(INDEX(Spectrum!$P:$P,MATCH(RIGHT($B197,13)&amp;"|"&amp;$C197&amp;"|"&amp;$D197&amp;"|"&amp;F$14&amp;"|"&amp;"CY2021Q3",Spectrum!$Q:$Q,0)),"")</f>
        <v>25</v>
      </c>
      <c r="H197" s="115" t="n">
        <f aca="false">_xlfn.IFNA(ROUND(INDEX(Spectrum!$N:$N,MATCH(RIGHT($B197,13)&amp;"|"&amp;$C197&amp;"|"&amp;$D197&amp;"|"&amp;H$14&amp;"|"&amp;"CY2021Q3",Spectrum!$Q:$Q,0)),0),"")</f>
        <v>1346</v>
      </c>
      <c r="I197" s="123" t="n">
        <f aca="false">_xlfn.IFNA(INDEX(Spectrum!$P:$P,MATCH(RIGHT($B197,13)&amp;"|"&amp;$C197&amp;"|"&amp;$D197&amp;"|"&amp;H$14&amp;"|"&amp;"CY2021Q3",Spectrum!$Q:$Q,0)),"")</f>
        <v>32</v>
      </c>
      <c r="J197" s="117" t="n">
        <f aca="false">_xlfn.IFNA(INDEX(Spectrum!$N:$N,MATCH(RIGHT($B197,13)&amp;"|"&amp;$C197&amp;"|"&amp;$D197&amp;"|"&amp;J$14&amp;"|"&amp;"CY2021Q3",Spectrum!$Q:$Q,0)),"")</f>
        <v>0.3698365</v>
      </c>
      <c r="K197" s="123" t="n">
        <f aca="false">_xlfn.IFNA(INDEX(Spectrum!$P:$P,MATCH(RIGHT($B197,13)&amp;"|"&amp;$C197&amp;"|"&amp;$D197&amp;"|"&amp;J$14&amp;"|"&amp;"CY2021Q3",Spectrum!$Q:$Q,0)),"")</f>
        <v>13</v>
      </c>
      <c r="L197" s="115" t="n">
        <f aca="false">_xlfn.IFNA(ROUND(INDEX(Spectrum!$N:$N,MATCH(RIGHT($B197,13)&amp;"|"&amp;$C197&amp;"|"&amp;$D197&amp;"|"&amp;L$14&amp;"|"&amp;"CY2021Q3",Spectrum!$Q:$Q,0)),0),"")</f>
        <v>894</v>
      </c>
      <c r="M197" s="123" t="n">
        <f aca="false">IF(OR(SUM($H197)&lt;=0,SUM($L197)&lt;=0),"",SUM($L197)/$H197)</f>
        <v>0.664190193164933</v>
      </c>
      <c r="N197" s="115" t="str">
        <f aca="false">_xlfn.IFNA(ROUND(INDEX(Spectrum!$N:$N,MATCH(RIGHT($B197,13)&amp;"|"&amp;$C197&amp;"|"&amp;$D197&amp;"|"&amp;N$14&amp;"|"&amp;"CY2020Q4",Spectrum!$Q:$Q,0)),0),"")</f>
        <v/>
      </c>
      <c r="O197" s="123" t="str">
        <f aca="false">_xlfn.IFNA(INDEX(Spectrum!$P:$P,MATCH(RIGHT($B197,13)&amp;"|"&amp;$C197&amp;"|"&amp;$D197&amp;"|"&amp;N$14&amp;"|"&amp;"CY2020Q4",Spectrum!$Q:$Q,0)),"")</f>
        <v/>
      </c>
      <c r="P197" s="115" t="n">
        <f aca="false">_xlfn.IFNA(ROUND(INDEX(Spectrum!$N:$N,MATCH(RIGHT($B197,13)&amp;"|"&amp;$C197&amp;"|"&amp;$D197&amp;"|"&amp;P$14&amp;"|"&amp;"CY2021Q3",Spectrum!$Q:$Q,0)),0),"")</f>
        <v>804</v>
      </c>
      <c r="Q197" s="123" t="n">
        <f aca="false">_xlfn.IFNA(INDEX(Spectrum!$P:$P,MATCH(RIGHT($B197,13)&amp;"|"&amp;$C197&amp;"|"&amp;$D197&amp;"|"&amp;P$14&amp;"|"&amp;"CY2021Q3",Spectrum!$Q:$Q,0)),"")</f>
        <v>15</v>
      </c>
      <c r="R197" s="115"/>
      <c r="S197" s="123" t="str">
        <f aca="false">IF(OR(SUM($P197)&lt;=0,SUM($R197)&lt;=0),"",SUM($R197)/$P197)</f>
        <v/>
      </c>
      <c r="T197" s="139" t="n">
        <v>32</v>
      </c>
      <c r="U197" s="124" t="n">
        <v>40</v>
      </c>
      <c r="V197" s="124" t="n">
        <f aca="false">IF($U197-$T197=0,"",$U197-$T197)</f>
        <v>8</v>
      </c>
      <c r="W197" s="123" t="n">
        <f aca="false">IF(LEFT($B197,4)="_Mil","",IFERROR(MIN(IF(SUM($N197)&lt;=0,SUM($U197)/SUM($P197),SUM($T197)/SUM($N197)),1),""))</f>
        <v>0.0497512437810945</v>
      </c>
      <c r="X197" s="123" t="n">
        <f aca="false">$W197</f>
        <v>0.0497512437810945</v>
      </c>
      <c r="Y197" s="123" t="n">
        <f aca="false">IFERROR(1/(1/INDEX(Spectrum!$N:$N,MATCH(RIGHT($B197,13)&amp;"|"&amp;$C197&amp;"|"&amp;$D197&amp;"|"&amp;Y$14&amp;"|"&amp;"CY2021Q3",Spectrum!$Q:$Q,0))),IF(SUM($H197)=0,"",MAX(SUM($P197),SUM($U197))/SUM($H197)))</f>
        <v>0.597325408618128</v>
      </c>
      <c r="Z197" s="123" t="n">
        <f aca="false">IF(SUM($Y197)=0,"",MAX(SUM($Y197),90%))</f>
        <v>0.9</v>
      </c>
      <c r="AA197" s="115" t="n">
        <f aca="false">IF(LEFT($B197,4)="_Mil","",ROUND(MAX(SUM($U197),SUM($P197))+IF(SUM($Z197)=0,0,MAX(SUM($Z197)-SUM($Y197),0)*SUM($H197)),0))</f>
        <v>1211</v>
      </c>
      <c r="AB197" s="115" t="n">
        <f aca="false">IF(SUM($AA197)=0,"",ROUND(MAX(SUM($AA197)-MAX(SUM($P197),SUM($U197)),0),0))</f>
        <v>407</v>
      </c>
      <c r="AC197" s="126" t="str">
        <f aca="false">IF($C197="&lt;01",IFERROR(ROUND(INDEX(EID!$N:$N,MATCH($B197,EID!$B:$B,0))/2,0),""),"")</f>
        <v/>
      </c>
      <c r="AD197" s="115" t="n">
        <f aca="false">IF($C197="&lt;01",IF(SUM($AC197)=0,"",ROUND(SUM($AC197)/$AG197,0)),IF(SUM($AB197)=0,"",ROUND(MAX($X197,0)*SUM($AB197),0)))</f>
        <v>20</v>
      </c>
      <c r="AE197" s="115" t="n">
        <f aca="false">IF(AND(SUM($AD197)=0,SUM($U197)=0),"",ROUND(IF($C197="&lt;01",0,SUM($U197))+SUM($AD197),0))</f>
        <v>60</v>
      </c>
      <c r="AF197" s="122" t="n">
        <f aca="false">IF($C197="&lt;01","",100%)</f>
        <v>1</v>
      </c>
      <c r="AG197" s="123" t="n">
        <f aca="false">0.98</f>
        <v>0.98</v>
      </c>
      <c r="AH197" s="123" t="n">
        <f aca="false">0.98</f>
        <v>0.98</v>
      </c>
      <c r="AI197" s="124" t="n">
        <f aca="false">IF(OR($C197="&lt;01",SUM($U197)=0),"",ROUND(SUM($U197)*(1-$AH197),0))</f>
        <v>1</v>
      </c>
      <c r="AJ197" s="124" t="n">
        <f aca="false">IF(AND(SUM($AE197)=0,SUM($U197)=0),"",IF($C197="&lt;01",SUM($AD197),SUM($AE197) - ROUND(SUM($U197)*$AH197,0)))</f>
        <v>21</v>
      </c>
      <c r="AK197" s="124" t="n">
        <v>25</v>
      </c>
      <c r="AL197" s="124" t="n">
        <v>23</v>
      </c>
      <c r="AM197" s="115" t="n">
        <f aca="false">IF(AND(SUM($AD197)=0,SUM($U197)=0),"",IF($C197="&lt;01",SUM($AD197),ROUND(ROUND(SUM($AJ197)*$AF197,0)/$AG197,0)))</f>
        <v>21</v>
      </c>
      <c r="AN197" s="122" t="n">
        <f aca="false">0.7</f>
        <v>0.7</v>
      </c>
      <c r="AO197" s="123" t="n">
        <f aca="false">1</f>
        <v>1</v>
      </c>
      <c r="AP197" s="115" t="n">
        <f aca="false">IF(AND(SUM($U197)=0,SUM($AM197)=0),"",ROUND((SUM($AM197)*$AN197+IF($C197="&lt;01",0,$U197))*$AO197,0))</f>
        <v>55</v>
      </c>
      <c r="AQ197" s="122" t="n">
        <v>22</v>
      </c>
      <c r="AR197" s="123" t="n">
        <f aca="false">0.95</f>
        <v>0.95</v>
      </c>
      <c r="AS197" s="123" t="n">
        <f aca="false">0.95</f>
        <v>0.95</v>
      </c>
      <c r="AT197" s="115" t="n">
        <f aca="false">IF(SUM($AP197)=0,"",ROUND(SUM($AP197)*$AR197,0))</f>
        <v>52</v>
      </c>
      <c r="AU197" s="115" t="n">
        <f aca="false">IF(LEFT($B197,4)="_Mil","",ROUND(SUM($AA197)*SUM($AS197),0))</f>
        <v>1150</v>
      </c>
      <c r="AV197" s="124" t="n">
        <f aca="false">IF(SUM($AU197)&lt;=0,"",MAX(SUM($AU197)-SUM($R197),0))</f>
        <v>1150</v>
      </c>
      <c r="AW197" s="122" t="n">
        <f aca="false">0</f>
        <v>0</v>
      </c>
      <c r="AX197" s="124" t="n">
        <f aca="false">IF(SUM($AM197)=0,"",ROUND(SUM($AM197)*SUM($AW197),0))</f>
        <v>0</v>
      </c>
      <c r="AY197" s="124" t="n">
        <f aca="false">IF(SUM($AM197)=0,"",SUM($AM197)-SUM($AX197))</f>
        <v>21</v>
      </c>
      <c r="AZ197" s="123" t="n">
        <v>12</v>
      </c>
      <c r="BA197" s="123" t="n">
        <f aca="false">0.95</f>
        <v>0.95</v>
      </c>
      <c r="BB197" s="123"/>
      <c r="BC197" s="123" t="n">
        <f aca="false">IF(OR(SUM($AM197)&lt;=0,$C197="&lt;01"),"",MAX(IF(OR(SUM($Y197)&lt;70%,LEFT($B197,4)="_Mil"),30%,IF(SUM($Y197)&gt;=80%,75%,50%)),SUM($BB197)))</f>
        <v>0.3</v>
      </c>
      <c r="BD197" s="115" t="n">
        <f aca="false">IF($C197="&lt;01",IFERROR(ROUND(INDEX(EID!$M:$M,MATCH($B197,EID!$B:$B,0)),0)/2,""),IF(SUM($AY197)=0,"",ROUND(SUM($AY197)/SUM($BA197),0)))</f>
        <v>22</v>
      </c>
      <c r="BE197" s="115" t="n">
        <f aca="false">IF($C197="&lt;01","",IF(SUM($BD197)=0,"",ROUND(SUM($BD197)*SUM($BC197),0)))</f>
        <v>7</v>
      </c>
      <c r="BF197" s="115" t="n">
        <f aca="false">_xlfn.IFNA(INDEX(PMTCT!$AE:$AE,MATCH($E197,PMTCT!$E:$E,0)),"")</f>
        <v>-5236</v>
      </c>
      <c r="BG197" s="115" t="str">
        <f aca="false">_xlfn.IFNA(INDEX(PMTCT!$AU:$AU,MATCH($E197,PMTCT!$E:$E,0)),"")</f>
        <v/>
      </c>
      <c r="BH197" s="115" t="n">
        <f aca="false">_xlfn.IFNA(INDEX(TB!$Q:$Q,MATCH($E197,TB!$E:$E,0)),"")</f>
        <v>-0</v>
      </c>
      <c r="BI197" s="115" t="str">
        <f aca="false">_xlfn.IFNA(INDEX(VMMC!$AC:$AC,MATCH($E197,VMMC!$E:$E,0)),"")</f>
        <v/>
      </c>
      <c r="BJ197" s="115" t="str">
        <f aca="false">IF($C197="&lt;01",$BD197,"")</f>
        <v/>
      </c>
      <c r="BK197" s="115" t="n">
        <f aca="false">IF(SUM($BD197)=0,"",($BD197)-SUM($BE197:$BJ197))</f>
        <v>5251</v>
      </c>
      <c r="BL197" s="123" t="n">
        <f aca="false">IF(OR(SUM($BD197)=0,SUM($BE197)=0),"",SUM($BE197)/$BD197)</f>
        <v>0.318181818181818</v>
      </c>
      <c r="BM197" s="123" t="n">
        <f aca="false">IF(OR(SUM($BD197)=0,SUM($BF197)=0),"",SUM($BF197)/$BD197)</f>
        <v>-238</v>
      </c>
      <c r="BN197" s="123" t="str">
        <f aca="false">IF(OR(SUM($BD197)=0,SUM($BG197)=0),"",SUM($BG197)/$BD197)</f>
        <v/>
      </c>
      <c r="BO197" s="123" t="str">
        <f aca="false">IF(OR(SUM($BD197)=0,SUM($BH197)=0),"",SUM($BH197)/$BD197)</f>
        <v/>
      </c>
      <c r="BP197" s="123" t="str">
        <f aca="false">IF(OR(SUM($BD197)=0,SUM($BI197)=0),"",SUM($BI197)/$BD197)</f>
        <v/>
      </c>
      <c r="BQ197" s="123" t="str">
        <f aca="false">IF(AND($C197="&lt;01",SUM($BJ197)&lt;&gt;0),$BJ197/SUM($BD197),"")</f>
        <v/>
      </c>
      <c r="BR197" s="123" t="n">
        <f aca="false">IF(OR(SUM($BD197)=0,SUM($BK197)=0),"",SUM($BK197)/$BD197)</f>
        <v>238.681818181818</v>
      </c>
      <c r="BS197" s="122" t="n">
        <f aca="false">IF(SUM($X197)&lt;=0,"",$X197)</f>
        <v>0.0497512437810945</v>
      </c>
      <c r="BT197" s="115" t="n">
        <f aca="false">IF(LEFT($B197,4)="_Mil","",MAX(SUM($L197)+ROUND(SUM($BD197)/IF(SUM($BS197)&lt;=0,1,SUM($BS197)),0),0))</f>
        <v>1336</v>
      </c>
    </row>
    <row r="198" customFormat="false" ht="15" hidden="false" customHeight="false" outlineLevel="0" collapsed="false">
      <c r="A198" s="0" t="s">
        <v>148</v>
      </c>
      <c r="B198" s="0" t="s">
        <v>113</v>
      </c>
      <c r="C198" s="0" t="s">
        <v>72</v>
      </c>
      <c r="D198" s="0" t="s">
        <v>58</v>
      </c>
      <c r="E198" s="0" t="str">
        <f aca="false">B198&amp;"|"&amp;C198&amp;"|"&amp;D198</f>
        <v>Mokhotlong [#SNU] [tjhYqc1MlVo]|30-34|Male</v>
      </c>
      <c r="F198" s="115" t="n">
        <f aca="false">_xlfn.IFNA(ROUND(INDEX(Spectrum!$N:$N,MATCH(RIGHT($B198,13)&amp;"|"&amp;$C198&amp;"|"&amp;$D198&amp;"|"&amp;F$14&amp;"|"&amp;"CY2021Q3",Spectrum!$Q:$Q,0)),0),"")</f>
        <v>4330</v>
      </c>
      <c r="G198" s="123" t="n">
        <f aca="false">_xlfn.IFNA(INDEX(Spectrum!$P:$P,MATCH(RIGHT($B198,13)&amp;"|"&amp;$C198&amp;"|"&amp;$D198&amp;"|"&amp;F$14&amp;"|"&amp;"CY2021Q3",Spectrum!$Q:$Q,0)),"")</f>
        <v>3</v>
      </c>
      <c r="H198" s="115" t="n">
        <f aca="false">_xlfn.IFNA(ROUND(INDEX(Spectrum!$N:$N,MATCH(RIGHT($B198,13)&amp;"|"&amp;$C198&amp;"|"&amp;$D198&amp;"|"&amp;H$14&amp;"|"&amp;"CY2021Q3",Spectrum!$Q:$Q,0)),0),"")</f>
        <v>872</v>
      </c>
      <c r="I198" s="123" t="n">
        <f aca="false">_xlfn.IFNA(INDEX(Spectrum!$P:$P,MATCH(RIGHT($B198,13)&amp;"|"&amp;$C198&amp;"|"&amp;$D198&amp;"|"&amp;H$14&amp;"|"&amp;"CY2021Q3",Spectrum!$Q:$Q,0)),"")</f>
        <v>12</v>
      </c>
      <c r="J198" s="117" t="n">
        <f aca="false">_xlfn.IFNA(INDEX(Spectrum!$N:$N,MATCH(RIGHT($B198,13)&amp;"|"&amp;$C198&amp;"|"&amp;$D198&amp;"|"&amp;J$14&amp;"|"&amp;"CY2021Q3",Spectrum!$Q:$Q,0)),"")</f>
        <v>0.2014917</v>
      </c>
      <c r="K198" s="123" t="n">
        <f aca="false">_xlfn.IFNA(INDEX(Spectrum!$P:$P,MATCH(RIGHT($B198,13)&amp;"|"&amp;$C198&amp;"|"&amp;$D198&amp;"|"&amp;J$14&amp;"|"&amp;"CY2021Q3",Spectrum!$Q:$Q,0)),"")</f>
        <v>8</v>
      </c>
      <c r="L198" s="115" t="n">
        <f aca="false">_xlfn.IFNA(ROUND(INDEX(Spectrum!$N:$N,MATCH(RIGHT($B198,13)&amp;"|"&amp;$C198&amp;"|"&amp;$D198&amp;"|"&amp;L$14&amp;"|"&amp;"CY2021Q3",Spectrum!$Q:$Q,0)),0),"")</f>
        <v>534</v>
      </c>
      <c r="M198" s="123" t="n">
        <f aca="false">IF(OR(SUM($H198)&lt;=0,SUM($L198)&lt;=0),"",SUM($L198)/$H198)</f>
        <v>0.612385321100917</v>
      </c>
      <c r="N198" s="115" t="str">
        <f aca="false">_xlfn.IFNA(ROUND(INDEX(Spectrum!$N:$N,MATCH(RIGHT($B198,13)&amp;"|"&amp;$C198&amp;"|"&amp;$D198&amp;"|"&amp;N$14&amp;"|"&amp;"CY2020Q4",Spectrum!$Q:$Q,0)),0),"")</f>
        <v/>
      </c>
      <c r="O198" s="123" t="str">
        <f aca="false">_xlfn.IFNA(INDEX(Spectrum!$P:$P,MATCH(RIGHT($B198,13)&amp;"|"&amp;$C198&amp;"|"&amp;$D198&amp;"|"&amp;N$14&amp;"|"&amp;"CY2020Q4",Spectrum!$Q:$Q,0)),"")</f>
        <v/>
      </c>
      <c r="P198" s="115" t="n">
        <f aca="false">_xlfn.IFNA(ROUND(INDEX(Spectrum!$N:$N,MATCH(RIGHT($B198,13)&amp;"|"&amp;$C198&amp;"|"&amp;$D198&amp;"|"&amp;P$14&amp;"|"&amp;"CY2021Q3",Spectrum!$Q:$Q,0)),0),"")</f>
        <v>421</v>
      </c>
      <c r="Q198" s="123" t="n">
        <f aca="false">_xlfn.IFNA(INDEX(Spectrum!$P:$P,MATCH(RIGHT($B198,13)&amp;"|"&amp;$C198&amp;"|"&amp;$D198&amp;"|"&amp;P$14&amp;"|"&amp;"CY2021Q3",Spectrum!$Q:$Q,0)),"")</f>
        <v>13</v>
      </c>
      <c r="R198" s="115"/>
      <c r="S198" s="123" t="str">
        <f aca="false">IF(OR(SUM($P198)&lt;=0,SUM($R198)&lt;=0),"",SUM($R198)/$P198)</f>
        <v/>
      </c>
      <c r="T198" s="139" t="n">
        <v>38</v>
      </c>
      <c r="U198" s="124" t="n">
        <v>5</v>
      </c>
      <c r="V198" s="124" t="n">
        <f aca="false">IF($U198-$T198=0,"",$U198-$T198)</f>
        <v>-33</v>
      </c>
      <c r="W198" s="123" t="n">
        <f aca="false">IF(LEFT($B198,4)="_Mil","",IFERROR(MIN(IF(SUM($N198)&lt;=0,SUM($U198)/SUM($P198),SUM($T198)/SUM($N198)),1),""))</f>
        <v>0.0118764845605701</v>
      </c>
      <c r="X198" s="123" t="n">
        <f aca="false">$W198</f>
        <v>0.0118764845605701</v>
      </c>
      <c r="Y198" s="123" t="n">
        <f aca="false">IFERROR(1/(1/INDEX(Spectrum!$N:$N,MATCH(RIGHT($B198,13)&amp;"|"&amp;$C198&amp;"|"&amp;$D198&amp;"|"&amp;Y$14&amp;"|"&amp;"CY2021Q3",Spectrum!$Q:$Q,0))),IF(SUM($H198)=0,"",MAX(SUM($P198),SUM($U198))/SUM($H198)))</f>
        <v>0.482798165137615</v>
      </c>
      <c r="Z198" s="123" t="n">
        <f aca="false">IF(SUM($Y198)=0,"",MAX(SUM($Y198),90%))</f>
        <v>0.9</v>
      </c>
      <c r="AA198" s="115" t="n">
        <f aca="false">IF(LEFT($B198,4)="_Mil","",ROUND(MAX(SUM($U198),SUM($P198))+IF(SUM($Z198)=0,0,MAX(SUM($Z198)-SUM($Y198),0)*SUM($H198)),0))</f>
        <v>785</v>
      </c>
      <c r="AB198" s="115" t="n">
        <f aca="false">IF(SUM($AA198)=0,"",ROUND(MAX(SUM($AA198)-MAX(SUM($P198),SUM($U198)),0),0))</f>
        <v>364</v>
      </c>
      <c r="AC198" s="126" t="str">
        <f aca="false">IF($C198="&lt;01",IFERROR(ROUND(INDEX(EID!$N:$N,MATCH($B198,EID!$B:$B,0))/2,0),""),"")</f>
        <v/>
      </c>
      <c r="AD198" s="115" t="n">
        <f aca="false">IF($C198="&lt;01",IF(SUM($AC198)=0,"",ROUND(SUM($AC198)/$AG198,0)),IF(SUM($AB198)=0,"",ROUND(MAX($X198,0)*SUM($AB198),0)))</f>
        <v>4</v>
      </c>
      <c r="AE198" s="115" t="n">
        <f aca="false">IF(AND(SUM($AD198)=0,SUM($U198)=0),"",ROUND(IF($C198="&lt;01",0,SUM($U198))+SUM($AD198),0))</f>
        <v>9</v>
      </c>
      <c r="AF198" s="122" t="n">
        <f aca="false">IF($C198="&lt;01","",100%)</f>
        <v>1</v>
      </c>
      <c r="AG198" s="123" t="n">
        <f aca="false">0.98</f>
        <v>0.98</v>
      </c>
      <c r="AH198" s="123" t="n">
        <f aca="false">0.98</f>
        <v>0.98</v>
      </c>
      <c r="AI198" s="124" t="n">
        <f aca="false">IF(OR($C198="&lt;01",SUM($U198)=0),"",ROUND(SUM($U198)*(1-$AH198),0))</f>
        <v>0</v>
      </c>
      <c r="AJ198" s="124" t="n">
        <f aca="false">IF(AND(SUM($AE198)=0,SUM($U198)=0),"",IF($C198="&lt;01",SUM($AD198),SUM($AE198) - ROUND(SUM($U198)*$AH198,0)))</f>
        <v>4</v>
      </c>
      <c r="AK198" s="124" t="n">
        <v>48</v>
      </c>
      <c r="AL198" s="124" t="n">
        <v>4</v>
      </c>
      <c r="AM198" s="115" t="n">
        <f aca="false">IF(AND(SUM($AD198)=0,SUM($U198)=0),"",IF($C198="&lt;01",SUM($AD198),ROUND(ROUND(SUM($AJ198)*$AF198,0)/$AG198,0)))</f>
        <v>4</v>
      </c>
      <c r="AN198" s="122" t="n">
        <f aca="false">0.7</f>
        <v>0.7</v>
      </c>
      <c r="AO198" s="123" t="n">
        <f aca="false">1</f>
        <v>1</v>
      </c>
      <c r="AP198" s="115" t="n">
        <f aca="false">IF(AND(SUM($U198)=0,SUM($AM198)=0),"",ROUND((SUM($AM198)*$AN198+IF($C198="&lt;01",0,$U198))*$AO198,0))</f>
        <v>8</v>
      </c>
      <c r="AQ198" s="122" t="n">
        <v>6</v>
      </c>
      <c r="AR198" s="123" t="n">
        <f aca="false">0.95</f>
        <v>0.95</v>
      </c>
      <c r="AS198" s="123" t="n">
        <f aca="false">0.95</f>
        <v>0.95</v>
      </c>
      <c r="AT198" s="115" t="n">
        <f aca="false">IF(SUM($AP198)=0,"",ROUND(SUM($AP198)*$AR198,0))</f>
        <v>8</v>
      </c>
      <c r="AU198" s="115" t="n">
        <f aca="false">IF(LEFT($B198,4)="_Mil","",ROUND(SUM($AA198)*SUM($AS198),0))</f>
        <v>746</v>
      </c>
      <c r="AV198" s="124" t="n">
        <f aca="false">IF(SUM($AU198)&lt;=0,"",MAX(SUM($AU198)-SUM($R198),0))</f>
        <v>746</v>
      </c>
      <c r="AW198" s="122" t="n">
        <f aca="false">0</f>
        <v>0</v>
      </c>
      <c r="AX198" s="124" t="n">
        <f aca="false">IF(SUM($AM198)=0,"",ROUND(SUM($AM198)*SUM($AW198),0))</f>
        <v>0</v>
      </c>
      <c r="AY198" s="124" t="n">
        <f aca="false">IF(SUM($AM198)=0,"",SUM($AM198)-SUM($AX198))</f>
        <v>4</v>
      </c>
      <c r="AZ198" s="123" t="n">
        <v>45</v>
      </c>
      <c r="BA198" s="123" t="n">
        <f aca="false">0.95</f>
        <v>0.95</v>
      </c>
      <c r="BB198" s="123"/>
      <c r="BC198" s="123" t="n">
        <f aca="false">IF(OR(SUM($AM198)&lt;=0,$C198="&lt;01"),"",MAX(IF(OR(SUM($Y198)&lt;70%,LEFT($B198,4)="_Mil"),30%,IF(SUM($Y198)&gt;=80%,75%,50%)),SUM($BB198)))</f>
        <v>0.3</v>
      </c>
      <c r="BD198" s="115" t="n">
        <f aca="false">IF($C198="&lt;01",IFERROR(ROUND(INDEX(EID!$M:$M,MATCH($B198,EID!$B:$B,0)),0)/2,""),IF(SUM($AY198)=0,"",ROUND(SUM($AY198)/SUM($BA198),0)))</f>
        <v>4</v>
      </c>
      <c r="BE198" s="115" t="n">
        <f aca="false">IF($C198="&lt;01","",IF(SUM($BD198)=0,"",ROUND(SUM($BD198)*SUM($BC198),0)))</f>
        <v>1</v>
      </c>
      <c r="BF198" s="115" t="str">
        <f aca="false">_xlfn.IFNA(INDEX(PMTCT!$AE:$AE,MATCH($E198,PMTCT!$E:$E,0)),"")</f>
        <v/>
      </c>
      <c r="BG198" s="115" t="str">
        <f aca="false">_xlfn.IFNA(INDEX(PMTCT!$AU:$AU,MATCH($E198,PMTCT!$E:$E,0)),"")</f>
        <v/>
      </c>
      <c r="BH198" s="115" t="n">
        <f aca="false">_xlfn.IFNA(INDEX(TB!$Q:$Q,MATCH($E198,TB!$E:$E,0)),"")</f>
        <v>-0</v>
      </c>
      <c r="BI198" s="115" t="str">
        <f aca="false">_xlfn.IFNA(INDEX(VMMC!$AC:$AC,MATCH($E198,VMMC!$E:$E,0)),"")</f>
        <v/>
      </c>
      <c r="BJ198" s="115" t="str">
        <f aca="false">IF($C198="&lt;01",$BD198,"")</f>
        <v/>
      </c>
      <c r="BK198" s="115" t="n">
        <f aca="false">IF(SUM($BD198)=0,"",($BD198)-SUM($BE198:$BJ198))</f>
        <v>3</v>
      </c>
      <c r="BL198" s="123" t="n">
        <f aca="false">IF(OR(SUM($BD198)=0,SUM($BE198)=0),"",SUM($BE198)/$BD198)</f>
        <v>0.25</v>
      </c>
      <c r="BM198" s="123" t="str">
        <f aca="false">IF(OR(SUM($BD198)=0,SUM($BF198)=0),"",SUM($BF198)/$BD198)</f>
        <v/>
      </c>
      <c r="BN198" s="123" t="str">
        <f aca="false">IF(OR(SUM($BD198)=0,SUM($BG198)=0),"",SUM($BG198)/$BD198)</f>
        <v/>
      </c>
      <c r="BO198" s="123" t="str">
        <f aca="false">IF(OR(SUM($BD198)=0,SUM($BH198)=0),"",SUM($BH198)/$BD198)</f>
        <v/>
      </c>
      <c r="BP198" s="123" t="str">
        <f aca="false">IF(OR(SUM($BD198)=0,SUM($BI198)=0),"",SUM($BI198)/$BD198)</f>
        <v/>
      </c>
      <c r="BQ198" s="123" t="str">
        <f aca="false">IF(AND($C198="&lt;01",SUM($BJ198)&lt;&gt;0),$BJ198/SUM($BD198),"")</f>
        <v/>
      </c>
      <c r="BR198" s="123" t="n">
        <f aca="false">IF(OR(SUM($BD198)=0,SUM($BK198)=0),"",SUM($BK198)/$BD198)</f>
        <v>0.75</v>
      </c>
      <c r="BS198" s="122" t="n">
        <f aca="false">IF(SUM($X198)&lt;=0,"",$X198)</f>
        <v>0.0118764845605701</v>
      </c>
      <c r="BT198" s="115" t="n">
        <f aca="false">IF(LEFT($B198,4)="_Mil","",MAX(SUM($L198)+ROUND(SUM($BD198)/IF(SUM($BS198)&lt;=0,1,SUM($BS198)),0),0))</f>
        <v>871</v>
      </c>
    </row>
    <row r="199" customFormat="false" ht="15" hidden="false" customHeight="false" outlineLevel="0" collapsed="false">
      <c r="A199" s="0" t="s">
        <v>148</v>
      </c>
      <c r="B199" s="0" t="s">
        <v>113</v>
      </c>
      <c r="C199" s="0" t="s">
        <v>75</v>
      </c>
      <c r="D199" s="0" t="s">
        <v>56</v>
      </c>
      <c r="E199" s="0" t="str">
        <f aca="false">B199&amp;"|"&amp;C199&amp;"|"&amp;D199</f>
        <v>Mokhotlong [#SNU] [tjhYqc1MlVo]|35-39|Female</v>
      </c>
      <c r="F199" s="115" t="n">
        <f aca="false">_xlfn.IFNA(ROUND(INDEX(Spectrum!$N:$N,MATCH(RIGHT($B199,13)&amp;"|"&amp;$C199&amp;"|"&amp;$D199&amp;"|"&amp;F$14&amp;"|"&amp;"CY2021Q3",Spectrum!$Q:$Q,0)),0),"")</f>
        <v>2870</v>
      </c>
      <c r="G199" s="123" t="n">
        <f aca="false">_xlfn.IFNA(INDEX(Spectrum!$P:$P,MATCH(RIGHT($B199,13)&amp;"|"&amp;$C199&amp;"|"&amp;$D199&amp;"|"&amp;F$14&amp;"|"&amp;"CY2021Q3",Spectrum!$Q:$Q,0)),"")</f>
        <v>9</v>
      </c>
      <c r="H199" s="115" t="n">
        <f aca="false">_xlfn.IFNA(ROUND(INDEX(Spectrum!$N:$N,MATCH(RIGHT($B199,13)&amp;"|"&amp;$C199&amp;"|"&amp;$D199&amp;"|"&amp;H$14&amp;"|"&amp;"CY2021Q3",Spectrum!$Q:$Q,0)),0),"")</f>
        <v>1277</v>
      </c>
      <c r="I199" s="123" t="n">
        <f aca="false">_xlfn.IFNA(INDEX(Spectrum!$P:$P,MATCH(RIGHT($B199,13)&amp;"|"&amp;$C199&amp;"|"&amp;$D199&amp;"|"&amp;H$14&amp;"|"&amp;"CY2021Q3",Spectrum!$Q:$Q,0)),"")</f>
        <v>32</v>
      </c>
      <c r="J199" s="117" t="n">
        <f aca="false">_xlfn.IFNA(INDEX(Spectrum!$N:$N,MATCH(RIGHT($B199,13)&amp;"|"&amp;$C199&amp;"|"&amp;$D199&amp;"|"&amp;J$14&amp;"|"&amp;"CY2021Q3",Spectrum!$Q:$Q,0)),"")</f>
        <v>0.4449576</v>
      </c>
      <c r="K199" s="123" t="n">
        <f aca="false">_xlfn.IFNA(INDEX(Spectrum!$P:$P,MATCH(RIGHT($B199,13)&amp;"|"&amp;$C199&amp;"|"&amp;$D199&amp;"|"&amp;J$14&amp;"|"&amp;"CY2021Q3",Spectrum!$Q:$Q,0)),"")</f>
        <v>11</v>
      </c>
      <c r="L199" s="115" t="n">
        <f aca="false">_xlfn.IFNA(ROUND(INDEX(Spectrum!$N:$N,MATCH(RIGHT($B199,13)&amp;"|"&amp;$C199&amp;"|"&amp;$D199&amp;"|"&amp;L$14&amp;"|"&amp;"CY2021Q3",Spectrum!$Q:$Q,0)),0),"")</f>
        <v>980</v>
      </c>
      <c r="M199" s="123" t="n">
        <f aca="false">IF(OR(SUM($H199)&lt;=0,SUM($L199)&lt;=0),"",SUM($L199)/$H199)</f>
        <v>0.76742364917776</v>
      </c>
      <c r="N199" s="115" t="str">
        <f aca="false">_xlfn.IFNA(ROUND(INDEX(Spectrum!$N:$N,MATCH(RIGHT($B199,13)&amp;"|"&amp;$C199&amp;"|"&amp;$D199&amp;"|"&amp;N$14&amp;"|"&amp;"CY2020Q4",Spectrum!$Q:$Q,0)),0),"")</f>
        <v/>
      </c>
      <c r="O199" s="123" t="str">
        <f aca="false">_xlfn.IFNA(INDEX(Spectrum!$P:$P,MATCH(RIGHT($B199,13)&amp;"|"&amp;$C199&amp;"|"&amp;$D199&amp;"|"&amp;N$14&amp;"|"&amp;"CY2020Q4",Spectrum!$Q:$Q,0)),"")</f>
        <v/>
      </c>
      <c r="P199" s="115" t="n">
        <f aca="false">_xlfn.IFNA(ROUND(INDEX(Spectrum!$N:$N,MATCH(RIGHT($B199,13)&amp;"|"&amp;$C199&amp;"|"&amp;$D199&amp;"|"&amp;P$14&amp;"|"&amp;"CY2021Q3",Spectrum!$Q:$Q,0)),0),"")</f>
        <v>919</v>
      </c>
      <c r="Q199" s="123" t="n">
        <f aca="false">_xlfn.IFNA(INDEX(Spectrum!$P:$P,MATCH(RIGHT($B199,13)&amp;"|"&amp;$C199&amp;"|"&amp;$D199&amp;"|"&amp;P$14&amp;"|"&amp;"CY2021Q3",Spectrum!$Q:$Q,0)),"")</f>
        <v>16</v>
      </c>
      <c r="R199" s="115"/>
      <c r="S199" s="123" t="str">
        <f aca="false">IF(OR(SUM($P199)&lt;=0,SUM($R199)&lt;=0),"",SUM($R199)/$P199)</f>
        <v/>
      </c>
      <c r="T199" s="139" t="n">
        <v>20</v>
      </c>
      <c r="U199" s="124" t="n">
        <v>11</v>
      </c>
      <c r="V199" s="124" t="n">
        <f aca="false">IF($U199-$T199=0,"",$U199-$T199)</f>
        <v>-9</v>
      </c>
      <c r="W199" s="123" t="n">
        <f aca="false">IF(LEFT($B199,4)="_Mil","",IFERROR(MIN(IF(SUM($N199)&lt;=0,SUM($U199)/SUM($P199),SUM($T199)/SUM($N199)),1),""))</f>
        <v>0.0119695321001088</v>
      </c>
      <c r="X199" s="123" t="n">
        <f aca="false">$W199</f>
        <v>0.0119695321001088</v>
      </c>
      <c r="Y199" s="123" t="n">
        <f aca="false">IFERROR(1/(1/INDEX(Spectrum!$N:$N,MATCH(RIGHT($B199,13)&amp;"|"&amp;$C199&amp;"|"&amp;$D199&amp;"|"&amp;Y$14&amp;"|"&amp;"CY2021Q3",Spectrum!$Q:$Q,0))),IF(SUM($H199)=0,"",MAX(SUM($P199),SUM($U199))/SUM($H199)))</f>
        <v>0.719655442443226</v>
      </c>
      <c r="Z199" s="123" t="n">
        <f aca="false">IF(SUM($Y199)=0,"",MAX(SUM($Y199),90%))</f>
        <v>0.9</v>
      </c>
      <c r="AA199" s="115" t="n">
        <f aca="false">IF(LEFT($B199,4)="_Mil","",ROUND(MAX(SUM($U199),SUM($P199))+IF(SUM($Z199)=0,0,MAX(SUM($Z199)-SUM($Y199),0)*SUM($H199)),0))</f>
        <v>1149</v>
      </c>
      <c r="AB199" s="115" t="n">
        <f aca="false">IF(SUM($AA199)=0,"",ROUND(MAX(SUM($AA199)-MAX(SUM($P199),SUM($U199)),0),0))</f>
        <v>230</v>
      </c>
      <c r="AC199" s="126" t="str">
        <f aca="false">IF($C199="&lt;01",IFERROR(ROUND(INDEX(EID!$N:$N,MATCH($B199,EID!$B:$B,0))/2,0),""),"")</f>
        <v/>
      </c>
      <c r="AD199" s="115" t="n">
        <f aca="false">IF($C199="&lt;01",IF(SUM($AC199)=0,"",ROUND(SUM($AC199)/$AG199,0)),IF(SUM($AB199)=0,"",ROUND(MAX($X199,0)*SUM($AB199),0)))</f>
        <v>3</v>
      </c>
      <c r="AE199" s="115" t="n">
        <f aca="false">IF(AND(SUM($AD199)=0,SUM($U199)=0),"",ROUND(IF($C199="&lt;01",0,SUM($U199))+SUM($AD199),0))</f>
        <v>14</v>
      </c>
      <c r="AF199" s="122" t="n">
        <f aca="false">IF($C199="&lt;01","",100%)</f>
        <v>1</v>
      </c>
      <c r="AG199" s="123" t="n">
        <f aca="false">0.98</f>
        <v>0.98</v>
      </c>
      <c r="AH199" s="123" t="n">
        <f aca="false">0.98</f>
        <v>0.98</v>
      </c>
      <c r="AI199" s="124" t="n">
        <f aca="false">IF(OR($C199="&lt;01",SUM($U199)=0),"",ROUND(SUM($U199)*(1-$AH199),0))</f>
        <v>0</v>
      </c>
      <c r="AJ199" s="124" t="n">
        <f aca="false">IF(AND(SUM($AE199)=0,SUM($U199)=0),"",IF($C199="&lt;01",SUM($AD199),SUM($AE199) - ROUND(SUM($U199)*$AH199,0)))</f>
        <v>3</v>
      </c>
      <c r="AK199" s="124" t="n">
        <v>4</v>
      </c>
      <c r="AL199" s="124" t="n">
        <v>44</v>
      </c>
      <c r="AM199" s="115" t="n">
        <f aca="false">IF(AND(SUM($AD199)=0,SUM($U199)=0),"",IF($C199="&lt;01",SUM($AD199),ROUND(ROUND(SUM($AJ199)*$AF199,0)/$AG199,0)))</f>
        <v>3</v>
      </c>
      <c r="AN199" s="122" t="n">
        <f aca="false">0.7</f>
        <v>0.7</v>
      </c>
      <c r="AO199" s="123" t="n">
        <f aca="false">1</f>
        <v>1</v>
      </c>
      <c r="AP199" s="115" t="n">
        <f aca="false">IF(AND(SUM($U199)=0,SUM($AM199)=0),"",ROUND((SUM($AM199)*$AN199+IF($C199="&lt;01",0,$U199))*$AO199,0))</f>
        <v>13</v>
      </c>
      <c r="AQ199" s="122" t="n">
        <v>2</v>
      </c>
      <c r="AR199" s="123" t="n">
        <f aca="false">0.95</f>
        <v>0.95</v>
      </c>
      <c r="AS199" s="123" t="n">
        <f aca="false">0.95</f>
        <v>0.95</v>
      </c>
      <c r="AT199" s="115" t="n">
        <f aca="false">IF(SUM($AP199)=0,"",ROUND(SUM($AP199)*$AR199,0))</f>
        <v>12</v>
      </c>
      <c r="AU199" s="115" t="n">
        <f aca="false">IF(LEFT($B199,4)="_Mil","",ROUND(SUM($AA199)*SUM($AS199),0))</f>
        <v>1092</v>
      </c>
      <c r="AV199" s="124" t="n">
        <f aca="false">IF(SUM($AU199)&lt;=0,"",MAX(SUM($AU199)-SUM($R199),0))</f>
        <v>1092</v>
      </c>
      <c r="AW199" s="122" t="n">
        <f aca="false">0</f>
        <v>0</v>
      </c>
      <c r="AX199" s="124" t="n">
        <f aca="false">IF(SUM($AM199)=0,"",ROUND(SUM($AM199)*SUM($AW199),0))</f>
        <v>0</v>
      </c>
      <c r="AY199" s="124" t="n">
        <f aca="false">IF(SUM($AM199)=0,"",SUM($AM199)-SUM($AX199))</f>
        <v>3</v>
      </c>
      <c r="AZ199" s="123" t="n">
        <v>13</v>
      </c>
      <c r="BA199" s="123" t="n">
        <f aca="false">0.95</f>
        <v>0.95</v>
      </c>
      <c r="BB199" s="123"/>
      <c r="BC199" s="123" t="n">
        <f aca="false">IF(OR(SUM($AM199)&lt;=0,$C199="&lt;01"),"",MAX(IF(OR(SUM($Y199)&lt;70%,LEFT($B199,4)="_Mil"),30%,IF(SUM($Y199)&gt;=80%,75%,50%)),SUM($BB199)))</f>
        <v>0.5</v>
      </c>
      <c r="BD199" s="115" t="n">
        <f aca="false">IF($C199="&lt;01",IFERROR(ROUND(INDEX(EID!$M:$M,MATCH($B199,EID!$B:$B,0)),0)/2,""),IF(SUM($AY199)=0,"",ROUND(SUM($AY199)/SUM($BA199),0)))</f>
        <v>3</v>
      </c>
      <c r="BE199" s="115" t="n">
        <f aca="false">IF($C199="&lt;01","",IF(SUM($BD199)=0,"",ROUND(SUM($BD199)*SUM($BC199),0)))</f>
        <v>2</v>
      </c>
      <c r="BF199" s="115" t="n">
        <f aca="false">_xlfn.IFNA(INDEX(PMTCT!$AE:$AE,MATCH($E199,PMTCT!$E:$E,0)),"")</f>
        <v>-792</v>
      </c>
      <c r="BG199" s="115" t="str">
        <f aca="false">_xlfn.IFNA(INDEX(PMTCT!$AU:$AU,MATCH($E199,PMTCT!$E:$E,0)),"")</f>
        <v/>
      </c>
      <c r="BH199" s="115" t="n">
        <f aca="false">_xlfn.IFNA(INDEX(TB!$Q:$Q,MATCH($E199,TB!$E:$E,0)),"")</f>
        <v>-0</v>
      </c>
      <c r="BI199" s="115" t="str">
        <f aca="false">_xlfn.IFNA(INDEX(VMMC!$AC:$AC,MATCH($E199,VMMC!$E:$E,0)),"")</f>
        <v/>
      </c>
      <c r="BJ199" s="115" t="str">
        <f aca="false">IF($C199="&lt;01",$BD199,"")</f>
        <v/>
      </c>
      <c r="BK199" s="115" t="n">
        <f aca="false">IF(SUM($BD199)=0,"",($BD199)-SUM($BE199:$BJ199))</f>
        <v>793</v>
      </c>
      <c r="BL199" s="123" t="n">
        <f aca="false">IF(OR(SUM($BD199)=0,SUM($BE199)=0),"",SUM($BE199)/$BD199)</f>
        <v>0.666666666666667</v>
      </c>
      <c r="BM199" s="123" t="n">
        <f aca="false">IF(OR(SUM($BD199)=0,SUM($BF199)=0),"",SUM($BF199)/$BD199)</f>
        <v>-264</v>
      </c>
      <c r="BN199" s="123" t="str">
        <f aca="false">IF(OR(SUM($BD199)=0,SUM($BG199)=0),"",SUM($BG199)/$BD199)</f>
        <v/>
      </c>
      <c r="BO199" s="123" t="str">
        <f aca="false">IF(OR(SUM($BD199)=0,SUM($BH199)=0),"",SUM($BH199)/$BD199)</f>
        <v/>
      </c>
      <c r="BP199" s="123" t="str">
        <f aca="false">IF(OR(SUM($BD199)=0,SUM($BI199)=0),"",SUM($BI199)/$BD199)</f>
        <v/>
      </c>
      <c r="BQ199" s="123" t="str">
        <f aca="false">IF(AND($C199="&lt;01",SUM($BJ199)&lt;&gt;0),$BJ199/SUM($BD199),"")</f>
        <v/>
      </c>
      <c r="BR199" s="123" t="n">
        <f aca="false">IF(OR(SUM($BD199)=0,SUM($BK199)=0),"",SUM($BK199)/$BD199)</f>
        <v>264.333333333333</v>
      </c>
      <c r="BS199" s="122" t="n">
        <f aca="false">IF(SUM($X199)&lt;=0,"",$X199)</f>
        <v>0.0119695321001088</v>
      </c>
      <c r="BT199" s="115" t="n">
        <f aca="false">IF(LEFT($B199,4)="_Mil","",MAX(SUM($L199)+ROUND(SUM($BD199)/IF(SUM($BS199)&lt;=0,1,SUM($BS199)),0),0))</f>
        <v>1231</v>
      </c>
    </row>
    <row r="200" customFormat="false" ht="15" hidden="false" customHeight="false" outlineLevel="0" collapsed="false">
      <c r="A200" s="0" t="s">
        <v>148</v>
      </c>
      <c r="B200" s="0" t="s">
        <v>113</v>
      </c>
      <c r="C200" s="0" t="s">
        <v>75</v>
      </c>
      <c r="D200" s="0" t="s">
        <v>58</v>
      </c>
      <c r="E200" s="0" t="str">
        <f aca="false">B200&amp;"|"&amp;C200&amp;"|"&amp;D200</f>
        <v>Mokhotlong [#SNU] [tjhYqc1MlVo]|35-39|Male</v>
      </c>
      <c r="F200" s="115" t="n">
        <f aca="false">_xlfn.IFNA(ROUND(INDEX(Spectrum!$N:$N,MATCH(RIGHT($B200,13)&amp;"|"&amp;$C200&amp;"|"&amp;$D200&amp;"|"&amp;F$14&amp;"|"&amp;"CY2021Q3",Spectrum!$Q:$Q,0)),0),"")</f>
        <v>3613</v>
      </c>
      <c r="G200" s="123" t="n">
        <f aca="false">_xlfn.IFNA(INDEX(Spectrum!$P:$P,MATCH(RIGHT($B200,13)&amp;"|"&amp;$C200&amp;"|"&amp;$D200&amp;"|"&amp;F$14&amp;"|"&amp;"CY2021Q3",Spectrum!$Q:$Q,0)),"")</f>
        <v>28</v>
      </c>
      <c r="H200" s="115" t="n">
        <f aca="false">_xlfn.IFNA(ROUND(INDEX(Spectrum!$N:$N,MATCH(RIGHT($B200,13)&amp;"|"&amp;$C200&amp;"|"&amp;$D200&amp;"|"&amp;H$14&amp;"|"&amp;"CY2021Q3",Spectrum!$Q:$Q,0)),0),"")</f>
        <v>1050</v>
      </c>
      <c r="I200" s="123" t="n">
        <f aca="false">_xlfn.IFNA(INDEX(Spectrum!$P:$P,MATCH(RIGHT($B200,13)&amp;"|"&amp;$C200&amp;"|"&amp;$D200&amp;"|"&amp;H$14&amp;"|"&amp;"CY2021Q3",Spectrum!$Q:$Q,0)),"")</f>
        <v>19</v>
      </c>
      <c r="J200" s="117" t="n">
        <f aca="false">_xlfn.IFNA(INDEX(Spectrum!$N:$N,MATCH(RIGHT($B200,13)&amp;"|"&amp;$C200&amp;"|"&amp;$D200&amp;"|"&amp;J$14&amp;"|"&amp;"CY2021Q3",Spectrum!$Q:$Q,0)),"")</f>
        <v>0.2905777</v>
      </c>
      <c r="K200" s="123" t="n">
        <f aca="false">_xlfn.IFNA(INDEX(Spectrum!$P:$P,MATCH(RIGHT($B200,13)&amp;"|"&amp;$C200&amp;"|"&amp;$D200&amp;"|"&amp;J$14&amp;"|"&amp;"CY2021Q3",Spectrum!$Q:$Q,0)),"")</f>
        <v>4</v>
      </c>
      <c r="L200" s="115" t="n">
        <f aca="false">_xlfn.IFNA(ROUND(INDEX(Spectrum!$N:$N,MATCH(RIGHT($B200,13)&amp;"|"&amp;$C200&amp;"|"&amp;$D200&amp;"|"&amp;L$14&amp;"|"&amp;"CY2021Q3",Spectrum!$Q:$Q,0)),0),"")</f>
        <v>730</v>
      </c>
      <c r="M200" s="123" t="n">
        <f aca="false">IF(OR(SUM($H200)&lt;=0,SUM($L200)&lt;=0),"",SUM($L200)/$H200)</f>
        <v>0.695238095238095</v>
      </c>
      <c r="N200" s="115" t="str">
        <f aca="false">_xlfn.IFNA(ROUND(INDEX(Spectrum!$N:$N,MATCH(RIGHT($B200,13)&amp;"|"&amp;$C200&amp;"|"&amp;$D200&amp;"|"&amp;N$14&amp;"|"&amp;"CY2020Q4",Spectrum!$Q:$Q,0)),0),"")</f>
        <v/>
      </c>
      <c r="O200" s="123" t="str">
        <f aca="false">_xlfn.IFNA(INDEX(Spectrum!$P:$P,MATCH(RIGHT($B200,13)&amp;"|"&amp;$C200&amp;"|"&amp;$D200&amp;"|"&amp;N$14&amp;"|"&amp;"CY2020Q4",Spectrum!$Q:$Q,0)),"")</f>
        <v/>
      </c>
      <c r="P200" s="115" t="n">
        <f aca="false">_xlfn.IFNA(ROUND(INDEX(Spectrum!$N:$N,MATCH(RIGHT($B200,13)&amp;"|"&amp;$C200&amp;"|"&amp;$D200&amp;"|"&amp;P$14&amp;"|"&amp;"CY2021Q3",Spectrum!$Q:$Q,0)),0),"")</f>
        <v>609</v>
      </c>
      <c r="Q200" s="123" t="n">
        <f aca="false">_xlfn.IFNA(INDEX(Spectrum!$P:$P,MATCH(RIGHT($B200,13)&amp;"|"&amp;$C200&amp;"|"&amp;$D200&amp;"|"&amp;P$14&amp;"|"&amp;"CY2021Q3",Spectrum!$Q:$Q,0)),"")</f>
        <v>25</v>
      </c>
      <c r="R200" s="115"/>
      <c r="S200" s="123" t="str">
        <f aca="false">IF(OR(SUM($P200)&lt;=0,SUM($R200)&lt;=0),"",SUM($R200)/$P200)</f>
        <v/>
      </c>
      <c r="T200" s="139" t="n">
        <v>23</v>
      </c>
      <c r="U200" s="124" t="n">
        <v>35</v>
      </c>
      <c r="V200" s="124" t="n">
        <f aca="false">IF($U200-$T200=0,"",$U200-$T200)</f>
        <v>12</v>
      </c>
      <c r="W200" s="123" t="n">
        <f aca="false">IF(LEFT($B200,4)="_Mil","",IFERROR(MIN(IF(SUM($N200)&lt;=0,SUM($U200)/SUM($P200),SUM($T200)/SUM($N200)),1),""))</f>
        <v>0.0574712643678161</v>
      </c>
      <c r="X200" s="123" t="n">
        <f aca="false">$W200</f>
        <v>0.0574712643678161</v>
      </c>
      <c r="Y200" s="123" t="n">
        <f aca="false">IFERROR(1/(1/INDEX(Spectrum!$N:$N,MATCH(RIGHT($B200,13)&amp;"|"&amp;$C200&amp;"|"&amp;$D200&amp;"|"&amp;Y$14&amp;"|"&amp;"CY2021Q3",Spectrum!$Q:$Q,0))),IF(SUM($H200)=0,"",MAX(SUM($P200),SUM($U200))/SUM($H200)))</f>
        <v>0.58</v>
      </c>
      <c r="Z200" s="123" t="n">
        <f aca="false">IF(SUM($Y200)=0,"",MAX(SUM($Y200),90%))</f>
        <v>0.9</v>
      </c>
      <c r="AA200" s="115" t="n">
        <f aca="false">IF(LEFT($B200,4)="_Mil","",ROUND(MAX(SUM($U200),SUM($P200))+IF(SUM($Z200)=0,0,MAX(SUM($Z200)-SUM($Y200),0)*SUM($H200)),0))</f>
        <v>945</v>
      </c>
      <c r="AB200" s="115" t="n">
        <f aca="false">IF(SUM($AA200)=0,"",ROUND(MAX(SUM($AA200)-MAX(SUM($P200),SUM($U200)),0),0))</f>
        <v>336</v>
      </c>
      <c r="AC200" s="126" t="str">
        <f aca="false">IF($C200="&lt;01",IFERROR(ROUND(INDEX(EID!$N:$N,MATCH($B200,EID!$B:$B,0))/2,0),""),"")</f>
        <v/>
      </c>
      <c r="AD200" s="115" t="n">
        <f aca="false">IF($C200="&lt;01",IF(SUM($AC200)=0,"",ROUND(SUM($AC200)/$AG200,0)),IF(SUM($AB200)=0,"",ROUND(MAX($X200,0)*SUM($AB200),0)))</f>
        <v>19</v>
      </c>
      <c r="AE200" s="115" t="n">
        <f aca="false">IF(AND(SUM($AD200)=0,SUM($U200)=0),"",ROUND(IF($C200="&lt;01",0,SUM($U200))+SUM($AD200),0))</f>
        <v>54</v>
      </c>
      <c r="AF200" s="122" t="n">
        <f aca="false">IF($C200="&lt;01","",100%)</f>
        <v>1</v>
      </c>
      <c r="AG200" s="123" t="n">
        <f aca="false">0.98</f>
        <v>0.98</v>
      </c>
      <c r="AH200" s="123" t="n">
        <f aca="false">0.98</f>
        <v>0.98</v>
      </c>
      <c r="AI200" s="124" t="n">
        <f aca="false">IF(OR($C200="&lt;01",SUM($U200)=0),"",ROUND(SUM($U200)*(1-$AH200),0))</f>
        <v>1</v>
      </c>
      <c r="AJ200" s="124" t="n">
        <f aca="false">IF(AND(SUM($AE200)=0,SUM($U200)=0),"",IF($C200="&lt;01",SUM($AD200),SUM($AE200) - ROUND(SUM($U200)*$AH200,0)))</f>
        <v>20</v>
      </c>
      <c r="AK200" s="124" t="n">
        <v>21</v>
      </c>
      <c r="AL200" s="124" t="n">
        <v>10</v>
      </c>
      <c r="AM200" s="115" t="n">
        <f aca="false">IF(AND(SUM($AD200)=0,SUM($U200)=0),"",IF($C200="&lt;01",SUM($AD200),ROUND(ROUND(SUM($AJ200)*$AF200,0)/$AG200,0)))</f>
        <v>20</v>
      </c>
      <c r="AN200" s="122" t="n">
        <f aca="false">0.7</f>
        <v>0.7</v>
      </c>
      <c r="AO200" s="123" t="n">
        <f aca="false">1</f>
        <v>1</v>
      </c>
      <c r="AP200" s="115" t="n">
        <f aca="false">IF(AND(SUM($U200)=0,SUM($AM200)=0),"",ROUND((SUM($AM200)*$AN200+IF($C200="&lt;01",0,$U200))*$AO200,0))</f>
        <v>49</v>
      </c>
      <c r="AQ200" s="122" t="n">
        <v>38</v>
      </c>
      <c r="AR200" s="123" t="n">
        <f aca="false">0.95</f>
        <v>0.95</v>
      </c>
      <c r="AS200" s="123" t="n">
        <f aca="false">0.95</f>
        <v>0.95</v>
      </c>
      <c r="AT200" s="115" t="n">
        <f aca="false">IF(SUM($AP200)=0,"",ROUND(SUM($AP200)*$AR200,0))</f>
        <v>47</v>
      </c>
      <c r="AU200" s="115" t="n">
        <f aca="false">IF(LEFT($B200,4)="_Mil","",ROUND(SUM($AA200)*SUM($AS200),0))</f>
        <v>898</v>
      </c>
      <c r="AV200" s="124" t="n">
        <f aca="false">IF(SUM($AU200)&lt;=0,"",MAX(SUM($AU200)-SUM($R200),0))</f>
        <v>898</v>
      </c>
      <c r="AW200" s="122" t="n">
        <f aca="false">0</f>
        <v>0</v>
      </c>
      <c r="AX200" s="124" t="n">
        <f aca="false">IF(SUM($AM200)=0,"",ROUND(SUM($AM200)*SUM($AW200),0))</f>
        <v>0</v>
      </c>
      <c r="AY200" s="124" t="n">
        <f aca="false">IF(SUM($AM200)=0,"",SUM($AM200)-SUM($AX200))</f>
        <v>20</v>
      </c>
      <c r="AZ200" s="123" t="n">
        <v>28</v>
      </c>
      <c r="BA200" s="123" t="n">
        <f aca="false">0.95</f>
        <v>0.95</v>
      </c>
      <c r="BB200" s="123"/>
      <c r="BC200" s="123" t="n">
        <f aca="false">IF(OR(SUM($AM200)&lt;=0,$C200="&lt;01"),"",MAX(IF(OR(SUM($Y200)&lt;70%,LEFT($B200,4)="_Mil"),30%,IF(SUM($Y200)&gt;=80%,75%,50%)),SUM($BB200)))</f>
        <v>0.3</v>
      </c>
      <c r="BD200" s="115" t="n">
        <f aca="false">IF($C200="&lt;01",IFERROR(ROUND(INDEX(EID!$M:$M,MATCH($B200,EID!$B:$B,0)),0)/2,""),IF(SUM($AY200)=0,"",ROUND(SUM($AY200)/SUM($BA200),0)))</f>
        <v>21</v>
      </c>
      <c r="BE200" s="115" t="n">
        <f aca="false">IF($C200="&lt;01","",IF(SUM($BD200)=0,"",ROUND(SUM($BD200)*SUM($BC200),0)))</f>
        <v>6</v>
      </c>
      <c r="BF200" s="115" t="str">
        <f aca="false">_xlfn.IFNA(INDEX(PMTCT!$AE:$AE,MATCH($E200,PMTCT!$E:$E,0)),"")</f>
        <v/>
      </c>
      <c r="BG200" s="115" t="str">
        <f aca="false">_xlfn.IFNA(INDEX(PMTCT!$AU:$AU,MATCH($E200,PMTCT!$E:$E,0)),"")</f>
        <v/>
      </c>
      <c r="BH200" s="115" t="n">
        <f aca="false">_xlfn.IFNA(INDEX(TB!$Q:$Q,MATCH($E200,TB!$E:$E,0)),"")</f>
        <v>-19656</v>
      </c>
      <c r="BI200" s="115" t="str">
        <f aca="false">_xlfn.IFNA(INDEX(VMMC!$AC:$AC,MATCH($E200,VMMC!$E:$E,0)),"")</f>
        <v/>
      </c>
      <c r="BJ200" s="115" t="str">
        <f aca="false">IF($C200="&lt;01",$BD200,"")</f>
        <v/>
      </c>
      <c r="BK200" s="115" t="n">
        <f aca="false">IF(SUM($BD200)=0,"",($BD200)-SUM($BE200:$BJ200))</f>
        <v>19671</v>
      </c>
      <c r="BL200" s="123" t="n">
        <f aca="false">IF(OR(SUM($BD200)=0,SUM($BE200)=0),"",SUM($BE200)/$BD200)</f>
        <v>0.285714285714286</v>
      </c>
      <c r="BM200" s="123" t="str">
        <f aca="false">IF(OR(SUM($BD200)=0,SUM($BF200)=0),"",SUM($BF200)/$BD200)</f>
        <v/>
      </c>
      <c r="BN200" s="123" t="str">
        <f aca="false">IF(OR(SUM($BD200)=0,SUM($BG200)=0),"",SUM($BG200)/$BD200)</f>
        <v/>
      </c>
      <c r="BO200" s="123" t="n">
        <f aca="false">IF(OR(SUM($BD200)=0,SUM($BH200)=0),"",SUM($BH200)/$BD200)</f>
        <v>-936</v>
      </c>
      <c r="BP200" s="123" t="str">
        <f aca="false">IF(OR(SUM($BD200)=0,SUM($BI200)=0),"",SUM($BI200)/$BD200)</f>
        <v/>
      </c>
      <c r="BQ200" s="123" t="str">
        <f aca="false">IF(AND($C200="&lt;01",SUM($BJ200)&lt;&gt;0),$BJ200/SUM($BD200),"")</f>
        <v/>
      </c>
      <c r="BR200" s="123" t="n">
        <f aca="false">IF(OR(SUM($BD200)=0,SUM($BK200)=0),"",SUM($BK200)/$BD200)</f>
        <v>936.714285714286</v>
      </c>
      <c r="BS200" s="122" t="n">
        <f aca="false">IF(SUM($X200)&lt;=0,"",$X200)</f>
        <v>0.0574712643678161</v>
      </c>
      <c r="BT200" s="115" t="n">
        <f aca="false">IF(LEFT($B200,4)="_Mil","",MAX(SUM($L200)+ROUND(SUM($BD200)/IF(SUM($BS200)&lt;=0,1,SUM($BS200)),0),0))</f>
        <v>1095</v>
      </c>
    </row>
    <row r="201" customFormat="false" ht="15" hidden="false" customHeight="false" outlineLevel="0" collapsed="false">
      <c r="A201" s="0" t="s">
        <v>148</v>
      </c>
      <c r="B201" s="0" t="s">
        <v>113</v>
      </c>
      <c r="C201" s="0" t="s">
        <v>77</v>
      </c>
      <c r="D201" s="0" t="s">
        <v>56</v>
      </c>
      <c r="E201" s="0" t="str">
        <f aca="false">B201&amp;"|"&amp;C201&amp;"|"&amp;D201</f>
        <v>Mokhotlong [#SNU] [tjhYqc1MlVo]|40-44|Female</v>
      </c>
      <c r="F201" s="115" t="n">
        <f aca="false">_xlfn.IFNA(ROUND(INDEX(Spectrum!$N:$N,MATCH(RIGHT($B201,13)&amp;"|"&amp;$C201&amp;"|"&amp;$D201&amp;"|"&amp;F$14&amp;"|"&amp;"CY2021Q3",Spectrum!$Q:$Q,0)),0),"")</f>
        <v>2171</v>
      </c>
      <c r="G201" s="123" t="n">
        <f aca="false">_xlfn.IFNA(INDEX(Spectrum!$P:$P,MATCH(RIGHT($B201,13)&amp;"|"&amp;$C201&amp;"|"&amp;$D201&amp;"|"&amp;F$14&amp;"|"&amp;"CY2021Q3",Spectrum!$Q:$Q,0)),"")</f>
        <v>17</v>
      </c>
      <c r="H201" s="115" t="n">
        <f aca="false">_xlfn.IFNA(ROUND(INDEX(Spectrum!$N:$N,MATCH(RIGHT($B201,13)&amp;"|"&amp;$C201&amp;"|"&amp;$D201&amp;"|"&amp;H$14&amp;"|"&amp;"CY2021Q3",Spectrum!$Q:$Q,0)),0),"")</f>
        <v>1052</v>
      </c>
      <c r="I201" s="123" t="n">
        <f aca="false">_xlfn.IFNA(INDEX(Spectrum!$P:$P,MATCH(RIGHT($B201,13)&amp;"|"&amp;$C201&amp;"|"&amp;$D201&amp;"|"&amp;H$14&amp;"|"&amp;"CY2021Q3",Spectrum!$Q:$Q,0)),"")</f>
        <v>15</v>
      </c>
      <c r="J201" s="117" t="n">
        <f aca="false">_xlfn.IFNA(INDEX(Spectrum!$N:$N,MATCH(RIGHT($B201,13)&amp;"|"&amp;$C201&amp;"|"&amp;$D201&amp;"|"&amp;J$14&amp;"|"&amp;"CY2021Q3",Spectrum!$Q:$Q,0)),"")</f>
        <v>0.4846559</v>
      </c>
      <c r="K201" s="123" t="n">
        <f aca="false">_xlfn.IFNA(INDEX(Spectrum!$P:$P,MATCH(RIGHT($B201,13)&amp;"|"&amp;$C201&amp;"|"&amp;$D201&amp;"|"&amp;J$14&amp;"|"&amp;"CY2021Q3",Spectrum!$Q:$Q,0)),"")</f>
        <v>35</v>
      </c>
      <c r="L201" s="115" t="n">
        <f aca="false">_xlfn.IFNA(ROUND(INDEX(Spectrum!$N:$N,MATCH(RIGHT($B201,13)&amp;"|"&amp;$C201&amp;"|"&amp;$D201&amp;"|"&amp;L$14&amp;"|"&amp;"CY2021Q3",Spectrum!$Q:$Q,0)),0),"")</f>
        <v>974</v>
      </c>
      <c r="M201" s="123" t="n">
        <f aca="false">IF(OR(SUM($H201)&lt;=0,SUM($L201)&lt;=0),"",SUM($L201)/$H201)</f>
        <v>0.925855513307985</v>
      </c>
      <c r="N201" s="115" t="str">
        <f aca="false">_xlfn.IFNA(ROUND(INDEX(Spectrum!$N:$N,MATCH(RIGHT($B201,13)&amp;"|"&amp;$C201&amp;"|"&amp;$D201&amp;"|"&amp;N$14&amp;"|"&amp;"CY2020Q4",Spectrum!$Q:$Q,0)),0),"")</f>
        <v/>
      </c>
      <c r="O201" s="123" t="str">
        <f aca="false">_xlfn.IFNA(INDEX(Spectrum!$P:$P,MATCH(RIGHT($B201,13)&amp;"|"&amp;$C201&amp;"|"&amp;$D201&amp;"|"&amp;N$14&amp;"|"&amp;"CY2020Q4",Spectrum!$Q:$Q,0)),"")</f>
        <v/>
      </c>
      <c r="P201" s="115" t="n">
        <f aca="false">_xlfn.IFNA(ROUND(INDEX(Spectrum!$N:$N,MATCH(RIGHT($B201,13)&amp;"|"&amp;$C201&amp;"|"&amp;$D201&amp;"|"&amp;P$14&amp;"|"&amp;"CY2021Q3",Spectrum!$Q:$Q,0)),0),"")</f>
        <v>923</v>
      </c>
      <c r="Q201" s="123" t="n">
        <f aca="false">_xlfn.IFNA(INDEX(Spectrum!$P:$P,MATCH(RIGHT($B201,13)&amp;"|"&amp;$C201&amp;"|"&amp;$D201&amp;"|"&amp;P$14&amp;"|"&amp;"CY2021Q3",Spectrum!$Q:$Q,0)),"")</f>
        <v>34</v>
      </c>
      <c r="R201" s="115"/>
      <c r="S201" s="123" t="str">
        <f aca="false">IF(OR(SUM($P201)&lt;=0,SUM($R201)&lt;=0),"",SUM($R201)/$P201)</f>
        <v/>
      </c>
      <c r="T201" s="139" t="n">
        <v>38</v>
      </c>
      <c r="U201" s="124" t="n">
        <v>11</v>
      </c>
      <c r="V201" s="124" t="n">
        <f aca="false">IF($U201-$T201=0,"",$U201-$T201)</f>
        <v>-27</v>
      </c>
      <c r="W201" s="123" t="n">
        <f aca="false">IF(LEFT($B201,4)="_Mil","",IFERROR(MIN(IF(SUM($N201)&lt;=0,SUM($U201)/SUM($P201),SUM($T201)/SUM($N201)),1),""))</f>
        <v>0.0119176598049838</v>
      </c>
      <c r="X201" s="123" t="n">
        <f aca="false">$W201</f>
        <v>0.0119176598049838</v>
      </c>
      <c r="Y201" s="123" t="n">
        <f aca="false">IFERROR(1/(1/INDEX(Spectrum!$N:$N,MATCH(RIGHT($B201,13)&amp;"|"&amp;$C201&amp;"|"&amp;$D201&amp;"|"&amp;Y$14&amp;"|"&amp;"CY2021Q3",Spectrum!$Q:$Q,0))),IF(SUM($H201)=0,"",MAX(SUM($P201),SUM($U201))/SUM($H201)))</f>
        <v>0.877376425855513</v>
      </c>
      <c r="Z201" s="123" t="n">
        <f aca="false">IF(SUM($Y201)=0,"",MAX(SUM($Y201),90%))</f>
        <v>0.9</v>
      </c>
      <c r="AA201" s="115" t="n">
        <f aca="false">IF(LEFT($B201,4)="_Mil","",ROUND(MAX(SUM($U201),SUM($P201))+IF(SUM($Z201)=0,0,MAX(SUM($Z201)-SUM($Y201),0)*SUM($H201)),0))</f>
        <v>947</v>
      </c>
      <c r="AB201" s="115" t="n">
        <f aca="false">IF(SUM($AA201)=0,"",ROUND(MAX(SUM($AA201)-MAX(SUM($P201),SUM($U201)),0),0))</f>
        <v>24</v>
      </c>
      <c r="AC201" s="126" t="str">
        <f aca="false">IF($C201="&lt;01",IFERROR(ROUND(INDEX(EID!$N:$N,MATCH($B201,EID!$B:$B,0))/2,0),""),"")</f>
        <v/>
      </c>
      <c r="AD201" s="115" t="n">
        <f aca="false">IF($C201="&lt;01",IF(SUM($AC201)=0,"",ROUND(SUM($AC201)/$AG201,0)),IF(SUM($AB201)=0,"",ROUND(MAX($X201,0)*SUM($AB201),0)))</f>
        <v>0</v>
      </c>
      <c r="AE201" s="115" t="n">
        <f aca="false">IF(AND(SUM($AD201)=0,SUM($U201)=0),"",ROUND(IF($C201="&lt;01",0,SUM($U201))+SUM($AD201),0))</f>
        <v>11</v>
      </c>
      <c r="AF201" s="122" t="n">
        <f aca="false">IF($C201="&lt;01","",100%)</f>
        <v>1</v>
      </c>
      <c r="AG201" s="123" t="n">
        <f aca="false">0.98</f>
        <v>0.98</v>
      </c>
      <c r="AH201" s="123" t="n">
        <f aca="false">0.98</f>
        <v>0.98</v>
      </c>
      <c r="AI201" s="124" t="n">
        <f aca="false">IF(OR($C201="&lt;01",SUM($U201)=0),"",ROUND(SUM($U201)*(1-$AH201),0))</f>
        <v>0</v>
      </c>
      <c r="AJ201" s="124" t="n">
        <f aca="false">IF(AND(SUM($AE201)=0,SUM($U201)=0),"",IF($C201="&lt;01",SUM($AD201),SUM($AE201) - ROUND(SUM($U201)*$AH201,0)))</f>
        <v>0</v>
      </c>
      <c r="AK201" s="124" t="n">
        <v>8</v>
      </c>
      <c r="AL201" s="124" t="n">
        <v>18</v>
      </c>
      <c r="AM201" s="115" t="n">
        <f aca="false">IF(AND(SUM($AD201)=0,SUM($U201)=0),"",IF($C201="&lt;01",SUM($AD201),ROUND(ROUND(SUM($AJ201)*$AF201,0)/$AG201,0)))</f>
        <v>0</v>
      </c>
      <c r="AN201" s="122" t="n">
        <f aca="false">0.7</f>
        <v>0.7</v>
      </c>
      <c r="AO201" s="123" t="n">
        <f aca="false">1</f>
        <v>1</v>
      </c>
      <c r="AP201" s="115" t="n">
        <f aca="false">IF(AND(SUM($U201)=0,SUM($AM201)=0),"",ROUND((SUM($AM201)*$AN201+IF($C201="&lt;01",0,$U201))*$AO201,0))</f>
        <v>11</v>
      </c>
      <c r="AQ201" s="122" t="n">
        <v>29</v>
      </c>
      <c r="AR201" s="123" t="n">
        <f aca="false">0.95</f>
        <v>0.95</v>
      </c>
      <c r="AS201" s="123" t="n">
        <f aca="false">0.95</f>
        <v>0.95</v>
      </c>
      <c r="AT201" s="115" t="n">
        <f aca="false">IF(SUM($AP201)=0,"",ROUND(SUM($AP201)*$AR201,0))</f>
        <v>10</v>
      </c>
      <c r="AU201" s="115" t="n">
        <f aca="false">IF(LEFT($B201,4)="_Mil","",ROUND(SUM($AA201)*SUM($AS201),0))</f>
        <v>900</v>
      </c>
      <c r="AV201" s="124" t="n">
        <f aca="false">IF(SUM($AU201)&lt;=0,"",MAX(SUM($AU201)-SUM($R201),0))</f>
        <v>900</v>
      </c>
      <c r="AW201" s="122" t="n">
        <f aca="false">0</f>
        <v>0</v>
      </c>
      <c r="AX201" s="124" t="str">
        <f aca="false">IF(SUM($AM201)=0,"",ROUND(SUM($AM201)*SUM($AW201),0))</f>
        <v/>
      </c>
      <c r="AY201" s="124" t="str">
        <f aca="false">IF(SUM($AM201)=0,"",SUM($AM201)-SUM($AX201))</f>
        <v/>
      </c>
      <c r="AZ201" s="123" t="n">
        <v>16</v>
      </c>
      <c r="BA201" s="123" t="n">
        <f aca="false">0.95</f>
        <v>0.95</v>
      </c>
      <c r="BB201" s="123"/>
      <c r="BC201" s="123" t="str">
        <f aca="false">IF(OR(SUM($AM201)&lt;=0,$C201="&lt;01"),"",MAX(IF(OR(SUM($Y201)&lt;70%,LEFT($B201,4)="_Mil"),30%,IF(SUM($Y201)&gt;=80%,75%,50%)),SUM($BB201)))</f>
        <v/>
      </c>
      <c r="BD201" s="115" t="str">
        <f aca="false">IF($C201="&lt;01",IFERROR(ROUND(INDEX(EID!$M:$M,MATCH($B201,EID!$B:$B,0)),0)/2,""),IF(SUM($AY201)=0,"",ROUND(SUM($AY201)/SUM($BA201),0)))</f>
        <v/>
      </c>
      <c r="BE201" s="115" t="str">
        <f aca="false">IF($C201="&lt;01","",IF(SUM($BD201)=0,"",ROUND(SUM($BD201)*SUM($BC201),0)))</f>
        <v/>
      </c>
      <c r="BF201" s="115" t="n">
        <f aca="false">_xlfn.IFNA(INDEX(PMTCT!$AE:$AE,MATCH($E201,PMTCT!$E:$E,0)),"")</f>
        <v>-9500</v>
      </c>
      <c r="BG201" s="115" t="str">
        <f aca="false">_xlfn.IFNA(INDEX(PMTCT!$AU:$AU,MATCH($E201,PMTCT!$E:$E,0)),"")</f>
        <v/>
      </c>
      <c r="BH201" s="115" t="n">
        <f aca="false">_xlfn.IFNA(INDEX(TB!$Q:$Q,MATCH($E201,TB!$E:$E,0)),"")</f>
        <v>-0</v>
      </c>
      <c r="BI201" s="115" t="str">
        <f aca="false">_xlfn.IFNA(INDEX(VMMC!$AC:$AC,MATCH($E201,VMMC!$E:$E,0)),"")</f>
        <v/>
      </c>
      <c r="BJ201" s="115" t="str">
        <f aca="false">IF($C201="&lt;01",$BD201,"")</f>
        <v/>
      </c>
      <c r="BK201" s="115" t="str">
        <f aca="false">IF(SUM($BD201)=0,"",($BD201)-SUM($BE201:$BJ201))</f>
        <v/>
      </c>
      <c r="BL201" s="123" t="str">
        <f aca="false">IF(OR(SUM($BD201)=0,SUM($BE201)=0),"",SUM($BE201)/$BD201)</f>
        <v/>
      </c>
      <c r="BM201" s="123" t="str">
        <f aca="false">IF(OR(SUM($BD201)=0,SUM($BF201)=0),"",SUM($BF201)/$BD201)</f>
        <v/>
      </c>
      <c r="BN201" s="123" t="str">
        <f aca="false">IF(OR(SUM($BD201)=0,SUM($BG201)=0),"",SUM($BG201)/$BD201)</f>
        <v/>
      </c>
      <c r="BO201" s="123" t="str">
        <f aca="false">IF(OR(SUM($BD201)=0,SUM($BH201)=0),"",SUM($BH201)/$BD201)</f>
        <v/>
      </c>
      <c r="BP201" s="123" t="str">
        <f aca="false">IF(OR(SUM($BD201)=0,SUM($BI201)=0),"",SUM($BI201)/$BD201)</f>
        <v/>
      </c>
      <c r="BQ201" s="123" t="str">
        <f aca="false">IF(AND($C201="&lt;01",SUM($BJ201)&lt;&gt;0),$BJ201/SUM($BD201),"")</f>
        <v/>
      </c>
      <c r="BR201" s="123" t="str">
        <f aca="false">IF(OR(SUM($BD201)=0,SUM($BK201)=0),"",SUM($BK201)/$BD201)</f>
        <v/>
      </c>
      <c r="BS201" s="122" t="n">
        <f aca="false">IF(SUM($X201)&lt;=0,"",$X201)</f>
        <v>0.0119176598049838</v>
      </c>
      <c r="BT201" s="115" t="n">
        <f aca="false">IF(LEFT($B201,4)="_Mil","",MAX(SUM($L201)+ROUND(SUM($BD201)/IF(SUM($BS201)&lt;=0,1,SUM($BS201)),0),0))</f>
        <v>974</v>
      </c>
    </row>
    <row r="202" customFormat="false" ht="15" hidden="false" customHeight="false" outlineLevel="0" collapsed="false">
      <c r="A202" s="0" t="s">
        <v>148</v>
      </c>
      <c r="B202" s="0" t="s">
        <v>113</v>
      </c>
      <c r="C202" s="0" t="s">
        <v>77</v>
      </c>
      <c r="D202" s="0" t="s">
        <v>58</v>
      </c>
      <c r="E202" s="0" t="str">
        <f aca="false">B202&amp;"|"&amp;C202&amp;"|"&amp;D202</f>
        <v>Mokhotlong [#SNU] [tjhYqc1MlVo]|40-44|Male</v>
      </c>
      <c r="F202" s="115" t="n">
        <f aca="false">_xlfn.IFNA(ROUND(INDEX(Spectrum!$N:$N,MATCH(RIGHT($B202,13)&amp;"|"&amp;$C202&amp;"|"&amp;$D202&amp;"|"&amp;F$14&amp;"|"&amp;"CY2021Q3",Spectrum!$Q:$Q,0)),0),"")</f>
        <v>2447</v>
      </c>
      <c r="G202" s="123" t="n">
        <f aca="false">_xlfn.IFNA(INDEX(Spectrum!$P:$P,MATCH(RIGHT($B202,13)&amp;"|"&amp;$C202&amp;"|"&amp;$D202&amp;"|"&amp;F$14&amp;"|"&amp;"CY2021Q3",Spectrum!$Q:$Q,0)),"")</f>
        <v>14</v>
      </c>
      <c r="H202" s="115" t="n">
        <f aca="false">_xlfn.IFNA(ROUND(INDEX(Spectrum!$N:$N,MATCH(RIGHT($B202,13)&amp;"|"&amp;$C202&amp;"|"&amp;$D202&amp;"|"&amp;H$14&amp;"|"&amp;"CY2021Q3",Spectrum!$Q:$Q,0)),0),"")</f>
        <v>939</v>
      </c>
      <c r="I202" s="123" t="n">
        <f aca="false">_xlfn.IFNA(INDEX(Spectrum!$P:$P,MATCH(RIGHT($B202,13)&amp;"|"&amp;$C202&amp;"|"&amp;$D202&amp;"|"&amp;H$14&amp;"|"&amp;"CY2021Q3",Spectrum!$Q:$Q,0)),"")</f>
        <v>3</v>
      </c>
      <c r="J202" s="117" t="n">
        <f aca="false">_xlfn.IFNA(INDEX(Spectrum!$N:$N,MATCH(RIGHT($B202,13)&amp;"|"&amp;$C202&amp;"|"&amp;$D202&amp;"|"&amp;J$14&amp;"|"&amp;"CY2021Q3",Spectrum!$Q:$Q,0)),"")</f>
        <v>0.3836516</v>
      </c>
      <c r="K202" s="123" t="n">
        <f aca="false">_xlfn.IFNA(INDEX(Spectrum!$P:$P,MATCH(RIGHT($B202,13)&amp;"|"&amp;$C202&amp;"|"&amp;$D202&amp;"|"&amp;J$14&amp;"|"&amp;"CY2021Q3",Spectrum!$Q:$Q,0)),"")</f>
        <v>14</v>
      </c>
      <c r="L202" s="115" t="n">
        <f aca="false">_xlfn.IFNA(ROUND(INDEX(Spectrum!$N:$N,MATCH(RIGHT($B202,13)&amp;"|"&amp;$C202&amp;"|"&amp;$D202&amp;"|"&amp;L$14&amp;"|"&amp;"CY2021Q3",Spectrum!$Q:$Q,0)),0),"")</f>
        <v>773</v>
      </c>
      <c r="M202" s="123" t="n">
        <f aca="false">IF(OR(SUM($H202)&lt;=0,SUM($L202)&lt;=0),"",SUM($L202)/$H202)</f>
        <v>0.82321618743344</v>
      </c>
      <c r="N202" s="115" t="str">
        <f aca="false">_xlfn.IFNA(ROUND(INDEX(Spectrum!$N:$N,MATCH(RIGHT($B202,13)&amp;"|"&amp;$C202&amp;"|"&amp;$D202&amp;"|"&amp;N$14&amp;"|"&amp;"CY2020Q4",Spectrum!$Q:$Q,0)),0),"")</f>
        <v/>
      </c>
      <c r="O202" s="123" t="str">
        <f aca="false">_xlfn.IFNA(INDEX(Spectrum!$P:$P,MATCH(RIGHT($B202,13)&amp;"|"&amp;$C202&amp;"|"&amp;$D202&amp;"|"&amp;N$14&amp;"|"&amp;"CY2020Q4",Spectrum!$Q:$Q,0)),"")</f>
        <v/>
      </c>
      <c r="P202" s="115" t="n">
        <f aca="false">_xlfn.IFNA(ROUND(INDEX(Spectrum!$N:$N,MATCH(RIGHT($B202,13)&amp;"|"&amp;$C202&amp;"|"&amp;$D202&amp;"|"&amp;P$14&amp;"|"&amp;"CY2021Q3",Spectrum!$Q:$Q,0)),0),"")</f>
        <v>666</v>
      </c>
      <c r="Q202" s="123" t="n">
        <f aca="false">_xlfn.IFNA(INDEX(Spectrum!$P:$P,MATCH(RIGHT($B202,13)&amp;"|"&amp;$C202&amp;"|"&amp;$D202&amp;"|"&amp;P$14&amp;"|"&amp;"CY2021Q3",Spectrum!$Q:$Q,0)),"")</f>
        <v>50</v>
      </c>
      <c r="R202" s="115"/>
      <c r="S202" s="123" t="str">
        <f aca="false">IF(OR(SUM($P202)&lt;=0,SUM($R202)&lt;=0),"",SUM($R202)/$P202)</f>
        <v/>
      </c>
      <c r="T202" s="139" t="n">
        <v>22</v>
      </c>
      <c r="U202" s="124" t="n">
        <v>0</v>
      </c>
      <c r="V202" s="124" t="n">
        <f aca="false">IF($U202-$T202=0,"",$U202-$T202)</f>
        <v>-22</v>
      </c>
      <c r="W202" s="123" t="n">
        <f aca="false">IF(LEFT($B202,4)="_Mil","",IFERROR(MIN(IF(SUM($N202)&lt;=0,SUM($U202)/SUM($P202),SUM($T202)/SUM($N202)),1),""))</f>
        <v>0</v>
      </c>
      <c r="X202" s="123" t="n">
        <f aca="false">$W202</f>
        <v>0</v>
      </c>
      <c r="Y202" s="123" t="n">
        <f aca="false">IFERROR(1/(1/INDEX(Spectrum!$N:$N,MATCH(RIGHT($B202,13)&amp;"|"&amp;$C202&amp;"|"&amp;$D202&amp;"|"&amp;Y$14&amp;"|"&amp;"CY2021Q3",Spectrum!$Q:$Q,0))),IF(SUM($H202)=0,"",MAX(SUM($P202),SUM($U202))/SUM($H202)))</f>
        <v>0.70926517571885</v>
      </c>
      <c r="Z202" s="123" t="n">
        <f aca="false">IF(SUM($Y202)=0,"",MAX(SUM($Y202),90%))</f>
        <v>0.9</v>
      </c>
      <c r="AA202" s="115" t="n">
        <f aca="false">IF(LEFT($B202,4)="_Mil","",ROUND(MAX(SUM($U202),SUM($P202))+IF(SUM($Z202)=0,0,MAX(SUM($Z202)-SUM($Y202),0)*SUM($H202)),0))</f>
        <v>845</v>
      </c>
      <c r="AB202" s="115" t="n">
        <f aca="false">IF(SUM($AA202)=0,"",ROUND(MAX(SUM($AA202)-MAX(SUM($P202),SUM($U202)),0),0))</f>
        <v>179</v>
      </c>
      <c r="AC202" s="126" t="str">
        <f aca="false">IF($C202="&lt;01",IFERROR(ROUND(INDEX(EID!$N:$N,MATCH($B202,EID!$B:$B,0))/2,0),""),"")</f>
        <v/>
      </c>
      <c r="AD202" s="115" t="n">
        <f aca="false">IF($C202="&lt;01",IF(SUM($AC202)=0,"",ROUND(SUM($AC202)/$AG202,0)),IF(SUM($AB202)=0,"",ROUND(MAX($X202,0)*SUM($AB202),0)))</f>
        <v>0</v>
      </c>
      <c r="AE202" s="115" t="str">
        <f aca="false">IF(AND(SUM($AD202)=0,SUM($U202)=0),"",ROUND(IF($C202="&lt;01",0,SUM($U202))+SUM($AD202),0))</f>
        <v/>
      </c>
      <c r="AF202" s="122" t="n">
        <f aca="false">IF($C202="&lt;01","",100%)</f>
        <v>1</v>
      </c>
      <c r="AG202" s="123" t="n">
        <f aca="false">0.98</f>
        <v>0.98</v>
      </c>
      <c r="AH202" s="123" t="n">
        <f aca="false">0.98</f>
        <v>0.98</v>
      </c>
      <c r="AI202" s="124" t="str">
        <f aca="false">IF(OR($C202="&lt;01",SUM($U202)=0),"",ROUND(SUM($U202)*(1-$AH202),0))</f>
        <v/>
      </c>
      <c r="AJ202" s="124" t="str">
        <f aca="false">IF(AND(SUM($AE202)=0,SUM($U202)=0),"",IF($C202="&lt;01",SUM($AD202),SUM($AE202) - ROUND(SUM($U202)*$AH202,0)))</f>
        <v/>
      </c>
      <c r="AK202" s="124" t="n">
        <v>42</v>
      </c>
      <c r="AL202" s="124" t="n">
        <v>5</v>
      </c>
      <c r="AM202" s="115" t="str">
        <f aca="false">IF(AND(SUM($AD202)=0,SUM($U202)=0),"",IF($C202="&lt;01",SUM($AD202),ROUND(ROUND(SUM($AJ202)*$AF202,0)/$AG202,0)))</f>
        <v/>
      </c>
      <c r="AN202" s="122" t="n">
        <f aca="false">0.7</f>
        <v>0.7</v>
      </c>
      <c r="AO202" s="123" t="n">
        <f aca="false">1</f>
        <v>1</v>
      </c>
      <c r="AP202" s="115" t="str">
        <f aca="false">IF(AND(SUM($U202)=0,SUM($AM202)=0),"",ROUND((SUM($AM202)*$AN202+IF($C202="&lt;01",0,$U202))*$AO202,0))</f>
        <v/>
      </c>
      <c r="AQ202" s="122" t="n">
        <v>42</v>
      </c>
      <c r="AR202" s="123" t="n">
        <f aca="false">0.95</f>
        <v>0.95</v>
      </c>
      <c r="AS202" s="123" t="n">
        <f aca="false">0.95</f>
        <v>0.95</v>
      </c>
      <c r="AT202" s="115" t="str">
        <f aca="false">IF(SUM($AP202)=0,"",ROUND(SUM($AP202)*$AR202,0))</f>
        <v/>
      </c>
      <c r="AU202" s="115" t="n">
        <f aca="false">IF(LEFT($B202,4)="_Mil","",ROUND(SUM($AA202)*SUM($AS202),0))</f>
        <v>803</v>
      </c>
      <c r="AV202" s="124" t="n">
        <f aca="false">IF(SUM($AU202)&lt;=0,"",MAX(SUM($AU202)-SUM($R202),0))</f>
        <v>803</v>
      </c>
      <c r="AW202" s="122" t="n">
        <f aca="false">0</f>
        <v>0</v>
      </c>
      <c r="AX202" s="124" t="str">
        <f aca="false">IF(SUM($AM202)=0,"",ROUND(SUM($AM202)*SUM($AW202),0))</f>
        <v/>
      </c>
      <c r="AY202" s="124" t="str">
        <f aca="false">IF(SUM($AM202)=0,"",SUM($AM202)-SUM($AX202))</f>
        <v/>
      </c>
      <c r="AZ202" s="123" t="n">
        <v>49</v>
      </c>
      <c r="BA202" s="123" t="n">
        <f aca="false">0.95</f>
        <v>0.95</v>
      </c>
      <c r="BB202" s="123"/>
      <c r="BC202" s="123" t="str">
        <f aca="false">IF(OR(SUM($AM202)&lt;=0,$C202="&lt;01"),"",MAX(IF(OR(SUM($Y202)&lt;70%,LEFT($B202,4)="_Mil"),30%,IF(SUM($Y202)&gt;=80%,75%,50%)),SUM($BB202)))</f>
        <v/>
      </c>
      <c r="BD202" s="115" t="str">
        <f aca="false">IF($C202="&lt;01",IFERROR(ROUND(INDEX(EID!$M:$M,MATCH($B202,EID!$B:$B,0)),0)/2,""),IF(SUM($AY202)=0,"",ROUND(SUM($AY202)/SUM($BA202),0)))</f>
        <v/>
      </c>
      <c r="BE202" s="115" t="str">
        <f aca="false">IF($C202="&lt;01","",IF(SUM($BD202)=0,"",ROUND(SUM($BD202)*SUM($BC202),0)))</f>
        <v/>
      </c>
      <c r="BF202" s="115" t="str">
        <f aca="false">_xlfn.IFNA(INDEX(PMTCT!$AE:$AE,MATCH($E202,PMTCT!$E:$E,0)),"")</f>
        <v/>
      </c>
      <c r="BG202" s="115" t="str">
        <f aca="false">_xlfn.IFNA(INDEX(PMTCT!$AU:$AU,MATCH($E202,PMTCT!$E:$E,0)),"")</f>
        <v/>
      </c>
      <c r="BH202" s="115" t="n">
        <f aca="false">_xlfn.IFNA(INDEX(TB!$Q:$Q,MATCH($E202,TB!$E:$E,0)),"")</f>
        <v>-0</v>
      </c>
      <c r="BI202" s="115" t="str">
        <f aca="false">_xlfn.IFNA(INDEX(VMMC!$AC:$AC,MATCH($E202,VMMC!$E:$E,0)),"")</f>
        <v/>
      </c>
      <c r="BJ202" s="115" t="str">
        <f aca="false">IF($C202="&lt;01",$BD202,"")</f>
        <v/>
      </c>
      <c r="BK202" s="115" t="str">
        <f aca="false">IF(SUM($BD202)=0,"",($BD202)-SUM($BE202:$BJ202))</f>
        <v/>
      </c>
      <c r="BL202" s="123" t="str">
        <f aca="false">IF(OR(SUM($BD202)=0,SUM($BE202)=0),"",SUM($BE202)/$BD202)</f>
        <v/>
      </c>
      <c r="BM202" s="123" t="str">
        <f aca="false">IF(OR(SUM($BD202)=0,SUM($BF202)=0),"",SUM($BF202)/$BD202)</f>
        <v/>
      </c>
      <c r="BN202" s="123" t="str">
        <f aca="false">IF(OR(SUM($BD202)=0,SUM($BG202)=0),"",SUM($BG202)/$BD202)</f>
        <v/>
      </c>
      <c r="BO202" s="123" t="str">
        <f aca="false">IF(OR(SUM($BD202)=0,SUM($BH202)=0),"",SUM($BH202)/$BD202)</f>
        <v/>
      </c>
      <c r="BP202" s="123" t="str">
        <f aca="false">IF(OR(SUM($BD202)=0,SUM($BI202)=0),"",SUM($BI202)/$BD202)</f>
        <v/>
      </c>
      <c r="BQ202" s="123" t="str">
        <f aca="false">IF(AND($C202="&lt;01",SUM($BJ202)&lt;&gt;0),$BJ202/SUM($BD202),"")</f>
        <v/>
      </c>
      <c r="BR202" s="123" t="str">
        <f aca="false">IF(OR(SUM($BD202)=0,SUM($BK202)=0),"",SUM($BK202)/$BD202)</f>
        <v/>
      </c>
      <c r="BS202" s="122" t="str">
        <f aca="false">IF(SUM($X202)&lt;=0,"",$X202)</f>
        <v/>
      </c>
      <c r="BT202" s="115" t="n">
        <f aca="false">IF(LEFT($B202,4)="_Mil","",MAX(SUM($L202)+ROUND(SUM($BD202)/IF(SUM($BS202)&lt;=0,1,SUM($BS202)),0),0))</f>
        <v>773</v>
      </c>
    </row>
    <row r="203" customFormat="false" ht="15" hidden="false" customHeight="false" outlineLevel="0" collapsed="false">
      <c r="A203" s="0" t="s">
        <v>148</v>
      </c>
      <c r="B203" s="0" t="s">
        <v>113</v>
      </c>
      <c r="C203" s="0" t="s">
        <v>80</v>
      </c>
      <c r="D203" s="0" t="s">
        <v>56</v>
      </c>
      <c r="E203" s="0" t="str">
        <f aca="false">B203&amp;"|"&amp;C203&amp;"|"&amp;D203</f>
        <v>Mokhotlong [#SNU] [tjhYqc1MlVo]|45-49|Female</v>
      </c>
      <c r="F203" s="115" t="n">
        <f aca="false">_xlfn.IFNA(ROUND(INDEX(Spectrum!$N:$N,MATCH(RIGHT($B203,13)&amp;"|"&amp;$C203&amp;"|"&amp;$D203&amp;"|"&amp;F$14&amp;"|"&amp;"CY2021Q3",Spectrum!$Q:$Q,0)),0),"")</f>
        <v>1527</v>
      </c>
      <c r="G203" s="123" t="n">
        <f aca="false">_xlfn.IFNA(INDEX(Spectrum!$P:$P,MATCH(RIGHT($B203,13)&amp;"|"&amp;$C203&amp;"|"&amp;$D203&amp;"|"&amp;F$14&amp;"|"&amp;"CY2021Q3",Spectrum!$Q:$Q,0)),"")</f>
        <v>36</v>
      </c>
      <c r="H203" s="115" t="n">
        <f aca="false">_xlfn.IFNA(ROUND(INDEX(Spectrum!$N:$N,MATCH(RIGHT($B203,13)&amp;"|"&amp;$C203&amp;"|"&amp;$D203&amp;"|"&amp;H$14&amp;"|"&amp;"CY2021Q3",Spectrum!$Q:$Q,0)),0),"")</f>
        <v>787</v>
      </c>
      <c r="I203" s="123" t="n">
        <f aca="false">_xlfn.IFNA(INDEX(Spectrum!$P:$P,MATCH(RIGHT($B203,13)&amp;"|"&amp;$C203&amp;"|"&amp;$D203&amp;"|"&amp;H$14&amp;"|"&amp;"CY2021Q3",Spectrum!$Q:$Q,0)),"")</f>
        <v>45</v>
      </c>
      <c r="J203" s="117" t="n">
        <f aca="false">_xlfn.IFNA(INDEX(Spectrum!$N:$N,MATCH(RIGHT($B203,13)&amp;"|"&amp;$C203&amp;"|"&amp;$D203&amp;"|"&amp;J$14&amp;"|"&amp;"CY2021Q3",Spectrum!$Q:$Q,0)),"")</f>
        <v>0.5153103</v>
      </c>
      <c r="K203" s="123" t="n">
        <f aca="false">_xlfn.IFNA(INDEX(Spectrum!$P:$P,MATCH(RIGHT($B203,13)&amp;"|"&amp;$C203&amp;"|"&amp;$D203&amp;"|"&amp;J$14&amp;"|"&amp;"CY2021Q3",Spectrum!$Q:$Q,0)),"")</f>
        <v>9</v>
      </c>
      <c r="L203" s="115" t="n">
        <f aca="false">_xlfn.IFNA(ROUND(INDEX(Spectrum!$N:$N,MATCH(RIGHT($B203,13)&amp;"|"&amp;$C203&amp;"|"&amp;$D203&amp;"|"&amp;L$14&amp;"|"&amp;"CY2021Q3",Spectrum!$Q:$Q,0)),0),"")</f>
        <v>762</v>
      </c>
      <c r="M203" s="123" t="n">
        <f aca="false">IF(OR(SUM($H203)&lt;=0,SUM($L203)&lt;=0),"",SUM($L203)/$H203)</f>
        <v>0.968233799237611</v>
      </c>
      <c r="N203" s="115" t="str">
        <f aca="false">_xlfn.IFNA(ROUND(INDEX(Spectrum!$N:$N,MATCH(RIGHT($B203,13)&amp;"|"&amp;$C203&amp;"|"&amp;$D203&amp;"|"&amp;N$14&amp;"|"&amp;"CY2020Q4",Spectrum!$Q:$Q,0)),0),"")</f>
        <v/>
      </c>
      <c r="O203" s="123" t="str">
        <f aca="false">_xlfn.IFNA(INDEX(Spectrum!$P:$P,MATCH(RIGHT($B203,13)&amp;"|"&amp;$C203&amp;"|"&amp;$D203&amp;"|"&amp;N$14&amp;"|"&amp;"CY2020Q4",Spectrum!$Q:$Q,0)),"")</f>
        <v/>
      </c>
      <c r="P203" s="115" t="n">
        <f aca="false">_xlfn.IFNA(ROUND(INDEX(Spectrum!$N:$N,MATCH(RIGHT($B203,13)&amp;"|"&amp;$C203&amp;"|"&amp;$D203&amp;"|"&amp;P$14&amp;"|"&amp;"CY2021Q3",Spectrum!$Q:$Q,0)),0),"")</f>
        <v>731</v>
      </c>
      <c r="Q203" s="123" t="n">
        <f aca="false">_xlfn.IFNA(INDEX(Spectrum!$P:$P,MATCH(RIGHT($B203,13)&amp;"|"&amp;$C203&amp;"|"&amp;$D203&amp;"|"&amp;P$14&amp;"|"&amp;"CY2021Q3",Spectrum!$Q:$Q,0)),"")</f>
        <v>48</v>
      </c>
      <c r="R203" s="115"/>
      <c r="S203" s="123" t="str">
        <f aca="false">IF(OR(SUM($P203)&lt;=0,SUM($R203)&lt;=0),"",SUM($R203)/$P203)</f>
        <v/>
      </c>
      <c r="T203" s="139" t="n">
        <v>12</v>
      </c>
      <c r="U203" s="124" t="n">
        <v>8</v>
      </c>
      <c r="V203" s="124" t="n">
        <f aca="false">IF($U203-$T203=0,"",$U203-$T203)</f>
        <v>-4</v>
      </c>
      <c r="W203" s="123" t="n">
        <f aca="false">IF(LEFT($B203,4)="_Mil","",IFERROR(MIN(IF(SUM($N203)&lt;=0,SUM($U203)/SUM($P203),SUM($T203)/SUM($N203)),1),""))</f>
        <v>0.0109439124487004</v>
      </c>
      <c r="X203" s="123" t="n">
        <f aca="false">$W203</f>
        <v>0.0109439124487004</v>
      </c>
      <c r="Y203" s="123" t="n">
        <f aca="false">IFERROR(1/(1/INDEX(Spectrum!$N:$N,MATCH(RIGHT($B203,13)&amp;"|"&amp;$C203&amp;"|"&amp;$D203&amp;"|"&amp;Y$14&amp;"|"&amp;"CY2021Q3",Spectrum!$Q:$Q,0))),IF(SUM($H203)=0,"",MAX(SUM($P203),SUM($U203))/SUM($H203)))</f>
        <v>0.928843710292249</v>
      </c>
      <c r="Z203" s="123" t="n">
        <f aca="false">IF(SUM($Y203)=0,"",MAX(SUM($Y203),90%))</f>
        <v>0.928843710292249</v>
      </c>
      <c r="AA203" s="115" t="n">
        <f aca="false">IF(LEFT($B203,4)="_Mil","",ROUND(MAX(SUM($U203),SUM($P203))+IF(SUM($Z203)=0,0,MAX(SUM($Z203)-SUM($Y203),0)*SUM($H203)),0))</f>
        <v>731</v>
      </c>
      <c r="AB203" s="115" t="n">
        <f aca="false">IF(SUM($AA203)=0,"",ROUND(MAX(SUM($AA203)-MAX(SUM($P203),SUM($U203)),0),0))</f>
        <v>0</v>
      </c>
      <c r="AC203" s="126" t="str">
        <f aca="false">IF($C203="&lt;01",IFERROR(ROUND(INDEX(EID!$N:$N,MATCH($B203,EID!$B:$B,0))/2,0),""),"")</f>
        <v/>
      </c>
      <c r="AD203" s="115" t="str">
        <f aca="false">IF($C203="&lt;01",IF(SUM($AC203)=0,"",ROUND(SUM($AC203)/$AG203,0)),IF(SUM($AB203)=0,"",ROUND(MAX($X203,0)*SUM($AB203),0)))</f>
        <v/>
      </c>
      <c r="AE203" s="115" t="n">
        <f aca="false">IF(AND(SUM($AD203)=0,SUM($U203)=0),"",ROUND(IF($C203="&lt;01",0,SUM($U203))+SUM($AD203),0))</f>
        <v>8</v>
      </c>
      <c r="AF203" s="122" t="n">
        <f aca="false">IF($C203="&lt;01","",100%)</f>
        <v>1</v>
      </c>
      <c r="AG203" s="123" t="n">
        <f aca="false">0.98</f>
        <v>0.98</v>
      </c>
      <c r="AH203" s="123" t="n">
        <f aca="false">0.98</f>
        <v>0.98</v>
      </c>
      <c r="AI203" s="124" t="n">
        <f aca="false">IF(OR($C203="&lt;01",SUM($U203)=0),"",ROUND(SUM($U203)*(1-$AH203),0))</f>
        <v>0</v>
      </c>
      <c r="AJ203" s="124" t="n">
        <f aca="false">IF(AND(SUM($AE203)=0,SUM($U203)=0),"",IF($C203="&lt;01",SUM($AD203),SUM($AE203) - ROUND(SUM($U203)*$AH203,0)))</f>
        <v>0</v>
      </c>
      <c r="AK203" s="124" t="n">
        <v>3</v>
      </c>
      <c r="AL203" s="124" t="n">
        <v>36</v>
      </c>
      <c r="AM203" s="115" t="n">
        <f aca="false">IF(AND(SUM($AD203)=0,SUM($U203)=0),"",IF($C203="&lt;01",SUM($AD203),ROUND(ROUND(SUM($AJ203)*$AF203,0)/$AG203,0)))</f>
        <v>0</v>
      </c>
      <c r="AN203" s="122" t="n">
        <f aca="false">0.7</f>
        <v>0.7</v>
      </c>
      <c r="AO203" s="123" t="n">
        <f aca="false">1</f>
        <v>1</v>
      </c>
      <c r="AP203" s="115" t="n">
        <f aca="false">IF(AND(SUM($U203)=0,SUM($AM203)=0),"",ROUND((SUM($AM203)*$AN203+IF($C203="&lt;01",0,$U203))*$AO203,0))</f>
        <v>8</v>
      </c>
      <c r="AQ203" s="122" t="n">
        <v>47</v>
      </c>
      <c r="AR203" s="123" t="n">
        <f aca="false">0.95</f>
        <v>0.95</v>
      </c>
      <c r="AS203" s="123" t="n">
        <f aca="false">0.95</f>
        <v>0.95</v>
      </c>
      <c r="AT203" s="115" t="n">
        <f aca="false">IF(SUM($AP203)=0,"",ROUND(SUM($AP203)*$AR203,0))</f>
        <v>8</v>
      </c>
      <c r="AU203" s="115" t="n">
        <f aca="false">IF(LEFT($B203,4)="_Mil","",ROUND(SUM($AA203)*SUM($AS203),0))</f>
        <v>694</v>
      </c>
      <c r="AV203" s="124" t="n">
        <f aca="false">IF(SUM($AU203)&lt;=0,"",MAX(SUM($AU203)-SUM($R203),0))</f>
        <v>694</v>
      </c>
      <c r="AW203" s="122" t="n">
        <f aca="false">0</f>
        <v>0</v>
      </c>
      <c r="AX203" s="124" t="str">
        <f aca="false">IF(SUM($AM203)=0,"",ROUND(SUM($AM203)*SUM($AW203),0))</f>
        <v/>
      </c>
      <c r="AY203" s="124" t="str">
        <f aca="false">IF(SUM($AM203)=0,"",SUM($AM203)-SUM($AX203))</f>
        <v/>
      </c>
      <c r="AZ203" s="123" t="n">
        <v>10</v>
      </c>
      <c r="BA203" s="123" t="n">
        <f aca="false">0.95</f>
        <v>0.95</v>
      </c>
      <c r="BB203" s="123"/>
      <c r="BC203" s="123" t="str">
        <f aca="false">IF(OR(SUM($AM203)&lt;=0,$C203="&lt;01"),"",MAX(IF(OR(SUM($Y203)&lt;70%,LEFT($B203,4)="_Mil"),30%,IF(SUM($Y203)&gt;=80%,75%,50%)),SUM($BB203)))</f>
        <v/>
      </c>
      <c r="BD203" s="115" t="str">
        <f aca="false">IF($C203="&lt;01",IFERROR(ROUND(INDEX(EID!$M:$M,MATCH($B203,EID!$B:$B,0)),0)/2,""),IF(SUM($AY203)=0,"",ROUND(SUM($AY203)/SUM($BA203),0)))</f>
        <v/>
      </c>
      <c r="BE203" s="115" t="str">
        <f aca="false">IF($C203="&lt;01","",IF(SUM($BD203)=0,"",ROUND(SUM($BD203)*SUM($BC203),0)))</f>
        <v/>
      </c>
      <c r="BF203" s="115" t="n">
        <f aca="false">_xlfn.IFNA(INDEX(PMTCT!$AE:$AE,MATCH($E203,PMTCT!$E:$E,0)),"")</f>
        <v>-0</v>
      </c>
      <c r="BG203" s="115" t="str">
        <f aca="false">_xlfn.IFNA(INDEX(PMTCT!$AU:$AU,MATCH($E203,PMTCT!$E:$E,0)),"")</f>
        <v/>
      </c>
      <c r="BH203" s="115" t="n">
        <f aca="false">_xlfn.IFNA(INDEX(TB!$Q:$Q,MATCH($E203,TB!$E:$E,0)),"")</f>
        <v>-6721</v>
      </c>
      <c r="BI203" s="115" t="str">
        <f aca="false">_xlfn.IFNA(INDEX(VMMC!$AC:$AC,MATCH($E203,VMMC!$E:$E,0)),"")</f>
        <v/>
      </c>
      <c r="BJ203" s="115" t="str">
        <f aca="false">IF($C203="&lt;01",$BD203,"")</f>
        <v/>
      </c>
      <c r="BK203" s="115" t="str">
        <f aca="false">IF(SUM($BD203)=0,"",($BD203)-SUM($BE203:$BJ203))</f>
        <v/>
      </c>
      <c r="BL203" s="123" t="str">
        <f aca="false">IF(OR(SUM($BD203)=0,SUM($BE203)=0),"",SUM($BE203)/$BD203)</f>
        <v/>
      </c>
      <c r="BM203" s="123" t="str">
        <f aca="false">IF(OR(SUM($BD203)=0,SUM($BF203)=0),"",SUM($BF203)/$BD203)</f>
        <v/>
      </c>
      <c r="BN203" s="123" t="str">
        <f aca="false">IF(OR(SUM($BD203)=0,SUM($BG203)=0),"",SUM($BG203)/$BD203)</f>
        <v/>
      </c>
      <c r="BO203" s="123" t="str">
        <f aca="false">IF(OR(SUM($BD203)=0,SUM($BH203)=0),"",SUM($BH203)/$BD203)</f>
        <v/>
      </c>
      <c r="BP203" s="123" t="str">
        <f aca="false">IF(OR(SUM($BD203)=0,SUM($BI203)=0),"",SUM($BI203)/$BD203)</f>
        <v/>
      </c>
      <c r="BQ203" s="123" t="str">
        <f aca="false">IF(AND($C203="&lt;01",SUM($BJ203)&lt;&gt;0),$BJ203/SUM($BD203),"")</f>
        <v/>
      </c>
      <c r="BR203" s="123" t="str">
        <f aca="false">IF(OR(SUM($BD203)=0,SUM($BK203)=0),"",SUM($BK203)/$BD203)</f>
        <v/>
      </c>
      <c r="BS203" s="122" t="n">
        <f aca="false">IF(SUM($X203)&lt;=0,"",$X203)</f>
        <v>0.0109439124487004</v>
      </c>
      <c r="BT203" s="115" t="n">
        <f aca="false">IF(LEFT($B203,4)="_Mil","",MAX(SUM($L203)+ROUND(SUM($BD203)/IF(SUM($BS203)&lt;=0,1,SUM($BS203)),0),0))</f>
        <v>762</v>
      </c>
    </row>
    <row r="204" customFormat="false" ht="15" hidden="false" customHeight="false" outlineLevel="0" collapsed="false">
      <c r="A204" s="0" t="s">
        <v>148</v>
      </c>
      <c r="B204" s="0" t="s">
        <v>113</v>
      </c>
      <c r="C204" s="0" t="s">
        <v>80</v>
      </c>
      <c r="D204" s="0" t="s">
        <v>58</v>
      </c>
      <c r="E204" s="0" t="str">
        <f aca="false">B204&amp;"|"&amp;C204&amp;"|"&amp;D204</f>
        <v>Mokhotlong [#SNU] [tjhYqc1MlVo]|45-49|Male</v>
      </c>
      <c r="F204" s="115" t="n">
        <f aca="false">_xlfn.IFNA(ROUND(INDEX(Spectrum!$N:$N,MATCH(RIGHT($B204,13)&amp;"|"&amp;$C204&amp;"|"&amp;$D204&amp;"|"&amp;F$14&amp;"|"&amp;"CY2021Q3",Spectrum!$Q:$Q,0)),0),"")</f>
        <v>1589</v>
      </c>
      <c r="G204" s="123" t="n">
        <f aca="false">_xlfn.IFNA(INDEX(Spectrum!$P:$P,MATCH(RIGHT($B204,13)&amp;"|"&amp;$C204&amp;"|"&amp;$D204&amp;"|"&amp;F$14&amp;"|"&amp;"CY2021Q3",Spectrum!$Q:$Q,0)),"")</f>
        <v>19</v>
      </c>
      <c r="H204" s="115" t="n">
        <f aca="false">_xlfn.IFNA(ROUND(INDEX(Spectrum!$N:$N,MATCH(RIGHT($B204,13)&amp;"|"&amp;$C204&amp;"|"&amp;$D204&amp;"|"&amp;H$14&amp;"|"&amp;"CY2021Q3",Spectrum!$Q:$Q,0)),0),"")</f>
        <v>753</v>
      </c>
      <c r="I204" s="123" t="n">
        <f aca="false">_xlfn.IFNA(INDEX(Spectrum!$P:$P,MATCH(RIGHT($B204,13)&amp;"|"&amp;$C204&amp;"|"&amp;$D204&amp;"|"&amp;H$14&amp;"|"&amp;"CY2021Q3",Spectrum!$Q:$Q,0)),"")</f>
        <v>43</v>
      </c>
      <c r="J204" s="117" t="n">
        <f aca="false">_xlfn.IFNA(INDEX(Spectrum!$N:$N,MATCH(RIGHT($B204,13)&amp;"|"&amp;$C204&amp;"|"&amp;$D204&amp;"|"&amp;J$14&amp;"|"&amp;"CY2021Q3",Spectrum!$Q:$Q,0)),"")</f>
        <v>0.473801</v>
      </c>
      <c r="K204" s="123" t="n">
        <f aca="false">_xlfn.IFNA(INDEX(Spectrum!$P:$P,MATCH(RIGHT($B204,13)&amp;"|"&amp;$C204&amp;"|"&amp;$D204&amp;"|"&amp;J$14&amp;"|"&amp;"CY2021Q3",Spectrum!$Q:$Q,0)),"")</f>
        <v>47</v>
      </c>
      <c r="L204" s="115" t="n">
        <f aca="false">_xlfn.IFNA(ROUND(INDEX(Spectrum!$N:$N,MATCH(RIGHT($B204,13)&amp;"|"&amp;$C204&amp;"|"&amp;$D204&amp;"|"&amp;L$14&amp;"|"&amp;"CY2021Q3",Spectrum!$Q:$Q,0)),0),"")</f>
        <v>625</v>
      </c>
      <c r="M204" s="123" t="n">
        <f aca="false">IF(OR(SUM($H204)&lt;=0,SUM($L204)&lt;=0),"",SUM($L204)/$H204)</f>
        <v>0.830013280212483</v>
      </c>
      <c r="N204" s="115" t="str">
        <f aca="false">_xlfn.IFNA(ROUND(INDEX(Spectrum!$N:$N,MATCH(RIGHT($B204,13)&amp;"|"&amp;$C204&amp;"|"&amp;$D204&amp;"|"&amp;N$14&amp;"|"&amp;"CY2020Q4",Spectrum!$Q:$Q,0)),0),"")</f>
        <v/>
      </c>
      <c r="O204" s="123" t="str">
        <f aca="false">_xlfn.IFNA(INDEX(Spectrum!$P:$P,MATCH(RIGHT($B204,13)&amp;"|"&amp;$C204&amp;"|"&amp;$D204&amp;"|"&amp;N$14&amp;"|"&amp;"CY2020Q4",Spectrum!$Q:$Q,0)),"")</f>
        <v/>
      </c>
      <c r="P204" s="115" t="n">
        <f aca="false">_xlfn.IFNA(ROUND(INDEX(Spectrum!$N:$N,MATCH(RIGHT($B204,13)&amp;"|"&amp;$C204&amp;"|"&amp;$D204&amp;"|"&amp;P$14&amp;"|"&amp;"CY2021Q3",Spectrum!$Q:$Q,0)),0),"")</f>
        <v>560</v>
      </c>
      <c r="Q204" s="123" t="n">
        <f aca="false">_xlfn.IFNA(INDEX(Spectrum!$P:$P,MATCH(RIGHT($B204,13)&amp;"|"&amp;$C204&amp;"|"&amp;$D204&amp;"|"&amp;P$14&amp;"|"&amp;"CY2021Q3",Spectrum!$Q:$Q,0)),"")</f>
        <v>37</v>
      </c>
      <c r="R204" s="115"/>
      <c r="S204" s="123" t="str">
        <f aca="false">IF(OR(SUM($P204)&lt;=0,SUM($R204)&lt;=0),"",SUM($R204)/$P204)</f>
        <v/>
      </c>
      <c r="T204" s="139" t="n">
        <v>13</v>
      </c>
      <c r="U204" s="124" t="n">
        <v>37</v>
      </c>
      <c r="V204" s="124" t="n">
        <f aca="false">IF($U204-$T204=0,"",$U204-$T204)</f>
        <v>24</v>
      </c>
      <c r="W204" s="123" t="n">
        <f aca="false">IF(LEFT($B204,4)="_Mil","",IFERROR(MIN(IF(SUM($N204)&lt;=0,SUM($U204)/SUM($P204),SUM($T204)/SUM($N204)),1),""))</f>
        <v>0.0660714285714286</v>
      </c>
      <c r="X204" s="123" t="n">
        <f aca="false">$W204</f>
        <v>0.0660714285714286</v>
      </c>
      <c r="Y204" s="123" t="n">
        <f aca="false">IFERROR(1/(1/INDEX(Spectrum!$N:$N,MATCH(RIGHT($B204,13)&amp;"|"&amp;$C204&amp;"|"&amp;$D204&amp;"|"&amp;Y$14&amp;"|"&amp;"CY2021Q3",Spectrum!$Q:$Q,0))),IF(SUM($H204)=0,"",MAX(SUM($P204),SUM($U204))/SUM($H204)))</f>
        <v>0.743691899070385</v>
      </c>
      <c r="Z204" s="123" t="n">
        <f aca="false">IF(SUM($Y204)=0,"",MAX(SUM($Y204),90%))</f>
        <v>0.9</v>
      </c>
      <c r="AA204" s="115" t="n">
        <f aca="false">IF(LEFT($B204,4)="_Mil","",ROUND(MAX(SUM($U204),SUM($P204))+IF(SUM($Z204)=0,0,MAX(SUM($Z204)-SUM($Y204),0)*SUM($H204)),0))</f>
        <v>678</v>
      </c>
      <c r="AB204" s="115" t="n">
        <f aca="false">IF(SUM($AA204)=0,"",ROUND(MAX(SUM($AA204)-MAX(SUM($P204),SUM($U204)),0),0))</f>
        <v>118</v>
      </c>
      <c r="AC204" s="126" t="str">
        <f aca="false">IF($C204="&lt;01",IFERROR(ROUND(INDEX(EID!$N:$N,MATCH($B204,EID!$B:$B,0))/2,0),""),"")</f>
        <v/>
      </c>
      <c r="AD204" s="115" t="n">
        <f aca="false">IF($C204="&lt;01",IF(SUM($AC204)=0,"",ROUND(SUM($AC204)/$AG204,0)),IF(SUM($AB204)=0,"",ROUND(MAX($X204,0)*SUM($AB204),0)))</f>
        <v>8</v>
      </c>
      <c r="AE204" s="115" t="n">
        <f aca="false">IF(AND(SUM($AD204)=0,SUM($U204)=0),"",ROUND(IF($C204="&lt;01",0,SUM($U204))+SUM($AD204),0))</f>
        <v>45</v>
      </c>
      <c r="AF204" s="122" t="n">
        <f aca="false">IF($C204="&lt;01","",100%)</f>
        <v>1</v>
      </c>
      <c r="AG204" s="123" t="n">
        <f aca="false">0.98</f>
        <v>0.98</v>
      </c>
      <c r="AH204" s="123" t="n">
        <f aca="false">0.98</f>
        <v>0.98</v>
      </c>
      <c r="AI204" s="124" t="n">
        <f aca="false">IF(OR($C204="&lt;01",SUM($U204)=0),"",ROUND(SUM($U204)*(1-$AH204),0))</f>
        <v>1</v>
      </c>
      <c r="AJ204" s="124" t="n">
        <f aca="false">IF(AND(SUM($AE204)=0,SUM($U204)=0),"",IF($C204="&lt;01",SUM($AD204),SUM($AE204) - ROUND(SUM($U204)*$AH204,0)))</f>
        <v>9</v>
      </c>
      <c r="AK204" s="124" t="n">
        <v>38</v>
      </c>
      <c r="AL204" s="124" t="n">
        <v>42</v>
      </c>
      <c r="AM204" s="115" t="n">
        <f aca="false">IF(AND(SUM($AD204)=0,SUM($U204)=0),"",IF($C204="&lt;01",SUM($AD204),ROUND(ROUND(SUM($AJ204)*$AF204,0)/$AG204,0)))</f>
        <v>9</v>
      </c>
      <c r="AN204" s="122" t="n">
        <f aca="false">0.7</f>
        <v>0.7</v>
      </c>
      <c r="AO204" s="123" t="n">
        <f aca="false">1</f>
        <v>1</v>
      </c>
      <c r="AP204" s="115" t="n">
        <f aca="false">IF(AND(SUM($U204)=0,SUM($AM204)=0),"",ROUND((SUM($AM204)*$AN204+IF($C204="&lt;01",0,$U204))*$AO204,0))</f>
        <v>43</v>
      </c>
      <c r="AQ204" s="122" t="n">
        <v>39</v>
      </c>
      <c r="AR204" s="123" t="n">
        <f aca="false">0.95</f>
        <v>0.95</v>
      </c>
      <c r="AS204" s="123" t="n">
        <f aca="false">0.95</f>
        <v>0.95</v>
      </c>
      <c r="AT204" s="115" t="n">
        <f aca="false">IF(SUM($AP204)=0,"",ROUND(SUM($AP204)*$AR204,0))</f>
        <v>41</v>
      </c>
      <c r="AU204" s="115" t="n">
        <f aca="false">IF(LEFT($B204,4)="_Mil","",ROUND(SUM($AA204)*SUM($AS204),0))</f>
        <v>644</v>
      </c>
      <c r="AV204" s="124" t="n">
        <f aca="false">IF(SUM($AU204)&lt;=0,"",MAX(SUM($AU204)-SUM($R204),0))</f>
        <v>644</v>
      </c>
      <c r="AW204" s="122" t="n">
        <f aca="false">0</f>
        <v>0</v>
      </c>
      <c r="AX204" s="124" t="n">
        <f aca="false">IF(SUM($AM204)=0,"",ROUND(SUM($AM204)*SUM($AW204),0))</f>
        <v>0</v>
      </c>
      <c r="AY204" s="124" t="n">
        <f aca="false">IF(SUM($AM204)=0,"",SUM($AM204)-SUM($AX204))</f>
        <v>9</v>
      </c>
      <c r="AZ204" s="123" t="n">
        <v>30</v>
      </c>
      <c r="BA204" s="123" t="n">
        <f aca="false">0.95</f>
        <v>0.95</v>
      </c>
      <c r="BB204" s="123"/>
      <c r="BC204" s="123" t="n">
        <f aca="false">IF(OR(SUM($AM204)&lt;=0,$C204="&lt;01"),"",MAX(IF(OR(SUM($Y204)&lt;70%,LEFT($B204,4)="_Mil"),30%,IF(SUM($Y204)&gt;=80%,75%,50%)),SUM($BB204)))</f>
        <v>0.5</v>
      </c>
      <c r="BD204" s="115" t="n">
        <f aca="false">IF($C204="&lt;01",IFERROR(ROUND(INDEX(EID!$M:$M,MATCH($B204,EID!$B:$B,0)),0)/2,""),IF(SUM($AY204)=0,"",ROUND(SUM($AY204)/SUM($BA204),0)))</f>
        <v>9</v>
      </c>
      <c r="BE204" s="115" t="n">
        <f aca="false">IF($C204="&lt;01","",IF(SUM($BD204)=0,"",ROUND(SUM($BD204)*SUM($BC204),0)))</f>
        <v>5</v>
      </c>
      <c r="BF204" s="115" t="str">
        <f aca="false">_xlfn.IFNA(INDEX(PMTCT!$AE:$AE,MATCH($E204,PMTCT!$E:$E,0)),"")</f>
        <v/>
      </c>
      <c r="BG204" s="115" t="str">
        <f aca="false">_xlfn.IFNA(INDEX(PMTCT!$AU:$AU,MATCH($E204,PMTCT!$E:$E,0)),"")</f>
        <v/>
      </c>
      <c r="BH204" s="115" t="n">
        <f aca="false">_xlfn.IFNA(INDEX(TB!$Q:$Q,MATCH($E204,TB!$E:$E,0)),"")</f>
        <v>-7200</v>
      </c>
      <c r="BI204" s="115" t="str">
        <f aca="false">_xlfn.IFNA(INDEX(VMMC!$AC:$AC,MATCH($E204,VMMC!$E:$E,0)),"")</f>
        <v/>
      </c>
      <c r="BJ204" s="115" t="str">
        <f aca="false">IF($C204="&lt;01",$BD204,"")</f>
        <v/>
      </c>
      <c r="BK204" s="115" t="n">
        <f aca="false">IF(SUM($BD204)=0,"",($BD204)-SUM($BE204:$BJ204))</f>
        <v>7204</v>
      </c>
      <c r="BL204" s="123" t="n">
        <f aca="false">IF(OR(SUM($BD204)=0,SUM($BE204)=0),"",SUM($BE204)/$BD204)</f>
        <v>0.555555555555556</v>
      </c>
      <c r="BM204" s="123" t="str">
        <f aca="false">IF(OR(SUM($BD204)=0,SUM($BF204)=0),"",SUM($BF204)/$BD204)</f>
        <v/>
      </c>
      <c r="BN204" s="123" t="str">
        <f aca="false">IF(OR(SUM($BD204)=0,SUM($BG204)=0),"",SUM($BG204)/$BD204)</f>
        <v/>
      </c>
      <c r="BO204" s="123" t="n">
        <f aca="false">IF(OR(SUM($BD204)=0,SUM($BH204)=0),"",SUM($BH204)/$BD204)</f>
        <v>-800</v>
      </c>
      <c r="BP204" s="123" t="str">
        <f aca="false">IF(OR(SUM($BD204)=0,SUM($BI204)=0),"",SUM($BI204)/$BD204)</f>
        <v/>
      </c>
      <c r="BQ204" s="123" t="str">
        <f aca="false">IF(AND($C204="&lt;01",SUM($BJ204)&lt;&gt;0),$BJ204/SUM($BD204),"")</f>
        <v/>
      </c>
      <c r="BR204" s="123" t="n">
        <f aca="false">IF(OR(SUM($BD204)=0,SUM($BK204)=0),"",SUM($BK204)/$BD204)</f>
        <v>800.444444444445</v>
      </c>
      <c r="BS204" s="122" t="n">
        <f aca="false">IF(SUM($X204)&lt;=0,"",$X204)</f>
        <v>0.0660714285714286</v>
      </c>
      <c r="BT204" s="115" t="n">
        <f aca="false">IF(LEFT($B204,4)="_Mil","",MAX(SUM($L204)+ROUND(SUM($BD204)/IF(SUM($BS204)&lt;=0,1,SUM($BS204)),0),0))</f>
        <v>761</v>
      </c>
    </row>
    <row r="205" customFormat="false" ht="15" hidden="false" customHeight="false" outlineLevel="0" collapsed="false">
      <c r="A205" s="0" t="s">
        <v>148</v>
      </c>
      <c r="B205" s="0" t="s">
        <v>113</v>
      </c>
      <c r="C205" s="0" t="s">
        <v>86</v>
      </c>
      <c r="D205" s="0" t="s">
        <v>56</v>
      </c>
      <c r="E205" s="0" t="str">
        <f aca="false">B205&amp;"|"&amp;C205&amp;"|"&amp;D205</f>
        <v>Mokhotlong [#SNU] [tjhYqc1MlVo]|50+|Female</v>
      </c>
      <c r="F205" s="115" t="n">
        <f aca="false">_xlfn.IFNA(ROUND(INDEX(Spectrum!$N:$N,MATCH(RIGHT($B205,13)&amp;"|"&amp;$C205&amp;"|"&amp;$D205&amp;"|"&amp;F$14&amp;"|"&amp;"CY2021Q3",Spectrum!$Q:$Q,0)),0),"")</f>
        <v>8772</v>
      </c>
      <c r="G205" s="123" t="n">
        <f aca="false">_xlfn.IFNA(INDEX(Spectrum!$P:$P,MATCH(RIGHT($B205,13)&amp;"|"&amp;$C205&amp;"|"&amp;$D205&amp;"|"&amp;F$14&amp;"|"&amp;"CY2021Q3",Spectrum!$Q:$Q,0)),"")</f>
        <v>4</v>
      </c>
      <c r="H205" s="115" t="n">
        <f aca="false">_xlfn.IFNA(ROUND(INDEX(Spectrum!$N:$N,MATCH(RIGHT($B205,13)&amp;"|"&amp;$C205&amp;"|"&amp;$D205&amp;"|"&amp;H$14&amp;"|"&amp;"CY2021Q3",Spectrum!$Q:$Q,0)),0),"")</f>
        <v>2246</v>
      </c>
      <c r="I205" s="123" t="n">
        <f aca="false">_xlfn.IFNA(INDEX(Spectrum!$P:$P,MATCH(RIGHT($B205,13)&amp;"|"&amp;$C205&amp;"|"&amp;$D205&amp;"|"&amp;H$14&amp;"|"&amp;"CY2021Q3",Spectrum!$Q:$Q,0)),"")</f>
        <v>7</v>
      </c>
      <c r="J205" s="117" t="n">
        <f aca="false">_xlfn.IFNA(INDEX(Spectrum!$N:$N,MATCH(RIGHT($B205,13)&amp;"|"&amp;$C205&amp;"|"&amp;$D205&amp;"|"&amp;J$14&amp;"|"&amp;"CY2021Q3",Spectrum!$Q:$Q,0)),"")</f>
        <v>0.2559903</v>
      </c>
      <c r="K205" s="123" t="n">
        <f aca="false">_xlfn.IFNA(INDEX(Spectrum!$P:$P,MATCH(RIGHT($B205,13)&amp;"|"&amp;$C205&amp;"|"&amp;$D205&amp;"|"&amp;J$14&amp;"|"&amp;"CY2021Q3",Spectrum!$Q:$Q,0)),"")</f>
        <v>19</v>
      </c>
      <c r="L205" s="115" t="n">
        <f aca="false">_xlfn.IFNA(ROUND(INDEX(Spectrum!$N:$N,MATCH(RIGHT($B205,13)&amp;"|"&amp;$C205&amp;"|"&amp;$D205&amp;"|"&amp;L$14&amp;"|"&amp;"CY2021Q3",Spectrum!$Q:$Q,0)),0),"")</f>
        <v>1680</v>
      </c>
      <c r="M205" s="123" t="n">
        <f aca="false">IF(OR(SUM($H205)&lt;=0,SUM($L205)&lt;=0),"",SUM($L205)/$H205)</f>
        <v>0.7479964381122</v>
      </c>
      <c r="N205" s="115" t="str">
        <f aca="false">_xlfn.IFNA(ROUND(INDEX(Spectrum!$N:$N,MATCH(RIGHT($B205,13)&amp;"|"&amp;$C205&amp;"|"&amp;$D205&amp;"|"&amp;N$14&amp;"|"&amp;"CY2020Q4",Spectrum!$Q:$Q,0)),0),"")</f>
        <v/>
      </c>
      <c r="O205" s="123" t="str">
        <f aca="false">_xlfn.IFNA(INDEX(Spectrum!$P:$P,MATCH(RIGHT($B205,13)&amp;"|"&amp;$C205&amp;"|"&amp;$D205&amp;"|"&amp;N$14&amp;"|"&amp;"CY2020Q4",Spectrum!$Q:$Q,0)),"")</f>
        <v/>
      </c>
      <c r="P205" s="115" t="n">
        <f aca="false">_xlfn.IFNA(ROUND(INDEX(Spectrum!$N:$N,MATCH(RIGHT($B205,13)&amp;"|"&amp;$C205&amp;"|"&amp;$D205&amp;"|"&amp;P$14&amp;"|"&amp;"CY2021Q3",Spectrum!$Q:$Q,0)),0),"")</f>
        <v>1626</v>
      </c>
      <c r="Q205" s="123" t="n">
        <f aca="false">_xlfn.IFNA(INDEX(Spectrum!$P:$P,MATCH(RIGHT($B205,13)&amp;"|"&amp;$C205&amp;"|"&amp;$D205&amp;"|"&amp;P$14&amp;"|"&amp;"CY2021Q3",Spectrum!$Q:$Q,0)),"")</f>
        <v>39</v>
      </c>
      <c r="R205" s="115"/>
      <c r="S205" s="123" t="str">
        <f aca="false">IF(OR(SUM($P205)&lt;=0,SUM($R205)&lt;=0),"",SUM($R205)/$P205)</f>
        <v/>
      </c>
      <c r="T205" s="139" t="n">
        <v>18</v>
      </c>
      <c r="U205" s="124" t="n">
        <v>33</v>
      </c>
      <c r="V205" s="124" t="n">
        <f aca="false">IF($U205-$T205=0,"",$U205-$T205)</f>
        <v>15</v>
      </c>
      <c r="W205" s="123" t="n">
        <f aca="false">IF(LEFT($B205,4)="_Mil","",IFERROR(MIN(IF(SUM($N205)&lt;=0,SUM($U205)/SUM($P205),SUM($T205)/SUM($N205)),1),""))</f>
        <v>0.0202952029520295</v>
      </c>
      <c r="X205" s="123" t="n">
        <f aca="false">$W205</f>
        <v>0.0202952029520295</v>
      </c>
      <c r="Y205" s="123" t="n">
        <f aca="false">IFERROR(1/(1/INDEX(Spectrum!$N:$N,MATCH(RIGHT($B205,13)&amp;"|"&amp;$C205&amp;"|"&amp;$D205&amp;"|"&amp;Y$14&amp;"|"&amp;"CY2021Q3",Spectrum!$Q:$Q,0))),IF(SUM($H205)=0,"",MAX(SUM($P205),SUM($U205))/SUM($H205)))</f>
        <v>0.723953695458593</v>
      </c>
      <c r="Z205" s="123" t="n">
        <f aca="false">IF(SUM($Y205)=0,"",MAX(SUM($Y205),90%))</f>
        <v>0.9</v>
      </c>
      <c r="AA205" s="115" t="n">
        <f aca="false">IF(LEFT($B205,4)="_Mil","",ROUND(MAX(SUM($U205),SUM($P205))+IF(SUM($Z205)=0,0,MAX(SUM($Z205)-SUM($Y205),0)*SUM($H205)),0))</f>
        <v>2021</v>
      </c>
      <c r="AB205" s="115" t="n">
        <f aca="false">IF(SUM($AA205)=0,"",ROUND(MAX(SUM($AA205)-MAX(SUM($P205),SUM($U205)),0),0))</f>
        <v>395</v>
      </c>
      <c r="AC205" s="126" t="str">
        <f aca="false">IF($C205="&lt;01",IFERROR(ROUND(INDEX(EID!$N:$N,MATCH($B205,EID!$B:$B,0))/2,0),""),"")</f>
        <v/>
      </c>
      <c r="AD205" s="115" t="n">
        <f aca="false">IF($C205="&lt;01",IF(SUM($AC205)=0,"",ROUND(SUM($AC205)/$AG205,0)),IF(SUM($AB205)=0,"",ROUND(MAX($X205,0)*SUM($AB205),0)))</f>
        <v>8</v>
      </c>
      <c r="AE205" s="115" t="n">
        <f aca="false">IF(AND(SUM($AD205)=0,SUM($U205)=0),"",ROUND(IF($C205="&lt;01",0,SUM($U205))+SUM($AD205),0))</f>
        <v>41</v>
      </c>
      <c r="AF205" s="122" t="n">
        <f aca="false">IF($C205="&lt;01","",100%)</f>
        <v>1</v>
      </c>
      <c r="AG205" s="123" t="n">
        <f aca="false">0.98</f>
        <v>0.98</v>
      </c>
      <c r="AH205" s="123" t="n">
        <f aca="false">0.98</f>
        <v>0.98</v>
      </c>
      <c r="AI205" s="124" t="n">
        <f aca="false">IF(OR($C205="&lt;01",SUM($U205)=0),"",ROUND(SUM($U205)*(1-$AH205),0))</f>
        <v>1</v>
      </c>
      <c r="AJ205" s="124" t="n">
        <f aca="false">IF(AND(SUM($AE205)=0,SUM($U205)=0),"",IF($C205="&lt;01",SUM($AD205),SUM($AE205) - ROUND(SUM($U205)*$AH205,0)))</f>
        <v>9</v>
      </c>
      <c r="AK205" s="124" t="n">
        <v>47</v>
      </c>
      <c r="AL205" s="124" t="n">
        <v>8</v>
      </c>
      <c r="AM205" s="115" t="n">
        <f aca="false">IF(AND(SUM($AD205)=0,SUM($U205)=0),"",IF($C205="&lt;01",SUM($AD205),ROUND(ROUND(SUM($AJ205)*$AF205,0)/$AG205,0)))</f>
        <v>9</v>
      </c>
      <c r="AN205" s="122" t="n">
        <f aca="false">0.7</f>
        <v>0.7</v>
      </c>
      <c r="AO205" s="123" t="n">
        <f aca="false">1</f>
        <v>1</v>
      </c>
      <c r="AP205" s="115" t="n">
        <f aca="false">IF(AND(SUM($U205)=0,SUM($AM205)=0),"",ROUND((SUM($AM205)*$AN205+IF($C205="&lt;01",0,$U205))*$AO205,0))</f>
        <v>39</v>
      </c>
      <c r="AQ205" s="122" t="n">
        <v>35</v>
      </c>
      <c r="AR205" s="123" t="n">
        <f aca="false">0.95</f>
        <v>0.95</v>
      </c>
      <c r="AS205" s="123" t="n">
        <f aca="false">0.95</f>
        <v>0.95</v>
      </c>
      <c r="AT205" s="115" t="n">
        <f aca="false">IF(SUM($AP205)=0,"",ROUND(SUM($AP205)*$AR205,0))</f>
        <v>37</v>
      </c>
      <c r="AU205" s="115" t="n">
        <f aca="false">IF(LEFT($B205,4)="_Mil","",ROUND(SUM($AA205)*SUM($AS205),0))</f>
        <v>1920</v>
      </c>
      <c r="AV205" s="124" t="n">
        <f aca="false">IF(SUM($AU205)&lt;=0,"",MAX(SUM($AU205)-SUM($R205),0))</f>
        <v>1920</v>
      </c>
      <c r="AW205" s="122" t="n">
        <f aca="false">0</f>
        <v>0</v>
      </c>
      <c r="AX205" s="124" t="n">
        <f aca="false">IF(SUM($AM205)=0,"",ROUND(SUM($AM205)*SUM($AW205),0))</f>
        <v>0</v>
      </c>
      <c r="AY205" s="124" t="n">
        <f aca="false">IF(SUM($AM205)=0,"",SUM($AM205)-SUM($AX205))</f>
        <v>9</v>
      </c>
      <c r="AZ205" s="123" t="n">
        <v>47</v>
      </c>
      <c r="BA205" s="123" t="n">
        <f aca="false">0.95</f>
        <v>0.95</v>
      </c>
      <c r="BB205" s="123"/>
      <c r="BC205" s="123" t="n">
        <f aca="false">IF(OR(SUM($AM205)&lt;=0,$C205="&lt;01"),"",MAX(IF(OR(SUM($Y205)&lt;70%,LEFT($B205,4)="_Mil"),30%,IF(SUM($Y205)&gt;=80%,75%,50%)),SUM($BB205)))</f>
        <v>0.5</v>
      </c>
      <c r="BD205" s="115" t="n">
        <f aca="false">IF($C205="&lt;01",IFERROR(ROUND(INDEX(EID!$M:$M,MATCH($B205,EID!$B:$B,0)),0)/2,""),IF(SUM($AY205)=0,"",ROUND(SUM($AY205)/SUM($BA205),0)))</f>
        <v>9</v>
      </c>
      <c r="BE205" s="115" t="n">
        <f aca="false">IF($C205="&lt;01","",IF(SUM($BD205)=0,"",ROUND(SUM($BD205)*SUM($BC205),0)))</f>
        <v>5</v>
      </c>
      <c r="BF205" s="115" t="str">
        <f aca="false">_xlfn.IFNA(INDEX(PMTCT!$AE:$AE,MATCH($E205,PMTCT!$E:$E,0)),"")</f>
        <v/>
      </c>
      <c r="BG205" s="115" t="str">
        <f aca="false">_xlfn.IFNA(INDEX(PMTCT!$AU:$AU,MATCH($E205,PMTCT!$E:$E,0)),"")</f>
        <v/>
      </c>
      <c r="BH205" s="115" t="n">
        <f aca="false">_xlfn.IFNA(INDEX(TB!$Q:$Q,MATCH($E205,TB!$E:$E,0)),"")</f>
        <v>-0</v>
      </c>
      <c r="BI205" s="115" t="str">
        <f aca="false">_xlfn.IFNA(INDEX(VMMC!$AC:$AC,MATCH($E205,VMMC!$E:$E,0)),"")</f>
        <v/>
      </c>
      <c r="BJ205" s="115" t="str">
        <f aca="false">IF($C205="&lt;01",$BD205,"")</f>
        <v/>
      </c>
      <c r="BK205" s="115" t="n">
        <f aca="false">IF(SUM($BD205)=0,"",($BD205)-SUM($BE205:$BJ205))</f>
        <v>4</v>
      </c>
      <c r="BL205" s="123" t="n">
        <f aca="false">IF(OR(SUM($BD205)=0,SUM($BE205)=0),"",SUM($BE205)/$BD205)</f>
        <v>0.555555555555556</v>
      </c>
      <c r="BM205" s="123" t="str">
        <f aca="false">IF(OR(SUM($BD205)=0,SUM($BF205)=0),"",SUM($BF205)/$BD205)</f>
        <v/>
      </c>
      <c r="BN205" s="123" t="str">
        <f aca="false">IF(OR(SUM($BD205)=0,SUM($BG205)=0),"",SUM($BG205)/$BD205)</f>
        <v/>
      </c>
      <c r="BO205" s="123" t="str">
        <f aca="false">IF(OR(SUM($BD205)=0,SUM($BH205)=0),"",SUM($BH205)/$BD205)</f>
        <v/>
      </c>
      <c r="BP205" s="123" t="str">
        <f aca="false">IF(OR(SUM($BD205)=0,SUM($BI205)=0),"",SUM($BI205)/$BD205)</f>
        <v/>
      </c>
      <c r="BQ205" s="123" t="str">
        <f aca="false">IF(AND($C205="&lt;01",SUM($BJ205)&lt;&gt;0),$BJ205/SUM($BD205),"")</f>
        <v/>
      </c>
      <c r="BR205" s="123" t="n">
        <f aca="false">IF(OR(SUM($BD205)=0,SUM($BK205)=0),"",SUM($BK205)/$BD205)</f>
        <v>0.444444444444444</v>
      </c>
      <c r="BS205" s="122" t="n">
        <f aca="false">IF(SUM($X205)&lt;=0,"",$X205)</f>
        <v>0.0202952029520295</v>
      </c>
      <c r="BT205" s="115" t="n">
        <f aca="false">IF(LEFT($B205,4)="_Mil","",MAX(SUM($L205)+ROUND(SUM($BD205)/IF(SUM($BS205)&lt;=0,1,SUM($BS205)),0),0))</f>
        <v>2123</v>
      </c>
    </row>
    <row r="206" customFormat="false" ht="15" hidden="false" customHeight="false" outlineLevel="0" collapsed="false">
      <c r="A206" s="0" t="s">
        <v>148</v>
      </c>
      <c r="B206" s="0" t="s">
        <v>113</v>
      </c>
      <c r="C206" s="0" t="s">
        <v>86</v>
      </c>
      <c r="D206" s="0" t="s">
        <v>58</v>
      </c>
      <c r="E206" s="0" t="str">
        <f aca="false">B206&amp;"|"&amp;C206&amp;"|"&amp;D206</f>
        <v>Mokhotlong [#SNU] [tjhYqc1MlVo]|50+|Male</v>
      </c>
      <c r="F206" s="115" t="n">
        <f aca="false">_xlfn.IFNA(ROUND(INDEX(Spectrum!$N:$N,MATCH(RIGHT($B206,13)&amp;"|"&amp;$C206&amp;"|"&amp;$D206&amp;"|"&amp;F$14&amp;"|"&amp;"CY2021Q3",Spectrum!$Q:$Q,0)),0),"")</f>
        <v>5763</v>
      </c>
      <c r="G206" s="123" t="n">
        <f aca="false">_xlfn.IFNA(INDEX(Spectrum!$P:$P,MATCH(RIGHT($B206,13)&amp;"|"&amp;$C206&amp;"|"&amp;$D206&amp;"|"&amp;F$14&amp;"|"&amp;"CY2021Q3",Spectrum!$Q:$Q,0)),"")</f>
        <v>44</v>
      </c>
      <c r="H206" s="115" t="n">
        <f aca="false">_xlfn.IFNA(ROUND(INDEX(Spectrum!$N:$N,MATCH(RIGHT($B206,13)&amp;"|"&amp;$C206&amp;"|"&amp;$D206&amp;"|"&amp;H$14&amp;"|"&amp;"CY2021Q3",Spectrum!$Q:$Q,0)),0),"")</f>
        <v>1709</v>
      </c>
      <c r="I206" s="123" t="n">
        <f aca="false">_xlfn.IFNA(INDEX(Spectrum!$P:$P,MATCH(RIGHT($B206,13)&amp;"|"&amp;$C206&amp;"|"&amp;$D206&amp;"|"&amp;H$14&amp;"|"&amp;"CY2021Q3",Spectrum!$Q:$Q,0)),"")</f>
        <v>31</v>
      </c>
      <c r="J206" s="117" t="n">
        <f aca="false">_xlfn.IFNA(INDEX(Spectrum!$N:$N,MATCH(RIGHT($B206,13)&amp;"|"&amp;$C206&amp;"|"&amp;$D206&amp;"|"&amp;J$14&amp;"|"&amp;"CY2021Q3",Spectrum!$Q:$Q,0)),"")</f>
        <v>0.2966236</v>
      </c>
      <c r="K206" s="123" t="n">
        <f aca="false">_xlfn.IFNA(INDEX(Spectrum!$P:$P,MATCH(RIGHT($B206,13)&amp;"|"&amp;$C206&amp;"|"&amp;$D206&amp;"|"&amp;J$14&amp;"|"&amp;"CY2021Q3",Spectrum!$Q:$Q,0)),"")</f>
        <v>23</v>
      </c>
      <c r="L206" s="115" t="n">
        <f aca="false">_xlfn.IFNA(ROUND(INDEX(Spectrum!$N:$N,MATCH(RIGHT($B206,13)&amp;"|"&amp;$C206&amp;"|"&amp;$D206&amp;"|"&amp;L$14&amp;"|"&amp;"CY2021Q3",Spectrum!$Q:$Q,0)),0),"")</f>
        <v>1243</v>
      </c>
      <c r="M206" s="123" t="n">
        <f aca="false">IF(OR(SUM($H206)&lt;=0,SUM($L206)&lt;=0),"",SUM($L206)/$H206)</f>
        <v>0.727325921591574</v>
      </c>
      <c r="N206" s="115" t="str">
        <f aca="false">_xlfn.IFNA(ROUND(INDEX(Spectrum!$N:$N,MATCH(RIGHT($B206,13)&amp;"|"&amp;$C206&amp;"|"&amp;$D206&amp;"|"&amp;N$14&amp;"|"&amp;"CY2020Q4",Spectrum!$Q:$Q,0)),0),"")</f>
        <v/>
      </c>
      <c r="O206" s="123" t="str">
        <f aca="false">_xlfn.IFNA(INDEX(Spectrum!$P:$P,MATCH(RIGHT($B206,13)&amp;"|"&amp;$C206&amp;"|"&amp;$D206&amp;"|"&amp;N$14&amp;"|"&amp;"CY2020Q4",Spectrum!$Q:$Q,0)),"")</f>
        <v/>
      </c>
      <c r="P206" s="115" t="n">
        <f aca="false">_xlfn.IFNA(ROUND(INDEX(Spectrum!$N:$N,MATCH(RIGHT($B206,13)&amp;"|"&amp;$C206&amp;"|"&amp;$D206&amp;"|"&amp;P$14&amp;"|"&amp;"CY2021Q3",Spectrum!$Q:$Q,0)),0),"")</f>
        <v>1160</v>
      </c>
      <c r="Q206" s="123" t="n">
        <f aca="false">_xlfn.IFNA(INDEX(Spectrum!$P:$P,MATCH(RIGHT($B206,13)&amp;"|"&amp;$C206&amp;"|"&amp;$D206&amp;"|"&amp;P$14&amp;"|"&amp;"CY2021Q3",Spectrum!$Q:$Q,0)),"")</f>
        <v>13</v>
      </c>
      <c r="R206" s="115"/>
      <c r="S206" s="123" t="str">
        <f aca="false">IF(OR(SUM($P206)&lt;=0,SUM($R206)&lt;=0),"",SUM($R206)/$P206)</f>
        <v/>
      </c>
      <c r="T206" s="139" t="n">
        <v>7</v>
      </c>
      <c r="U206" s="124" t="n">
        <v>6</v>
      </c>
      <c r="V206" s="124" t="n">
        <f aca="false">IF($U206-$T206=0,"",$U206-$T206)</f>
        <v>-1</v>
      </c>
      <c r="W206" s="123" t="n">
        <f aca="false">IF(LEFT($B206,4)="_Mil","",IFERROR(MIN(IF(SUM($N206)&lt;=0,SUM($U206)/SUM($P206),SUM($T206)/SUM($N206)),1),""))</f>
        <v>0.00517241379310345</v>
      </c>
      <c r="X206" s="123" t="n">
        <f aca="false">$W206</f>
        <v>0.00517241379310345</v>
      </c>
      <c r="Y206" s="123" t="n">
        <f aca="false">IFERROR(1/(1/INDEX(Spectrum!$N:$N,MATCH(RIGHT($B206,13)&amp;"|"&amp;$C206&amp;"|"&amp;$D206&amp;"|"&amp;Y$14&amp;"|"&amp;"CY2021Q3",Spectrum!$Q:$Q,0))),IF(SUM($H206)=0,"",MAX(SUM($P206),SUM($U206))/SUM($H206)))</f>
        <v>0.678759508484494</v>
      </c>
      <c r="Z206" s="123" t="n">
        <f aca="false">IF(SUM($Y206)=0,"",MAX(SUM($Y206),90%))</f>
        <v>0.9</v>
      </c>
      <c r="AA206" s="115" t="n">
        <f aca="false">IF(LEFT($B206,4)="_Mil","",ROUND(MAX(SUM($U206),SUM($P206))+IF(SUM($Z206)=0,0,MAX(SUM($Z206)-SUM($Y206),0)*SUM($H206)),0))</f>
        <v>1538</v>
      </c>
      <c r="AB206" s="115" t="n">
        <f aca="false">IF(SUM($AA206)=0,"",ROUND(MAX(SUM($AA206)-MAX(SUM($P206),SUM($U206)),0),0))</f>
        <v>378</v>
      </c>
      <c r="AC206" s="126" t="str">
        <f aca="false">IF($C206="&lt;01",IFERROR(ROUND(INDEX(EID!$N:$N,MATCH($B206,EID!$B:$B,0))/2,0),""),"")</f>
        <v/>
      </c>
      <c r="AD206" s="115" t="n">
        <f aca="false">IF($C206="&lt;01",IF(SUM($AC206)=0,"",ROUND(SUM($AC206)/$AG206,0)),IF(SUM($AB206)=0,"",ROUND(MAX($X206,0)*SUM($AB206),0)))</f>
        <v>2</v>
      </c>
      <c r="AE206" s="115" t="n">
        <f aca="false">IF(AND(SUM($AD206)=0,SUM($U206)=0),"",ROUND(IF($C206="&lt;01",0,SUM($U206))+SUM($AD206),0))</f>
        <v>8</v>
      </c>
      <c r="AF206" s="122" t="n">
        <f aca="false">IF($C206="&lt;01","",100%)</f>
        <v>1</v>
      </c>
      <c r="AG206" s="123" t="n">
        <f aca="false">0.98</f>
        <v>0.98</v>
      </c>
      <c r="AH206" s="123" t="n">
        <f aca="false">0.98</f>
        <v>0.98</v>
      </c>
      <c r="AI206" s="124" t="n">
        <f aca="false">IF(OR($C206="&lt;01",SUM($U206)=0),"",ROUND(SUM($U206)*(1-$AH206),0))</f>
        <v>0</v>
      </c>
      <c r="AJ206" s="124" t="n">
        <f aca="false">IF(AND(SUM($AE206)=0,SUM($U206)=0),"",IF($C206="&lt;01",SUM($AD206),SUM($AE206) - ROUND(SUM($U206)*$AH206,0)))</f>
        <v>2</v>
      </c>
      <c r="AK206" s="124" t="n">
        <v>24</v>
      </c>
      <c r="AL206" s="124" t="n">
        <v>16</v>
      </c>
      <c r="AM206" s="115" t="n">
        <f aca="false">IF(AND(SUM($AD206)=0,SUM($U206)=0),"",IF($C206="&lt;01",SUM($AD206),ROUND(ROUND(SUM($AJ206)*$AF206,0)/$AG206,0)))</f>
        <v>2</v>
      </c>
      <c r="AN206" s="122" t="n">
        <f aca="false">0.7</f>
        <v>0.7</v>
      </c>
      <c r="AO206" s="123" t="n">
        <f aca="false">1</f>
        <v>1</v>
      </c>
      <c r="AP206" s="115" t="n">
        <f aca="false">IF(AND(SUM($U206)=0,SUM($AM206)=0),"",ROUND((SUM($AM206)*$AN206+IF($C206="&lt;01",0,$U206))*$AO206,0))</f>
        <v>7</v>
      </c>
      <c r="AQ206" s="122" t="n">
        <v>34</v>
      </c>
      <c r="AR206" s="123" t="n">
        <f aca="false">0.95</f>
        <v>0.95</v>
      </c>
      <c r="AS206" s="123" t="n">
        <f aca="false">0.95</f>
        <v>0.95</v>
      </c>
      <c r="AT206" s="115" t="n">
        <f aca="false">IF(SUM($AP206)=0,"",ROUND(SUM($AP206)*$AR206,0))</f>
        <v>7</v>
      </c>
      <c r="AU206" s="115" t="n">
        <f aca="false">IF(LEFT($B206,4)="_Mil","",ROUND(SUM($AA206)*SUM($AS206),0))</f>
        <v>1461</v>
      </c>
      <c r="AV206" s="124" t="n">
        <f aca="false">IF(SUM($AU206)&lt;=0,"",MAX(SUM($AU206)-SUM($R206),0))</f>
        <v>1461</v>
      </c>
      <c r="AW206" s="122" t="n">
        <f aca="false">0</f>
        <v>0</v>
      </c>
      <c r="AX206" s="124" t="n">
        <f aca="false">IF(SUM($AM206)=0,"",ROUND(SUM($AM206)*SUM($AW206),0))</f>
        <v>0</v>
      </c>
      <c r="AY206" s="124" t="n">
        <f aca="false">IF(SUM($AM206)=0,"",SUM($AM206)-SUM($AX206))</f>
        <v>2</v>
      </c>
      <c r="AZ206" s="123" t="n">
        <v>29</v>
      </c>
      <c r="BA206" s="123" t="n">
        <f aca="false">0.95</f>
        <v>0.95</v>
      </c>
      <c r="BB206" s="123"/>
      <c r="BC206" s="123" t="n">
        <f aca="false">IF(OR(SUM($AM206)&lt;=0,$C206="&lt;01"),"",MAX(IF(OR(SUM($Y206)&lt;70%,LEFT($B206,4)="_Mil"),30%,IF(SUM($Y206)&gt;=80%,75%,50%)),SUM($BB206)))</f>
        <v>0.3</v>
      </c>
      <c r="BD206" s="115" t="n">
        <f aca="false">IF($C206="&lt;01",IFERROR(ROUND(INDEX(EID!$M:$M,MATCH($B206,EID!$B:$B,0)),0)/2,""),IF(SUM($AY206)=0,"",ROUND(SUM($AY206)/SUM($BA206),0)))</f>
        <v>2</v>
      </c>
      <c r="BE206" s="115" t="n">
        <f aca="false">IF($C206="&lt;01","",IF(SUM($BD206)=0,"",ROUND(SUM($BD206)*SUM($BC206),0)))</f>
        <v>1</v>
      </c>
      <c r="BF206" s="115" t="str">
        <f aca="false">_xlfn.IFNA(INDEX(PMTCT!$AE:$AE,MATCH($E206,PMTCT!$E:$E,0)),"")</f>
        <v/>
      </c>
      <c r="BG206" s="115" t="str">
        <f aca="false">_xlfn.IFNA(INDEX(PMTCT!$AU:$AU,MATCH($E206,PMTCT!$E:$E,0)),"")</f>
        <v/>
      </c>
      <c r="BH206" s="115" t="n">
        <f aca="false">_xlfn.IFNA(INDEX(TB!$Q:$Q,MATCH($E206,TB!$E:$E,0)),"")</f>
        <v>-0</v>
      </c>
      <c r="BI206" s="115" t="str">
        <f aca="false">_xlfn.IFNA(INDEX(VMMC!$AC:$AC,MATCH($E206,VMMC!$E:$E,0)),"")</f>
        <v/>
      </c>
      <c r="BJ206" s="115" t="str">
        <f aca="false">IF($C206="&lt;01",$BD206,"")</f>
        <v/>
      </c>
      <c r="BK206" s="115" t="n">
        <f aca="false">IF(SUM($BD206)=0,"",($BD206)-SUM($BE206:$BJ206))</f>
        <v>1</v>
      </c>
      <c r="BL206" s="123" t="n">
        <f aca="false">IF(OR(SUM($BD206)=0,SUM($BE206)=0),"",SUM($BE206)/$BD206)</f>
        <v>0.5</v>
      </c>
      <c r="BM206" s="123" t="str">
        <f aca="false">IF(OR(SUM($BD206)=0,SUM($BF206)=0),"",SUM($BF206)/$BD206)</f>
        <v/>
      </c>
      <c r="BN206" s="123" t="str">
        <f aca="false">IF(OR(SUM($BD206)=0,SUM($BG206)=0),"",SUM($BG206)/$BD206)</f>
        <v/>
      </c>
      <c r="BO206" s="123" t="str">
        <f aca="false">IF(OR(SUM($BD206)=0,SUM($BH206)=0),"",SUM($BH206)/$BD206)</f>
        <v/>
      </c>
      <c r="BP206" s="123" t="str">
        <f aca="false">IF(OR(SUM($BD206)=0,SUM($BI206)=0),"",SUM($BI206)/$BD206)</f>
        <v/>
      </c>
      <c r="BQ206" s="123" t="str">
        <f aca="false">IF(AND($C206="&lt;01",SUM($BJ206)&lt;&gt;0),$BJ206/SUM($BD206),"")</f>
        <v/>
      </c>
      <c r="BR206" s="123" t="n">
        <f aca="false">IF(OR(SUM($BD206)=0,SUM($BK206)=0),"",SUM($BK206)/$BD206)</f>
        <v>0.5</v>
      </c>
      <c r="BS206" s="122" t="n">
        <f aca="false">IF(SUM($X206)&lt;=0,"",$X206)</f>
        <v>0.00517241379310345</v>
      </c>
      <c r="BT206" s="115" t="n">
        <f aca="false">IF(LEFT($B206,4)="_Mil","",MAX(SUM($L206)+ROUND(SUM($BD206)/IF(SUM($BS206)&lt;=0,1,SUM($BS206)),0),0))</f>
        <v>1630</v>
      </c>
    </row>
    <row r="207" customFormat="false" ht="15" hidden="false" customHeight="false" outlineLevel="0" collapsed="false">
      <c r="A207" s="0" t="s">
        <v>149</v>
      </c>
      <c r="B207" s="0" t="s">
        <v>111</v>
      </c>
      <c r="C207" s="0" t="s">
        <v>89</v>
      </c>
      <c r="D207" s="0" t="s">
        <v>56</v>
      </c>
      <c r="E207" s="0" t="str">
        <f aca="false">B207&amp;"|"&amp;C207&amp;"|"&amp;D207</f>
        <v>Qacha's Nek [#SNU] [zTaMbxvQtJ6]|&lt;01|Female</v>
      </c>
      <c r="F207" s="115" t="n">
        <f aca="false">_xlfn.IFNA(ROUND(INDEX(Spectrum!$N:$N,MATCH(RIGHT($B207,13)&amp;"|"&amp;$C207&amp;"|"&amp;$D207&amp;"|"&amp;F$14&amp;"|"&amp;"CY2021Q3",Spectrum!$Q:$Q,0)),0),"")</f>
        <v>675</v>
      </c>
      <c r="G207" s="123" t="n">
        <f aca="false">_xlfn.IFNA(INDEX(Spectrum!$P:$P,MATCH(RIGHT($B207,13)&amp;"|"&amp;$C207&amp;"|"&amp;$D207&amp;"|"&amp;F$14&amp;"|"&amp;"CY2021Q3",Spectrum!$Q:$Q,0)),"")</f>
        <v>18</v>
      </c>
      <c r="H207" s="115" t="n">
        <f aca="false">_xlfn.IFNA(ROUND(INDEX(Spectrum!$N:$N,MATCH(RIGHT($B207,13)&amp;"|"&amp;$C207&amp;"|"&amp;$D207&amp;"|"&amp;H$14&amp;"|"&amp;"CY2021Q3",Spectrum!$Q:$Q,0)),0),"")</f>
        <v>5</v>
      </c>
      <c r="I207" s="123" t="n">
        <f aca="false">_xlfn.IFNA(INDEX(Spectrum!$P:$P,MATCH(RIGHT($B207,13)&amp;"|"&amp;$C207&amp;"|"&amp;$D207&amp;"|"&amp;H$14&amp;"|"&amp;"CY2021Q3",Spectrum!$Q:$Q,0)),"")</f>
        <v>19</v>
      </c>
      <c r="J207" s="117" t="n">
        <f aca="false">_xlfn.IFNA(INDEX(Spectrum!$N:$N,MATCH(RIGHT($B207,13)&amp;"|"&amp;$C207&amp;"|"&amp;$D207&amp;"|"&amp;J$14&amp;"|"&amp;"CY2021Q3",Spectrum!$Q:$Q,0)),"")</f>
        <v>0.0066988</v>
      </c>
      <c r="K207" s="123" t="n">
        <f aca="false">_xlfn.IFNA(INDEX(Spectrum!$P:$P,MATCH(RIGHT($B207,13)&amp;"|"&amp;$C207&amp;"|"&amp;$D207&amp;"|"&amp;J$14&amp;"|"&amp;"CY2021Q3",Spectrum!$Q:$Q,0)),"")</f>
        <v>44</v>
      </c>
      <c r="L207" s="115" t="n">
        <f aca="false">_xlfn.IFNA(ROUND(INDEX(Spectrum!$N:$N,MATCH(RIGHT($B207,13)&amp;"|"&amp;$C207&amp;"|"&amp;$D207&amp;"|"&amp;L$14&amp;"|"&amp;"CY2021Q3",Spectrum!$Q:$Q,0)),0),"")</f>
        <v>2</v>
      </c>
      <c r="M207" s="123" t="n">
        <f aca="false">IF(OR(SUM($H207)&lt;=0,SUM($L207)&lt;=0),"",SUM($L207)/$H207)</f>
        <v>0.4</v>
      </c>
      <c r="N207" s="115" t="str">
        <f aca="false">_xlfn.IFNA(ROUND(INDEX(Spectrum!$N:$N,MATCH(RIGHT($B207,13)&amp;"|"&amp;$C207&amp;"|"&amp;$D207&amp;"|"&amp;N$14&amp;"|"&amp;"CY2020Q4",Spectrum!$Q:$Q,0)),0),"")</f>
        <v/>
      </c>
      <c r="O207" s="123" t="str">
        <f aca="false">_xlfn.IFNA(INDEX(Spectrum!$P:$P,MATCH(RIGHT($B207,13)&amp;"|"&amp;$C207&amp;"|"&amp;$D207&amp;"|"&amp;N$14&amp;"|"&amp;"CY2020Q4",Spectrum!$Q:$Q,0)),"")</f>
        <v/>
      </c>
      <c r="P207" s="115" t="n">
        <f aca="false">_xlfn.IFNA(ROUND(INDEX(Spectrum!$N:$N,MATCH(RIGHT($B207,13)&amp;"|"&amp;$C207&amp;"|"&amp;$D207&amp;"|"&amp;P$14&amp;"|"&amp;"CY2021Q3",Spectrum!$Q:$Q,0)),0),"")</f>
        <v>2</v>
      </c>
      <c r="Q207" s="123" t="n">
        <f aca="false">_xlfn.IFNA(INDEX(Spectrum!$P:$P,MATCH(RIGHT($B207,13)&amp;"|"&amp;$C207&amp;"|"&amp;$D207&amp;"|"&amp;P$14&amp;"|"&amp;"CY2021Q3",Spectrum!$Q:$Q,0)),"")</f>
        <v>19</v>
      </c>
      <c r="R207" s="115"/>
      <c r="S207" s="123" t="str">
        <f aca="false">IF(OR(SUM($P207)&lt;=0,SUM($R207)&lt;=0),"",SUM($R207)/$P207)</f>
        <v/>
      </c>
      <c r="T207" s="139" t="n">
        <v>11</v>
      </c>
      <c r="U207" s="124" t="n">
        <v>27</v>
      </c>
      <c r="V207" s="124" t="n">
        <f aca="false">IF($U207-$T207=0,"",$U207-$T207)</f>
        <v>16</v>
      </c>
      <c r="W207" s="123" t="n">
        <f aca="false">IF(LEFT($B207,4)="_Mil","",IFERROR(MIN(IF(SUM($N207)&lt;=0,SUM($U207)/SUM($P207),SUM($T207)/SUM($N207)),1),""))</f>
        <v>1</v>
      </c>
      <c r="X207" s="123" t="n">
        <f aca="false">$W207</f>
        <v>1</v>
      </c>
      <c r="Y207" s="123" t="n">
        <f aca="false">IFERROR(1/(1/INDEX(Spectrum!$N:$N,MATCH(RIGHT($B207,13)&amp;"|"&amp;$C207&amp;"|"&amp;$D207&amp;"|"&amp;Y$14&amp;"|"&amp;"CY2021Q3",Spectrum!$Q:$Q,0))),IF(SUM($H207)=0,"",MAX(SUM($P207),SUM($U207))/SUM($H207)))</f>
        <v>5.4</v>
      </c>
      <c r="Z207" s="123" t="n">
        <f aca="false">IF(SUM($Y207)=0,"",MAX(SUM($Y207),90%))</f>
        <v>5.4</v>
      </c>
      <c r="AA207" s="115" t="n">
        <f aca="false">IF(LEFT($B207,4)="_Mil","",ROUND(MAX(SUM($U207),SUM($P207))+IF(SUM($Z207)=0,0,MAX(SUM($Z207)-SUM($Y207),0)*SUM($H207)),0))</f>
        <v>27</v>
      </c>
      <c r="AB207" s="115" t="n">
        <f aca="false">IF(SUM($AA207)=0,"",ROUND(MAX(SUM($AA207)-MAX(SUM($P207),SUM($U207)),0),0))</f>
        <v>0</v>
      </c>
      <c r="AC207" s="126" t="str">
        <f aca="false">IF($C207="&lt;01",IFERROR(ROUND(INDEX(EID!$N:$N,MATCH($B207,EID!$B:$B,0))/2,0),""),"")</f>
        <v/>
      </c>
      <c r="AD207" s="115" t="str">
        <f aca="false">IF($C207="&lt;01",IF(SUM($AC207)=0,"",ROUND(SUM($AC207)/$AG207,0)),IF(SUM($AB207)=0,"",ROUND(MAX($X207,0)*SUM($AB207),0)))</f>
        <v/>
      </c>
      <c r="AE207" s="115" t="n">
        <f aca="false">IF(AND(SUM($AD207)=0,SUM($U207)=0),"",ROUND(IF($C207="&lt;01",0,SUM($U207))+SUM($AD207),0))</f>
        <v>0</v>
      </c>
      <c r="AF207" s="122" t="str">
        <f aca="false">IF($C207="&lt;01","",100%)</f>
        <v/>
      </c>
      <c r="AG207" s="123" t="n">
        <f aca="false">0.98</f>
        <v>0.98</v>
      </c>
      <c r="AH207" s="123" t="n">
        <f aca="false">0.98</f>
        <v>0.98</v>
      </c>
      <c r="AI207" s="124" t="str">
        <f aca="false">IF(OR($C207="&lt;01",SUM($U207)=0),"",ROUND(SUM($U207)*(1-$AH207),0))</f>
        <v/>
      </c>
      <c r="AJ207" s="124" t="n">
        <f aca="false">IF(AND(SUM($AE207)=0,SUM($U207)=0),"",IF($C207="&lt;01",SUM($AD207),SUM($AE207) - ROUND(SUM($U207)*$AH207,0)))</f>
        <v>0</v>
      </c>
      <c r="AK207" s="124" t="n">
        <v>13</v>
      </c>
      <c r="AL207" s="124" t="n">
        <v>35</v>
      </c>
      <c r="AM207" s="115" t="n">
        <f aca="false">IF(AND(SUM($AD207)=0,SUM($U207)=0),"",IF($C207="&lt;01",SUM($AD207),ROUND(ROUND(SUM($AJ207)*$AF207,0)/$AG207,0)))</f>
        <v>0</v>
      </c>
      <c r="AN207" s="122" t="n">
        <f aca="false">0.7</f>
        <v>0.7</v>
      </c>
      <c r="AO207" s="123" t="n">
        <f aca="false">1</f>
        <v>1</v>
      </c>
      <c r="AP207" s="115" t="n">
        <f aca="false">IF(AND(SUM($U207)=0,SUM($AM207)=0),"",ROUND((SUM($AM207)*$AN207+IF($C207="&lt;01",0,$U207))*$AO207,0))</f>
        <v>0</v>
      </c>
      <c r="AQ207" s="122"/>
      <c r="AR207" s="123" t="n">
        <f aca="false">0.95</f>
        <v>0.95</v>
      </c>
      <c r="AS207" s="123" t="n">
        <f aca="false">0.95</f>
        <v>0.95</v>
      </c>
      <c r="AT207" s="115" t="str">
        <f aca="false">IF(SUM($AP207)=0,"",ROUND(SUM($AP207)*$AR207,0))</f>
        <v/>
      </c>
      <c r="AU207" s="115" t="n">
        <f aca="false">IF(LEFT($B207,4)="_Mil","",ROUND(SUM($AA207)*SUM($AS207),0))</f>
        <v>26</v>
      </c>
      <c r="AV207" s="124" t="n">
        <f aca="false">IF(SUM($AU207)&lt;=0,"",MAX(SUM($AU207)-SUM($R207),0))</f>
        <v>26</v>
      </c>
      <c r="AW207" s="122" t="n">
        <f aca="false">0</f>
        <v>0</v>
      </c>
      <c r="AX207" s="124" t="str">
        <f aca="false">IF(SUM($AM207)=0,"",ROUND(SUM($AM207)*SUM($AW207),0))</f>
        <v/>
      </c>
      <c r="AY207" s="124" t="str">
        <f aca="false">IF(SUM($AM207)=0,"",SUM($AM207)-SUM($AX207))</f>
        <v/>
      </c>
      <c r="AZ207" s="123"/>
      <c r="BA207" s="123" t="n">
        <f aca="false">0.95</f>
        <v>0.95</v>
      </c>
      <c r="BB207" s="123"/>
      <c r="BC207" s="123" t="str">
        <f aca="false">IF(OR(SUM($AM207)&lt;=0,$C207="&lt;01"),"",MAX(IF(OR(SUM($Y207)&lt;70%,LEFT($B207,4)="_Mil"),30%,IF(SUM($Y207)&gt;=80%,75%,50%)),SUM($BB207)))</f>
        <v/>
      </c>
      <c r="BD207" s="115" t="str">
        <f aca="false">IF($C207="&lt;01",IFERROR(ROUND(INDEX(EID!$M:$M,MATCH($B207,EID!$B:$B,0)),0)/2,""),IF(SUM($AY207)=0,"",ROUND(SUM($AY207)/SUM($BA207),0)))</f>
        <v/>
      </c>
      <c r="BE207" s="115" t="str">
        <f aca="false">IF($C207="&lt;01","",IF(SUM($BD207)=0,"",ROUND(SUM($BD207)*SUM($BC207),0)))</f>
        <v/>
      </c>
      <c r="BF207" s="115" t="str">
        <f aca="false">_xlfn.IFNA(INDEX(PMTCT!$AE:$AE,MATCH($E207,PMTCT!$E:$E,0)),"")</f>
        <v/>
      </c>
      <c r="BG207" s="115" t="str">
        <f aca="false">_xlfn.IFNA(INDEX(PMTCT!$AU:$AU,MATCH($E207,PMTCT!$E:$E,0)),"")</f>
        <v/>
      </c>
      <c r="BH207" s="115" t="str">
        <f aca="false">_xlfn.IFNA(INDEX(TB!$Q:$Q,MATCH($E207,TB!$E:$E,0)),"")</f>
        <v/>
      </c>
      <c r="BI207" s="115" t="str">
        <f aca="false">_xlfn.IFNA(INDEX(VMMC!$AC:$AC,MATCH($E207,VMMC!$E:$E,0)),"")</f>
        <v/>
      </c>
      <c r="BJ207" s="115" t="str">
        <f aca="false">IF($C207="&lt;01",$BD207,"")</f>
        <v/>
      </c>
      <c r="BK207" s="115" t="str">
        <f aca="false">IF(SUM($BD207)=0,"",($BD207)-SUM($BE207:$BJ207))</f>
        <v/>
      </c>
      <c r="BL207" s="123" t="str">
        <f aca="false">IF(OR(SUM($BD207)=0,SUM($BE207)=0),"",SUM($BE207)/$BD207)</f>
        <v/>
      </c>
      <c r="BM207" s="123" t="str">
        <f aca="false">IF(OR(SUM($BD207)=0,SUM($BF207)=0),"",SUM($BF207)/$BD207)</f>
        <v/>
      </c>
      <c r="BN207" s="123" t="str">
        <f aca="false">IF(OR(SUM($BD207)=0,SUM($BG207)=0),"",SUM($BG207)/$BD207)</f>
        <v/>
      </c>
      <c r="BO207" s="123" t="str">
        <f aca="false">IF(OR(SUM($BD207)=0,SUM($BH207)=0),"",SUM($BH207)/$BD207)</f>
        <v/>
      </c>
      <c r="BP207" s="123" t="str">
        <f aca="false">IF(OR(SUM($BD207)=0,SUM($BI207)=0),"",SUM($BI207)/$BD207)</f>
        <v/>
      </c>
      <c r="BQ207" s="123" t="str">
        <f aca="false">IF(AND($C207="&lt;01",SUM($BJ207)&lt;&gt;0),$BJ207/SUM($BD207),"")</f>
        <v/>
      </c>
      <c r="BR207" s="123" t="str">
        <f aca="false">IF(OR(SUM($BD207)=0,SUM($BK207)=0),"",SUM($BK207)/$BD207)</f>
        <v/>
      </c>
      <c r="BS207" s="122" t="n">
        <f aca="false">IF(SUM($X207)&lt;=0,"",$X207)</f>
        <v>1</v>
      </c>
      <c r="BT207" s="115" t="n">
        <f aca="false">IF(LEFT($B207,4)="_Mil","",MAX(SUM($L207)+ROUND(SUM($BD207)/IF(SUM($BS207)&lt;=0,1,SUM($BS207)),0),0))</f>
        <v>2</v>
      </c>
    </row>
    <row r="208" customFormat="false" ht="15" hidden="false" customHeight="false" outlineLevel="0" collapsed="false">
      <c r="A208" s="0" t="s">
        <v>149</v>
      </c>
      <c r="B208" s="0" t="s">
        <v>111</v>
      </c>
      <c r="C208" s="0" t="s">
        <v>89</v>
      </c>
      <c r="D208" s="0" t="s">
        <v>58</v>
      </c>
      <c r="E208" s="0" t="str">
        <f aca="false">B208&amp;"|"&amp;C208&amp;"|"&amp;D208</f>
        <v>Qacha's Nek [#SNU] [zTaMbxvQtJ6]|&lt;01|Male</v>
      </c>
      <c r="F208" s="115" t="n">
        <f aca="false">_xlfn.IFNA(ROUND(INDEX(Spectrum!$N:$N,MATCH(RIGHT($B208,13)&amp;"|"&amp;$C208&amp;"|"&amp;$D208&amp;"|"&amp;F$14&amp;"|"&amp;"CY2021Q3",Spectrum!$Q:$Q,0)),0),"")</f>
        <v>679</v>
      </c>
      <c r="G208" s="123" t="n">
        <f aca="false">_xlfn.IFNA(INDEX(Spectrum!$P:$P,MATCH(RIGHT($B208,13)&amp;"|"&amp;$C208&amp;"|"&amp;$D208&amp;"|"&amp;F$14&amp;"|"&amp;"CY2021Q3",Spectrum!$Q:$Q,0)),"")</f>
        <v>24</v>
      </c>
      <c r="H208" s="115" t="n">
        <f aca="false">_xlfn.IFNA(ROUND(INDEX(Spectrum!$N:$N,MATCH(RIGHT($B208,13)&amp;"|"&amp;$C208&amp;"|"&amp;$D208&amp;"|"&amp;H$14&amp;"|"&amp;"CY2021Q3",Spectrum!$Q:$Q,0)),0),"")</f>
        <v>5</v>
      </c>
      <c r="I208" s="123" t="n">
        <f aca="false">_xlfn.IFNA(INDEX(Spectrum!$P:$P,MATCH(RIGHT($B208,13)&amp;"|"&amp;$C208&amp;"|"&amp;$D208&amp;"|"&amp;H$14&amp;"|"&amp;"CY2021Q3",Spectrum!$Q:$Q,0)),"")</f>
        <v>47</v>
      </c>
      <c r="J208" s="117" t="n">
        <f aca="false">_xlfn.IFNA(INDEX(Spectrum!$N:$N,MATCH(RIGHT($B208,13)&amp;"|"&amp;$C208&amp;"|"&amp;$D208&amp;"|"&amp;J$14&amp;"|"&amp;"CY2021Q3",Spectrum!$Q:$Q,0)),"")</f>
        <v>0.0067041</v>
      </c>
      <c r="K208" s="123" t="n">
        <f aca="false">_xlfn.IFNA(INDEX(Spectrum!$P:$P,MATCH(RIGHT($B208,13)&amp;"|"&amp;$C208&amp;"|"&amp;$D208&amp;"|"&amp;J$14&amp;"|"&amp;"CY2021Q3",Spectrum!$Q:$Q,0)),"")</f>
        <v>7</v>
      </c>
      <c r="L208" s="115" t="n">
        <f aca="false">_xlfn.IFNA(ROUND(INDEX(Spectrum!$N:$N,MATCH(RIGHT($B208,13)&amp;"|"&amp;$C208&amp;"|"&amp;$D208&amp;"|"&amp;L$14&amp;"|"&amp;"CY2021Q3",Spectrum!$Q:$Q,0)),0),"")</f>
        <v>2</v>
      </c>
      <c r="M208" s="123" t="n">
        <f aca="false">IF(OR(SUM($H208)&lt;=0,SUM($L208)&lt;=0),"",SUM($L208)/$H208)</f>
        <v>0.4</v>
      </c>
      <c r="N208" s="115" t="str">
        <f aca="false">_xlfn.IFNA(ROUND(INDEX(Spectrum!$N:$N,MATCH(RIGHT($B208,13)&amp;"|"&amp;$C208&amp;"|"&amp;$D208&amp;"|"&amp;N$14&amp;"|"&amp;"CY2020Q4",Spectrum!$Q:$Q,0)),0),"")</f>
        <v/>
      </c>
      <c r="O208" s="123" t="str">
        <f aca="false">_xlfn.IFNA(INDEX(Spectrum!$P:$P,MATCH(RIGHT($B208,13)&amp;"|"&amp;$C208&amp;"|"&amp;$D208&amp;"|"&amp;N$14&amp;"|"&amp;"CY2020Q4",Spectrum!$Q:$Q,0)),"")</f>
        <v/>
      </c>
      <c r="P208" s="115" t="n">
        <f aca="false">_xlfn.IFNA(ROUND(INDEX(Spectrum!$N:$N,MATCH(RIGHT($B208,13)&amp;"|"&amp;$C208&amp;"|"&amp;$D208&amp;"|"&amp;P$14&amp;"|"&amp;"CY2021Q3",Spectrum!$Q:$Q,0)),0),"")</f>
        <v>2</v>
      </c>
      <c r="Q208" s="123" t="n">
        <f aca="false">_xlfn.IFNA(INDEX(Spectrum!$P:$P,MATCH(RIGHT($B208,13)&amp;"|"&amp;$C208&amp;"|"&amp;$D208&amp;"|"&amp;P$14&amp;"|"&amp;"CY2021Q3",Spectrum!$Q:$Q,0)),"")</f>
        <v>30</v>
      </c>
      <c r="R208" s="115"/>
      <c r="S208" s="123" t="str">
        <f aca="false">IF(OR(SUM($P208)&lt;=0,SUM($R208)&lt;=0),"",SUM($R208)/$P208)</f>
        <v/>
      </c>
      <c r="T208" s="139" t="n">
        <v>14</v>
      </c>
      <c r="U208" s="124" t="n">
        <v>45</v>
      </c>
      <c r="V208" s="124" t="n">
        <f aca="false">IF($U208-$T208=0,"",$U208-$T208)</f>
        <v>31</v>
      </c>
      <c r="W208" s="123" t="n">
        <f aca="false">IF(LEFT($B208,4)="_Mil","",IFERROR(MIN(IF(SUM($N208)&lt;=0,SUM($U208)/SUM($P208),SUM($T208)/SUM($N208)),1),""))</f>
        <v>1</v>
      </c>
      <c r="X208" s="123" t="n">
        <f aca="false">$W208</f>
        <v>1</v>
      </c>
      <c r="Y208" s="123" t="n">
        <f aca="false">IFERROR(1/(1/INDEX(Spectrum!$N:$N,MATCH(RIGHT($B208,13)&amp;"|"&amp;$C208&amp;"|"&amp;$D208&amp;"|"&amp;Y$14&amp;"|"&amp;"CY2021Q3",Spectrum!$Q:$Q,0))),IF(SUM($H208)=0,"",MAX(SUM($P208),SUM($U208))/SUM($H208)))</f>
        <v>9</v>
      </c>
      <c r="Z208" s="123" t="n">
        <f aca="false">IF(SUM($Y208)=0,"",MAX(SUM($Y208),90%))</f>
        <v>9</v>
      </c>
      <c r="AA208" s="115" t="n">
        <f aca="false">IF(LEFT($B208,4)="_Mil","",ROUND(MAX(SUM($U208),SUM($P208))+IF(SUM($Z208)=0,0,MAX(SUM($Z208)-SUM($Y208),0)*SUM($H208)),0))</f>
        <v>45</v>
      </c>
      <c r="AB208" s="115" t="n">
        <f aca="false">IF(SUM($AA208)=0,"",ROUND(MAX(SUM($AA208)-MAX(SUM($P208),SUM($U208)),0),0))</f>
        <v>0</v>
      </c>
      <c r="AC208" s="126" t="str">
        <f aca="false">IF($C208="&lt;01",IFERROR(ROUND(INDEX(EID!$N:$N,MATCH($B208,EID!$B:$B,0))/2,0),""),"")</f>
        <v/>
      </c>
      <c r="AD208" s="115" t="str">
        <f aca="false">IF($C208="&lt;01",IF(SUM($AC208)=0,"",ROUND(SUM($AC208)/$AG208,0)),IF(SUM($AB208)=0,"",ROUND(MAX($X208,0)*SUM($AB208),0)))</f>
        <v/>
      </c>
      <c r="AE208" s="115" t="n">
        <f aca="false">IF(AND(SUM($AD208)=0,SUM($U208)=0),"",ROUND(IF($C208="&lt;01",0,SUM($U208))+SUM($AD208),0))</f>
        <v>0</v>
      </c>
      <c r="AF208" s="122" t="str">
        <f aca="false">IF($C208="&lt;01","",100%)</f>
        <v/>
      </c>
      <c r="AG208" s="123" t="n">
        <f aca="false">0.98</f>
        <v>0.98</v>
      </c>
      <c r="AH208" s="123" t="n">
        <f aca="false">0.98</f>
        <v>0.98</v>
      </c>
      <c r="AI208" s="124" t="str">
        <f aca="false">IF(OR($C208="&lt;01",SUM($U208)=0),"",ROUND(SUM($U208)*(1-$AH208),0))</f>
        <v/>
      </c>
      <c r="AJ208" s="124" t="n">
        <f aca="false">IF(AND(SUM($AE208)=0,SUM($U208)=0),"",IF($C208="&lt;01",SUM($AD208),SUM($AE208) - ROUND(SUM($U208)*$AH208,0)))</f>
        <v>0</v>
      </c>
      <c r="AK208" s="124" t="n">
        <v>32</v>
      </c>
      <c r="AL208" s="124" t="n">
        <v>33</v>
      </c>
      <c r="AM208" s="115" t="n">
        <f aca="false">IF(AND(SUM($AD208)=0,SUM($U208)=0),"",IF($C208="&lt;01",SUM($AD208),ROUND(ROUND(SUM($AJ208)*$AF208,0)/$AG208,0)))</f>
        <v>0</v>
      </c>
      <c r="AN208" s="122" t="n">
        <f aca="false">0.7</f>
        <v>0.7</v>
      </c>
      <c r="AO208" s="123" t="n">
        <f aca="false">1</f>
        <v>1</v>
      </c>
      <c r="AP208" s="115" t="n">
        <f aca="false">IF(AND(SUM($U208)=0,SUM($AM208)=0),"",ROUND((SUM($AM208)*$AN208+IF($C208="&lt;01",0,$U208))*$AO208,0))</f>
        <v>0</v>
      </c>
      <c r="AQ208" s="122"/>
      <c r="AR208" s="123" t="n">
        <f aca="false">0.95</f>
        <v>0.95</v>
      </c>
      <c r="AS208" s="123" t="n">
        <f aca="false">0.95</f>
        <v>0.95</v>
      </c>
      <c r="AT208" s="115" t="str">
        <f aca="false">IF(SUM($AP208)=0,"",ROUND(SUM($AP208)*$AR208,0))</f>
        <v/>
      </c>
      <c r="AU208" s="115" t="n">
        <f aca="false">IF(LEFT($B208,4)="_Mil","",ROUND(SUM($AA208)*SUM($AS208),0))</f>
        <v>43</v>
      </c>
      <c r="AV208" s="124" t="n">
        <f aca="false">IF(SUM($AU208)&lt;=0,"",MAX(SUM($AU208)-SUM($R208),0))</f>
        <v>43</v>
      </c>
      <c r="AW208" s="122" t="n">
        <f aca="false">0</f>
        <v>0</v>
      </c>
      <c r="AX208" s="124" t="str">
        <f aca="false">IF(SUM($AM208)=0,"",ROUND(SUM($AM208)*SUM($AW208),0))</f>
        <v/>
      </c>
      <c r="AY208" s="124" t="str">
        <f aca="false">IF(SUM($AM208)=0,"",SUM($AM208)-SUM($AX208))</f>
        <v/>
      </c>
      <c r="AZ208" s="123" t="n">
        <v>31</v>
      </c>
      <c r="BA208" s="123" t="n">
        <f aca="false">0.95</f>
        <v>0.95</v>
      </c>
      <c r="BB208" s="123"/>
      <c r="BC208" s="123" t="str">
        <f aca="false">IF(OR(SUM($AM208)&lt;=0,$C208="&lt;01"),"",MAX(IF(OR(SUM($Y208)&lt;70%,LEFT($B208,4)="_Mil"),30%,IF(SUM($Y208)&gt;=80%,75%,50%)),SUM($BB208)))</f>
        <v/>
      </c>
      <c r="BD208" s="115" t="str">
        <f aca="false">IF($C208="&lt;01",IFERROR(ROUND(INDEX(EID!$M:$M,MATCH($B208,EID!$B:$B,0)),0)/2,""),IF(SUM($AY208)=0,"",ROUND(SUM($AY208)/SUM($BA208),0)))</f>
        <v/>
      </c>
      <c r="BE208" s="115" t="str">
        <f aca="false">IF($C208="&lt;01","",IF(SUM($BD208)=0,"",ROUND(SUM($BD208)*SUM($BC208),0)))</f>
        <v/>
      </c>
      <c r="BF208" s="115" t="str">
        <f aca="false">_xlfn.IFNA(INDEX(PMTCT!$AE:$AE,MATCH($E208,PMTCT!$E:$E,0)),"")</f>
        <v/>
      </c>
      <c r="BG208" s="115" t="str">
        <f aca="false">_xlfn.IFNA(INDEX(PMTCT!$AU:$AU,MATCH($E208,PMTCT!$E:$E,0)),"")</f>
        <v/>
      </c>
      <c r="BH208" s="115" t="str">
        <f aca="false">_xlfn.IFNA(INDEX(TB!$Q:$Q,MATCH($E208,TB!$E:$E,0)),"")</f>
        <v/>
      </c>
      <c r="BI208" s="115" t="str">
        <f aca="false">_xlfn.IFNA(INDEX(VMMC!$AC:$AC,MATCH($E208,VMMC!$E:$E,0)),"")</f>
        <v/>
      </c>
      <c r="BJ208" s="115" t="str">
        <f aca="false">IF($C208="&lt;01",$BD208,"")</f>
        <v/>
      </c>
      <c r="BK208" s="115" t="str">
        <f aca="false">IF(SUM($BD208)=0,"",($BD208)-SUM($BE208:$BJ208))</f>
        <v/>
      </c>
      <c r="BL208" s="123" t="str">
        <f aca="false">IF(OR(SUM($BD208)=0,SUM($BE208)=0),"",SUM($BE208)/$BD208)</f>
        <v/>
      </c>
      <c r="BM208" s="123" t="str">
        <f aca="false">IF(OR(SUM($BD208)=0,SUM($BF208)=0),"",SUM($BF208)/$BD208)</f>
        <v/>
      </c>
      <c r="BN208" s="123" t="str">
        <f aca="false">IF(OR(SUM($BD208)=0,SUM($BG208)=0),"",SUM($BG208)/$BD208)</f>
        <v/>
      </c>
      <c r="BO208" s="123" t="str">
        <f aca="false">IF(OR(SUM($BD208)=0,SUM($BH208)=0),"",SUM($BH208)/$BD208)</f>
        <v/>
      </c>
      <c r="BP208" s="123" t="str">
        <f aca="false">IF(OR(SUM($BD208)=0,SUM($BI208)=0),"",SUM($BI208)/$BD208)</f>
        <v/>
      </c>
      <c r="BQ208" s="123" t="str">
        <f aca="false">IF(AND($C208="&lt;01",SUM($BJ208)&lt;&gt;0),$BJ208/SUM($BD208),"")</f>
        <v/>
      </c>
      <c r="BR208" s="123" t="str">
        <f aca="false">IF(OR(SUM($BD208)=0,SUM($BK208)=0),"",SUM($BK208)/$BD208)</f>
        <v/>
      </c>
      <c r="BS208" s="122" t="n">
        <f aca="false">IF(SUM($X208)&lt;=0,"",$X208)</f>
        <v>1</v>
      </c>
      <c r="BT208" s="115" t="n">
        <f aca="false">IF(LEFT($B208,4)="_Mil","",MAX(SUM($L208)+ROUND(SUM($BD208)/IF(SUM($BS208)&lt;=0,1,SUM($BS208)),0),0))</f>
        <v>2</v>
      </c>
    </row>
    <row r="209" customFormat="false" ht="15" hidden="false" customHeight="false" outlineLevel="0" collapsed="false">
      <c r="A209" s="0" t="s">
        <v>149</v>
      </c>
      <c r="B209" s="0" t="s">
        <v>111</v>
      </c>
      <c r="C209" s="0" t="s">
        <v>54</v>
      </c>
      <c r="D209" s="0" t="s">
        <v>56</v>
      </c>
      <c r="E209" s="0" t="str">
        <f aca="false">B209&amp;"|"&amp;C209&amp;"|"&amp;D209</f>
        <v>Qacha's Nek [#SNU] [zTaMbxvQtJ6]|01-04|Female</v>
      </c>
      <c r="F209" s="115" t="n">
        <f aca="false">_xlfn.IFNA(ROUND(INDEX(Spectrum!$N:$N,MATCH(RIGHT($B209,13)&amp;"|"&amp;$C209&amp;"|"&amp;$D209&amp;"|"&amp;F$14&amp;"|"&amp;"CY2021Q3",Spectrum!$Q:$Q,0)),0),"")</f>
        <v>3137</v>
      </c>
      <c r="G209" s="123" t="n">
        <f aca="false">_xlfn.IFNA(INDEX(Spectrum!$P:$P,MATCH(RIGHT($B209,13)&amp;"|"&amp;$C209&amp;"|"&amp;$D209&amp;"|"&amp;F$14&amp;"|"&amp;"CY2021Q3",Spectrum!$Q:$Q,0)),"")</f>
        <v>2</v>
      </c>
      <c r="H209" s="115" t="n">
        <f aca="false">_xlfn.IFNA(ROUND(INDEX(Spectrum!$N:$N,MATCH(RIGHT($B209,13)&amp;"|"&amp;$C209&amp;"|"&amp;$D209&amp;"|"&amp;H$14&amp;"|"&amp;"CY2021Q3",Spectrum!$Q:$Q,0)),0),"")</f>
        <v>22</v>
      </c>
      <c r="I209" s="123" t="n">
        <f aca="false">_xlfn.IFNA(INDEX(Spectrum!$P:$P,MATCH(RIGHT($B209,13)&amp;"|"&amp;$C209&amp;"|"&amp;$D209&amp;"|"&amp;H$14&amp;"|"&amp;"CY2021Q3",Spectrum!$Q:$Q,0)),"")</f>
        <v>37</v>
      </c>
      <c r="J209" s="117" t="n">
        <f aca="false">_xlfn.IFNA(INDEX(Spectrum!$N:$N,MATCH(RIGHT($B209,13)&amp;"|"&amp;$C209&amp;"|"&amp;$D209&amp;"|"&amp;J$14&amp;"|"&amp;"CY2021Q3",Spectrum!$Q:$Q,0)),"")</f>
        <v>0.0070841</v>
      </c>
      <c r="K209" s="123" t="n">
        <f aca="false">_xlfn.IFNA(INDEX(Spectrum!$P:$P,MATCH(RIGHT($B209,13)&amp;"|"&amp;$C209&amp;"|"&amp;$D209&amp;"|"&amp;J$14&amp;"|"&amp;"CY2021Q3",Spectrum!$Q:$Q,0)),"")</f>
        <v>38</v>
      </c>
      <c r="L209" s="115" t="n">
        <f aca="false">_xlfn.IFNA(ROUND(INDEX(Spectrum!$N:$N,MATCH(RIGHT($B209,13)&amp;"|"&amp;$C209&amp;"|"&amp;$D209&amp;"|"&amp;L$14&amp;"|"&amp;"CY2021Q3",Spectrum!$Q:$Q,0)),0),"")</f>
        <v>9</v>
      </c>
      <c r="M209" s="123" t="n">
        <f aca="false">IF(OR(SUM($H209)&lt;=0,SUM($L209)&lt;=0),"",SUM($L209)/$H209)</f>
        <v>0.409090909090909</v>
      </c>
      <c r="N209" s="115" t="str">
        <f aca="false">_xlfn.IFNA(ROUND(INDEX(Spectrum!$N:$N,MATCH(RIGHT($B209,13)&amp;"|"&amp;$C209&amp;"|"&amp;$D209&amp;"|"&amp;N$14&amp;"|"&amp;"CY2020Q4",Spectrum!$Q:$Q,0)),0),"")</f>
        <v/>
      </c>
      <c r="O209" s="123" t="str">
        <f aca="false">_xlfn.IFNA(INDEX(Spectrum!$P:$P,MATCH(RIGHT($B209,13)&amp;"|"&amp;$C209&amp;"|"&amp;$D209&amp;"|"&amp;N$14&amp;"|"&amp;"CY2020Q4",Spectrum!$Q:$Q,0)),"")</f>
        <v/>
      </c>
      <c r="P209" s="115" t="n">
        <f aca="false">_xlfn.IFNA(ROUND(INDEX(Spectrum!$N:$N,MATCH(RIGHT($B209,13)&amp;"|"&amp;$C209&amp;"|"&amp;$D209&amp;"|"&amp;P$14&amp;"|"&amp;"CY2021Q3",Spectrum!$Q:$Q,0)),0),"")</f>
        <v>10</v>
      </c>
      <c r="Q209" s="123" t="n">
        <f aca="false">_xlfn.IFNA(INDEX(Spectrum!$P:$P,MATCH(RIGHT($B209,13)&amp;"|"&amp;$C209&amp;"|"&amp;$D209&amp;"|"&amp;P$14&amp;"|"&amp;"CY2021Q3",Spectrum!$Q:$Q,0)),"")</f>
        <v>49</v>
      </c>
      <c r="R209" s="115"/>
      <c r="S209" s="123" t="str">
        <f aca="false">IF(OR(SUM($P209)&lt;=0,SUM($R209)&lt;=0),"",SUM($R209)/$P209)</f>
        <v/>
      </c>
      <c r="T209" s="139" t="n">
        <v>9</v>
      </c>
      <c r="U209" s="124" t="n">
        <v>49</v>
      </c>
      <c r="V209" s="124" t="n">
        <f aca="false">IF($U209-$T209=0,"",$U209-$T209)</f>
        <v>40</v>
      </c>
      <c r="W209" s="123" t="n">
        <f aca="false">IF(LEFT($B209,4)="_Mil","",IFERROR(MIN(IF(SUM($N209)&lt;=0,SUM($U209)/SUM($P209),SUM($T209)/SUM($N209)),1),""))</f>
        <v>1</v>
      </c>
      <c r="X209" s="123" t="n">
        <f aca="false">$W209</f>
        <v>1</v>
      </c>
      <c r="Y209" s="123" t="n">
        <f aca="false">IFERROR(1/(1/INDEX(Spectrum!$N:$N,MATCH(RIGHT($B209,13)&amp;"|"&amp;$C209&amp;"|"&amp;$D209&amp;"|"&amp;Y$14&amp;"|"&amp;"CY2021Q3",Spectrum!$Q:$Q,0))),IF(SUM($H209)=0,"",MAX(SUM($P209),SUM($U209))/SUM($H209)))</f>
        <v>2.22727272727273</v>
      </c>
      <c r="Z209" s="123" t="n">
        <f aca="false">IF(SUM($Y209)=0,"",MAX(SUM($Y209),90%))</f>
        <v>2.22727272727273</v>
      </c>
      <c r="AA209" s="115" t="n">
        <f aca="false">IF(LEFT($B209,4)="_Mil","",ROUND(MAX(SUM($U209),SUM($P209))+IF(SUM($Z209)=0,0,MAX(SUM($Z209)-SUM($Y209),0)*SUM($H209)),0))</f>
        <v>49</v>
      </c>
      <c r="AB209" s="115" t="n">
        <f aca="false">IF(SUM($AA209)=0,"",ROUND(MAX(SUM($AA209)-MAX(SUM($P209),SUM($U209)),0),0))</f>
        <v>0</v>
      </c>
      <c r="AC209" s="126" t="str">
        <f aca="false">IF($C209="&lt;01",IFERROR(ROUND(INDEX(EID!$N:$N,MATCH($B209,EID!$B:$B,0))/2,0),""),"")</f>
        <v/>
      </c>
      <c r="AD209" s="115" t="str">
        <f aca="false">IF($C209="&lt;01",IF(SUM($AC209)=0,"",ROUND(SUM($AC209)/$AG209,0)),IF(SUM($AB209)=0,"",ROUND(MAX($X209,0)*SUM($AB209),0)))</f>
        <v/>
      </c>
      <c r="AE209" s="115" t="n">
        <f aca="false">IF(AND(SUM($AD209)=0,SUM($U209)=0),"",ROUND(IF($C209="&lt;01",0,SUM($U209))+SUM($AD209),0))</f>
        <v>49</v>
      </c>
      <c r="AF209" s="122" t="n">
        <f aca="false">IF($C209="&lt;01","",100%)</f>
        <v>1</v>
      </c>
      <c r="AG209" s="123" t="n">
        <f aca="false">0.98</f>
        <v>0.98</v>
      </c>
      <c r="AH209" s="123" t="n">
        <f aca="false">0.98</f>
        <v>0.98</v>
      </c>
      <c r="AI209" s="124" t="n">
        <f aca="false">IF(OR($C209="&lt;01",SUM($U209)=0),"",ROUND(SUM($U209)*(1-$AH209),0))</f>
        <v>1</v>
      </c>
      <c r="AJ209" s="124" t="n">
        <f aca="false">IF(AND(SUM($AE209)=0,SUM($U209)=0),"",IF($C209="&lt;01",SUM($AD209),SUM($AE209) - ROUND(SUM($U209)*$AH209,0)))</f>
        <v>1</v>
      </c>
      <c r="AK209" s="124" t="n">
        <v>12</v>
      </c>
      <c r="AL209" s="124" t="n">
        <v>21</v>
      </c>
      <c r="AM209" s="115" t="n">
        <f aca="false">IF(AND(SUM($AD209)=0,SUM($U209)=0),"",IF($C209="&lt;01",SUM($AD209),ROUND(ROUND(SUM($AJ209)*$AF209,0)/$AG209,0)))</f>
        <v>1</v>
      </c>
      <c r="AN209" s="122" t="n">
        <f aca="false">0.7</f>
        <v>0.7</v>
      </c>
      <c r="AO209" s="123" t="n">
        <f aca="false">1</f>
        <v>1</v>
      </c>
      <c r="AP209" s="115" t="n">
        <f aca="false">IF(AND(SUM($U209)=0,SUM($AM209)=0),"",ROUND((SUM($AM209)*$AN209+IF($C209="&lt;01",0,$U209))*$AO209,0))</f>
        <v>50</v>
      </c>
      <c r="AQ209" s="122" t="n">
        <v>22</v>
      </c>
      <c r="AR209" s="123" t="n">
        <f aca="false">0.95</f>
        <v>0.95</v>
      </c>
      <c r="AS209" s="123" t="n">
        <f aca="false">0.95</f>
        <v>0.95</v>
      </c>
      <c r="AT209" s="115" t="n">
        <f aca="false">IF(SUM($AP209)=0,"",ROUND(SUM($AP209)*$AR209,0))</f>
        <v>48</v>
      </c>
      <c r="AU209" s="115" t="n">
        <f aca="false">IF(LEFT($B209,4)="_Mil","",ROUND(SUM($AA209)*SUM($AS209),0))</f>
        <v>47</v>
      </c>
      <c r="AV209" s="124" t="n">
        <f aca="false">IF(SUM($AU209)&lt;=0,"",MAX(SUM($AU209)-SUM($R209),0))</f>
        <v>47</v>
      </c>
      <c r="AW209" s="122" t="n">
        <f aca="false">0</f>
        <v>0</v>
      </c>
      <c r="AX209" s="124" t="n">
        <f aca="false">IF(SUM($AM209)=0,"",ROUND(SUM($AM209)*SUM($AW209),0))</f>
        <v>0</v>
      </c>
      <c r="AY209" s="124" t="n">
        <f aca="false">IF(SUM($AM209)=0,"",SUM($AM209)-SUM($AX209))</f>
        <v>1</v>
      </c>
      <c r="AZ209" s="123" t="n">
        <v>4</v>
      </c>
      <c r="BA209" s="123" t="n">
        <f aca="false">0.95</f>
        <v>0.95</v>
      </c>
      <c r="BB209" s="123"/>
      <c r="BC209" s="123" t="n">
        <f aca="false">IF(OR(SUM($AM209)&lt;=0,$C209="&lt;01"),"",MAX(IF(OR(SUM($Y209)&lt;70%,LEFT($B209,4)="_Mil"),30%,IF(SUM($Y209)&gt;=80%,75%,50%)),SUM($BB209)))</f>
        <v>0.75</v>
      </c>
      <c r="BD209" s="115" t="n">
        <f aca="false">IF($C209="&lt;01",IFERROR(ROUND(INDEX(EID!$M:$M,MATCH($B209,EID!$B:$B,0)),0)/2,""),IF(SUM($AY209)=0,"",ROUND(SUM($AY209)/SUM($BA209),0)))</f>
        <v>1</v>
      </c>
      <c r="BE209" s="115" t="n">
        <f aca="false">IF($C209="&lt;01","",IF(SUM($BD209)=0,"",ROUND(SUM($BD209)*SUM($BC209),0)))</f>
        <v>1</v>
      </c>
      <c r="BF209" s="115" t="str">
        <f aca="false">_xlfn.IFNA(INDEX(PMTCT!$AE:$AE,MATCH($E209,PMTCT!$E:$E,0)),"")</f>
        <v/>
      </c>
      <c r="BG209" s="115" t="str">
        <f aca="false">_xlfn.IFNA(INDEX(PMTCT!$AU:$AU,MATCH($E209,PMTCT!$E:$E,0)),"")</f>
        <v/>
      </c>
      <c r="BH209" s="115" t="n">
        <f aca="false">_xlfn.IFNA(INDEX(TB!$Q:$Q,MATCH($E209,TB!$E:$E,0)),"")</f>
        <v>0</v>
      </c>
      <c r="BI209" s="115" t="str">
        <f aca="false">_xlfn.IFNA(INDEX(VMMC!$AC:$AC,MATCH($E209,VMMC!$E:$E,0)),"")</f>
        <v/>
      </c>
      <c r="BJ209" s="115" t="str">
        <f aca="false">IF($C209="&lt;01",$BD209,"")</f>
        <v/>
      </c>
      <c r="BK209" s="115" t="n">
        <f aca="false">IF(SUM($BD209)=0,"",($BD209)-SUM($BE209:$BJ209))</f>
        <v>0</v>
      </c>
      <c r="BL209" s="123" t="n">
        <f aca="false">IF(OR(SUM($BD209)=0,SUM($BE209)=0),"",SUM($BE209)/$BD209)</f>
        <v>1</v>
      </c>
      <c r="BM209" s="123" t="str">
        <f aca="false">IF(OR(SUM($BD209)=0,SUM($BF209)=0),"",SUM($BF209)/$BD209)</f>
        <v/>
      </c>
      <c r="BN209" s="123" t="str">
        <f aca="false">IF(OR(SUM($BD209)=0,SUM($BG209)=0),"",SUM($BG209)/$BD209)</f>
        <v/>
      </c>
      <c r="BO209" s="123" t="str">
        <f aca="false">IF(OR(SUM($BD209)=0,SUM($BH209)=0),"",SUM($BH209)/$BD209)</f>
        <v/>
      </c>
      <c r="BP209" s="123" t="str">
        <f aca="false">IF(OR(SUM($BD209)=0,SUM($BI209)=0),"",SUM($BI209)/$BD209)</f>
        <v/>
      </c>
      <c r="BQ209" s="123" t="str">
        <f aca="false">IF(AND($C209="&lt;01",SUM($BJ209)&lt;&gt;0),$BJ209/SUM($BD209),"")</f>
        <v/>
      </c>
      <c r="BR209" s="123" t="str">
        <f aca="false">IF(OR(SUM($BD209)=0,SUM($BK209)=0),"",SUM($BK209)/$BD209)</f>
        <v/>
      </c>
      <c r="BS209" s="122" t="n">
        <f aca="false">IF(SUM($X209)&lt;=0,"",$X209)</f>
        <v>1</v>
      </c>
      <c r="BT209" s="115" t="n">
        <f aca="false">IF(LEFT($B209,4)="_Mil","",MAX(SUM($L209)+ROUND(SUM($BD209)/IF(SUM($BS209)&lt;=0,1,SUM($BS209)),0),0))</f>
        <v>10</v>
      </c>
    </row>
    <row r="210" customFormat="false" ht="15" hidden="false" customHeight="false" outlineLevel="0" collapsed="false">
      <c r="A210" s="0" t="s">
        <v>149</v>
      </c>
      <c r="B210" s="0" t="s">
        <v>111</v>
      </c>
      <c r="C210" s="0" t="s">
        <v>54</v>
      </c>
      <c r="D210" s="0" t="s">
        <v>58</v>
      </c>
      <c r="E210" s="0" t="str">
        <f aca="false">B210&amp;"|"&amp;C210&amp;"|"&amp;D210</f>
        <v>Qacha's Nek [#SNU] [zTaMbxvQtJ6]|01-04|Male</v>
      </c>
      <c r="F210" s="115" t="n">
        <f aca="false">_xlfn.IFNA(ROUND(INDEX(Spectrum!$N:$N,MATCH(RIGHT($B210,13)&amp;"|"&amp;$C210&amp;"|"&amp;$D210&amp;"|"&amp;F$14&amp;"|"&amp;"CY2021Q3",Spectrum!$Q:$Q,0)),0),"")</f>
        <v>3154</v>
      </c>
      <c r="G210" s="123" t="n">
        <f aca="false">_xlfn.IFNA(INDEX(Spectrum!$P:$P,MATCH(RIGHT($B210,13)&amp;"|"&amp;$C210&amp;"|"&amp;$D210&amp;"|"&amp;F$14&amp;"|"&amp;"CY2021Q3",Spectrum!$Q:$Q,0)),"")</f>
        <v>26</v>
      </c>
      <c r="H210" s="115" t="n">
        <f aca="false">_xlfn.IFNA(ROUND(INDEX(Spectrum!$N:$N,MATCH(RIGHT($B210,13)&amp;"|"&amp;$C210&amp;"|"&amp;$D210&amp;"|"&amp;H$14&amp;"|"&amp;"CY2021Q3",Spectrum!$Q:$Q,0)),0),"")</f>
        <v>22</v>
      </c>
      <c r="I210" s="123" t="n">
        <f aca="false">_xlfn.IFNA(INDEX(Spectrum!$P:$P,MATCH(RIGHT($B210,13)&amp;"|"&amp;$C210&amp;"|"&amp;$D210&amp;"|"&amp;H$14&amp;"|"&amp;"CY2021Q3",Spectrum!$Q:$Q,0)),"")</f>
        <v>13</v>
      </c>
      <c r="J210" s="117" t="n">
        <f aca="false">_xlfn.IFNA(INDEX(Spectrum!$N:$N,MATCH(RIGHT($B210,13)&amp;"|"&amp;$C210&amp;"|"&amp;$D210&amp;"|"&amp;J$14&amp;"|"&amp;"CY2021Q3",Spectrum!$Q:$Q,0)),"")</f>
        <v>0.0070897</v>
      </c>
      <c r="K210" s="123" t="n">
        <f aca="false">_xlfn.IFNA(INDEX(Spectrum!$P:$P,MATCH(RIGHT($B210,13)&amp;"|"&amp;$C210&amp;"|"&amp;$D210&amp;"|"&amp;J$14&amp;"|"&amp;"CY2021Q3",Spectrum!$Q:$Q,0)),"")</f>
        <v>17</v>
      </c>
      <c r="L210" s="115" t="n">
        <f aca="false">_xlfn.IFNA(ROUND(INDEX(Spectrum!$N:$N,MATCH(RIGHT($B210,13)&amp;"|"&amp;$C210&amp;"|"&amp;$D210&amp;"|"&amp;L$14&amp;"|"&amp;"CY2021Q3",Spectrum!$Q:$Q,0)),0),"")</f>
        <v>9</v>
      </c>
      <c r="M210" s="123" t="n">
        <f aca="false">IF(OR(SUM($H210)&lt;=0,SUM($L210)&lt;=0),"",SUM($L210)/$H210)</f>
        <v>0.409090909090909</v>
      </c>
      <c r="N210" s="115" t="str">
        <f aca="false">_xlfn.IFNA(ROUND(INDEX(Spectrum!$N:$N,MATCH(RIGHT($B210,13)&amp;"|"&amp;$C210&amp;"|"&amp;$D210&amp;"|"&amp;N$14&amp;"|"&amp;"CY2020Q4",Spectrum!$Q:$Q,0)),0),"")</f>
        <v/>
      </c>
      <c r="O210" s="123" t="str">
        <f aca="false">_xlfn.IFNA(INDEX(Spectrum!$P:$P,MATCH(RIGHT($B210,13)&amp;"|"&amp;$C210&amp;"|"&amp;$D210&amp;"|"&amp;N$14&amp;"|"&amp;"CY2020Q4",Spectrum!$Q:$Q,0)),"")</f>
        <v/>
      </c>
      <c r="P210" s="115" t="n">
        <f aca="false">_xlfn.IFNA(ROUND(INDEX(Spectrum!$N:$N,MATCH(RIGHT($B210,13)&amp;"|"&amp;$C210&amp;"|"&amp;$D210&amp;"|"&amp;P$14&amp;"|"&amp;"CY2021Q3",Spectrum!$Q:$Q,0)),0),"")</f>
        <v>10</v>
      </c>
      <c r="Q210" s="123" t="n">
        <f aca="false">_xlfn.IFNA(INDEX(Spectrum!$P:$P,MATCH(RIGHT($B210,13)&amp;"|"&amp;$C210&amp;"|"&amp;$D210&amp;"|"&amp;P$14&amp;"|"&amp;"CY2021Q3",Spectrum!$Q:$Q,0)),"")</f>
        <v>9</v>
      </c>
      <c r="R210" s="115"/>
      <c r="S210" s="123" t="str">
        <f aca="false">IF(OR(SUM($P210)&lt;=0,SUM($R210)&lt;=0),"",SUM($R210)/$P210)</f>
        <v/>
      </c>
      <c r="T210" s="139" t="n">
        <v>2</v>
      </c>
      <c r="U210" s="124" t="n">
        <v>9</v>
      </c>
      <c r="V210" s="124" t="n">
        <f aca="false">IF($U210-$T210=0,"",$U210-$T210)</f>
        <v>7</v>
      </c>
      <c r="W210" s="123" t="n">
        <f aca="false">IF(LEFT($B210,4)="_Mil","",IFERROR(MIN(IF(SUM($N210)&lt;=0,SUM($U210)/SUM($P210),SUM($T210)/SUM($N210)),1),""))</f>
        <v>0.9</v>
      </c>
      <c r="X210" s="123" t="n">
        <f aca="false">$W210</f>
        <v>0.9</v>
      </c>
      <c r="Y210" s="123" t="n">
        <f aca="false">IFERROR(1/(1/INDEX(Spectrum!$N:$N,MATCH(RIGHT($B210,13)&amp;"|"&amp;$C210&amp;"|"&amp;$D210&amp;"|"&amp;Y$14&amp;"|"&amp;"CY2021Q3",Spectrum!$Q:$Q,0))),IF(SUM($H210)=0,"",MAX(SUM($P210),SUM($U210))/SUM($H210)))</f>
        <v>0.454545454545455</v>
      </c>
      <c r="Z210" s="123" t="n">
        <f aca="false">IF(SUM($Y210)=0,"",MAX(SUM($Y210),90%))</f>
        <v>0.9</v>
      </c>
      <c r="AA210" s="115" t="n">
        <f aca="false">IF(LEFT($B210,4)="_Mil","",ROUND(MAX(SUM($U210),SUM($P210))+IF(SUM($Z210)=0,0,MAX(SUM($Z210)-SUM($Y210),0)*SUM($H210)),0))</f>
        <v>20</v>
      </c>
      <c r="AB210" s="115" t="n">
        <f aca="false">IF(SUM($AA210)=0,"",ROUND(MAX(SUM($AA210)-MAX(SUM($P210),SUM($U210)),0),0))</f>
        <v>10</v>
      </c>
      <c r="AC210" s="126" t="str">
        <f aca="false">IF($C210="&lt;01",IFERROR(ROUND(INDEX(EID!$N:$N,MATCH($B210,EID!$B:$B,0))/2,0),""),"")</f>
        <v/>
      </c>
      <c r="AD210" s="115" t="n">
        <f aca="false">IF($C210="&lt;01",IF(SUM($AC210)=0,"",ROUND(SUM($AC210)/$AG210,0)),IF(SUM($AB210)=0,"",ROUND(MAX($X210,0)*SUM($AB210),0)))</f>
        <v>9</v>
      </c>
      <c r="AE210" s="115" t="n">
        <f aca="false">IF(AND(SUM($AD210)=0,SUM($U210)=0),"",ROUND(IF($C210="&lt;01",0,SUM($U210))+SUM($AD210),0))</f>
        <v>18</v>
      </c>
      <c r="AF210" s="122" t="n">
        <f aca="false">IF($C210="&lt;01","",100%)</f>
        <v>1</v>
      </c>
      <c r="AG210" s="123" t="n">
        <f aca="false">0.98</f>
        <v>0.98</v>
      </c>
      <c r="AH210" s="123" t="n">
        <f aca="false">0.98</f>
        <v>0.98</v>
      </c>
      <c r="AI210" s="124" t="n">
        <f aca="false">IF(OR($C210="&lt;01",SUM($U210)=0),"",ROUND(SUM($U210)*(1-$AH210),0))</f>
        <v>0</v>
      </c>
      <c r="AJ210" s="124" t="n">
        <f aca="false">IF(AND(SUM($AE210)=0,SUM($U210)=0),"",IF($C210="&lt;01",SUM($AD210),SUM($AE210) - ROUND(SUM($U210)*$AH210,0)))</f>
        <v>9</v>
      </c>
      <c r="AK210" s="124" t="n">
        <v>34</v>
      </c>
      <c r="AL210" s="124" t="n">
        <v>4</v>
      </c>
      <c r="AM210" s="115" t="n">
        <f aca="false">IF(AND(SUM($AD210)=0,SUM($U210)=0),"",IF($C210="&lt;01",SUM($AD210),ROUND(ROUND(SUM($AJ210)*$AF210,0)/$AG210,0)))</f>
        <v>9</v>
      </c>
      <c r="AN210" s="122" t="n">
        <f aca="false">0.7</f>
        <v>0.7</v>
      </c>
      <c r="AO210" s="123" t="n">
        <f aca="false">1</f>
        <v>1</v>
      </c>
      <c r="AP210" s="115" t="n">
        <f aca="false">IF(AND(SUM($U210)=0,SUM($AM210)=0),"",ROUND((SUM($AM210)*$AN210+IF($C210="&lt;01",0,$U210))*$AO210,0))</f>
        <v>15</v>
      </c>
      <c r="AQ210" s="122" t="n">
        <v>12</v>
      </c>
      <c r="AR210" s="123" t="n">
        <f aca="false">0.95</f>
        <v>0.95</v>
      </c>
      <c r="AS210" s="123" t="n">
        <f aca="false">0.95</f>
        <v>0.95</v>
      </c>
      <c r="AT210" s="115" t="n">
        <f aca="false">IF(SUM($AP210)=0,"",ROUND(SUM($AP210)*$AR210,0))</f>
        <v>14</v>
      </c>
      <c r="AU210" s="115" t="n">
        <f aca="false">IF(LEFT($B210,4)="_Mil","",ROUND(SUM($AA210)*SUM($AS210),0))</f>
        <v>19</v>
      </c>
      <c r="AV210" s="124" t="n">
        <f aca="false">IF(SUM($AU210)&lt;=0,"",MAX(SUM($AU210)-SUM($R210),0))</f>
        <v>19</v>
      </c>
      <c r="AW210" s="122" t="n">
        <f aca="false">0</f>
        <v>0</v>
      </c>
      <c r="AX210" s="124" t="n">
        <f aca="false">IF(SUM($AM210)=0,"",ROUND(SUM($AM210)*SUM($AW210),0))</f>
        <v>0</v>
      </c>
      <c r="AY210" s="124" t="n">
        <f aca="false">IF(SUM($AM210)=0,"",SUM($AM210)-SUM($AX210))</f>
        <v>9</v>
      </c>
      <c r="AZ210" s="123" t="n">
        <v>49</v>
      </c>
      <c r="BA210" s="123" t="n">
        <f aca="false">0.95</f>
        <v>0.95</v>
      </c>
      <c r="BB210" s="123"/>
      <c r="BC210" s="123" t="n">
        <f aca="false">IF(OR(SUM($AM210)&lt;=0,$C210="&lt;01"),"",MAX(IF(OR(SUM($Y210)&lt;70%,LEFT($B210,4)="_Mil"),30%,IF(SUM($Y210)&gt;=80%,75%,50%)),SUM($BB210)))</f>
        <v>0.3</v>
      </c>
      <c r="BD210" s="115" t="n">
        <f aca="false">IF($C210="&lt;01",IFERROR(ROUND(INDEX(EID!$M:$M,MATCH($B210,EID!$B:$B,0)),0)/2,""),IF(SUM($AY210)=0,"",ROUND(SUM($AY210)/SUM($BA210),0)))</f>
        <v>9</v>
      </c>
      <c r="BE210" s="115" t="n">
        <f aca="false">IF($C210="&lt;01","",IF(SUM($BD210)=0,"",ROUND(SUM($BD210)*SUM($BC210),0)))</f>
        <v>3</v>
      </c>
      <c r="BF210" s="115" t="str">
        <f aca="false">_xlfn.IFNA(INDEX(PMTCT!$AE:$AE,MATCH($E210,PMTCT!$E:$E,0)),"")</f>
        <v/>
      </c>
      <c r="BG210" s="115" t="str">
        <f aca="false">_xlfn.IFNA(INDEX(PMTCT!$AU:$AU,MATCH($E210,PMTCT!$E:$E,0)),"")</f>
        <v/>
      </c>
      <c r="BH210" s="115" t="n">
        <f aca="false">_xlfn.IFNA(INDEX(TB!$Q:$Q,MATCH($E210,TB!$E:$E,0)),"")</f>
        <v>0</v>
      </c>
      <c r="BI210" s="115" t="str">
        <f aca="false">_xlfn.IFNA(INDEX(VMMC!$AC:$AC,MATCH($E210,VMMC!$E:$E,0)),"")</f>
        <v/>
      </c>
      <c r="BJ210" s="115" t="str">
        <f aca="false">IF($C210="&lt;01",$BD210,"")</f>
        <v/>
      </c>
      <c r="BK210" s="115" t="n">
        <f aca="false">IF(SUM($BD210)=0,"",($BD210)-SUM($BE210:$BJ210))</f>
        <v>6</v>
      </c>
      <c r="BL210" s="123" t="n">
        <f aca="false">IF(OR(SUM($BD210)=0,SUM($BE210)=0),"",SUM($BE210)/$BD210)</f>
        <v>0.333333333333333</v>
      </c>
      <c r="BM210" s="123" t="str">
        <f aca="false">IF(OR(SUM($BD210)=0,SUM($BF210)=0),"",SUM($BF210)/$BD210)</f>
        <v/>
      </c>
      <c r="BN210" s="123" t="str">
        <f aca="false">IF(OR(SUM($BD210)=0,SUM($BG210)=0),"",SUM($BG210)/$BD210)</f>
        <v/>
      </c>
      <c r="BO210" s="123" t="str">
        <f aca="false">IF(OR(SUM($BD210)=0,SUM($BH210)=0),"",SUM($BH210)/$BD210)</f>
        <v/>
      </c>
      <c r="BP210" s="123" t="str">
        <f aca="false">IF(OR(SUM($BD210)=0,SUM($BI210)=0),"",SUM($BI210)/$BD210)</f>
        <v/>
      </c>
      <c r="BQ210" s="123" t="str">
        <f aca="false">IF(AND($C210="&lt;01",SUM($BJ210)&lt;&gt;0),$BJ210/SUM($BD210),"")</f>
        <v/>
      </c>
      <c r="BR210" s="123" t="n">
        <f aca="false">IF(OR(SUM($BD210)=0,SUM($BK210)=0),"",SUM($BK210)/$BD210)</f>
        <v>0.666666666666667</v>
      </c>
      <c r="BS210" s="122" t="n">
        <f aca="false">IF(SUM($X210)&lt;=0,"",$X210)</f>
        <v>0.9</v>
      </c>
      <c r="BT210" s="115" t="n">
        <f aca="false">IF(LEFT($B210,4)="_Mil","",MAX(SUM($L210)+ROUND(SUM($BD210)/IF(SUM($BS210)&lt;=0,1,SUM($BS210)),0),0))</f>
        <v>19</v>
      </c>
    </row>
    <row r="211" customFormat="false" ht="15" hidden="false" customHeight="false" outlineLevel="0" collapsed="false">
      <c r="A211" s="0" t="s">
        <v>149</v>
      </c>
      <c r="B211" s="0" t="s">
        <v>111</v>
      </c>
      <c r="C211" s="0" t="s">
        <v>83</v>
      </c>
      <c r="D211" s="0" t="s">
        <v>56</v>
      </c>
      <c r="E211" s="0" t="str">
        <f aca="false">B211&amp;"|"&amp;C211&amp;"|"&amp;D211</f>
        <v>Qacha's Nek [#SNU] [zTaMbxvQtJ6]|05-09|Female</v>
      </c>
      <c r="F211" s="115" t="n">
        <f aca="false">_xlfn.IFNA(ROUND(INDEX(Spectrum!$N:$N,MATCH(RIGHT($B211,13)&amp;"|"&amp;$C211&amp;"|"&amp;$D211&amp;"|"&amp;F$14&amp;"|"&amp;"CY2021Q3",Spectrum!$Q:$Q,0)),0),"")</f>
        <v>4427</v>
      </c>
      <c r="G211" s="123" t="n">
        <f aca="false">_xlfn.IFNA(INDEX(Spectrum!$P:$P,MATCH(RIGHT($B211,13)&amp;"|"&amp;$C211&amp;"|"&amp;$D211&amp;"|"&amp;F$14&amp;"|"&amp;"CY2021Q3",Spectrum!$Q:$Q,0)),"")</f>
        <v>4</v>
      </c>
      <c r="H211" s="115" t="n">
        <f aca="false">_xlfn.IFNA(ROUND(INDEX(Spectrum!$N:$N,MATCH(RIGHT($B211,13)&amp;"|"&amp;$C211&amp;"|"&amp;$D211&amp;"|"&amp;H$14&amp;"|"&amp;"CY2021Q3",Spectrum!$Q:$Q,0)),0),"")</f>
        <v>63</v>
      </c>
      <c r="I211" s="123" t="n">
        <f aca="false">_xlfn.IFNA(INDEX(Spectrum!$P:$P,MATCH(RIGHT($B211,13)&amp;"|"&amp;$C211&amp;"|"&amp;$D211&amp;"|"&amp;H$14&amp;"|"&amp;"CY2021Q3",Spectrum!$Q:$Q,0)),"")</f>
        <v>6</v>
      </c>
      <c r="J211" s="117" t="n">
        <f aca="false">_xlfn.IFNA(INDEX(Spectrum!$N:$N,MATCH(RIGHT($B211,13)&amp;"|"&amp;$C211&amp;"|"&amp;$D211&amp;"|"&amp;J$14&amp;"|"&amp;"CY2021Q3",Spectrum!$Q:$Q,0)),"")</f>
        <v>0.0142577</v>
      </c>
      <c r="K211" s="123" t="n">
        <f aca="false">_xlfn.IFNA(INDEX(Spectrum!$P:$P,MATCH(RIGHT($B211,13)&amp;"|"&amp;$C211&amp;"|"&amp;$D211&amp;"|"&amp;J$14&amp;"|"&amp;"CY2021Q3",Spectrum!$Q:$Q,0)),"")</f>
        <v>49</v>
      </c>
      <c r="L211" s="115" t="n">
        <f aca="false">_xlfn.IFNA(ROUND(INDEX(Spectrum!$N:$N,MATCH(RIGHT($B211,13)&amp;"|"&amp;$C211&amp;"|"&amp;$D211&amp;"|"&amp;L$14&amp;"|"&amp;"CY2021Q3",Spectrum!$Q:$Q,0)),0),"")</f>
        <v>37</v>
      </c>
      <c r="M211" s="123" t="n">
        <f aca="false">IF(OR(SUM($H211)&lt;=0,SUM($L211)&lt;=0),"",SUM($L211)/$H211)</f>
        <v>0.587301587301587</v>
      </c>
      <c r="N211" s="115" t="str">
        <f aca="false">_xlfn.IFNA(ROUND(INDEX(Spectrum!$N:$N,MATCH(RIGHT($B211,13)&amp;"|"&amp;$C211&amp;"|"&amp;$D211&amp;"|"&amp;N$14&amp;"|"&amp;"CY2020Q4",Spectrum!$Q:$Q,0)),0),"")</f>
        <v/>
      </c>
      <c r="O211" s="123" t="str">
        <f aca="false">_xlfn.IFNA(INDEX(Spectrum!$P:$P,MATCH(RIGHT($B211,13)&amp;"|"&amp;$C211&amp;"|"&amp;$D211&amp;"|"&amp;N$14&amp;"|"&amp;"CY2020Q4",Spectrum!$Q:$Q,0)),"")</f>
        <v/>
      </c>
      <c r="P211" s="115" t="n">
        <f aca="false">_xlfn.IFNA(ROUND(INDEX(Spectrum!$N:$N,MATCH(RIGHT($B211,13)&amp;"|"&amp;$C211&amp;"|"&amp;$D211&amp;"|"&amp;P$14&amp;"|"&amp;"CY2021Q3",Spectrum!$Q:$Q,0)),0),"")</f>
        <v>40</v>
      </c>
      <c r="Q211" s="123" t="n">
        <f aca="false">_xlfn.IFNA(INDEX(Spectrum!$P:$P,MATCH(RIGHT($B211,13)&amp;"|"&amp;$C211&amp;"|"&amp;$D211&amp;"|"&amp;P$14&amp;"|"&amp;"CY2021Q3",Spectrum!$Q:$Q,0)),"")</f>
        <v>47</v>
      </c>
      <c r="R211" s="115"/>
      <c r="S211" s="123" t="str">
        <f aca="false">IF(OR(SUM($P211)&lt;=0,SUM($R211)&lt;=0),"",SUM($R211)/$P211)</f>
        <v/>
      </c>
      <c r="T211" s="139" t="n">
        <v>46</v>
      </c>
      <c r="U211" s="124" t="n">
        <v>25</v>
      </c>
      <c r="V211" s="124" t="n">
        <f aca="false">IF($U211-$T211=0,"",$U211-$T211)</f>
        <v>-21</v>
      </c>
      <c r="W211" s="123" t="n">
        <f aca="false">IF(LEFT($B211,4)="_Mil","",IFERROR(MIN(IF(SUM($N211)&lt;=0,SUM($U211)/SUM($P211),SUM($T211)/SUM($N211)),1),""))</f>
        <v>0.625</v>
      </c>
      <c r="X211" s="123" t="n">
        <f aca="false">$W211</f>
        <v>0.625</v>
      </c>
      <c r="Y211" s="123" t="n">
        <f aca="false">IFERROR(1/(1/INDEX(Spectrum!$N:$N,MATCH(RIGHT($B211,13)&amp;"|"&amp;$C211&amp;"|"&amp;$D211&amp;"|"&amp;Y$14&amp;"|"&amp;"CY2021Q3",Spectrum!$Q:$Q,0))),IF(SUM($H211)=0,"",MAX(SUM($P211),SUM($U211))/SUM($H211)))</f>
        <v>0.634920634920635</v>
      </c>
      <c r="Z211" s="123" t="n">
        <f aca="false">IF(SUM($Y211)=0,"",MAX(SUM($Y211),90%))</f>
        <v>0.9</v>
      </c>
      <c r="AA211" s="115" t="n">
        <f aca="false">IF(LEFT($B211,4)="_Mil","",ROUND(MAX(SUM($U211),SUM($P211))+IF(SUM($Z211)=0,0,MAX(SUM($Z211)-SUM($Y211),0)*SUM($H211)),0))</f>
        <v>57</v>
      </c>
      <c r="AB211" s="115" t="n">
        <f aca="false">IF(SUM($AA211)=0,"",ROUND(MAX(SUM($AA211)-MAX(SUM($P211),SUM($U211)),0),0))</f>
        <v>17</v>
      </c>
      <c r="AC211" s="126" t="str">
        <f aca="false">IF($C211="&lt;01",IFERROR(ROUND(INDEX(EID!$N:$N,MATCH($B211,EID!$B:$B,0))/2,0),""),"")</f>
        <v/>
      </c>
      <c r="AD211" s="115" t="n">
        <f aca="false">IF($C211="&lt;01",IF(SUM($AC211)=0,"",ROUND(SUM($AC211)/$AG211,0)),IF(SUM($AB211)=0,"",ROUND(MAX($X211,0)*SUM($AB211),0)))</f>
        <v>11</v>
      </c>
      <c r="AE211" s="115" t="n">
        <f aca="false">IF(AND(SUM($AD211)=0,SUM($U211)=0),"",ROUND(IF($C211="&lt;01",0,SUM($U211))+SUM($AD211),0))</f>
        <v>36</v>
      </c>
      <c r="AF211" s="122" t="n">
        <f aca="false">IF($C211="&lt;01","",100%)</f>
        <v>1</v>
      </c>
      <c r="AG211" s="123" t="n">
        <f aca="false">0.98</f>
        <v>0.98</v>
      </c>
      <c r="AH211" s="123" t="n">
        <f aca="false">0.98</f>
        <v>0.98</v>
      </c>
      <c r="AI211" s="124" t="n">
        <f aca="false">IF(OR($C211="&lt;01",SUM($U211)=0),"",ROUND(SUM($U211)*(1-$AH211),0))</f>
        <v>1</v>
      </c>
      <c r="AJ211" s="124" t="n">
        <f aca="false">IF(AND(SUM($AE211)=0,SUM($U211)=0),"",IF($C211="&lt;01",SUM($AD211),SUM($AE211) - ROUND(SUM($U211)*$AH211,0)))</f>
        <v>11</v>
      </c>
      <c r="AK211" s="124" t="n">
        <v>30</v>
      </c>
      <c r="AL211" s="124" t="n">
        <v>47</v>
      </c>
      <c r="AM211" s="115" t="n">
        <f aca="false">IF(AND(SUM($AD211)=0,SUM($U211)=0),"",IF($C211="&lt;01",SUM($AD211),ROUND(ROUND(SUM($AJ211)*$AF211,0)/$AG211,0)))</f>
        <v>11</v>
      </c>
      <c r="AN211" s="122" t="n">
        <f aca="false">0.7</f>
        <v>0.7</v>
      </c>
      <c r="AO211" s="123" t="n">
        <f aca="false">1</f>
        <v>1</v>
      </c>
      <c r="AP211" s="115" t="n">
        <f aca="false">IF(AND(SUM($U211)=0,SUM($AM211)=0),"",ROUND((SUM($AM211)*$AN211+IF($C211="&lt;01",0,$U211))*$AO211,0))</f>
        <v>33</v>
      </c>
      <c r="AQ211" s="122" t="n">
        <v>21</v>
      </c>
      <c r="AR211" s="123" t="n">
        <f aca="false">0.95</f>
        <v>0.95</v>
      </c>
      <c r="AS211" s="123" t="n">
        <f aca="false">0.95</f>
        <v>0.95</v>
      </c>
      <c r="AT211" s="115" t="n">
        <f aca="false">IF(SUM($AP211)=0,"",ROUND(SUM($AP211)*$AR211,0))</f>
        <v>31</v>
      </c>
      <c r="AU211" s="115" t="n">
        <f aca="false">IF(LEFT($B211,4)="_Mil","",ROUND(SUM($AA211)*SUM($AS211),0))</f>
        <v>54</v>
      </c>
      <c r="AV211" s="124" t="n">
        <f aca="false">IF(SUM($AU211)&lt;=0,"",MAX(SUM($AU211)-SUM($R211),0))</f>
        <v>54</v>
      </c>
      <c r="AW211" s="122" t="n">
        <f aca="false">0</f>
        <v>0</v>
      </c>
      <c r="AX211" s="124" t="n">
        <f aca="false">IF(SUM($AM211)=0,"",ROUND(SUM($AM211)*SUM($AW211),0))</f>
        <v>0</v>
      </c>
      <c r="AY211" s="124" t="n">
        <f aca="false">IF(SUM($AM211)=0,"",SUM($AM211)-SUM($AX211))</f>
        <v>11</v>
      </c>
      <c r="AZ211" s="123" t="n">
        <v>43</v>
      </c>
      <c r="BA211" s="123" t="n">
        <f aca="false">0.95</f>
        <v>0.95</v>
      </c>
      <c r="BB211" s="123"/>
      <c r="BC211" s="123" t="n">
        <f aca="false">IF(OR(SUM($AM211)&lt;=0,$C211="&lt;01"),"",MAX(IF(OR(SUM($Y211)&lt;70%,LEFT($B211,4)="_Mil"),30%,IF(SUM($Y211)&gt;=80%,75%,50%)),SUM($BB211)))</f>
        <v>0.3</v>
      </c>
      <c r="BD211" s="115" t="n">
        <f aca="false">IF($C211="&lt;01",IFERROR(ROUND(INDEX(EID!$M:$M,MATCH($B211,EID!$B:$B,0)),0)/2,""),IF(SUM($AY211)=0,"",ROUND(SUM($AY211)/SUM($BA211),0)))</f>
        <v>12</v>
      </c>
      <c r="BE211" s="115" t="n">
        <f aca="false">IF($C211="&lt;01","",IF(SUM($BD211)=0,"",ROUND(SUM($BD211)*SUM($BC211),0)))</f>
        <v>4</v>
      </c>
      <c r="BF211" s="115" t="str">
        <f aca="false">_xlfn.IFNA(INDEX(PMTCT!$AE:$AE,MATCH($E211,PMTCT!$E:$E,0)),"")</f>
        <v/>
      </c>
      <c r="BG211" s="115" t="str">
        <f aca="false">_xlfn.IFNA(INDEX(PMTCT!$AU:$AU,MATCH($E211,PMTCT!$E:$E,0)),"")</f>
        <v/>
      </c>
      <c r="BH211" s="115" t="n">
        <f aca="false">_xlfn.IFNA(INDEX(TB!$Q:$Q,MATCH($E211,TB!$E:$E,0)),"")</f>
        <v>0</v>
      </c>
      <c r="BI211" s="115" t="str">
        <f aca="false">_xlfn.IFNA(INDEX(VMMC!$AC:$AC,MATCH($E211,VMMC!$E:$E,0)),"")</f>
        <v/>
      </c>
      <c r="BJ211" s="115" t="str">
        <f aca="false">IF($C211="&lt;01",$BD211,"")</f>
        <v/>
      </c>
      <c r="BK211" s="115" t="n">
        <f aca="false">IF(SUM($BD211)=0,"",($BD211)-SUM($BE211:$BJ211))</f>
        <v>8</v>
      </c>
      <c r="BL211" s="123" t="n">
        <f aca="false">IF(OR(SUM($BD211)=0,SUM($BE211)=0),"",SUM($BE211)/$BD211)</f>
        <v>0.333333333333333</v>
      </c>
      <c r="BM211" s="123" t="str">
        <f aca="false">IF(OR(SUM($BD211)=0,SUM($BF211)=0),"",SUM($BF211)/$BD211)</f>
        <v/>
      </c>
      <c r="BN211" s="123" t="str">
        <f aca="false">IF(OR(SUM($BD211)=0,SUM($BG211)=0),"",SUM($BG211)/$BD211)</f>
        <v/>
      </c>
      <c r="BO211" s="123" t="str">
        <f aca="false">IF(OR(SUM($BD211)=0,SUM($BH211)=0),"",SUM($BH211)/$BD211)</f>
        <v/>
      </c>
      <c r="BP211" s="123" t="str">
        <f aca="false">IF(OR(SUM($BD211)=0,SUM($BI211)=0),"",SUM($BI211)/$BD211)</f>
        <v/>
      </c>
      <c r="BQ211" s="123" t="str">
        <f aca="false">IF(AND($C211="&lt;01",SUM($BJ211)&lt;&gt;0),$BJ211/SUM($BD211),"")</f>
        <v/>
      </c>
      <c r="BR211" s="123" t="n">
        <f aca="false">IF(OR(SUM($BD211)=0,SUM($BK211)=0),"",SUM($BK211)/$BD211)</f>
        <v>0.666666666666667</v>
      </c>
      <c r="BS211" s="122" t="n">
        <f aca="false">IF(SUM($X211)&lt;=0,"",$X211)</f>
        <v>0.625</v>
      </c>
      <c r="BT211" s="115" t="n">
        <f aca="false">IF(LEFT($B211,4)="_Mil","",MAX(SUM($L211)+ROUND(SUM($BD211)/IF(SUM($BS211)&lt;=0,1,SUM($BS211)),0),0))</f>
        <v>56</v>
      </c>
    </row>
    <row r="212" customFormat="false" ht="15" hidden="false" customHeight="false" outlineLevel="0" collapsed="false">
      <c r="A212" s="0" t="s">
        <v>149</v>
      </c>
      <c r="B212" s="0" t="s">
        <v>111</v>
      </c>
      <c r="C212" s="0" t="s">
        <v>83</v>
      </c>
      <c r="D212" s="0" t="s">
        <v>58</v>
      </c>
      <c r="E212" s="0" t="str">
        <f aca="false">B212&amp;"|"&amp;C212&amp;"|"&amp;D212</f>
        <v>Qacha's Nek [#SNU] [zTaMbxvQtJ6]|05-09|Male</v>
      </c>
      <c r="F212" s="115" t="n">
        <f aca="false">_xlfn.IFNA(ROUND(INDEX(Spectrum!$N:$N,MATCH(RIGHT($B212,13)&amp;"|"&amp;$C212&amp;"|"&amp;$D212&amp;"|"&amp;F$14&amp;"|"&amp;"CY2021Q3",Spectrum!$Q:$Q,0)),0),"")</f>
        <v>4425</v>
      </c>
      <c r="G212" s="123" t="n">
        <f aca="false">_xlfn.IFNA(INDEX(Spectrum!$P:$P,MATCH(RIGHT($B212,13)&amp;"|"&amp;$C212&amp;"|"&amp;$D212&amp;"|"&amp;F$14&amp;"|"&amp;"CY2021Q3",Spectrum!$Q:$Q,0)),"")</f>
        <v>12</v>
      </c>
      <c r="H212" s="115" t="n">
        <f aca="false">_xlfn.IFNA(ROUND(INDEX(Spectrum!$N:$N,MATCH(RIGHT($B212,13)&amp;"|"&amp;$C212&amp;"|"&amp;$D212&amp;"|"&amp;H$14&amp;"|"&amp;"CY2021Q3",Spectrum!$Q:$Q,0)),0),"")</f>
        <v>61</v>
      </c>
      <c r="I212" s="123" t="n">
        <f aca="false">_xlfn.IFNA(INDEX(Spectrum!$P:$P,MATCH(RIGHT($B212,13)&amp;"|"&amp;$C212&amp;"|"&amp;$D212&amp;"|"&amp;H$14&amp;"|"&amp;"CY2021Q3",Spectrum!$Q:$Q,0)),"")</f>
        <v>39</v>
      </c>
      <c r="J212" s="117" t="n">
        <f aca="false">_xlfn.IFNA(INDEX(Spectrum!$N:$N,MATCH(RIGHT($B212,13)&amp;"|"&amp;$C212&amp;"|"&amp;$D212&amp;"|"&amp;J$14&amp;"|"&amp;"CY2021Q3",Spectrum!$Q:$Q,0)),"")</f>
        <v>0.0138116</v>
      </c>
      <c r="K212" s="123" t="n">
        <f aca="false">_xlfn.IFNA(INDEX(Spectrum!$P:$P,MATCH(RIGHT($B212,13)&amp;"|"&amp;$C212&amp;"|"&amp;$D212&amp;"|"&amp;J$14&amp;"|"&amp;"CY2021Q3",Spectrum!$Q:$Q,0)),"")</f>
        <v>24</v>
      </c>
      <c r="L212" s="115" t="n">
        <f aca="false">_xlfn.IFNA(ROUND(INDEX(Spectrum!$N:$N,MATCH(RIGHT($B212,13)&amp;"|"&amp;$C212&amp;"|"&amp;$D212&amp;"|"&amp;L$14&amp;"|"&amp;"CY2021Q3",Spectrum!$Q:$Q,0)),0),"")</f>
        <v>38</v>
      </c>
      <c r="M212" s="123" t="n">
        <f aca="false">IF(OR(SUM($H212)&lt;=0,SUM($L212)&lt;=0),"",SUM($L212)/$H212)</f>
        <v>0.622950819672131</v>
      </c>
      <c r="N212" s="115" t="str">
        <f aca="false">_xlfn.IFNA(ROUND(INDEX(Spectrum!$N:$N,MATCH(RIGHT($B212,13)&amp;"|"&amp;$C212&amp;"|"&amp;$D212&amp;"|"&amp;N$14&amp;"|"&amp;"CY2020Q4",Spectrum!$Q:$Q,0)),0),"")</f>
        <v/>
      </c>
      <c r="O212" s="123" t="str">
        <f aca="false">_xlfn.IFNA(INDEX(Spectrum!$P:$P,MATCH(RIGHT($B212,13)&amp;"|"&amp;$C212&amp;"|"&amp;$D212&amp;"|"&amp;N$14&amp;"|"&amp;"CY2020Q4",Spectrum!$Q:$Q,0)),"")</f>
        <v/>
      </c>
      <c r="P212" s="115" t="n">
        <f aca="false">_xlfn.IFNA(ROUND(INDEX(Spectrum!$N:$N,MATCH(RIGHT($B212,13)&amp;"|"&amp;$C212&amp;"|"&amp;$D212&amp;"|"&amp;P$14&amp;"|"&amp;"CY2021Q3",Spectrum!$Q:$Q,0)),0),"")</f>
        <v>40</v>
      </c>
      <c r="Q212" s="123" t="n">
        <f aca="false">_xlfn.IFNA(INDEX(Spectrum!$P:$P,MATCH(RIGHT($B212,13)&amp;"|"&amp;$C212&amp;"|"&amp;$D212&amp;"|"&amp;P$14&amp;"|"&amp;"CY2021Q3",Spectrum!$Q:$Q,0)),"")</f>
        <v>45</v>
      </c>
      <c r="R212" s="115"/>
      <c r="S212" s="123" t="str">
        <f aca="false">IF(OR(SUM($P212)&lt;=0,SUM($R212)&lt;=0),"",SUM($R212)/$P212)</f>
        <v/>
      </c>
      <c r="T212" s="139" t="n">
        <v>14</v>
      </c>
      <c r="U212" s="124" t="n">
        <v>46</v>
      </c>
      <c r="V212" s="124" t="n">
        <f aca="false">IF($U212-$T212=0,"",$U212-$T212)</f>
        <v>32</v>
      </c>
      <c r="W212" s="123" t="n">
        <f aca="false">IF(LEFT($B212,4)="_Mil","",IFERROR(MIN(IF(SUM($N212)&lt;=0,SUM($U212)/SUM($P212),SUM($T212)/SUM($N212)),1),""))</f>
        <v>1</v>
      </c>
      <c r="X212" s="123" t="n">
        <f aca="false">$W212</f>
        <v>1</v>
      </c>
      <c r="Y212" s="123" t="n">
        <f aca="false">IFERROR(1/(1/INDEX(Spectrum!$N:$N,MATCH(RIGHT($B212,13)&amp;"|"&amp;$C212&amp;"|"&amp;$D212&amp;"|"&amp;Y$14&amp;"|"&amp;"CY2021Q3",Spectrum!$Q:$Q,0))),IF(SUM($H212)=0,"",MAX(SUM($P212),SUM($U212))/SUM($H212)))</f>
        <v>0.754098360655738</v>
      </c>
      <c r="Z212" s="123" t="n">
        <f aca="false">IF(SUM($Y212)=0,"",MAX(SUM($Y212),90%))</f>
        <v>0.9</v>
      </c>
      <c r="AA212" s="115" t="n">
        <f aca="false">IF(LEFT($B212,4)="_Mil","",ROUND(MAX(SUM($U212),SUM($P212))+IF(SUM($Z212)=0,0,MAX(SUM($Z212)-SUM($Y212),0)*SUM($H212)),0))</f>
        <v>55</v>
      </c>
      <c r="AB212" s="115" t="n">
        <f aca="false">IF(SUM($AA212)=0,"",ROUND(MAX(SUM($AA212)-MAX(SUM($P212),SUM($U212)),0),0))</f>
        <v>9</v>
      </c>
      <c r="AC212" s="126" t="str">
        <f aca="false">IF($C212="&lt;01",IFERROR(ROUND(INDEX(EID!$N:$N,MATCH($B212,EID!$B:$B,0))/2,0),""),"")</f>
        <v/>
      </c>
      <c r="AD212" s="115" t="n">
        <f aca="false">IF($C212="&lt;01",IF(SUM($AC212)=0,"",ROUND(SUM($AC212)/$AG212,0)),IF(SUM($AB212)=0,"",ROUND(MAX($X212,0)*SUM($AB212),0)))</f>
        <v>9</v>
      </c>
      <c r="AE212" s="115" t="n">
        <f aca="false">IF(AND(SUM($AD212)=0,SUM($U212)=0),"",ROUND(IF($C212="&lt;01",0,SUM($U212))+SUM($AD212),0))</f>
        <v>55</v>
      </c>
      <c r="AF212" s="122" t="n">
        <f aca="false">IF($C212="&lt;01","",100%)</f>
        <v>1</v>
      </c>
      <c r="AG212" s="123" t="n">
        <f aca="false">0.98</f>
        <v>0.98</v>
      </c>
      <c r="AH212" s="123" t="n">
        <f aca="false">0.98</f>
        <v>0.98</v>
      </c>
      <c r="AI212" s="124" t="n">
        <f aca="false">IF(OR($C212="&lt;01",SUM($U212)=0),"",ROUND(SUM($U212)*(1-$AH212),0))</f>
        <v>1</v>
      </c>
      <c r="AJ212" s="124" t="n">
        <f aca="false">IF(AND(SUM($AE212)=0,SUM($U212)=0),"",IF($C212="&lt;01",SUM($AD212),SUM($AE212) - ROUND(SUM($U212)*$AH212,0)))</f>
        <v>10</v>
      </c>
      <c r="AK212" s="124" t="n">
        <v>28</v>
      </c>
      <c r="AL212" s="124" t="n">
        <v>14</v>
      </c>
      <c r="AM212" s="115" t="n">
        <f aca="false">IF(AND(SUM($AD212)=0,SUM($U212)=0),"",IF($C212="&lt;01",SUM($AD212),ROUND(ROUND(SUM($AJ212)*$AF212,0)/$AG212,0)))</f>
        <v>10</v>
      </c>
      <c r="AN212" s="122" t="n">
        <f aca="false">0.7</f>
        <v>0.7</v>
      </c>
      <c r="AO212" s="123" t="n">
        <f aca="false">1</f>
        <v>1</v>
      </c>
      <c r="AP212" s="115" t="n">
        <f aca="false">IF(AND(SUM($U212)=0,SUM($AM212)=0),"",ROUND((SUM($AM212)*$AN212+IF($C212="&lt;01",0,$U212))*$AO212,0))</f>
        <v>53</v>
      </c>
      <c r="AQ212" s="122" t="n">
        <v>41</v>
      </c>
      <c r="AR212" s="123" t="n">
        <f aca="false">0.95</f>
        <v>0.95</v>
      </c>
      <c r="AS212" s="123" t="n">
        <f aca="false">0.95</f>
        <v>0.95</v>
      </c>
      <c r="AT212" s="115" t="n">
        <f aca="false">IF(SUM($AP212)=0,"",ROUND(SUM($AP212)*$AR212,0))</f>
        <v>50</v>
      </c>
      <c r="AU212" s="115" t="n">
        <f aca="false">IF(LEFT($B212,4)="_Mil","",ROUND(SUM($AA212)*SUM($AS212),0))</f>
        <v>52</v>
      </c>
      <c r="AV212" s="124" t="n">
        <f aca="false">IF(SUM($AU212)&lt;=0,"",MAX(SUM($AU212)-SUM($R212),0))</f>
        <v>52</v>
      </c>
      <c r="AW212" s="122" t="n">
        <f aca="false">0</f>
        <v>0</v>
      </c>
      <c r="AX212" s="124" t="n">
        <f aca="false">IF(SUM($AM212)=0,"",ROUND(SUM($AM212)*SUM($AW212),0))</f>
        <v>0</v>
      </c>
      <c r="AY212" s="124" t="n">
        <f aca="false">IF(SUM($AM212)=0,"",SUM($AM212)-SUM($AX212))</f>
        <v>10</v>
      </c>
      <c r="AZ212" s="123" t="n">
        <v>26</v>
      </c>
      <c r="BA212" s="123" t="n">
        <f aca="false">0.95</f>
        <v>0.95</v>
      </c>
      <c r="BB212" s="123"/>
      <c r="BC212" s="123" t="n">
        <f aca="false">IF(OR(SUM($AM212)&lt;=0,$C212="&lt;01"),"",MAX(IF(OR(SUM($Y212)&lt;70%,LEFT($B212,4)="_Mil"),30%,IF(SUM($Y212)&gt;=80%,75%,50%)),SUM($BB212)))</f>
        <v>0.5</v>
      </c>
      <c r="BD212" s="115" t="n">
        <f aca="false">IF($C212="&lt;01",IFERROR(ROUND(INDEX(EID!$M:$M,MATCH($B212,EID!$B:$B,0)),0)/2,""),IF(SUM($AY212)=0,"",ROUND(SUM($AY212)/SUM($BA212),0)))</f>
        <v>11</v>
      </c>
      <c r="BE212" s="115" t="n">
        <f aca="false">IF($C212="&lt;01","",IF(SUM($BD212)=0,"",ROUND(SUM($BD212)*SUM($BC212),0)))</f>
        <v>6</v>
      </c>
      <c r="BF212" s="115" t="str">
        <f aca="false">_xlfn.IFNA(INDEX(PMTCT!$AE:$AE,MATCH($E212,PMTCT!$E:$E,0)),"")</f>
        <v/>
      </c>
      <c r="BG212" s="115" t="str">
        <f aca="false">_xlfn.IFNA(INDEX(PMTCT!$AU:$AU,MATCH($E212,PMTCT!$E:$E,0)),"")</f>
        <v/>
      </c>
      <c r="BH212" s="115" t="n">
        <f aca="false">_xlfn.IFNA(INDEX(TB!$Q:$Q,MATCH($E212,TB!$E:$E,0)),"")</f>
        <v>-0</v>
      </c>
      <c r="BI212" s="115" t="str">
        <f aca="false">_xlfn.IFNA(INDEX(VMMC!$AC:$AC,MATCH($E212,VMMC!$E:$E,0)),"")</f>
        <v/>
      </c>
      <c r="BJ212" s="115" t="str">
        <f aca="false">IF($C212="&lt;01",$BD212,"")</f>
        <v/>
      </c>
      <c r="BK212" s="115" t="n">
        <f aca="false">IF(SUM($BD212)=0,"",($BD212)-SUM($BE212:$BJ212))</f>
        <v>5</v>
      </c>
      <c r="BL212" s="123" t="n">
        <f aca="false">IF(OR(SUM($BD212)=0,SUM($BE212)=0),"",SUM($BE212)/$BD212)</f>
        <v>0.545454545454545</v>
      </c>
      <c r="BM212" s="123" t="str">
        <f aca="false">IF(OR(SUM($BD212)=0,SUM($BF212)=0),"",SUM($BF212)/$BD212)</f>
        <v/>
      </c>
      <c r="BN212" s="123" t="str">
        <f aca="false">IF(OR(SUM($BD212)=0,SUM($BG212)=0),"",SUM($BG212)/$BD212)</f>
        <v/>
      </c>
      <c r="BO212" s="123" t="str">
        <f aca="false">IF(OR(SUM($BD212)=0,SUM($BH212)=0),"",SUM($BH212)/$BD212)</f>
        <v/>
      </c>
      <c r="BP212" s="123" t="str">
        <f aca="false">IF(OR(SUM($BD212)=0,SUM($BI212)=0),"",SUM($BI212)/$BD212)</f>
        <v/>
      </c>
      <c r="BQ212" s="123" t="str">
        <f aca="false">IF(AND($C212="&lt;01",SUM($BJ212)&lt;&gt;0),$BJ212/SUM($BD212),"")</f>
        <v/>
      </c>
      <c r="BR212" s="123" t="n">
        <f aca="false">IF(OR(SUM($BD212)=0,SUM($BK212)=0),"",SUM($BK212)/$BD212)</f>
        <v>0.454545454545455</v>
      </c>
      <c r="BS212" s="122" t="n">
        <f aca="false">IF(SUM($X212)&lt;=0,"",$X212)</f>
        <v>1</v>
      </c>
      <c r="BT212" s="115" t="n">
        <f aca="false">IF(LEFT($B212,4)="_Mil","",MAX(SUM($L212)+ROUND(SUM($BD212)/IF(SUM($BS212)&lt;=0,1,SUM($BS212)),0),0))</f>
        <v>49</v>
      </c>
    </row>
    <row r="213" customFormat="false" ht="15" hidden="false" customHeight="false" outlineLevel="0" collapsed="false">
      <c r="A213" s="0" t="s">
        <v>149</v>
      </c>
      <c r="B213" s="0" t="s">
        <v>111</v>
      </c>
      <c r="C213" s="0" t="s">
        <v>61</v>
      </c>
      <c r="D213" s="0" t="s">
        <v>56</v>
      </c>
      <c r="E213" s="0" t="str">
        <f aca="false">B213&amp;"|"&amp;C213&amp;"|"&amp;D213</f>
        <v>Qacha's Nek [#SNU] [zTaMbxvQtJ6]|10-14|Female</v>
      </c>
      <c r="F213" s="115" t="n">
        <f aca="false">_xlfn.IFNA(ROUND(INDEX(Spectrum!$N:$N,MATCH(RIGHT($B213,13)&amp;"|"&amp;$C213&amp;"|"&amp;$D213&amp;"|"&amp;F$14&amp;"|"&amp;"CY2021Q3",Spectrum!$Q:$Q,0)),0),"")</f>
        <v>4443</v>
      </c>
      <c r="G213" s="123" t="n">
        <f aca="false">_xlfn.IFNA(INDEX(Spectrum!$P:$P,MATCH(RIGHT($B213,13)&amp;"|"&amp;$C213&amp;"|"&amp;$D213&amp;"|"&amp;F$14&amp;"|"&amp;"CY2021Q3",Spectrum!$Q:$Q,0)),"")</f>
        <v>50</v>
      </c>
      <c r="H213" s="115" t="n">
        <f aca="false">_xlfn.IFNA(ROUND(INDEX(Spectrum!$N:$N,MATCH(RIGHT($B213,13)&amp;"|"&amp;$C213&amp;"|"&amp;$D213&amp;"|"&amp;H$14&amp;"|"&amp;"CY2021Q3",Spectrum!$Q:$Q,0)),0),"")</f>
        <v>102</v>
      </c>
      <c r="I213" s="123" t="n">
        <f aca="false">_xlfn.IFNA(INDEX(Spectrum!$P:$P,MATCH(RIGHT($B213,13)&amp;"|"&amp;$C213&amp;"|"&amp;$D213&amp;"|"&amp;H$14&amp;"|"&amp;"CY2021Q3",Spectrum!$Q:$Q,0)),"")</f>
        <v>38</v>
      </c>
      <c r="J213" s="117" t="n">
        <f aca="false">_xlfn.IFNA(INDEX(Spectrum!$N:$N,MATCH(RIGHT($B213,13)&amp;"|"&amp;$C213&amp;"|"&amp;$D213&amp;"|"&amp;J$14&amp;"|"&amp;"CY2021Q3",Spectrum!$Q:$Q,0)),"")</f>
        <v>0.0229621</v>
      </c>
      <c r="K213" s="123" t="n">
        <f aca="false">_xlfn.IFNA(INDEX(Spectrum!$P:$P,MATCH(RIGHT($B213,13)&amp;"|"&amp;$C213&amp;"|"&amp;$D213&amp;"|"&amp;J$14&amp;"|"&amp;"CY2021Q3",Spectrum!$Q:$Q,0)),"")</f>
        <v>9</v>
      </c>
      <c r="L213" s="115" t="n">
        <f aca="false">_xlfn.IFNA(ROUND(INDEX(Spectrum!$N:$N,MATCH(RIGHT($B213,13)&amp;"|"&amp;$C213&amp;"|"&amp;$D213&amp;"|"&amp;L$14&amp;"|"&amp;"CY2021Q3",Spectrum!$Q:$Q,0)),0),"")</f>
        <v>75</v>
      </c>
      <c r="M213" s="123" t="n">
        <f aca="false">IF(OR(SUM($H213)&lt;=0,SUM($L213)&lt;=0),"",SUM($L213)/$H213)</f>
        <v>0.735294117647059</v>
      </c>
      <c r="N213" s="115" t="str">
        <f aca="false">_xlfn.IFNA(ROUND(INDEX(Spectrum!$N:$N,MATCH(RIGHT($B213,13)&amp;"|"&amp;$C213&amp;"|"&amp;$D213&amp;"|"&amp;N$14&amp;"|"&amp;"CY2020Q4",Spectrum!$Q:$Q,0)),0),"")</f>
        <v/>
      </c>
      <c r="O213" s="123" t="str">
        <f aca="false">_xlfn.IFNA(INDEX(Spectrum!$P:$P,MATCH(RIGHT($B213,13)&amp;"|"&amp;$C213&amp;"|"&amp;$D213&amp;"|"&amp;N$14&amp;"|"&amp;"CY2020Q4",Spectrum!$Q:$Q,0)),"")</f>
        <v/>
      </c>
      <c r="P213" s="115" t="n">
        <f aca="false">_xlfn.IFNA(ROUND(INDEX(Spectrum!$N:$N,MATCH(RIGHT($B213,13)&amp;"|"&amp;$C213&amp;"|"&amp;$D213&amp;"|"&amp;P$14&amp;"|"&amp;"CY2021Q3",Spectrum!$Q:$Q,0)),0),"")</f>
        <v>85</v>
      </c>
      <c r="Q213" s="123" t="n">
        <f aca="false">_xlfn.IFNA(INDEX(Spectrum!$P:$P,MATCH(RIGHT($B213,13)&amp;"|"&amp;$C213&amp;"|"&amp;$D213&amp;"|"&amp;P$14&amp;"|"&amp;"CY2021Q3",Spectrum!$Q:$Q,0)),"")</f>
        <v>39</v>
      </c>
      <c r="R213" s="115"/>
      <c r="S213" s="123" t="str">
        <f aca="false">IF(OR(SUM($P213)&lt;=0,SUM($R213)&lt;=0),"",SUM($R213)/$P213)</f>
        <v/>
      </c>
      <c r="T213" s="139" t="n">
        <v>49</v>
      </c>
      <c r="U213" s="124" t="n">
        <v>33</v>
      </c>
      <c r="V213" s="124" t="n">
        <f aca="false">IF($U213-$T213=0,"",$U213-$T213)</f>
        <v>-16</v>
      </c>
      <c r="W213" s="123" t="n">
        <f aca="false">IF(LEFT($B213,4)="_Mil","",IFERROR(MIN(IF(SUM($N213)&lt;=0,SUM($U213)/SUM($P213),SUM($T213)/SUM($N213)),1),""))</f>
        <v>0.388235294117647</v>
      </c>
      <c r="X213" s="123" t="n">
        <f aca="false">$W213</f>
        <v>0.388235294117647</v>
      </c>
      <c r="Y213" s="123" t="n">
        <f aca="false">IFERROR(1/(1/INDEX(Spectrum!$N:$N,MATCH(RIGHT($B213,13)&amp;"|"&amp;$C213&amp;"|"&amp;$D213&amp;"|"&amp;Y$14&amp;"|"&amp;"CY2021Q3",Spectrum!$Q:$Q,0))),IF(SUM($H213)=0,"",MAX(SUM($P213),SUM($U213))/SUM($H213)))</f>
        <v>0.833333333333333</v>
      </c>
      <c r="Z213" s="123" t="n">
        <f aca="false">IF(SUM($Y213)=0,"",MAX(SUM($Y213),90%))</f>
        <v>0.9</v>
      </c>
      <c r="AA213" s="115" t="n">
        <f aca="false">IF(LEFT($B213,4)="_Mil","",ROUND(MAX(SUM($U213),SUM($P213))+IF(SUM($Z213)=0,0,MAX(SUM($Z213)-SUM($Y213),0)*SUM($H213)),0))</f>
        <v>92</v>
      </c>
      <c r="AB213" s="115" t="n">
        <f aca="false">IF(SUM($AA213)=0,"",ROUND(MAX(SUM($AA213)-MAX(SUM($P213),SUM($U213)),0),0))</f>
        <v>7</v>
      </c>
      <c r="AC213" s="126" t="str">
        <f aca="false">IF($C213="&lt;01",IFERROR(ROUND(INDEX(EID!$N:$N,MATCH($B213,EID!$B:$B,0))/2,0),""),"")</f>
        <v/>
      </c>
      <c r="AD213" s="115" t="n">
        <f aca="false">IF($C213="&lt;01",IF(SUM($AC213)=0,"",ROUND(SUM($AC213)/$AG213,0)),IF(SUM($AB213)=0,"",ROUND(MAX($X213,0)*SUM($AB213),0)))</f>
        <v>3</v>
      </c>
      <c r="AE213" s="115" t="n">
        <f aca="false">IF(AND(SUM($AD213)=0,SUM($U213)=0),"",ROUND(IF($C213="&lt;01",0,SUM($U213))+SUM($AD213),0))</f>
        <v>36</v>
      </c>
      <c r="AF213" s="122" t="n">
        <f aca="false">IF($C213="&lt;01","",100%)</f>
        <v>1</v>
      </c>
      <c r="AG213" s="123" t="n">
        <f aca="false">0.98</f>
        <v>0.98</v>
      </c>
      <c r="AH213" s="123" t="n">
        <f aca="false">0.98</f>
        <v>0.98</v>
      </c>
      <c r="AI213" s="124" t="n">
        <f aca="false">IF(OR($C213="&lt;01",SUM($U213)=0),"",ROUND(SUM($U213)*(1-$AH213),0))</f>
        <v>1</v>
      </c>
      <c r="AJ213" s="124" t="n">
        <f aca="false">IF(AND(SUM($AE213)=0,SUM($U213)=0),"",IF($C213="&lt;01",SUM($AD213),SUM($AE213) - ROUND(SUM($U213)*$AH213,0)))</f>
        <v>4</v>
      </c>
      <c r="AK213" s="124" t="n">
        <v>32</v>
      </c>
      <c r="AL213" s="124" t="n">
        <v>41</v>
      </c>
      <c r="AM213" s="115" t="n">
        <f aca="false">IF(AND(SUM($AD213)=0,SUM($U213)=0),"",IF($C213="&lt;01",SUM($AD213),ROUND(ROUND(SUM($AJ213)*$AF213,0)/$AG213,0)))</f>
        <v>4</v>
      </c>
      <c r="AN213" s="122" t="n">
        <f aca="false">0.7</f>
        <v>0.7</v>
      </c>
      <c r="AO213" s="123" t="n">
        <f aca="false">1</f>
        <v>1</v>
      </c>
      <c r="AP213" s="115" t="n">
        <f aca="false">IF(AND(SUM($U213)=0,SUM($AM213)=0),"",ROUND((SUM($AM213)*$AN213+IF($C213="&lt;01",0,$U213))*$AO213,0))</f>
        <v>36</v>
      </c>
      <c r="AQ213" s="122" t="n">
        <v>37</v>
      </c>
      <c r="AR213" s="123" t="n">
        <f aca="false">0.95</f>
        <v>0.95</v>
      </c>
      <c r="AS213" s="123" t="n">
        <f aca="false">0.95</f>
        <v>0.95</v>
      </c>
      <c r="AT213" s="115" t="n">
        <f aca="false">IF(SUM($AP213)=0,"",ROUND(SUM($AP213)*$AR213,0))</f>
        <v>34</v>
      </c>
      <c r="AU213" s="115" t="n">
        <f aca="false">IF(LEFT($B213,4)="_Mil","",ROUND(SUM($AA213)*SUM($AS213),0))</f>
        <v>87</v>
      </c>
      <c r="AV213" s="124" t="n">
        <f aca="false">IF(SUM($AU213)&lt;=0,"",MAX(SUM($AU213)-SUM($R213),0))</f>
        <v>87</v>
      </c>
      <c r="AW213" s="122" t="n">
        <f aca="false">0</f>
        <v>0</v>
      </c>
      <c r="AX213" s="124" t="n">
        <f aca="false">IF(SUM($AM213)=0,"",ROUND(SUM($AM213)*SUM($AW213),0))</f>
        <v>0</v>
      </c>
      <c r="AY213" s="124" t="n">
        <f aca="false">IF(SUM($AM213)=0,"",SUM($AM213)-SUM($AX213))</f>
        <v>4</v>
      </c>
      <c r="AZ213" s="123" t="n">
        <v>8</v>
      </c>
      <c r="BA213" s="123" t="n">
        <f aca="false">0.95</f>
        <v>0.95</v>
      </c>
      <c r="BB213" s="123"/>
      <c r="BC213" s="123" t="n">
        <f aca="false">IF(OR(SUM($AM213)&lt;=0,$C213="&lt;01"),"",MAX(IF(OR(SUM($Y213)&lt;70%,LEFT($B213,4)="_Mil"),30%,IF(SUM($Y213)&gt;=80%,75%,50%)),SUM($BB213)))</f>
        <v>0.75</v>
      </c>
      <c r="BD213" s="115" t="n">
        <f aca="false">IF($C213="&lt;01",IFERROR(ROUND(INDEX(EID!$M:$M,MATCH($B213,EID!$B:$B,0)),0)/2,""),IF(SUM($AY213)=0,"",ROUND(SUM($AY213)/SUM($BA213),0)))</f>
        <v>4</v>
      </c>
      <c r="BE213" s="115" t="n">
        <f aca="false">IF($C213="&lt;01","",IF(SUM($BD213)=0,"",ROUND(SUM($BD213)*SUM($BC213),0)))</f>
        <v>3</v>
      </c>
      <c r="BF213" s="115" t="str">
        <f aca="false">_xlfn.IFNA(INDEX(PMTCT!$AE:$AE,MATCH($E213,PMTCT!$E:$E,0)),"")</f>
        <v/>
      </c>
      <c r="BG213" s="115" t="str">
        <f aca="false">_xlfn.IFNA(INDEX(PMTCT!$AU:$AU,MATCH($E213,PMTCT!$E:$E,0)),"")</f>
        <v/>
      </c>
      <c r="BH213" s="115" t="n">
        <f aca="false">_xlfn.IFNA(INDEX(TB!$Q:$Q,MATCH($E213,TB!$E:$E,0)),"")</f>
        <v>-0</v>
      </c>
      <c r="BI213" s="115" t="str">
        <f aca="false">_xlfn.IFNA(INDEX(VMMC!$AC:$AC,MATCH($E213,VMMC!$E:$E,0)),"")</f>
        <v/>
      </c>
      <c r="BJ213" s="115" t="str">
        <f aca="false">IF($C213="&lt;01",$BD213,"")</f>
        <v/>
      </c>
      <c r="BK213" s="115" t="n">
        <f aca="false">IF(SUM($BD213)=0,"",($BD213)-SUM($BE213:$BJ213))</f>
        <v>1</v>
      </c>
      <c r="BL213" s="123" t="n">
        <f aca="false">IF(OR(SUM($BD213)=0,SUM($BE213)=0),"",SUM($BE213)/$BD213)</f>
        <v>0.75</v>
      </c>
      <c r="BM213" s="123" t="str">
        <f aca="false">IF(OR(SUM($BD213)=0,SUM($BF213)=0),"",SUM($BF213)/$BD213)</f>
        <v/>
      </c>
      <c r="BN213" s="123" t="str">
        <f aca="false">IF(OR(SUM($BD213)=0,SUM($BG213)=0),"",SUM($BG213)/$BD213)</f>
        <v/>
      </c>
      <c r="BO213" s="123" t="str">
        <f aca="false">IF(OR(SUM($BD213)=0,SUM($BH213)=0),"",SUM($BH213)/$BD213)</f>
        <v/>
      </c>
      <c r="BP213" s="123" t="str">
        <f aca="false">IF(OR(SUM($BD213)=0,SUM($BI213)=0),"",SUM($BI213)/$BD213)</f>
        <v/>
      </c>
      <c r="BQ213" s="123" t="str">
        <f aca="false">IF(AND($C213="&lt;01",SUM($BJ213)&lt;&gt;0),$BJ213/SUM($BD213),"")</f>
        <v/>
      </c>
      <c r="BR213" s="123" t="n">
        <f aca="false">IF(OR(SUM($BD213)=0,SUM($BK213)=0),"",SUM($BK213)/$BD213)</f>
        <v>0.25</v>
      </c>
      <c r="BS213" s="122" t="n">
        <f aca="false">IF(SUM($X213)&lt;=0,"",$X213)</f>
        <v>0.388235294117647</v>
      </c>
      <c r="BT213" s="115" t="n">
        <f aca="false">IF(LEFT($B213,4)="_Mil","",MAX(SUM($L213)+ROUND(SUM($BD213)/IF(SUM($BS213)&lt;=0,1,SUM($BS213)),0),0))</f>
        <v>85</v>
      </c>
    </row>
    <row r="214" customFormat="false" ht="15" hidden="false" customHeight="false" outlineLevel="0" collapsed="false">
      <c r="A214" s="0" t="s">
        <v>149</v>
      </c>
      <c r="B214" s="0" t="s">
        <v>111</v>
      </c>
      <c r="C214" s="0" t="s">
        <v>61</v>
      </c>
      <c r="D214" s="0" t="s">
        <v>58</v>
      </c>
      <c r="E214" s="0" t="str">
        <f aca="false">B214&amp;"|"&amp;C214&amp;"|"&amp;D214</f>
        <v>Qacha's Nek [#SNU] [zTaMbxvQtJ6]|10-14|Male</v>
      </c>
      <c r="F214" s="115" t="n">
        <f aca="false">_xlfn.IFNA(ROUND(INDEX(Spectrum!$N:$N,MATCH(RIGHT($B214,13)&amp;"|"&amp;$C214&amp;"|"&amp;$D214&amp;"|"&amp;F$14&amp;"|"&amp;"CY2021Q3",Spectrum!$Q:$Q,0)),0),"")</f>
        <v>4412</v>
      </c>
      <c r="G214" s="123" t="n">
        <f aca="false">_xlfn.IFNA(INDEX(Spectrum!$P:$P,MATCH(RIGHT($B214,13)&amp;"|"&amp;$C214&amp;"|"&amp;$D214&amp;"|"&amp;F$14&amp;"|"&amp;"CY2021Q3",Spectrum!$Q:$Q,0)),"")</f>
        <v>24</v>
      </c>
      <c r="H214" s="115" t="n">
        <f aca="false">_xlfn.IFNA(ROUND(INDEX(Spectrum!$N:$N,MATCH(RIGHT($B214,13)&amp;"|"&amp;$C214&amp;"|"&amp;$D214&amp;"|"&amp;H$14&amp;"|"&amp;"CY2021Q3",Spectrum!$Q:$Q,0)),0),"")</f>
        <v>104</v>
      </c>
      <c r="I214" s="123" t="n">
        <f aca="false">_xlfn.IFNA(INDEX(Spectrum!$P:$P,MATCH(RIGHT($B214,13)&amp;"|"&amp;$C214&amp;"|"&amp;$D214&amp;"|"&amp;H$14&amp;"|"&amp;"CY2021Q3",Spectrum!$Q:$Q,0)),"")</f>
        <v>27</v>
      </c>
      <c r="J214" s="117" t="n">
        <f aca="false">_xlfn.IFNA(INDEX(Spectrum!$N:$N,MATCH(RIGHT($B214,13)&amp;"|"&amp;$C214&amp;"|"&amp;$D214&amp;"|"&amp;J$14&amp;"|"&amp;"CY2021Q3",Spectrum!$Q:$Q,0)),"")</f>
        <v>0.0235113</v>
      </c>
      <c r="K214" s="123" t="n">
        <f aca="false">_xlfn.IFNA(INDEX(Spectrum!$P:$P,MATCH(RIGHT($B214,13)&amp;"|"&amp;$C214&amp;"|"&amp;$D214&amp;"|"&amp;J$14&amp;"|"&amp;"CY2021Q3",Spectrum!$Q:$Q,0)),"")</f>
        <v>17</v>
      </c>
      <c r="L214" s="115" t="n">
        <f aca="false">_xlfn.IFNA(ROUND(INDEX(Spectrum!$N:$N,MATCH(RIGHT($B214,13)&amp;"|"&amp;$C214&amp;"|"&amp;$D214&amp;"|"&amp;L$14&amp;"|"&amp;"CY2021Q3",Spectrum!$Q:$Q,0)),0),"")</f>
        <v>77</v>
      </c>
      <c r="M214" s="123" t="n">
        <f aca="false">IF(OR(SUM($H214)&lt;=0,SUM($L214)&lt;=0),"",SUM($L214)/$H214)</f>
        <v>0.740384615384615</v>
      </c>
      <c r="N214" s="115" t="str">
        <f aca="false">_xlfn.IFNA(ROUND(INDEX(Spectrum!$N:$N,MATCH(RIGHT($B214,13)&amp;"|"&amp;$C214&amp;"|"&amp;$D214&amp;"|"&amp;N$14&amp;"|"&amp;"CY2020Q4",Spectrum!$Q:$Q,0)),0),"")</f>
        <v/>
      </c>
      <c r="O214" s="123" t="str">
        <f aca="false">_xlfn.IFNA(INDEX(Spectrum!$P:$P,MATCH(RIGHT($B214,13)&amp;"|"&amp;$C214&amp;"|"&amp;$D214&amp;"|"&amp;N$14&amp;"|"&amp;"CY2020Q4",Spectrum!$Q:$Q,0)),"")</f>
        <v/>
      </c>
      <c r="P214" s="115" t="n">
        <f aca="false">_xlfn.IFNA(ROUND(INDEX(Spectrum!$N:$N,MATCH(RIGHT($B214,13)&amp;"|"&amp;$C214&amp;"|"&amp;$D214&amp;"|"&amp;P$14&amp;"|"&amp;"CY2021Q3",Spectrum!$Q:$Q,0)),0),"")</f>
        <v>87</v>
      </c>
      <c r="Q214" s="123" t="n">
        <f aca="false">_xlfn.IFNA(INDEX(Spectrum!$P:$P,MATCH(RIGHT($B214,13)&amp;"|"&amp;$C214&amp;"|"&amp;$D214&amp;"|"&amp;P$14&amp;"|"&amp;"CY2021Q3",Spectrum!$Q:$Q,0)),"")</f>
        <v>11</v>
      </c>
      <c r="R214" s="115"/>
      <c r="S214" s="123" t="str">
        <f aca="false">IF(OR(SUM($P214)&lt;=0,SUM($R214)&lt;=0),"",SUM($R214)/$P214)</f>
        <v/>
      </c>
      <c r="T214" s="139" t="n">
        <v>34</v>
      </c>
      <c r="U214" s="124" t="n">
        <v>20</v>
      </c>
      <c r="V214" s="124" t="n">
        <f aca="false">IF($U214-$T214=0,"",$U214-$T214)</f>
        <v>-14</v>
      </c>
      <c r="W214" s="123" t="n">
        <f aca="false">IF(LEFT($B214,4)="_Mil","",IFERROR(MIN(IF(SUM($N214)&lt;=0,SUM($U214)/SUM($P214),SUM($T214)/SUM($N214)),1),""))</f>
        <v>0.229885057471264</v>
      </c>
      <c r="X214" s="123" t="n">
        <f aca="false">$W214</f>
        <v>0.229885057471264</v>
      </c>
      <c r="Y214" s="123" t="n">
        <f aca="false">IFERROR(1/(1/INDEX(Spectrum!$N:$N,MATCH(RIGHT($B214,13)&amp;"|"&amp;$C214&amp;"|"&amp;$D214&amp;"|"&amp;Y$14&amp;"|"&amp;"CY2021Q3",Spectrum!$Q:$Q,0))),IF(SUM($H214)=0,"",MAX(SUM($P214),SUM($U214))/SUM($H214)))</f>
        <v>0.836538461538462</v>
      </c>
      <c r="Z214" s="123" t="n">
        <f aca="false">IF(SUM($Y214)=0,"",MAX(SUM($Y214),90%))</f>
        <v>0.9</v>
      </c>
      <c r="AA214" s="115" t="n">
        <f aca="false">IF(LEFT($B214,4)="_Mil","",ROUND(MAX(SUM($U214),SUM($P214))+IF(SUM($Z214)=0,0,MAX(SUM($Z214)-SUM($Y214),0)*SUM($H214)),0))</f>
        <v>94</v>
      </c>
      <c r="AB214" s="115" t="n">
        <f aca="false">IF(SUM($AA214)=0,"",ROUND(MAX(SUM($AA214)-MAX(SUM($P214),SUM($U214)),0),0))</f>
        <v>7</v>
      </c>
      <c r="AC214" s="126" t="str">
        <f aca="false">IF($C214="&lt;01",IFERROR(ROUND(INDEX(EID!$N:$N,MATCH($B214,EID!$B:$B,0))/2,0),""),"")</f>
        <v/>
      </c>
      <c r="AD214" s="115" t="n">
        <f aca="false">IF($C214="&lt;01",IF(SUM($AC214)=0,"",ROUND(SUM($AC214)/$AG214,0)),IF(SUM($AB214)=0,"",ROUND(MAX($X214,0)*SUM($AB214),0)))</f>
        <v>2</v>
      </c>
      <c r="AE214" s="115" t="n">
        <f aca="false">IF(AND(SUM($AD214)=0,SUM($U214)=0),"",ROUND(IF($C214="&lt;01",0,SUM($U214))+SUM($AD214),0))</f>
        <v>22</v>
      </c>
      <c r="AF214" s="122" t="n">
        <f aca="false">IF($C214="&lt;01","",100%)</f>
        <v>1</v>
      </c>
      <c r="AG214" s="123" t="n">
        <f aca="false">0.98</f>
        <v>0.98</v>
      </c>
      <c r="AH214" s="123" t="n">
        <f aca="false">0.98</f>
        <v>0.98</v>
      </c>
      <c r="AI214" s="124" t="n">
        <f aca="false">IF(OR($C214="&lt;01",SUM($U214)=0),"",ROUND(SUM($U214)*(1-$AH214),0))</f>
        <v>0</v>
      </c>
      <c r="AJ214" s="124" t="n">
        <f aca="false">IF(AND(SUM($AE214)=0,SUM($U214)=0),"",IF($C214="&lt;01",SUM($AD214),SUM($AE214) - ROUND(SUM($U214)*$AH214,0)))</f>
        <v>2</v>
      </c>
      <c r="AK214" s="124" t="n">
        <v>21</v>
      </c>
      <c r="AL214" s="124" t="n">
        <v>13</v>
      </c>
      <c r="AM214" s="115" t="n">
        <f aca="false">IF(AND(SUM($AD214)=0,SUM($U214)=0),"",IF($C214="&lt;01",SUM($AD214),ROUND(ROUND(SUM($AJ214)*$AF214,0)/$AG214,0)))</f>
        <v>2</v>
      </c>
      <c r="AN214" s="122" t="n">
        <f aca="false">0.7</f>
        <v>0.7</v>
      </c>
      <c r="AO214" s="123" t="n">
        <f aca="false">1</f>
        <v>1</v>
      </c>
      <c r="AP214" s="115" t="n">
        <f aca="false">IF(AND(SUM($U214)=0,SUM($AM214)=0),"",ROUND((SUM($AM214)*$AN214+IF($C214="&lt;01",0,$U214))*$AO214,0))</f>
        <v>21</v>
      </c>
      <c r="AQ214" s="122" t="n">
        <v>11</v>
      </c>
      <c r="AR214" s="123" t="n">
        <f aca="false">0.95</f>
        <v>0.95</v>
      </c>
      <c r="AS214" s="123" t="n">
        <f aca="false">0.95</f>
        <v>0.95</v>
      </c>
      <c r="AT214" s="115" t="n">
        <f aca="false">IF(SUM($AP214)=0,"",ROUND(SUM($AP214)*$AR214,0))</f>
        <v>20</v>
      </c>
      <c r="AU214" s="115" t="n">
        <f aca="false">IF(LEFT($B214,4)="_Mil","",ROUND(SUM($AA214)*SUM($AS214),0))</f>
        <v>89</v>
      </c>
      <c r="AV214" s="124" t="n">
        <f aca="false">IF(SUM($AU214)&lt;=0,"",MAX(SUM($AU214)-SUM($R214),0))</f>
        <v>89</v>
      </c>
      <c r="AW214" s="122" t="n">
        <f aca="false">0</f>
        <v>0</v>
      </c>
      <c r="AX214" s="124" t="n">
        <f aca="false">IF(SUM($AM214)=0,"",ROUND(SUM($AM214)*SUM($AW214),0))</f>
        <v>0</v>
      </c>
      <c r="AY214" s="124" t="n">
        <f aca="false">IF(SUM($AM214)=0,"",SUM($AM214)-SUM($AX214))</f>
        <v>2</v>
      </c>
      <c r="AZ214" s="123" t="n">
        <v>48</v>
      </c>
      <c r="BA214" s="123" t="n">
        <f aca="false">0.95</f>
        <v>0.95</v>
      </c>
      <c r="BB214" s="123"/>
      <c r="BC214" s="123" t="n">
        <f aca="false">IF(OR(SUM($AM214)&lt;=0,$C214="&lt;01"),"",MAX(IF(OR(SUM($Y214)&lt;70%,LEFT($B214,4)="_Mil"),30%,IF(SUM($Y214)&gt;=80%,75%,50%)),SUM($BB214)))</f>
        <v>0.75</v>
      </c>
      <c r="BD214" s="115" t="n">
        <f aca="false">IF($C214="&lt;01",IFERROR(ROUND(INDEX(EID!$M:$M,MATCH($B214,EID!$B:$B,0)),0)/2,""),IF(SUM($AY214)=0,"",ROUND(SUM($AY214)/SUM($BA214),0)))</f>
        <v>2</v>
      </c>
      <c r="BE214" s="115" t="n">
        <f aca="false">IF($C214="&lt;01","",IF(SUM($BD214)=0,"",ROUND(SUM($BD214)*SUM($BC214),0)))</f>
        <v>2</v>
      </c>
      <c r="BF214" s="115" t="str">
        <f aca="false">_xlfn.IFNA(INDEX(PMTCT!$AE:$AE,MATCH($E214,PMTCT!$E:$E,0)),"")</f>
        <v/>
      </c>
      <c r="BG214" s="115" t="str">
        <f aca="false">_xlfn.IFNA(INDEX(PMTCT!$AU:$AU,MATCH($E214,PMTCT!$E:$E,0)),"")</f>
        <v/>
      </c>
      <c r="BH214" s="115" t="n">
        <f aca="false">_xlfn.IFNA(INDEX(TB!$Q:$Q,MATCH($E214,TB!$E:$E,0)),"")</f>
        <v>-38700</v>
      </c>
      <c r="BI214" s="115" t="str">
        <f aca="false">_xlfn.IFNA(INDEX(VMMC!$AC:$AC,MATCH($E214,VMMC!$E:$E,0)),"")</f>
        <v/>
      </c>
      <c r="BJ214" s="115" t="str">
        <f aca="false">IF($C214="&lt;01",$BD214,"")</f>
        <v/>
      </c>
      <c r="BK214" s="115" t="n">
        <f aca="false">IF(SUM($BD214)=0,"",($BD214)-SUM($BE214:$BJ214))</f>
        <v>38700</v>
      </c>
      <c r="BL214" s="123" t="n">
        <f aca="false">IF(OR(SUM($BD214)=0,SUM($BE214)=0),"",SUM($BE214)/$BD214)</f>
        <v>1</v>
      </c>
      <c r="BM214" s="123" t="str">
        <f aca="false">IF(OR(SUM($BD214)=0,SUM($BF214)=0),"",SUM($BF214)/$BD214)</f>
        <v/>
      </c>
      <c r="BN214" s="123" t="str">
        <f aca="false">IF(OR(SUM($BD214)=0,SUM($BG214)=0),"",SUM($BG214)/$BD214)</f>
        <v/>
      </c>
      <c r="BO214" s="123" t="n">
        <f aca="false">IF(OR(SUM($BD214)=0,SUM($BH214)=0),"",SUM($BH214)/$BD214)</f>
        <v>-19350</v>
      </c>
      <c r="BP214" s="123" t="str">
        <f aca="false">IF(OR(SUM($BD214)=0,SUM($BI214)=0),"",SUM($BI214)/$BD214)</f>
        <v/>
      </c>
      <c r="BQ214" s="123" t="str">
        <f aca="false">IF(AND($C214="&lt;01",SUM($BJ214)&lt;&gt;0),$BJ214/SUM($BD214),"")</f>
        <v/>
      </c>
      <c r="BR214" s="123" t="n">
        <f aca="false">IF(OR(SUM($BD214)=0,SUM($BK214)=0),"",SUM($BK214)/$BD214)</f>
        <v>19350</v>
      </c>
      <c r="BS214" s="122" t="n">
        <f aca="false">IF(SUM($X214)&lt;=0,"",$X214)</f>
        <v>0.229885057471264</v>
      </c>
      <c r="BT214" s="115" t="n">
        <f aca="false">IF(LEFT($B214,4)="_Mil","",MAX(SUM($L214)+ROUND(SUM($BD214)/IF(SUM($BS214)&lt;=0,1,SUM($BS214)),0),0))</f>
        <v>86</v>
      </c>
    </row>
    <row r="215" customFormat="false" ht="15" hidden="false" customHeight="false" outlineLevel="0" collapsed="false">
      <c r="A215" s="0" t="s">
        <v>149</v>
      </c>
      <c r="B215" s="0" t="s">
        <v>111</v>
      </c>
      <c r="C215" s="0" t="s">
        <v>63</v>
      </c>
      <c r="D215" s="0" t="s">
        <v>56</v>
      </c>
      <c r="E215" s="0" t="str">
        <f aca="false">B215&amp;"|"&amp;C215&amp;"|"&amp;D215</f>
        <v>Qacha's Nek [#SNU] [zTaMbxvQtJ6]|15-19|Female</v>
      </c>
      <c r="F215" s="115" t="n">
        <f aca="false">_xlfn.IFNA(ROUND(INDEX(Spectrum!$N:$N,MATCH(RIGHT($B215,13)&amp;"|"&amp;$C215&amp;"|"&amp;$D215&amp;"|"&amp;F$14&amp;"|"&amp;"CY2021Q3",Spectrum!$Q:$Q,0)),0),"")</f>
        <v>3858</v>
      </c>
      <c r="G215" s="123" t="n">
        <f aca="false">_xlfn.IFNA(INDEX(Spectrum!$P:$P,MATCH(RIGHT($B215,13)&amp;"|"&amp;$C215&amp;"|"&amp;$D215&amp;"|"&amp;F$14&amp;"|"&amp;"CY2021Q3",Spectrum!$Q:$Q,0)),"")</f>
        <v>47</v>
      </c>
      <c r="H215" s="115" t="n">
        <f aca="false">_xlfn.IFNA(ROUND(INDEX(Spectrum!$N:$N,MATCH(RIGHT($B215,13)&amp;"|"&amp;$C215&amp;"|"&amp;$D215&amp;"|"&amp;H$14&amp;"|"&amp;"CY2021Q3",Spectrum!$Q:$Q,0)),0),"")</f>
        <v>172</v>
      </c>
      <c r="I215" s="123" t="n">
        <f aca="false">_xlfn.IFNA(INDEX(Spectrum!$P:$P,MATCH(RIGHT($B215,13)&amp;"|"&amp;$C215&amp;"|"&amp;$D215&amp;"|"&amp;H$14&amp;"|"&amp;"CY2021Q3",Spectrum!$Q:$Q,0)),"")</f>
        <v>7</v>
      </c>
      <c r="J215" s="117" t="n">
        <f aca="false">_xlfn.IFNA(INDEX(Spectrum!$N:$N,MATCH(RIGHT($B215,13)&amp;"|"&amp;$C215&amp;"|"&amp;$D215&amp;"|"&amp;J$14&amp;"|"&amp;"CY2021Q3",Spectrum!$Q:$Q,0)),"")</f>
        <v>0.0444861</v>
      </c>
      <c r="K215" s="123" t="n">
        <f aca="false">_xlfn.IFNA(INDEX(Spectrum!$P:$P,MATCH(RIGHT($B215,13)&amp;"|"&amp;$C215&amp;"|"&amp;$D215&amp;"|"&amp;J$14&amp;"|"&amp;"CY2021Q3",Spectrum!$Q:$Q,0)),"")</f>
        <v>37</v>
      </c>
      <c r="L215" s="115" t="n">
        <f aca="false">_xlfn.IFNA(ROUND(INDEX(Spectrum!$N:$N,MATCH(RIGHT($B215,13)&amp;"|"&amp;$C215&amp;"|"&amp;$D215&amp;"|"&amp;L$14&amp;"|"&amp;"CY2021Q3",Spectrum!$Q:$Q,0)),0),"")</f>
        <v>143</v>
      </c>
      <c r="M215" s="123" t="n">
        <f aca="false">IF(OR(SUM($H215)&lt;=0,SUM($L215)&lt;=0),"",SUM($L215)/$H215)</f>
        <v>0.831395348837209</v>
      </c>
      <c r="N215" s="115" t="str">
        <f aca="false">_xlfn.IFNA(ROUND(INDEX(Spectrum!$N:$N,MATCH(RIGHT($B215,13)&amp;"|"&amp;$C215&amp;"|"&amp;$D215&amp;"|"&amp;N$14&amp;"|"&amp;"CY2020Q4",Spectrum!$Q:$Q,0)),0),"")</f>
        <v/>
      </c>
      <c r="O215" s="123" t="str">
        <f aca="false">_xlfn.IFNA(INDEX(Spectrum!$P:$P,MATCH(RIGHT($B215,13)&amp;"|"&amp;$C215&amp;"|"&amp;$D215&amp;"|"&amp;N$14&amp;"|"&amp;"CY2020Q4",Spectrum!$Q:$Q,0)),"")</f>
        <v/>
      </c>
      <c r="P215" s="115" t="n">
        <f aca="false">_xlfn.IFNA(ROUND(INDEX(Spectrum!$N:$N,MATCH(RIGHT($B215,13)&amp;"|"&amp;$C215&amp;"|"&amp;$D215&amp;"|"&amp;P$14&amp;"|"&amp;"CY2021Q3",Spectrum!$Q:$Q,0)),0),"")</f>
        <v>124</v>
      </c>
      <c r="Q215" s="123" t="n">
        <f aca="false">_xlfn.IFNA(INDEX(Spectrum!$P:$P,MATCH(RIGHT($B215,13)&amp;"|"&amp;$C215&amp;"|"&amp;$D215&amp;"|"&amp;P$14&amp;"|"&amp;"CY2021Q3",Spectrum!$Q:$Q,0)),"")</f>
        <v>17</v>
      </c>
      <c r="R215" s="115"/>
      <c r="S215" s="123" t="str">
        <f aca="false">IF(OR(SUM($P215)&lt;=0,SUM($R215)&lt;=0),"",SUM($R215)/$P215)</f>
        <v/>
      </c>
      <c r="T215" s="139" t="n">
        <v>23</v>
      </c>
      <c r="U215" s="124" t="n">
        <v>33</v>
      </c>
      <c r="V215" s="124" t="n">
        <f aca="false">IF($U215-$T215=0,"",$U215-$T215)</f>
        <v>10</v>
      </c>
      <c r="W215" s="123" t="n">
        <f aca="false">IF(LEFT($B215,4)="_Mil","",IFERROR(MIN(IF(SUM($N215)&lt;=0,SUM($U215)/SUM($P215),SUM($T215)/SUM($N215)),1),""))</f>
        <v>0.266129032258064</v>
      </c>
      <c r="X215" s="123" t="n">
        <f aca="false">$W215</f>
        <v>0.266129032258064</v>
      </c>
      <c r="Y215" s="123" t="n">
        <f aca="false">IFERROR(1/(1/INDEX(Spectrum!$N:$N,MATCH(RIGHT($B215,13)&amp;"|"&amp;$C215&amp;"|"&amp;$D215&amp;"|"&amp;Y$14&amp;"|"&amp;"CY2021Q3",Spectrum!$Q:$Q,0))),IF(SUM($H215)=0,"",MAX(SUM($P215),SUM($U215))/SUM($H215)))</f>
        <v>0.72093023255814</v>
      </c>
      <c r="Z215" s="123" t="n">
        <f aca="false">IF(SUM($Y215)=0,"",MAX(SUM($Y215),90%))</f>
        <v>0.9</v>
      </c>
      <c r="AA215" s="115" t="n">
        <f aca="false">IF(LEFT($B215,4)="_Mil","",ROUND(MAX(SUM($U215),SUM($P215))+IF(SUM($Z215)=0,0,MAX(SUM($Z215)-SUM($Y215),0)*SUM($H215)),0))</f>
        <v>155</v>
      </c>
      <c r="AB215" s="115" t="n">
        <f aca="false">IF(SUM($AA215)=0,"",ROUND(MAX(SUM($AA215)-MAX(SUM($P215),SUM($U215)),0),0))</f>
        <v>31</v>
      </c>
      <c r="AC215" s="126" t="str">
        <f aca="false">IF($C215="&lt;01",IFERROR(ROUND(INDEX(EID!$N:$N,MATCH($B215,EID!$B:$B,0))/2,0),""),"")</f>
        <v/>
      </c>
      <c r="AD215" s="115" t="n">
        <f aca="false">IF($C215="&lt;01",IF(SUM($AC215)=0,"",ROUND(SUM($AC215)/$AG215,0)),IF(SUM($AB215)=0,"",ROUND(MAX($X215,0)*SUM($AB215),0)))</f>
        <v>8</v>
      </c>
      <c r="AE215" s="115" t="n">
        <f aca="false">IF(AND(SUM($AD215)=0,SUM($U215)=0),"",ROUND(IF($C215="&lt;01",0,SUM($U215))+SUM($AD215),0))</f>
        <v>41</v>
      </c>
      <c r="AF215" s="122" t="n">
        <f aca="false">IF($C215="&lt;01","",100%)</f>
        <v>1</v>
      </c>
      <c r="AG215" s="123" t="n">
        <f aca="false">0.98</f>
        <v>0.98</v>
      </c>
      <c r="AH215" s="123" t="n">
        <f aca="false">0.98</f>
        <v>0.98</v>
      </c>
      <c r="AI215" s="124" t="n">
        <f aca="false">IF(OR($C215="&lt;01",SUM($U215)=0),"",ROUND(SUM($U215)*(1-$AH215),0))</f>
        <v>1</v>
      </c>
      <c r="AJ215" s="124" t="n">
        <f aca="false">IF(AND(SUM($AE215)=0,SUM($U215)=0),"",IF($C215="&lt;01",SUM($AD215),SUM($AE215) - ROUND(SUM($U215)*$AH215,0)))</f>
        <v>9</v>
      </c>
      <c r="AK215" s="124" t="n">
        <v>19</v>
      </c>
      <c r="AL215" s="124" t="n">
        <v>27</v>
      </c>
      <c r="AM215" s="115" t="n">
        <f aca="false">IF(AND(SUM($AD215)=0,SUM($U215)=0),"",IF($C215="&lt;01",SUM($AD215),ROUND(ROUND(SUM($AJ215)*$AF215,0)/$AG215,0)))</f>
        <v>9</v>
      </c>
      <c r="AN215" s="122" t="n">
        <f aca="false">0.7</f>
        <v>0.7</v>
      </c>
      <c r="AO215" s="123" t="n">
        <f aca="false">1</f>
        <v>1</v>
      </c>
      <c r="AP215" s="115" t="n">
        <f aca="false">IF(AND(SUM($U215)=0,SUM($AM215)=0),"",ROUND((SUM($AM215)*$AN215+IF($C215="&lt;01",0,$U215))*$AO215,0))</f>
        <v>39</v>
      </c>
      <c r="AQ215" s="122" t="n">
        <v>23</v>
      </c>
      <c r="AR215" s="123" t="n">
        <f aca="false">0.95</f>
        <v>0.95</v>
      </c>
      <c r="AS215" s="123" t="n">
        <f aca="false">0.95</f>
        <v>0.95</v>
      </c>
      <c r="AT215" s="115" t="n">
        <f aca="false">IF(SUM($AP215)=0,"",ROUND(SUM($AP215)*$AR215,0))</f>
        <v>37</v>
      </c>
      <c r="AU215" s="115" t="n">
        <f aca="false">IF(LEFT($B215,4)="_Mil","",ROUND(SUM($AA215)*SUM($AS215),0))</f>
        <v>147</v>
      </c>
      <c r="AV215" s="124" t="n">
        <f aca="false">IF(SUM($AU215)&lt;=0,"",MAX(SUM($AU215)-SUM($R215),0))</f>
        <v>147</v>
      </c>
      <c r="AW215" s="122" t="n">
        <f aca="false">0</f>
        <v>0</v>
      </c>
      <c r="AX215" s="124" t="n">
        <f aca="false">IF(SUM($AM215)=0,"",ROUND(SUM($AM215)*SUM($AW215),0))</f>
        <v>0</v>
      </c>
      <c r="AY215" s="124" t="n">
        <f aca="false">IF(SUM($AM215)=0,"",SUM($AM215)-SUM($AX215))</f>
        <v>9</v>
      </c>
      <c r="AZ215" s="123" t="n">
        <v>15</v>
      </c>
      <c r="BA215" s="123" t="n">
        <f aca="false">0.95</f>
        <v>0.95</v>
      </c>
      <c r="BB215" s="123"/>
      <c r="BC215" s="123" t="n">
        <f aca="false">IF(OR(SUM($AM215)&lt;=0,$C215="&lt;01"),"",MAX(IF(OR(SUM($Y215)&lt;70%,LEFT($B215,4)="_Mil"),30%,IF(SUM($Y215)&gt;=80%,75%,50%)),SUM($BB215)))</f>
        <v>0.5</v>
      </c>
      <c r="BD215" s="115" t="n">
        <f aca="false">IF($C215="&lt;01",IFERROR(ROUND(INDEX(EID!$M:$M,MATCH($B215,EID!$B:$B,0)),0)/2,""),IF(SUM($AY215)=0,"",ROUND(SUM($AY215)/SUM($BA215),0)))</f>
        <v>9</v>
      </c>
      <c r="BE215" s="115" t="n">
        <f aca="false">IF($C215="&lt;01","",IF(SUM($BD215)=0,"",ROUND(SUM($BD215)*SUM($BC215),0)))</f>
        <v>5</v>
      </c>
      <c r="BF215" s="115" t="n">
        <f aca="false">_xlfn.IFNA(INDEX(PMTCT!$AE:$AE,MATCH($E215,PMTCT!$E:$E,0)),"")</f>
        <v>-14040</v>
      </c>
      <c r="BG215" s="115" t="str">
        <f aca="false">_xlfn.IFNA(INDEX(PMTCT!$AU:$AU,MATCH($E215,PMTCT!$E:$E,0)),"")</f>
        <v/>
      </c>
      <c r="BH215" s="115" t="n">
        <f aca="false">_xlfn.IFNA(INDEX(TB!$Q:$Q,MATCH($E215,TB!$E:$E,0)),"")</f>
        <v>-0</v>
      </c>
      <c r="BI215" s="115" t="str">
        <f aca="false">_xlfn.IFNA(INDEX(VMMC!$AC:$AC,MATCH($E215,VMMC!$E:$E,0)),"")</f>
        <v/>
      </c>
      <c r="BJ215" s="115" t="str">
        <f aca="false">IF($C215="&lt;01",$BD215,"")</f>
        <v/>
      </c>
      <c r="BK215" s="115" t="n">
        <f aca="false">IF(SUM($BD215)=0,"",($BD215)-SUM($BE215:$BJ215))</f>
        <v>14044</v>
      </c>
      <c r="BL215" s="123" t="n">
        <f aca="false">IF(OR(SUM($BD215)=0,SUM($BE215)=0),"",SUM($BE215)/$BD215)</f>
        <v>0.555555555555556</v>
      </c>
      <c r="BM215" s="123" t="n">
        <f aca="false">IF(OR(SUM($BD215)=0,SUM($BF215)=0),"",SUM($BF215)/$BD215)</f>
        <v>-1560</v>
      </c>
      <c r="BN215" s="123" t="str">
        <f aca="false">IF(OR(SUM($BD215)=0,SUM($BG215)=0),"",SUM($BG215)/$BD215)</f>
        <v/>
      </c>
      <c r="BO215" s="123" t="str">
        <f aca="false">IF(OR(SUM($BD215)=0,SUM($BH215)=0),"",SUM($BH215)/$BD215)</f>
        <v/>
      </c>
      <c r="BP215" s="123" t="str">
        <f aca="false">IF(OR(SUM($BD215)=0,SUM($BI215)=0),"",SUM($BI215)/$BD215)</f>
        <v/>
      </c>
      <c r="BQ215" s="123" t="str">
        <f aca="false">IF(AND($C215="&lt;01",SUM($BJ215)&lt;&gt;0),$BJ215/SUM($BD215),"")</f>
        <v/>
      </c>
      <c r="BR215" s="123" t="n">
        <f aca="false">IF(OR(SUM($BD215)=0,SUM($BK215)=0),"",SUM($BK215)/$BD215)</f>
        <v>1560.44444444444</v>
      </c>
      <c r="BS215" s="122" t="n">
        <f aca="false">IF(SUM($X215)&lt;=0,"",$X215)</f>
        <v>0.266129032258064</v>
      </c>
      <c r="BT215" s="115" t="n">
        <f aca="false">IF(LEFT($B215,4)="_Mil","",MAX(SUM($L215)+ROUND(SUM($BD215)/IF(SUM($BS215)&lt;=0,1,SUM($BS215)),0),0))</f>
        <v>177</v>
      </c>
    </row>
    <row r="216" customFormat="false" ht="15" hidden="false" customHeight="false" outlineLevel="0" collapsed="false">
      <c r="A216" s="0" t="s">
        <v>149</v>
      </c>
      <c r="B216" s="0" t="s">
        <v>111</v>
      </c>
      <c r="C216" s="0" t="s">
        <v>63</v>
      </c>
      <c r="D216" s="0" t="s">
        <v>58</v>
      </c>
      <c r="E216" s="0" t="str">
        <f aca="false">B216&amp;"|"&amp;C216&amp;"|"&amp;D216</f>
        <v>Qacha's Nek [#SNU] [zTaMbxvQtJ6]|15-19|Male</v>
      </c>
      <c r="F216" s="115" t="n">
        <f aca="false">_xlfn.IFNA(ROUND(INDEX(Spectrum!$N:$N,MATCH(RIGHT($B216,13)&amp;"|"&amp;$C216&amp;"|"&amp;$D216&amp;"|"&amp;F$14&amp;"|"&amp;"CY2021Q3",Spectrum!$Q:$Q,0)),0),"")</f>
        <v>4309</v>
      </c>
      <c r="G216" s="123" t="n">
        <f aca="false">_xlfn.IFNA(INDEX(Spectrum!$P:$P,MATCH(RIGHT($B216,13)&amp;"|"&amp;$C216&amp;"|"&amp;$D216&amp;"|"&amp;F$14&amp;"|"&amp;"CY2021Q3",Spectrum!$Q:$Q,0)),"")</f>
        <v>29</v>
      </c>
      <c r="H216" s="115" t="n">
        <f aca="false">_xlfn.IFNA(ROUND(INDEX(Spectrum!$N:$N,MATCH(RIGHT($B216,13)&amp;"|"&amp;$C216&amp;"|"&amp;$D216&amp;"|"&amp;H$14&amp;"|"&amp;"CY2021Q3",Spectrum!$Q:$Q,0)),0),"")</f>
        <v>107</v>
      </c>
      <c r="I216" s="123" t="n">
        <f aca="false">_xlfn.IFNA(INDEX(Spectrum!$P:$P,MATCH(RIGHT($B216,13)&amp;"|"&amp;$C216&amp;"|"&amp;$D216&amp;"|"&amp;H$14&amp;"|"&amp;"CY2021Q3",Spectrum!$Q:$Q,0)),"")</f>
        <v>1</v>
      </c>
      <c r="J216" s="117" t="n">
        <f aca="false">_xlfn.IFNA(INDEX(Spectrum!$N:$N,MATCH(RIGHT($B216,13)&amp;"|"&amp;$C216&amp;"|"&amp;$D216&amp;"|"&amp;J$14&amp;"|"&amp;"CY2021Q3",Spectrum!$Q:$Q,0)),"")</f>
        <v>0.0247238</v>
      </c>
      <c r="K216" s="123" t="n">
        <f aca="false">_xlfn.IFNA(INDEX(Spectrum!$P:$P,MATCH(RIGHT($B216,13)&amp;"|"&amp;$C216&amp;"|"&amp;$D216&amp;"|"&amp;J$14&amp;"|"&amp;"CY2021Q3",Spectrum!$Q:$Q,0)),"")</f>
        <v>43</v>
      </c>
      <c r="L216" s="115" t="n">
        <f aca="false">_xlfn.IFNA(ROUND(INDEX(Spectrum!$N:$N,MATCH(RIGHT($B216,13)&amp;"|"&amp;$C216&amp;"|"&amp;$D216&amp;"|"&amp;L$14&amp;"|"&amp;"CY2021Q3",Spectrum!$Q:$Q,0)),0),"")</f>
        <v>108</v>
      </c>
      <c r="M216" s="123" t="n">
        <f aca="false">IF(OR(SUM($H216)&lt;=0,SUM($L216)&lt;=0),"",SUM($L216)/$H216)</f>
        <v>1.00934579439252</v>
      </c>
      <c r="N216" s="115" t="str">
        <f aca="false">_xlfn.IFNA(ROUND(INDEX(Spectrum!$N:$N,MATCH(RIGHT($B216,13)&amp;"|"&amp;$C216&amp;"|"&amp;$D216&amp;"|"&amp;N$14&amp;"|"&amp;"CY2020Q4",Spectrum!$Q:$Q,0)),0),"")</f>
        <v/>
      </c>
      <c r="O216" s="123" t="str">
        <f aca="false">_xlfn.IFNA(INDEX(Spectrum!$P:$P,MATCH(RIGHT($B216,13)&amp;"|"&amp;$C216&amp;"|"&amp;$D216&amp;"|"&amp;N$14&amp;"|"&amp;"CY2020Q4",Spectrum!$Q:$Q,0)),"")</f>
        <v/>
      </c>
      <c r="P216" s="115" t="n">
        <f aca="false">_xlfn.IFNA(ROUND(INDEX(Spectrum!$N:$N,MATCH(RIGHT($B216,13)&amp;"|"&amp;$C216&amp;"|"&amp;$D216&amp;"|"&amp;P$14&amp;"|"&amp;"CY2021Q3",Spectrum!$Q:$Q,0)),0),"")</f>
        <v>96</v>
      </c>
      <c r="Q216" s="123" t="n">
        <f aca="false">_xlfn.IFNA(INDEX(Spectrum!$P:$P,MATCH(RIGHT($B216,13)&amp;"|"&amp;$C216&amp;"|"&amp;$D216&amp;"|"&amp;P$14&amp;"|"&amp;"CY2021Q3",Spectrum!$Q:$Q,0)),"")</f>
        <v>28</v>
      </c>
      <c r="R216" s="115"/>
      <c r="S216" s="123" t="str">
        <f aca="false">IF(OR(SUM($P216)&lt;=0,SUM($R216)&lt;=0),"",SUM($R216)/$P216)</f>
        <v/>
      </c>
      <c r="T216" s="139" t="n">
        <v>10</v>
      </c>
      <c r="U216" s="124" t="n">
        <v>42</v>
      </c>
      <c r="V216" s="124" t="n">
        <f aca="false">IF($U216-$T216=0,"",$U216-$T216)</f>
        <v>32</v>
      </c>
      <c r="W216" s="123" t="n">
        <f aca="false">IF(LEFT($B216,4)="_Mil","",IFERROR(MIN(IF(SUM($N216)&lt;=0,SUM($U216)/SUM($P216),SUM($T216)/SUM($N216)),1),""))</f>
        <v>0.4375</v>
      </c>
      <c r="X216" s="123" t="n">
        <f aca="false">$W216</f>
        <v>0.4375</v>
      </c>
      <c r="Y216" s="123" t="n">
        <f aca="false">IFERROR(1/(1/INDEX(Spectrum!$N:$N,MATCH(RIGHT($B216,13)&amp;"|"&amp;$C216&amp;"|"&amp;$D216&amp;"|"&amp;Y$14&amp;"|"&amp;"CY2021Q3",Spectrum!$Q:$Q,0))),IF(SUM($H216)=0,"",MAX(SUM($P216),SUM($U216))/SUM($H216)))</f>
        <v>0.897196261682243</v>
      </c>
      <c r="Z216" s="123" t="n">
        <f aca="false">IF(SUM($Y216)=0,"",MAX(SUM($Y216),90%))</f>
        <v>0.9</v>
      </c>
      <c r="AA216" s="115" t="n">
        <f aca="false">IF(LEFT($B216,4)="_Mil","",ROUND(MAX(SUM($U216),SUM($P216))+IF(SUM($Z216)=0,0,MAX(SUM($Z216)-SUM($Y216),0)*SUM($H216)),0))</f>
        <v>96</v>
      </c>
      <c r="AB216" s="115" t="n">
        <f aca="false">IF(SUM($AA216)=0,"",ROUND(MAX(SUM($AA216)-MAX(SUM($P216),SUM($U216)),0),0))</f>
        <v>0</v>
      </c>
      <c r="AC216" s="126" t="str">
        <f aca="false">IF($C216="&lt;01",IFERROR(ROUND(INDEX(EID!$N:$N,MATCH($B216,EID!$B:$B,0))/2,0),""),"")</f>
        <v/>
      </c>
      <c r="AD216" s="115" t="str">
        <f aca="false">IF($C216="&lt;01",IF(SUM($AC216)=0,"",ROUND(SUM($AC216)/$AG216,0)),IF(SUM($AB216)=0,"",ROUND(MAX($X216,0)*SUM($AB216),0)))</f>
        <v/>
      </c>
      <c r="AE216" s="115" t="n">
        <f aca="false">IF(AND(SUM($AD216)=0,SUM($U216)=0),"",ROUND(IF($C216="&lt;01",0,SUM($U216))+SUM($AD216),0))</f>
        <v>42</v>
      </c>
      <c r="AF216" s="122" t="n">
        <f aca="false">IF($C216="&lt;01","",100%)</f>
        <v>1</v>
      </c>
      <c r="AG216" s="123" t="n">
        <f aca="false">0.98</f>
        <v>0.98</v>
      </c>
      <c r="AH216" s="123" t="n">
        <f aca="false">0.98</f>
        <v>0.98</v>
      </c>
      <c r="AI216" s="124" t="n">
        <f aca="false">IF(OR($C216="&lt;01",SUM($U216)=0),"",ROUND(SUM($U216)*(1-$AH216),0))</f>
        <v>1</v>
      </c>
      <c r="AJ216" s="124" t="n">
        <f aca="false">IF(AND(SUM($AE216)=0,SUM($U216)=0),"",IF($C216="&lt;01",SUM($AD216),SUM($AE216) - ROUND(SUM($U216)*$AH216,0)))</f>
        <v>1</v>
      </c>
      <c r="AK216" s="124" t="n">
        <v>36</v>
      </c>
      <c r="AL216" s="124" t="n">
        <v>41</v>
      </c>
      <c r="AM216" s="115" t="n">
        <f aca="false">IF(AND(SUM($AD216)=0,SUM($U216)=0),"",IF($C216="&lt;01",SUM($AD216),ROUND(ROUND(SUM($AJ216)*$AF216,0)/$AG216,0)))</f>
        <v>1</v>
      </c>
      <c r="AN216" s="122" t="n">
        <f aca="false">0.7</f>
        <v>0.7</v>
      </c>
      <c r="AO216" s="123" t="n">
        <f aca="false">1</f>
        <v>1</v>
      </c>
      <c r="AP216" s="115" t="n">
        <f aca="false">IF(AND(SUM($U216)=0,SUM($AM216)=0),"",ROUND((SUM($AM216)*$AN216+IF($C216="&lt;01",0,$U216))*$AO216,0))</f>
        <v>43</v>
      </c>
      <c r="AQ216" s="122" t="n">
        <v>8</v>
      </c>
      <c r="AR216" s="123" t="n">
        <f aca="false">0.95</f>
        <v>0.95</v>
      </c>
      <c r="AS216" s="123" t="n">
        <f aca="false">0.95</f>
        <v>0.95</v>
      </c>
      <c r="AT216" s="115" t="n">
        <f aca="false">IF(SUM($AP216)=0,"",ROUND(SUM($AP216)*$AR216,0))</f>
        <v>41</v>
      </c>
      <c r="AU216" s="115" t="n">
        <f aca="false">IF(LEFT($B216,4)="_Mil","",ROUND(SUM($AA216)*SUM($AS216),0))</f>
        <v>91</v>
      </c>
      <c r="AV216" s="124" t="n">
        <f aca="false">IF(SUM($AU216)&lt;=0,"",MAX(SUM($AU216)-SUM($R216),0))</f>
        <v>91</v>
      </c>
      <c r="AW216" s="122" t="n">
        <f aca="false">0</f>
        <v>0</v>
      </c>
      <c r="AX216" s="124" t="n">
        <f aca="false">IF(SUM($AM216)=0,"",ROUND(SUM($AM216)*SUM($AW216),0))</f>
        <v>0</v>
      </c>
      <c r="AY216" s="124" t="n">
        <f aca="false">IF(SUM($AM216)=0,"",SUM($AM216)-SUM($AX216))</f>
        <v>1</v>
      </c>
      <c r="AZ216" s="123" t="n">
        <v>30</v>
      </c>
      <c r="BA216" s="123" t="n">
        <f aca="false">0.95</f>
        <v>0.95</v>
      </c>
      <c r="BB216" s="123"/>
      <c r="BC216" s="123" t="n">
        <f aca="false">IF(OR(SUM($AM216)&lt;=0,$C216="&lt;01"),"",MAX(IF(OR(SUM($Y216)&lt;70%,LEFT($B216,4)="_Mil"),30%,IF(SUM($Y216)&gt;=80%,75%,50%)),SUM($BB216)))</f>
        <v>0.75</v>
      </c>
      <c r="BD216" s="115" t="n">
        <f aca="false">IF($C216="&lt;01",IFERROR(ROUND(INDEX(EID!$M:$M,MATCH($B216,EID!$B:$B,0)),0)/2,""),IF(SUM($AY216)=0,"",ROUND(SUM($AY216)/SUM($BA216),0)))</f>
        <v>1</v>
      </c>
      <c r="BE216" s="115" t="n">
        <f aca="false">IF($C216="&lt;01","",IF(SUM($BD216)=0,"",ROUND(SUM($BD216)*SUM($BC216),0)))</f>
        <v>1</v>
      </c>
      <c r="BF216" s="115" t="str">
        <f aca="false">_xlfn.IFNA(INDEX(PMTCT!$AE:$AE,MATCH($E216,PMTCT!$E:$E,0)),"")</f>
        <v/>
      </c>
      <c r="BG216" s="115" t="str">
        <f aca="false">_xlfn.IFNA(INDEX(PMTCT!$AU:$AU,MATCH($E216,PMTCT!$E:$E,0)),"")</f>
        <v/>
      </c>
      <c r="BH216" s="115" t="n">
        <f aca="false">_xlfn.IFNA(INDEX(TB!$Q:$Q,MATCH($E216,TB!$E:$E,0)),"")</f>
        <v>0</v>
      </c>
      <c r="BI216" s="115" t="str">
        <f aca="false">_xlfn.IFNA(INDEX(VMMC!$AC:$AC,MATCH($E216,VMMC!$E:$E,0)),"")</f>
        <v/>
      </c>
      <c r="BJ216" s="115" t="str">
        <f aca="false">IF($C216="&lt;01",$BD216,"")</f>
        <v/>
      </c>
      <c r="BK216" s="115" t="n">
        <f aca="false">IF(SUM($BD216)=0,"",($BD216)-SUM($BE216:$BJ216))</f>
        <v>0</v>
      </c>
      <c r="BL216" s="123" t="n">
        <f aca="false">IF(OR(SUM($BD216)=0,SUM($BE216)=0),"",SUM($BE216)/$BD216)</f>
        <v>1</v>
      </c>
      <c r="BM216" s="123" t="str">
        <f aca="false">IF(OR(SUM($BD216)=0,SUM($BF216)=0),"",SUM($BF216)/$BD216)</f>
        <v/>
      </c>
      <c r="BN216" s="123" t="str">
        <f aca="false">IF(OR(SUM($BD216)=0,SUM($BG216)=0),"",SUM($BG216)/$BD216)</f>
        <v/>
      </c>
      <c r="BO216" s="123" t="str">
        <f aca="false">IF(OR(SUM($BD216)=0,SUM($BH216)=0),"",SUM($BH216)/$BD216)</f>
        <v/>
      </c>
      <c r="BP216" s="123" t="str">
        <f aca="false">IF(OR(SUM($BD216)=0,SUM($BI216)=0),"",SUM($BI216)/$BD216)</f>
        <v/>
      </c>
      <c r="BQ216" s="123" t="str">
        <f aca="false">IF(AND($C216="&lt;01",SUM($BJ216)&lt;&gt;0),$BJ216/SUM($BD216),"")</f>
        <v/>
      </c>
      <c r="BR216" s="123" t="str">
        <f aca="false">IF(OR(SUM($BD216)=0,SUM($BK216)=0),"",SUM($BK216)/$BD216)</f>
        <v/>
      </c>
      <c r="BS216" s="122" t="n">
        <f aca="false">IF(SUM($X216)&lt;=0,"",$X216)</f>
        <v>0.4375</v>
      </c>
      <c r="BT216" s="115" t="n">
        <f aca="false">IF(LEFT($B216,4)="_Mil","",MAX(SUM($L216)+ROUND(SUM($BD216)/IF(SUM($BS216)&lt;=0,1,SUM($BS216)),0),0))</f>
        <v>110</v>
      </c>
    </row>
    <row r="217" customFormat="false" ht="15" hidden="false" customHeight="false" outlineLevel="0" collapsed="false">
      <c r="A217" s="0" t="s">
        <v>149</v>
      </c>
      <c r="B217" s="0" t="s">
        <v>111</v>
      </c>
      <c r="C217" s="0" t="s">
        <v>66</v>
      </c>
      <c r="D217" s="0" t="s">
        <v>56</v>
      </c>
      <c r="E217" s="0" t="str">
        <f aca="false">B217&amp;"|"&amp;C217&amp;"|"&amp;D217</f>
        <v>Qacha's Nek [#SNU] [zTaMbxvQtJ6]|20-24|Female</v>
      </c>
      <c r="F217" s="115" t="n">
        <f aca="false">_xlfn.IFNA(ROUND(INDEX(Spectrum!$N:$N,MATCH(RIGHT($B217,13)&amp;"|"&amp;$C217&amp;"|"&amp;$D217&amp;"|"&amp;F$14&amp;"|"&amp;"CY2021Q3",Spectrum!$Q:$Q,0)),0),"")</f>
        <v>3270</v>
      </c>
      <c r="G217" s="123" t="n">
        <f aca="false">_xlfn.IFNA(INDEX(Spectrum!$P:$P,MATCH(RIGHT($B217,13)&amp;"|"&amp;$C217&amp;"|"&amp;$D217&amp;"|"&amp;F$14&amp;"|"&amp;"CY2021Q3",Spectrum!$Q:$Q,0)),"")</f>
        <v>8</v>
      </c>
      <c r="H217" s="115" t="n">
        <f aca="false">_xlfn.IFNA(ROUND(INDEX(Spectrum!$N:$N,MATCH(RIGHT($B217,13)&amp;"|"&amp;$C217&amp;"|"&amp;$D217&amp;"|"&amp;H$14&amp;"|"&amp;"CY2021Q3",Spectrum!$Q:$Q,0)),0),"")</f>
        <v>423</v>
      </c>
      <c r="I217" s="123" t="n">
        <f aca="false">_xlfn.IFNA(INDEX(Spectrum!$P:$P,MATCH(RIGHT($B217,13)&amp;"|"&amp;$C217&amp;"|"&amp;$D217&amp;"|"&amp;H$14&amp;"|"&amp;"CY2021Q3",Spectrum!$Q:$Q,0)),"")</f>
        <v>43</v>
      </c>
      <c r="J217" s="117" t="n">
        <f aca="false">_xlfn.IFNA(INDEX(Spectrum!$N:$N,MATCH(RIGHT($B217,13)&amp;"|"&amp;$C217&amp;"|"&amp;$D217&amp;"|"&amp;J$14&amp;"|"&amp;"CY2021Q3",Spectrum!$Q:$Q,0)),"")</f>
        <v>0.1294158</v>
      </c>
      <c r="K217" s="123" t="n">
        <f aca="false">_xlfn.IFNA(INDEX(Spectrum!$P:$P,MATCH(RIGHT($B217,13)&amp;"|"&amp;$C217&amp;"|"&amp;$D217&amp;"|"&amp;J$14&amp;"|"&amp;"CY2021Q3",Spectrum!$Q:$Q,0)),"")</f>
        <v>9</v>
      </c>
      <c r="L217" s="115" t="n">
        <f aca="false">_xlfn.IFNA(ROUND(INDEX(Spectrum!$N:$N,MATCH(RIGHT($B217,13)&amp;"|"&amp;$C217&amp;"|"&amp;$D217&amp;"|"&amp;L$14&amp;"|"&amp;"CY2021Q3",Spectrum!$Q:$Q,0)),0),"")</f>
        <v>307</v>
      </c>
      <c r="M217" s="123" t="n">
        <f aca="false">IF(OR(SUM($H217)&lt;=0,SUM($L217)&lt;=0),"",SUM($L217)/$H217)</f>
        <v>0.725768321513002</v>
      </c>
      <c r="N217" s="115" t="str">
        <f aca="false">_xlfn.IFNA(ROUND(INDEX(Spectrum!$N:$N,MATCH(RIGHT($B217,13)&amp;"|"&amp;$C217&amp;"|"&amp;$D217&amp;"|"&amp;N$14&amp;"|"&amp;"CY2020Q4",Spectrum!$Q:$Q,0)),0),"")</f>
        <v/>
      </c>
      <c r="O217" s="123" t="str">
        <f aca="false">_xlfn.IFNA(INDEX(Spectrum!$P:$P,MATCH(RIGHT($B217,13)&amp;"|"&amp;$C217&amp;"|"&amp;$D217&amp;"|"&amp;N$14&amp;"|"&amp;"CY2020Q4",Spectrum!$Q:$Q,0)),"")</f>
        <v/>
      </c>
      <c r="P217" s="115" t="n">
        <f aca="false">_xlfn.IFNA(ROUND(INDEX(Spectrum!$N:$N,MATCH(RIGHT($B217,13)&amp;"|"&amp;$C217&amp;"|"&amp;$D217&amp;"|"&amp;P$14&amp;"|"&amp;"CY2021Q3",Spectrum!$Q:$Q,0)),0),"")</f>
        <v>248</v>
      </c>
      <c r="Q217" s="123" t="n">
        <f aca="false">_xlfn.IFNA(INDEX(Spectrum!$P:$P,MATCH(RIGHT($B217,13)&amp;"|"&amp;$C217&amp;"|"&amp;$D217&amp;"|"&amp;P$14&amp;"|"&amp;"CY2021Q3",Spectrum!$Q:$Q,0)),"")</f>
        <v>48</v>
      </c>
      <c r="R217" s="115"/>
      <c r="S217" s="123" t="str">
        <f aca="false">IF(OR(SUM($P217)&lt;=0,SUM($R217)&lt;=0),"",SUM($R217)/$P217)</f>
        <v/>
      </c>
      <c r="T217" s="139" t="n">
        <v>3</v>
      </c>
      <c r="U217" s="124" t="n">
        <v>10</v>
      </c>
      <c r="V217" s="124" t="n">
        <f aca="false">IF($U217-$T217=0,"",$U217-$T217)</f>
        <v>7</v>
      </c>
      <c r="W217" s="123" t="n">
        <f aca="false">IF(LEFT($B217,4)="_Mil","",IFERROR(MIN(IF(SUM($N217)&lt;=0,SUM($U217)/SUM($P217),SUM($T217)/SUM($N217)),1),""))</f>
        <v>0.0403225806451613</v>
      </c>
      <c r="X217" s="123" t="n">
        <f aca="false">$W217</f>
        <v>0.0403225806451613</v>
      </c>
      <c r="Y217" s="123" t="n">
        <f aca="false">IFERROR(1/(1/INDEX(Spectrum!$N:$N,MATCH(RIGHT($B217,13)&amp;"|"&amp;$C217&amp;"|"&amp;$D217&amp;"|"&amp;Y$14&amp;"|"&amp;"CY2021Q3",Spectrum!$Q:$Q,0))),IF(SUM($H217)=0,"",MAX(SUM($P217),SUM($U217))/SUM($H217)))</f>
        <v>0.58628841607565</v>
      </c>
      <c r="Z217" s="123" t="n">
        <f aca="false">IF(SUM($Y217)=0,"",MAX(SUM($Y217),90%))</f>
        <v>0.9</v>
      </c>
      <c r="AA217" s="115" t="n">
        <f aca="false">IF(LEFT($B217,4)="_Mil","",ROUND(MAX(SUM($U217),SUM($P217))+IF(SUM($Z217)=0,0,MAX(SUM($Z217)-SUM($Y217),0)*SUM($H217)),0))</f>
        <v>381</v>
      </c>
      <c r="AB217" s="115" t="n">
        <f aca="false">IF(SUM($AA217)=0,"",ROUND(MAX(SUM($AA217)-MAX(SUM($P217),SUM($U217)),0),0))</f>
        <v>133</v>
      </c>
      <c r="AC217" s="126" t="str">
        <f aca="false">IF($C217="&lt;01",IFERROR(ROUND(INDEX(EID!$N:$N,MATCH($B217,EID!$B:$B,0))/2,0),""),"")</f>
        <v/>
      </c>
      <c r="AD217" s="115" t="n">
        <f aca="false">IF($C217="&lt;01",IF(SUM($AC217)=0,"",ROUND(SUM($AC217)/$AG217,0)),IF(SUM($AB217)=0,"",ROUND(MAX($X217,0)*SUM($AB217),0)))</f>
        <v>5</v>
      </c>
      <c r="AE217" s="115" t="n">
        <f aca="false">IF(AND(SUM($AD217)=0,SUM($U217)=0),"",ROUND(IF($C217="&lt;01",0,SUM($U217))+SUM($AD217),0))</f>
        <v>15</v>
      </c>
      <c r="AF217" s="122" t="n">
        <f aca="false">IF($C217="&lt;01","",100%)</f>
        <v>1</v>
      </c>
      <c r="AG217" s="123" t="n">
        <f aca="false">0.98</f>
        <v>0.98</v>
      </c>
      <c r="AH217" s="123" t="n">
        <f aca="false">0.98</f>
        <v>0.98</v>
      </c>
      <c r="AI217" s="124" t="n">
        <f aca="false">IF(OR($C217="&lt;01",SUM($U217)=0),"",ROUND(SUM($U217)*(1-$AH217),0))</f>
        <v>0</v>
      </c>
      <c r="AJ217" s="124" t="n">
        <f aca="false">IF(AND(SUM($AE217)=0,SUM($U217)=0),"",IF($C217="&lt;01",SUM($AD217),SUM($AE217) - ROUND(SUM($U217)*$AH217,0)))</f>
        <v>5</v>
      </c>
      <c r="AK217" s="124" t="n">
        <v>33</v>
      </c>
      <c r="AL217" s="124" t="n">
        <v>1</v>
      </c>
      <c r="AM217" s="115" t="n">
        <f aca="false">IF(AND(SUM($AD217)=0,SUM($U217)=0),"",IF($C217="&lt;01",SUM($AD217),ROUND(ROUND(SUM($AJ217)*$AF217,0)/$AG217,0)))</f>
        <v>5</v>
      </c>
      <c r="AN217" s="122" t="n">
        <f aca="false">0.7</f>
        <v>0.7</v>
      </c>
      <c r="AO217" s="123" t="n">
        <f aca="false">1</f>
        <v>1</v>
      </c>
      <c r="AP217" s="115" t="n">
        <f aca="false">IF(AND(SUM($U217)=0,SUM($AM217)=0),"",ROUND((SUM($AM217)*$AN217+IF($C217="&lt;01",0,$U217))*$AO217,0))</f>
        <v>14</v>
      </c>
      <c r="AQ217" s="122" t="n">
        <v>12</v>
      </c>
      <c r="AR217" s="123" t="n">
        <f aca="false">0.95</f>
        <v>0.95</v>
      </c>
      <c r="AS217" s="123" t="n">
        <f aca="false">0.95</f>
        <v>0.95</v>
      </c>
      <c r="AT217" s="115" t="n">
        <f aca="false">IF(SUM($AP217)=0,"",ROUND(SUM($AP217)*$AR217,0))</f>
        <v>13</v>
      </c>
      <c r="AU217" s="115" t="n">
        <f aca="false">IF(LEFT($B217,4)="_Mil","",ROUND(SUM($AA217)*SUM($AS217),0))</f>
        <v>362</v>
      </c>
      <c r="AV217" s="124" t="n">
        <f aca="false">IF(SUM($AU217)&lt;=0,"",MAX(SUM($AU217)-SUM($R217),0))</f>
        <v>362</v>
      </c>
      <c r="AW217" s="122" t="n">
        <f aca="false">0</f>
        <v>0</v>
      </c>
      <c r="AX217" s="124" t="n">
        <f aca="false">IF(SUM($AM217)=0,"",ROUND(SUM($AM217)*SUM($AW217),0))</f>
        <v>0</v>
      </c>
      <c r="AY217" s="124" t="n">
        <f aca="false">IF(SUM($AM217)=0,"",SUM($AM217)-SUM($AX217))</f>
        <v>5</v>
      </c>
      <c r="AZ217" s="123" t="n">
        <v>32</v>
      </c>
      <c r="BA217" s="123" t="n">
        <f aca="false">0.95</f>
        <v>0.95</v>
      </c>
      <c r="BB217" s="123"/>
      <c r="BC217" s="123" t="n">
        <f aca="false">IF(OR(SUM($AM217)&lt;=0,$C217="&lt;01"),"",MAX(IF(OR(SUM($Y217)&lt;70%,LEFT($B217,4)="_Mil"),30%,IF(SUM($Y217)&gt;=80%,75%,50%)),SUM($BB217)))</f>
        <v>0.3</v>
      </c>
      <c r="BD217" s="115" t="n">
        <f aca="false">IF($C217="&lt;01",IFERROR(ROUND(INDEX(EID!$M:$M,MATCH($B217,EID!$B:$B,0)),0)/2,""),IF(SUM($AY217)=0,"",ROUND(SUM($AY217)/SUM($BA217),0)))</f>
        <v>5</v>
      </c>
      <c r="BE217" s="115" t="n">
        <f aca="false">IF($C217="&lt;01","",IF(SUM($BD217)=0,"",ROUND(SUM($BD217)*SUM($BC217),0)))</f>
        <v>2</v>
      </c>
      <c r="BF217" s="115" t="n">
        <f aca="false">_xlfn.IFNA(INDEX(PMTCT!$AE:$AE,MATCH($E217,PMTCT!$E:$E,0)),"")</f>
        <v>-5805</v>
      </c>
      <c r="BG217" s="115" t="str">
        <f aca="false">_xlfn.IFNA(INDEX(PMTCT!$AU:$AU,MATCH($E217,PMTCT!$E:$E,0)),"")</f>
        <v/>
      </c>
      <c r="BH217" s="115" t="n">
        <f aca="false">_xlfn.IFNA(INDEX(TB!$Q:$Q,MATCH($E217,TB!$E:$E,0)),"")</f>
        <v>-174</v>
      </c>
      <c r="BI217" s="115" t="str">
        <f aca="false">_xlfn.IFNA(INDEX(VMMC!$AC:$AC,MATCH($E217,VMMC!$E:$E,0)),"")</f>
        <v/>
      </c>
      <c r="BJ217" s="115" t="str">
        <f aca="false">IF($C217="&lt;01",$BD217,"")</f>
        <v/>
      </c>
      <c r="BK217" s="115" t="n">
        <f aca="false">IF(SUM($BD217)=0,"",($BD217)-SUM($BE217:$BJ217))</f>
        <v>5982</v>
      </c>
      <c r="BL217" s="123" t="n">
        <f aca="false">IF(OR(SUM($BD217)=0,SUM($BE217)=0),"",SUM($BE217)/$BD217)</f>
        <v>0.4</v>
      </c>
      <c r="BM217" s="123" t="n">
        <f aca="false">IF(OR(SUM($BD217)=0,SUM($BF217)=0),"",SUM($BF217)/$BD217)</f>
        <v>-1161</v>
      </c>
      <c r="BN217" s="123" t="str">
        <f aca="false">IF(OR(SUM($BD217)=0,SUM($BG217)=0),"",SUM($BG217)/$BD217)</f>
        <v/>
      </c>
      <c r="BO217" s="123" t="n">
        <f aca="false">IF(OR(SUM($BD217)=0,SUM($BH217)=0),"",SUM($BH217)/$BD217)</f>
        <v>-34.8</v>
      </c>
      <c r="BP217" s="123" t="str">
        <f aca="false">IF(OR(SUM($BD217)=0,SUM($BI217)=0),"",SUM($BI217)/$BD217)</f>
        <v/>
      </c>
      <c r="BQ217" s="123" t="str">
        <f aca="false">IF(AND($C217="&lt;01",SUM($BJ217)&lt;&gt;0),$BJ217/SUM($BD217),"")</f>
        <v/>
      </c>
      <c r="BR217" s="123" t="n">
        <f aca="false">IF(OR(SUM($BD217)=0,SUM($BK217)=0),"",SUM($BK217)/$BD217)</f>
        <v>1196.4</v>
      </c>
      <c r="BS217" s="122" t="n">
        <f aca="false">IF(SUM($X217)&lt;=0,"",$X217)</f>
        <v>0.0403225806451613</v>
      </c>
      <c r="BT217" s="115" t="n">
        <f aca="false">IF(LEFT($B217,4)="_Mil","",MAX(SUM($L217)+ROUND(SUM($BD217)/IF(SUM($BS217)&lt;=0,1,SUM($BS217)),0),0))</f>
        <v>431</v>
      </c>
    </row>
    <row r="218" customFormat="false" ht="15" hidden="false" customHeight="false" outlineLevel="0" collapsed="false">
      <c r="A218" s="0" t="s">
        <v>149</v>
      </c>
      <c r="B218" s="0" t="s">
        <v>111</v>
      </c>
      <c r="C218" s="0" t="s">
        <v>66</v>
      </c>
      <c r="D218" s="0" t="s">
        <v>58</v>
      </c>
      <c r="E218" s="0" t="str">
        <f aca="false">B218&amp;"|"&amp;C218&amp;"|"&amp;D218</f>
        <v>Qacha's Nek [#SNU] [zTaMbxvQtJ6]|20-24|Male</v>
      </c>
      <c r="F218" s="115" t="n">
        <f aca="false">_xlfn.IFNA(ROUND(INDEX(Spectrum!$N:$N,MATCH(RIGHT($B218,13)&amp;"|"&amp;$C218&amp;"|"&amp;$D218&amp;"|"&amp;F$14&amp;"|"&amp;"CY2021Q3",Spectrum!$Q:$Q,0)),0),"")</f>
        <v>3493</v>
      </c>
      <c r="G218" s="123" t="n">
        <f aca="false">_xlfn.IFNA(INDEX(Spectrum!$P:$P,MATCH(RIGHT($B218,13)&amp;"|"&amp;$C218&amp;"|"&amp;$D218&amp;"|"&amp;F$14&amp;"|"&amp;"CY2021Q3",Spectrum!$Q:$Q,0)),"")</f>
        <v>33</v>
      </c>
      <c r="H218" s="115" t="n">
        <f aca="false">_xlfn.IFNA(ROUND(INDEX(Spectrum!$N:$N,MATCH(RIGHT($B218,13)&amp;"|"&amp;$C218&amp;"|"&amp;$D218&amp;"|"&amp;H$14&amp;"|"&amp;"CY2021Q3",Spectrum!$Q:$Q,0)),0),"")</f>
        <v>165</v>
      </c>
      <c r="I218" s="123" t="n">
        <f aca="false">_xlfn.IFNA(INDEX(Spectrum!$P:$P,MATCH(RIGHT($B218,13)&amp;"|"&amp;$C218&amp;"|"&amp;$D218&amp;"|"&amp;H$14&amp;"|"&amp;"CY2021Q3",Spectrum!$Q:$Q,0)),"")</f>
        <v>23</v>
      </c>
      <c r="J218" s="117" t="n">
        <f aca="false">_xlfn.IFNA(INDEX(Spectrum!$N:$N,MATCH(RIGHT($B218,13)&amp;"|"&amp;$C218&amp;"|"&amp;$D218&amp;"|"&amp;J$14&amp;"|"&amp;"CY2021Q3",Spectrum!$Q:$Q,0)),"")</f>
        <v>0.0472607</v>
      </c>
      <c r="K218" s="123" t="n">
        <f aca="false">_xlfn.IFNA(INDEX(Spectrum!$P:$P,MATCH(RIGHT($B218,13)&amp;"|"&amp;$C218&amp;"|"&amp;$D218&amp;"|"&amp;J$14&amp;"|"&amp;"CY2021Q3",Spectrum!$Q:$Q,0)),"")</f>
        <v>30</v>
      </c>
      <c r="L218" s="115" t="n">
        <f aca="false">_xlfn.IFNA(ROUND(INDEX(Spectrum!$N:$N,MATCH(RIGHT($B218,13)&amp;"|"&amp;$C218&amp;"|"&amp;$D218&amp;"|"&amp;L$14&amp;"|"&amp;"CY2021Q3",Spectrum!$Q:$Q,0)),0),"")</f>
        <v>118</v>
      </c>
      <c r="M218" s="123" t="n">
        <f aca="false">IF(OR(SUM($H218)&lt;=0,SUM($L218)&lt;=0),"",SUM($L218)/$H218)</f>
        <v>0.715151515151515</v>
      </c>
      <c r="N218" s="115" t="str">
        <f aca="false">_xlfn.IFNA(ROUND(INDEX(Spectrum!$N:$N,MATCH(RIGHT($B218,13)&amp;"|"&amp;$C218&amp;"|"&amp;$D218&amp;"|"&amp;N$14&amp;"|"&amp;"CY2020Q4",Spectrum!$Q:$Q,0)),0),"")</f>
        <v/>
      </c>
      <c r="O218" s="123" t="str">
        <f aca="false">_xlfn.IFNA(INDEX(Spectrum!$P:$P,MATCH(RIGHT($B218,13)&amp;"|"&amp;$C218&amp;"|"&amp;$D218&amp;"|"&amp;N$14&amp;"|"&amp;"CY2020Q4",Spectrum!$Q:$Q,0)),"")</f>
        <v/>
      </c>
      <c r="P218" s="115" t="n">
        <f aca="false">_xlfn.IFNA(ROUND(INDEX(Spectrum!$N:$N,MATCH(RIGHT($B218,13)&amp;"|"&amp;$C218&amp;"|"&amp;$D218&amp;"|"&amp;P$14&amp;"|"&amp;"CY2021Q3",Spectrum!$Q:$Q,0)),0),"")</f>
        <v>85</v>
      </c>
      <c r="Q218" s="123" t="n">
        <f aca="false">_xlfn.IFNA(INDEX(Spectrum!$P:$P,MATCH(RIGHT($B218,13)&amp;"|"&amp;$C218&amp;"|"&amp;$D218&amp;"|"&amp;P$14&amp;"|"&amp;"CY2021Q3",Spectrum!$Q:$Q,0)),"")</f>
        <v>46</v>
      </c>
      <c r="R218" s="115"/>
      <c r="S218" s="123" t="str">
        <f aca="false">IF(OR(SUM($P218)&lt;=0,SUM($R218)&lt;=0),"",SUM($R218)/$P218)</f>
        <v/>
      </c>
      <c r="T218" s="139" t="n">
        <v>28</v>
      </c>
      <c r="U218" s="124" t="n">
        <v>34</v>
      </c>
      <c r="V218" s="124" t="n">
        <f aca="false">IF($U218-$T218=0,"",$U218-$T218)</f>
        <v>6</v>
      </c>
      <c r="W218" s="123" t="n">
        <f aca="false">IF(LEFT($B218,4)="_Mil","",IFERROR(MIN(IF(SUM($N218)&lt;=0,SUM($U218)/SUM($P218),SUM($T218)/SUM($N218)),1),""))</f>
        <v>0.4</v>
      </c>
      <c r="X218" s="123" t="n">
        <f aca="false">$W218</f>
        <v>0.4</v>
      </c>
      <c r="Y218" s="123" t="n">
        <f aca="false">IFERROR(1/(1/INDEX(Spectrum!$N:$N,MATCH(RIGHT($B218,13)&amp;"|"&amp;$C218&amp;"|"&amp;$D218&amp;"|"&amp;Y$14&amp;"|"&amp;"CY2021Q3",Spectrum!$Q:$Q,0))),IF(SUM($H218)=0,"",MAX(SUM($P218),SUM($U218))/SUM($H218)))</f>
        <v>0.515151515151515</v>
      </c>
      <c r="Z218" s="123" t="n">
        <f aca="false">IF(SUM($Y218)=0,"",MAX(SUM($Y218),90%))</f>
        <v>0.9</v>
      </c>
      <c r="AA218" s="115" t="n">
        <f aca="false">IF(LEFT($B218,4)="_Mil","",ROUND(MAX(SUM($U218),SUM($P218))+IF(SUM($Z218)=0,0,MAX(SUM($Z218)-SUM($Y218),0)*SUM($H218)),0))</f>
        <v>149</v>
      </c>
      <c r="AB218" s="115" t="n">
        <f aca="false">IF(SUM($AA218)=0,"",ROUND(MAX(SUM($AA218)-MAX(SUM($P218),SUM($U218)),0),0))</f>
        <v>64</v>
      </c>
      <c r="AC218" s="126" t="str">
        <f aca="false">IF($C218="&lt;01",IFERROR(ROUND(INDEX(EID!$N:$N,MATCH($B218,EID!$B:$B,0))/2,0),""),"")</f>
        <v/>
      </c>
      <c r="AD218" s="115" t="n">
        <f aca="false">IF($C218="&lt;01",IF(SUM($AC218)=0,"",ROUND(SUM($AC218)/$AG218,0)),IF(SUM($AB218)=0,"",ROUND(MAX($X218,0)*SUM($AB218),0)))</f>
        <v>26</v>
      </c>
      <c r="AE218" s="115" t="n">
        <f aca="false">IF(AND(SUM($AD218)=0,SUM($U218)=0),"",ROUND(IF($C218="&lt;01",0,SUM($U218))+SUM($AD218),0))</f>
        <v>60</v>
      </c>
      <c r="AF218" s="122" t="n">
        <f aca="false">IF($C218="&lt;01","",100%)</f>
        <v>1</v>
      </c>
      <c r="AG218" s="123" t="n">
        <f aca="false">0.98</f>
        <v>0.98</v>
      </c>
      <c r="AH218" s="123" t="n">
        <f aca="false">0.98</f>
        <v>0.98</v>
      </c>
      <c r="AI218" s="124" t="n">
        <f aca="false">IF(OR($C218="&lt;01",SUM($U218)=0),"",ROUND(SUM($U218)*(1-$AH218),0))</f>
        <v>1</v>
      </c>
      <c r="AJ218" s="124" t="n">
        <f aca="false">IF(AND(SUM($AE218)=0,SUM($U218)=0),"",IF($C218="&lt;01",SUM($AD218),SUM($AE218) - ROUND(SUM($U218)*$AH218,0)))</f>
        <v>27</v>
      </c>
      <c r="AK218" s="124" t="n">
        <v>27</v>
      </c>
      <c r="AL218" s="124" t="n">
        <v>44</v>
      </c>
      <c r="AM218" s="115" t="n">
        <f aca="false">IF(AND(SUM($AD218)=0,SUM($U218)=0),"",IF($C218="&lt;01",SUM($AD218),ROUND(ROUND(SUM($AJ218)*$AF218,0)/$AG218,0)))</f>
        <v>28</v>
      </c>
      <c r="AN218" s="122" t="n">
        <f aca="false">0.7</f>
        <v>0.7</v>
      </c>
      <c r="AO218" s="123" t="n">
        <f aca="false">1</f>
        <v>1</v>
      </c>
      <c r="AP218" s="115" t="n">
        <f aca="false">IF(AND(SUM($U218)=0,SUM($AM218)=0),"",ROUND((SUM($AM218)*$AN218+IF($C218="&lt;01",0,$U218))*$AO218,0))</f>
        <v>54</v>
      </c>
      <c r="AQ218" s="122" t="n">
        <v>38</v>
      </c>
      <c r="AR218" s="123" t="n">
        <f aca="false">0.95</f>
        <v>0.95</v>
      </c>
      <c r="AS218" s="123" t="n">
        <f aca="false">0.95</f>
        <v>0.95</v>
      </c>
      <c r="AT218" s="115" t="n">
        <f aca="false">IF(SUM($AP218)=0,"",ROUND(SUM($AP218)*$AR218,0))</f>
        <v>51</v>
      </c>
      <c r="AU218" s="115" t="n">
        <f aca="false">IF(LEFT($B218,4)="_Mil","",ROUND(SUM($AA218)*SUM($AS218),0))</f>
        <v>142</v>
      </c>
      <c r="AV218" s="124" t="n">
        <f aca="false">IF(SUM($AU218)&lt;=0,"",MAX(SUM($AU218)-SUM($R218),0))</f>
        <v>142</v>
      </c>
      <c r="AW218" s="122" t="n">
        <f aca="false">0</f>
        <v>0</v>
      </c>
      <c r="AX218" s="124" t="n">
        <f aca="false">IF(SUM($AM218)=0,"",ROUND(SUM($AM218)*SUM($AW218),0))</f>
        <v>0</v>
      </c>
      <c r="AY218" s="124" t="n">
        <f aca="false">IF(SUM($AM218)=0,"",SUM($AM218)-SUM($AX218))</f>
        <v>28</v>
      </c>
      <c r="AZ218" s="123" t="n">
        <v>27</v>
      </c>
      <c r="BA218" s="123" t="n">
        <f aca="false">0.95</f>
        <v>0.95</v>
      </c>
      <c r="BB218" s="123"/>
      <c r="BC218" s="123" t="n">
        <f aca="false">IF(OR(SUM($AM218)&lt;=0,$C218="&lt;01"),"",MAX(IF(OR(SUM($Y218)&lt;70%,LEFT($B218,4)="_Mil"),30%,IF(SUM($Y218)&gt;=80%,75%,50%)),SUM($BB218)))</f>
        <v>0.3</v>
      </c>
      <c r="BD218" s="115" t="n">
        <f aca="false">IF($C218="&lt;01",IFERROR(ROUND(INDEX(EID!$M:$M,MATCH($B218,EID!$B:$B,0)),0)/2,""),IF(SUM($AY218)=0,"",ROUND(SUM($AY218)/SUM($BA218),0)))</f>
        <v>29</v>
      </c>
      <c r="BE218" s="115" t="n">
        <f aca="false">IF($C218="&lt;01","",IF(SUM($BD218)=0,"",ROUND(SUM($BD218)*SUM($BC218),0)))</f>
        <v>9</v>
      </c>
      <c r="BF218" s="115" t="str">
        <f aca="false">_xlfn.IFNA(INDEX(PMTCT!$AE:$AE,MATCH($E218,PMTCT!$E:$E,0)),"")</f>
        <v/>
      </c>
      <c r="BG218" s="115" t="str">
        <f aca="false">_xlfn.IFNA(INDEX(PMTCT!$AU:$AU,MATCH($E218,PMTCT!$E:$E,0)),"")</f>
        <v/>
      </c>
      <c r="BH218" s="115" t="n">
        <f aca="false">_xlfn.IFNA(INDEX(TB!$Q:$Q,MATCH($E218,TB!$E:$E,0)),"")</f>
        <v>-0</v>
      </c>
      <c r="BI218" s="115" t="str">
        <f aca="false">_xlfn.IFNA(INDEX(VMMC!$AC:$AC,MATCH($E218,VMMC!$E:$E,0)),"")</f>
        <v/>
      </c>
      <c r="BJ218" s="115" t="str">
        <f aca="false">IF($C218="&lt;01",$BD218,"")</f>
        <v/>
      </c>
      <c r="BK218" s="115" t="n">
        <f aca="false">IF(SUM($BD218)=0,"",($BD218)-SUM($BE218:$BJ218))</f>
        <v>20</v>
      </c>
      <c r="BL218" s="123" t="n">
        <f aca="false">IF(OR(SUM($BD218)=0,SUM($BE218)=0),"",SUM($BE218)/$BD218)</f>
        <v>0.310344827586207</v>
      </c>
      <c r="BM218" s="123" t="str">
        <f aca="false">IF(OR(SUM($BD218)=0,SUM($BF218)=0),"",SUM($BF218)/$BD218)</f>
        <v/>
      </c>
      <c r="BN218" s="123" t="str">
        <f aca="false">IF(OR(SUM($BD218)=0,SUM($BG218)=0),"",SUM($BG218)/$BD218)</f>
        <v/>
      </c>
      <c r="BO218" s="123" t="str">
        <f aca="false">IF(OR(SUM($BD218)=0,SUM($BH218)=0),"",SUM($BH218)/$BD218)</f>
        <v/>
      </c>
      <c r="BP218" s="123" t="str">
        <f aca="false">IF(OR(SUM($BD218)=0,SUM($BI218)=0),"",SUM($BI218)/$BD218)</f>
        <v/>
      </c>
      <c r="BQ218" s="123" t="str">
        <f aca="false">IF(AND($C218="&lt;01",SUM($BJ218)&lt;&gt;0),$BJ218/SUM($BD218),"")</f>
        <v/>
      </c>
      <c r="BR218" s="123" t="n">
        <f aca="false">IF(OR(SUM($BD218)=0,SUM($BK218)=0),"",SUM($BK218)/$BD218)</f>
        <v>0.689655172413793</v>
      </c>
      <c r="BS218" s="122" t="n">
        <f aca="false">IF(SUM($X218)&lt;=0,"",$X218)</f>
        <v>0.4</v>
      </c>
      <c r="BT218" s="115" t="n">
        <f aca="false">IF(LEFT($B218,4)="_Mil","",MAX(SUM($L218)+ROUND(SUM($BD218)/IF(SUM($BS218)&lt;=0,1,SUM($BS218)),0),0))</f>
        <v>191</v>
      </c>
    </row>
    <row r="219" customFormat="false" ht="15" hidden="false" customHeight="false" outlineLevel="0" collapsed="false">
      <c r="A219" s="0" t="s">
        <v>149</v>
      </c>
      <c r="B219" s="0" t="s">
        <v>111</v>
      </c>
      <c r="C219" s="0" t="s">
        <v>69</v>
      </c>
      <c r="D219" s="0" t="s">
        <v>56</v>
      </c>
      <c r="E219" s="0" t="str">
        <f aca="false">B219&amp;"|"&amp;C219&amp;"|"&amp;D219</f>
        <v>Qacha's Nek [#SNU] [zTaMbxvQtJ6]|25-29|Female</v>
      </c>
      <c r="F219" s="115" t="n">
        <f aca="false">_xlfn.IFNA(ROUND(INDEX(Spectrum!$N:$N,MATCH(RIGHT($B219,13)&amp;"|"&amp;$C219&amp;"|"&amp;$D219&amp;"|"&amp;F$14&amp;"|"&amp;"CY2021Q3",Spectrum!$Q:$Q,0)),0),"")</f>
        <v>3373</v>
      </c>
      <c r="G219" s="123" t="n">
        <f aca="false">_xlfn.IFNA(INDEX(Spectrum!$P:$P,MATCH(RIGHT($B219,13)&amp;"|"&amp;$C219&amp;"|"&amp;$D219&amp;"|"&amp;F$14&amp;"|"&amp;"CY2021Q3",Spectrum!$Q:$Q,0)),"")</f>
        <v>4</v>
      </c>
      <c r="H219" s="115" t="n">
        <f aca="false">_xlfn.IFNA(ROUND(INDEX(Spectrum!$N:$N,MATCH(RIGHT($B219,13)&amp;"|"&amp;$C219&amp;"|"&amp;$D219&amp;"|"&amp;H$14&amp;"|"&amp;"CY2021Q3",Spectrum!$Q:$Q,0)),0),"")</f>
        <v>761</v>
      </c>
      <c r="I219" s="123" t="n">
        <f aca="false">_xlfn.IFNA(INDEX(Spectrum!$P:$P,MATCH(RIGHT($B219,13)&amp;"|"&amp;$C219&amp;"|"&amp;$D219&amp;"|"&amp;H$14&amp;"|"&amp;"CY2021Q3",Spectrum!$Q:$Q,0)),"")</f>
        <v>36</v>
      </c>
      <c r="J219" s="117" t="n">
        <f aca="false">_xlfn.IFNA(INDEX(Spectrum!$N:$N,MATCH(RIGHT($B219,13)&amp;"|"&amp;$C219&amp;"|"&amp;$D219&amp;"|"&amp;J$14&amp;"|"&amp;"CY2021Q3",Spectrum!$Q:$Q,0)),"")</f>
        <v>0.2256615</v>
      </c>
      <c r="K219" s="123" t="n">
        <f aca="false">_xlfn.IFNA(INDEX(Spectrum!$P:$P,MATCH(RIGHT($B219,13)&amp;"|"&amp;$C219&amp;"|"&amp;$D219&amp;"|"&amp;J$14&amp;"|"&amp;"CY2021Q3",Spectrum!$Q:$Q,0)),"")</f>
        <v>40</v>
      </c>
      <c r="L219" s="115" t="n">
        <f aca="false">_xlfn.IFNA(ROUND(INDEX(Spectrum!$N:$N,MATCH(RIGHT($B219,13)&amp;"|"&amp;$C219&amp;"|"&amp;$D219&amp;"|"&amp;L$14&amp;"|"&amp;"CY2021Q3",Spectrum!$Q:$Q,0)),0),"")</f>
        <v>496</v>
      </c>
      <c r="M219" s="123" t="n">
        <f aca="false">IF(OR(SUM($H219)&lt;=0,SUM($L219)&lt;=0),"",SUM($L219)/$H219)</f>
        <v>0.651773981603154</v>
      </c>
      <c r="N219" s="115" t="str">
        <f aca="false">_xlfn.IFNA(ROUND(INDEX(Spectrum!$N:$N,MATCH(RIGHT($B219,13)&amp;"|"&amp;$C219&amp;"|"&amp;$D219&amp;"|"&amp;N$14&amp;"|"&amp;"CY2020Q4",Spectrum!$Q:$Q,0)),0),"")</f>
        <v/>
      </c>
      <c r="O219" s="123" t="str">
        <f aca="false">_xlfn.IFNA(INDEX(Spectrum!$P:$P,MATCH(RIGHT($B219,13)&amp;"|"&amp;$C219&amp;"|"&amp;$D219&amp;"|"&amp;N$14&amp;"|"&amp;"CY2020Q4",Spectrum!$Q:$Q,0)),"")</f>
        <v/>
      </c>
      <c r="P219" s="115" t="n">
        <f aca="false">_xlfn.IFNA(ROUND(INDEX(Spectrum!$N:$N,MATCH(RIGHT($B219,13)&amp;"|"&amp;$C219&amp;"|"&amp;$D219&amp;"|"&amp;P$14&amp;"|"&amp;"CY2021Q3",Spectrum!$Q:$Q,0)),0),"")</f>
        <v>424</v>
      </c>
      <c r="Q219" s="123" t="n">
        <f aca="false">_xlfn.IFNA(INDEX(Spectrum!$P:$P,MATCH(RIGHT($B219,13)&amp;"|"&amp;$C219&amp;"|"&amp;$D219&amp;"|"&amp;P$14&amp;"|"&amp;"CY2021Q3",Spectrum!$Q:$Q,0)),"")</f>
        <v>21</v>
      </c>
      <c r="R219" s="115"/>
      <c r="S219" s="123" t="str">
        <f aca="false">IF(OR(SUM($P219)&lt;=0,SUM($R219)&lt;=0),"",SUM($R219)/$P219)</f>
        <v/>
      </c>
      <c r="T219" s="139" t="n">
        <v>19</v>
      </c>
      <c r="U219" s="124" t="n">
        <v>46</v>
      </c>
      <c r="V219" s="124" t="n">
        <f aca="false">IF($U219-$T219=0,"",$U219-$T219)</f>
        <v>27</v>
      </c>
      <c r="W219" s="123" t="n">
        <f aca="false">IF(LEFT($B219,4)="_Mil","",IFERROR(MIN(IF(SUM($N219)&lt;=0,SUM($U219)/SUM($P219),SUM($T219)/SUM($N219)),1),""))</f>
        <v>0.108490566037736</v>
      </c>
      <c r="X219" s="123" t="n">
        <f aca="false">$W219</f>
        <v>0.108490566037736</v>
      </c>
      <c r="Y219" s="123" t="n">
        <f aca="false">IFERROR(1/(1/INDEX(Spectrum!$N:$N,MATCH(RIGHT($B219,13)&amp;"|"&amp;$C219&amp;"|"&amp;$D219&amp;"|"&amp;Y$14&amp;"|"&amp;"CY2021Q3",Spectrum!$Q:$Q,0))),IF(SUM($H219)=0,"",MAX(SUM($P219),SUM($U219))/SUM($H219)))</f>
        <v>0.557161629434954</v>
      </c>
      <c r="Z219" s="123" t="n">
        <f aca="false">IF(SUM($Y219)=0,"",MAX(SUM($Y219),90%))</f>
        <v>0.9</v>
      </c>
      <c r="AA219" s="115" t="n">
        <f aca="false">IF(LEFT($B219,4)="_Mil","",ROUND(MAX(SUM($U219),SUM($P219))+IF(SUM($Z219)=0,0,MAX(SUM($Z219)-SUM($Y219),0)*SUM($H219)),0))</f>
        <v>685</v>
      </c>
      <c r="AB219" s="115" t="n">
        <f aca="false">IF(SUM($AA219)=0,"",ROUND(MAX(SUM($AA219)-MAX(SUM($P219),SUM($U219)),0),0))</f>
        <v>261</v>
      </c>
      <c r="AC219" s="126" t="str">
        <f aca="false">IF($C219="&lt;01",IFERROR(ROUND(INDEX(EID!$N:$N,MATCH($B219,EID!$B:$B,0))/2,0),""),"")</f>
        <v/>
      </c>
      <c r="AD219" s="115" t="n">
        <f aca="false">IF($C219="&lt;01",IF(SUM($AC219)=0,"",ROUND(SUM($AC219)/$AG219,0)),IF(SUM($AB219)=0,"",ROUND(MAX($X219,0)*SUM($AB219),0)))</f>
        <v>28</v>
      </c>
      <c r="AE219" s="115" t="n">
        <f aca="false">IF(AND(SUM($AD219)=0,SUM($U219)=0),"",ROUND(IF($C219="&lt;01",0,SUM($U219))+SUM($AD219),0))</f>
        <v>74</v>
      </c>
      <c r="AF219" s="122" t="n">
        <f aca="false">IF($C219="&lt;01","",100%)</f>
        <v>1</v>
      </c>
      <c r="AG219" s="123" t="n">
        <f aca="false">0.98</f>
        <v>0.98</v>
      </c>
      <c r="AH219" s="123" t="n">
        <f aca="false">0.98</f>
        <v>0.98</v>
      </c>
      <c r="AI219" s="124" t="n">
        <f aca="false">IF(OR($C219="&lt;01",SUM($U219)=0),"",ROUND(SUM($U219)*(1-$AH219),0))</f>
        <v>1</v>
      </c>
      <c r="AJ219" s="124" t="n">
        <f aca="false">IF(AND(SUM($AE219)=0,SUM($U219)=0),"",IF($C219="&lt;01",SUM($AD219),SUM($AE219) - ROUND(SUM($U219)*$AH219,0)))</f>
        <v>29</v>
      </c>
      <c r="AK219" s="124" t="n">
        <v>16</v>
      </c>
      <c r="AL219" s="124" t="n">
        <v>24</v>
      </c>
      <c r="AM219" s="115" t="n">
        <f aca="false">IF(AND(SUM($AD219)=0,SUM($U219)=0),"",IF($C219="&lt;01",SUM($AD219),ROUND(ROUND(SUM($AJ219)*$AF219,0)/$AG219,0)))</f>
        <v>30</v>
      </c>
      <c r="AN219" s="122" t="n">
        <f aca="false">0.7</f>
        <v>0.7</v>
      </c>
      <c r="AO219" s="123" t="n">
        <f aca="false">1</f>
        <v>1</v>
      </c>
      <c r="AP219" s="115" t="n">
        <f aca="false">IF(AND(SUM($U219)=0,SUM($AM219)=0),"",ROUND((SUM($AM219)*$AN219+IF($C219="&lt;01",0,$U219))*$AO219,0))</f>
        <v>67</v>
      </c>
      <c r="AQ219" s="122" t="n">
        <v>22</v>
      </c>
      <c r="AR219" s="123" t="n">
        <f aca="false">0.95</f>
        <v>0.95</v>
      </c>
      <c r="AS219" s="123" t="n">
        <f aca="false">0.95</f>
        <v>0.95</v>
      </c>
      <c r="AT219" s="115" t="n">
        <f aca="false">IF(SUM($AP219)=0,"",ROUND(SUM($AP219)*$AR219,0))</f>
        <v>64</v>
      </c>
      <c r="AU219" s="115" t="n">
        <f aca="false">IF(LEFT($B219,4)="_Mil","",ROUND(SUM($AA219)*SUM($AS219),0))</f>
        <v>651</v>
      </c>
      <c r="AV219" s="124" t="n">
        <f aca="false">IF(SUM($AU219)&lt;=0,"",MAX(SUM($AU219)-SUM($R219),0))</f>
        <v>651</v>
      </c>
      <c r="AW219" s="122" t="n">
        <f aca="false">0</f>
        <v>0</v>
      </c>
      <c r="AX219" s="124" t="n">
        <f aca="false">IF(SUM($AM219)=0,"",ROUND(SUM($AM219)*SUM($AW219),0))</f>
        <v>0</v>
      </c>
      <c r="AY219" s="124" t="n">
        <f aca="false">IF(SUM($AM219)=0,"",SUM($AM219)-SUM($AX219))</f>
        <v>30</v>
      </c>
      <c r="AZ219" s="123" t="n">
        <v>35</v>
      </c>
      <c r="BA219" s="123" t="n">
        <f aca="false">0.95</f>
        <v>0.95</v>
      </c>
      <c r="BB219" s="123"/>
      <c r="BC219" s="123" t="n">
        <f aca="false">IF(OR(SUM($AM219)&lt;=0,$C219="&lt;01"),"",MAX(IF(OR(SUM($Y219)&lt;70%,LEFT($B219,4)="_Mil"),30%,IF(SUM($Y219)&gt;=80%,75%,50%)),SUM($BB219)))</f>
        <v>0.3</v>
      </c>
      <c r="BD219" s="115" t="n">
        <f aca="false">IF($C219="&lt;01",IFERROR(ROUND(INDEX(EID!$M:$M,MATCH($B219,EID!$B:$B,0)),0)/2,""),IF(SUM($AY219)=0,"",ROUND(SUM($AY219)/SUM($BA219),0)))</f>
        <v>32</v>
      </c>
      <c r="BE219" s="115" t="n">
        <f aca="false">IF($C219="&lt;01","",IF(SUM($BD219)=0,"",ROUND(SUM($BD219)*SUM($BC219),0)))</f>
        <v>10</v>
      </c>
      <c r="BF219" s="115" t="n">
        <f aca="false">_xlfn.IFNA(INDEX(PMTCT!$AE:$AE,MATCH($E219,PMTCT!$E:$E,0)),"")</f>
        <v>-1681</v>
      </c>
      <c r="BG219" s="115" t="str">
        <f aca="false">_xlfn.IFNA(INDEX(PMTCT!$AU:$AU,MATCH($E219,PMTCT!$E:$E,0)),"")</f>
        <v/>
      </c>
      <c r="BH219" s="115" t="n">
        <f aca="false">_xlfn.IFNA(INDEX(TB!$Q:$Q,MATCH($E219,TB!$E:$E,0)),"")</f>
        <v>-16770</v>
      </c>
      <c r="BI219" s="115" t="str">
        <f aca="false">_xlfn.IFNA(INDEX(VMMC!$AC:$AC,MATCH($E219,VMMC!$E:$E,0)),"")</f>
        <v/>
      </c>
      <c r="BJ219" s="115" t="str">
        <f aca="false">IF($C219="&lt;01",$BD219,"")</f>
        <v/>
      </c>
      <c r="BK219" s="115" t="n">
        <f aca="false">IF(SUM($BD219)=0,"",($BD219)-SUM($BE219:$BJ219))</f>
        <v>18473</v>
      </c>
      <c r="BL219" s="123" t="n">
        <f aca="false">IF(OR(SUM($BD219)=0,SUM($BE219)=0),"",SUM($BE219)/$BD219)</f>
        <v>0.3125</v>
      </c>
      <c r="BM219" s="123" t="n">
        <f aca="false">IF(OR(SUM($BD219)=0,SUM($BF219)=0),"",SUM($BF219)/$BD219)</f>
        <v>-52.53125</v>
      </c>
      <c r="BN219" s="123" t="str">
        <f aca="false">IF(OR(SUM($BD219)=0,SUM($BG219)=0),"",SUM($BG219)/$BD219)</f>
        <v/>
      </c>
      <c r="BO219" s="123" t="n">
        <f aca="false">IF(OR(SUM($BD219)=0,SUM($BH219)=0),"",SUM($BH219)/$BD219)</f>
        <v>-524.0625</v>
      </c>
      <c r="BP219" s="123" t="str">
        <f aca="false">IF(OR(SUM($BD219)=0,SUM($BI219)=0),"",SUM($BI219)/$BD219)</f>
        <v/>
      </c>
      <c r="BQ219" s="123" t="str">
        <f aca="false">IF(AND($C219="&lt;01",SUM($BJ219)&lt;&gt;0),$BJ219/SUM($BD219),"")</f>
        <v/>
      </c>
      <c r="BR219" s="123" t="n">
        <f aca="false">IF(OR(SUM($BD219)=0,SUM($BK219)=0),"",SUM($BK219)/$BD219)</f>
        <v>577.28125</v>
      </c>
      <c r="BS219" s="122" t="n">
        <f aca="false">IF(SUM($X219)&lt;=0,"",$X219)</f>
        <v>0.108490566037736</v>
      </c>
      <c r="BT219" s="115" t="n">
        <f aca="false">IF(LEFT($B219,4)="_Mil","",MAX(SUM($L219)+ROUND(SUM($BD219)/IF(SUM($BS219)&lt;=0,1,SUM($BS219)),0),0))</f>
        <v>791</v>
      </c>
    </row>
    <row r="220" customFormat="false" ht="15" hidden="false" customHeight="false" outlineLevel="0" collapsed="false">
      <c r="A220" s="0" t="s">
        <v>149</v>
      </c>
      <c r="B220" s="0" t="s">
        <v>111</v>
      </c>
      <c r="C220" s="0" t="s">
        <v>69</v>
      </c>
      <c r="D220" s="0" t="s">
        <v>58</v>
      </c>
      <c r="E220" s="0" t="str">
        <f aca="false">B220&amp;"|"&amp;C220&amp;"|"&amp;D220</f>
        <v>Qacha's Nek [#SNU] [zTaMbxvQtJ6]|25-29|Male</v>
      </c>
      <c r="F220" s="115" t="n">
        <f aca="false">_xlfn.IFNA(ROUND(INDEX(Spectrum!$N:$N,MATCH(RIGHT($B220,13)&amp;"|"&amp;$C220&amp;"|"&amp;$D220&amp;"|"&amp;F$14&amp;"|"&amp;"CY2021Q3",Spectrum!$Q:$Q,0)),0),"")</f>
        <v>3488</v>
      </c>
      <c r="G220" s="123" t="n">
        <f aca="false">_xlfn.IFNA(INDEX(Spectrum!$P:$P,MATCH(RIGHT($B220,13)&amp;"|"&amp;$C220&amp;"|"&amp;$D220&amp;"|"&amp;F$14&amp;"|"&amp;"CY2021Q3",Spectrum!$Q:$Q,0)),"")</f>
        <v>7</v>
      </c>
      <c r="H220" s="115" t="n">
        <f aca="false">_xlfn.IFNA(ROUND(INDEX(Spectrum!$N:$N,MATCH(RIGHT($B220,13)&amp;"|"&amp;$C220&amp;"|"&amp;$D220&amp;"|"&amp;H$14&amp;"|"&amp;"CY2021Q3",Spectrum!$Q:$Q,0)),0),"")</f>
        <v>344</v>
      </c>
      <c r="I220" s="123" t="n">
        <f aca="false">_xlfn.IFNA(INDEX(Spectrum!$P:$P,MATCH(RIGHT($B220,13)&amp;"|"&amp;$C220&amp;"|"&amp;$D220&amp;"|"&amp;H$14&amp;"|"&amp;"CY2021Q3",Spectrum!$Q:$Q,0)),"")</f>
        <v>15</v>
      </c>
      <c r="J220" s="117" t="n">
        <f aca="false">_xlfn.IFNA(INDEX(Spectrum!$N:$N,MATCH(RIGHT($B220,13)&amp;"|"&amp;$C220&amp;"|"&amp;$D220&amp;"|"&amp;J$14&amp;"|"&amp;"CY2021Q3",Spectrum!$Q:$Q,0)),"")</f>
        <v>0.0987694</v>
      </c>
      <c r="K220" s="123" t="n">
        <f aca="false">_xlfn.IFNA(INDEX(Spectrum!$P:$P,MATCH(RIGHT($B220,13)&amp;"|"&amp;$C220&amp;"|"&amp;$D220&amp;"|"&amp;J$14&amp;"|"&amp;"CY2021Q3",Spectrum!$Q:$Q,0)),"")</f>
        <v>12</v>
      </c>
      <c r="L220" s="115" t="n">
        <f aca="false">_xlfn.IFNA(ROUND(INDEX(Spectrum!$N:$N,MATCH(RIGHT($B220,13)&amp;"|"&amp;$C220&amp;"|"&amp;$D220&amp;"|"&amp;L$14&amp;"|"&amp;"CY2021Q3",Spectrum!$Q:$Q,0)),0),"")</f>
        <v>193</v>
      </c>
      <c r="M220" s="123" t="n">
        <f aca="false">IF(OR(SUM($H220)&lt;=0,SUM($L220)&lt;=0),"",SUM($L220)/$H220)</f>
        <v>0.561046511627907</v>
      </c>
      <c r="N220" s="115" t="str">
        <f aca="false">_xlfn.IFNA(ROUND(INDEX(Spectrum!$N:$N,MATCH(RIGHT($B220,13)&amp;"|"&amp;$C220&amp;"|"&amp;$D220&amp;"|"&amp;N$14&amp;"|"&amp;"CY2020Q4",Spectrum!$Q:$Q,0)),0),"")</f>
        <v/>
      </c>
      <c r="O220" s="123" t="str">
        <f aca="false">_xlfn.IFNA(INDEX(Spectrum!$P:$P,MATCH(RIGHT($B220,13)&amp;"|"&amp;$C220&amp;"|"&amp;$D220&amp;"|"&amp;N$14&amp;"|"&amp;"CY2020Q4",Spectrum!$Q:$Q,0)),"")</f>
        <v/>
      </c>
      <c r="P220" s="115" t="n">
        <f aca="false">_xlfn.IFNA(ROUND(INDEX(Spectrum!$N:$N,MATCH(RIGHT($B220,13)&amp;"|"&amp;$C220&amp;"|"&amp;$D220&amp;"|"&amp;P$14&amp;"|"&amp;"CY2021Q3",Spectrum!$Q:$Q,0)),0),"")</f>
        <v>141</v>
      </c>
      <c r="Q220" s="123" t="n">
        <f aca="false">_xlfn.IFNA(INDEX(Spectrum!$P:$P,MATCH(RIGHT($B220,13)&amp;"|"&amp;$C220&amp;"|"&amp;$D220&amp;"|"&amp;P$14&amp;"|"&amp;"CY2021Q3",Spectrum!$Q:$Q,0)),"")</f>
        <v>28</v>
      </c>
      <c r="R220" s="115"/>
      <c r="S220" s="123" t="str">
        <f aca="false">IF(OR(SUM($P220)&lt;=0,SUM($R220)&lt;=0),"",SUM($R220)/$P220)</f>
        <v/>
      </c>
      <c r="T220" s="139" t="n">
        <v>16</v>
      </c>
      <c r="U220" s="124" t="n">
        <v>48</v>
      </c>
      <c r="V220" s="124" t="n">
        <f aca="false">IF($U220-$T220=0,"",$U220-$T220)</f>
        <v>32</v>
      </c>
      <c r="W220" s="123" t="n">
        <f aca="false">IF(LEFT($B220,4)="_Mil","",IFERROR(MIN(IF(SUM($N220)&lt;=0,SUM($U220)/SUM($P220),SUM($T220)/SUM($N220)),1),""))</f>
        <v>0.340425531914894</v>
      </c>
      <c r="X220" s="123" t="n">
        <f aca="false">$W220</f>
        <v>0.340425531914894</v>
      </c>
      <c r="Y220" s="123" t="n">
        <f aca="false">IFERROR(1/(1/INDEX(Spectrum!$N:$N,MATCH(RIGHT($B220,13)&amp;"|"&amp;$C220&amp;"|"&amp;$D220&amp;"|"&amp;Y$14&amp;"|"&amp;"CY2021Q3",Spectrum!$Q:$Q,0))),IF(SUM($H220)=0,"",MAX(SUM($P220),SUM($U220))/SUM($H220)))</f>
        <v>0.409883720930233</v>
      </c>
      <c r="Z220" s="123" t="n">
        <f aca="false">IF(SUM($Y220)=0,"",MAX(SUM($Y220),90%))</f>
        <v>0.9</v>
      </c>
      <c r="AA220" s="115" t="n">
        <f aca="false">IF(LEFT($B220,4)="_Mil","",ROUND(MAX(SUM($U220),SUM($P220))+IF(SUM($Z220)=0,0,MAX(SUM($Z220)-SUM($Y220),0)*SUM($H220)),0))</f>
        <v>310</v>
      </c>
      <c r="AB220" s="115" t="n">
        <f aca="false">IF(SUM($AA220)=0,"",ROUND(MAX(SUM($AA220)-MAX(SUM($P220),SUM($U220)),0),0))</f>
        <v>169</v>
      </c>
      <c r="AC220" s="126" t="str">
        <f aca="false">IF($C220="&lt;01",IFERROR(ROUND(INDEX(EID!$N:$N,MATCH($B220,EID!$B:$B,0))/2,0),""),"")</f>
        <v/>
      </c>
      <c r="AD220" s="115" t="n">
        <f aca="false">IF($C220="&lt;01",IF(SUM($AC220)=0,"",ROUND(SUM($AC220)/$AG220,0)),IF(SUM($AB220)=0,"",ROUND(MAX($X220,0)*SUM($AB220),0)))</f>
        <v>58</v>
      </c>
      <c r="AE220" s="115" t="n">
        <f aca="false">IF(AND(SUM($AD220)=0,SUM($U220)=0),"",ROUND(IF($C220="&lt;01",0,SUM($U220))+SUM($AD220),0))</f>
        <v>106</v>
      </c>
      <c r="AF220" s="122" t="n">
        <f aca="false">IF($C220="&lt;01","",100%)</f>
        <v>1</v>
      </c>
      <c r="AG220" s="123" t="n">
        <f aca="false">0.98</f>
        <v>0.98</v>
      </c>
      <c r="AH220" s="123" t="n">
        <f aca="false">0.98</f>
        <v>0.98</v>
      </c>
      <c r="AI220" s="124" t="n">
        <f aca="false">IF(OR($C220="&lt;01",SUM($U220)=0),"",ROUND(SUM($U220)*(1-$AH220),0))</f>
        <v>1</v>
      </c>
      <c r="AJ220" s="124" t="n">
        <f aca="false">IF(AND(SUM($AE220)=0,SUM($U220)=0),"",IF($C220="&lt;01",SUM($AD220),SUM($AE220) - ROUND(SUM($U220)*$AH220,0)))</f>
        <v>59</v>
      </c>
      <c r="AK220" s="124" t="n">
        <v>26</v>
      </c>
      <c r="AL220" s="124" t="n">
        <v>28</v>
      </c>
      <c r="AM220" s="115" t="n">
        <f aca="false">IF(AND(SUM($AD220)=0,SUM($U220)=0),"",IF($C220="&lt;01",SUM($AD220),ROUND(ROUND(SUM($AJ220)*$AF220,0)/$AG220,0)))</f>
        <v>60</v>
      </c>
      <c r="AN220" s="122" t="n">
        <f aca="false">0.7</f>
        <v>0.7</v>
      </c>
      <c r="AO220" s="123" t="n">
        <f aca="false">1</f>
        <v>1</v>
      </c>
      <c r="AP220" s="115" t="n">
        <f aca="false">IF(AND(SUM($U220)=0,SUM($AM220)=0),"",ROUND((SUM($AM220)*$AN220+IF($C220="&lt;01",0,$U220))*$AO220,0))</f>
        <v>90</v>
      </c>
      <c r="AQ220" s="122" t="n">
        <v>13</v>
      </c>
      <c r="AR220" s="123" t="n">
        <f aca="false">0.95</f>
        <v>0.95</v>
      </c>
      <c r="AS220" s="123" t="n">
        <f aca="false">0.95</f>
        <v>0.95</v>
      </c>
      <c r="AT220" s="115" t="n">
        <f aca="false">IF(SUM($AP220)=0,"",ROUND(SUM($AP220)*$AR220,0))</f>
        <v>86</v>
      </c>
      <c r="AU220" s="115" t="n">
        <f aca="false">IF(LEFT($B220,4)="_Mil","",ROUND(SUM($AA220)*SUM($AS220),0))</f>
        <v>295</v>
      </c>
      <c r="AV220" s="124" t="n">
        <f aca="false">IF(SUM($AU220)&lt;=0,"",MAX(SUM($AU220)-SUM($R220),0))</f>
        <v>295</v>
      </c>
      <c r="AW220" s="122" t="n">
        <f aca="false">0</f>
        <v>0</v>
      </c>
      <c r="AX220" s="124" t="n">
        <f aca="false">IF(SUM($AM220)=0,"",ROUND(SUM($AM220)*SUM($AW220),0))</f>
        <v>0</v>
      </c>
      <c r="AY220" s="124" t="n">
        <f aca="false">IF(SUM($AM220)=0,"",SUM($AM220)-SUM($AX220))</f>
        <v>60</v>
      </c>
      <c r="AZ220" s="123" t="n">
        <v>30</v>
      </c>
      <c r="BA220" s="123" t="n">
        <f aca="false">0.95</f>
        <v>0.95</v>
      </c>
      <c r="BB220" s="123"/>
      <c r="BC220" s="123" t="n">
        <f aca="false">IF(OR(SUM($AM220)&lt;=0,$C220="&lt;01"),"",MAX(IF(OR(SUM($Y220)&lt;70%,LEFT($B220,4)="_Mil"),30%,IF(SUM($Y220)&gt;=80%,75%,50%)),SUM($BB220)))</f>
        <v>0.3</v>
      </c>
      <c r="BD220" s="115" t="n">
        <f aca="false">IF($C220="&lt;01",IFERROR(ROUND(INDEX(EID!$M:$M,MATCH($B220,EID!$B:$B,0)),0)/2,""),IF(SUM($AY220)=0,"",ROUND(SUM($AY220)/SUM($BA220),0)))</f>
        <v>63</v>
      </c>
      <c r="BE220" s="115" t="n">
        <f aca="false">IF($C220="&lt;01","",IF(SUM($BD220)=0,"",ROUND(SUM($BD220)*SUM($BC220),0)))</f>
        <v>19</v>
      </c>
      <c r="BF220" s="115" t="str">
        <f aca="false">_xlfn.IFNA(INDEX(PMTCT!$AE:$AE,MATCH($E220,PMTCT!$E:$E,0)),"")</f>
        <v/>
      </c>
      <c r="BG220" s="115" t="str">
        <f aca="false">_xlfn.IFNA(INDEX(PMTCT!$AU:$AU,MATCH($E220,PMTCT!$E:$E,0)),"")</f>
        <v/>
      </c>
      <c r="BH220" s="115" t="n">
        <f aca="false">_xlfn.IFNA(INDEX(TB!$Q:$Q,MATCH($E220,TB!$E:$E,0)),"")</f>
        <v>-10810</v>
      </c>
      <c r="BI220" s="115" t="str">
        <f aca="false">_xlfn.IFNA(INDEX(VMMC!$AC:$AC,MATCH($E220,VMMC!$E:$E,0)),"")</f>
        <v/>
      </c>
      <c r="BJ220" s="115" t="str">
        <f aca="false">IF($C220="&lt;01",$BD220,"")</f>
        <v/>
      </c>
      <c r="BK220" s="115" t="n">
        <f aca="false">IF(SUM($BD220)=0,"",($BD220)-SUM($BE220:$BJ220))</f>
        <v>10854</v>
      </c>
      <c r="BL220" s="123" t="n">
        <f aca="false">IF(OR(SUM($BD220)=0,SUM($BE220)=0),"",SUM($BE220)/$BD220)</f>
        <v>0.301587301587302</v>
      </c>
      <c r="BM220" s="123" t="str">
        <f aca="false">IF(OR(SUM($BD220)=0,SUM($BF220)=0),"",SUM($BF220)/$BD220)</f>
        <v/>
      </c>
      <c r="BN220" s="123" t="str">
        <f aca="false">IF(OR(SUM($BD220)=0,SUM($BG220)=0),"",SUM($BG220)/$BD220)</f>
        <v/>
      </c>
      <c r="BO220" s="123" t="n">
        <f aca="false">IF(OR(SUM($BD220)=0,SUM($BH220)=0),"",SUM($BH220)/$BD220)</f>
        <v>-171.587301587302</v>
      </c>
      <c r="BP220" s="123" t="str">
        <f aca="false">IF(OR(SUM($BD220)=0,SUM($BI220)=0),"",SUM($BI220)/$BD220)</f>
        <v/>
      </c>
      <c r="BQ220" s="123" t="str">
        <f aca="false">IF(AND($C220="&lt;01",SUM($BJ220)&lt;&gt;0),$BJ220/SUM($BD220),"")</f>
        <v/>
      </c>
      <c r="BR220" s="123" t="n">
        <f aca="false">IF(OR(SUM($BD220)=0,SUM($BK220)=0),"",SUM($BK220)/$BD220)</f>
        <v>172.285714285714</v>
      </c>
      <c r="BS220" s="122" t="n">
        <f aca="false">IF(SUM($X220)&lt;=0,"",$X220)</f>
        <v>0.340425531914894</v>
      </c>
      <c r="BT220" s="115" t="n">
        <f aca="false">IF(LEFT($B220,4)="_Mil","",MAX(SUM($L220)+ROUND(SUM($BD220)/IF(SUM($BS220)&lt;=0,1,SUM($BS220)),0),0))</f>
        <v>378</v>
      </c>
    </row>
    <row r="221" customFormat="false" ht="15" hidden="false" customHeight="false" outlineLevel="0" collapsed="false">
      <c r="A221" s="0" t="s">
        <v>149</v>
      </c>
      <c r="B221" s="0" t="s">
        <v>111</v>
      </c>
      <c r="C221" s="0" t="s">
        <v>72</v>
      </c>
      <c r="D221" s="0" t="s">
        <v>56</v>
      </c>
      <c r="E221" s="0" t="str">
        <f aca="false">B221&amp;"|"&amp;C221&amp;"|"&amp;D221</f>
        <v>Qacha's Nek [#SNU] [zTaMbxvQtJ6]|30-34|Female</v>
      </c>
      <c r="F221" s="115" t="n">
        <f aca="false">_xlfn.IFNA(ROUND(INDEX(Spectrum!$N:$N,MATCH(RIGHT($B221,13)&amp;"|"&amp;$C221&amp;"|"&amp;$D221&amp;"|"&amp;F$14&amp;"|"&amp;"CY2021Q3",Spectrum!$Q:$Q,0)),0),"")</f>
        <v>3171</v>
      </c>
      <c r="G221" s="123" t="n">
        <f aca="false">_xlfn.IFNA(INDEX(Spectrum!$P:$P,MATCH(RIGHT($B221,13)&amp;"|"&amp;$C221&amp;"|"&amp;$D221&amp;"|"&amp;F$14&amp;"|"&amp;"CY2021Q3",Spectrum!$Q:$Q,0)),"")</f>
        <v>36</v>
      </c>
      <c r="H221" s="115" t="n">
        <f aca="false">_xlfn.IFNA(ROUND(INDEX(Spectrum!$N:$N,MATCH(RIGHT($B221,13)&amp;"|"&amp;$C221&amp;"|"&amp;$D221&amp;"|"&amp;H$14&amp;"|"&amp;"CY2021Q3",Spectrum!$Q:$Q,0)),0),"")</f>
        <v>1062</v>
      </c>
      <c r="I221" s="123" t="n">
        <f aca="false">_xlfn.IFNA(INDEX(Spectrum!$P:$P,MATCH(RIGHT($B221,13)&amp;"|"&amp;$C221&amp;"|"&amp;$D221&amp;"|"&amp;H$14&amp;"|"&amp;"CY2021Q3",Spectrum!$Q:$Q,0)),"")</f>
        <v>37</v>
      </c>
      <c r="J221" s="117" t="n">
        <f aca="false">_xlfn.IFNA(INDEX(Spectrum!$N:$N,MATCH(RIGHT($B221,13)&amp;"|"&amp;$C221&amp;"|"&amp;$D221&amp;"|"&amp;J$14&amp;"|"&amp;"CY2021Q3",Spectrum!$Q:$Q,0)),"")</f>
        <v>0.3350367</v>
      </c>
      <c r="K221" s="123" t="n">
        <f aca="false">_xlfn.IFNA(INDEX(Spectrum!$P:$P,MATCH(RIGHT($B221,13)&amp;"|"&amp;$C221&amp;"|"&amp;$D221&amp;"|"&amp;J$14&amp;"|"&amp;"CY2021Q3",Spectrum!$Q:$Q,0)),"")</f>
        <v>42</v>
      </c>
      <c r="L221" s="115" t="n">
        <f aca="false">_xlfn.IFNA(ROUND(INDEX(Spectrum!$N:$N,MATCH(RIGHT($B221,13)&amp;"|"&amp;$C221&amp;"|"&amp;$D221&amp;"|"&amp;L$14&amp;"|"&amp;"CY2021Q3",Spectrum!$Q:$Q,0)),0),"")</f>
        <v>637</v>
      </c>
      <c r="M221" s="123" t="n">
        <f aca="false">IF(OR(SUM($H221)&lt;=0,SUM($L221)&lt;=0),"",SUM($L221)/$H221)</f>
        <v>0.599811676082863</v>
      </c>
      <c r="N221" s="115" t="str">
        <f aca="false">_xlfn.IFNA(ROUND(INDEX(Spectrum!$N:$N,MATCH(RIGHT($B221,13)&amp;"|"&amp;$C221&amp;"|"&amp;$D221&amp;"|"&amp;N$14&amp;"|"&amp;"CY2020Q4",Spectrum!$Q:$Q,0)),0),"")</f>
        <v/>
      </c>
      <c r="O221" s="123" t="str">
        <f aca="false">_xlfn.IFNA(INDEX(Spectrum!$P:$P,MATCH(RIGHT($B221,13)&amp;"|"&amp;$C221&amp;"|"&amp;$D221&amp;"|"&amp;N$14&amp;"|"&amp;"CY2020Q4",Spectrum!$Q:$Q,0)),"")</f>
        <v/>
      </c>
      <c r="P221" s="115" t="n">
        <f aca="false">_xlfn.IFNA(ROUND(INDEX(Spectrum!$N:$N,MATCH(RIGHT($B221,13)&amp;"|"&amp;$C221&amp;"|"&amp;$D221&amp;"|"&amp;P$14&amp;"|"&amp;"CY2021Q3",Spectrum!$Q:$Q,0)),0),"")</f>
        <v>576</v>
      </c>
      <c r="Q221" s="123" t="n">
        <f aca="false">_xlfn.IFNA(INDEX(Spectrum!$P:$P,MATCH(RIGHT($B221,13)&amp;"|"&amp;$C221&amp;"|"&amp;$D221&amp;"|"&amp;P$14&amp;"|"&amp;"CY2021Q3",Spectrum!$Q:$Q,0)),"")</f>
        <v>4</v>
      </c>
      <c r="R221" s="115"/>
      <c r="S221" s="123" t="str">
        <f aca="false">IF(OR(SUM($P221)&lt;=0,SUM($R221)&lt;=0),"",SUM($R221)/$P221)</f>
        <v/>
      </c>
      <c r="T221" s="139" t="n">
        <v>11</v>
      </c>
      <c r="U221" s="124" t="n">
        <v>22</v>
      </c>
      <c r="V221" s="124" t="n">
        <f aca="false">IF($U221-$T221=0,"",$U221-$T221)</f>
        <v>11</v>
      </c>
      <c r="W221" s="123" t="n">
        <f aca="false">IF(LEFT($B221,4)="_Mil","",IFERROR(MIN(IF(SUM($N221)&lt;=0,SUM($U221)/SUM($P221),SUM($T221)/SUM($N221)),1),""))</f>
        <v>0.0381944444444444</v>
      </c>
      <c r="X221" s="123" t="n">
        <f aca="false">$W221</f>
        <v>0.0381944444444444</v>
      </c>
      <c r="Y221" s="123" t="n">
        <f aca="false">IFERROR(1/(1/INDEX(Spectrum!$N:$N,MATCH(RIGHT($B221,13)&amp;"|"&amp;$C221&amp;"|"&amp;$D221&amp;"|"&amp;Y$14&amp;"|"&amp;"CY2021Q3",Spectrum!$Q:$Q,0))),IF(SUM($H221)=0,"",MAX(SUM($P221),SUM($U221))/SUM($H221)))</f>
        <v>0.542372881355932</v>
      </c>
      <c r="Z221" s="123" t="n">
        <f aca="false">IF(SUM($Y221)=0,"",MAX(SUM($Y221),90%))</f>
        <v>0.9</v>
      </c>
      <c r="AA221" s="115" t="n">
        <f aca="false">IF(LEFT($B221,4)="_Mil","",ROUND(MAX(SUM($U221),SUM($P221))+IF(SUM($Z221)=0,0,MAX(SUM($Z221)-SUM($Y221),0)*SUM($H221)),0))</f>
        <v>956</v>
      </c>
      <c r="AB221" s="115" t="n">
        <f aca="false">IF(SUM($AA221)=0,"",ROUND(MAX(SUM($AA221)-MAX(SUM($P221),SUM($U221)),0),0))</f>
        <v>380</v>
      </c>
      <c r="AC221" s="126" t="str">
        <f aca="false">IF($C221="&lt;01",IFERROR(ROUND(INDEX(EID!$N:$N,MATCH($B221,EID!$B:$B,0))/2,0),""),"")</f>
        <v/>
      </c>
      <c r="AD221" s="115" t="n">
        <f aca="false">IF($C221="&lt;01",IF(SUM($AC221)=0,"",ROUND(SUM($AC221)/$AG221,0)),IF(SUM($AB221)=0,"",ROUND(MAX($X221,0)*SUM($AB221),0)))</f>
        <v>15</v>
      </c>
      <c r="AE221" s="115" t="n">
        <f aca="false">IF(AND(SUM($AD221)=0,SUM($U221)=0),"",ROUND(IF($C221="&lt;01",0,SUM($U221))+SUM($AD221),0))</f>
        <v>37</v>
      </c>
      <c r="AF221" s="122" t="n">
        <f aca="false">IF($C221="&lt;01","",100%)</f>
        <v>1</v>
      </c>
      <c r="AG221" s="123" t="n">
        <f aca="false">0.98</f>
        <v>0.98</v>
      </c>
      <c r="AH221" s="123" t="n">
        <f aca="false">0.98</f>
        <v>0.98</v>
      </c>
      <c r="AI221" s="124" t="n">
        <f aca="false">IF(OR($C221="&lt;01",SUM($U221)=0),"",ROUND(SUM($U221)*(1-$AH221),0))</f>
        <v>0</v>
      </c>
      <c r="AJ221" s="124" t="n">
        <f aca="false">IF(AND(SUM($AE221)=0,SUM($U221)=0),"",IF($C221="&lt;01",SUM($AD221),SUM($AE221) - ROUND(SUM($U221)*$AH221,0)))</f>
        <v>15</v>
      </c>
      <c r="AK221" s="124" t="n">
        <v>25</v>
      </c>
      <c r="AL221" s="124" t="n">
        <v>36</v>
      </c>
      <c r="AM221" s="115" t="n">
        <f aca="false">IF(AND(SUM($AD221)=0,SUM($U221)=0),"",IF($C221="&lt;01",SUM($AD221),ROUND(ROUND(SUM($AJ221)*$AF221,0)/$AG221,0)))</f>
        <v>15</v>
      </c>
      <c r="AN221" s="122" t="n">
        <f aca="false">0.7</f>
        <v>0.7</v>
      </c>
      <c r="AO221" s="123" t="n">
        <f aca="false">1</f>
        <v>1</v>
      </c>
      <c r="AP221" s="115" t="n">
        <f aca="false">IF(AND(SUM($U221)=0,SUM($AM221)=0),"",ROUND((SUM($AM221)*$AN221+IF($C221="&lt;01",0,$U221))*$AO221,0))</f>
        <v>33</v>
      </c>
      <c r="AQ221" s="122" t="n">
        <v>18</v>
      </c>
      <c r="AR221" s="123" t="n">
        <f aca="false">0.95</f>
        <v>0.95</v>
      </c>
      <c r="AS221" s="123" t="n">
        <f aca="false">0.95</f>
        <v>0.95</v>
      </c>
      <c r="AT221" s="115" t="n">
        <f aca="false">IF(SUM($AP221)=0,"",ROUND(SUM($AP221)*$AR221,0))</f>
        <v>31</v>
      </c>
      <c r="AU221" s="115" t="n">
        <f aca="false">IF(LEFT($B221,4)="_Mil","",ROUND(SUM($AA221)*SUM($AS221),0))</f>
        <v>908</v>
      </c>
      <c r="AV221" s="124" t="n">
        <f aca="false">IF(SUM($AU221)&lt;=0,"",MAX(SUM($AU221)-SUM($R221),0))</f>
        <v>908</v>
      </c>
      <c r="AW221" s="122" t="n">
        <f aca="false">0</f>
        <v>0</v>
      </c>
      <c r="AX221" s="124" t="n">
        <f aca="false">IF(SUM($AM221)=0,"",ROUND(SUM($AM221)*SUM($AW221),0))</f>
        <v>0</v>
      </c>
      <c r="AY221" s="124" t="n">
        <f aca="false">IF(SUM($AM221)=0,"",SUM($AM221)-SUM($AX221))</f>
        <v>15</v>
      </c>
      <c r="AZ221" s="123" t="n">
        <v>46</v>
      </c>
      <c r="BA221" s="123" t="n">
        <f aca="false">0.95</f>
        <v>0.95</v>
      </c>
      <c r="BB221" s="123"/>
      <c r="BC221" s="123" t="n">
        <f aca="false">IF(OR(SUM($AM221)&lt;=0,$C221="&lt;01"),"",MAX(IF(OR(SUM($Y221)&lt;70%,LEFT($B221,4)="_Mil"),30%,IF(SUM($Y221)&gt;=80%,75%,50%)),SUM($BB221)))</f>
        <v>0.3</v>
      </c>
      <c r="BD221" s="115" t="n">
        <f aca="false">IF($C221="&lt;01",IFERROR(ROUND(INDEX(EID!$M:$M,MATCH($B221,EID!$B:$B,0)),0)/2,""),IF(SUM($AY221)=0,"",ROUND(SUM($AY221)/SUM($BA221),0)))</f>
        <v>16</v>
      </c>
      <c r="BE221" s="115" t="n">
        <f aca="false">IF($C221="&lt;01","",IF(SUM($BD221)=0,"",ROUND(SUM($BD221)*SUM($BC221),0)))</f>
        <v>5</v>
      </c>
      <c r="BF221" s="115" t="n">
        <f aca="false">_xlfn.IFNA(INDEX(PMTCT!$AE:$AE,MATCH($E221,PMTCT!$E:$E,0)),"")</f>
        <v>-24960</v>
      </c>
      <c r="BG221" s="115" t="str">
        <f aca="false">_xlfn.IFNA(INDEX(PMTCT!$AU:$AU,MATCH($E221,PMTCT!$E:$E,0)),"")</f>
        <v/>
      </c>
      <c r="BH221" s="115" t="n">
        <f aca="false">_xlfn.IFNA(INDEX(TB!$Q:$Q,MATCH($E221,TB!$E:$E,0)),"")</f>
        <v>-459</v>
      </c>
      <c r="BI221" s="115" t="str">
        <f aca="false">_xlfn.IFNA(INDEX(VMMC!$AC:$AC,MATCH($E221,VMMC!$E:$E,0)),"")</f>
        <v/>
      </c>
      <c r="BJ221" s="115" t="str">
        <f aca="false">IF($C221="&lt;01",$BD221,"")</f>
        <v/>
      </c>
      <c r="BK221" s="115" t="n">
        <f aca="false">IF(SUM($BD221)=0,"",($BD221)-SUM($BE221:$BJ221))</f>
        <v>25430</v>
      </c>
      <c r="BL221" s="123" t="n">
        <f aca="false">IF(OR(SUM($BD221)=0,SUM($BE221)=0),"",SUM($BE221)/$BD221)</f>
        <v>0.3125</v>
      </c>
      <c r="BM221" s="123" t="n">
        <f aca="false">IF(OR(SUM($BD221)=0,SUM($BF221)=0),"",SUM($BF221)/$BD221)</f>
        <v>-1560</v>
      </c>
      <c r="BN221" s="123" t="str">
        <f aca="false">IF(OR(SUM($BD221)=0,SUM($BG221)=0),"",SUM($BG221)/$BD221)</f>
        <v/>
      </c>
      <c r="BO221" s="123" t="n">
        <f aca="false">IF(OR(SUM($BD221)=0,SUM($BH221)=0),"",SUM($BH221)/$BD221)</f>
        <v>-28.6875</v>
      </c>
      <c r="BP221" s="123" t="str">
        <f aca="false">IF(OR(SUM($BD221)=0,SUM($BI221)=0),"",SUM($BI221)/$BD221)</f>
        <v/>
      </c>
      <c r="BQ221" s="123" t="str">
        <f aca="false">IF(AND($C221="&lt;01",SUM($BJ221)&lt;&gt;0),$BJ221/SUM($BD221),"")</f>
        <v/>
      </c>
      <c r="BR221" s="123" t="n">
        <f aca="false">IF(OR(SUM($BD221)=0,SUM($BK221)=0),"",SUM($BK221)/$BD221)</f>
        <v>1589.375</v>
      </c>
      <c r="BS221" s="122" t="n">
        <f aca="false">IF(SUM($X221)&lt;=0,"",$X221)</f>
        <v>0.0381944444444444</v>
      </c>
      <c r="BT221" s="115" t="n">
        <f aca="false">IF(LEFT($B221,4)="_Mil","",MAX(SUM($L221)+ROUND(SUM($BD221)/IF(SUM($BS221)&lt;=0,1,SUM($BS221)),0),0))</f>
        <v>1056</v>
      </c>
    </row>
    <row r="222" customFormat="false" ht="15" hidden="false" customHeight="false" outlineLevel="0" collapsed="false">
      <c r="A222" s="0" t="s">
        <v>149</v>
      </c>
      <c r="B222" s="0" t="s">
        <v>111</v>
      </c>
      <c r="C222" s="0" t="s">
        <v>72</v>
      </c>
      <c r="D222" s="0" t="s">
        <v>58</v>
      </c>
      <c r="E222" s="0" t="str">
        <f aca="false">B222&amp;"|"&amp;C222&amp;"|"&amp;D222</f>
        <v>Qacha's Nek [#SNU] [zTaMbxvQtJ6]|30-34|Male</v>
      </c>
      <c r="F222" s="115" t="n">
        <f aca="false">_xlfn.IFNA(ROUND(INDEX(Spectrum!$N:$N,MATCH(RIGHT($B222,13)&amp;"|"&amp;$C222&amp;"|"&amp;$D222&amp;"|"&amp;F$14&amp;"|"&amp;"CY2021Q3",Spectrum!$Q:$Q,0)),0),"")</f>
        <v>3485</v>
      </c>
      <c r="G222" s="123" t="n">
        <f aca="false">_xlfn.IFNA(INDEX(Spectrum!$P:$P,MATCH(RIGHT($B222,13)&amp;"|"&amp;$C222&amp;"|"&amp;$D222&amp;"|"&amp;F$14&amp;"|"&amp;"CY2021Q3",Spectrum!$Q:$Q,0)),"")</f>
        <v>3</v>
      </c>
      <c r="H222" s="115" t="n">
        <f aca="false">_xlfn.IFNA(ROUND(INDEX(Spectrum!$N:$N,MATCH(RIGHT($B222,13)&amp;"|"&amp;$C222&amp;"|"&amp;$D222&amp;"|"&amp;H$14&amp;"|"&amp;"CY2021Q3",Spectrum!$Q:$Q,0)),0),"")</f>
        <v>618</v>
      </c>
      <c r="I222" s="123" t="n">
        <f aca="false">_xlfn.IFNA(INDEX(Spectrum!$P:$P,MATCH(RIGHT($B222,13)&amp;"|"&amp;$C222&amp;"|"&amp;$D222&amp;"|"&amp;H$14&amp;"|"&amp;"CY2021Q3",Spectrum!$Q:$Q,0)),"")</f>
        <v>35</v>
      </c>
      <c r="J222" s="117" t="n">
        <f aca="false">_xlfn.IFNA(INDEX(Spectrum!$N:$N,MATCH(RIGHT($B222,13)&amp;"|"&amp;$C222&amp;"|"&amp;$D222&amp;"|"&amp;J$14&amp;"|"&amp;"CY2021Q3",Spectrum!$Q:$Q,0)),"")</f>
        <v>0.1772965</v>
      </c>
      <c r="K222" s="123" t="n">
        <f aca="false">_xlfn.IFNA(INDEX(Spectrum!$P:$P,MATCH(RIGHT($B222,13)&amp;"|"&amp;$C222&amp;"|"&amp;$D222&amp;"|"&amp;J$14&amp;"|"&amp;"CY2021Q3",Spectrum!$Q:$Q,0)),"")</f>
        <v>15</v>
      </c>
      <c r="L222" s="115" t="n">
        <f aca="false">_xlfn.IFNA(ROUND(INDEX(Spectrum!$N:$N,MATCH(RIGHT($B222,13)&amp;"|"&amp;$C222&amp;"|"&amp;$D222&amp;"|"&amp;L$14&amp;"|"&amp;"CY2021Q3",Spectrum!$Q:$Q,0)),0),"")</f>
        <v>319</v>
      </c>
      <c r="M222" s="123" t="n">
        <f aca="false">IF(OR(SUM($H222)&lt;=0,SUM($L222)&lt;=0),"",SUM($L222)/$H222)</f>
        <v>0.516181229773463</v>
      </c>
      <c r="N222" s="115" t="str">
        <f aca="false">_xlfn.IFNA(ROUND(INDEX(Spectrum!$N:$N,MATCH(RIGHT($B222,13)&amp;"|"&amp;$C222&amp;"|"&amp;$D222&amp;"|"&amp;N$14&amp;"|"&amp;"CY2020Q4",Spectrum!$Q:$Q,0)),0),"")</f>
        <v/>
      </c>
      <c r="O222" s="123" t="str">
        <f aca="false">_xlfn.IFNA(INDEX(Spectrum!$P:$P,MATCH(RIGHT($B222,13)&amp;"|"&amp;$C222&amp;"|"&amp;$D222&amp;"|"&amp;N$14&amp;"|"&amp;"CY2020Q4",Spectrum!$Q:$Q,0)),"")</f>
        <v/>
      </c>
      <c r="P222" s="115" t="n">
        <f aca="false">_xlfn.IFNA(ROUND(INDEX(Spectrum!$N:$N,MATCH(RIGHT($B222,13)&amp;"|"&amp;$C222&amp;"|"&amp;$D222&amp;"|"&amp;P$14&amp;"|"&amp;"CY2021Q3",Spectrum!$Q:$Q,0)),0),"")</f>
        <v>252</v>
      </c>
      <c r="Q222" s="123" t="n">
        <f aca="false">_xlfn.IFNA(INDEX(Spectrum!$P:$P,MATCH(RIGHT($B222,13)&amp;"|"&amp;$C222&amp;"|"&amp;$D222&amp;"|"&amp;P$14&amp;"|"&amp;"CY2021Q3",Spectrum!$Q:$Q,0)),"")</f>
        <v>7</v>
      </c>
      <c r="R222" s="115"/>
      <c r="S222" s="123" t="str">
        <f aca="false">IF(OR(SUM($P222)&lt;=0,SUM($R222)&lt;=0),"",SUM($R222)/$P222)</f>
        <v/>
      </c>
      <c r="T222" s="139" t="n">
        <v>30</v>
      </c>
      <c r="U222" s="124" t="n">
        <v>43</v>
      </c>
      <c r="V222" s="124" t="n">
        <f aca="false">IF($U222-$T222=0,"",$U222-$T222)</f>
        <v>13</v>
      </c>
      <c r="W222" s="123" t="n">
        <f aca="false">IF(LEFT($B222,4)="_Mil","",IFERROR(MIN(IF(SUM($N222)&lt;=0,SUM($U222)/SUM($P222),SUM($T222)/SUM($N222)),1),""))</f>
        <v>0.170634920634921</v>
      </c>
      <c r="X222" s="123" t="n">
        <f aca="false">$W222</f>
        <v>0.170634920634921</v>
      </c>
      <c r="Y222" s="123" t="n">
        <f aca="false">IFERROR(1/(1/INDEX(Spectrum!$N:$N,MATCH(RIGHT($B222,13)&amp;"|"&amp;$C222&amp;"|"&amp;$D222&amp;"|"&amp;Y$14&amp;"|"&amp;"CY2021Q3",Spectrum!$Q:$Q,0))),IF(SUM($H222)=0,"",MAX(SUM($P222),SUM($U222))/SUM($H222)))</f>
        <v>0.407766990291262</v>
      </c>
      <c r="Z222" s="123" t="n">
        <f aca="false">IF(SUM($Y222)=0,"",MAX(SUM($Y222),90%))</f>
        <v>0.9</v>
      </c>
      <c r="AA222" s="115" t="n">
        <f aca="false">IF(LEFT($B222,4)="_Mil","",ROUND(MAX(SUM($U222),SUM($P222))+IF(SUM($Z222)=0,0,MAX(SUM($Z222)-SUM($Y222),0)*SUM($H222)),0))</f>
        <v>556</v>
      </c>
      <c r="AB222" s="115" t="n">
        <f aca="false">IF(SUM($AA222)=0,"",ROUND(MAX(SUM($AA222)-MAX(SUM($P222),SUM($U222)),0),0))</f>
        <v>304</v>
      </c>
      <c r="AC222" s="126" t="str">
        <f aca="false">IF($C222="&lt;01",IFERROR(ROUND(INDEX(EID!$N:$N,MATCH($B222,EID!$B:$B,0))/2,0),""),"")</f>
        <v/>
      </c>
      <c r="AD222" s="115" t="n">
        <f aca="false">IF($C222="&lt;01",IF(SUM($AC222)=0,"",ROUND(SUM($AC222)/$AG222,0)),IF(SUM($AB222)=0,"",ROUND(MAX($X222,0)*SUM($AB222),0)))</f>
        <v>52</v>
      </c>
      <c r="AE222" s="115" t="n">
        <f aca="false">IF(AND(SUM($AD222)=0,SUM($U222)=0),"",ROUND(IF($C222="&lt;01",0,SUM($U222))+SUM($AD222),0))</f>
        <v>95</v>
      </c>
      <c r="AF222" s="122" t="n">
        <f aca="false">IF($C222="&lt;01","",100%)</f>
        <v>1</v>
      </c>
      <c r="AG222" s="123" t="n">
        <f aca="false">0.98</f>
        <v>0.98</v>
      </c>
      <c r="AH222" s="123" t="n">
        <f aca="false">0.98</f>
        <v>0.98</v>
      </c>
      <c r="AI222" s="124" t="n">
        <f aca="false">IF(OR($C222="&lt;01",SUM($U222)=0),"",ROUND(SUM($U222)*(1-$AH222),0))</f>
        <v>1</v>
      </c>
      <c r="AJ222" s="124" t="n">
        <f aca="false">IF(AND(SUM($AE222)=0,SUM($U222)=0),"",IF($C222="&lt;01",SUM($AD222),SUM($AE222) - ROUND(SUM($U222)*$AH222,0)))</f>
        <v>53</v>
      </c>
      <c r="AK222" s="124" t="n">
        <v>2</v>
      </c>
      <c r="AL222" s="124" t="n">
        <v>42</v>
      </c>
      <c r="AM222" s="115" t="n">
        <f aca="false">IF(AND(SUM($AD222)=0,SUM($U222)=0),"",IF($C222="&lt;01",SUM($AD222),ROUND(ROUND(SUM($AJ222)*$AF222,0)/$AG222,0)))</f>
        <v>54</v>
      </c>
      <c r="AN222" s="122" t="n">
        <f aca="false">0.7</f>
        <v>0.7</v>
      </c>
      <c r="AO222" s="123" t="n">
        <f aca="false">1</f>
        <v>1</v>
      </c>
      <c r="AP222" s="115" t="n">
        <f aca="false">IF(AND(SUM($U222)=0,SUM($AM222)=0),"",ROUND((SUM($AM222)*$AN222+IF($C222="&lt;01",0,$U222))*$AO222,0))</f>
        <v>81</v>
      </c>
      <c r="AQ222" s="122" t="n">
        <v>41</v>
      </c>
      <c r="AR222" s="123" t="n">
        <f aca="false">0.95</f>
        <v>0.95</v>
      </c>
      <c r="AS222" s="123" t="n">
        <f aca="false">0.95</f>
        <v>0.95</v>
      </c>
      <c r="AT222" s="115" t="n">
        <f aca="false">IF(SUM($AP222)=0,"",ROUND(SUM($AP222)*$AR222,0))</f>
        <v>77</v>
      </c>
      <c r="AU222" s="115" t="n">
        <f aca="false">IF(LEFT($B222,4)="_Mil","",ROUND(SUM($AA222)*SUM($AS222),0))</f>
        <v>528</v>
      </c>
      <c r="AV222" s="124" t="n">
        <f aca="false">IF(SUM($AU222)&lt;=0,"",MAX(SUM($AU222)-SUM($R222),0))</f>
        <v>528</v>
      </c>
      <c r="AW222" s="122" t="n">
        <f aca="false">0</f>
        <v>0</v>
      </c>
      <c r="AX222" s="124" t="n">
        <f aca="false">IF(SUM($AM222)=0,"",ROUND(SUM($AM222)*SUM($AW222),0))</f>
        <v>0</v>
      </c>
      <c r="AY222" s="124" t="n">
        <f aca="false">IF(SUM($AM222)=0,"",SUM($AM222)-SUM($AX222))</f>
        <v>54</v>
      </c>
      <c r="AZ222" s="123" t="n">
        <v>3</v>
      </c>
      <c r="BA222" s="123" t="n">
        <f aca="false">0.95</f>
        <v>0.95</v>
      </c>
      <c r="BB222" s="123"/>
      <c r="BC222" s="123" t="n">
        <f aca="false">IF(OR(SUM($AM222)&lt;=0,$C222="&lt;01"),"",MAX(IF(OR(SUM($Y222)&lt;70%,LEFT($B222,4)="_Mil"),30%,IF(SUM($Y222)&gt;=80%,75%,50%)),SUM($BB222)))</f>
        <v>0.3</v>
      </c>
      <c r="BD222" s="115" t="n">
        <f aca="false">IF($C222="&lt;01",IFERROR(ROUND(INDEX(EID!$M:$M,MATCH($B222,EID!$B:$B,0)),0)/2,""),IF(SUM($AY222)=0,"",ROUND(SUM($AY222)/SUM($BA222),0)))</f>
        <v>57</v>
      </c>
      <c r="BE222" s="115" t="n">
        <f aca="false">IF($C222="&lt;01","",IF(SUM($BD222)=0,"",ROUND(SUM($BD222)*SUM($BC222),0)))</f>
        <v>17</v>
      </c>
      <c r="BF222" s="115" t="str">
        <f aca="false">_xlfn.IFNA(INDEX(PMTCT!$AE:$AE,MATCH($E222,PMTCT!$E:$E,0)),"")</f>
        <v/>
      </c>
      <c r="BG222" s="115" t="str">
        <f aca="false">_xlfn.IFNA(INDEX(PMTCT!$AU:$AU,MATCH($E222,PMTCT!$E:$E,0)),"")</f>
        <v/>
      </c>
      <c r="BH222" s="115" t="n">
        <f aca="false">_xlfn.IFNA(INDEX(TB!$Q:$Q,MATCH($E222,TB!$E:$E,0)),"")</f>
        <v>-0</v>
      </c>
      <c r="BI222" s="115" t="str">
        <f aca="false">_xlfn.IFNA(INDEX(VMMC!$AC:$AC,MATCH($E222,VMMC!$E:$E,0)),"")</f>
        <v/>
      </c>
      <c r="BJ222" s="115" t="str">
        <f aca="false">IF($C222="&lt;01",$BD222,"")</f>
        <v/>
      </c>
      <c r="BK222" s="115" t="n">
        <f aca="false">IF(SUM($BD222)=0,"",($BD222)-SUM($BE222:$BJ222))</f>
        <v>40</v>
      </c>
      <c r="BL222" s="123" t="n">
        <f aca="false">IF(OR(SUM($BD222)=0,SUM($BE222)=0),"",SUM($BE222)/$BD222)</f>
        <v>0.298245614035088</v>
      </c>
      <c r="BM222" s="123" t="str">
        <f aca="false">IF(OR(SUM($BD222)=0,SUM($BF222)=0),"",SUM($BF222)/$BD222)</f>
        <v/>
      </c>
      <c r="BN222" s="123" t="str">
        <f aca="false">IF(OR(SUM($BD222)=0,SUM($BG222)=0),"",SUM($BG222)/$BD222)</f>
        <v/>
      </c>
      <c r="BO222" s="123" t="str">
        <f aca="false">IF(OR(SUM($BD222)=0,SUM($BH222)=0),"",SUM($BH222)/$BD222)</f>
        <v/>
      </c>
      <c r="BP222" s="123" t="str">
        <f aca="false">IF(OR(SUM($BD222)=0,SUM($BI222)=0),"",SUM($BI222)/$BD222)</f>
        <v/>
      </c>
      <c r="BQ222" s="123" t="str">
        <f aca="false">IF(AND($C222="&lt;01",SUM($BJ222)&lt;&gt;0),$BJ222/SUM($BD222),"")</f>
        <v/>
      </c>
      <c r="BR222" s="123" t="n">
        <f aca="false">IF(OR(SUM($BD222)=0,SUM($BK222)=0),"",SUM($BK222)/$BD222)</f>
        <v>0.701754385964912</v>
      </c>
      <c r="BS222" s="122" t="n">
        <f aca="false">IF(SUM($X222)&lt;=0,"",$X222)</f>
        <v>0.170634920634921</v>
      </c>
      <c r="BT222" s="115" t="n">
        <f aca="false">IF(LEFT($B222,4)="_Mil","",MAX(SUM($L222)+ROUND(SUM($BD222)/IF(SUM($BS222)&lt;=0,1,SUM($BS222)),0),0))</f>
        <v>653</v>
      </c>
    </row>
    <row r="223" customFormat="false" ht="15" hidden="false" customHeight="false" outlineLevel="0" collapsed="false">
      <c r="A223" s="0" t="s">
        <v>149</v>
      </c>
      <c r="B223" s="0" t="s">
        <v>111</v>
      </c>
      <c r="C223" s="0" t="s">
        <v>75</v>
      </c>
      <c r="D223" s="0" t="s">
        <v>56</v>
      </c>
      <c r="E223" s="0" t="str">
        <f aca="false">B223&amp;"|"&amp;C223&amp;"|"&amp;D223</f>
        <v>Qacha's Nek [#SNU] [zTaMbxvQtJ6]|35-39|Female</v>
      </c>
      <c r="F223" s="115" t="n">
        <f aca="false">_xlfn.IFNA(ROUND(INDEX(Spectrum!$N:$N,MATCH(RIGHT($B223,13)&amp;"|"&amp;$C223&amp;"|"&amp;$D223&amp;"|"&amp;F$14&amp;"|"&amp;"CY2021Q3",Spectrum!$Q:$Q,0)),0),"")</f>
        <v>2211</v>
      </c>
      <c r="G223" s="123" t="n">
        <f aca="false">_xlfn.IFNA(INDEX(Spectrum!$P:$P,MATCH(RIGHT($B223,13)&amp;"|"&amp;$C223&amp;"|"&amp;$D223&amp;"|"&amp;F$14&amp;"|"&amp;"CY2021Q3",Spectrum!$Q:$Q,0)),"")</f>
        <v>15</v>
      </c>
      <c r="H223" s="115" t="n">
        <f aca="false">_xlfn.IFNA(ROUND(INDEX(Spectrum!$N:$N,MATCH(RIGHT($B223,13)&amp;"|"&amp;$C223&amp;"|"&amp;$D223&amp;"|"&amp;H$14&amp;"|"&amp;"CY2021Q3",Spectrum!$Q:$Q,0)),0),"")</f>
        <v>993</v>
      </c>
      <c r="I223" s="123" t="n">
        <f aca="false">_xlfn.IFNA(INDEX(Spectrum!$P:$P,MATCH(RIGHT($B223,13)&amp;"|"&amp;$C223&amp;"|"&amp;$D223&amp;"|"&amp;H$14&amp;"|"&amp;"CY2021Q3",Spectrum!$Q:$Q,0)),"")</f>
        <v>30</v>
      </c>
      <c r="J223" s="117" t="n">
        <f aca="false">_xlfn.IFNA(INDEX(Spectrum!$N:$N,MATCH(RIGHT($B223,13)&amp;"|"&amp;$C223&amp;"|"&amp;$D223&amp;"|"&amp;J$14&amp;"|"&amp;"CY2021Q3",Spectrum!$Q:$Q,0)),"")</f>
        <v>0.4491046</v>
      </c>
      <c r="K223" s="123" t="n">
        <f aca="false">_xlfn.IFNA(INDEX(Spectrum!$P:$P,MATCH(RIGHT($B223,13)&amp;"|"&amp;$C223&amp;"|"&amp;$D223&amp;"|"&amp;J$14&amp;"|"&amp;"CY2021Q3",Spectrum!$Q:$Q,0)),"")</f>
        <v>3</v>
      </c>
      <c r="L223" s="115" t="n">
        <f aca="false">_xlfn.IFNA(ROUND(INDEX(Spectrum!$N:$N,MATCH(RIGHT($B223,13)&amp;"|"&amp;$C223&amp;"|"&amp;$D223&amp;"|"&amp;L$14&amp;"|"&amp;"CY2021Q3",Spectrum!$Q:$Q,0)),0),"")</f>
        <v>703</v>
      </c>
      <c r="M223" s="123" t="n">
        <f aca="false">IF(OR(SUM($H223)&lt;=0,SUM($L223)&lt;=0),"",SUM($L223)/$H223)</f>
        <v>0.707955689828802</v>
      </c>
      <c r="N223" s="115" t="str">
        <f aca="false">_xlfn.IFNA(ROUND(INDEX(Spectrum!$N:$N,MATCH(RIGHT($B223,13)&amp;"|"&amp;$C223&amp;"|"&amp;$D223&amp;"|"&amp;N$14&amp;"|"&amp;"CY2020Q4",Spectrum!$Q:$Q,0)),0),"")</f>
        <v/>
      </c>
      <c r="O223" s="123" t="str">
        <f aca="false">_xlfn.IFNA(INDEX(Spectrum!$P:$P,MATCH(RIGHT($B223,13)&amp;"|"&amp;$C223&amp;"|"&amp;$D223&amp;"|"&amp;N$14&amp;"|"&amp;"CY2020Q4",Spectrum!$Q:$Q,0)),"")</f>
        <v/>
      </c>
      <c r="P223" s="115" t="n">
        <f aca="false">_xlfn.IFNA(ROUND(INDEX(Spectrum!$N:$N,MATCH(RIGHT($B223,13)&amp;"|"&amp;$C223&amp;"|"&amp;$D223&amp;"|"&amp;P$14&amp;"|"&amp;"CY2021Q3",Spectrum!$Q:$Q,0)),0),"")</f>
        <v>657</v>
      </c>
      <c r="Q223" s="123" t="n">
        <f aca="false">_xlfn.IFNA(INDEX(Spectrum!$P:$P,MATCH(RIGHT($B223,13)&amp;"|"&amp;$C223&amp;"|"&amp;$D223&amp;"|"&amp;P$14&amp;"|"&amp;"CY2021Q3",Spectrum!$Q:$Q,0)),"")</f>
        <v>26</v>
      </c>
      <c r="R223" s="115"/>
      <c r="S223" s="123" t="str">
        <f aca="false">IF(OR(SUM($P223)&lt;=0,SUM($R223)&lt;=0),"",SUM($R223)/$P223)</f>
        <v/>
      </c>
      <c r="T223" s="139" t="n">
        <v>49</v>
      </c>
      <c r="U223" s="124" t="n">
        <v>42</v>
      </c>
      <c r="V223" s="124" t="n">
        <f aca="false">IF($U223-$T223=0,"",$U223-$T223)</f>
        <v>-7</v>
      </c>
      <c r="W223" s="123" t="n">
        <f aca="false">IF(LEFT($B223,4)="_Mil","",IFERROR(MIN(IF(SUM($N223)&lt;=0,SUM($U223)/SUM($P223),SUM($T223)/SUM($N223)),1),""))</f>
        <v>0.0639269406392694</v>
      </c>
      <c r="X223" s="123" t="n">
        <f aca="false">$W223</f>
        <v>0.0639269406392694</v>
      </c>
      <c r="Y223" s="123" t="n">
        <f aca="false">IFERROR(1/(1/INDEX(Spectrum!$N:$N,MATCH(RIGHT($B223,13)&amp;"|"&amp;$C223&amp;"|"&amp;$D223&amp;"|"&amp;Y$14&amp;"|"&amp;"CY2021Q3",Spectrum!$Q:$Q,0))),IF(SUM($H223)=0,"",MAX(SUM($P223),SUM($U223))/SUM($H223)))</f>
        <v>0.661631419939577</v>
      </c>
      <c r="Z223" s="123" t="n">
        <f aca="false">IF(SUM($Y223)=0,"",MAX(SUM($Y223),90%))</f>
        <v>0.9</v>
      </c>
      <c r="AA223" s="115" t="n">
        <f aca="false">IF(LEFT($B223,4)="_Mil","",ROUND(MAX(SUM($U223),SUM($P223))+IF(SUM($Z223)=0,0,MAX(SUM($Z223)-SUM($Y223),0)*SUM($H223)),0))</f>
        <v>894</v>
      </c>
      <c r="AB223" s="115" t="n">
        <f aca="false">IF(SUM($AA223)=0,"",ROUND(MAX(SUM($AA223)-MAX(SUM($P223),SUM($U223)),0),0))</f>
        <v>237</v>
      </c>
      <c r="AC223" s="126" t="str">
        <f aca="false">IF($C223="&lt;01",IFERROR(ROUND(INDEX(EID!$N:$N,MATCH($B223,EID!$B:$B,0))/2,0),""),"")</f>
        <v/>
      </c>
      <c r="AD223" s="115" t="n">
        <f aca="false">IF($C223="&lt;01",IF(SUM($AC223)=0,"",ROUND(SUM($AC223)/$AG223,0)),IF(SUM($AB223)=0,"",ROUND(MAX($X223,0)*SUM($AB223),0)))</f>
        <v>15</v>
      </c>
      <c r="AE223" s="115" t="n">
        <f aca="false">IF(AND(SUM($AD223)=0,SUM($U223)=0),"",ROUND(IF($C223="&lt;01",0,SUM($U223))+SUM($AD223),0))</f>
        <v>57</v>
      </c>
      <c r="AF223" s="122" t="n">
        <f aca="false">IF($C223="&lt;01","",100%)</f>
        <v>1</v>
      </c>
      <c r="AG223" s="123" t="n">
        <f aca="false">0.98</f>
        <v>0.98</v>
      </c>
      <c r="AH223" s="123" t="n">
        <f aca="false">0.98</f>
        <v>0.98</v>
      </c>
      <c r="AI223" s="124" t="n">
        <f aca="false">IF(OR($C223="&lt;01",SUM($U223)=0),"",ROUND(SUM($U223)*(1-$AH223),0))</f>
        <v>1</v>
      </c>
      <c r="AJ223" s="124" t="n">
        <f aca="false">IF(AND(SUM($AE223)=0,SUM($U223)=0),"",IF($C223="&lt;01",SUM($AD223),SUM($AE223) - ROUND(SUM($U223)*$AH223,0)))</f>
        <v>16</v>
      </c>
      <c r="AK223" s="124" t="n">
        <v>38</v>
      </c>
      <c r="AL223" s="124" t="n">
        <v>25</v>
      </c>
      <c r="AM223" s="115" t="n">
        <f aca="false">IF(AND(SUM($AD223)=0,SUM($U223)=0),"",IF($C223="&lt;01",SUM($AD223),ROUND(ROUND(SUM($AJ223)*$AF223,0)/$AG223,0)))</f>
        <v>16</v>
      </c>
      <c r="AN223" s="122" t="n">
        <f aca="false">0.7</f>
        <v>0.7</v>
      </c>
      <c r="AO223" s="123" t="n">
        <f aca="false">1</f>
        <v>1</v>
      </c>
      <c r="AP223" s="115" t="n">
        <f aca="false">IF(AND(SUM($U223)=0,SUM($AM223)=0),"",ROUND((SUM($AM223)*$AN223+IF($C223="&lt;01",0,$U223))*$AO223,0))</f>
        <v>53</v>
      </c>
      <c r="AQ223" s="122" t="n">
        <v>47</v>
      </c>
      <c r="AR223" s="123" t="n">
        <f aca="false">0.95</f>
        <v>0.95</v>
      </c>
      <c r="AS223" s="123" t="n">
        <f aca="false">0.95</f>
        <v>0.95</v>
      </c>
      <c r="AT223" s="115" t="n">
        <f aca="false">IF(SUM($AP223)=0,"",ROUND(SUM($AP223)*$AR223,0))</f>
        <v>50</v>
      </c>
      <c r="AU223" s="115" t="n">
        <f aca="false">IF(LEFT($B223,4)="_Mil","",ROUND(SUM($AA223)*SUM($AS223),0))</f>
        <v>849</v>
      </c>
      <c r="AV223" s="124" t="n">
        <f aca="false">IF(SUM($AU223)&lt;=0,"",MAX(SUM($AU223)-SUM($R223),0))</f>
        <v>849</v>
      </c>
      <c r="AW223" s="122" t="n">
        <f aca="false">0</f>
        <v>0</v>
      </c>
      <c r="AX223" s="124" t="n">
        <f aca="false">IF(SUM($AM223)=0,"",ROUND(SUM($AM223)*SUM($AW223),0))</f>
        <v>0</v>
      </c>
      <c r="AY223" s="124" t="n">
        <f aca="false">IF(SUM($AM223)=0,"",SUM($AM223)-SUM($AX223))</f>
        <v>16</v>
      </c>
      <c r="AZ223" s="123" t="n">
        <v>40</v>
      </c>
      <c r="BA223" s="123" t="n">
        <f aca="false">0.95</f>
        <v>0.95</v>
      </c>
      <c r="BB223" s="123"/>
      <c r="BC223" s="123" t="n">
        <f aca="false">IF(OR(SUM($AM223)&lt;=0,$C223="&lt;01"),"",MAX(IF(OR(SUM($Y223)&lt;70%,LEFT($B223,4)="_Mil"),30%,IF(SUM($Y223)&gt;=80%,75%,50%)),SUM($BB223)))</f>
        <v>0.3</v>
      </c>
      <c r="BD223" s="115" t="n">
        <f aca="false">IF($C223="&lt;01",IFERROR(ROUND(INDEX(EID!$M:$M,MATCH($B223,EID!$B:$B,0)),0)/2,""),IF(SUM($AY223)=0,"",ROUND(SUM($AY223)/SUM($BA223),0)))</f>
        <v>17</v>
      </c>
      <c r="BE223" s="115" t="n">
        <f aca="false">IF($C223="&lt;01","",IF(SUM($BD223)=0,"",ROUND(SUM($BD223)*SUM($BC223),0)))</f>
        <v>5</v>
      </c>
      <c r="BF223" s="115" t="str">
        <f aca="false">_xlfn.IFNA(INDEX(PMTCT!$AE:$AE,MATCH($E223,PMTCT!$E:$E,0)),"")</f>
        <v/>
      </c>
      <c r="BG223" s="115" t="str">
        <f aca="false">_xlfn.IFNA(INDEX(PMTCT!$AU:$AU,MATCH($E223,PMTCT!$E:$E,0)),"")</f>
        <v/>
      </c>
      <c r="BH223" s="115" t="n">
        <f aca="false">_xlfn.IFNA(INDEX(TB!$Q:$Q,MATCH($E223,TB!$E:$E,0)),"")</f>
        <v>-0</v>
      </c>
      <c r="BI223" s="115" t="str">
        <f aca="false">_xlfn.IFNA(INDEX(VMMC!$AC:$AC,MATCH($E223,VMMC!$E:$E,0)),"")</f>
        <v/>
      </c>
      <c r="BJ223" s="115" t="str">
        <f aca="false">IF($C223="&lt;01",$BD223,"")</f>
        <v/>
      </c>
      <c r="BK223" s="115" t="n">
        <f aca="false">IF(SUM($BD223)=0,"",($BD223)-SUM($BE223:$BJ223))</f>
        <v>12</v>
      </c>
      <c r="BL223" s="123" t="n">
        <f aca="false">IF(OR(SUM($BD223)=0,SUM($BE223)=0),"",SUM($BE223)/$BD223)</f>
        <v>0.294117647058823</v>
      </c>
      <c r="BM223" s="123" t="str">
        <f aca="false">IF(OR(SUM($BD223)=0,SUM($BF223)=0),"",SUM($BF223)/$BD223)</f>
        <v/>
      </c>
      <c r="BN223" s="123" t="str">
        <f aca="false">IF(OR(SUM($BD223)=0,SUM($BG223)=0),"",SUM($BG223)/$BD223)</f>
        <v/>
      </c>
      <c r="BO223" s="123" t="str">
        <f aca="false">IF(OR(SUM($BD223)=0,SUM($BH223)=0),"",SUM($BH223)/$BD223)</f>
        <v/>
      </c>
      <c r="BP223" s="123" t="str">
        <f aca="false">IF(OR(SUM($BD223)=0,SUM($BI223)=0),"",SUM($BI223)/$BD223)</f>
        <v/>
      </c>
      <c r="BQ223" s="123" t="str">
        <f aca="false">IF(AND($C223="&lt;01",SUM($BJ223)&lt;&gt;0),$BJ223/SUM($BD223),"")</f>
        <v/>
      </c>
      <c r="BR223" s="123" t="n">
        <f aca="false">IF(OR(SUM($BD223)=0,SUM($BK223)=0),"",SUM($BK223)/$BD223)</f>
        <v>0.705882352941176</v>
      </c>
      <c r="BS223" s="122" t="n">
        <f aca="false">IF(SUM($X223)&lt;=0,"",$X223)</f>
        <v>0.0639269406392694</v>
      </c>
      <c r="BT223" s="115" t="n">
        <f aca="false">IF(LEFT($B223,4)="_Mil","",MAX(SUM($L223)+ROUND(SUM($BD223)/IF(SUM($BS223)&lt;=0,1,SUM($BS223)),0),0))</f>
        <v>969</v>
      </c>
    </row>
    <row r="224" customFormat="false" ht="15" hidden="false" customHeight="false" outlineLevel="0" collapsed="false">
      <c r="A224" s="0" t="s">
        <v>149</v>
      </c>
      <c r="B224" s="0" t="s">
        <v>111</v>
      </c>
      <c r="C224" s="0" t="s">
        <v>75</v>
      </c>
      <c r="D224" s="0" t="s">
        <v>58</v>
      </c>
      <c r="E224" s="0" t="str">
        <f aca="false">B224&amp;"|"&amp;C224&amp;"|"&amp;D224</f>
        <v>Qacha's Nek [#SNU] [zTaMbxvQtJ6]|35-39|Male</v>
      </c>
      <c r="F224" s="115" t="n">
        <f aca="false">_xlfn.IFNA(ROUND(INDEX(Spectrum!$N:$N,MATCH(RIGHT($B224,13)&amp;"|"&amp;$C224&amp;"|"&amp;$D224&amp;"|"&amp;F$14&amp;"|"&amp;"CY2021Q3",Spectrum!$Q:$Q,0)),0),"")</f>
        <v>2726</v>
      </c>
      <c r="G224" s="123" t="n">
        <f aca="false">_xlfn.IFNA(INDEX(Spectrum!$P:$P,MATCH(RIGHT($B224,13)&amp;"|"&amp;$C224&amp;"|"&amp;$D224&amp;"|"&amp;F$14&amp;"|"&amp;"CY2021Q3",Spectrum!$Q:$Q,0)),"")</f>
        <v>28</v>
      </c>
      <c r="H224" s="115" t="n">
        <f aca="false">_xlfn.IFNA(ROUND(INDEX(Spectrum!$N:$N,MATCH(RIGHT($B224,13)&amp;"|"&amp;$C224&amp;"|"&amp;$D224&amp;"|"&amp;H$14&amp;"|"&amp;"CY2021Q3",Spectrum!$Q:$Q,0)),0),"")</f>
        <v>747</v>
      </c>
      <c r="I224" s="123" t="n">
        <f aca="false">_xlfn.IFNA(INDEX(Spectrum!$P:$P,MATCH(RIGHT($B224,13)&amp;"|"&amp;$C224&amp;"|"&amp;$D224&amp;"|"&amp;H$14&amp;"|"&amp;"CY2021Q3",Spectrum!$Q:$Q,0)),"")</f>
        <v>5</v>
      </c>
      <c r="J224" s="117" t="n">
        <f aca="false">_xlfn.IFNA(INDEX(Spectrum!$N:$N,MATCH(RIGHT($B224,13)&amp;"|"&amp;$C224&amp;"|"&amp;$D224&amp;"|"&amp;J$14&amp;"|"&amp;"CY2021Q3",Spectrum!$Q:$Q,0)),"")</f>
        <v>0.2740757</v>
      </c>
      <c r="K224" s="123" t="n">
        <f aca="false">_xlfn.IFNA(INDEX(Spectrum!$P:$P,MATCH(RIGHT($B224,13)&amp;"|"&amp;$C224&amp;"|"&amp;$D224&amp;"|"&amp;J$14&amp;"|"&amp;"CY2021Q3",Spectrum!$Q:$Q,0)),"")</f>
        <v>46</v>
      </c>
      <c r="L224" s="115" t="n">
        <f aca="false">_xlfn.IFNA(ROUND(INDEX(Spectrum!$N:$N,MATCH(RIGHT($B224,13)&amp;"|"&amp;$C224&amp;"|"&amp;$D224&amp;"|"&amp;L$14&amp;"|"&amp;"CY2021Q3",Spectrum!$Q:$Q,0)),0),"")</f>
        <v>444</v>
      </c>
      <c r="M224" s="123" t="n">
        <f aca="false">IF(OR(SUM($H224)&lt;=0,SUM($L224)&lt;=0),"",SUM($L224)/$H224)</f>
        <v>0.594377510040161</v>
      </c>
      <c r="N224" s="115" t="str">
        <f aca="false">_xlfn.IFNA(ROUND(INDEX(Spectrum!$N:$N,MATCH(RIGHT($B224,13)&amp;"|"&amp;$C224&amp;"|"&amp;$D224&amp;"|"&amp;N$14&amp;"|"&amp;"CY2020Q4",Spectrum!$Q:$Q,0)),0),"")</f>
        <v/>
      </c>
      <c r="O224" s="123" t="str">
        <f aca="false">_xlfn.IFNA(INDEX(Spectrum!$P:$P,MATCH(RIGHT($B224,13)&amp;"|"&amp;$C224&amp;"|"&amp;$D224&amp;"|"&amp;N$14&amp;"|"&amp;"CY2020Q4",Spectrum!$Q:$Q,0)),"")</f>
        <v/>
      </c>
      <c r="P224" s="115" t="n">
        <f aca="false">_xlfn.IFNA(ROUND(INDEX(Spectrum!$N:$N,MATCH(RIGHT($B224,13)&amp;"|"&amp;$C224&amp;"|"&amp;$D224&amp;"|"&amp;P$14&amp;"|"&amp;"CY2021Q3",Spectrum!$Q:$Q,0)),0),"")</f>
        <v>373</v>
      </c>
      <c r="Q224" s="123" t="n">
        <f aca="false">_xlfn.IFNA(INDEX(Spectrum!$P:$P,MATCH(RIGHT($B224,13)&amp;"|"&amp;$C224&amp;"|"&amp;$D224&amp;"|"&amp;P$14&amp;"|"&amp;"CY2021Q3",Spectrum!$Q:$Q,0)),"")</f>
        <v>14</v>
      </c>
      <c r="R224" s="115"/>
      <c r="S224" s="123" t="str">
        <f aca="false">IF(OR(SUM($P224)&lt;=0,SUM($R224)&lt;=0),"",SUM($R224)/$P224)</f>
        <v/>
      </c>
      <c r="T224" s="139" t="n">
        <v>11</v>
      </c>
      <c r="U224" s="124" t="n">
        <v>4</v>
      </c>
      <c r="V224" s="124" t="n">
        <f aca="false">IF($U224-$T224=0,"",$U224-$T224)</f>
        <v>-7</v>
      </c>
      <c r="W224" s="123" t="n">
        <f aca="false">IF(LEFT($B224,4)="_Mil","",IFERROR(MIN(IF(SUM($N224)&lt;=0,SUM($U224)/SUM($P224),SUM($T224)/SUM($N224)),1),""))</f>
        <v>0.0107238605898123</v>
      </c>
      <c r="X224" s="123" t="n">
        <f aca="false">$W224</f>
        <v>0.0107238605898123</v>
      </c>
      <c r="Y224" s="123" t="n">
        <f aca="false">IFERROR(1/(1/INDEX(Spectrum!$N:$N,MATCH(RIGHT($B224,13)&amp;"|"&amp;$C224&amp;"|"&amp;$D224&amp;"|"&amp;Y$14&amp;"|"&amp;"CY2021Q3",Spectrum!$Q:$Q,0))),IF(SUM($H224)=0,"",MAX(SUM($P224),SUM($U224))/SUM($H224)))</f>
        <v>0.499330655957162</v>
      </c>
      <c r="Z224" s="123" t="n">
        <f aca="false">IF(SUM($Y224)=0,"",MAX(SUM($Y224),90%))</f>
        <v>0.9</v>
      </c>
      <c r="AA224" s="115" t="n">
        <f aca="false">IF(LEFT($B224,4)="_Mil","",ROUND(MAX(SUM($U224),SUM($P224))+IF(SUM($Z224)=0,0,MAX(SUM($Z224)-SUM($Y224),0)*SUM($H224)),0))</f>
        <v>672</v>
      </c>
      <c r="AB224" s="115" t="n">
        <f aca="false">IF(SUM($AA224)=0,"",ROUND(MAX(SUM($AA224)-MAX(SUM($P224),SUM($U224)),0),0))</f>
        <v>299</v>
      </c>
      <c r="AC224" s="126" t="str">
        <f aca="false">IF($C224="&lt;01",IFERROR(ROUND(INDEX(EID!$N:$N,MATCH($B224,EID!$B:$B,0))/2,0),""),"")</f>
        <v/>
      </c>
      <c r="AD224" s="115" t="n">
        <f aca="false">IF($C224="&lt;01",IF(SUM($AC224)=0,"",ROUND(SUM($AC224)/$AG224,0)),IF(SUM($AB224)=0,"",ROUND(MAX($X224,0)*SUM($AB224),0)))</f>
        <v>3</v>
      </c>
      <c r="AE224" s="115" t="n">
        <f aca="false">IF(AND(SUM($AD224)=0,SUM($U224)=0),"",ROUND(IF($C224="&lt;01",0,SUM($U224))+SUM($AD224),0))</f>
        <v>7</v>
      </c>
      <c r="AF224" s="122" t="n">
        <f aca="false">IF($C224="&lt;01","",100%)</f>
        <v>1</v>
      </c>
      <c r="AG224" s="123" t="n">
        <f aca="false">0.98</f>
        <v>0.98</v>
      </c>
      <c r="AH224" s="123" t="n">
        <f aca="false">0.98</f>
        <v>0.98</v>
      </c>
      <c r="AI224" s="124" t="n">
        <f aca="false">IF(OR($C224="&lt;01",SUM($U224)=0),"",ROUND(SUM($U224)*(1-$AH224),0))</f>
        <v>0</v>
      </c>
      <c r="AJ224" s="124" t="n">
        <f aca="false">IF(AND(SUM($AE224)=0,SUM($U224)=0),"",IF($C224="&lt;01",SUM($AD224),SUM($AE224) - ROUND(SUM($U224)*$AH224,0)))</f>
        <v>3</v>
      </c>
      <c r="AK224" s="124" t="n">
        <v>36</v>
      </c>
      <c r="AL224" s="124" t="n">
        <v>5</v>
      </c>
      <c r="AM224" s="115" t="n">
        <f aca="false">IF(AND(SUM($AD224)=0,SUM($U224)=0),"",IF($C224="&lt;01",SUM($AD224),ROUND(ROUND(SUM($AJ224)*$AF224,0)/$AG224,0)))</f>
        <v>3</v>
      </c>
      <c r="AN224" s="122" t="n">
        <f aca="false">0.7</f>
        <v>0.7</v>
      </c>
      <c r="AO224" s="123" t="n">
        <f aca="false">1</f>
        <v>1</v>
      </c>
      <c r="AP224" s="115" t="n">
        <f aca="false">IF(AND(SUM($U224)=0,SUM($AM224)=0),"",ROUND((SUM($AM224)*$AN224+IF($C224="&lt;01",0,$U224))*$AO224,0))</f>
        <v>6</v>
      </c>
      <c r="AQ224" s="122" t="n">
        <v>17</v>
      </c>
      <c r="AR224" s="123" t="n">
        <f aca="false">0.95</f>
        <v>0.95</v>
      </c>
      <c r="AS224" s="123" t="n">
        <f aca="false">0.95</f>
        <v>0.95</v>
      </c>
      <c r="AT224" s="115" t="n">
        <f aca="false">IF(SUM($AP224)=0,"",ROUND(SUM($AP224)*$AR224,0))</f>
        <v>6</v>
      </c>
      <c r="AU224" s="115" t="n">
        <f aca="false">IF(LEFT($B224,4)="_Mil","",ROUND(SUM($AA224)*SUM($AS224),0))</f>
        <v>638</v>
      </c>
      <c r="AV224" s="124" t="n">
        <f aca="false">IF(SUM($AU224)&lt;=0,"",MAX(SUM($AU224)-SUM($R224),0))</f>
        <v>638</v>
      </c>
      <c r="AW224" s="122" t="n">
        <f aca="false">0</f>
        <v>0</v>
      </c>
      <c r="AX224" s="124" t="n">
        <f aca="false">IF(SUM($AM224)=0,"",ROUND(SUM($AM224)*SUM($AW224),0))</f>
        <v>0</v>
      </c>
      <c r="AY224" s="124" t="n">
        <f aca="false">IF(SUM($AM224)=0,"",SUM($AM224)-SUM($AX224))</f>
        <v>3</v>
      </c>
      <c r="AZ224" s="123" t="n">
        <v>41</v>
      </c>
      <c r="BA224" s="123" t="n">
        <f aca="false">0.95</f>
        <v>0.95</v>
      </c>
      <c r="BB224" s="123"/>
      <c r="BC224" s="123" t="n">
        <f aca="false">IF(OR(SUM($AM224)&lt;=0,$C224="&lt;01"),"",MAX(IF(OR(SUM($Y224)&lt;70%,LEFT($B224,4)="_Mil"),30%,IF(SUM($Y224)&gt;=80%,75%,50%)),SUM($BB224)))</f>
        <v>0.3</v>
      </c>
      <c r="BD224" s="115" t="n">
        <f aca="false">IF($C224="&lt;01",IFERROR(ROUND(INDEX(EID!$M:$M,MATCH($B224,EID!$B:$B,0)),0)/2,""),IF(SUM($AY224)=0,"",ROUND(SUM($AY224)/SUM($BA224),0)))</f>
        <v>3</v>
      </c>
      <c r="BE224" s="115" t="n">
        <f aca="false">IF($C224="&lt;01","",IF(SUM($BD224)=0,"",ROUND(SUM($BD224)*SUM($BC224),0)))</f>
        <v>1</v>
      </c>
      <c r="BF224" s="115" t="str">
        <f aca="false">_xlfn.IFNA(INDEX(PMTCT!$AE:$AE,MATCH($E224,PMTCT!$E:$E,0)),"")</f>
        <v/>
      </c>
      <c r="BG224" s="115" t="str">
        <f aca="false">_xlfn.IFNA(INDEX(PMTCT!$AU:$AU,MATCH($E224,PMTCT!$E:$E,0)),"")</f>
        <v/>
      </c>
      <c r="BH224" s="115" t="n">
        <f aca="false">_xlfn.IFNA(INDEX(TB!$Q:$Q,MATCH($E224,TB!$E:$E,0)),"")</f>
        <v>-17360</v>
      </c>
      <c r="BI224" s="115" t="str">
        <f aca="false">_xlfn.IFNA(INDEX(VMMC!$AC:$AC,MATCH($E224,VMMC!$E:$E,0)),"")</f>
        <v/>
      </c>
      <c r="BJ224" s="115" t="str">
        <f aca="false">IF($C224="&lt;01",$BD224,"")</f>
        <v/>
      </c>
      <c r="BK224" s="115" t="n">
        <f aca="false">IF(SUM($BD224)=0,"",($BD224)-SUM($BE224:$BJ224))</f>
        <v>17362</v>
      </c>
      <c r="BL224" s="123" t="n">
        <f aca="false">IF(OR(SUM($BD224)=0,SUM($BE224)=0),"",SUM($BE224)/$BD224)</f>
        <v>0.333333333333333</v>
      </c>
      <c r="BM224" s="123" t="str">
        <f aca="false">IF(OR(SUM($BD224)=0,SUM($BF224)=0),"",SUM($BF224)/$BD224)</f>
        <v/>
      </c>
      <c r="BN224" s="123" t="str">
        <f aca="false">IF(OR(SUM($BD224)=0,SUM($BG224)=0),"",SUM($BG224)/$BD224)</f>
        <v/>
      </c>
      <c r="BO224" s="123" t="n">
        <f aca="false">IF(OR(SUM($BD224)=0,SUM($BH224)=0),"",SUM($BH224)/$BD224)</f>
        <v>-5786.66666666667</v>
      </c>
      <c r="BP224" s="123" t="str">
        <f aca="false">IF(OR(SUM($BD224)=0,SUM($BI224)=0),"",SUM($BI224)/$BD224)</f>
        <v/>
      </c>
      <c r="BQ224" s="123" t="str">
        <f aca="false">IF(AND($C224="&lt;01",SUM($BJ224)&lt;&gt;0),$BJ224/SUM($BD224),"")</f>
        <v/>
      </c>
      <c r="BR224" s="123" t="n">
        <f aca="false">IF(OR(SUM($BD224)=0,SUM($BK224)=0),"",SUM($BK224)/$BD224)</f>
        <v>5787.33333333333</v>
      </c>
      <c r="BS224" s="122" t="n">
        <f aca="false">IF(SUM($X224)&lt;=0,"",$X224)</f>
        <v>0.0107238605898123</v>
      </c>
      <c r="BT224" s="115" t="n">
        <f aca="false">IF(LEFT($B224,4)="_Mil","",MAX(SUM($L224)+ROUND(SUM($BD224)/IF(SUM($BS224)&lt;=0,1,SUM($BS224)),0),0))</f>
        <v>724</v>
      </c>
    </row>
    <row r="225" customFormat="false" ht="15" hidden="false" customHeight="false" outlineLevel="0" collapsed="false">
      <c r="A225" s="0" t="s">
        <v>149</v>
      </c>
      <c r="B225" s="0" t="s">
        <v>111</v>
      </c>
      <c r="C225" s="0" t="s">
        <v>77</v>
      </c>
      <c r="D225" s="0" t="s">
        <v>56</v>
      </c>
      <c r="E225" s="0" t="str">
        <f aca="false">B225&amp;"|"&amp;C225&amp;"|"&amp;D225</f>
        <v>Qacha's Nek [#SNU] [zTaMbxvQtJ6]|40-44|Female</v>
      </c>
      <c r="F225" s="115" t="n">
        <f aca="false">_xlfn.IFNA(ROUND(INDEX(Spectrum!$N:$N,MATCH(RIGHT($B225,13)&amp;"|"&amp;$C225&amp;"|"&amp;$D225&amp;"|"&amp;F$14&amp;"|"&amp;"CY2021Q3",Spectrum!$Q:$Q,0)),0),"")</f>
        <v>1587</v>
      </c>
      <c r="G225" s="123" t="n">
        <f aca="false">_xlfn.IFNA(INDEX(Spectrum!$P:$P,MATCH(RIGHT($B225,13)&amp;"|"&amp;$C225&amp;"|"&amp;$D225&amp;"|"&amp;F$14&amp;"|"&amp;"CY2021Q3",Spectrum!$Q:$Q,0)),"")</f>
        <v>24</v>
      </c>
      <c r="H225" s="115" t="n">
        <f aca="false">_xlfn.IFNA(ROUND(INDEX(Spectrum!$N:$N,MATCH(RIGHT($B225,13)&amp;"|"&amp;$C225&amp;"|"&amp;$D225&amp;"|"&amp;H$14&amp;"|"&amp;"CY2021Q3",Spectrum!$Q:$Q,0)),0),"")</f>
        <v>768</v>
      </c>
      <c r="I225" s="123" t="n">
        <f aca="false">_xlfn.IFNA(INDEX(Spectrum!$P:$P,MATCH(RIGHT($B225,13)&amp;"|"&amp;$C225&amp;"|"&amp;$D225&amp;"|"&amp;H$14&amp;"|"&amp;"CY2021Q3",Spectrum!$Q:$Q,0)),"")</f>
        <v>50</v>
      </c>
      <c r="J225" s="117" t="n">
        <f aca="false">_xlfn.IFNA(INDEX(Spectrum!$N:$N,MATCH(RIGHT($B225,13)&amp;"|"&amp;$C225&amp;"|"&amp;$D225&amp;"|"&amp;J$14&amp;"|"&amp;"CY2021Q3",Spectrum!$Q:$Q,0)),"")</f>
        <v>0.4838059</v>
      </c>
      <c r="K225" s="123" t="n">
        <f aca="false">_xlfn.IFNA(INDEX(Spectrum!$P:$P,MATCH(RIGHT($B225,13)&amp;"|"&amp;$C225&amp;"|"&amp;$D225&amp;"|"&amp;J$14&amp;"|"&amp;"CY2021Q3",Spectrum!$Q:$Q,0)),"")</f>
        <v>22</v>
      </c>
      <c r="L225" s="115" t="n">
        <f aca="false">_xlfn.IFNA(ROUND(INDEX(Spectrum!$N:$N,MATCH(RIGHT($B225,13)&amp;"|"&amp;$C225&amp;"|"&amp;$D225&amp;"|"&amp;L$14&amp;"|"&amp;"CY2021Q3",Spectrum!$Q:$Q,0)),0),"")</f>
        <v>688</v>
      </c>
      <c r="M225" s="123" t="n">
        <f aca="false">IF(OR(SUM($H225)&lt;=0,SUM($L225)&lt;=0),"",SUM($L225)/$H225)</f>
        <v>0.895833333333333</v>
      </c>
      <c r="N225" s="115" t="str">
        <f aca="false">_xlfn.IFNA(ROUND(INDEX(Spectrum!$N:$N,MATCH(RIGHT($B225,13)&amp;"|"&amp;$C225&amp;"|"&amp;$D225&amp;"|"&amp;N$14&amp;"|"&amp;"CY2020Q4",Spectrum!$Q:$Q,0)),0),"")</f>
        <v/>
      </c>
      <c r="O225" s="123" t="str">
        <f aca="false">_xlfn.IFNA(INDEX(Spectrum!$P:$P,MATCH(RIGHT($B225,13)&amp;"|"&amp;$C225&amp;"|"&amp;$D225&amp;"|"&amp;N$14&amp;"|"&amp;"CY2020Q4",Spectrum!$Q:$Q,0)),"")</f>
        <v/>
      </c>
      <c r="P225" s="115" t="n">
        <f aca="false">_xlfn.IFNA(ROUND(INDEX(Spectrum!$N:$N,MATCH(RIGHT($B225,13)&amp;"|"&amp;$C225&amp;"|"&amp;$D225&amp;"|"&amp;P$14&amp;"|"&amp;"CY2021Q3",Spectrum!$Q:$Q,0)),0),"")</f>
        <v>650</v>
      </c>
      <c r="Q225" s="123" t="n">
        <f aca="false">_xlfn.IFNA(INDEX(Spectrum!$P:$P,MATCH(RIGHT($B225,13)&amp;"|"&amp;$C225&amp;"|"&amp;$D225&amp;"|"&amp;P$14&amp;"|"&amp;"CY2021Q3",Spectrum!$Q:$Q,0)),"")</f>
        <v>18</v>
      </c>
      <c r="R225" s="115"/>
      <c r="S225" s="123" t="str">
        <f aca="false">IF(OR(SUM($P225)&lt;=0,SUM($R225)&lt;=0),"",SUM($R225)/$P225)</f>
        <v/>
      </c>
      <c r="T225" s="139" t="n">
        <v>44</v>
      </c>
      <c r="U225" s="124" t="n">
        <v>44</v>
      </c>
      <c r="V225" s="124" t="str">
        <f aca="false">IF($U225-$T225=0,"",$U225-$T225)</f>
        <v/>
      </c>
      <c r="W225" s="123" t="n">
        <f aca="false">IF(LEFT($B225,4)="_Mil","",IFERROR(MIN(IF(SUM($N225)&lt;=0,SUM($U225)/SUM($P225),SUM($T225)/SUM($N225)),1),""))</f>
        <v>0.0676923076923077</v>
      </c>
      <c r="X225" s="123" t="n">
        <f aca="false">$W225</f>
        <v>0.0676923076923077</v>
      </c>
      <c r="Y225" s="123" t="n">
        <f aca="false">IFERROR(1/(1/INDEX(Spectrum!$N:$N,MATCH(RIGHT($B225,13)&amp;"|"&amp;$C225&amp;"|"&amp;$D225&amp;"|"&amp;Y$14&amp;"|"&amp;"CY2021Q3",Spectrum!$Q:$Q,0))),IF(SUM($H225)=0,"",MAX(SUM($P225),SUM($U225))/SUM($H225)))</f>
        <v>0.846354166666667</v>
      </c>
      <c r="Z225" s="123" t="n">
        <f aca="false">IF(SUM($Y225)=0,"",MAX(SUM($Y225),90%))</f>
        <v>0.9</v>
      </c>
      <c r="AA225" s="115" t="n">
        <f aca="false">IF(LEFT($B225,4)="_Mil","",ROUND(MAX(SUM($U225),SUM($P225))+IF(SUM($Z225)=0,0,MAX(SUM($Z225)-SUM($Y225),0)*SUM($H225)),0))</f>
        <v>691</v>
      </c>
      <c r="AB225" s="115" t="n">
        <f aca="false">IF(SUM($AA225)=0,"",ROUND(MAX(SUM($AA225)-MAX(SUM($P225),SUM($U225)),0),0))</f>
        <v>41</v>
      </c>
      <c r="AC225" s="126" t="str">
        <f aca="false">IF($C225="&lt;01",IFERROR(ROUND(INDEX(EID!$N:$N,MATCH($B225,EID!$B:$B,0))/2,0),""),"")</f>
        <v/>
      </c>
      <c r="AD225" s="115" t="n">
        <f aca="false">IF($C225="&lt;01",IF(SUM($AC225)=0,"",ROUND(SUM($AC225)/$AG225,0)),IF(SUM($AB225)=0,"",ROUND(MAX($X225,0)*SUM($AB225),0)))</f>
        <v>3</v>
      </c>
      <c r="AE225" s="115" t="n">
        <f aca="false">IF(AND(SUM($AD225)=0,SUM($U225)=0),"",ROUND(IF($C225="&lt;01",0,SUM($U225))+SUM($AD225),0))</f>
        <v>47</v>
      </c>
      <c r="AF225" s="122" t="n">
        <f aca="false">IF($C225="&lt;01","",100%)</f>
        <v>1</v>
      </c>
      <c r="AG225" s="123" t="n">
        <f aca="false">0.98</f>
        <v>0.98</v>
      </c>
      <c r="AH225" s="123" t="n">
        <f aca="false">0.98</f>
        <v>0.98</v>
      </c>
      <c r="AI225" s="124" t="n">
        <f aca="false">IF(OR($C225="&lt;01",SUM($U225)=0),"",ROUND(SUM($U225)*(1-$AH225),0))</f>
        <v>1</v>
      </c>
      <c r="AJ225" s="124" t="n">
        <f aca="false">IF(AND(SUM($AE225)=0,SUM($U225)=0),"",IF($C225="&lt;01",SUM($AD225),SUM($AE225) - ROUND(SUM($U225)*$AH225,0)))</f>
        <v>4</v>
      </c>
      <c r="AK225" s="124" t="n">
        <v>14</v>
      </c>
      <c r="AL225" s="124" t="n">
        <v>44</v>
      </c>
      <c r="AM225" s="115" t="n">
        <f aca="false">IF(AND(SUM($AD225)=0,SUM($U225)=0),"",IF($C225="&lt;01",SUM($AD225),ROUND(ROUND(SUM($AJ225)*$AF225,0)/$AG225,0)))</f>
        <v>4</v>
      </c>
      <c r="AN225" s="122" t="n">
        <f aca="false">0.7</f>
        <v>0.7</v>
      </c>
      <c r="AO225" s="123" t="n">
        <f aca="false">1</f>
        <v>1</v>
      </c>
      <c r="AP225" s="115" t="n">
        <f aca="false">IF(AND(SUM($U225)=0,SUM($AM225)=0),"",ROUND((SUM($AM225)*$AN225+IF($C225="&lt;01",0,$U225))*$AO225,0))</f>
        <v>47</v>
      </c>
      <c r="AQ225" s="122" t="n">
        <v>1</v>
      </c>
      <c r="AR225" s="123" t="n">
        <f aca="false">0.95</f>
        <v>0.95</v>
      </c>
      <c r="AS225" s="123" t="n">
        <f aca="false">0.95</f>
        <v>0.95</v>
      </c>
      <c r="AT225" s="115" t="n">
        <f aca="false">IF(SUM($AP225)=0,"",ROUND(SUM($AP225)*$AR225,0))</f>
        <v>45</v>
      </c>
      <c r="AU225" s="115" t="n">
        <f aca="false">IF(LEFT($B225,4)="_Mil","",ROUND(SUM($AA225)*SUM($AS225),0))</f>
        <v>656</v>
      </c>
      <c r="AV225" s="124" t="n">
        <f aca="false">IF(SUM($AU225)&lt;=0,"",MAX(SUM($AU225)-SUM($R225),0))</f>
        <v>656</v>
      </c>
      <c r="AW225" s="122" t="n">
        <f aca="false">0</f>
        <v>0</v>
      </c>
      <c r="AX225" s="124" t="n">
        <f aca="false">IF(SUM($AM225)=0,"",ROUND(SUM($AM225)*SUM($AW225),0))</f>
        <v>0</v>
      </c>
      <c r="AY225" s="124" t="n">
        <f aca="false">IF(SUM($AM225)=0,"",SUM($AM225)-SUM($AX225))</f>
        <v>4</v>
      </c>
      <c r="AZ225" s="123" t="n">
        <v>49</v>
      </c>
      <c r="BA225" s="123" t="n">
        <f aca="false">0.95</f>
        <v>0.95</v>
      </c>
      <c r="BB225" s="123"/>
      <c r="BC225" s="123" t="n">
        <f aca="false">IF(OR(SUM($AM225)&lt;=0,$C225="&lt;01"),"",MAX(IF(OR(SUM($Y225)&lt;70%,LEFT($B225,4)="_Mil"),30%,IF(SUM($Y225)&gt;=80%,75%,50%)),SUM($BB225)))</f>
        <v>0.75</v>
      </c>
      <c r="BD225" s="115" t="n">
        <f aca="false">IF($C225="&lt;01",IFERROR(ROUND(INDEX(EID!$M:$M,MATCH($B225,EID!$B:$B,0)),0)/2,""),IF(SUM($AY225)=0,"",ROUND(SUM($AY225)/SUM($BA225),0)))</f>
        <v>4</v>
      </c>
      <c r="BE225" s="115" t="n">
        <f aca="false">IF($C225="&lt;01","",IF(SUM($BD225)=0,"",ROUND(SUM($BD225)*SUM($BC225),0)))</f>
        <v>3</v>
      </c>
      <c r="BF225" s="115" t="str">
        <f aca="false">_xlfn.IFNA(INDEX(PMTCT!$AE:$AE,MATCH($E225,PMTCT!$E:$E,0)),"")</f>
        <v/>
      </c>
      <c r="BG225" s="115" t="str">
        <f aca="false">_xlfn.IFNA(INDEX(PMTCT!$AU:$AU,MATCH($E225,PMTCT!$E:$E,0)),"")</f>
        <v/>
      </c>
      <c r="BH225" s="115" t="n">
        <f aca="false">_xlfn.IFNA(INDEX(TB!$Q:$Q,MATCH($E225,TB!$E:$E,0)),"")</f>
        <v>-10800</v>
      </c>
      <c r="BI225" s="115" t="str">
        <f aca="false">_xlfn.IFNA(INDEX(VMMC!$AC:$AC,MATCH($E225,VMMC!$E:$E,0)),"")</f>
        <v/>
      </c>
      <c r="BJ225" s="115" t="str">
        <f aca="false">IF($C225="&lt;01",$BD225,"")</f>
        <v/>
      </c>
      <c r="BK225" s="115" t="n">
        <f aca="false">IF(SUM($BD225)=0,"",($BD225)-SUM($BE225:$BJ225))</f>
        <v>10801</v>
      </c>
      <c r="BL225" s="123" t="n">
        <f aca="false">IF(OR(SUM($BD225)=0,SUM($BE225)=0),"",SUM($BE225)/$BD225)</f>
        <v>0.75</v>
      </c>
      <c r="BM225" s="123" t="str">
        <f aca="false">IF(OR(SUM($BD225)=0,SUM($BF225)=0),"",SUM($BF225)/$BD225)</f>
        <v/>
      </c>
      <c r="BN225" s="123" t="str">
        <f aca="false">IF(OR(SUM($BD225)=0,SUM($BG225)=0),"",SUM($BG225)/$BD225)</f>
        <v/>
      </c>
      <c r="BO225" s="123" t="n">
        <f aca="false">IF(OR(SUM($BD225)=0,SUM($BH225)=0),"",SUM($BH225)/$BD225)</f>
        <v>-2700</v>
      </c>
      <c r="BP225" s="123" t="str">
        <f aca="false">IF(OR(SUM($BD225)=0,SUM($BI225)=0),"",SUM($BI225)/$BD225)</f>
        <v/>
      </c>
      <c r="BQ225" s="123" t="str">
        <f aca="false">IF(AND($C225="&lt;01",SUM($BJ225)&lt;&gt;0),$BJ225/SUM($BD225),"")</f>
        <v/>
      </c>
      <c r="BR225" s="123" t="n">
        <f aca="false">IF(OR(SUM($BD225)=0,SUM($BK225)=0),"",SUM($BK225)/$BD225)</f>
        <v>2700.25</v>
      </c>
      <c r="BS225" s="122" t="n">
        <f aca="false">IF(SUM($X225)&lt;=0,"",$X225)</f>
        <v>0.0676923076923077</v>
      </c>
      <c r="BT225" s="115" t="n">
        <f aca="false">IF(LEFT($B225,4)="_Mil","",MAX(SUM($L225)+ROUND(SUM($BD225)/IF(SUM($BS225)&lt;=0,1,SUM($BS225)),0),0))</f>
        <v>747</v>
      </c>
    </row>
    <row r="226" customFormat="false" ht="15" hidden="false" customHeight="false" outlineLevel="0" collapsed="false">
      <c r="A226" s="0" t="s">
        <v>149</v>
      </c>
      <c r="B226" s="0" t="s">
        <v>111</v>
      </c>
      <c r="C226" s="0" t="s">
        <v>77</v>
      </c>
      <c r="D226" s="0" t="s">
        <v>58</v>
      </c>
      <c r="E226" s="0" t="str">
        <f aca="false">B226&amp;"|"&amp;C226&amp;"|"&amp;D226</f>
        <v>Qacha's Nek [#SNU] [zTaMbxvQtJ6]|40-44|Male</v>
      </c>
      <c r="F226" s="115" t="n">
        <f aca="false">_xlfn.IFNA(ROUND(INDEX(Spectrum!$N:$N,MATCH(RIGHT($B226,13)&amp;"|"&amp;$C226&amp;"|"&amp;$D226&amp;"|"&amp;F$14&amp;"|"&amp;"CY2021Q3",Spectrum!$Q:$Q,0)),0),"")</f>
        <v>1658</v>
      </c>
      <c r="G226" s="123" t="n">
        <f aca="false">_xlfn.IFNA(INDEX(Spectrum!$P:$P,MATCH(RIGHT($B226,13)&amp;"|"&amp;$C226&amp;"|"&amp;$D226&amp;"|"&amp;F$14&amp;"|"&amp;"CY2021Q3",Spectrum!$Q:$Q,0)),"")</f>
        <v>32</v>
      </c>
      <c r="H226" s="115" t="n">
        <f aca="false">_xlfn.IFNA(ROUND(INDEX(Spectrum!$N:$N,MATCH(RIGHT($B226,13)&amp;"|"&amp;$C226&amp;"|"&amp;$D226&amp;"|"&amp;H$14&amp;"|"&amp;"CY2021Q3",Spectrum!$Q:$Q,0)),0),"")</f>
        <v>641</v>
      </c>
      <c r="I226" s="123" t="n">
        <f aca="false">_xlfn.IFNA(INDEX(Spectrum!$P:$P,MATCH(RIGHT($B226,13)&amp;"|"&amp;$C226&amp;"|"&amp;$D226&amp;"|"&amp;H$14&amp;"|"&amp;"CY2021Q3",Spectrum!$Q:$Q,0)),"")</f>
        <v>27</v>
      </c>
      <c r="J226" s="117" t="n">
        <f aca="false">_xlfn.IFNA(INDEX(Spectrum!$N:$N,MATCH(RIGHT($B226,13)&amp;"|"&amp;$C226&amp;"|"&amp;$D226&amp;"|"&amp;J$14&amp;"|"&amp;"CY2021Q3",Spectrum!$Q:$Q,0)),"")</f>
        <v>0.3867853</v>
      </c>
      <c r="K226" s="123" t="n">
        <f aca="false">_xlfn.IFNA(INDEX(Spectrum!$P:$P,MATCH(RIGHT($B226,13)&amp;"|"&amp;$C226&amp;"|"&amp;$D226&amp;"|"&amp;J$14&amp;"|"&amp;"CY2021Q3",Spectrum!$Q:$Q,0)),"")</f>
        <v>4</v>
      </c>
      <c r="L226" s="115" t="n">
        <f aca="false">_xlfn.IFNA(ROUND(INDEX(Spectrum!$N:$N,MATCH(RIGHT($B226,13)&amp;"|"&amp;$C226&amp;"|"&amp;$D226&amp;"|"&amp;L$14&amp;"|"&amp;"CY2021Q3",Spectrum!$Q:$Q,0)),0),"")</f>
        <v>463</v>
      </c>
      <c r="M226" s="123" t="n">
        <f aca="false">IF(OR(SUM($H226)&lt;=0,SUM($L226)&lt;=0),"",SUM($L226)/$H226)</f>
        <v>0.722308892355694</v>
      </c>
      <c r="N226" s="115" t="str">
        <f aca="false">_xlfn.IFNA(ROUND(INDEX(Spectrum!$N:$N,MATCH(RIGHT($B226,13)&amp;"|"&amp;$C226&amp;"|"&amp;$D226&amp;"|"&amp;N$14&amp;"|"&amp;"CY2020Q4",Spectrum!$Q:$Q,0)),0),"")</f>
        <v/>
      </c>
      <c r="O226" s="123" t="str">
        <f aca="false">_xlfn.IFNA(INDEX(Spectrum!$P:$P,MATCH(RIGHT($B226,13)&amp;"|"&amp;$C226&amp;"|"&amp;$D226&amp;"|"&amp;N$14&amp;"|"&amp;"CY2020Q4",Spectrum!$Q:$Q,0)),"")</f>
        <v/>
      </c>
      <c r="P226" s="115" t="n">
        <f aca="false">_xlfn.IFNA(ROUND(INDEX(Spectrum!$N:$N,MATCH(RIGHT($B226,13)&amp;"|"&amp;$C226&amp;"|"&amp;$D226&amp;"|"&amp;P$14&amp;"|"&amp;"CY2021Q3",Spectrum!$Q:$Q,0)),0),"")</f>
        <v>397</v>
      </c>
      <c r="Q226" s="123" t="n">
        <f aca="false">_xlfn.IFNA(INDEX(Spectrum!$P:$P,MATCH(RIGHT($B226,13)&amp;"|"&amp;$C226&amp;"|"&amp;$D226&amp;"|"&amp;P$14&amp;"|"&amp;"CY2021Q3",Spectrum!$Q:$Q,0)),"")</f>
        <v>4</v>
      </c>
      <c r="R226" s="115"/>
      <c r="S226" s="123" t="str">
        <f aca="false">IF(OR(SUM($P226)&lt;=0,SUM($R226)&lt;=0),"",SUM($R226)/$P226)</f>
        <v/>
      </c>
      <c r="T226" s="139" t="n">
        <v>16</v>
      </c>
      <c r="U226" s="124" t="n">
        <v>28</v>
      </c>
      <c r="V226" s="124" t="n">
        <f aca="false">IF($U226-$T226=0,"",$U226-$T226)</f>
        <v>12</v>
      </c>
      <c r="W226" s="123" t="n">
        <f aca="false">IF(LEFT($B226,4)="_Mil","",IFERROR(MIN(IF(SUM($N226)&lt;=0,SUM($U226)/SUM($P226),SUM($T226)/SUM($N226)),1),""))</f>
        <v>0.0705289672544081</v>
      </c>
      <c r="X226" s="123" t="n">
        <f aca="false">$W226</f>
        <v>0.0705289672544081</v>
      </c>
      <c r="Y226" s="123" t="n">
        <f aca="false">IFERROR(1/(1/INDEX(Spectrum!$N:$N,MATCH(RIGHT($B226,13)&amp;"|"&amp;$C226&amp;"|"&amp;$D226&amp;"|"&amp;Y$14&amp;"|"&amp;"CY2021Q3",Spectrum!$Q:$Q,0))),IF(SUM($H226)=0,"",MAX(SUM($P226),SUM($U226))/SUM($H226)))</f>
        <v>0.619344773790952</v>
      </c>
      <c r="Z226" s="123" t="n">
        <f aca="false">IF(SUM($Y226)=0,"",MAX(SUM($Y226),90%))</f>
        <v>0.9</v>
      </c>
      <c r="AA226" s="115" t="n">
        <f aca="false">IF(LEFT($B226,4)="_Mil","",ROUND(MAX(SUM($U226),SUM($P226))+IF(SUM($Z226)=0,0,MAX(SUM($Z226)-SUM($Y226),0)*SUM($H226)),0))</f>
        <v>577</v>
      </c>
      <c r="AB226" s="115" t="n">
        <f aca="false">IF(SUM($AA226)=0,"",ROUND(MAX(SUM($AA226)-MAX(SUM($P226),SUM($U226)),0),0))</f>
        <v>180</v>
      </c>
      <c r="AC226" s="126" t="str">
        <f aca="false">IF($C226="&lt;01",IFERROR(ROUND(INDEX(EID!$N:$N,MATCH($B226,EID!$B:$B,0))/2,0),""),"")</f>
        <v/>
      </c>
      <c r="AD226" s="115" t="n">
        <f aca="false">IF($C226="&lt;01",IF(SUM($AC226)=0,"",ROUND(SUM($AC226)/$AG226,0)),IF(SUM($AB226)=0,"",ROUND(MAX($X226,0)*SUM($AB226),0)))</f>
        <v>13</v>
      </c>
      <c r="AE226" s="115" t="n">
        <f aca="false">IF(AND(SUM($AD226)=0,SUM($U226)=0),"",ROUND(IF($C226="&lt;01",0,SUM($U226))+SUM($AD226),0))</f>
        <v>41</v>
      </c>
      <c r="AF226" s="122" t="n">
        <f aca="false">IF($C226="&lt;01","",100%)</f>
        <v>1</v>
      </c>
      <c r="AG226" s="123" t="n">
        <f aca="false">0.98</f>
        <v>0.98</v>
      </c>
      <c r="AH226" s="123" t="n">
        <f aca="false">0.98</f>
        <v>0.98</v>
      </c>
      <c r="AI226" s="124" t="n">
        <f aca="false">IF(OR($C226="&lt;01",SUM($U226)=0),"",ROUND(SUM($U226)*(1-$AH226),0))</f>
        <v>1</v>
      </c>
      <c r="AJ226" s="124" t="n">
        <f aca="false">IF(AND(SUM($AE226)=0,SUM($U226)=0),"",IF($C226="&lt;01",SUM($AD226),SUM($AE226) - ROUND(SUM($U226)*$AH226,0)))</f>
        <v>14</v>
      </c>
      <c r="AK226" s="124" t="n">
        <v>27</v>
      </c>
      <c r="AL226" s="124" t="n">
        <v>13</v>
      </c>
      <c r="AM226" s="115" t="n">
        <f aca="false">IF(AND(SUM($AD226)=0,SUM($U226)=0),"",IF($C226="&lt;01",SUM($AD226),ROUND(ROUND(SUM($AJ226)*$AF226,0)/$AG226,0)))</f>
        <v>14</v>
      </c>
      <c r="AN226" s="122" t="n">
        <f aca="false">0.7</f>
        <v>0.7</v>
      </c>
      <c r="AO226" s="123" t="n">
        <f aca="false">1</f>
        <v>1</v>
      </c>
      <c r="AP226" s="115" t="n">
        <f aca="false">IF(AND(SUM($U226)=0,SUM($AM226)=0),"",ROUND((SUM($AM226)*$AN226+IF($C226="&lt;01",0,$U226))*$AO226,0))</f>
        <v>38</v>
      </c>
      <c r="AQ226" s="122" t="n">
        <v>10</v>
      </c>
      <c r="AR226" s="123" t="n">
        <f aca="false">0.95</f>
        <v>0.95</v>
      </c>
      <c r="AS226" s="123" t="n">
        <f aca="false">0.95</f>
        <v>0.95</v>
      </c>
      <c r="AT226" s="115" t="n">
        <f aca="false">IF(SUM($AP226)=0,"",ROUND(SUM($AP226)*$AR226,0))</f>
        <v>36</v>
      </c>
      <c r="AU226" s="115" t="n">
        <f aca="false">IF(LEFT($B226,4)="_Mil","",ROUND(SUM($AA226)*SUM($AS226),0))</f>
        <v>548</v>
      </c>
      <c r="AV226" s="124" t="n">
        <f aca="false">IF(SUM($AU226)&lt;=0,"",MAX(SUM($AU226)-SUM($R226),0))</f>
        <v>548</v>
      </c>
      <c r="AW226" s="122" t="n">
        <f aca="false">0</f>
        <v>0</v>
      </c>
      <c r="AX226" s="124" t="n">
        <f aca="false">IF(SUM($AM226)=0,"",ROUND(SUM($AM226)*SUM($AW226),0))</f>
        <v>0</v>
      </c>
      <c r="AY226" s="124" t="n">
        <f aca="false">IF(SUM($AM226)=0,"",SUM($AM226)-SUM($AX226))</f>
        <v>14</v>
      </c>
      <c r="AZ226" s="123" t="n">
        <v>36</v>
      </c>
      <c r="BA226" s="123" t="n">
        <f aca="false">0.95</f>
        <v>0.95</v>
      </c>
      <c r="BB226" s="123"/>
      <c r="BC226" s="123" t="n">
        <f aca="false">IF(OR(SUM($AM226)&lt;=0,$C226="&lt;01"),"",MAX(IF(OR(SUM($Y226)&lt;70%,LEFT($B226,4)="_Mil"),30%,IF(SUM($Y226)&gt;=80%,75%,50%)),SUM($BB226)))</f>
        <v>0.3</v>
      </c>
      <c r="BD226" s="115" t="n">
        <f aca="false">IF($C226="&lt;01",IFERROR(ROUND(INDEX(EID!$M:$M,MATCH($B226,EID!$B:$B,0)),0)/2,""),IF(SUM($AY226)=0,"",ROUND(SUM($AY226)/SUM($BA226),0)))</f>
        <v>15</v>
      </c>
      <c r="BE226" s="115" t="n">
        <f aca="false">IF($C226="&lt;01","",IF(SUM($BD226)=0,"",ROUND(SUM($BD226)*SUM($BC226),0)))</f>
        <v>5</v>
      </c>
      <c r="BF226" s="115" t="str">
        <f aca="false">_xlfn.IFNA(INDEX(PMTCT!$AE:$AE,MATCH($E226,PMTCT!$E:$E,0)),"")</f>
        <v/>
      </c>
      <c r="BG226" s="115" t="str">
        <f aca="false">_xlfn.IFNA(INDEX(PMTCT!$AU:$AU,MATCH($E226,PMTCT!$E:$E,0)),"")</f>
        <v/>
      </c>
      <c r="BH226" s="115" t="n">
        <f aca="false">_xlfn.IFNA(INDEX(TB!$Q:$Q,MATCH($E226,TB!$E:$E,0)),"")</f>
        <v>-1500</v>
      </c>
      <c r="BI226" s="115" t="str">
        <f aca="false">_xlfn.IFNA(INDEX(VMMC!$AC:$AC,MATCH($E226,VMMC!$E:$E,0)),"")</f>
        <v/>
      </c>
      <c r="BJ226" s="115" t="str">
        <f aca="false">IF($C226="&lt;01",$BD226,"")</f>
        <v/>
      </c>
      <c r="BK226" s="115" t="n">
        <f aca="false">IF(SUM($BD226)=0,"",($BD226)-SUM($BE226:$BJ226))</f>
        <v>1510</v>
      </c>
      <c r="BL226" s="123" t="n">
        <f aca="false">IF(OR(SUM($BD226)=0,SUM($BE226)=0),"",SUM($BE226)/$BD226)</f>
        <v>0.333333333333333</v>
      </c>
      <c r="BM226" s="123" t="str">
        <f aca="false">IF(OR(SUM($BD226)=0,SUM($BF226)=0),"",SUM($BF226)/$BD226)</f>
        <v/>
      </c>
      <c r="BN226" s="123" t="str">
        <f aca="false">IF(OR(SUM($BD226)=0,SUM($BG226)=0),"",SUM($BG226)/$BD226)</f>
        <v/>
      </c>
      <c r="BO226" s="123" t="n">
        <f aca="false">IF(OR(SUM($BD226)=0,SUM($BH226)=0),"",SUM($BH226)/$BD226)</f>
        <v>-100</v>
      </c>
      <c r="BP226" s="123" t="str">
        <f aca="false">IF(OR(SUM($BD226)=0,SUM($BI226)=0),"",SUM($BI226)/$BD226)</f>
        <v/>
      </c>
      <c r="BQ226" s="123" t="str">
        <f aca="false">IF(AND($C226="&lt;01",SUM($BJ226)&lt;&gt;0),$BJ226/SUM($BD226),"")</f>
        <v/>
      </c>
      <c r="BR226" s="123" t="n">
        <f aca="false">IF(OR(SUM($BD226)=0,SUM($BK226)=0),"",SUM($BK226)/$BD226)</f>
        <v>100.666666666667</v>
      </c>
      <c r="BS226" s="122" t="n">
        <f aca="false">IF(SUM($X226)&lt;=0,"",$X226)</f>
        <v>0.0705289672544081</v>
      </c>
      <c r="BT226" s="115" t="n">
        <f aca="false">IF(LEFT($B226,4)="_Mil","",MAX(SUM($L226)+ROUND(SUM($BD226)/IF(SUM($BS226)&lt;=0,1,SUM($BS226)),0),0))</f>
        <v>676</v>
      </c>
    </row>
    <row r="227" customFormat="false" ht="15" hidden="false" customHeight="false" outlineLevel="0" collapsed="false">
      <c r="A227" s="0" t="s">
        <v>149</v>
      </c>
      <c r="B227" s="0" t="s">
        <v>111</v>
      </c>
      <c r="C227" s="0" t="s">
        <v>80</v>
      </c>
      <c r="D227" s="0" t="s">
        <v>56</v>
      </c>
      <c r="E227" s="0" t="str">
        <f aca="false">B227&amp;"|"&amp;C227&amp;"|"&amp;D227</f>
        <v>Qacha's Nek [#SNU] [zTaMbxvQtJ6]|45-49|Female</v>
      </c>
      <c r="F227" s="115" t="n">
        <f aca="false">_xlfn.IFNA(ROUND(INDEX(Spectrum!$N:$N,MATCH(RIGHT($B227,13)&amp;"|"&amp;$C227&amp;"|"&amp;$D227&amp;"|"&amp;F$14&amp;"|"&amp;"CY2021Q3",Spectrum!$Q:$Q,0)),0),"")</f>
        <v>1272</v>
      </c>
      <c r="G227" s="123" t="n">
        <f aca="false">_xlfn.IFNA(INDEX(Spectrum!$P:$P,MATCH(RIGHT($B227,13)&amp;"|"&amp;$C227&amp;"|"&amp;$D227&amp;"|"&amp;F$14&amp;"|"&amp;"CY2021Q3",Spectrum!$Q:$Q,0)),"")</f>
        <v>30</v>
      </c>
      <c r="H227" s="115" t="n">
        <f aca="false">_xlfn.IFNA(ROUND(INDEX(Spectrum!$N:$N,MATCH(RIGHT($B227,13)&amp;"|"&amp;$C227&amp;"|"&amp;$D227&amp;"|"&amp;H$14&amp;"|"&amp;"CY2021Q3",Spectrum!$Q:$Q,0)),0),"")</f>
        <v>576</v>
      </c>
      <c r="I227" s="123" t="n">
        <f aca="false">_xlfn.IFNA(INDEX(Spectrum!$P:$P,MATCH(RIGHT($B227,13)&amp;"|"&amp;$C227&amp;"|"&amp;$D227&amp;"|"&amp;H$14&amp;"|"&amp;"CY2021Q3",Spectrum!$Q:$Q,0)),"")</f>
        <v>12</v>
      </c>
      <c r="J227" s="117" t="n">
        <f aca="false">_xlfn.IFNA(INDEX(Spectrum!$N:$N,MATCH(RIGHT($B227,13)&amp;"|"&amp;$C227&amp;"|"&amp;$D227&amp;"|"&amp;J$14&amp;"|"&amp;"CY2021Q3",Spectrum!$Q:$Q,0)),"")</f>
        <v>0.4531533</v>
      </c>
      <c r="K227" s="123" t="n">
        <f aca="false">_xlfn.IFNA(INDEX(Spectrum!$P:$P,MATCH(RIGHT($B227,13)&amp;"|"&amp;$C227&amp;"|"&amp;$D227&amp;"|"&amp;J$14&amp;"|"&amp;"CY2021Q3",Spectrum!$Q:$Q,0)),"")</f>
        <v>31</v>
      </c>
      <c r="L227" s="115" t="n">
        <f aca="false">_xlfn.IFNA(ROUND(INDEX(Spectrum!$N:$N,MATCH(RIGHT($B227,13)&amp;"|"&amp;$C227&amp;"|"&amp;$D227&amp;"|"&amp;L$14&amp;"|"&amp;"CY2021Q3",Spectrum!$Q:$Q,0)),0),"")</f>
        <v>553</v>
      </c>
      <c r="M227" s="123" t="n">
        <f aca="false">IF(OR(SUM($H227)&lt;=0,SUM($L227)&lt;=0),"",SUM($L227)/$H227)</f>
        <v>0.960069444444444</v>
      </c>
      <c r="N227" s="115" t="str">
        <f aca="false">_xlfn.IFNA(ROUND(INDEX(Spectrum!$N:$N,MATCH(RIGHT($B227,13)&amp;"|"&amp;$C227&amp;"|"&amp;$D227&amp;"|"&amp;N$14&amp;"|"&amp;"CY2020Q4",Spectrum!$Q:$Q,0)),0),"")</f>
        <v/>
      </c>
      <c r="O227" s="123" t="str">
        <f aca="false">_xlfn.IFNA(INDEX(Spectrum!$P:$P,MATCH(RIGHT($B227,13)&amp;"|"&amp;$C227&amp;"|"&amp;$D227&amp;"|"&amp;N$14&amp;"|"&amp;"CY2020Q4",Spectrum!$Q:$Q,0)),"")</f>
        <v/>
      </c>
      <c r="P227" s="115" t="n">
        <f aca="false">_xlfn.IFNA(ROUND(INDEX(Spectrum!$N:$N,MATCH(RIGHT($B227,13)&amp;"|"&amp;$C227&amp;"|"&amp;$D227&amp;"|"&amp;P$14&amp;"|"&amp;"CY2021Q3",Spectrum!$Q:$Q,0)),0),"")</f>
        <v>531</v>
      </c>
      <c r="Q227" s="123" t="n">
        <f aca="false">_xlfn.IFNA(INDEX(Spectrum!$P:$P,MATCH(RIGHT($B227,13)&amp;"|"&amp;$C227&amp;"|"&amp;$D227&amp;"|"&amp;P$14&amp;"|"&amp;"CY2021Q3",Spectrum!$Q:$Q,0)),"")</f>
        <v>43</v>
      </c>
      <c r="R227" s="115"/>
      <c r="S227" s="123" t="str">
        <f aca="false">IF(OR(SUM($P227)&lt;=0,SUM($R227)&lt;=0),"",SUM($R227)/$P227)</f>
        <v/>
      </c>
      <c r="T227" s="139" t="n">
        <v>7</v>
      </c>
      <c r="U227" s="124" t="n">
        <v>39</v>
      </c>
      <c r="V227" s="124" t="n">
        <f aca="false">IF($U227-$T227=0,"",$U227-$T227)</f>
        <v>32</v>
      </c>
      <c r="W227" s="123" t="n">
        <f aca="false">IF(LEFT($B227,4)="_Mil","",IFERROR(MIN(IF(SUM($N227)&lt;=0,SUM($U227)/SUM($P227),SUM($T227)/SUM($N227)),1),""))</f>
        <v>0.0734463276836158</v>
      </c>
      <c r="X227" s="123" t="n">
        <f aca="false">$W227</f>
        <v>0.0734463276836158</v>
      </c>
      <c r="Y227" s="123" t="n">
        <f aca="false">IFERROR(1/(1/INDEX(Spectrum!$N:$N,MATCH(RIGHT($B227,13)&amp;"|"&amp;$C227&amp;"|"&amp;$D227&amp;"|"&amp;Y$14&amp;"|"&amp;"CY2021Q3",Spectrum!$Q:$Q,0))),IF(SUM($H227)=0,"",MAX(SUM($P227),SUM($U227))/SUM($H227)))</f>
        <v>0.921875</v>
      </c>
      <c r="Z227" s="123" t="n">
        <f aca="false">IF(SUM($Y227)=0,"",MAX(SUM($Y227),90%))</f>
        <v>0.921875</v>
      </c>
      <c r="AA227" s="115" t="n">
        <f aca="false">IF(LEFT($B227,4)="_Mil","",ROUND(MAX(SUM($U227),SUM($P227))+IF(SUM($Z227)=0,0,MAX(SUM($Z227)-SUM($Y227),0)*SUM($H227)),0))</f>
        <v>531</v>
      </c>
      <c r="AB227" s="115" t="n">
        <f aca="false">IF(SUM($AA227)=0,"",ROUND(MAX(SUM($AA227)-MAX(SUM($P227),SUM($U227)),0),0))</f>
        <v>0</v>
      </c>
      <c r="AC227" s="126" t="str">
        <f aca="false">IF($C227="&lt;01",IFERROR(ROUND(INDEX(EID!$N:$N,MATCH($B227,EID!$B:$B,0))/2,0),""),"")</f>
        <v/>
      </c>
      <c r="AD227" s="115" t="str">
        <f aca="false">IF($C227="&lt;01",IF(SUM($AC227)=0,"",ROUND(SUM($AC227)/$AG227,0)),IF(SUM($AB227)=0,"",ROUND(MAX($X227,0)*SUM($AB227),0)))</f>
        <v/>
      </c>
      <c r="AE227" s="115" t="n">
        <f aca="false">IF(AND(SUM($AD227)=0,SUM($U227)=0),"",ROUND(IF($C227="&lt;01",0,SUM($U227))+SUM($AD227),0))</f>
        <v>39</v>
      </c>
      <c r="AF227" s="122" t="n">
        <f aca="false">IF($C227="&lt;01","",100%)</f>
        <v>1</v>
      </c>
      <c r="AG227" s="123" t="n">
        <f aca="false">0.98</f>
        <v>0.98</v>
      </c>
      <c r="AH227" s="123" t="n">
        <f aca="false">0.98</f>
        <v>0.98</v>
      </c>
      <c r="AI227" s="124" t="n">
        <f aca="false">IF(OR($C227="&lt;01",SUM($U227)=0),"",ROUND(SUM($U227)*(1-$AH227),0))</f>
        <v>1</v>
      </c>
      <c r="AJ227" s="124" t="n">
        <f aca="false">IF(AND(SUM($AE227)=0,SUM($U227)=0),"",IF($C227="&lt;01",SUM($AD227),SUM($AE227) - ROUND(SUM($U227)*$AH227,0)))</f>
        <v>1</v>
      </c>
      <c r="AK227" s="124" t="n">
        <v>7</v>
      </c>
      <c r="AL227" s="124" t="n">
        <v>22</v>
      </c>
      <c r="AM227" s="115" t="n">
        <f aca="false">IF(AND(SUM($AD227)=0,SUM($U227)=0),"",IF($C227="&lt;01",SUM($AD227),ROUND(ROUND(SUM($AJ227)*$AF227,0)/$AG227,0)))</f>
        <v>1</v>
      </c>
      <c r="AN227" s="122" t="n">
        <f aca="false">0.7</f>
        <v>0.7</v>
      </c>
      <c r="AO227" s="123" t="n">
        <f aca="false">1</f>
        <v>1</v>
      </c>
      <c r="AP227" s="115" t="n">
        <f aca="false">IF(AND(SUM($U227)=0,SUM($AM227)=0),"",ROUND((SUM($AM227)*$AN227+IF($C227="&lt;01",0,$U227))*$AO227,0))</f>
        <v>40</v>
      </c>
      <c r="AQ227" s="122" t="n">
        <v>1</v>
      </c>
      <c r="AR227" s="123" t="n">
        <f aca="false">0.95</f>
        <v>0.95</v>
      </c>
      <c r="AS227" s="123" t="n">
        <f aca="false">0.95</f>
        <v>0.95</v>
      </c>
      <c r="AT227" s="115" t="n">
        <f aca="false">IF(SUM($AP227)=0,"",ROUND(SUM($AP227)*$AR227,0))</f>
        <v>38</v>
      </c>
      <c r="AU227" s="115" t="n">
        <f aca="false">IF(LEFT($B227,4)="_Mil","",ROUND(SUM($AA227)*SUM($AS227),0))</f>
        <v>504</v>
      </c>
      <c r="AV227" s="124" t="n">
        <f aca="false">IF(SUM($AU227)&lt;=0,"",MAX(SUM($AU227)-SUM($R227),0))</f>
        <v>504</v>
      </c>
      <c r="AW227" s="122" t="n">
        <f aca="false">0</f>
        <v>0</v>
      </c>
      <c r="AX227" s="124" t="n">
        <f aca="false">IF(SUM($AM227)=0,"",ROUND(SUM($AM227)*SUM($AW227),0))</f>
        <v>0</v>
      </c>
      <c r="AY227" s="124" t="n">
        <f aca="false">IF(SUM($AM227)=0,"",SUM($AM227)-SUM($AX227))</f>
        <v>1</v>
      </c>
      <c r="AZ227" s="123" t="n">
        <v>40</v>
      </c>
      <c r="BA227" s="123" t="n">
        <f aca="false">0.95</f>
        <v>0.95</v>
      </c>
      <c r="BB227" s="123"/>
      <c r="BC227" s="123" t="n">
        <f aca="false">IF(OR(SUM($AM227)&lt;=0,$C227="&lt;01"),"",MAX(IF(OR(SUM($Y227)&lt;70%,LEFT($B227,4)="_Mil"),30%,IF(SUM($Y227)&gt;=80%,75%,50%)),SUM($BB227)))</f>
        <v>0.75</v>
      </c>
      <c r="BD227" s="115" t="n">
        <f aca="false">IF($C227="&lt;01",IFERROR(ROUND(INDEX(EID!$M:$M,MATCH($B227,EID!$B:$B,0)),0)/2,""),IF(SUM($AY227)=0,"",ROUND(SUM($AY227)/SUM($BA227),0)))</f>
        <v>1</v>
      </c>
      <c r="BE227" s="115" t="n">
        <f aca="false">IF($C227="&lt;01","",IF(SUM($BD227)=0,"",ROUND(SUM($BD227)*SUM($BC227),0)))</f>
        <v>1</v>
      </c>
      <c r="BF227" s="115" t="str">
        <f aca="false">_xlfn.IFNA(INDEX(PMTCT!$AE:$AE,MATCH($E227,PMTCT!$E:$E,0)),"")</f>
        <v/>
      </c>
      <c r="BG227" s="115" t="str">
        <f aca="false">_xlfn.IFNA(INDEX(PMTCT!$AU:$AU,MATCH($E227,PMTCT!$E:$E,0)),"")</f>
        <v/>
      </c>
      <c r="BH227" s="115" t="n">
        <f aca="false">_xlfn.IFNA(INDEX(TB!$Q:$Q,MATCH($E227,TB!$E:$E,0)),"")</f>
        <v>-25088</v>
      </c>
      <c r="BI227" s="115" t="str">
        <f aca="false">_xlfn.IFNA(INDEX(VMMC!$AC:$AC,MATCH($E227,VMMC!$E:$E,0)),"")</f>
        <v/>
      </c>
      <c r="BJ227" s="115" t="str">
        <f aca="false">IF($C227="&lt;01",$BD227,"")</f>
        <v/>
      </c>
      <c r="BK227" s="115" t="n">
        <f aca="false">IF(SUM($BD227)=0,"",($BD227)-SUM($BE227:$BJ227))</f>
        <v>25088</v>
      </c>
      <c r="BL227" s="123" t="n">
        <f aca="false">IF(OR(SUM($BD227)=0,SUM($BE227)=0),"",SUM($BE227)/$BD227)</f>
        <v>1</v>
      </c>
      <c r="BM227" s="123" t="str">
        <f aca="false">IF(OR(SUM($BD227)=0,SUM($BF227)=0),"",SUM($BF227)/$BD227)</f>
        <v/>
      </c>
      <c r="BN227" s="123" t="str">
        <f aca="false">IF(OR(SUM($BD227)=0,SUM($BG227)=0),"",SUM($BG227)/$BD227)</f>
        <v/>
      </c>
      <c r="BO227" s="123" t="n">
        <f aca="false">IF(OR(SUM($BD227)=0,SUM($BH227)=0),"",SUM($BH227)/$BD227)</f>
        <v>-25088</v>
      </c>
      <c r="BP227" s="123" t="str">
        <f aca="false">IF(OR(SUM($BD227)=0,SUM($BI227)=0),"",SUM($BI227)/$BD227)</f>
        <v/>
      </c>
      <c r="BQ227" s="123" t="str">
        <f aca="false">IF(AND($C227="&lt;01",SUM($BJ227)&lt;&gt;0),$BJ227/SUM($BD227),"")</f>
        <v/>
      </c>
      <c r="BR227" s="123" t="n">
        <f aca="false">IF(OR(SUM($BD227)=0,SUM($BK227)=0),"",SUM($BK227)/$BD227)</f>
        <v>25088</v>
      </c>
      <c r="BS227" s="122" t="n">
        <f aca="false">IF(SUM($X227)&lt;=0,"",$X227)</f>
        <v>0.0734463276836158</v>
      </c>
      <c r="BT227" s="115" t="n">
        <f aca="false">IF(LEFT($B227,4)="_Mil","",MAX(SUM($L227)+ROUND(SUM($BD227)/IF(SUM($BS227)&lt;=0,1,SUM($BS227)),0),0))</f>
        <v>567</v>
      </c>
    </row>
    <row r="228" customFormat="false" ht="15" hidden="false" customHeight="false" outlineLevel="0" collapsed="false">
      <c r="A228" s="0" t="s">
        <v>149</v>
      </c>
      <c r="B228" s="0" t="s">
        <v>111</v>
      </c>
      <c r="C228" s="0" t="s">
        <v>80</v>
      </c>
      <c r="D228" s="0" t="s">
        <v>58</v>
      </c>
      <c r="E228" s="0" t="str">
        <f aca="false">B228&amp;"|"&amp;C228&amp;"|"&amp;D228</f>
        <v>Qacha's Nek [#SNU] [zTaMbxvQtJ6]|45-49|Male</v>
      </c>
      <c r="F228" s="115" t="n">
        <f aca="false">_xlfn.IFNA(ROUND(INDEX(Spectrum!$N:$N,MATCH(RIGHT($B228,13)&amp;"|"&amp;$C228&amp;"|"&amp;$D228&amp;"|"&amp;F$14&amp;"|"&amp;"CY2021Q3",Spectrum!$Q:$Q,0)),0),"")</f>
        <v>1210</v>
      </c>
      <c r="G228" s="123" t="n">
        <f aca="false">_xlfn.IFNA(INDEX(Spectrum!$P:$P,MATCH(RIGHT($B228,13)&amp;"|"&amp;$C228&amp;"|"&amp;$D228&amp;"|"&amp;F$14&amp;"|"&amp;"CY2021Q3",Spectrum!$Q:$Q,0)),"")</f>
        <v>39</v>
      </c>
      <c r="H228" s="115" t="n">
        <f aca="false">_xlfn.IFNA(ROUND(INDEX(Spectrum!$N:$N,MATCH(RIGHT($B228,13)&amp;"|"&amp;$C228&amp;"|"&amp;$D228&amp;"|"&amp;H$14&amp;"|"&amp;"CY2021Q3",Spectrum!$Q:$Q,0)),0),"")</f>
        <v>512</v>
      </c>
      <c r="I228" s="123" t="n">
        <f aca="false">_xlfn.IFNA(INDEX(Spectrum!$P:$P,MATCH(RIGHT($B228,13)&amp;"|"&amp;$C228&amp;"|"&amp;$D228&amp;"|"&amp;H$14&amp;"|"&amp;"CY2021Q3",Spectrum!$Q:$Q,0)),"")</f>
        <v>25</v>
      </c>
      <c r="J228" s="117" t="n">
        <f aca="false">_xlfn.IFNA(INDEX(Spectrum!$N:$N,MATCH(RIGHT($B228,13)&amp;"|"&amp;$C228&amp;"|"&amp;$D228&amp;"|"&amp;J$14&amp;"|"&amp;"CY2021Q3",Spectrum!$Q:$Q,0)),"")</f>
        <v>0.4229576</v>
      </c>
      <c r="K228" s="123" t="n">
        <f aca="false">_xlfn.IFNA(INDEX(Spectrum!$P:$P,MATCH(RIGHT($B228,13)&amp;"|"&amp;$C228&amp;"|"&amp;$D228&amp;"|"&amp;J$14&amp;"|"&amp;"CY2021Q3",Spectrum!$Q:$Q,0)),"")</f>
        <v>31</v>
      </c>
      <c r="L228" s="115" t="n">
        <f aca="false">_xlfn.IFNA(ROUND(INDEX(Spectrum!$N:$N,MATCH(RIGHT($B228,13)&amp;"|"&amp;$C228&amp;"|"&amp;$D228&amp;"|"&amp;L$14&amp;"|"&amp;"CY2021Q3",Spectrum!$Q:$Q,0)),0),"")</f>
        <v>383</v>
      </c>
      <c r="M228" s="123" t="n">
        <f aca="false">IF(OR(SUM($H228)&lt;=0,SUM($L228)&lt;=0),"",SUM($L228)/$H228)</f>
        <v>0.748046875</v>
      </c>
      <c r="N228" s="115" t="str">
        <f aca="false">_xlfn.IFNA(ROUND(INDEX(Spectrum!$N:$N,MATCH(RIGHT($B228,13)&amp;"|"&amp;$C228&amp;"|"&amp;$D228&amp;"|"&amp;N$14&amp;"|"&amp;"CY2020Q4",Spectrum!$Q:$Q,0)),0),"")</f>
        <v/>
      </c>
      <c r="O228" s="123" t="str">
        <f aca="false">_xlfn.IFNA(INDEX(Spectrum!$P:$P,MATCH(RIGHT($B228,13)&amp;"|"&amp;$C228&amp;"|"&amp;$D228&amp;"|"&amp;N$14&amp;"|"&amp;"CY2020Q4",Spectrum!$Q:$Q,0)),"")</f>
        <v/>
      </c>
      <c r="P228" s="115" t="n">
        <f aca="false">_xlfn.IFNA(ROUND(INDEX(Spectrum!$N:$N,MATCH(RIGHT($B228,13)&amp;"|"&amp;$C228&amp;"|"&amp;$D228&amp;"|"&amp;P$14&amp;"|"&amp;"CY2021Q3",Spectrum!$Q:$Q,0)),0),"")</f>
        <v>347</v>
      </c>
      <c r="Q228" s="123" t="n">
        <f aca="false">_xlfn.IFNA(INDEX(Spectrum!$P:$P,MATCH(RIGHT($B228,13)&amp;"|"&amp;$C228&amp;"|"&amp;$D228&amp;"|"&amp;P$14&amp;"|"&amp;"CY2021Q3",Spectrum!$Q:$Q,0)),"")</f>
        <v>36</v>
      </c>
      <c r="R228" s="115"/>
      <c r="S228" s="123" t="str">
        <f aca="false">IF(OR(SUM($P228)&lt;=0,SUM($R228)&lt;=0),"",SUM($R228)/$P228)</f>
        <v/>
      </c>
      <c r="T228" s="139" t="n">
        <v>15</v>
      </c>
      <c r="U228" s="124" t="n">
        <v>24</v>
      </c>
      <c r="V228" s="124" t="n">
        <f aca="false">IF($U228-$T228=0,"",$U228-$T228)</f>
        <v>9</v>
      </c>
      <c r="W228" s="123" t="n">
        <f aca="false">IF(LEFT($B228,4)="_Mil","",IFERROR(MIN(IF(SUM($N228)&lt;=0,SUM($U228)/SUM($P228),SUM($T228)/SUM($N228)),1),""))</f>
        <v>0.069164265129683</v>
      </c>
      <c r="X228" s="123" t="n">
        <f aca="false">$W228</f>
        <v>0.069164265129683</v>
      </c>
      <c r="Y228" s="123" t="n">
        <f aca="false">IFERROR(1/(1/INDEX(Spectrum!$N:$N,MATCH(RIGHT($B228,13)&amp;"|"&amp;$C228&amp;"|"&amp;$D228&amp;"|"&amp;Y$14&amp;"|"&amp;"CY2021Q3",Spectrum!$Q:$Q,0))),IF(SUM($H228)=0,"",MAX(SUM($P228),SUM($U228))/SUM($H228)))</f>
        <v>0.677734375</v>
      </c>
      <c r="Z228" s="123" t="n">
        <f aca="false">IF(SUM($Y228)=0,"",MAX(SUM($Y228),90%))</f>
        <v>0.9</v>
      </c>
      <c r="AA228" s="115" t="n">
        <f aca="false">IF(LEFT($B228,4)="_Mil","",ROUND(MAX(SUM($U228),SUM($P228))+IF(SUM($Z228)=0,0,MAX(SUM($Z228)-SUM($Y228),0)*SUM($H228)),0))</f>
        <v>461</v>
      </c>
      <c r="AB228" s="115" t="n">
        <f aca="false">IF(SUM($AA228)=0,"",ROUND(MAX(SUM($AA228)-MAX(SUM($P228),SUM($U228)),0),0))</f>
        <v>114</v>
      </c>
      <c r="AC228" s="126" t="str">
        <f aca="false">IF($C228="&lt;01",IFERROR(ROUND(INDEX(EID!$N:$N,MATCH($B228,EID!$B:$B,0))/2,0),""),"")</f>
        <v/>
      </c>
      <c r="AD228" s="115" t="n">
        <f aca="false">IF($C228="&lt;01",IF(SUM($AC228)=0,"",ROUND(SUM($AC228)/$AG228,0)),IF(SUM($AB228)=0,"",ROUND(MAX($X228,0)*SUM($AB228),0)))</f>
        <v>8</v>
      </c>
      <c r="AE228" s="115" t="n">
        <f aca="false">IF(AND(SUM($AD228)=0,SUM($U228)=0),"",ROUND(IF($C228="&lt;01",0,SUM($U228))+SUM($AD228),0))</f>
        <v>32</v>
      </c>
      <c r="AF228" s="122" t="n">
        <f aca="false">IF($C228="&lt;01","",100%)</f>
        <v>1</v>
      </c>
      <c r="AG228" s="123" t="n">
        <f aca="false">0.98</f>
        <v>0.98</v>
      </c>
      <c r="AH228" s="123" t="n">
        <f aca="false">0.98</f>
        <v>0.98</v>
      </c>
      <c r="AI228" s="124" t="n">
        <f aca="false">IF(OR($C228="&lt;01",SUM($U228)=0),"",ROUND(SUM($U228)*(1-$AH228),0))</f>
        <v>0</v>
      </c>
      <c r="AJ228" s="124" t="n">
        <f aca="false">IF(AND(SUM($AE228)=0,SUM($U228)=0),"",IF($C228="&lt;01",SUM($AD228),SUM($AE228) - ROUND(SUM($U228)*$AH228,0)))</f>
        <v>8</v>
      </c>
      <c r="AK228" s="124" t="n">
        <v>32</v>
      </c>
      <c r="AL228" s="124" t="n">
        <v>10</v>
      </c>
      <c r="AM228" s="115" t="n">
        <f aca="false">IF(AND(SUM($AD228)=0,SUM($U228)=0),"",IF($C228="&lt;01",SUM($AD228),ROUND(ROUND(SUM($AJ228)*$AF228,0)/$AG228,0)))</f>
        <v>8</v>
      </c>
      <c r="AN228" s="122" t="n">
        <f aca="false">0.7</f>
        <v>0.7</v>
      </c>
      <c r="AO228" s="123" t="n">
        <f aca="false">1</f>
        <v>1</v>
      </c>
      <c r="AP228" s="115" t="n">
        <f aca="false">IF(AND(SUM($U228)=0,SUM($AM228)=0),"",ROUND((SUM($AM228)*$AN228+IF($C228="&lt;01",0,$U228))*$AO228,0))</f>
        <v>30</v>
      </c>
      <c r="AQ228" s="122" t="n">
        <v>23</v>
      </c>
      <c r="AR228" s="123" t="n">
        <f aca="false">0.95</f>
        <v>0.95</v>
      </c>
      <c r="AS228" s="123" t="n">
        <f aca="false">0.95</f>
        <v>0.95</v>
      </c>
      <c r="AT228" s="115" t="n">
        <f aca="false">IF(SUM($AP228)=0,"",ROUND(SUM($AP228)*$AR228,0))</f>
        <v>29</v>
      </c>
      <c r="AU228" s="115" t="n">
        <f aca="false">IF(LEFT($B228,4)="_Mil","",ROUND(SUM($AA228)*SUM($AS228),0))</f>
        <v>438</v>
      </c>
      <c r="AV228" s="124" t="n">
        <f aca="false">IF(SUM($AU228)&lt;=0,"",MAX(SUM($AU228)-SUM($R228),0))</f>
        <v>438</v>
      </c>
      <c r="AW228" s="122" t="n">
        <f aca="false">0</f>
        <v>0</v>
      </c>
      <c r="AX228" s="124" t="n">
        <f aca="false">IF(SUM($AM228)=0,"",ROUND(SUM($AM228)*SUM($AW228),0))</f>
        <v>0</v>
      </c>
      <c r="AY228" s="124" t="n">
        <f aca="false">IF(SUM($AM228)=0,"",SUM($AM228)-SUM($AX228))</f>
        <v>8</v>
      </c>
      <c r="AZ228" s="123" t="n">
        <v>43</v>
      </c>
      <c r="BA228" s="123" t="n">
        <f aca="false">0.95</f>
        <v>0.95</v>
      </c>
      <c r="BB228" s="123"/>
      <c r="BC228" s="123" t="n">
        <f aca="false">IF(OR(SUM($AM228)&lt;=0,$C228="&lt;01"),"",MAX(IF(OR(SUM($Y228)&lt;70%,LEFT($B228,4)="_Mil"),30%,IF(SUM($Y228)&gt;=80%,75%,50%)),SUM($BB228)))</f>
        <v>0.3</v>
      </c>
      <c r="BD228" s="115" t="n">
        <f aca="false">IF($C228="&lt;01",IFERROR(ROUND(INDEX(EID!$M:$M,MATCH($B228,EID!$B:$B,0)),0)/2,""),IF(SUM($AY228)=0,"",ROUND(SUM($AY228)/SUM($BA228),0)))</f>
        <v>8</v>
      </c>
      <c r="BE228" s="115" t="n">
        <f aca="false">IF($C228="&lt;01","",IF(SUM($BD228)=0,"",ROUND(SUM($BD228)*SUM($BC228),0)))</f>
        <v>2</v>
      </c>
      <c r="BF228" s="115" t="str">
        <f aca="false">_xlfn.IFNA(INDEX(PMTCT!$AE:$AE,MATCH($E228,PMTCT!$E:$E,0)),"")</f>
        <v/>
      </c>
      <c r="BG228" s="115" t="str">
        <f aca="false">_xlfn.IFNA(INDEX(PMTCT!$AU:$AU,MATCH($E228,PMTCT!$E:$E,0)),"")</f>
        <v/>
      </c>
      <c r="BH228" s="115" t="n">
        <f aca="false">_xlfn.IFNA(INDEX(TB!$Q:$Q,MATCH($E228,TB!$E:$E,0)),"")</f>
        <v>-28224</v>
      </c>
      <c r="BI228" s="115" t="str">
        <f aca="false">_xlfn.IFNA(INDEX(VMMC!$AC:$AC,MATCH($E228,VMMC!$E:$E,0)),"")</f>
        <v/>
      </c>
      <c r="BJ228" s="115" t="str">
        <f aca="false">IF($C228="&lt;01",$BD228,"")</f>
        <v/>
      </c>
      <c r="BK228" s="115" t="n">
        <f aca="false">IF(SUM($BD228)=0,"",($BD228)-SUM($BE228:$BJ228))</f>
        <v>28230</v>
      </c>
      <c r="BL228" s="123" t="n">
        <f aca="false">IF(OR(SUM($BD228)=0,SUM($BE228)=0),"",SUM($BE228)/$BD228)</f>
        <v>0.25</v>
      </c>
      <c r="BM228" s="123" t="str">
        <f aca="false">IF(OR(SUM($BD228)=0,SUM($BF228)=0),"",SUM($BF228)/$BD228)</f>
        <v/>
      </c>
      <c r="BN228" s="123" t="str">
        <f aca="false">IF(OR(SUM($BD228)=0,SUM($BG228)=0),"",SUM($BG228)/$BD228)</f>
        <v/>
      </c>
      <c r="BO228" s="123" t="n">
        <f aca="false">IF(OR(SUM($BD228)=0,SUM($BH228)=0),"",SUM($BH228)/$BD228)</f>
        <v>-3528</v>
      </c>
      <c r="BP228" s="123" t="str">
        <f aca="false">IF(OR(SUM($BD228)=0,SUM($BI228)=0),"",SUM($BI228)/$BD228)</f>
        <v/>
      </c>
      <c r="BQ228" s="123" t="str">
        <f aca="false">IF(AND($C228="&lt;01",SUM($BJ228)&lt;&gt;0),$BJ228/SUM($BD228),"")</f>
        <v/>
      </c>
      <c r="BR228" s="123" t="n">
        <f aca="false">IF(OR(SUM($BD228)=0,SUM($BK228)=0),"",SUM($BK228)/$BD228)</f>
        <v>3528.75</v>
      </c>
      <c r="BS228" s="122" t="n">
        <f aca="false">IF(SUM($X228)&lt;=0,"",$X228)</f>
        <v>0.069164265129683</v>
      </c>
      <c r="BT228" s="115" t="n">
        <f aca="false">IF(LEFT($B228,4)="_Mil","",MAX(SUM($L228)+ROUND(SUM($BD228)/IF(SUM($BS228)&lt;=0,1,SUM($BS228)),0),0))</f>
        <v>499</v>
      </c>
    </row>
    <row r="229" customFormat="false" ht="15" hidden="false" customHeight="false" outlineLevel="0" collapsed="false">
      <c r="A229" s="0" t="s">
        <v>149</v>
      </c>
      <c r="B229" s="0" t="s">
        <v>111</v>
      </c>
      <c r="C229" s="0" t="s">
        <v>86</v>
      </c>
      <c r="D229" s="0" t="s">
        <v>56</v>
      </c>
      <c r="E229" s="0" t="str">
        <f aca="false">B229&amp;"|"&amp;C229&amp;"|"&amp;D229</f>
        <v>Qacha's Nek [#SNU] [zTaMbxvQtJ6]|50+|Female</v>
      </c>
      <c r="F229" s="115" t="n">
        <f aca="false">_xlfn.IFNA(ROUND(INDEX(Spectrum!$N:$N,MATCH(RIGHT($B229,13)&amp;"|"&amp;$C229&amp;"|"&amp;$D229&amp;"|"&amp;F$14&amp;"|"&amp;"CY2021Q3",Spectrum!$Q:$Q,0)),0),"")</f>
        <v>7341</v>
      </c>
      <c r="G229" s="123" t="n">
        <f aca="false">_xlfn.IFNA(INDEX(Spectrum!$P:$P,MATCH(RIGHT($B229,13)&amp;"|"&amp;$C229&amp;"|"&amp;$D229&amp;"|"&amp;F$14&amp;"|"&amp;"CY2021Q3",Spectrum!$Q:$Q,0)),"")</f>
        <v>3</v>
      </c>
      <c r="H229" s="115" t="n">
        <f aca="false">_xlfn.IFNA(ROUND(INDEX(Spectrum!$N:$N,MATCH(RIGHT($B229,13)&amp;"|"&amp;$C229&amp;"|"&amp;$D229&amp;"|"&amp;H$14&amp;"|"&amp;"CY2021Q3",Spectrum!$Q:$Q,0)),0),"")</f>
        <v>1738</v>
      </c>
      <c r="I229" s="123" t="n">
        <f aca="false">_xlfn.IFNA(INDEX(Spectrum!$P:$P,MATCH(RIGHT($B229,13)&amp;"|"&amp;$C229&amp;"|"&amp;$D229&amp;"|"&amp;H$14&amp;"|"&amp;"CY2021Q3",Spectrum!$Q:$Q,0)),"")</f>
        <v>20</v>
      </c>
      <c r="J229" s="117" t="n">
        <f aca="false">_xlfn.IFNA(INDEX(Spectrum!$N:$N,MATCH(RIGHT($B229,13)&amp;"|"&amp;$C229&amp;"|"&amp;$D229&amp;"|"&amp;J$14&amp;"|"&amp;"CY2021Q3",Spectrum!$Q:$Q,0)),"")</f>
        <v>0.2367692</v>
      </c>
      <c r="K229" s="123" t="n">
        <f aca="false">_xlfn.IFNA(INDEX(Spectrum!$P:$P,MATCH(RIGHT($B229,13)&amp;"|"&amp;$C229&amp;"|"&amp;$D229&amp;"|"&amp;J$14&amp;"|"&amp;"CY2021Q3",Spectrum!$Q:$Q,0)),"")</f>
        <v>22</v>
      </c>
      <c r="L229" s="115" t="n">
        <f aca="false">_xlfn.IFNA(ROUND(INDEX(Spectrum!$N:$N,MATCH(RIGHT($B229,13)&amp;"|"&amp;$C229&amp;"|"&amp;$D229&amp;"|"&amp;L$14&amp;"|"&amp;"CY2021Q3",Spectrum!$Q:$Q,0)),0),"")</f>
        <v>1368</v>
      </c>
      <c r="M229" s="123" t="n">
        <f aca="false">IF(OR(SUM($H229)&lt;=0,SUM($L229)&lt;=0),"",SUM($L229)/$H229)</f>
        <v>0.78711162255466</v>
      </c>
      <c r="N229" s="115" t="str">
        <f aca="false">_xlfn.IFNA(ROUND(INDEX(Spectrum!$N:$N,MATCH(RIGHT($B229,13)&amp;"|"&amp;$C229&amp;"|"&amp;$D229&amp;"|"&amp;N$14&amp;"|"&amp;"CY2020Q4",Spectrum!$Q:$Q,0)),0),"")</f>
        <v/>
      </c>
      <c r="O229" s="123" t="str">
        <f aca="false">_xlfn.IFNA(INDEX(Spectrum!$P:$P,MATCH(RIGHT($B229,13)&amp;"|"&amp;$C229&amp;"|"&amp;$D229&amp;"|"&amp;N$14&amp;"|"&amp;"CY2020Q4",Spectrum!$Q:$Q,0)),"")</f>
        <v/>
      </c>
      <c r="P229" s="115" t="n">
        <f aca="false">_xlfn.IFNA(ROUND(INDEX(Spectrum!$N:$N,MATCH(RIGHT($B229,13)&amp;"|"&amp;$C229&amp;"|"&amp;$D229&amp;"|"&amp;P$14&amp;"|"&amp;"CY2021Q3",Spectrum!$Q:$Q,0)),0),"")</f>
        <v>1321</v>
      </c>
      <c r="Q229" s="123" t="n">
        <f aca="false">_xlfn.IFNA(INDEX(Spectrum!$P:$P,MATCH(RIGHT($B229,13)&amp;"|"&amp;$C229&amp;"|"&amp;$D229&amp;"|"&amp;P$14&amp;"|"&amp;"CY2021Q3",Spectrum!$Q:$Q,0)),"")</f>
        <v>49</v>
      </c>
      <c r="R229" s="115"/>
      <c r="S229" s="123" t="str">
        <f aca="false">IF(OR(SUM($P229)&lt;=0,SUM($R229)&lt;=0),"",SUM($R229)/$P229)</f>
        <v/>
      </c>
      <c r="T229" s="139" t="n">
        <v>28</v>
      </c>
      <c r="U229" s="124" t="n">
        <v>33</v>
      </c>
      <c r="V229" s="124" t="n">
        <f aca="false">IF($U229-$T229=0,"",$U229-$T229)</f>
        <v>5</v>
      </c>
      <c r="W229" s="123" t="n">
        <f aca="false">IF(LEFT($B229,4)="_Mil","",IFERROR(MIN(IF(SUM($N229)&lt;=0,SUM($U229)/SUM($P229),SUM($T229)/SUM($N229)),1),""))</f>
        <v>0.0249810749432248</v>
      </c>
      <c r="X229" s="123" t="n">
        <f aca="false">$W229</f>
        <v>0.0249810749432248</v>
      </c>
      <c r="Y229" s="123" t="n">
        <f aca="false">IFERROR(1/(1/INDEX(Spectrum!$N:$N,MATCH(RIGHT($B229,13)&amp;"|"&amp;$C229&amp;"|"&amp;$D229&amp;"|"&amp;Y$14&amp;"|"&amp;"CY2021Q3",Spectrum!$Q:$Q,0))),IF(SUM($H229)=0,"",MAX(SUM($P229),SUM($U229))/SUM($H229)))</f>
        <v>0.760069044879171</v>
      </c>
      <c r="Z229" s="123" t="n">
        <f aca="false">IF(SUM($Y229)=0,"",MAX(SUM($Y229),90%))</f>
        <v>0.9</v>
      </c>
      <c r="AA229" s="115" t="n">
        <f aca="false">IF(LEFT($B229,4)="_Mil","",ROUND(MAX(SUM($U229),SUM($P229))+IF(SUM($Z229)=0,0,MAX(SUM($Z229)-SUM($Y229),0)*SUM($H229)),0))</f>
        <v>1564</v>
      </c>
      <c r="AB229" s="115" t="n">
        <f aca="false">IF(SUM($AA229)=0,"",ROUND(MAX(SUM($AA229)-MAX(SUM($P229),SUM($U229)),0),0))</f>
        <v>243</v>
      </c>
      <c r="AC229" s="126" t="str">
        <f aca="false">IF($C229="&lt;01",IFERROR(ROUND(INDEX(EID!$N:$N,MATCH($B229,EID!$B:$B,0))/2,0),""),"")</f>
        <v/>
      </c>
      <c r="AD229" s="115" t="n">
        <f aca="false">IF($C229="&lt;01",IF(SUM($AC229)=0,"",ROUND(SUM($AC229)/$AG229,0)),IF(SUM($AB229)=0,"",ROUND(MAX($X229,0)*SUM($AB229),0)))</f>
        <v>6</v>
      </c>
      <c r="AE229" s="115" t="n">
        <f aca="false">IF(AND(SUM($AD229)=0,SUM($U229)=0),"",ROUND(IF($C229="&lt;01",0,SUM($U229))+SUM($AD229),0))</f>
        <v>39</v>
      </c>
      <c r="AF229" s="122" t="n">
        <f aca="false">IF($C229="&lt;01","",100%)</f>
        <v>1</v>
      </c>
      <c r="AG229" s="123" t="n">
        <f aca="false">0.98</f>
        <v>0.98</v>
      </c>
      <c r="AH229" s="123" t="n">
        <f aca="false">0.98</f>
        <v>0.98</v>
      </c>
      <c r="AI229" s="124" t="n">
        <f aca="false">IF(OR($C229="&lt;01",SUM($U229)=0),"",ROUND(SUM($U229)*(1-$AH229),0))</f>
        <v>1</v>
      </c>
      <c r="AJ229" s="124" t="n">
        <f aca="false">IF(AND(SUM($AE229)=0,SUM($U229)=0),"",IF($C229="&lt;01",SUM($AD229),SUM($AE229) - ROUND(SUM($U229)*$AH229,0)))</f>
        <v>7</v>
      </c>
      <c r="AK229" s="124" t="n">
        <v>25</v>
      </c>
      <c r="AL229" s="124" t="n">
        <v>25</v>
      </c>
      <c r="AM229" s="115" t="n">
        <f aca="false">IF(AND(SUM($AD229)=0,SUM($U229)=0),"",IF($C229="&lt;01",SUM($AD229),ROUND(ROUND(SUM($AJ229)*$AF229,0)/$AG229,0)))</f>
        <v>7</v>
      </c>
      <c r="AN229" s="122" t="n">
        <f aca="false">0.7</f>
        <v>0.7</v>
      </c>
      <c r="AO229" s="123" t="n">
        <f aca="false">1</f>
        <v>1</v>
      </c>
      <c r="AP229" s="115" t="n">
        <f aca="false">IF(AND(SUM($U229)=0,SUM($AM229)=0),"",ROUND((SUM($AM229)*$AN229+IF($C229="&lt;01",0,$U229))*$AO229,0))</f>
        <v>38</v>
      </c>
      <c r="AQ229" s="122" t="n">
        <v>33</v>
      </c>
      <c r="AR229" s="123" t="n">
        <f aca="false">0.95</f>
        <v>0.95</v>
      </c>
      <c r="AS229" s="123" t="n">
        <f aca="false">0.95</f>
        <v>0.95</v>
      </c>
      <c r="AT229" s="115" t="n">
        <f aca="false">IF(SUM($AP229)=0,"",ROUND(SUM($AP229)*$AR229,0))</f>
        <v>36</v>
      </c>
      <c r="AU229" s="115" t="n">
        <f aca="false">IF(LEFT($B229,4)="_Mil","",ROUND(SUM($AA229)*SUM($AS229),0))</f>
        <v>1486</v>
      </c>
      <c r="AV229" s="124" t="n">
        <f aca="false">IF(SUM($AU229)&lt;=0,"",MAX(SUM($AU229)-SUM($R229),0))</f>
        <v>1486</v>
      </c>
      <c r="AW229" s="122" t="n">
        <f aca="false">0</f>
        <v>0</v>
      </c>
      <c r="AX229" s="124" t="n">
        <f aca="false">IF(SUM($AM229)=0,"",ROUND(SUM($AM229)*SUM($AW229),0))</f>
        <v>0</v>
      </c>
      <c r="AY229" s="124" t="n">
        <f aca="false">IF(SUM($AM229)=0,"",SUM($AM229)-SUM($AX229))</f>
        <v>7</v>
      </c>
      <c r="AZ229" s="123" t="n">
        <v>11</v>
      </c>
      <c r="BA229" s="123" t="n">
        <f aca="false">0.95</f>
        <v>0.95</v>
      </c>
      <c r="BB229" s="123"/>
      <c r="BC229" s="123" t="n">
        <f aca="false">IF(OR(SUM($AM229)&lt;=0,$C229="&lt;01"),"",MAX(IF(OR(SUM($Y229)&lt;70%,LEFT($B229,4)="_Mil"),30%,IF(SUM($Y229)&gt;=80%,75%,50%)),SUM($BB229)))</f>
        <v>0.5</v>
      </c>
      <c r="BD229" s="115" t="n">
        <f aca="false">IF($C229="&lt;01",IFERROR(ROUND(INDEX(EID!$M:$M,MATCH($B229,EID!$B:$B,0)),0)/2,""),IF(SUM($AY229)=0,"",ROUND(SUM($AY229)/SUM($BA229),0)))</f>
        <v>7</v>
      </c>
      <c r="BE229" s="115" t="n">
        <f aca="false">IF($C229="&lt;01","",IF(SUM($BD229)=0,"",ROUND(SUM($BD229)*SUM($BC229),0)))</f>
        <v>4</v>
      </c>
      <c r="BF229" s="115" t="str">
        <f aca="false">_xlfn.IFNA(INDEX(PMTCT!$AE:$AE,MATCH($E229,PMTCT!$E:$E,0)),"")</f>
        <v/>
      </c>
      <c r="BG229" s="115" t="str">
        <f aca="false">_xlfn.IFNA(INDEX(PMTCT!$AU:$AU,MATCH($E229,PMTCT!$E:$E,0)),"")</f>
        <v/>
      </c>
      <c r="BH229" s="115" t="n">
        <f aca="false">_xlfn.IFNA(INDEX(TB!$Q:$Q,MATCH($E229,TB!$E:$E,0)),"")</f>
        <v>-0</v>
      </c>
      <c r="BI229" s="115" t="str">
        <f aca="false">_xlfn.IFNA(INDEX(VMMC!$AC:$AC,MATCH($E229,VMMC!$E:$E,0)),"")</f>
        <v/>
      </c>
      <c r="BJ229" s="115" t="str">
        <f aca="false">IF($C229="&lt;01",$BD229,"")</f>
        <v/>
      </c>
      <c r="BK229" s="115" t="n">
        <f aca="false">IF(SUM($BD229)=0,"",($BD229)-SUM($BE229:$BJ229))</f>
        <v>3</v>
      </c>
      <c r="BL229" s="123" t="n">
        <f aca="false">IF(OR(SUM($BD229)=0,SUM($BE229)=0),"",SUM($BE229)/$BD229)</f>
        <v>0.571428571428571</v>
      </c>
      <c r="BM229" s="123" t="str">
        <f aca="false">IF(OR(SUM($BD229)=0,SUM($BF229)=0),"",SUM($BF229)/$BD229)</f>
        <v/>
      </c>
      <c r="BN229" s="123" t="str">
        <f aca="false">IF(OR(SUM($BD229)=0,SUM($BG229)=0),"",SUM($BG229)/$BD229)</f>
        <v/>
      </c>
      <c r="BO229" s="123" t="str">
        <f aca="false">IF(OR(SUM($BD229)=0,SUM($BH229)=0),"",SUM($BH229)/$BD229)</f>
        <v/>
      </c>
      <c r="BP229" s="123" t="str">
        <f aca="false">IF(OR(SUM($BD229)=0,SUM($BI229)=0),"",SUM($BI229)/$BD229)</f>
        <v/>
      </c>
      <c r="BQ229" s="123" t="str">
        <f aca="false">IF(AND($C229="&lt;01",SUM($BJ229)&lt;&gt;0),$BJ229/SUM($BD229),"")</f>
        <v/>
      </c>
      <c r="BR229" s="123" t="n">
        <f aca="false">IF(OR(SUM($BD229)=0,SUM($BK229)=0),"",SUM($BK229)/$BD229)</f>
        <v>0.428571428571429</v>
      </c>
      <c r="BS229" s="122" t="n">
        <f aca="false">IF(SUM($X229)&lt;=0,"",$X229)</f>
        <v>0.0249810749432248</v>
      </c>
      <c r="BT229" s="115" t="n">
        <f aca="false">IF(LEFT($B229,4)="_Mil","",MAX(SUM($L229)+ROUND(SUM($BD229)/IF(SUM($BS229)&lt;=0,1,SUM($BS229)),0),0))</f>
        <v>1648</v>
      </c>
    </row>
    <row r="230" customFormat="false" ht="15" hidden="false" customHeight="false" outlineLevel="0" collapsed="false">
      <c r="A230" s="0" t="s">
        <v>149</v>
      </c>
      <c r="B230" s="0" t="s">
        <v>111</v>
      </c>
      <c r="C230" s="0" t="s">
        <v>86</v>
      </c>
      <c r="D230" s="0" t="s">
        <v>58</v>
      </c>
      <c r="E230" s="0" t="str">
        <f aca="false">B230&amp;"|"&amp;C230&amp;"|"&amp;D230</f>
        <v>Qacha's Nek [#SNU] [zTaMbxvQtJ6]|50+|Male</v>
      </c>
      <c r="F230" s="115" t="n">
        <f aca="false">_xlfn.IFNA(ROUND(INDEX(Spectrum!$N:$N,MATCH(RIGHT($B230,13)&amp;"|"&amp;$C230&amp;"|"&amp;$D230&amp;"|"&amp;F$14&amp;"|"&amp;"CY2021Q3",Spectrum!$Q:$Q,0)),0),"")</f>
        <v>4778</v>
      </c>
      <c r="G230" s="123" t="n">
        <f aca="false">_xlfn.IFNA(INDEX(Spectrum!$P:$P,MATCH(RIGHT($B230,13)&amp;"|"&amp;$C230&amp;"|"&amp;$D230&amp;"|"&amp;F$14&amp;"|"&amp;"CY2021Q3",Spectrum!$Q:$Q,0)),"")</f>
        <v>44</v>
      </c>
      <c r="H230" s="115" t="n">
        <f aca="false">_xlfn.IFNA(ROUND(INDEX(Spectrum!$N:$N,MATCH(RIGHT($B230,13)&amp;"|"&amp;$C230&amp;"|"&amp;$D230&amp;"|"&amp;H$14&amp;"|"&amp;"CY2021Q3",Spectrum!$Q:$Q,0)),0),"")</f>
        <v>1295</v>
      </c>
      <c r="I230" s="123" t="n">
        <f aca="false">_xlfn.IFNA(INDEX(Spectrum!$P:$P,MATCH(RIGHT($B230,13)&amp;"|"&amp;$C230&amp;"|"&amp;$D230&amp;"|"&amp;H$14&amp;"|"&amp;"CY2021Q3",Spectrum!$Q:$Q,0)),"")</f>
        <v>27</v>
      </c>
      <c r="J230" s="117" t="n">
        <f aca="false">_xlfn.IFNA(INDEX(Spectrum!$N:$N,MATCH(RIGHT($B230,13)&amp;"|"&amp;$C230&amp;"|"&amp;$D230&amp;"|"&amp;J$14&amp;"|"&amp;"CY2021Q3",Spectrum!$Q:$Q,0)),"")</f>
        <v>0.2711099</v>
      </c>
      <c r="K230" s="123" t="n">
        <f aca="false">_xlfn.IFNA(INDEX(Spectrum!$P:$P,MATCH(RIGHT($B230,13)&amp;"|"&amp;$C230&amp;"|"&amp;$D230&amp;"|"&amp;J$14&amp;"|"&amp;"CY2021Q3",Spectrum!$Q:$Q,0)),"")</f>
        <v>49</v>
      </c>
      <c r="L230" s="115" t="n">
        <f aca="false">_xlfn.IFNA(ROUND(INDEX(Spectrum!$N:$N,MATCH(RIGHT($B230,13)&amp;"|"&amp;$C230&amp;"|"&amp;$D230&amp;"|"&amp;L$14&amp;"|"&amp;"CY2021Q3",Spectrum!$Q:$Q,0)),0),"")</f>
        <v>954</v>
      </c>
      <c r="M230" s="123" t="n">
        <f aca="false">IF(OR(SUM($H230)&lt;=0,SUM($L230)&lt;=0),"",SUM($L230)/$H230)</f>
        <v>0.736679536679537</v>
      </c>
      <c r="N230" s="115" t="str">
        <f aca="false">_xlfn.IFNA(ROUND(INDEX(Spectrum!$N:$N,MATCH(RIGHT($B230,13)&amp;"|"&amp;$C230&amp;"|"&amp;$D230&amp;"|"&amp;N$14&amp;"|"&amp;"CY2020Q4",Spectrum!$Q:$Q,0)),0),"")</f>
        <v/>
      </c>
      <c r="O230" s="123" t="str">
        <f aca="false">_xlfn.IFNA(INDEX(Spectrum!$P:$P,MATCH(RIGHT($B230,13)&amp;"|"&amp;$C230&amp;"|"&amp;$D230&amp;"|"&amp;N$14&amp;"|"&amp;"CY2020Q4",Spectrum!$Q:$Q,0)),"")</f>
        <v/>
      </c>
      <c r="P230" s="115" t="n">
        <f aca="false">_xlfn.IFNA(ROUND(INDEX(Spectrum!$N:$N,MATCH(RIGHT($B230,13)&amp;"|"&amp;$C230&amp;"|"&amp;$D230&amp;"|"&amp;P$14&amp;"|"&amp;"CY2021Q3",Spectrum!$Q:$Q,0)),0),"")</f>
        <v>892</v>
      </c>
      <c r="Q230" s="123" t="n">
        <f aca="false">_xlfn.IFNA(INDEX(Spectrum!$P:$P,MATCH(RIGHT($B230,13)&amp;"|"&amp;$C230&amp;"|"&amp;$D230&amp;"|"&amp;P$14&amp;"|"&amp;"CY2021Q3",Spectrum!$Q:$Q,0)),"")</f>
        <v>18</v>
      </c>
      <c r="R230" s="115"/>
      <c r="S230" s="123" t="str">
        <f aca="false">IF(OR(SUM($P230)&lt;=0,SUM($R230)&lt;=0),"",SUM($R230)/$P230)</f>
        <v/>
      </c>
      <c r="T230" s="139" t="n">
        <v>9</v>
      </c>
      <c r="U230" s="124" t="n">
        <v>33</v>
      </c>
      <c r="V230" s="124" t="n">
        <f aca="false">IF($U230-$T230=0,"",$U230-$T230)</f>
        <v>24</v>
      </c>
      <c r="W230" s="123" t="n">
        <f aca="false">IF(LEFT($B230,4)="_Mil","",IFERROR(MIN(IF(SUM($N230)&lt;=0,SUM($U230)/SUM($P230),SUM($T230)/SUM($N230)),1),""))</f>
        <v>0.0369955156950673</v>
      </c>
      <c r="X230" s="123" t="n">
        <f aca="false">$W230</f>
        <v>0.0369955156950673</v>
      </c>
      <c r="Y230" s="123" t="n">
        <f aca="false">IFERROR(1/(1/INDEX(Spectrum!$N:$N,MATCH(RIGHT($B230,13)&amp;"|"&amp;$C230&amp;"|"&amp;$D230&amp;"|"&amp;Y$14&amp;"|"&amp;"CY2021Q3",Spectrum!$Q:$Q,0))),IF(SUM($H230)=0,"",MAX(SUM($P230),SUM($U230))/SUM($H230)))</f>
        <v>0.688803088803089</v>
      </c>
      <c r="Z230" s="123" t="n">
        <f aca="false">IF(SUM($Y230)=0,"",MAX(SUM($Y230),90%))</f>
        <v>0.9</v>
      </c>
      <c r="AA230" s="115" t="n">
        <f aca="false">IF(LEFT($B230,4)="_Mil","",ROUND(MAX(SUM($U230),SUM($P230))+IF(SUM($Z230)=0,0,MAX(SUM($Z230)-SUM($Y230),0)*SUM($H230)),0))</f>
        <v>1166</v>
      </c>
      <c r="AB230" s="115" t="n">
        <f aca="false">IF(SUM($AA230)=0,"",ROUND(MAX(SUM($AA230)-MAX(SUM($P230),SUM($U230)),0),0))</f>
        <v>274</v>
      </c>
      <c r="AC230" s="126" t="str">
        <f aca="false">IF($C230="&lt;01",IFERROR(ROUND(INDEX(EID!$N:$N,MATCH($B230,EID!$B:$B,0))/2,0),""),"")</f>
        <v/>
      </c>
      <c r="AD230" s="115" t="n">
        <f aca="false">IF($C230="&lt;01",IF(SUM($AC230)=0,"",ROUND(SUM($AC230)/$AG230,0)),IF(SUM($AB230)=0,"",ROUND(MAX($X230,0)*SUM($AB230),0)))</f>
        <v>10</v>
      </c>
      <c r="AE230" s="115" t="n">
        <f aca="false">IF(AND(SUM($AD230)=0,SUM($U230)=0),"",ROUND(IF($C230="&lt;01",0,SUM($U230))+SUM($AD230),0))</f>
        <v>43</v>
      </c>
      <c r="AF230" s="122" t="n">
        <f aca="false">IF($C230="&lt;01","",100%)</f>
        <v>1</v>
      </c>
      <c r="AG230" s="123" t="n">
        <f aca="false">0.98</f>
        <v>0.98</v>
      </c>
      <c r="AH230" s="123" t="n">
        <f aca="false">0.98</f>
        <v>0.98</v>
      </c>
      <c r="AI230" s="124" t="n">
        <f aca="false">IF(OR($C230="&lt;01",SUM($U230)=0),"",ROUND(SUM($U230)*(1-$AH230),0))</f>
        <v>1</v>
      </c>
      <c r="AJ230" s="124" t="n">
        <f aca="false">IF(AND(SUM($AE230)=0,SUM($U230)=0),"",IF($C230="&lt;01",SUM($AD230),SUM($AE230) - ROUND(SUM($U230)*$AH230,0)))</f>
        <v>11</v>
      </c>
      <c r="AK230" s="124" t="n">
        <v>32</v>
      </c>
      <c r="AL230" s="124" t="n">
        <v>9</v>
      </c>
      <c r="AM230" s="115" t="n">
        <f aca="false">IF(AND(SUM($AD230)=0,SUM($U230)=0),"",IF($C230="&lt;01",SUM($AD230),ROUND(ROUND(SUM($AJ230)*$AF230,0)/$AG230,0)))</f>
        <v>11</v>
      </c>
      <c r="AN230" s="122" t="n">
        <f aca="false">0.7</f>
        <v>0.7</v>
      </c>
      <c r="AO230" s="123" t="n">
        <f aca="false">1</f>
        <v>1</v>
      </c>
      <c r="AP230" s="115" t="n">
        <f aca="false">IF(AND(SUM($U230)=0,SUM($AM230)=0),"",ROUND((SUM($AM230)*$AN230+IF($C230="&lt;01",0,$U230))*$AO230,0))</f>
        <v>41</v>
      </c>
      <c r="AQ230" s="122" t="n">
        <v>28</v>
      </c>
      <c r="AR230" s="123" t="n">
        <f aca="false">0.95</f>
        <v>0.95</v>
      </c>
      <c r="AS230" s="123" t="n">
        <f aca="false">0.95</f>
        <v>0.95</v>
      </c>
      <c r="AT230" s="115" t="n">
        <f aca="false">IF(SUM($AP230)=0,"",ROUND(SUM($AP230)*$AR230,0))</f>
        <v>39</v>
      </c>
      <c r="AU230" s="115" t="n">
        <f aca="false">IF(LEFT($B230,4)="_Mil","",ROUND(SUM($AA230)*SUM($AS230),0))</f>
        <v>1108</v>
      </c>
      <c r="AV230" s="124" t="n">
        <f aca="false">IF(SUM($AU230)&lt;=0,"",MAX(SUM($AU230)-SUM($R230),0))</f>
        <v>1108</v>
      </c>
      <c r="AW230" s="122" t="n">
        <f aca="false">0</f>
        <v>0</v>
      </c>
      <c r="AX230" s="124" t="n">
        <f aca="false">IF(SUM($AM230)=0,"",ROUND(SUM($AM230)*SUM($AW230),0))</f>
        <v>0</v>
      </c>
      <c r="AY230" s="124" t="n">
        <f aca="false">IF(SUM($AM230)=0,"",SUM($AM230)-SUM($AX230))</f>
        <v>11</v>
      </c>
      <c r="AZ230" s="123" t="n">
        <v>39</v>
      </c>
      <c r="BA230" s="123" t="n">
        <f aca="false">0.95</f>
        <v>0.95</v>
      </c>
      <c r="BB230" s="123"/>
      <c r="BC230" s="123" t="n">
        <f aca="false">IF(OR(SUM($AM230)&lt;=0,$C230="&lt;01"),"",MAX(IF(OR(SUM($Y230)&lt;70%,LEFT($B230,4)="_Mil"),30%,IF(SUM($Y230)&gt;=80%,75%,50%)),SUM($BB230)))</f>
        <v>0.3</v>
      </c>
      <c r="BD230" s="115" t="n">
        <f aca="false">IF($C230="&lt;01",IFERROR(ROUND(INDEX(EID!$M:$M,MATCH($B230,EID!$B:$B,0)),0)/2,""),IF(SUM($AY230)=0,"",ROUND(SUM($AY230)/SUM($BA230),0)))</f>
        <v>12</v>
      </c>
      <c r="BE230" s="115" t="n">
        <f aca="false">IF($C230="&lt;01","",IF(SUM($BD230)=0,"",ROUND(SUM($BD230)*SUM($BC230),0)))</f>
        <v>4</v>
      </c>
      <c r="BF230" s="115" t="str">
        <f aca="false">_xlfn.IFNA(INDEX(PMTCT!$AE:$AE,MATCH($E230,PMTCT!$E:$E,0)),"")</f>
        <v/>
      </c>
      <c r="BG230" s="115" t="str">
        <f aca="false">_xlfn.IFNA(INDEX(PMTCT!$AU:$AU,MATCH($E230,PMTCT!$E:$E,0)),"")</f>
        <v/>
      </c>
      <c r="BH230" s="115" t="n">
        <f aca="false">_xlfn.IFNA(INDEX(TB!$Q:$Q,MATCH($E230,TB!$E:$E,0)),"")</f>
        <v>-11100</v>
      </c>
      <c r="BI230" s="115" t="str">
        <f aca="false">_xlfn.IFNA(INDEX(VMMC!$AC:$AC,MATCH($E230,VMMC!$E:$E,0)),"")</f>
        <v/>
      </c>
      <c r="BJ230" s="115" t="str">
        <f aca="false">IF($C230="&lt;01",$BD230,"")</f>
        <v/>
      </c>
      <c r="BK230" s="115" t="n">
        <f aca="false">IF(SUM($BD230)=0,"",($BD230)-SUM($BE230:$BJ230))</f>
        <v>11108</v>
      </c>
      <c r="BL230" s="123" t="n">
        <f aca="false">IF(OR(SUM($BD230)=0,SUM($BE230)=0),"",SUM($BE230)/$BD230)</f>
        <v>0.333333333333333</v>
      </c>
      <c r="BM230" s="123" t="str">
        <f aca="false">IF(OR(SUM($BD230)=0,SUM($BF230)=0),"",SUM($BF230)/$BD230)</f>
        <v/>
      </c>
      <c r="BN230" s="123" t="str">
        <f aca="false">IF(OR(SUM($BD230)=0,SUM($BG230)=0),"",SUM($BG230)/$BD230)</f>
        <v/>
      </c>
      <c r="BO230" s="123" t="n">
        <f aca="false">IF(OR(SUM($BD230)=0,SUM($BH230)=0),"",SUM($BH230)/$BD230)</f>
        <v>-925</v>
      </c>
      <c r="BP230" s="123" t="str">
        <f aca="false">IF(OR(SUM($BD230)=0,SUM($BI230)=0),"",SUM($BI230)/$BD230)</f>
        <v/>
      </c>
      <c r="BQ230" s="123" t="str">
        <f aca="false">IF(AND($C230="&lt;01",SUM($BJ230)&lt;&gt;0),$BJ230/SUM($BD230),"")</f>
        <v/>
      </c>
      <c r="BR230" s="123" t="n">
        <f aca="false">IF(OR(SUM($BD230)=0,SUM($BK230)=0),"",SUM($BK230)/$BD230)</f>
        <v>925.666666666667</v>
      </c>
      <c r="BS230" s="122" t="n">
        <f aca="false">IF(SUM($X230)&lt;=0,"",$X230)</f>
        <v>0.0369955156950673</v>
      </c>
      <c r="BT230" s="115" t="n">
        <f aca="false">IF(LEFT($B230,4)="_Mil","",MAX(SUM($L230)+ROUND(SUM($BD230)/IF(SUM($BS230)&lt;=0,1,SUM($BS230)),0),0))</f>
        <v>1278</v>
      </c>
    </row>
    <row r="231" customFormat="false" ht="15" hidden="false" customHeight="false" outlineLevel="0" collapsed="false">
      <c r="A231" s="0" t="s">
        <v>150</v>
      </c>
      <c r="B231" s="0" t="s">
        <v>117</v>
      </c>
      <c r="C231" s="0" t="s">
        <v>89</v>
      </c>
      <c r="D231" s="0" t="s">
        <v>56</v>
      </c>
      <c r="E231" s="0" t="str">
        <f aca="false">B231&amp;"|"&amp;C231&amp;"|"&amp;D231</f>
        <v>Quthing [#SNU] [HuwCoDZG0FY]|&lt;01|Female</v>
      </c>
      <c r="F231" s="115" t="n">
        <f aca="false">_xlfn.IFNA(ROUND(INDEX(Spectrum!$N:$N,MATCH(RIGHT($B231,13)&amp;"|"&amp;$C231&amp;"|"&amp;$D231&amp;"|"&amp;F$14&amp;"|"&amp;"CY2021Q3",Spectrum!$Q:$Q,0)),0),"")</f>
        <v>965</v>
      </c>
      <c r="G231" s="123" t="n">
        <f aca="false">_xlfn.IFNA(INDEX(Spectrum!$P:$P,MATCH(RIGHT($B231,13)&amp;"|"&amp;$C231&amp;"|"&amp;$D231&amp;"|"&amp;F$14&amp;"|"&amp;"CY2021Q3",Spectrum!$Q:$Q,0)),"")</f>
        <v>2</v>
      </c>
      <c r="H231" s="115" t="n">
        <f aca="false">_xlfn.IFNA(ROUND(INDEX(Spectrum!$N:$N,MATCH(RIGHT($B231,13)&amp;"|"&amp;$C231&amp;"|"&amp;$D231&amp;"|"&amp;H$14&amp;"|"&amp;"CY2021Q3",Spectrum!$Q:$Q,0)),0),"")</f>
        <v>7</v>
      </c>
      <c r="I231" s="123" t="n">
        <f aca="false">_xlfn.IFNA(INDEX(Spectrum!$P:$P,MATCH(RIGHT($B231,13)&amp;"|"&amp;$C231&amp;"|"&amp;$D231&amp;"|"&amp;H$14&amp;"|"&amp;"CY2021Q3",Spectrum!$Q:$Q,0)),"")</f>
        <v>27</v>
      </c>
      <c r="J231" s="117" t="n">
        <f aca="false">_xlfn.IFNA(INDEX(Spectrum!$N:$N,MATCH(RIGHT($B231,13)&amp;"|"&amp;$C231&amp;"|"&amp;$D231&amp;"|"&amp;J$14&amp;"|"&amp;"CY2021Q3",Spectrum!$Q:$Q,0)),"")</f>
        <v>0.0076344</v>
      </c>
      <c r="K231" s="123" t="n">
        <f aca="false">_xlfn.IFNA(INDEX(Spectrum!$P:$P,MATCH(RIGHT($B231,13)&amp;"|"&amp;$C231&amp;"|"&amp;$D231&amp;"|"&amp;J$14&amp;"|"&amp;"CY2021Q3",Spectrum!$Q:$Q,0)),"")</f>
        <v>11</v>
      </c>
      <c r="L231" s="115" t="n">
        <f aca="false">_xlfn.IFNA(ROUND(INDEX(Spectrum!$N:$N,MATCH(RIGHT($B231,13)&amp;"|"&amp;$C231&amp;"|"&amp;$D231&amp;"|"&amp;L$14&amp;"|"&amp;"CY2021Q3",Spectrum!$Q:$Q,0)),0),"")</f>
        <v>3</v>
      </c>
      <c r="M231" s="123" t="n">
        <f aca="false">IF(OR(SUM($H231)&lt;=0,SUM($L231)&lt;=0),"",SUM($L231)/$H231)</f>
        <v>0.428571428571429</v>
      </c>
      <c r="N231" s="115" t="str">
        <f aca="false">_xlfn.IFNA(ROUND(INDEX(Spectrum!$N:$N,MATCH(RIGHT($B231,13)&amp;"|"&amp;$C231&amp;"|"&amp;$D231&amp;"|"&amp;N$14&amp;"|"&amp;"CY2020Q4",Spectrum!$Q:$Q,0)),0),"")</f>
        <v/>
      </c>
      <c r="O231" s="123" t="str">
        <f aca="false">_xlfn.IFNA(INDEX(Spectrum!$P:$P,MATCH(RIGHT($B231,13)&amp;"|"&amp;$C231&amp;"|"&amp;$D231&amp;"|"&amp;N$14&amp;"|"&amp;"CY2020Q4",Spectrum!$Q:$Q,0)),"")</f>
        <v/>
      </c>
      <c r="P231" s="115" t="n">
        <f aca="false">_xlfn.IFNA(ROUND(INDEX(Spectrum!$N:$N,MATCH(RIGHT($B231,13)&amp;"|"&amp;$C231&amp;"|"&amp;$D231&amp;"|"&amp;P$14&amp;"|"&amp;"CY2021Q3",Spectrum!$Q:$Q,0)),0),"")</f>
        <v>3</v>
      </c>
      <c r="Q231" s="123" t="n">
        <f aca="false">_xlfn.IFNA(INDEX(Spectrum!$P:$P,MATCH(RIGHT($B231,13)&amp;"|"&amp;$C231&amp;"|"&amp;$D231&amp;"|"&amp;P$14&amp;"|"&amp;"CY2021Q3",Spectrum!$Q:$Q,0)),"")</f>
        <v>29</v>
      </c>
      <c r="R231" s="115"/>
      <c r="S231" s="123" t="str">
        <f aca="false">IF(OR(SUM($P231)&lt;=0,SUM($R231)&lt;=0),"",SUM($R231)/$P231)</f>
        <v/>
      </c>
      <c r="T231" s="139" t="n">
        <v>28</v>
      </c>
      <c r="U231" s="124" t="n">
        <v>45</v>
      </c>
      <c r="V231" s="124" t="n">
        <f aca="false">IF($U231-$T231=0,"",$U231-$T231)</f>
        <v>17</v>
      </c>
      <c r="W231" s="123" t="n">
        <f aca="false">IF(LEFT($B231,4)="_Mil","",IFERROR(MIN(IF(SUM($N231)&lt;=0,SUM($U231)/SUM($P231),SUM($T231)/SUM($N231)),1),""))</f>
        <v>1</v>
      </c>
      <c r="X231" s="123" t="n">
        <f aca="false">$W231</f>
        <v>1</v>
      </c>
      <c r="Y231" s="123" t="n">
        <f aca="false">IFERROR(1/(1/INDEX(Spectrum!$N:$N,MATCH(RIGHT($B231,13)&amp;"|"&amp;$C231&amp;"|"&amp;$D231&amp;"|"&amp;Y$14&amp;"|"&amp;"CY2021Q3",Spectrum!$Q:$Q,0))),IF(SUM($H231)=0,"",MAX(SUM($P231),SUM($U231))/SUM($H231)))</f>
        <v>6.42857142857143</v>
      </c>
      <c r="Z231" s="123" t="n">
        <f aca="false">IF(SUM($Y231)=0,"",MAX(SUM($Y231),90%))</f>
        <v>6.42857142857143</v>
      </c>
      <c r="AA231" s="115" t="n">
        <f aca="false">IF(LEFT($B231,4)="_Mil","",ROUND(MAX(SUM($U231),SUM($P231))+IF(SUM($Z231)=0,0,MAX(SUM($Z231)-SUM($Y231),0)*SUM($H231)),0))</f>
        <v>45</v>
      </c>
      <c r="AB231" s="115" t="n">
        <f aca="false">IF(SUM($AA231)=0,"",ROUND(MAX(SUM($AA231)-MAX(SUM($P231),SUM($U231)),0),0))</f>
        <v>0</v>
      </c>
      <c r="AC231" s="126" t="n">
        <f aca="false">IF($C231="&lt;01",IFERROR(ROUND(INDEX(EID!$N:$N,MATCH($B231,EID!$B:$B,0))/2,0),""),"")</f>
        <v>1041</v>
      </c>
      <c r="AD231" s="115" t="n">
        <f aca="false">IF($C231="&lt;01",IF(SUM($AC231)=0,"",ROUND(SUM($AC231)/$AG231,0)),IF(SUM($AB231)=0,"",ROUND(MAX($X231,0)*SUM($AB231),0)))</f>
        <v>1062</v>
      </c>
      <c r="AE231" s="115" t="n">
        <f aca="false">IF(AND(SUM($AD231)=0,SUM($U231)=0),"",ROUND(IF($C231="&lt;01",0,SUM($U231))+SUM($AD231),0))</f>
        <v>1062</v>
      </c>
      <c r="AF231" s="122" t="str">
        <f aca="false">IF($C231="&lt;01","",100%)</f>
        <v/>
      </c>
      <c r="AG231" s="123" t="n">
        <f aca="false">0.98</f>
        <v>0.98</v>
      </c>
      <c r="AH231" s="123" t="n">
        <f aca="false">0.98</f>
        <v>0.98</v>
      </c>
      <c r="AI231" s="124" t="str">
        <f aca="false">IF(OR($C231="&lt;01",SUM($U231)=0),"",ROUND(SUM($U231)*(1-$AH231),0))</f>
        <v/>
      </c>
      <c r="AJ231" s="124" t="n">
        <f aca="false">IF(AND(SUM($AE231)=0,SUM($U231)=0),"",IF($C231="&lt;01",SUM($AD231),SUM($AE231) - ROUND(SUM($U231)*$AH231,0)))</f>
        <v>1062</v>
      </c>
      <c r="AK231" s="124" t="n">
        <v>32</v>
      </c>
      <c r="AL231" s="124" t="n">
        <v>30</v>
      </c>
      <c r="AM231" s="115" t="n">
        <f aca="false">IF(AND(SUM($AD231)=0,SUM($U231)=0),"",IF($C231="&lt;01",SUM($AD231),ROUND(ROUND(SUM($AJ231)*$AF231,0)/$AG231,0)))</f>
        <v>1062</v>
      </c>
      <c r="AN231" s="122" t="n">
        <f aca="false">0.7</f>
        <v>0.7</v>
      </c>
      <c r="AO231" s="123" t="n">
        <f aca="false">1</f>
        <v>1</v>
      </c>
      <c r="AP231" s="115" t="n">
        <f aca="false">IF(AND(SUM($U231)=0,SUM($AM231)=0),"",ROUND((SUM($AM231)*$AN231+IF($C231="&lt;01",0,$U231))*$AO231,0))</f>
        <v>743</v>
      </c>
      <c r="AQ231" s="122"/>
      <c r="AR231" s="123" t="n">
        <f aca="false">0.95</f>
        <v>0.95</v>
      </c>
      <c r="AS231" s="123" t="n">
        <f aca="false">0.95</f>
        <v>0.95</v>
      </c>
      <c r="AT231" s="115" t="n">
        <f aca="false">IF(SUM($AP231)=0,"",ROUND(SUM($AP231)*$AR231,0))</f>
        <v>706</v>
      </c>
      <c r="AU231" s="115" t="n">
        <f aca="false">IF(LEFT($B231,4)="_Mil","",ROUND(SUM($AA231)*SUM($AS231),0))</f>
        <v>43</v>
      </c>
      <c r="AV231" s="124" t="n">
        <f aca="false">IF(SUM($AU231)&lt;=0,"",MAX(SUM($AU231)-SUM($R231),0))</f>
        <v>43</v>
      </c>
      <c r="AW231" s="122" t="n">
        <f aca="false">0</f>
        <v>0</v>
      </c>
      <c r="AX231" s="124" t="n">
        <f aca="false">IF(SUM($AM231)=0,"",ROUND(SUM($AM231)*SUM($AW231),0))</f>
        <v>0</v>
      </c>
      <c r="AY231" s="124" t="n">
        <f aca="false">IF(SUM($AM231)=0,"",SUM($AM231)-SUM($AX231))</f>
        <v>1062</v>
      </c>
      <c r="AZ231" s="123"/>
      <c r="BA231" s="123" t="n">
        <f aca="false">0.95</f>
        <v>0.95</v>
      </c>
      <c r="BB231" s="123"/>
      <c r="BC231" s="123" t="str">
        <f aca="false">IF(OR(SUM($AM231)&lt;=0,$C231="&lt;01"),"",MAX(IF(OR(SUM($Y231)&lt;70%,LEFT($B231,4)="_Mil"),30%,IF(SUM($Y231)&gt;=80%,75%,50%)),SUM($BB231)))</f>
        <v/>
      </c>
      <c r="BD231" s="115" t="n">
        <f aca="false">IF($C231="&lt;01",IFERROR(ROUND(INDEX(EID!$M:$M,MATCH($B231,EID!$B:$B,0)),0)/2,""),IF(SUM($AY231)=0,"",ROUND(SUM($AY231)/SUM($BA231),0)))</f>
        <v>1095</v>
      </c>
      <c r="BE231" s="115" t="str">
        <f aca="false">IF($C231="&lt;01","",IF(SUM($BD231)=0,"",ROUND(SUM($BD231)*SUM($BC231),0)))</f>
        <v/>
      </c>
      <c r="BF231" s="115" t="str">
        <f aca="false">_xlfn.IFNA(INDEX(PMTCT!$AE:$AE,MATCH($E231,PMTCT!$E:$E,0)),"")</f>
        <v/>
      </c>
      <c r="BG231" s="115" t="str">
        <f aca="false">_xlfn.IFNA(INDEX(PMTCT!$AU:$AU,MATCH($E231,PMTCT!$E:$E,0)),"")</f>
        <v/>
      </c>
      <c r="BH231" s="115" t="str">
        <f aca="false">_xlfn.IFNA(INDEX(TB!$Q:$Q,MATCH($E231,TB!$E:$E,0)),"")</f>
        <v/>
      </c>
      <c r="BI231" s="115" t="str">
        <f aca="false">_xlfn.IFNA(INDEX(VMMC!$AC:$AC,MATCH($E231,VMMC!$E:$E,0)),"")</f>
        <v/>
      </c>
      <c r="BJ231" s="115" t="n">
        <f aca="false">IF($C231="&lt;01",$BD231,"")</f>
        <v>1095</v>
      </c>
      <c r="BK231" s="115" t="n">
        <f aca="false">IF(SUM($BD231)=0,"",($BD231)-SUM($BE231:$BJ231))</f>
        <v>0</v>
      </c>
      <c r="BL231" s="123" t="str">
        <f aca="false">IF(OR(SUM($BD231)=0,SUM($BE231)=0),"",SUM($BE231)/$BD231)</f>
        <v/>
      </c>
      <c r="BM231" s="123" t="str">
        <f aca="false">IF(OR(SUM($BD231)=0,SUM($BF231)=0),"",SUM($BF231)/$BD231)</f>
        <v/>
      </c>
      <c r="BN231" s="123" t="str">
        <f aca="false">IF(OR(SUM($BD231)=0,SUM($BG231)=0),"",SUM($BG231)/$BD231)</f>
        <v/>
      </c>
      <c r="BO231" s="123" t="str">
        <f aca="false">IF(OR(SUM($BD231)=0,SUM($BH231)=0),"",SUM($BH231)/$BD231)</f>
        <v/>
      </c>
      <c r="BP231" s="123" t="str">
        <f aca="false">IF(OR(SUM($BD231)=0,SUM($BI231)=0),"",SUM($BI231)/$BD231)</f>
        <v/>
      </c>
      <c r="BQ231" s="123" t="n">
        <f aca="false">IF(AND($C231="&lt;01",SUM($BJ231)&lt;&gt;0),$BJ231/SUM($BD231),"")</f>
        <v>1</v>
      </c>
      <c r="BR231" s="123" t="str">
        <f aca="false">IF(OR(SUM($BD231)=0,SUM($BK231)=0),"",SUM($BK231)/$BD231)</f>
        <v/>
      </c>
      <c r="BS231" s="122" t="n">
        <f aca="false">IF(SUM($X231)&lt;=0,"",$X231)</f>
        <v>1</v>
      </c>
      <c r="BT231" s="115" t="n">
        <f aca="false">IF(LEFT($B231,4)="_Mil","",MAX(SUM($L231)+ROUND(SUM($BD231)/IF(SUM($BS231)&lt;=0,1,SUM($BS231)),0),0))</f>
        <v>1098</v>
      </c>
    </row>
    <row r="232" customFormat="false" ht="15" hidden="false" customHeight="false" outlineLevel="0" collapsed="false">
      <c r="A232" s="0" t="s">
        <v>150</v>
      </c>
      <c r="B232" s="0" t="s">
        <v>117</v>
      </c>
      <c r="C232" s="0" t="s">
        <v>89</v>
      </c>
      <c r="D232" s="0" t="s">
        <v>58</v>
      </c>
      <c r="E232" s="0" t="str">
        <f aca="false">B232&amp;"|"&amp;C232&amp;"|"&amp;D232</f>
        <v>Quthing [#SNU] [HuwCoDZG0FY]|&lt;01|Male</v>
      </c>
      <c r="F232" s="115" t="n">
        <f aca="false">_xlfn.IFNA(ROUND(INDEX(Spectrum!$N:$N,MATCH(RIGHT($B232,13)&amp;"|"&amp;$C232&amp;"|"&amp;$D232&amp;"|"&amp;F$14&amp;"|"&amp;"CY2021Q3",Spectrum!$Q:$Q,0)),0),"")</f>
        <v>983</v>
      </c>
      <c r="G232" s="123" t="n">
        <f aca="false">_xlfn.IFNA(INDEX(Spectrum!$P:$P,MATCH(RIGHT($B232,13)&amp;"|"&amp;$C232&amp;"|"&amp;$D232&amp;"|"&amp;F$14&amp;"|"&amp;"CY2021Q3",Spectrum!$Q:$Q,0)),"")</f>
        <v>48</v>
      </c>
      <c r="H232" s="115" t="n">
        <f aca="false">_xlfn.IFNA(ROUND(INDEX(Spectrum!$N:$N,MATCH(RIGHT($B232,13)&amp;"|"&amp;$C232&amp;"|"&amp;$D232&amp;"|"&amp;H$14&amp;"|"&amp;"CY2021Q3",Spectrum!$Q:$Q,0)),0),"")</f>
        <v>7</v>
      </c>
      <c r="I232" s="123" t="n">
        <f aca="false">_xlfn.IFNA(INDEX(Spectrum!$P:$P,MATCH(RIGHT($B232,13)&amp;"|"&amp;$C232&amp;"|"&amp;$D232&amp;"|"&amp;H$14&amp;"|"&amp;"CY2021Q3",Spectrum!$Q:$Q,0)),"")</f>
        <v>26</v>
      </c>
      <c r="J232" s="117" t="n">
        <f aca="false">_xlfn.IFNA(INDEX(Spectrum!$N:$N,MATCH(RIGHT($B232,13)&amp;"|"&amp;$C232&amp;"|"&amp;$D232&amp;"|"&amp;J$14&amp;"|"&amp;"CY2021Q3",Spectrum!$Q:$Q,0)),"")</f>
        <v>0.0076053</v>
      </c>
      <c r="K232" s="123" t="n">
        <f aca="false">_xlfn.IFNA(INDEX(Spectrum!$P:$P,MATCH(RIGHT($B232,13)&amp;"|"&amp;$C232&amp;"|"&amp;$D232&amp;"|"&amp;J$14&amp;"|"&amp;"CY2021Q3",Spectrum!$Q:$Q,0)),"")</f>
        <v>7</v>
      </c>
      <c r="L232" s="115" t="n">
        <f aca="false">_xlfn.IFNA(ROUND(INDEX(Spectrum!$N:$N,MATCH(RIGHT($B232,13)&amp;"|"&amp;$C232&amp;"|"&amp;$D232&amp;"|"&amp;L$14&amp;"|"&amp;"CY2021Q3",Spectrum!$Q:$Q,0)),0),"")</f>
        <v>3</v>
      </c>
      <c r="M232" s="123" t="n">
        <f aca="false">IF(OR(SUM($H232)&lt;=0,SUM($L232)&lt;=0),"",SUM($L232)/$H232)</f>
        <v>0.428571428571429</v>
      </c>
      <c r="N232" s="115" t="str">
        <f aca="false">_xlfn.IFNA(ROUND(INDEX(Spectrum!$N:$N,MATCH(RIGHT($B232,13)&amp;"|"&amp;$C232&amp;"|"&amp;$D232&amp;"|"&amp;N$14&amp;"|"&amp;"CY2020Q4",Spectrum!$Q:$Q,0)),0),"")</f>
        <v/>
      </c>
      <c r="O232" s="123" t="str">
        <f aca="false">_xlfn.IFNA(INDEX(Spectrum!$P:$P,MATCH(RIGHT($B232,13)&amp;"|"&amp;$C232&amp;"|"&amp;$D232&amp;"|"&amp;N$14&amp;"|"&amp;"CY2020Q4",Spectrum!$Q:$Q,0)),"")</f>
        <v/>
      </c>
      <c r="P232" s="115" t="n">
        <f aca="false">_xlfn.IFNA(ROUND(INDEX(Spectrum!$N:$N,MATCH(RIGHT($B232,13)&amp;"|"&amp;$C232&amp;"|"&amp;$D232&amp;"|"&amp;P$14&amp;"|"&amp;"CY2021Q3",Spectrum!$Q:$Q,0)),0),"")</f>
        <v>3</v>
      </c>
      <c r="Q232" s="123" t="n">
        <f aca="false">_xlfn.IFNA(INDEX(Spectrum!$P:$P,MATCH(RIGHT($B232,13)&amp;"|"&amp;$C232&amp;"|"&amp;$D232&amp;"|"&amp;P$14&amp;"|"&amp;"CY2021Q3",Spectrum!$Q:$Q,0)),"")</f>
        <v>13</v>
      </c>
      <c r="R232" s="115"/>
      <c r="S232" s="123" t="str">
        <f aca="false">IF(OR(SUM($P232)&lt;=0,SUM($R232)&lt;=0),"",SUM($R232)/$P232)</f>
        <v/>
      </c>
      <c r="T232" s="139" t="n">
        <v>47</v>
      </c>
      <c r="U232" s="124" t="n">
        <v>7</v>
      </c>
      <c r="V232" s="124" t="n">
        <f aca="false">IF($U232-$T232=0,"",$U232-$T232)</f>
        <v>-40</v>
      </c>
      <c r="W232" s="123" t="n">
        <f aca="false">IF(LEFT($B232,4)="_Mil","",IFERROR(MIN(IF(SUM($N232)&lt;=0,SUM($U232)/SUM($P232),SUM($T232)/SUM($N232)),1),""))</f>
        <v>1</v>
      </c>
      <c r="X232" s="123" t="n">
        <f aca="false">$W232</f>
        <v>1</v>
      </c>
      <c r="Y232" s="123" t="n">
        <f aca="false">IFERROR(1/(1/INDEX(Spectrum!$N:$N,MATCH(RIGHT($B232,13)&amp;"|"&amp;$C232&amp;"|"&amp;$D232&amp;"|"&amp;Y$14&amp;"|"&amp;"CY2021Q3",Spectrum!$Q:$Q,0))),IF(SUM($H232)=0,"",MAX(SUM($P232),SUM($U232))/SUM($H232)))</f>
        <v>1</v>
      </c>
      <c r="Z232" s="123" t="n">
        <f aca="false">IF(SUM($Y232)=0,"",MAX(SUM($Y232),90%))</f>
        <v>1</v>
      </c>
      <c r="AA232" s="115" t="n">
        <f aca="false">IF(LEFT($B232,4)="_Mil","",ROUND(MAX(SUM($U232),SUM($P232))+IF(SUM($Z232)=0,0,MAX(SUM($Z232)-SUM($Y232),0)*SUM($H232)),0))</f>
        <v>7</v>
      </c>
      <c r="AB232" s="115" t="n">
        <f aca="false">IF(SUM($AA232)=0,"",ROUND(MAX(SUM($AA232)-MAX(SUM($P232),SUM($U232)),0),0))</f>
        <v>0</v>
      </c>
      <c r="AC232" s="126" t="n">
        <f aca="false">IF($C232="&lt;01",IFERROR(ROUND(INDEX(EID!$N:$N,MATCH($B232,EID!$B:$B,0))/2,0),""),"")</f>
        <v>1041</v>
      </c>
      <c r="AD232" s="115" t="n">
        <f aca="false">IF($C232="&lt;01",IF(SUM($AC232)=0,"",ROUND(SUM($AC232)/$AG232,0)),IF(SUM($AB232)=0,"",ROUND(MAX($X232,0)*SUM($AB232),0)))</f>
        <v>1062</v>
      </c>
      <c r="AE232" s="115" t="n">
        <f aca="false">IF(AND(SUM($AD232)=0,SUM($U232)=0),"",ROUND(IF($C232="&lt;01",0,SUM($U232))+SUM($AD232),0))</f>
        <v>1062</v>
      </c>
      <c r="AF232" s="122" t="str">
        <f aca="false">IF($C232="&lt;01","",100%)</f>
        <v/>
      </c>
      <c r="AG232" s="123" t="n">
        <f aca="false">0.98</f>
        <v>0.98</v>
      </c>
      <c r="AH232" s="123" t="n">
        <f aca="false">0.98</f>
        <v>0.98</v>
      </c>
      <c r="AI232" s="124" t="str">
        <f aca="false">IF(OR($C232="&lt;01",SUM($U232)=0),"",ROUND(SUM($U232)*(1-$AH232),0))</f>
        <v/>
      </c>
      <c r="AJ232" s="124" t="n">
        <f aca="false">IF(AND(SUM($AE232)=0,SUM($U232)=0),"",IF($C232="&lt;01",SUM($AD232),SUM($AE232) - ROUND(SUM($U232)*$AH232,0)))</f>
        <v>1062</v>
      </c>
      <c r="AK232" s="124" t="n">
        <v>29</v>
      </c>
      <c r="AL232" s="124" t="n">
        <v>8</v>
      </c>
      <c r="AM232" s="115" t="n">
        <f aca="false">IF(AND(SUM($AD232)=0,SUM($U232)=0),"",IF($C232="&lt;01",SUM($AD232),ROUND(ROUND(SUM($AJ232)*$AF232,0)/$AG232,0)))</f>
        <v>1062</v>
      </c>
      <c r="AN232" s="122" t="n">
        <f aca="false">0.7</f>
        <v>0.7</v>
      </c>
      <c r="AO232" s="123" t="n">
        <f aca="false">1</f>
        <v>1</v>
      </c>
      <c r="AP232" s="115" t="n">
        <f aca="false">IF(AND(SUM($U232)=0,SUM($AM232)=0),"",ROUND((SUM($AM232)*$AN232+IF($C232="&lt;01",0,$U232))*$AO232,0))</f>
        <v>743</v>
      </c>
      <c r="AQ232" s="122"/>
      <c r="AR232" s="123" t="n">
        <f aca="false">0.95</f>
        <v>0.95</v>
      </c>
      <c r="AS232" s="123" t="n">
        <f aca="false">0.95</f>
        <v>0.95</v>
      </c>
      <c r="AT232" s="115" t="n">
        <f aca="false">IF(SUM($AP232)=0,"",ROUND(SUM($AP232)*$AR232,0))</f>
        <v>706</v>
      </c>
      <c r="AU232" s="115" t="n">
        <f aca="false">IF(LEFT($B232,4)="_Mil","",ROUND(SUM($AA232)*SUM($AS232),0))</f>
        <v>7</v>
      </c>
      <c r="AV232" s="124" t="n">
        <f aca="false">IF(SUM($AU232)&lt;=0,"",MAX(SUM($AU232)-SUM($R232),0))</f>
        <v>7</v>
      </c>
      <c r="AW232" s="122" t="n">
        <f aca="false">0</f>
        <v>0</v>
      </c>
      <c r="AX232" s="124" t="n">
        <f aca="false">IF(SUM($AM232)=0,"",ROUND(SUM($AM232)*SUM($AW232),0))</f>
        <v>0</v>
      </c>
      <c r="AY232" s="124" t="n">
        <f aca="false">IF(SUM($AM232)=0,"",SUM($AM232)-SUM($AX232))</f>
        <v>1062</v>
      </c>
      <c r="AZ232" s="123"/>
      <c r="BA232" s="123" t="n">
        <f aca="false">0.95</f>
        <v>0.95</v>
      </c>
      <c r="BB232" s="123"/>
      <c r="BC232" s="123" t="str">
        <f aca="false">IF(OR(SUM($AM232)&lt;=0,$C232="&lt;01"),"",MAX(IF(OR(SUM($Y232)&lt;70%,LEFT($B232,4)="_Mil"),30%,IF(SUM($Y232)&gt;=80%,75%,50%)),SUM($BB232)))</f>
        <v/>
      </c>
      <c r="BD232" s="115" t="n">
        <f aca="false">IF($C232="&lt;01",IFERROR(ROUND(INDEX(EID!$M:$M,MATCH($B232,EID!$B:$B,0)),0)/2,""),IF(SUM($AY232)=0,"",ROUND(SUM($AY232)/SUM($BA232),0)))</f>
        <v>1095</v>
      </c>
      <c r="BE232" s="115" t="str">
        <f aca="false">IF($C232="&lt;01","",IF(SUM($BD232)=0,"",ROUND(SUM($BD232)*SUM($BC232),0)))</f>
        <v/>
      </c>
      <c r="BF232" s="115" t="str">
        <f aca="false">_xlfn.IFNA(INDEX(PMTCT!$AE:$AE,MATCH($E232,PMTCT!$E:$E,0)),"")</f>
        <v/>
      </c>
      <c r="BG232" s="115" t="str">
        <f aca="false">_xlfn.IFNA(INDEX(PMTCT!$AU:$AU,MATCH($E232,PMTCT!$E:$E,0)),"")</f>
        <v/>
      </c>
      <c r="BH232" s="115" t="str">
        <f aca="false">_xlfn.IFNA(INDEX(TB!$Q:$Q,MATCH($E232,TB!$E:$E,0)),"")</f>
        <v/>
      </c>
      <c r="BI232" s="115" t="str">
        <f aca="false">_xlfn.IFNA(INDEX(VMMC!$AC:$AC,MATCH($E232,VMMC!$E:$E,0)),"")</f>
        <v/>
      </c>
      <c r="BJ232" s="115" t="n">
        <f aca="false">IF($C232="&lt;01",$BD232,"")</f>
        <v>1095</v>
      </c>
      <c r="BK232" s="115" t="n">
        <f aca="false">IF(SUM($BD232)=0,"",($BD232)-SUM($BE232:$BJ232))</f>
        <v>0</v>
      </c>
      <c r="BL232" s="123" t="str">
        <f aca="false">IF(OR(SUM($BD232)=0,SUM($BE232)=0),"",SUM($BE232)/$BD232)</f>
        <v/>
      </c>
      <c r="BM232" s="123" t="str">
        <f aca="false">IF(OR(SUM($BD232)=0,SUM($BF232)=0),"",SUM($BF232)/$BD232)</f>
        <v/>
      </c>
      <c r="BN232" s="123" t="str">
        <f aca="false">IF(OR(SUM($BD232)=0,SUM($BG232)=0),"",SUM($BG232)/$BD232)</f>
        <v/>
      </c>
      <c r="BO232" s="123" t="str">
        <f aca="false">IF(OR(SUM($BD232)=0,SUM($BH232)=0),"",SUM($BH232)/$BD232)</f>
        <v/>
      </c>
      <c r="BP232" s="123" t="str">
        <f aca="false">IF(OR(SUM($BD232)=0,SUM($BI232)=0),"",SUM($BI232)/$BD232)</f>
        <v/>
      </c>
      <c r="BQ232" s="123" t="n">
        <f aca="false">IF(AND($C232="&lt;01",SUM($BJ232)&lt;&gt;0),$BJ232/SUM($BD232),"")</f>
        <v>1</v>
      </c>
      <c r="BR232" s="123" t="str">
        <f aca="false">IF(OR(SUM($BD232)=0,SUM($BK232)=0),"",SUM($BK232)/$BD232)</f>
        <v/>
      </c>
      <c r="BS232" s="122" t="n">
        <f aca="false">IF(SUM($X232)&lt;=0,"",$X232)</f>
        <v>1</v>
      </c>
      <c r="BT232" s="115" t="n">
        <f aca="false">IF(LEFT($B232,4)="_Mil","",MAX(SUM($L232)+ROUND(SUM($BD232)/IF(SUM($BS232)&lt;=0,1,SUM($BS232)),0),0))</f>
        <v>1098</v>
      </c>
    </row>
    <row r="233" customFormat="false" ht="15" hidden="false" customHeight="false" outlineLevel="0" collapsed="false">
      <c r="A233" s="0" t="s">
        <v>150</v>
      </c>
      <c r="B233" s="0" t="s">
        <v>117</v>
      </c>
      <c r="C233" s="0" t="s">
        <v>54</v>
      </c>
      <c r="D233" s="0" t="s">
        <v>56</v>
      </c>
      <c r="E233" s="0" t="str">
        <f aca="false">B233&amp;"|"&amp;C233&amp;"|"&amp;D233</f>
        <v>Quthing [#SNU] [HuwCoDZG0FY]|01-04|Female</v>
      </c>
      <c r="F233" s="115" t="n">
        <f aca="false">_xlfn.IFNA(ROUND(INDEX(Spectrum!$N:$N,MATCH(RIGHT($B233,13)&amp;"|"&amp;$C233&amp;"|"&amp;$D233&amp;"|"&amp;F$14&amp;"|"&amp;"CY2021Q3",Spectrum!$Q:$Q,0)),0),"")</f>
        <v>4483</v>
      </c>
      <c r="G233" s="123" t="n">
        <f aca="false">_xlfn.IFNA(INDEX(Spectrum!$P:$P,MATCH(RIGHT($B233,13)&amp;"|"&amp;$C233&amp;"|"&amp;$D233&amp;"|"&amp;F$14&amp;"|"&amp;"CY2021Q3",Spectrum!$Q:$Q,0)),"")</f>
        <v>35</v>
      </c>
      <c r="H233" s="115" t="n">
        <f aca="false">_xlfn.IFNA(ROUND(INDEX(Spectrum!$N:$N,MATCH(RIGHT($B233,13)&amp;"|"&amp;$C233&amp;"|"&amp;$D233&amp;"|"&amp;H$14&amp;"|"&amp;"CY2021Q3",Spectrum!$Q:$Q,0)),0),"")</f>
        <v>36</v>
      </c>
      <c r="I233" s="123" t="n">
        <f aca="false">_xlfn.IFNA(INDEX(Spectrum!$P:$P,MATCH(RIGHT($B233,13)&amp;"|"&amp;$C233&amp;"|"&amp;$D233&amp;"|"&amp;H$14&amp;"|"&amp;"CY2021Q3",Spectrum!$Q:$Q,0)),"")</f>
        <v>42</v>
      </c>
      <c r="J233" s="117" t="n">
        <f aca="false">_xlfn.IFNA(INDEX(Spectrum!$N:$N,MATCH(RIGHT($B233,13)&amp;"|"&amp;$C233&amp;"|"&amp;$D233&amp;"|"&amp;J$14&amp;"|"&amp;"CY2021Q3",Spectrum!$Q:$Q,0)),"")</f>
        <v>0.0080735</v>
      </c>
      <c r="K233" s="123" t="n">
        <f aca="false">_xlfn.IFNA(INDEX(Spectrum!$P:$P,MATCH(RIGHT($B233,13)&amp;"|"&amp;$C233&amp;"|"&amp;$D233&amp;"|"&amp;J$14&amp;"|"&amp;"CY2021Q3",Spectrum!$Q:$Q,0)),"")</f>
        <v>44</v>
      </c>
      <c r="L233" s="115" t="n">
        <f aca="false">_xlfn.IFNA(ROUND(INDEX(Spectrum!$N:$N,MATCH(RIGHT($B233,13)&amp;"|"&amp;$C233&amp;"|"&amp;$D233&amp;"|"&amp;L$14&amp;"|"&amp;"CY2021Q3",Spectrum!$Q:$Q,0)),0),"")</f>
        <v>12</v>
      </c>
      <c r="M233" s="123" t="n">
        <f aca="false">IF(OR(SUM($H233)&lt;=0,SUM($L233)&lt;=0),"",SUM($L233)/$H233)</f>
        <v>0.333333333333333</v>
      </c>
      <c r="N233" s="115" t="str">
        <f aca="false">_xlfn.IFNA(ROUND(INDEX(Spectrum!$N:$N,MATCH(RIGHT($B233,13)&amp;"|"&amp;$C233&amp;"|"&amp;$D233&amp;"|"&amp;N$14&amp;"|"&amp;"CY2020Q4",Spectrum!$Q:$Q,0)),0),"")</f>
        <v/>
      </c>
      <c r="O233" s="123" t="str">
        <f aca="false">_xlfn.IFNA(INDEX(Spectrum!$P:$P,MATCH(RIGHT($B233,13)&amp;"|"&amp;$C233&amp;"|"&amp;$D233&amp;"|"&amp;N$14&amp;"|"&amp;"CY2020Q4",Spectrum!$Q:$Q,0)),"")</f>
        <v/>
      </c>
      <c r="P233" s="115" t="n">
        <f aca="false">_xlfn.IFNA(ROUND(INDEX(Spectrum!$N:$N,MATCH(RIGHT($B233,13)&amp;"|"&amp;$C233&amp;"|"&amp;$D233&amp;"|"&amp;P$14&amp;"|"&amp;"CY2021Q3",Spectrum!$Q:$Q,0)),0),"")</f>
        <v>15</v>
      </c>
      <c r="Q233" s="123" t="n">
        <f aca="false">_xlfn.IFNA(INDEX(Spectrum!$P:$P,MATCH(RIGHT($B233,13)&amp;"|"&amp;$C233&amp;"|"&amp;$D233&amp;"|"&amp;P$14&amp;"|"&amp;"CY2021Q3",Spectrum!$Q:$Q,0)),"")</f>
        <v>38</v>
      </c>
      <c r="R233" s="115"/>
      <c r="S233" s="123" t="str">
        <f aca="false">IF(OR(SUM($P233)&lt;=0,SUM($R233)&lt;=0),"",SUM($R233)/$P233)</f>
        <v/>
      </c>
      <c r="T233" s="139" t="n">
        <v>8</v>
      </c>
      <c r="U233" s="124" t="n">
        <v>43</v>
      </c>
      <c r="V233" s="124" t="n">
        <f aca="false">IF($U233-$T233=0,"",$U233-$T233)</f>
        <v>35</v>
      </c>
      <c r="W233" s="123" t="n">
        <f aca="false">IF(LEFT($B233,4)="_Mil","",IFERROR(MIN(IF(SUM($N233)&lt;=0,SUM($U233)/SUM($P233),SUM($T233)/SUM($N233)),1),""))</f>
        <v>1</v>
      </c>
      <c r="X233" s="123" t="n">
        <f aca="false">$W233</f>
        <v>1</v>
      </c>
      <c r="Y233" s="123" t="n">
        <f aca="false">IFERROR(1/(1/INDEX(Spectrum!$N:$N,MATCH(RIGHT($B233,13)&amp;"|"&amp;$C233&amp;"|"&amp;$D233&amp;"|"&amp;Y$14&amp;"|"&amp;"CY2021Q3",Spectrum!$Q:$Q,0))),IF(SUM($H233)=0,"",MAX(SUM($P233),SUM($U233))/SUM($H233)))</f>
        <v>1.19444444444444</v>
      </c>
      <c r="Z233" s="123" t="n">
        <f aca="false">IF(SUM($Y233)=0,"",MAX(SUM($Y233),90%))</f>
        <v>1.19444444444444</v>
      </c>
      <c r="AA233" s="115" t="n">
        <f aca="false">IF(LEFT($B233,4)="_Mil","",ROUND(MAX(SUM($U233),SUM($P233))+IF(SUM($Z233)=0,0,MAX(SUM($Z233)-SUM($Y233),0)*SUM($H233)),0))</f>
        <v>43</v>
      </c>
      <c r="AB233" s="115" t="n">
        <f aca="false">IF(SUM($AA233)=0,"",ROUND(MAX(SUM($AA233)-MAX(SUM($P233),SUM($U233)),0),0))</f>
        <v>0</v>
      </c>
      <c r="AC233" s="126" t="str">
        <f aca="false">IF($C233="&lt;01",IFERROR(ROUND(INDEX(EID!$N:$N,MATCH($B233,EID!$B:$B,0))/2,0),""),"")</f>
        <v/>
      </c>
      <c r="AD233" s="115" t="str">
        <f aca="false">IF($C233="&lt;01",IF(SUM($AC233)=0,"",ROUND(SUM($AC233)/$AG233,0)),IF(SUM($AB233)=0,"",ROUND(MAX($X233,0)*SUM($AB233),0)))</f>
        <v/>
      </c>
      <c r="AE233" s="115" t="n">
        <f aca="false">IF(AND(SUM($AD233)=0,SUM($U233)=0),"",ROUND(IF($C233="&lt;01",0,SUM($U233))+SUM($AD233),0))</f>
        <v>43</v>
      </c>
      <c r="AF233" s="122" t="n">
        <f aca="false">IF($C233="&lt;01","",100%)</f>
        <v>1</v>
      </c>
      <c r="AG233" s="123" t="n">
        <f aca="false">0.98</f>
        <v>0.98</v>
      </c>
      <c r="AH233" s="123" t="n">
        <f aca="false">0.98</f>
        <v>0.98</v>
      </c>
      <c r="AI233" s="124" t="n">
        <f aca="false">IF(OR($C233="&lt;01",SUM($U233)=0),"",ROUND(SUM($U233)*(1-$AH233),0))</f>
        <v>1</v>
      </c>
      <c r="AJ233" s="124" t="n">
        <f aca="false">IF(AND(SUM($AE233)=0,SUM($U233)=0),"",IF($C233="&lt;01",SUM($AD233),SUM($AE233) - ROUND(SUM($U233)*$AH233,0)))</f>
        <v>1</v>
      </c>
      <c r="AK233" s="124" t="n">
        <v>25</v>
      </c>
      <c r="AL233" s="124" t="n">
        <v>14</v>
      </c>
      <c r="AM233" s="115" t="n">
        <f aca="false">IF(AND(SUM($AD233)=0,SUM($U233)=0),"",IF($C233="&lt;01",SUM($AD233),ROUND(ROUND(SUM($AJ233)*$AF233,0)/$AG233,0)))</f>
        <v>1</v>
      </c>
      <c r="AN233" s="122" t="n">
        <f aca="false">0.7</f>
        <v>0.7</v>
      </c>
      <c r="AO233" s="123" t="n">
        <f aca="false">1</f>
        <v>1</v>
      </c>
      <c r="AP233" s="115" t="n">
        <f aca="false">IF(AND(SUM($U233)=0,SUM($AM233)=0),"",ROUND((SUM($AM233)*$AN233+IF($C233="&lt;01",0,$U233))*$AO233,0))</f>
        <v>44</v>
      </c>
      <c r="AQ233" s="122" t="n">
        <v>36</v>
      </c>
      <c r="AR233" s="123" t="n">
        <f aca="false">0.95</f>
        <v>0.95</v>
      </c>
      <c r="AS233" s="123" t="n">
        <f aca="false">0.95</f>
        <v>0.95</v>
      </c>
      <c r="AT233" s="115" t="n">
        <f aca="false">IF(SUM($AP233)=0,"",ROUND(SUM($AP233)*$AR233,0))</f>
        <v>42</v>
      </c>
      <c r="AU233" s="115" t="n">
        <f aca="false">IF(LEFT($B233,4)="_Mil","",ROUND(SUM($AA233)*SUM($AS233),0))</f>
        <v>41</v>
      </c>
      <c r="AV233" s="124" t="n">
        <f aca="false">IF(SUM($AU233)&lt;=0,"",MAX(SUM($AU233)-SUM($R233),0))</f>
        <v>41</v>
      </c>
      <c r="AW233" s="122" t="n">
        <f aca="false">0</f>
        <v>0</v>
      </c>
      <c r="AX233" s="124" t="n">
        <f aca="false">IF(SUM($AM233)=0,"",ROUND(SUM($AM233)*SUM($AW233),0))</f>
        <v>0</v>
      </c>
      <c r="AY233" s="124" t="n">
        <f aca="false">IF(SUM($AM233)=0,"",SUM($AM233)-SUM($AX233))</f>
        <v>1</v>
      </c>
      <c r="AZ233" s="123" t="n">
        <v>26</v>
      </c>
      <c r="BA233" s="123" t="n">
        <f aca="false">0.95</f>
        <v>0.95</v>
      </c>
      <c r="BB233" s="123"/>
      <c r="BC233" s="123" t="n">
        <f aca="false">IF(OR(SUM($AM233)&lt;=0,$C233="&lt;01"),"",MAX(IF(OR(SUM($Y233)&lt;70%,LEFT($B233,4)="_Mil"),30%,IF(SUM($Y233)&gt;=80%,75%,50%)),SUM($BB233)))</f>
        <v>0.75</v>
      </c>
      <c r="BD233" s="115" t="n">
        <f aca="false">IF($C233="&lt;01",IFERROR(ROUND(INDEX(EID!$M:$M,MATCH($B233,EID!$B:$B,0)),0)/2,""),IF(SUM($AY233)=0,"",ROUND(SUM($AY233)/SUM($BA233),0)))</f>
        <v>1</v>
      </c>
      <c r="BE233" s="115" t="n">
        <f aca="false">IF($C233="&lt;01","",IF(SUM($BD233)=0,"",ROUND(SUM($BD233)*SUM($BC233),0)))</f>
        <v>1</v>
      </c>
      <c r="BF233" s="115" t="str">
        <f aca="false">_xlfn.IFNA(INDEX(PMTCT!$AE:$AE,MATCH($E233,PMTCT!$E:$E,0)),"")</f>
        <v/>
      </c>
      <c r="BG233" s="115" t="str">
        <f aca="false">_xlfn.IFNA(INDEX(PMTCT!$AU:$AU,MATCH($E233,PMTCT!$E:$E,0)),"")</f>
        <v/>
      </c>
      <c r="BH233" s="115" t="n">
        <f aca="false">_xlfn.IFNA(INDEX(TB!$Q:$Q,MATCH($E233,TB!$E:$E,0)),"")</f>
        <v>0</v>
      </c>
      <c r="BI233" s="115" t="str">
        <f aca="false">_xlfn.IFNA(INDEX(VMMC!$AC:$AC,MATCH($E233,VMMC!$E:$E,0)),"")</f>
        <v/>
      </c>
      <c r="BJ233" s="115" t="str">
        <f aca="false">IF($C233="&lt;01",$BD233,"")</f>
        <v/>
      </c>
      <c r="BK233" s="115" t="n">
        <f aca="false">IF(SUM($BD233)=0,"",($BD233)-SUM($BE233:$BJ233))</f>
        <v>0</v>
      </c>
      <c r="BL233" s="123" t="n">
        <f aca="false">IF(OR(SUM($BD233)=0,SUM($BE233)=0),"",SUM($BE233)/$BD233)</f>
        <v>1</v>
      </c>
      <c r="BM233" s="123" t="str">
        <f aca="false">IF(OR(SUM($BD233)=0,SUM($BF233)=0),"",SUM($BF233)/$BD233)</f>
        <v/>
      </c>
      <c r="BN233" s="123" t="str">
        <f aca="false">IF(OR(SUM($BD233)=0,SUM($BG233)=0),"",SUM($BG233)/$BD233)</f>
        <v/>
      </c>
      <c r="BO233" s="123" t="str">
        <f aca="false">IF(OR(SUM($BD233)=0,SUM($BH233)=0),"",SUM($BH233)/$BD233)</f>
        <v/>
      </c>
      <c r="BP233" s="123" t="str">
        <f aca="false">IF(OR(SUM($BD233)=0,SUM($BI233)=0),"",SUM($BI233)/$BD233)</f>
        <v/>
      </c>
      <c r="BQ233" s="123" t="str">
        <f aca="false">IF(AND($C233="&lt;01",SUM($BJ233)&lt;&gt;0),$BJ233/SUM($BD233),"")</f>
        <v/>
      </c>
      <c r="BR233" s="123" t="str">
        <f aca="false">IF(OR(SUM($BD233)=0,SUM($BK233)=0),"",SUM($BK233)/$BD233)</f>
        <v/>
      </c>
      <c r="BS233" s="122" t="n">
        <f aca="false">IF(SUM($X233)&lt;=0,"",$X233)</f>
        <v>1</v>
      </c>
      <c r="BT233" s="115" t="n">
        <f aca="false">IF(LEFT($B233,4)="_Mil","",MAX(SUM($L233)+ROUND(SUM($BD233)/IF(SUM($BS233)&lt;=0,1,SUM($BS233)),0),0))</f>
        <v>13</v>
      </c>
    </row>
    <row r="234" customFormat="false" ht="15" hidden="false" customHeight="false" outlineLevel="0" collapsed="false">
      <c r="A234" s="0" t="s">
        <v>150</v>
      </c>
      <c r="B234" s="0" t="s">
        <v>117</v>
      </c>
      <c r="C234" s="0" t="s">
        <v>54</v>
      </c>
      <c r="D234" s="0" t="s">
        <v>58</v>
      </c>
      <c r="E234" s="0" t="str">
        <f aca="false">B234&amp;"|"&amp;C234&amp;"|"&amp;D234</f>
        <v>Quthing [#SNU] [HuwCoDZG0FY]|01-04|Male</v>
      </c>
      <c r="F234" s="115" t="n">
        <f aca="false">_xlfn.IFNA(ROUND(INDEX(Spectrum!$N:$N,MATCH(RIGHT($B234,13)&amp;"|"&amp;$C234&amp;"|"&amp;$D234&amp;"|"&amp;F$14&amp;"|"&amp;"CY2021Q3",Spectrum!$Q:$Q,0)),0),"")</f>
        <v>4566</v>
      </c>
      <c r="G234" s="123" t="n">
        <f aca="false">_xlfn.IFNA(INDEX(Spectrum!$P:$P,MATCH(RIGHT($B234,13)&amp;"|"&amp;$C234&amp;"|"&amp;$D234&amp;"|"&amp;F$14&amp;"|"&amp;"CY2021Q3",Spectrum!$Q:$Q,0)),"")</f>
        <v>40</v>
      </c>
      <c r="H234" s="115" t="n">
        <f aca="false">_xlfn.IFNA(ROUND(INDEX(Spectrum!$N:$N,MATCH(RIGHT($B234,13)&amp;"|"&amp;$C234&amp;"|"&amp;$D234&amp;"|"&amp;H$14&amp;"|"&amp;"CY2021Q3",Spectrum!$Q:$Q,0)),0),"")</f>
        <v>37</v>
      </c>
      <c r="I234" s="123" t="n">
        <f aca="false">_xlfn.IFNA(INDEX(Spectrum!$P:$P,MATCH(RIGHT($B234,13)&amp;"|"&amp;$C234&amp;"|"&amp;$D234&amp;"|"&amp;H$14&amp;"|"&amp;"CY2021Q3",Spectrum!$Q:$Q,0)),"")</f>
        <v>34</v>
      </c>
      <c r="J234" s="117" t="n">
        <f aca="false">_xlfn.IFNA(INDEX(Spectrum!$N:$N,MATCH(RIGHT($B234,13)&amp;"|"&amp;$C234&amp;"|"&amp;$D234&amp;"|"&amp;J$14&amp;"|"&amp;"CY2021Q3",Spectrum!$Q:$Q,0)),"")</f>
        <v>0.0080428</v>
      </c>
      <c r="K234" s="123" t="n">
        <f aca="false">_xlfn.IFNA(INDEX(Spectrum!$P:$P,MATCH(RIGHT($B234,13)&amp;"|"&amp;$C234&amp;"|"&amp;$D234&amp;"|"&amp;J$14&amp;"|"&amp;"CY2021Q3",Spectrum!$Q:$Q,0)),"")</f>
        <v>3</v>
      </c>
      <c r="L234" s="115" t="n">
        <f aca="false">_xlfn.IFNA(ROUND(INDEX(Spectrum!$N:$N,MATCH(RIGHT($B234,13)&amp;"|"&amp;$C234&amp;"|"&amp;$D234&amp;"|"&amp;L$14&amp;"|"&amp;"CY2021Q3",Spectrum!$Q:$Q,0)),0),"")</f>
        <v>13</v>
      </c>
      <c r="M234" s="123" t="n">
        <f aca="false">IF(OR(SUM($H234)&lt;=0,SUM($L234)&lt;=0),"",SUM($L234)/$H234)</f>
        <v>0.351351351351351</v>
      </c>
      <c r="N234" s="115" t="str">
        <f aca="false">_xlfn.IFNA(ROUND(INDEX(Spectrum!$N:$N,MATCH(RIGHT($B234,13)&amp;"|"&amp;$C234&amp;"|"&amp;$D234&amp;"|"&amp;N$14&amp;"|"&amp;"CY2020Q4",Spectrum!$Q:$Q,0)),0),"")</f>
        <v/>
      </c>
      <c r="O234" s="123" t="str">
        <f aca="false">_xlfn.IFNA(INDEX(Spectrum!$P:$P,MATCH(RIGHT($B234,13)&amp;"|"&amp;$C234&amp;"|"&amp;$D234&amp;"|"&amp;N$14&amp;"|"&amp;"CY2020Q4",Spectrum!$Q:$Q,0)),"")</f>
        <v/>
      </c>
      <c r="P234" s="115" t="n">
        <f aca="false">_xlfn.IFNA(ROUND(INDEX(Spectrum!$N:$N,MATCH(RIGHT($B234,13)&amp;"|"&amp;$C234&amp;"|"&amp;$D234&amp;"|"&amp;P$14&amp;"|"&amp;"CY2021Q3",Spectrum!$Q:$Q,0)),0),"")</f>
        <v>15</v>
      </c>
      <c r="Q234" s="123" t="n">
        <f aca="false">_xlfn.IFNA(INDEX(Spectrum!$P:$P,MATCH(RIGHT($B234,13)&amp;"|"&amp;$C234&amp;"|"&amp;$D234&amp;"|"&amp;P$14&amp;"|"&amp;"CY2021Q3",Spectrum!$Q:$Q,0)),"")</f>
        <v>50</v>
      </c>
      <c r="R234" s="115"/>
      <c r="S234" s="123" t="str">
        <f aca="false">IF(OR(SUM($P234)&lt;=0,SUM($R234)&lt;=0),"",SUM($R234)/$P234)</f>
        <v/>
      </c>
      <c r="T234" s="139" t="n">
        <v>14</v>
      </c>
      <c r="U234" s="124" t="n">
        <v>7</v>
      </c>
      <c r="V234" s="124" t="n">
        <f aca="false">IF($U234-$T234=0,"",$U234-$T234)</f>
        <v>-7</v>
      </c>
      <c r="W234" s="123" t="n">
        <f aca="false">IF(LEFT($B234,4)="_Mil","",IFERROR(MIN(IF(SUM($N234)&lt;=0,SUM($U234)/SUM($P234),SUM($T234)/SUM($N234)),1),""))</f>
        <v>0.466666666666667</v>
      </c>
      <c r="X234" s="123" t="n">
        <f aca="false">$W234</f>
        <v>0.466666666666667</v>
      </c>
      <c r="Y234" s="123" t="n">
        <f aca="false">IFERROR(1/(1/INDEX(Spectrum!$N:$N,MATCH(RIGHT($B234,13)&amp;"|"&amp;$C234&amp;"|"&amp;$D234&amp;"|"&amp;Y$14&amp;"|"&amp;"CY2021Q3",Spectrum!$Q:$Q,0))),IF(SUM($H234)=0,"",MAX(SUM($P234),SUM($U234))/SUM($H234)))</f>
        <v>0.405405405405405</v>
      </c>
      <c r="Z234" s="123" t="n">
        <f aca="false">IF(SUM($Y234)=0,"",MAX(SUM($Y234),90%))</f>
        <v>0.9</v>
      </c>
      <c r="AA234" s="115" t="n">
        <f aca="false">IF(LEFT($B234,4)="_Mil","",ROUND(MAX(SUM($U234),SUM($P234))+IF(SUM($Z234)=0,0,MAX(SUM($Z234)-SUM($Y234),0)*SUM($H234)),0))</f>
        <v>33</v>
      </c>
      <c r="AB234" s="115" t="n">
        <f aca="false">IF(SUM($AA234)=0,"",ROUND(MAX(SUM($AA234)-MAX(SUM($P234),SUM($U234)),0),0))</f>
        <v>18</v>
      </c>
      <c r="AC234" s="126" t="str">
        <f aca="false">IF($C234="&lt;01",IFERROR(ROUND(INDEX(EID!$N:$N,MATCH($B234,EID!$B:$B,0))/2,0),""),"")</f>
        <v/>
      </c>
      <c r="AD234" s="115" t="n">
        <f aca="false">IF($C234="&lt;01",IF(SUM($AC234)=0,"",ROUND(SUM($AC234)/$AG234,0)),IF(SUM($AB234)=0,"",ROUND(MAX($X234,0)*SUM($AB234),0)))</f>
        <v>8</v>
      </c>
      <c r="AE234" s="115" t="n">
        <f aca="false">IF(AND(SUM($AD234)=0,SUM($U234)=0),"",ROUND(IF($C234="&lt;01",0,SUM($U234))+SUM($AD234),0))</f>
        <v>15</v>
      </c>
      <c r="AF234" s="122" t="n">
        <f aca="false">IF($C234="&lt;01","",100%)</f>
        <v>1</v>
      </c>
      <c r="AG234" s="123" t="n">
        <f aca="false">0.98</f>
        <v>0.98</v>
      </c>
      <c r="AH234" s="123" t="n">
        <f aca="false">0.98</f>
        <v>0.98</v>
      </c>
      <c r="AI234" s="124" t="n">
        <f aca="false">IF(OR($C234="&lt;01",SUM($U234)=0),"",ROUND(SUM($U234)*(1-$AH234),0))</f>
        <v>0</v>
      </c>
      <c r="AJ234" s="124" t="n">
        <f aca="false">IF(AND(SUM($AE234)=0,SUM($U234)=0),"",IF($C234="&lt;01",SUM($AD234),SUM($AE234) - ROUND(SUM($U234)*$AH234,0)))</f>
        <v>8</v>
      </c>
      <c r="AK234" s="124" t="n">
        <v>5</v>
      </c>
      <c r="AL234" s="124" t="n">
        <v>25</v>
      </c>
      <c r="AM234" s="115" t="n">
        <f aca="false">IF(AND(SUM($AD234)=0,SUM($U234)=0),"",IF($C234="&lt;01",SUM($AD234),ROUND(ROUND(SUM($AJ234)*$AF234,0)/$AG234,0)))</f>
        <v>8</v>
      </c>
      <c r="AN234" s="122" t="n">
        <f aca="false">0.7</f>
        <v>0.7</v>
      </c>
      <c r="AO234" s="123" t="n">
        <f aca="false">1</f>
        <v>1</v>
      </c>
      <c r="AP234" s="115" t="n">
        <f aca="false">IF(AND(SUM($U234)=0,SUM($AM234)=0),"",ROUND((SUM($AM234)*$AN234+IF($C234="&lt;01",0,$U234))*$AO234,0))</f>
        <v>13</v>
      </c>
      <c r="AQ234" s="122" t="n">
        <v>26</v>
      </c>
      <c r="AR234" s="123" t="n">
        <f aca="false">0.95</f>
        <v>0.95</v>
      </c>
      <c r="AS234" s="123" t="n">
        <f aca="false">0.95</f>
        <v>0.95</v>
      </c>
      <c r="AT234" s="115" t="n">
        <f aca="false">IF(SUM($AP234)=0,"",ROUND(SUM($AP234)*$AR234,0))</f>
        <v>12</v>
      </c>
      <c r="AU234" s="115" t="n">
        <f aca="false">IF(LEFT($B234,4)="_Mil","",ROUND(SUM($AA234)*SUM($AS234),0))</f>
        <v>31</v>
      </c>
      <c r="AV234" s="124" t="n">
        <f aca="false">IF(SUM($AU234)&lt;=0,"",MAX(SUM($AU234)-SUM($R234),0))</f>
        <v>31</v>
      </c>
      <c r="AW234" s="122" t="n">
        <f aca="false">0</f>
        <v>0</v>
      </c>
      <c r="AX234" s="124" t="n">
        <f aca="false">IF(SUM($AM234)=0,"",ROUND(SUM($AM234)*SUM($AW234),0))</f>
        <v>0</v>
      </c>
      <c r="AY234" s="124" t="n">
        <f aca="false">IF(SUM($AM234)=0,"",SUM($AM234)-SUM($AX234))</f>
        <v>8</v>
      </c>
      <c r="AZ234" s="123" t="n">
        <v>28</v>
      </c>
      <c r="BA234" s="123" t="n">
        <f aca="false">0.95</f>
        <v>0.95</v>
      </c>
      <c r="BB234" s="123"/>
      <c r="BC234" s="123" t="n">
        <f aca="false">IF(OR(SUM($AM234)&lt;=0,$C234="&lt;01"),"",MAX(IF(OR(SUM($Y234)&lt;70%,LEFT($B234,4)="_Mil"),30%,IF(SUM($Y234)&gt;=80%,75%,50%)),SUM($BB234)))</f>
        <v>0.3</v>
      </c>
      <c r="BD234" s="115" t="n">
        <f aca="false">IF($C234="&lt;01",IFERROR(ROUND(INDEX(EID!$M:$M,MATCH($B234,EID!$B:$B,0)),0)/2,""),IF(SUM($AY234)=0,"",ROUND(SUM($AY234)/SUM($BA234),0)))</f>
        <v>8</v>
      </c>
      <c r="BE234" s="115" t="n">
        <f aca="false">IF($C234="&lt;01","",IF(SUM($BD234)=0,"",ROUND(SUM($BD234)*SUM($BC234),0)))</f>
        <v>2</v>
      </c>
      <c r="BF234" s="115" t="str">
        <f aca="false">_xlfn.IFNA(INDEX(PMTCT!$AE:$AE,MATCH($E234,PMTCT!$E:$E,0)),"")</f>
        <v/>
      </c>
      <c r="BG234" s="115" t="str">
        <f aca="false">_xlfn.IFNA(INDEX(PMTCT!$AU:$AU,MATCH($E234,PMTCT!$E:$E,0)),"")</f>
        <v/>
      </c>
      <c r="BH234" s="115" t="n">
        <f aca="false">_xlfn.IFNA(INDEX(TB!$Q:$Q,MATCH($E234,TB!$E:$E,0)),"")</f>
        <v>-0</v>
      </c>
      <c r="BI234" s="115" t="str">
        <f aca="false">_xlfn.IFNA(INDEX(VMMC!$AC:$AC,MATCH($E234,VMMC!$E:$E,0)),"")</f>
        <v/>
      </c>
      <c r="BJ234" s="115" t="str">
        <f aca="false">IF($C234="&lt;01",$BD234,"")</f>
        <v/>
      </c>
      <c r="BK234" s="115" t="n">
        <f aca="false">IF(SUM($BD234)=0,"",($BD234)-SUM($BE234:$BJ234))</f>
        <v>6</v>
      </c>
      <c r="BL234" s="123" t="n">
        <f aca="false">IF(OR(SUM($BD234)=0,SUM($BE234)=0),"",SUM($BE234)/$BD234)</f>
        <v>0.25</v>
      </c>
      <c r="BM234" s="123" t="str">
        <f aca="false">IF(OR(SUM($BD234)=0,SUM($BF234)=0),"",SUM($BF234)/$BD234)</f>
        <v/>
      </c>
      <c r="BN234" s="123" t="str">
        <f aca="false">IF(OR(SUM($BD234)=0,SUM($BG234)=0),"",SUM($BG234)/$BD234)</f>
        <v/>
      </c>
      <c r="BO234" s="123" t="str">
        <f aca="false">IF(OR(SUM($BD234)=0,SUM($BH234)=0),"",SUM($BH234)/$BD234)</f>
        <v/>
      </c>
      <c r="BP234" s="123" t="str">
        <f aca="false">IF(OR(SUM($BD234)=0,SUM($BI234)=0),"",SUM($BI234)/$BD234)</f>
        <v/>
      </c>
      <c r="BQ234" s="123" t="str">
        <f aca="false">IF(AND($C234="&lt;01",SUM($BJ234)&lt;&gt;0),$BJ234/SUM($BD234),"")</f>
        <v/>
      </c>
      <c r="BR234" s="123" t="n">
        <f aca="false">IF(OR(SUM($BD234)=0,SUM($BK234)=0),"",SUM($BK234)/$BD234)</f>
        <v>0.75</v>
      </c>
      <c r="BS234" s="122" t="n">
        <f aca="false">IF(SUM($X234)&lt;=0,"",$X234)</f>
        <v>0.466666666666667</v>
      </c>
      <c r="BT234" s="115" t="n">
        <f aca="false">IF(LEFT($B234,4)="_Mil","",MAX(SUM($L234)+ROUND(SUM($BD234)/IF(SUM($BS234)&lt;=0,1,SUM($BS234)),0),0))</f>
        <v>30</v>
      </c>
    </row>
    <row r="235" customFormat="false" ht="15" hidden="false" customHeight="false" outlineLevel="0" collapsed="false">
      <c r="A235" s="0" t="s">
        <v>150</v>
      </c>
      <c r="B235" s="0" t="s">
        <v>117</v>
      </c>
      <c r="C235" s="0" t="s">
        <v>83</v>
      </c>
      <c r="D235" s="0" t="s">
        <v>56</v>
      </c>
      <c r="E235" s="0" t="str">
        <f aca="false">B235&amp;"|"&amp;C235&amp;"|"&amp;D235</f>
        <v>Quthing [#SNU] [HuwCoDZG0FY]|05-09|Female</v>
      </c>
      <c r="F235" s="115" t="n">
        <f aca="false">_xlfn.IFNA(ROUND(INDEX(Spectrum!$N:$N,MATCH(RIGHT($B235,13)&amp;"|"&amp;$C235&amp;"|"&amp;$D235&amp;"|"&amp;F$14&amp;"|"&amp;"CY2021Q3",Spectrum!$Q:$Q,0)),0),"")</f>
        <v>6433</v>
      </c>
      <c r="G235" s="123" t="n">
        <f aca="false">_xlfn.IFNA(INDEX(Spectrum!$P:$P,MATCH(RIGHT($B235,13)&amp;"|"&amp;$C235&amp;"|"&amp;$D235&amp;"|"&amp;F$14&amp;"|"&amp;"CY2021Q3",Spectrum!$Q:$Q,0)),"")</f>
        <v>2</v>
      </c>
      <c r="H235" s="115" t="n">
        <f aca="false">_xlfn.IFNA(ROUND(INDEX(Spectrum!$N:$N,MATCH(RIGHT($B235,13)&amp;"|"&amp;$C235&amp;"|"&amp;$D235&amp;"|"&amp;H$14&amp;"|"&amp;"CY2021Q3",Spectrum!$Q:$Q,0)),0),"")</f>
        <v>105</v>
      </c>
      <c r="I235" s="123" t="n">
        <f aca="false">_xlfn.IFNA(INDEX(Spectrum!$P:$P,MATCH(RIGHT($B235,13)&amp;"|"&amp;$C235&amp;"|"&amp;$D235&amp;"|"&amp;H$14&amp;"|"&amp;"CY2021Q3",Spectrum!$Q:$Q,0)),"")</f>
        <v>42</v>
      </c>
      <c r="J235" s="117" t="n">
        <f aca="false">_xlfn.IFNA(INDEX(Spectrum!$N:$N,MATCH(RIGHT($B235,13)&amp;"|"&amp;$C235&amp;"|"&amp;$D235&amp;"|"&amp;J$14&amp;"|"&amp;"CY2021Q3",Spectrum!$Q:$Q,0)),"")</f>
        <v>0.016256</v>
      </c>
      <c r="K235" s="123" t="n">
        <f aca="false">_xlfn.IFNA(INDEX(Spectrum!$P:$P,MATCH(RIGHT($B235,13)&amp;"|"&amp;$C235&amp;"|"&amp;$D235&amp;"|"&amp;J$14&amp;"|"&amp;"CY2021Q3",Spectrum!$Q:$Q,0)),"")</f>
        <v>26</v>
      </c>
      <c r="L235" s="115" t="n">
        <f aca="false">_xlfn.IFNA(ROUND(INDEX(Spectrum!$N:$N,MATCH(RIGHT($B235,13)&amp;"|"&amp;$C235&amp;"|"&amp;$D235&amp;"|"&amp;L$14&amp;"|"&amp;"CY2021Q3",Spectrum!$Q:$Q,0)),0),"")</f>
        <v>54</v>
      </c>
      <c r="M235" s="123" t="n">
        <f aca="false">IF(OR(SUM($H235)&lt;=0,SUM($L235)&lt;=0),"",SUM($L235)/$H235)</f>
        <v>0.514285714285714</v>
      </c>
      <c r="N235" s="115" t="str">
        <f aca="false">_xlfn.IFNA(ROUND(INDEX(Spectrum!$N:$N,MATCH(RIGHT($B235,13)&amp;"|"&amp;$C235&amp;"|"&amp;$D235&amp;"|"&amp;N$14&amp;"|"&amp;"CY2020Q4",Spectrum!$Q:$Q,0)),0),"")</f>
        <v/>
      </c>
      <c r="O235" s="123" t="str">
        <f aca="false">_xlfn.IFNA(INDEX(Spectrum!$P:$P,MATCH(RIGHT($B235,13)&amp;"|"&amp;$C235&amp;"|"&amp;$D235&amp;"|"&amp;N$14&amp;"|"&amp;"CY2020Q4",Spectrum!$Q:$Q,0)),"")</f>
        <v/>
      </c>
      <c r="P235" s="115" t="n">
        <f aca="false">_xlfn.IFNA(ROUND(INDEX(Spectrum!$N:$N,MATCH(RIGHT($B235,13)&amp;"|"&amp;$C235&amp;"|"&amp;$D235&amp;"|"&amp;P$14&amp;"|"&amp;"CY2021Q3",Spectrum!$Q:$Q,0)),0),"")</f>
        <v>58</v>
      </c>
      <c r="Q235" s="123" t="n">
        <f aca="false">_xlfn.IFNA(INDEX(Spectrum!$P:$P,MATCH(RIGHT($B235,13)&amp;"|"&amp;$C235&amp;"|"&amp;$D235&amp;"|"&amp;P$14&amp;"|"&amp;"CY2021Q3",Spectrum!$Q:$Q,0)),"")</f>
        <v>13</v>
      </c>
      <c r="R235" s="115"/>
      <c r="S235" s="123" t="str">
        <f aca="false">IF(OR(SUM($P235)&lt;=0,SUM($R235)&lt;=0),"",SUM($R235)/$P235)</f>
        <v/>
      </c>
      <c r="T235" s="139" t="n">
        <v>25</v>
      </c>
      <c r="U235" s="124" t="n">
        <v>32</v>
      </c>
      <c r="V235" s="124" t="n">
        <f aca="false">IF($U235-$T235=0,"",$U235-$T235)</f>
        <v>7</v>
      </c>
      <c r="W235" s="123" t="n">
        <f aca="false">IF(LEFT($B235,4)="_Mil","",IFERROR(MIN(IF(SUM($N235)&lt;=0,SUM($U235)/SUM($P235),SUM($T235)/SUM($N235)),1),""))</f>
        <v>0.551724137931034</v>
      </c>
      <c r="X235" s="123" t="n">
        <f aca="false">$W235</f>
        <v>0.551724137931034</v>
      </c>
      <c r="Y235" s="123" t="n">
        <f aca="false">IFERROR(1/(1/INDEX(Spectrum!$N:$N,MATCH(RIGHT($B235,13)&amp;"|"&amp;$C235&amp;"|"&amp;$D235&amp;"|"&amp;Y$14&amp;"|"&amp;"CY2021Q3",Spectrum!$Q:$Q,0))),IF(SUM($H235)=0,"",MAX(SUM($P235),SUM($U235))/SUM($H235)))</f>
        <v>0.552380952380952</v>
      </c>
      <c r="Z235" s="123" t="n">
        <f aca="false">IF(SUM($Y235)=0,"",MAX(SUM($Y235),90%))</f>
        <v>0.9</v>
      </c>
      <c r="AA235" s="115" t="n">
        <f aca="false">IF(LEFT($B235,4)="_Mil","",ROUND(MAX(SUM($U235),SUM($P235))+IF(SUM($Z235)=0,0,MAX(SUM($Z235)-SUM($Y235),0)*SUM($H235)),0))</f>
        <v>95</v>
      </c>
      <c r="AB235" s="115" t="n">
        <f aca="false">IF(SUM($AA235)=0,"",ROUND(MAX(SUM($AA235)-MAX(SUM($P235),SUM($U235)),0),0))</f>
        <v>37</v>
      </c>
      <c r="AC235" s="126" t="str">
        <f aca="false">IF($C235="&lt;01",IFERROR(ROUND(INDEX(EID!$N:$N,MATCH($B235,EID!$B:$B,0))/2,0),""),"")</f>
        <v/>
      </c>
      <c r="AD235" s="115" t="n">
        <f aca="false">IF($C235="&lt;01",IF(SUM($AC235)=0,"",ROUND(SUM($AC235)/$AG235,0)),IF(SUM($AB235)=0,"",ROUND(MAX($X235,0)*SUM($AB235),0)))</f>
        <v>20</v>
      </c>
      <c r="AE235" s="115" t="n">
        <f aca="false">IF(AND(SUM($AD235)=0,SUM($U235)=0),"",ROUND(IF($C235="&lt;01",0,SUM($U235))+SUM($AD235),0))</f>
        <v>52</v>
      </c>
      <c r="AF235" s="122" t="n">
        <f aca="false">IF($C235="&lt;01","",100%)</f>
        <v>1</v>
      </c>
      <c r="AG235" s="123" t="n">
        <f aca="false">0.98</f>
        <v>0.98</v>
      </c>
      <c r="AH235" s="123" t="n">
        <f aca="false">0.98</f>
        <v>0.98</v>
      </c>
      <c r="AI235" s="124" t="n">
        <f aca="false">IF(OR($C235="&lt;01",SUM($U235)=0),"",ROUND(SUM($U235)*(1-$AH235),0))</f>
        <v>1</v>
      </c>
      <c r="AJ235" s="124" t="n">
        <f aca="false">IF(AND(SUM($AE235)=0,SUM($U235)=0),"",IF($C235="&lt;01",SUM($AD235),SUM($AE235) - ROUND(SUM($U235)*$AH235,0)))</f>
        <v>21</v>
      </c>
      <c r="AK235" s="124" t="n">
        <v>26</v>
      </c>
      <c r="AL235" s="124" t="n">
        <v>1</v>
      </c>
      <c r="AM235" s="115" t="n">
        <f aca="false">IF(AND(SUM($AD235)=0,SUM($U235)=0),"",IF($C235="&lt;01",SUM($AD235),ROUND(ROUND(SUM($AJ235)*$AF235,0)/$AG235,0)))</f>
        <v>21</v>
      </c>
      <c r="AN235" s="122" t="n">
        <f aca="false">0.7</f>
        <v>0.7</v>
      </c>
      <c r="AO235" s="123" t="n">
        <f aca="false">1</f>
        <v>1</v>
      </c>
      <c r="AP235" s="115" t="n">
        <f aca="false">IF(AND(SUM($U235)=0,SUM($AM235)=0),"",ROUND((SUM($AM235)*$AN235+IF($C235="&lt;01",0,$U235))*$AO235,0))</f>
        <v>47</v>
      </c>
      <c r="AQ235" s="122" t="n">
        <v>49</v>
      </c>
      <c r="AR235" s="123" t="n">
        <f aca="false">0.95</f>
        <v>0.95</v>
      </c>
      <c r="AS235" s="123" t="n">
        <f aca="false">0.95</f>
        <v>0.95</v>
      </c>
      <c r="AT235" s="115" t="n">
        <f aca="false">IF(SUM($AP235)=0,"",ROUND(SUM($AP235)*$AR235,0))</f>
        <v>45</v>
      </c>
      <c r="AU235" s="115" t="n">
        <f aca="false">IF(LEFT($B235,4)="_Mil","",ROUND(SUM($AA235)*SUM($AS235),0))</f>
        <v>90</v>
      </c>
      <c r="AV235" s="124" t="n">
        <f aca="false">IF(SUM($AU235)&lt;=0,"",MAX(SUM($AU235)-SUM($R235),0))</f>
        <v>90</v>
      </c>
      <c r="AW235" s="122" t="n">
        <f aca="false">0</f>
        <v>0</v>
      </c>
      <c r="AX235" s="124" t="n">
        <f aca="false">IF(SUM($AM235)=0,"",ROUND(SUM($AM235)*SUM($AW235),0))</f>
        <v>0</v>
      </c>
      <c r="AY235" s="124" t="n">
        <f aca="false">IF(SUM($AM235)=0,"",SUM($AM235)-SUM($AX235))</f>
        <v>21</v>
      </c>
      <c r="AZ235" s="123" t="n">
        <v>12</v>
      </c>
      <c r="BA235" s="123" t="n">
        <f aca="false">0.95</f>
        <v>0.95</v>
      </c>
      <c r="BB235" s="123"/>
      <c r="BC235" s="123" t="n">
        <f aca="false">IF(OR(SUM($AM235)&lt;=0,$C235="&lt;01"),"",MAX(IF(OR(SUM($Y235)&lt;70%,LEFT($B235,4)="_Mil"),30%,IF(SUM($Y235)&gt;=80%,75%,50%)),SUM($BB235)))</f>
        <v>0.3</v>
      </c>
      <c r="BD235" s="115" t="n">
        <f aca="false">IF($C235="&lt;01",IFERROR(ROUND(INDEX(EID!$M:$M,MATCH($B235,EID!$B:$B,0)),0)/2,""),IF(SUM($AY235)=0,"",ROUND(SUM($AY235)/SUM($BA235),0)))</f>
        <v>22</v>
      </c>
      <c r="BE235" s="115" t="n">
        <f aca="false">IF($C235="&lt;01","",IF(SUM($BD235)=0,"",ROUND(SUM($BD235)*SUM($BC235),0)))</f>
        <v>7</v>
      </c>
      <c r="BF235" s="115" t="str">
        <f aca="false">_xlfn.IFNA(INDEX(PMTCT!$AE:$AE,MATCH($E235,PMTCT!$E:$E,0)),"")</f>
        <v/>
      </c>
      <c r="BG235" s="115" t="str">
        <f aca="false">_xlfn.IFNA(INDEX(PMTCT!$AU:$AU,MATCH($E235,PMTCT!$E:$E,0)),"")</f>
        <v/>
      </c>
      <c r="BH235" s="115" t="n">
        <f aca="false">_xlfn.IFNA(INDEX(TB!$Q:$Q,MATCH($E235,TB!$E:$E,0)),"")</f>
        <v>0</v>
      </c>
      <c r="BI235" s="115" t="str">
        <f aca="false">_xlfn.IFNA(INDEX(VMMC!$AC:$AC,MATCH($E235,VMMC!$E:$E,0)),"")</f>
        <v/>
      </c>
      <c r="BJ235" s="115" t="str">
        <f aca="false">IF($C235="&lt;01",$BD235,"")</f>
        <v/>
      </c>
      <c r="BK235" s="115" t="n">
        <f aca="false">IF(SUM($BD235)=0,"",($BD235)-SUM($BE235:$BJ235))</f>
        <v>15</v>
      </c>
      <c r="BL235" s="123" t="n">
        <f aca="false">IF(OR(SUM($BD235)=0,SUM($BE235)=0),"",SUM($BE235)/$BD235)</f>
        <v>0.318181818181818</v>
      </c>
      <c r="BM235" s="123" t="str">
        <f aca="false">IF(OR(SUM($BD235)=0,SUM($BF235)=0),"",SUM($BF235)/$BD235)</f>
        <v/>
      </c>
      <c r="BN235" s="123" t="str">
        <f aca="false">IF(OR(SUM($BD235)=0,SUM($BG235)=0),"",SUM($BG235)/$BD235)</f>
        <v/>
      </c>
      <c r="BO235" s="123" t="str">
        <f aca="false">IF(OR(SUM($BD235)=0,SUM($BH235)=0),"",SUM($BH235)/$BD235)</f>
        <v/>
      </c>
      <c r="BP235" s="123" t="str">
        <f aca="false">IF(OR(SUM($BD235)=0,SUM($BI235)=0),"",SUM($BI235)/$BD235)</f>
        <v/>
      </c>
      <c r="BQ235" s="123" t="str">
        <f aca="false">IF(AND($C235="&lt;01",SUM($BJ235)&lt;&gt;0),$BJ235/SUM($BD235),"")</f>
        <v/>
      </c>
      <c r="BR235" s="123" t="n">
        <f aca="false">IF(OR(SUM($BD235)=0,SUM($BK235)=0),"",SUM($BK235)/$BD235)</f>
        <v>0.681818181818182</v>
      </c>
      <c r="BS235" s="122" t="n">
        <f aca="false">IF(SUM($X235)&lt;=0,"",$X235)</f>
        <v>0.551724137931034</v>
      </c>
      <c r="BT235" s="115" t="n">
        <f aca="false">IF(LEFT($B235,4)="_Mil","",MAX(SUM($L235)+ROUND(SUM($BD235)/IF(SUM($BS235)&lt;=0,1,SUM($BS235)),0),0))</f>
        <v>94</v>
      </c>
    </row>
    <row r="236" customFormat="false" ht="15" hidden="false" customHeight="false" outlineLevel="0" collapsed="false">
      <c r="A236" s="0" t="s">
        <v>150</v>
      </c>
      <c r="B236" s="0" t="s">
        <v>117</v>
      </c>
      <c r="C236" s="0" t="s">
        <v>83</v>
      </c>
      <c r="D236" s="0" t="s">
        <v>58</v>
      </c>
      <c r="E236" s="0" t="str">
        <f aca="false">B236&amp;"|"&amp;C236&amp;"|"&amp;D236</f>
        <v>Quthing [#SNU] [HuwCoDZG0FY]|05-09|Male</v>
      </c>
      <c r="F236" s="115" t="n">
        <f aca="false">_xlfn.IFNA(ROUND(INDEX(Spectrum!$N:$N,MATCH(RIGHT($B236,13)&amp;"|"&amp;$C236&amp;"|"&amp;$D236&amp;"|"&amp;F$14&amp;"|"&amp;"CY2021Q3",Spectrum!$Q:$Q,0)),0),"")</f>
        <v>6248</v>
      </c>
      <c r="G236" s="123" t="n">
        <f aca="false">_xlfn.IFNA(INDEX(Spectrum!$P:$P,MATCH(RIGHT($B236,13)&amp;"|"&amp;$C236&amp;"|"&amp;$D236&amp;"|"&amp;F$14&amp;"|"&amp;"CY2021Q3",Spectrum!$Q:$Q,0)),"")</f>
        <v>7</v>
      </c>
      <c r="H236" s="115" t="n">
        <f aca="false">_xlfn.IFNA(ROUND(INDEX(Spectrum!$N:$N,MATCH(RIGHT($B236,13)&amp;"|"&amp;$C236&amp;"|"&amp;$D236&amp;"|"&amp;H$14&amp;"|"&amp;"CY2021Q3",Spectrum!$Q:$Q,0)),0),"")</f>
        <v>101</v>
      </c>
      <c r="I236" s="123" t="n">
        <f aca="false">_xlfn.IFNA(INDEX(Spectrum!$P:$P,MATCH(RIGHT($B236,13)&amp;"|"&amp;$C236&amp;"|"&amp;$D236&amp;"|"&amp;H$14&amp;"|"&amp;"CY2021Q3",Spectrum!$Q:$Q,0)),"")</f>
        <v>37</v>
      </c>
      <c r="J236" s="117" t="n">
        <f aca="false">_xlfn.IFNA(INDEX(Spectrum!$N:$N,MATCH(RIGHT($B236,13)&amp;"|"&amp;$C236&amp;"|"&amp;$D236&amp;"|"&amp;J$14&amp;"|"&amp;"CY2021Q3",Spectrum!$Q:$Q,0)),"")</f>
        <v>0.0162362</v>
      </c>
      <c r="K236" s="123" t="n">
        <f aca="false">_xlfn.IFNA(INDEX(Spectrum!$P:$P,MATCH(RIGHT($B236,13)&amp;"|"&amp;$C236&amp;"|"&amp;$D236&amp;"|"&amp;J$14&amp;"|"&amp;"CY2021Q3",Spectrum!$Q:$Q,0)),"")</f>
        <v>49</v>
      </c>
      <c r="L236" s="115" t="n">
        <f aca="false">_xlfn.IFNA(ROUND(INDEX(Spectrum!$N:$N,MATCH(RIGHT($B236,13)&amp;"|"&amp;$C236&amp;"|"&amp;$D236&amp;"|"&amp;L$14&amp;"|"&amp;"CY2021Q3",Spectrum!$Q:$Q,0)),0),"")</f>
        <v>56</v>
      </c>
      <c r="M236" s="123" t="n">
        <f aca="false">IF(OR(SUM($H236)&lt;=0,SUM($L236)&lt;=0),"",SUM($L236)/$H236)</f>
        <v>0.554455445544555</v>
      </c>
      <c r="N236" s="115" t="str">
        <f aca="false">_xlfn.IFNA(ROUND(INDEX(Spectrum!$N:$N,MATCH(RIGHT($B236,13)&amp;"|"&amp;$C236&amp;"|"&amp;$D236&amp;"|"&amp;N$14&amp;"|"&amp;"CY2020Q4",Spectrum!$Q:$Q,0)),0),"")</f>
        <v/>
      </c>
      <c r="O236" s="123" t="str">
        <f aca="false">_xlfn.IFNA(INDEX(Spectrum!$P:$P,MATCH(RIGHT($B236,13)&amp;"|"&amp;$C236&amp;"|"&amp;$D236&amp;"|"&amp;N$14&amp;"|"&amp;"CY2020Q4",Spectrum!$Q:$Q,0)),"")</f>
        <v/>
      </c>
      <c r="P236" s="115" t="n">
        <f aca="false">_xlfn.IFNA(ROUND(INDEX(Spectrum!$N:$N,MATCH(RIGHT($B236,13)&amp;"|"&amp;$C236&amp;"|"&amp;$D236&amp;"|"&amp;P$14&amp;"|"&amp;"CY2021Q3",Spectrum!$Q:$Q,0)),0),"")</f>
        <v>59</v>
      </c>
      <c r="Q236" s="123" t="n">
        <f aca="false">_xlfn.IFNA(INDEX(Spectrum!$P:$P,MATCH(RIGHT($B236,13)&amp;"|"&amp;$C236&amp;"|"&amp;$D236&amp;"|"&amp;P$14&amp;"|"&amp;"CY2021Q3",Spectrum!$Q:$Q,0)),"")</f>
        <v>49</v>
      </c>
      <c r="R236" s="115"/>
      <c r="S236" s="123" t="str">
        <f aca="false">IF(OR(SUM($P236)&lt;=0,SUM($R236)&lt;=0),"",SUM($R236)/$P236)</f>
        <v/>
      </c>
      <c r="T236" s="139" t="n">
        <v>44</v>
      </c>
      <c r="U236" s="124" t="n">
        <v>9</v>
      </c>
      <c r="V236" s="124" t="n">
        <f aca="false">IF($U236-$T236=0,"",$U236-$T236)</f>
        <v>-35</v>
      </c>
      <c r="W236" s="123" t="n">
        <f aca="false">IF(LEFT($B236,4)="_Mil","",IFERROR(MIN(IF(SUM($N236)&lt;=0,SUM($U236)/SUM($P236),SUM($T236)/SUM($N236)),1),""))</f>
        <v>0.152542372881356</v>
      </c>
      <c r="X236" s="123" t="n">
        <f aca="false">$W236</f>
        <v>0.152542372881356</v>
      </c>
      <c r="Y236" s="123" t="n">
        <f aca="false">IFERROR(1/(1/INDEX(Spectrum!$N:$N,MATCH(RIGHT($B236,13)&amp;"|"&amp;$C236&amp;"|"&amp;$D236&amp;"|"&amp;Y$14&amp;"|"&amp;"CY2021Q3",Spectrum!$Q:$Q,0))),IF(SUM($H236)=0,"",MAX(SUM($P236),SUM($U236))/SUM($H236)))</f>
        <v>0.584158415841584</v>
      </c>
      <c r="Z236" s="123" t="n">
        <f aca="false">IF(SUM($Y236)=0,"",MAX(SUM($Y236),90%))</f>
        <v>0.9</v>
      </c>
      <c r="AA236" s="115" t="n">
        <f aca="false">IF(LEFT($B236,4)="_Mil","",ROUND(MAX(SUM($U236),SUM($P236))+IF(SUM($Z236)=0,0,MAX(SUM($Z236)-SUM($Y236),0)*SUM($H236)),0))</f>
        <v>91</v>
      </c>
      <c r="AB236" s="115" t="n">
        <f aca="false">IF(SUM($AA236)=0,"",ROUND(MAX(SUM($AA236)-MAX(SUM($P236),SUM($U236)),0),0))</f>
        <v>32</v>
      </c>
      <c r="AC236" s="126" t="str">
        <f aca="false">IF($C236="&lt;01",IFERROR(ROUND(INDEX(EID!$N:$N,MATCH($B236,EID!$B:$B,0))/2,0),""),"")</f>
        <v/>
      </c>
      <c r="AD236" s="115" t="n">
        <f aca="false">IF($C236="&lt;01",IF(SUM($AC236)=0,"",ROUND(SUM($AC236)/$AG236,0)),IF(SUM($AB236)=0,"",ROUND(MAX($X236,0)*SUM($AB236),0)))</f>
        <v>5</v>
      </c>
      <c r="AE236" s="115" t="n">
        <f aca="false">IF(AND(SUM($AD236)=0,SUM($U236)=0),"",ROUND(IF($C236="&lt;01",0,SUM($U236))+SUM($AD236),0))</f>
        <v>14</v>
      </c>
      <c r="AF236" s="122" t="n">
        <f aca="false">IF($C236="&lt;01","",100%)</f>
        <v>1</v>
      </c>
      <c r="AG236" s="123" t="n">
        <f aca="false">0.98</f>
        <v>0.98</v>
      </c>
      <c r="AH236" s="123" t="n">
        <f aca="false">0.98</f>
        <v>0.98</v>
      </c>
      <c r="AI236" s="124" t="n">
        <f aca="false">IF(OR($C236="&lt;01",SUM($U236)=0),"",ROUND(SUM($U236)*(1-$AH236),0))</f>
        <v>0</v>
      </c>
      <c r="AJ236" s="124" t="n">
        <f aca="false">IF(AND(SUM($AE236)=0,SUM($U236)=0),"",IF($C236="&lt;01",SUM($AD236),SUM($AE236) - ROUND(SUM($U236)*$AH236,0)))</f>
        <v>5</v>
      </c>
      <c r="AK236" s="124" t="n">
        <v>14</v>
      </c>
      <c r="AL236" s="124" t="n">
        <v>32</v>
      </c>
      <c r="AM236" s="115" t="n">
        <f aca="false">IF(AND(SUM($AD236)=0,SUM($U236)=0),"",IF($C236="&lt;01",SUM($AD236),ROUND(ROUND(SUM($AJ236)*$AF236,0)/$AG236,0)))</f>
        <v>5</v>
      </c>
      <c r="AN236" s="122" t="n">
        <f aca="false">0.7</f>
        <v>0.7</v>
      </c>
      <c r="AO236" s="123" t="n">
        <f aca="false">1</f>
        <v>1</v>
      </c>
      <c r="AP236" s="115" t="n">
        <f aca="false">IF(AND(SUM($U236)=0,SUM($AM236)=0),"",ROUND((SUM($AM236)*$AN236+IF($C236="&lt;01",0,$U236))*$AO236,0))</f>
        <v>13</v>
      </c>
      <c r="AQ236" s="122" t="n">
        <v>41</v>
      </c>
      <c r="AR236" s="123" t="n">
        <f aca="false">0.95</f>
        <v>0.95</v>
      </c>
      <c r="AS236" s="123" t="n">
        <f aca="false">0.95</f>
        <v>0.95</v>
      </c>
      <c r="AT236" s="115" t="n">
        <f aca="false">IF(SUM($AP236)=0,"",ROUND(SUM($AP236)*$AR236,0))</f>
        <v>12</v>
      </c>
      <c r="AU236" s="115" t="n">
        <f aca="false">IF(LEFT($B236,4)="_Mil","",ROUND(SUM($AA236)*SUM($AS236),0))</f>
        <v>86</v>
      </c>
      <c r="AV236" s="124" t="n">
        <f aca="false">IF(SUM($AU236)&lt;=0,"",MAX(SUM($AU236)-SUM($R236),0))</f>
        <v>86</v>
      </c>
      <c r="AW236" s="122" t="n">
        <f aca="false">0</f>
        <v>0</v>
      </c>
      <c r="AX236" s="124" t="n">
        <f aca="false">IF(SUM($AM236)=0,"",ROUND(SUM($AM236)*SUM($AW236),0))</f>
        <v>0</v>
      </c>
      <c r="AY236" s="124" t="n">
        <f aca="false">IF(SUM($AM236)=0,"",SUM($AM236)-SUM($AX236))</f>
        <v>5</v>
      </c>
      <c r="AZ236" s="123"/>
      <c r="BA236" s="123" t="n">
        <f aca="false">0.95</f>
        <v>0.95</v>
      </c>
      <c r="BB236" s="123"/>
      <c r="BC236" s="123" t="n">
        <f aca="false">IF(OR(SUM($AM236)&lt;=0,$C236="&lt;01"),"",MAX(IF(OR(SUM($Y236)&lt;70%,LEFT($B236,4)="_Mil"),30%,IF(SUM($Y236)&gt;=80%,75%,50%)),SUM($BB236)))</f>
        <v>0.3</v>
      </c>
      <c r="BD236" s="115" t="n">
        <f aca="false">IF($C236="&lt;01",IFERROR(ROUND(INDEX(EID!$M:$M,MATCH($B236,EID!$B:$B,0)),0)/2,""),IF(SUM($AY236)=0,"",ROUND(SUM($AY236)/SUM($BA236),0)))</f>
        <v>5</v>
      </c>
      <c r="BE236" s="115" t="n">
        <f aca="false">IF($C236="&lt;01","",IF(SUM($BD236)=0,"",ROUND(SUM($BD236)*SUM($BC236),0)))</f>
        <v>2</v>
      </c>
      <c r="BF236" s="115" t="str">
        <f aca="false">_xlfn.IFNA(INDEX(PMTCT!$AE:$AE,MATCH($E236,PMTCT!$E:$E,0)),"")</f>
        <v/>
      </c>
      <c r="BG236" s="115" t="str">
        <f aca="false">_xlfn.IFNA(INDEX(PMTCT!$AU:$AU,MATCH($E236,PMTCT!$E:$E,0)),"")</f>
        <v/>
      </c>
      <c r="BH236" s="115" t="n">
        <f aca="false">_xlfn.IFNA(INDEX(TB!$Q:$Q,MATCH($E236,TB!$E:$E,0)),"")</f>
        <v>0</v>
      </c>
      <c r="BI236" s="115" t="str">
        <f aca="false">_xlfn.IFNA(INDEX(VMMC!$AC:$AC,MATCH($E236,VMMC!$E:$E,0)),"")</f>
        <v/>
      </c>
      <c r="BJ236" s="115" t="str">
        <f aca="false">IF($C236="&lt;01",$BD236,"")</f>
        <v/>
      </c>
      <c r="BK236" s="115" t="n">
        <f aca="false">IF(SUM($BD236)=0,"",($BD236)-SUM($BE236:$BJ236))</f>
        <v>3</v>
      </c>
      <c r="BL236" s="123" t="n">
        <f aca="false">IF(OR(SUM($BD236)=0,SUM($BE236)=0),"",SUM($BE236)/$BD236)</f>
        <v>0.4</v>
      </c>
      <c r="BM236" s="123" t="str">
        <f aca="false">IF(OR(SUM($BD236)=0,SUM($BF236)=0),"",SUM($BF236)/$BD236)</f>
        <v/>
      </c>
      <c r="BN236" s="123" t="str">
        <f aca="false">IF(OR(SUM($BD236)=0,SUM($BG236)=0),"",SUM($BG236)/$BD236)</f>
        <v/>
      </c>
      <c r="BO236" s="123" t="str">
        <f aca="false">IF(OR(SUM($BD236)=0,SUM($BH236)=0),"",SUM($BH236)/$BD236)</f>
        <v/>
      </c>
      <c r="BP236" s="123" t="str">
        <f aca="false">IF(OR(SUM($BD236)=0,SUM($BI236)=0),"",SUM($BI236)/$BD236)</f>
        <v/>
      </c>
      <c r="BQ236" s="123" t="str">
        <f aca="false">IF(AND($C236="&lt;01",SUM($BJ236)&lt;&gt;0),$BJ236/SUM($BD236),"")</f>
        <v/>
      </c>
      <c r="BR236" s="123" t="n">
        <f aca="false">IF(OR(SUM($BD236)=0,SUM($BK236)=0),"",SUM($BK236)/$BD236)</f>
        <v>0.6</v>
      </c>
      <c r="BS236" s="122" t="n">
        <f aca="false">IF(SUM($X236)&lt;=0,"",$X236)</f>
        <v>0.152542372881356</v>
      </c>
      <c r="BT236" s="115" t="n">
        <f aca="false">IF(LEFT($B236,4)="_Mil","",MAX(SUM($L236)+ROUND(SUM($BD236)/IF(SUM($BS236)&lt;=0,1,SUM($BS236)),0),0))</f>
        <v>89</v>
      </c>
    </row>
    <row r="237" customFormat="false" ht="15" hidden="false" customHeight="false" outlineLevel="0" collapsed="false">
      <c r="A237" s="0" t="s">
        <v>150</v>
      </c>
      <c r="B237" s="0" t="s">
        <v>117</v>
      </c>
      <c r="C237" s="0" t="s">
        <v>61</v>
      </c>
      <c r="D237" s="0" t="s">
        <v>56</v>
      </c>
      <c r="E237" s="0" t="str">
        <f aca="false">B237&amp;"|"&amp;C237&amp;"|"&amp;D237</f>
        <v>Quthing [#SNU] [HuwCoDZG0FY]|10-14|Female</v>
      </c>
      <c r="F237" s="115" t="n">
        <f aca="false">_xlfn.IFNA(ROUND(INDEX(Spectrum!$N:$N,MATCH(RIGHT($B237,13)&amp;"|"&amp;$C237&amp;"|"&amp;$D237&amp;"|"&amp;F$14&amp;"|"&amp;"CY2021Q3",Spectrum!$Q:$Q,0)),0),"")</f>
        <v>6107</v>
      </c>
      <c r="G237" s="123" t="n">
        <f aca="false">_xlfn.IFNA(INDEX(Spectrum!$P:$P,MATCH(RIGHT($B237,13)&amp;"|"&amp;$C237&amp;"|"&amp;$D237&amp;"|"&amp;F$14&amp;"|"&amp;"CY2021Q3",Spectrum!$Q:$Q,0)),"")</f>
        <v>15</v>
      </c>
      <c r="H237" s="115" t="n">
        <f aca="false">_xlfn.IFNA(ROUND(INDEX(Spectrum!$N:$N,MATCH(RIGHT($B237,13)&amp;"|"&amp;$C237&amp;"|"&amp;$D237&amp;"|"&amp;H$14&amp;"|"&amp;"CY2021Q3",Spectrum!$Q:$Q,0)),0),"")</f>
        <v>168</v>
      </c>
      <c r="I237" s="123" t="n">
        <f aca="false">_xlfn.IFNA(INDEX(Spectrum!$P:$P,MATCH(RIGHT($B237,13)&amp;"|"&amp;$C237&amp;"|"&amp;$D237&amp;"|"&amp;H$14&amp;"|"&amp;"CY2021Q3",Spectrum!$Q:$Q,0)),"")</f>
        <v>15</v>
      </c>
      <c r="J237" s="117" t="n">
        <f aca="false">_xlfn.IFNA(INDEX(Spectrum!$N:$N,MATCH(RIGHT($B237,13)&amp;"|"&amp;$C237&amp;"|"&amp;$D237&amp;"|"&amp;J$14&amp;"|"&amp;"CY2021Q3",Spectrum!$Q:$Q,0)),"")</f>
        <v>0.0274561</v>
      </c>
      <c r="K237" s="123" t="n">
        <f aca="false">_xlfn.IFNA(INDEX(Spectrum!$P:$P,MATCH(RIGHT($B237,13)&amp;"|"&amp;$C237&amp;"|"&amp;$D237&amp;"|"&amp;J$14&amp;"|"&amp;"CY2021Q3",Spectrum!$Q:$Q,0)),"")</f>
        <v>1</v>
      </c>
      <c r="L237" s="115" t="n">
        <f aca="false">_xlfn.IFNA(ROUND(INDEX(Spectrum!$N:$N,MATCH(RIGHT($B237,13)&amp;"|"&amp;$C237&amp;"|"&amp;$D237&amp;"|"&amp;L$14&amp;"|"&amp;"CY2021Q3",Spectrum!$Q:$Q,0)),0),"")</f>
        <v>109</v>
      </c>
      <c r="M237" s="123" t="n">
        <f aca="false">IF(OR(SUM($H237)&lt;=0,SUM($L237)&lt;=0),"",SUM($L237)/$H237)</f>
        <v>0.648809523809524</v>
      </c>
      <c r="N237" s="115" t="str">
        <f aca="false">_xlfn.IFNA(ROUND(INDEX(Spectrum!$N:$N,MATCH(RIGHT($B237,13)&amp;"|"&amp;$C237&amp;"|"&amp;$D237&amp;"|"&amp;N$14&amp;"|"&amp;"CY2020Q4",Spectrum!$Q:$Q,0)),0),"")</f>
        <v/>
      </c>
      <c r="O237" s="123" t="str">
        <f aca="false">_xlfn.IFNA(INDEX(Spectrum!$P:$P,MATCH(RIGHT($B237,13)&amp;"|"&amp;$C237&amp;"|"&amp;$D237&amp;"|"&amp;N$14&amp;"|"&amp;"CY2020Q4",Spectrum!$Q:$Q,0)),"")</f>
        <v/>
      </c>
      <c r="P237" s="115" t="n">
        <f aca="false">_xlfn.IFNA(ROUND(INDEX(Spectrum!$N:$N,MATCH(RIGHT($B237,13)&amp;"|"&amp;$C237&amp;"|"&amp;$D237&amp;"|"&amp;P$14&amp;"|"&amp;"CY2021Q3",Spectrum!$Q:$Q,0)),0),"")</f>
        <v>123</v>
      </c>
      <c r="Q237" s="123" t="n">
        <f aca="false">_xlfn.IFNA(INDEX(Spectrum!$P:$P,MATCH(RIGHT($B237,13)&amp;"|"&amp;$C237&amp;"|"&amp;$D237&amp;"|"&amp;P$14&amp;"|"&amp;"CY2021Q3",Spectrum!$Q:$Q,0)),"")</f>
        <v>25</v>
      </c>
      <c r="R237" s="115"/>
      <c r="S237" s="123" t="str">
        <f aca="false">IF(OR(SUM($P237)&lt;=0,SUM($R237)&lt;=0),"",SUM($R237)/$P237)</f>
        <v/>
      </c>
      <c r="T237" s="139" t="n">
        <v>9</v>
      </c>
      <c r="U237" s="124" t="n">
        <v>37</v>
      </c>
      <c r="V237" s="124" t="n">
        <f aca="false">IF($U237-$T237=0,"",$U237-$T237)</f>
        <v>28</v>
      </c>
      <c r="W237" s="123" t="n">
        <f aca="false">IF(LEFT($B237,4)="_Mil","",IFERROR(MIN(IF(SUM($N237)&lt;=0,SUM($U237)/SUM($P237),SUM($T237)/SUM($N237)),1),""))</f>
        <v>0.300813008130081</v>
      </c>
      <c r="X237" s="123" t="n">
        <f aca="false">$W237</f>
        <v>0.300813008130081</v>
      </c>
      <c r="Y237" s="123" t="n">
        <f aca="false">IFERROR(1/(1/INDEX(Spectrum!$N:$N,MATCH(RIGHT($B237,13)&amp;"|"&amp;$C237&amp;"|"&amp;$D237&amp;"|"&amp;Y$14&amp;"|"&amp;"CY2021Q3",Spectrum!$Q:$Q,0))),IF(SUM($H237)=0,"",MAX(SUM($P237),SUM($U237))/SUM($H237)))</f>
        <v>0.732142857142857</v>
      </c>
      <c r="Z237" s="123" t="n">
        <f aca="false">IF(SUM($Y237)=0,"",MAX(SUM($Y237),90%))</f>
        <v>0.9</v>
      </c>
      <c r="AA237" s="115" t="n">
        <f aca="false">IF(LEFT($B237,4)="_Mil","",ROUND(MAX(SUM($U237),SUM($P237))+IF(SUM($Z237)=0,0,MAX(SUM($Z237)-SUM($Y237),0)*SUM($H237)),0))</f>
        <v>151</v>
      </c>
      <c r="AB237" s="115" t="n">
        <f aca="false">IF(SUM($AA237)=0,"",ROUND(MAX(SUM($AA237)-MAX(SUM($P237),SUM($U237)),0),0))</f>
        <v>28</v>
      </c>
      <c r="AC237" s="126" t="str">
        <f aca="false">IF($C237="&lt;01",IFERROR(ROUND(INDEX(EID!$N:$N,MATCH($B237,EID!$B:$B,0))/2,0),""),"")</f>
        <v/>
      </c>
      <c r="AD237" s="115" t="n">
        <f aca="false">IF($C237="&lt;01",IF(SUM($AC237)=0,"",ROUND(SUM($AC237)/$AG237,0)),IF(SUM($AB237)=0,"",ROUND(MAX($X237,0)*SUM($AB237),0)))</f>
        <v>8</v>
      </c>
      <c r="AE237" s="115" t="n">
        <f aca="false">IF(AND(SUM($AD237)=0,SUM($U237)=0),"",ROUND(IF($C237="&lt;01",0,SUM($U237))+SUM($AD237),0))</f>
        <v>45</v>
      </c>
      <c r="AF237" s="122" t="n">
        <f aca="false">IF($C237="&lt;01","",100%)</f>
        <v>1</v>
      </c>
      <c r="AG237" s="123" t="n">
        <f aca="false">0.98</f>
        <v>0.98</v>
      </c>
      <c r="AH237" s="123" t="n">
        <f aca="false">0.98</f>
        <v>0.98</v>
      </c>
      <c r="AI237" s="124" t="n">
        <f aca="false">IF(OR($C237="&lt;01",SUM($U237)=0),"",ROUND(SUM($U237)*(1-$AH237),0))</f>
        <v>1</v>
      </c>
      <c r="AJ237" s="124" t="n">
        <f aca="false">IF(AND(SUM($AE237)=0,SUM($U237)=0),"",IF($C237="&lt;01",SUM($AD237),SUM($AE237) - ROUND(SUM($U237)*$AH237,0)))</f>
        <v>9</v>
      </c>
      <c r="AK237" s="124" t="n">
        <v>5</v>
      </c>
      <c r="AL237" s="124" t="n">
        <v>25</v>
      </c>
      <c r="AM237" s="115" t="n">
        <f aca="false">IF(AND(SUM($AD237)=0,SUM($U237)=0),"",IF($C237="&lt;01",SUM($AD237),ROUND(ROUND(SUM($AJ237)*$AF237,0)/$AG237,0)))</f>
        <v>9</v>
      </c>
      <c r="AN237" s="122" t="n">
        <f aca="false">0.7</f>
        <v>0.7</v>
      </c>
      <c r="AO237" s="123" t="n">
        <f aca="false">1</f>
        <v>1</v>
      </c>
      <c r="AP237" s="115" t="n">
        <f aca="false">IF(AND(SUM($U237)=0,SUM($AM237)=0),"",ROUND((SUM($AM237)*$AN237+IF($C237="&lt;01",0,$U237))*$AO237,0))</f>
        <v>43</v>
      </c>
      <c r="AQ237" s="122" t="n">
        <v>7</v>
      </c>
      <c r="AR237" s="123" t="n">
        <f aca="false">0.95</f>
        <v>0.95</v>
      </c>
      <c r="AS237" s="123" t="n">
        <f aca="false">0.95</f>
        <v>0.95</v>
      </c>
      <c r="AT237" s="115" t="n">
        <f aca="false">IF(SUM($AP237)=0,"",ROUND(SUM($AP237)*$AR237,0))</f>
        <v>41</v>
      </c>
      <c r="AU237" s="115" t="n">
        <f aca="false">IF(LEFT($B237,4)="_Mil","",ROUND(SUM($AA237)*SUM($AS237),0))</f>
        <v>143</v>
      </c>
      <c r="AV237" s="124" t="n">
        <f aca="false">IF(SUM($AU237)&lt;=0,"",MAX(SUM($AU237)-SUM($R237),0))</f>
        <v>143</v>
      </c>
      <c r="AW237" s="122" t="n">
        <f aca="false">0</f>
        <v>0</v>
      </c>
      <c r="AX237" s="124" t="n">
        <f aca="false">IF(SUM($AM237)=0,"",ROUND(SUM($AM237)*SUM($AW237),0))</f>
        <v>0</v>
      </c>
      <c r="AY237" s="124" t="n">
        <f aca="false">IF(SUM($AM237)=0,"",SUM($AM237)-SUM($AX237))</f>
        <v>9</v>
      </c>
      <c r="AZ237" s="123" t="n">
        <v>33</v>
      </c>
      <c r="BA237" s="123" t="n">
        <f aca="false">0.95</f>
        <v>0.95</v>
      </c>
      <c r="BB237" s="123"/>
      <c r="BC237" s="123" t="n">
        <f aca="false">IF(OR(SUM($AM237)&lt;=0,$C237="&lt;01"),"",MAX(IF(OR(SUM($Y237)&lt;70%,LEFT($B237,4)="_Mil"),30%,IF(SUM($Y237)&gt;=80%,75%,50%)),SUM($BB237)))</f>
        <v>0.5</v>
      </c>
      <c r="BD237" s="115" t="n">
        <f aca="false">IF($C237="&lt;01",IFERROR(ROUND(INDEX(EID!$M:$M,MATCH($B237,EID!$B:$B,0)),0)/2,""),IF(SUM($AY237)=0,"",ROUND(SUM($AY237)/SUM($BA237),0)))</f>
        <v>9</v>
      </c>
      <c r="BE237" s="115" t="n">
        <f aca="false">IF($C237="&lt;01","",IF(SUM($BD237)=0,"",ROUND(SUM($BD237)*SUM($BC237),0)))</f>
        <v>5</v>
      </c>
      <c r="BF237" s="115" t="n">
        <f aca="false">_xlfn.IFNA(INDEX(PMTCT!$AE:$AE,MATCH($E237,PMTCT!$E:$E,0)),"")</f>
        <v>0</v>
      </c>
      <c r="BG237" s="115" t="n">
        <f aca="false">_xlfn.IFNA(INDEX(PMTCT!$AU:$AU,MATCH($E237,PMTCT!$E:$E,0)),"")</f>
        <v>0</v>
      </c>
      <c r="BH237" s="115" t="n">
        <f aca="false">_xlfn.IFNA(INDEX(TB!$Q:$Q,MATCH($E237,TB!$E:$E,0)),"")</f>
        <v>0</v>
      </c>
      <c r="BI237" s="115" t="str">
        <f aca="false">_xlfn.IFNA(INDEX(VMMC!$AC:$AC,MATCH($E237,VMMC!$E:$E,0)),"")</f>
        <v/>
      </c>
      <c r="BJ237" s="115" t="str">
        <f aca="false">IF($C237="&lt;01",$BD237,"")</f>
        <v/>
      </c>
      <c r="BK237" s="115" t="n">
        <f aca="false">IF(SUM($BD237)=0,"",($BD237)-SUM($BE237:$BJ237))</f>
        <v>4</v>
      </c>
      <c r="BL237" s="123" t="n">
        <f aca="false">IF(OR(SUM($BD237)=0,SUM($BE237)=0),"",SUM($BE237)/$BD237)</f>
        <v>0.555555555555556</v>
      </c>
      <c r="BM237" s="123" t="str">
        <f aca="false">IF(OR(SUM($BD237)=0,SUM($BF237)=0),"",SUM($BF237)/$BD237)</f>
        <v/>
      </c>
      <c r="BN237" s="123" t="str">
        <f aca="false">IF(OR(SUM($BD237)=0,SUM($BG237)=0),"",SUM($BG237)/$BD237)</f>
        <v/>
      </c>
      <c r="BO237" s="123" t="str">
        <f aca="false">IF(OR(SUM($BD237)=0,SUM($BH237)=0),"",SUM($BH237)/$BD237)</f>
        <v/>
      </c>
      <c r="BP237" s="123" t="str">
        <f aca="false">IF(OR(SUM($BD237)=0,SUM($BI237)=0),"",SUM($BI237)/$BD237)</f>
        <v/>
      </c>
      <c r="BQ237" s="123" t="str">
        <f aca="false">IF(AND($C237="&lt;01",SUM($BJ237)&lt;&gt;0),$BJ237/SUM($BD237),"")</f>
        <v/>
      </c>
      <c r="BR237" s="123" t="n">
        <f aca="false">IF(OR(SUM($BD237)=0,SUM($BK237)=0),"",SUM($BK237)/$BD237)</f>
        <v>0.444444444444444</v>
      </c>
      <c r="BS237" s="122" t="n">
        <f aca="false">IF(SUM($X237)&lt;=0,"",$X237)</f>
        <v>0.300813008130081</v>
      </c>
      <c r="BT237" s="115" t="n">
        <f aca="false">IF(LEFT($B237,4)="_Mil","",MAX(SUM($L237)+ROUND(SUM($BD237)/IF(SUM($BS237)&lt;=0,1,SUM($BS237)),0),0))</f>
        <v>139</v>
      </c>
    </row>
    <row r="238" customFormat="false" ht="15" hidden="false" customHeight="false" outlineLevel="0" collapsed="false">
      <c r="A238" s="0" t="s">
        <v>150</v>
      </c>
      <c r="B238" s="0" t="s">
        <v>117</v>
      </c>
      <c r="C238" s="0" t="s">
        <v>61</v>
      </c>
      <c r="D238" s="0" t="s">
        <v>58</v>
      </c>
      <c r="E238" s="0" t="str">
        <f aca="false">B238&amp;"|"&amp;C238&amp;"|"&amp;D238</f>
        <v>Quthing [#SNU] [HuwCoDZG0FY]|10-14|Male</v>
      </c>
      <c r="F238" s="115" t="n">
        <f aca="false">_xlfn.IFNA(ROUND(INDEX(Spectrum!$N:$N,MATCH(RIGHT($B238,13)&amp;"|"&amp;$C238&amp;"|"&amp;$D238&amp;"|"&amp;F$14&amp;"|"&amp;"CY2021Q3",Spectrum!$Q:$Q,0)),0),"")</f>
        <v>6372</v>
      </c>
      <c r="G238" s="123" t="n">
        <f aca="false">_xlfn.IFNA(INDEX(Spectrum!$P:$P,MATCH(RIGHT($B238,13)&amp;"|"&amp;$C238&amp;"|"&amp;$D238&amp;"|"&amp;F$14&amp;"|"&amp;"CY2021Q3",Spectrum!$Q:$Q,0)),"")</f>
        <v>1</v>
      </c>
      <c r="H238" s="115" t="n">
        <f aca="false">_xlfn.IFNA(ROUND(INDEX(Spectrum!$N:$N,MATCH(RIGHT($B238,13)&amp;"|"&amp;$C238&amp;"|"&amp;$D238&amp;"|"&amp;H$14&amp;"|"&amp;"CY2021Q3",Spectrum!$Q:$Q,0)),0),"")</f>
        <v>173</v>
      </c>
      <c r="I238" s="123" t="n">
        <f aca="false">_xlfn.IFNA(INDEX(Spectrum!$P:$P,MATCH(RIGHT($B238,13)&amp;"|"&amp;$C238&amp;"|"&amp;$D238&amp;"|"&amp;H$14&amp;"|"&amp;"CY2021Q3",Spectrum!$Q:$Q,0)),"")</f>
        <v>7</v>
      </c>
      <c r="J238" s="117" t="n">
        <f aca="false">_xlfn.IFNA(INDEX(Spectrum!$N:$N,MATCH(RIGHT($B238,13)&amp;"|"&amp;$C238&amp;"|"&amp;$D238&amp;"|"&amp;J$14&amp;"|"&amp;"CY2021Q3",Spectrum!$Q:$Q,0)),"")</f>
        <v>0.027139</v>
      </c>
      <c r="K238" s="123" t="n">
        <f aca="false">_xlfn.IFNA(INDEX(Spectrum!$P:$P,MATCH(RIGHT($B238,13)&amp;"|"&amp;$C238&amp;"|"&amp;$D238&amp;"|"&amp;J$14&amp;"|"&amp;"CY2021Q3",Spectrum!$Q:$Q,0)),"")</f>
        <v>22</v>
      </c>
      <c r="L238" s="115" t="n">
        <f aca="false">_xlfn.IFNA(ROUND(INDEX(Spectrum!$N:$N,MATCH(RIGHT($B238,13)&amp;"|"&amp;$C238&amp;"|"&amp;$D238&amp;"|"&amp;L$14&amp;"|"&amp;"CY2021Q3",Spectrum!$Q:$Q,0)),0),"")</f>
        <v>114</v>
      </c>
      <c r="M238" s="123" t="n">
        <f aca="false">IF(OR(SUM($H238)&lt;=0,SUM($L238)&lt;=0),"",SUM($L238)/$H238)</f>
        <v>0.658959537572254</v>
      </c>
      <c r="N238" s="115" t="str">
        <f aca="false">_xlfn.IFNA(ROUND(INDEX(Spectrum!$N:$N,MATCH(RIGHT($B238,13)&amp;"|"&amp;$C238&amp;"|"&amp;$D238&amp;"|"&amp;N$14&amp;"|"&amp;"CY2020Q4",Spectrum!$Q:$Q,0)),0),"")</f>
        <v/>
      </c>
      <c r="O238" s="123" t="str">
        <f aca="false">_xlfn.IFNA(INDEX(Spectrum!$P:$P,MATCH(RIGHT($B238,13)&amp;"|"&amp;$C238&amp;"|"&amp;$D238&amp;"|"&amp;N$14&amp;"|"&amp;"CY2020Q4",Spectrum!$Q:$Q,0)),"")</f>
        <v/>
      </c>
      <c r="P238" s="115" t="n">
        <f aca="false">_xlfn.IFNA(ROUND(INDEX(Spectrum!$N:$N,MATCH(RIGHT($B238,13)&amp;"|"&amp;$C238&amp;"|"&amp;$D238&amp;"|"&amp;P$14&amp;"|"&amp;"CY2021Q3",Spectrum!$Q:$Q,0)),0),"")</f>
        <v>128</v>
      </c>
      <c r="Q238" s="123" t="n">
        <f aca="false">_xlfn.IFNA(INDEX(Spectrum!$P:$P,MATCH(RIGHT($B238,13)&amp;"|"&amp;$C238&amp;"|"&amp;$D238&amp;"|"&amp;P$14&amp;"|"&amp;"CY2021Q3",Spectrum!$Q:$Q,0)),"")</f>
        <v>34</v>
      </c>
      <c r="R238" s="115"/>
      <c r="S238" s="123" t="str">
        <f aca="false">IF(OR(SUM($P238)&lt;=0,SUM($R238)&lt;=0),"",SUM($R238)/$P238)</f>
        <v/>
      </c>
      <c r="T238" s="139" t="n">
        <v>17</v>
      </c>
      <c r="U238" s="124" t="n">
        <v>22</v>
      </c>
      <c r="V238" s="124" t="n">
        <f aca="false">IF($U238-$T238=0,"",$U238-$T238)</f>
        <v>5</v>
      </c>
      <c r="W238" s="123" t="n">
        <f aca="false">IF(LEFT($B238,4)="_Mil","",IFERROR(MIN(IF(SUM($N238)&lt;=0,SUM($U238)/SUM($P238),SUM($T238)/SUM($N238)),1),""))</f>
        <v>0.171875</v>
      </c>
      <c r="X238" s="123" t="n">
        <f aca="false">$W238</f>
        <v>0.171875</v>
      </c>
      <c r="Y238" s="123" t="n">
        <f aca="false">IFERROR(1/(1/INDEX(Spectrum!$N:$N,MATCH(RIGHT($B238,13)&amp;"|"&amp;$C238&amp;"|"&amp;$D238&amp;"|"&amp;Y$14&amp;"|"&amp;"CY2021Q3",Spectrum!$Q:$Q,0))),IF(SUM($H238)=0,"",MAX(SUM($P238),SUM($U238))/SUM($H238)))</f>
        <v>0.739884393063584</v>
      </c>
      <c r="Z238" s="123" t="n">
        <f aca="false">IF(SUM($Y238)=0,"",MAX(SUM($Y238),90%))</f>
        <v>0.9</v>
      </c>
      <c r="AA238" s="115" t="n">
        <f aca="false">IF(LEFT($B238,4)="_Mil","",ROUND(MAX(SUM($U238),SUM($P238))+IF(SUM($Z238)=0,0,MAX(SUM($Z238)-SUM($Y238),0)*SUM($H238)),0))</f>
        <v>156</v>
      </c>
      <c r="AB238" s="115" t="n">
        <f aca="false">IF(SUM($AA238)=0,"",ROUND(MAX(SUM($AA238)-MAX(SUM($P238),SUM($U238)),0),0))</f>
        <v>28</v>
      </c>
      <c r="AC238" s="126" t="str">
        <f aca="false">IF($C238="&lt;01",IFERROR(ROUND(INDEX(EID!$N:$N,MATCH($B238,EID!$B:$B,0))/2,0),""),"")</f>
        <v/>
      </c>
      <c r="AD238" s="115" t="n">
        <f aca="false">IF($C238="&lt;01",IF(SUM($AC238)=0,"",ROUND(SUM($AC238)/$AG238,0)),IF(SUM($AB238)=0,"",ROUND(MAX($X238,0)*SUM($AB238),0)))</f>
        <v>5</v>
      </c>
      <c r="AE238" s="115" t="n">
        <f aca="false">IF(AND(SUM($AD238)=0,SUM($U238)=0),"",ROUND(IF($C238="&lt;01",0,SUM($U238))+SUM($AD238),0))</f>
        <v>27</v>
      </c>
      <c r="AF238" s="122" t="n">
        <f aca="false">IF($C238="&lt;01","",100%)</f>
        <v>1</v>
      </c>
      <c r="AG238" s="123" t="n">
        <f aca="false">0.98</f>
        <v>0.98</v>
      </c>
      <c r="AH238" s="123" t="n">
        <f aca="false">0.98</f>
        <v>0.98</v>
      </c>
      <c r="AI238" s="124" t="n">
        <f aca="false">IF(OR($C238="&lt;01",SUM($U238)=0),"",ROUND(SUM($U238)*(1-$AH238),0))</f>
        <v>0</v>
      </c>
      <c r="AJ238" s="124" t="n">
        <f aca="false">IF(AND(SUM($AE238)=0,SUM($U238)=0),"",IF($C238="&lt;01",SUM($AD238),SUM($AE238) - ROUND(SUM($U238)*$AH238,0)))</f>
        <v>5</v>
      </c>
      <c r="AK238" s="124" t="n">
        <v>37</v>
      </c>
      <c r="AL238" s="124" t="n">
        <v>19</v>
      </c>
      <c r="AM238" s="115" t="n">
        <f aca="false">IF(AND(SUM($AD238)=0,SUM($U238)=0),"",IF($C238="&lt;01",SUM($AD238),ROUND(ROUND(SUM($AJ238)*$AF238,0)/$AG238,0)))</f>
        <v>5</v>
      </c>
      <c r="AN238" s="122" t="n">
        <f aca="false">0.7</f>
        <v>0.7</v>
      </c>
      <c r="AO238" s="123" t="n">
        <f aca="false">1</f>
        <v>1</v>
      </c>
      <c r="AP238" s="115" t="n">
        <f aca="false">IF(AND(SUM($U238)=0,SUM($AM238)=0),"",ROUND((SUM($AM238)*$AN238+IF($C238="&lt;01",0,$U238))*$AO238,0))</f>
        <v>26</v>
      </c>
      <c r="AQ238" s="122" t="n">
        <v>9</v>
      </c>
      <c r="AR238" s="123" t="n">
        <f aca="false">0.95</f>
        <v>0.95</v>
      </c>
      <c r="AS238" s="123" t="n">
        <f aca="false">0.95</f>
        <v>0.95</v>
      </c>
      <c r="AT238" s="115" t="n">
        <f aca="false">IF(SUM($AP238)=0,"",ROUND(SUM($AP238)*$AR238,0))</f>
        <v>25</v>
      </c>
      <c r="AU238" s="115" t="n">
        <f aca="false">IF(LEFT($B238,4)="_Mil","",ROUND(SUM($AA238)*SUM($AS238),0))</f>
        <v>148</v>
      </c>
      <c r="AV238" s="124" t="n">
        <f aca="false">IF(SUM($AU238)&lt;=0,"",MAX(SUM($AU238)-SUM($R238),0))</f>
        <v>148</v>
      </c>
      <c r="AW238" s="122" t="n">
        <f aca="false">0</f>
        <v>0</v>
      </c>
      <c r="AX238" s="124" t="n">
        <f aca="false">IF(SUM($AM238)=0,"",ROUND(SUM($AM238)*SUM($AW238),0))</f>
        <v>0</v>
      </c>
      <c r="AY238" s="124" t="n">
        <f aca="false">IF(SUM($AM238)=0,"",SUM($AM238)-SUM($AX238))</f>
        <v>5</v>
      </c>
      <c r="AZ238" s="123" t="n">
        <v>6</v>
      </c>
      <c r="BA238" s="123" t="n">
        <f aca="false">0.95</f>
        <v>0.95</v>
      </c>
      <c r="BB238" s="123"/>
      <c r="BC238" s="123" t="n">
        <f aca="false">IF(OR(SUM($AM238)&lt;=0,$C238="&lt;01"),"",MAX(IF(OR(SUM($Y238)&lt;70%,LEFT($B238,4)="_Mil"),30%,IF(SUM($Y238)&gt;=80%,75%,50%)),SUM($BB238)))</f>
        <v>0.5</v>
      </c>
      <c r="BD238" s="115" t="n">
        <f aca="false">IF($C238="&lt;01",IFERROR(ROUND(INDEX(EID!$M:$M,MATCH($B238,EID!$B:$B,0)),0)/2,""),IF(SUM($AY238)=0,"",ROUND(SUM($AY238)/SUM($BA238),0)))</f>
        <v>5</v>
      </c>
      <c r="BE238" s="115" t="n">
        <f aca="false">IF($C238="&lt;01","",IF(SUM($BD238)=0,"",ROUND(SUM($BD238)*SUM($BC238),0)))</f>
        <v>3</v>
      </c>
      <c r="BF238" s="115" t="str">
        <f aca="false">_xlfn.IFNA(INDEX(PMTCT!$AE:$AE,MATCH($E238,PMTCT!$E:$E,0)),"")</f>
        <v/>
      </c>
      <c r="BG238" s="115" t="str">
        <f aca="false">_xlfn.IFNA(INDEX(PMTCT!$AU:$AU,MATCH($E238,PMTCT!$E:$E,0)),"")</f>
        <v/>
      </c>
      <c r="BH238" s="115" t="n">
        <f aca="false">_xlfn.IFNA(INDEX(TB!$Q:$Q,MATCH($E238,TB!$E:$E,0)),"")</f>
        <v>-0</v>
      </c>
      <c r="BI238" s="115" t="str">
        <f aca="false">_xlfn.IFNA(INDEX(VMMC!$AC:$AC,MATCH($E238,VMMC!$E:$E,0)),"")</f>
        <v/>
      </c>
      <c r="BJ238" s="115" t="str">
        <f aca="false">IF($C238="&lt;01",$BD238,"")</f>
        <v/>
      </c>
      <c r="BK238" s="115" t="n">
        <f aca="false">IF(SUM($BD238)=0,"",($BD238)-SUM($BE238:$BJ238))</f>
        <v>2</v>
      </c>
      <c r="BL238" s="123" t="n">
        <f aca="false">IF(OR(SUM($BD238)=0,SUM($BE238)=0),"",SUM($BE238)/$BD238)</f>
        <v>0.6</v>
      </c>
      <c r="BM238" s="123" t="str">
        <f aca="false">IF(OR(SUM($BD238)=0,SUM($BF238)=0),"",SUM($BF238)/$BD238)</f>
        <v/>
      </c>
      <c r="BN238" s="123" t="str">
        <f aca="false">IF(OR(SUM($BD238)=0,SUM($BG238)=0),"",SUM($BG238)/$BD238)</f>
        <v/>
      </c>
      <c r="BO238" s="123" t="str">
        <f aca="false">IF(OR(SUM($BD238)=0,SUM($BH238)=0),"",SUM($BH238)/$BD238)</f>
        <v/>
      </c>
      <c r="BP238" s="123" t="str">
        <f aca="false">IF(OR(SUM($BD238)=0,SUM($BI238)=0),"",SUM($BI238)/$BD238)</f>
        <v/>
      </c>
      <c r="BQ238" s="123" t="str">
        <f aca="false">IF(AND($C238="&lt;01",SUM($BJ238)&lt;&gt;0),$BJ238/SUM($BD238),"")</f>
        <v/>
      </c>
      <c r="BR238" s="123" t="n">
        <f aca="false">IF(OR(SUM($BD238)=0,SUM($BK238)=0),"",SUM($BK238)/$BD238)</f>
        <v>0.4</v>
      </c>
      <c r="BS238" s="122" t="n">
        <f aca="false">IF(SUM($X238)&lt;=0,"",$X238)</f>
        <v>0.171875</v>
      </c>
      <c r="BT238" s="115" t="n">
        <f aca="false">IF(LEFT($B238,4)="_Mil","",MAX(SUM($L238)+ROUND(SUM($BD238)/IF(SUM($BS238)&lt;=0,1,SUM($BS238)),0),0))</f>
        <v>143</v>
      </c>
    </row>
    <row r="239" customFormat="false" ht="15" hidden="false" customHeight="false" outlineLevel="0" collapsed="false">
      <c r="A239" s="0" t="s">
        <v>150</v>
      </c>
      <c r="B239" s="0" t="s">
        <v>117</v>
      </c>
      <c r="C239" s="0" t="s">
        <v>63</v>
      </c>
      <c r="D239" s="0" t="s">
        <v>56</v>
      </c>
      <c r="E239" s="0" t="str">
        <f aca="false">B239&amp;"|"&amp;C239&amp;"|"&amp;D239</f>
        <v>Quthing [#SNU] [HuwCoDZG0FY]|15-19|Female</v>
      </c>
      <c r="F239" s="115" t="n">
        <f aca="false">_xlfn.IFNA(ROUND(INDEX(Spectrum!$N:$N,MATCH(RIGHT($B239,13)&amp;"|"&amp;$C239&amp;"|"&amp;$D239&amp;"|"&amp;F$14&amp;"|"&amp;"CY2021Q3",Spectrum!$Q:$Q,0)),0),"")</f>
        <v>5488</v>
      </c>
      <c r="G239" s="123" t="n">
        <f aca="false">_xlfn.IFNA(INDEX(Spectrum!$P:$P,MATCH(RIGHT($B239,13)&amp;"|"&amp;$C239&amp;"|"&amp;$D239&amp;"|"&amp;F$14&amp;"|"&amp;"CY2021Q3",Spectrum!$Q:$Q,0)),"")</f>
        <v>2</v>
      </c>
      <c r="H239" s="115" t="n">
        <f aca="false">_xlfn.IFNA(ROUND(INDEX(Spectrum!$N:$N,MATCH(RIGHT($B239,13)&amp;"|"&amp;$C239&amp;"|"&amp;$D239&amp;"|"&amp;H$14&amp;"|"&amp;"CY2021Q3",Spectrum!$Q:$Q,0)),0),"")</f>
        <v>280</v>
      </c>
      <c r="I239" s="123" t="n">
        <f aca="false">_xlfn.IFNA(INDEX(Spectrum!$P:$P,MATCH(RIGHT($B239,13)&amp;"|"&amp;$C239&amp;"|"&amp;$D239&amp;"|"&amp;H$14&amp;"|"&amp;"CY2021Q3",Spectrum!$Q:$Q,0)),"")</f>
        <v>32</v>
      </c>
      <c r="J239" s="117" t="n">
        <f aca="false">_xlfn.IFNA(INDEX(Spectrum!$N:$N,MATCH(RIGHT($B239,13)&amp;"|"&amp;$C239&amp;"|"&amp;$D239&amp;"|"&amp;J$14&amp;"|"&amp;"CY2021Q3",Spectrum!$Q:$Q,0)),"")</f>
        <v>0.0510084</v>
      </c>
      <c r="K239" s="123" t="n">
        <f aca="false">_xlfn.IFNA(INDEX(Spectrum!$P:$P,MATCH(RIGHT($B239,13)&amp;"|"&amp;$C239&amp;"|"&amp;$D239&amp;"|"&amp;J$14&amp;"|"&amp;"CY2021Q3",Spectrum!$Q:$Q,0)),"")</f>
        <v>22</v>
      </c>
      <c r="L239" s="115" t="n">
        <f aca="false">_xlfn.IFNA(ROUND(INDEX(Spectrum!$N:$N,MATCH(RIGHT($B239,13)&amp;"|"&amp;$C239&amp;"|"&amp;$D239&amp;"|"&amp;L$14&amp;"|"&amp;"CY2021Q3",Spectrum!$Q:$Q,0)),0),"")</f>
        <v>206</v>
      </c>
      <c r="M239" s="123" t="n">
        <f aca="false">IF(OR(SUM($H239)&lt;=0,SUM($L239)&lt;=0),"",SUM($L239)/$H239)</f>
        <v>0.735714285714286</v>
      </c>
      <c r="N239" s="115" t="str">
        <f aca="false">_xlfn.IFNA(ROUND(INDEX(Spectrum!$N:$N,MATCH(RIGHT($B239,13)&amp;"|"&amp;$C239&amp;"|"&amp;$D239&amp;"|"&amp;N$14&amp;"|"&amp;"CY2020Q4",Spectrum!$Q:$Q,0)),0),"")</f>
        <v/>
      </c>
      <c r="O239" s="123" t="str">
        <f aca="false">_xlfn.IFNA(INDEX(Spectrum!$P:$P,MATCH(RIGHT($B239,13)&amp;"|"&amp;$C239&amp;"|"&amp;$D239&amp;"|"&amp;N$14&amp;"|"&amp;"CY2020Q4",Spectrum!$Q:$Q,0)),"")</f>
        <v/>
      </c>
      <c r="P239" s="115" t="n">
        <f aca="false">_xlfn.IFNA(ROUND(INDEX(Spectrum!$N:$N,MATCH(RIGHT($B239,13)&amp;"|"&amp;$C239&amp;"|"&amp;$D239&amp;"|"&amp;P$14&amp;"|"&amp;"CY2021Q3",Spectrum!$Q:$Q,0)),0),"")</f>
        <v>178</v>
      </c>
      <c r="Q239" s="123" t="n">
        <f aca="false">_xlfn.IFNA(INDEX(Spectrum!$P:$P,MATCH(RIGHT($B239,13)&amp;"|"&amp;$C239&amp;"|"&amp;$D239&amp;"|"&amp;P$14&amp;"|"&amp;"CY2021Q3",Spectrum!$Q:$Q,0)),"")</f>
        <v>8</v>
      </c>
      <c r="R239" s="115"/>
      <c r="S239" s="123" t="str">
        <f aca="false">IF(OR(SUM($P239)&lt;=0,SUM($R239)&lt;=0),"",SUM($R239)/$P239)</f>
        <v/>
      </c>
      <c r="T239" s="139" t="n">
        <v>12</v>
      </c>
      <c r="U239" s="124" t="n">
        <v>37</v>
      </c>
      <c r="V239" s="124" t="n">
        <f aca="false">IF($U239-$T239=0,"",$U239-$T239)</f>
        <v>25</v>
      </c>
      <c r="W239" s="123" t="n">
        <f aca="false">IF(LEFT($B239,4)="_Mil","",IFERROR(MIN(IF(SUM($N239)&lt;=0,SUM($U239)/SUM($P239),SUM($T239)/SUM($N239)),1),""))</f>
        <v>0.207865168539326</v>
      </c>
      <c r="X239" s="123" t="n">
        <f aca="false">$W239</f>
        <v>0.207865168539326</v>
      </c>
      <c r="Y239" s="123" t="n">
        <f aca="false">IFERROR(1/(1/INDEX(Spectrum!$N:$N,MATCH(RIGHT($B239,13)&amp;"|"&amp;$C239&amp;"|"&amp;$D239&amp;"|"&amp;Y$14&amp;"|"&amp;"CY2021Q3",Spectrum!$Q:$Q,0))),IF(SUM($H239)=0,"",MAX(SUM($P239),SUM($U239))/SUM($H239)))</f>
        <v>0.635714285714286</v>
      </c>
      <c r="Z239" s="123" t="n">
        <f aca="false">IF(SUM($Y239)=0,"",MAX(SUM($Y239),90%))</f>
        <v>0.9</v>
      </c>
      <c r="AA239" s="115" t="n">
        <f aca="false">IF(LEFT($B239,4)="_Mil","",ROUND(MAX(SUM($U239),SUM($P239))+IF(SUM($Z239)=0,0,MAX(SUM($Z239)-SUM($Y239),0)*SUM($H239)),0))</f>
        <v>252</v>
      </c>
      <c r="AB239" s="115" t="n">
        <f aca="false">IF(SUM($AA239)=0,"",ROUND(MAX(SUM($AA239)-MAX(SUM($P239),SUM($U239)),0),0))</f>
        <v>74</v>
      </c>
      <c r="AC239" s="126" t="str">
        <f aca="false">IF($C239="&lt;01",IFERROR(ROUND(INDEX(EID!$N:$N,MATCH($B239,EID!$B:$B,0))/2,0),""),"")</f>
        <v/>
      </c>
      <c r="AD239" s="115" t="n">
        <f aca="false">IF($C239="&lt;01",IF(SUM($AC239)=0,"",ROUND(SUM($AC239)/$AG239,0)),IF(SUM($AB239)=0,"",ROUND(MAX($X239,0)*SUM($AB239),0)))</f>
        <v>15</v>
      </c>
      <c r="AE239" s="115" t="n">
        <f aca="false">IF(AND(SUM($AD239)=0,SUM($U239)=0),"",ROUND(IF($C239="&lt;01",0,SUM($U239))+SUM($AD239),0))</f>
        <v>52</v>
      </c>
      <c r="AF239" s="122" t="n">
        <f aca="false">IF($C239="&lt;01","",100%)</f>
        <v>1</v>
      </c>
      <c r="AG239" s="123" t="n">
        <f aca="false">0.98</f>
        <v>0.98</v>
      </c>
      <c r="AH239" s="123" t="n">
        <f aca="false">0.98</f>
        <v>0.98</v>
      </c>
      <c r="AI239" s="124" t="n">
        <f aca="false">IF(OR($C239="&lt;01",SUM($U239)=0),"",ROUND(SUM($U239)*(1-$AH239),0))</f>
        <v>1</v>
      </c>
      <c r="AJ239" s="124" t="n">
        <f aca="false">IF(AND(SUM($AE239)=0,SUM($U239)=0),"",IF($C239="&lt;01",SUM($AD239),SUM($AE239) - ROUND(SUM($U239)*$AH239,0)))</f>
        <v>16</v>
      </c>
      <c r="AK239" s="124" t="n">
        <v>31</v>
      </c>
      <c r="AL239" s="124" t="n">
        <v>22</v>
      </c>
      <c r="AM239" s="115" t="n">
        <f aca="false">IF(AND(SUM($AD239)=0,SUM($U239)=0),"",IF($C239="&lt;01",SUM($AD239),ROUND(ROUND(SUM($AJ239)*$AF239,0)/$AG239,0)))</f>
        <v>16</v>
      </c>
      <c r="AN239" s="122" t="n">
        <f aca="false">0.7</f>
        <v>0.7</v>
      </c>
      <c r="AO239" s="123" t="n">
        <f aca="false">1</f>
        <v>1</v>
      </c>
      <c r="AP239" s="115" t="n">
        <f aca="false">IF(AND(SUM($U239)=0,SUM($AM239)=0),"",ROUND((SUM($AM239)*$AN239+IF($C239="&lt;01",0,$U239))*$AO239,0))</f>
        <v>48</v>
      </c>
      <c r="AQ239" s="122" t="n">
        <v>12</v>
      </c>
      <c r="AR239" s="123" t="n">
        <f aca="false">0.95</f>
        <v>0.95</v>
      </c>
      <c r="AS239" s="123" t="n">
        <f aca="false">0.95</f>
        <v>0.95</v>
      </c>
      <c r="AT239" s="115" t="n">
        <f aca="false">IF(SUM($AP239)=0,"",ROUND(SUM($AP239)*$AR239,0))</f>
        <v>46</v>
      </c>
      <c r="AU239" s="115" t="n">
        <f aca="false">IF(LEFT($B239,4)="_Mil","",ROUND(SUM($AA239)*SUM($AS239),0))</f>
        <v>239</v>
      </c>
      <c r="AV239" s="124" t="n">
        <f aca="false">IF(SUM($AU239)&lt;=0,"",MAX(SUM($AU239)-SUM($R239),0))</f>
        <v>239</v>
      </c>
      <c r="AW239" s="122" t="n">
        <f aca="false">0</f>
        <v>0</v>
      </c>
      <c r="AX239" s="124" t="n">
        <f aca="false">IF(SUM($AM239)=0,"",ROUND(SUM($AM239)*SUM($AW239),0))</f>
        <v>0</v>
      </c>
      <c r="AY239" s="124" t="n">
        <f aca="false">IF(SUM($AM239)=0,"",SUM($AM239)-SUM($AX239))</f>
        <v>16</v>
      </c>
      <c r="AZ239" s="123" t="n">
        <v>15</v>
      </c>
      <c r="BA239" s="123" t="n">
        <f aca="false">0.95</f>
        <v>0.95</v>
      </c>
      <c r="BB239" s="123"/>
      <c r="BC239" s="123" t="n">
        <f aca="false">IF(OR(SUM($AM239)&lt;=0,$C239="&lt;01"),"",MAX(IF(OR(SUM($Y239)&lt;70%,LEFT($B239,4)="_Mil"),30%,IF(SUM($Y239)&gt;=80%,75%,50%)),SUM($BB239)))</f>
        <v>0.3</v>
      </c>
      <c r="BD239" s="115" t="n">
        <f aca="false">IF($C239="&lt;01",IFERROR(ROUND(INDEX(EID!$M:$M,MATCH($B239,EID!$B:$B,0)),0)/2,""),IF(SUM($AY239)=0,"",ROUND(SUM($AY239)/SUM($BA239),0)))</f>
        <v>17</v>
      </c>
      <c r="BE239" s="115" t="n">
        <f aca="false">IF($C239="&lt;01","",IF(SUM($BD239)=0,"",ROUND(SUM($BD239)*SUM($BC239),0)))</f>
        <v>5</v>
      </c>
      <c r="BF239" s="115" t="n">
        <f aca="false">_xlfn.IFNA(INDEX(PMTCT!$AE:$AE,MATCH($E239,PMTCT!$E:$E,0)),"")</f>
        <v>-53406</v>
      </c>
      <c r="BG239" s="115" t="str">
        <f aca="false">_xlfn.IFNA(INDEX(PMTCT!$AU:$AU,MATCH($E239,PMTCT!$E:$E,0)),"")</f>
        <v/>
      </c>
      <c r="BH239" s="115" t="n">
        <f aca="false">_xlfn.IFNA(INDEX(TB!$Q:$Q,MATCH($E239,TB!$E:$E,0)),"")</f>
        <v>0</v>
      </c>
      <c r="BI239" s="115" t="str">
        <f aca="false">_xlfn.IFNA(INDEX(VMMC!$AC:$AC,MATCH($E239,VMMC!$E:$E,0)),"")</f>
        <v/>
      </c>
      <c r="BJ239" s="115" t="str">
        <f aca="false">IF($C239="&lt;01",$BD239,"")</f>
        <v/>
      </c>
      <c r="BK239" s="115" t="n">
        <f aca="false">IF(SUM($BD239)=0,"",($BD239)-SUM($BE239:$BJ239))</f>
        <v>53418</v>
      </c>
      <c r="BL239" s="123" t="n">
        <f aca="false">IF(OR(SUM($BD239)=0,SUM($BE239)=0),"",SUM($BE239)/$BD239)</f>
        <v>0.294117647058823</v>
      </c>
      <c r="BM239" s="123" t="n">
        <f aca="false">IF(OR(SUM($BD239)=0,SUM($BF239)=0),"",SUM($BF239)/$BD239)</f>
        <v>-3141.52941176471</v>
      </c>
      <c r="BN239" s="123" t="str">
        <f aca="false">IF(OR(SUM($BD239)=0,SUM($BG239)=0),"",SUM($BG239)/$BD239)</f>
        <v/>
      </c>
      <c r="BO239" s="123" t="str">
        <f aca="false">IF(OR(SUM($BD239)=0,SUM($BH239)=0),"",SUM($BH239)/$BD239)</f>
        <v/>
      </c>
      <c r="BP239" s="123" t="str">
        <f aca="false">IF(OR(SUM($BD239)=0,SUM($BI239)=0),"",SUM($BI239)/$BD239)</f>
        <v/>
      </c>
      <c r="BQ239" s="123" t="str">
        <f aca="false">IF(AND($C239="&lt;01",SUM($BJ239)&lt;&gt;0),$BJ239/SUM($BD239),"")</f>
        <v/>
      </c>
      <c r="BR239" s="123" t="n">
        <f aca="false">IF(OR(SUM($BD239)=0,SUM($BK239)=0),"",SUM($BK239)/$BD239)</f>
        <v>3142.23529411765</v>
      </c>
      <c r="BS239" s="122" t="n">
        <f aca="false">IF(SUM($X239)&lt;=0,"",$X239)</f>
        <v>0.207865168539326</v>
      </c>
      <c r="BT239" s="115" t="n">
        <f aca="false">IF(LEFT($B239,4)="_Mil","",MAX(SUM($L239)+ROUND(SUM($BD239)/IF(SUM($BS239)&lt;=0,1,SUM($BS239)),0),0))</f>
        <v>288</v>
      </c>
    </row>
    <row r="240" customFormat="false" ht="15" hidden="false" customHeight="false" outlineLevel="0" collapsed="false">
      <c r="A240" s="0" t="s">
        <v>150</v>
      </c>
      <c r="B240" s="0" t="s">
        <v>117</v>
      </c>
      <c r="C240" s="0" t="s">
        <v>63</v>
      </c>
      <c r="D240" s="0" t="s">
        <v>58</v>
      </c>
      <c r="E240" s="0" t="str">
        <f aca="false">B240&amp;"|"&amp;C240&amp;"|"&amp;D240</f>
        <v>Quthing [#SNU] [HuwCoDZG0FY]|15-19|Male</v>
      </c>
      <c r="F240" s="115" t="n">
        <f aca="false">_xlfn.IFNA(ROUND(INDEX(Spectrum!$N:$N,MATCH(RIGHT($B240,13)&amp;"|"&amp;$C240&amp;"|"&amp;$D240&amp;"|"&amp;F$14&amp;"|"&amp;"CY2021Q3",Spectrum!$Q:$Q,0)),0),"")</f>
        <v>5995</v>
      </c>
      <c r="G240" s="123" t="n">
        <f aca="false">_xlfn.IFNA(INDEX(Spectrum!$P:$P,MATCH(RIGHT($B240,13)&amp;"|"&amp;$C240&amp;"|"&amp;$D240&amp;"|"&amp;F$14&amp;"|"&amp;"CY2021Q3",Spectrum!$Q:$Q,0)),"")</f>
        <v>50</v>
      </c>
      <c r="H240" s="115" t="n">
        <f aca="false">_xlfn.IFNA(ROUND(INDEX(Spectrum!$N:$N,MATCH(RIGHT($B240,13)&amp;"|"&amp;$C240&amp;"|"&amp;$D240&amp;"|"&amp;H$14&amp;"|"&amp;"CY2021Q3",Spectrum!$Q:$Q,0)),0),"")</f>
        <v>178</v>
      </c>
      <c r="I240" s="123" t="n">
        <f aca="false">_xlfn.IFNA(INDEX(Spectrum!$P:$P,MATCH(RIGHT($B240,13)&amp;"|"&amp;$C240&amp;"|"&amp;$D240&amp;"|"&amp;H$14&amp;"|"&amp;"CY2021Q3",Spectrum!$Q:$Q,0)),"")</f>
        <v>30</v>
      </c>
      <c r="J240" s="117" t="n">
        <f aca="false">_xlfn.IFNA(INDEX(Spectrum!$N:$N,MATCH(RIGHT($B240,13)&amp;"|"&amp;$C240&amp;"|"&amp;$D240&amp;"|"&amp;J$14&amp;"|"&amp;"CY2021Q3",Spectrum!$Q:$Q,0)),"")</f>
        <v>0.0296477</v>
      </c>
      <c r="K240" s="123" t="n">
        <f aca="false">_xlfn.IFNA(INDEX(Spectrum!$P:$P,MATCH(RIGHT($B240,13)&amp;"|"&amp;$C240&amp;"|"&amp;$D240&amp;"|"&amp;J$14&amp;"|"&amp;"CY2021Q3",Spectrum!$Q:$Q,0)),"")</f>
        <v>21</v>
      </c>
      <c r="L240" s="115" t="n">
        <f aca="false">_xlfn.IFNA(ROUND(INDEX(Spectrum!$N:$N,MATCH(RIGHT($B240,13)&amp;"|"&amp;$C240&amp;"|"&amp;$D240&amp;"|"&amp;L$14&amp;"|"&amp;"CY2021Q3",Spectrum!$Q:$Q,0)),0),"")</f>
        <v>160</v>
      </c>
      <c r="M240" s="123" t="n">
        <f aca="false">IF(OR(SUM($H240)&lt;=0,SUM($L240)&lt;=0),"",SUM($L240)/$H240)</f>
        <v>0.898876404494382</v>
      </c>
      <c r="N240" s="115" t="str">
        <f aca="false">_xlfn.IFNA(ROUND(INDEX(Spectrum!$N:$N,MATCH(RIGHT($B240,13)&amp;"|"&amp;$C240&amp;"|"&amp;$D240&amp;"|"&amp;N$14&amp;"|"&amp;"CY2020Q4",Spectrum!$Q:$Q,0)),0),"")</f>
        <v/>
      </c>
      <c r="O240" s="123" t="str">
        <f aca="false">_xlfn.IFNA(INDEX(Spectrum!$P:$P,MATCH(RIGHT($B240,13)&amp;"|"&amp;$C240&amp;"|"&amp;$D240&amp;"|"&amp;N$14&amp;"|"&amp;"CY2020Q4",Spectrum!$Q:$Q,0)),"")</f>
        <v/>
      </c>
      <c r="P240" s="115" t="n">
        <f aca="false">_xlfn.IFNA(ROUND(INDEX(Spectrum!$N:$N,MATCH(RIGHT($B240,13)&amp;"|"&amp;$C240&amp;"|"&amp;$D240&amp;"|"&amp;P$14&amp;"|"&amp;"CY2021Q3",Spectrum!$Q:$Q,0)),0),"")</f>
        <v>142</v>
      </c>
      <c r="Q240" s="123" t="n">
        <f aca="false">_xlfn.IFNA(INDEX(Spectrum!$P:$P,MATCH(RIGHT($B240,13)&amp;"|"&amp;$C240&amp;"|"&amp;$D240&amp;"|"&amp;P$14&amp;"|"&amp;"CY2021Q3",Spectrum!$Q:$Q,0)),"")</f>
        <v>15</v>
      </c>
      <c r="R240" s="115"/>
      <c r="S240" s="123" t="str">
        <f aca="false">IF(OR(SUM($P240)&lt;=0,SUM($R240)&lt;=0),"",SUM($R240)/$P240)</f>
        <v/>
      </c>
      <c r="T240" s="139" t="n">
        <v>34</v>
      </c>
      <c r="U240" s="124" t="n">
        <v>7</v>
      </c>
      <c r="V240" s="124" t="n">
        <f aca="false">IF($U240-$T240=0,"",$U240-$T240)</f>
        <v>-27</v>
      </c>
      <c r="W240" s="123" t="n">
        <f aca="false">IF(LEFT($B240,4)="_Mil","",IFERROR(MIN(IF(SUM($N240)&lt;=0,SUM($U240)/SUM($P240),SUM($T240)/SUM($N240)),1),""))</f>
        <v>0.0492957746478873</v>
      </c>
      <c r="X240" s="123" t="n">
        <f aca="false">$W240</f>
        <v>0.0492957746478873</v>
      </c>
      <c r="Y240" s="123" t="n">
        <f aca="false">IFERROR(1/(1/INDEX(Spectrum!$N:$N,MATCH(RIGHT($B240,13)&amp;"|"&amp;$C240&amp;"|"&amp;$D240&amp;"|"&amp;Y$14&amp;"|"&amp;"CY2021Q3",Spectrum!$Q:$Q,0))),IF(SUM($H240)=0,"",MAX(SUM($P240),SUM($U240))/SUM($H240)))</f>
        <v>0.797752808988764</v>
      </c>
      <c r="Z240" s="123" t="n">
        <f aca="false">IF(SUM($Y240)=0,"",MAX(SUM($Y240),90%))</f>
        <v>0.9</v>
      </c>
      <c r="AA240" s="115" t="n">
        <f aca="false">IF(LEFT($B240,4)="_Mil","",ROUND(MAX(SUM($U240),SUM($P240))+IF(SUM($Z240)=0,0,MAX(SUM($Z240)-SUM($Y240),0)*SUM($H240)),0))</f>
        <v>160</v>
      </c>
      <c r="AB240" s="115" t="n">
        <f aca="false">IF(SUM($AA240)=0,"",ROUND(MAX(SUM($AA240)-MAX(SUM($P240),SUM($U240)),0),0))</f>
        <v>18</v>
      </c>
      <c r="AC240" s="126" t="str">
        <f aca="false">IF($C240="&lt;01",IFERROR(ROUND(INDEX(EID!$N:$N,MATCH($B240,EID!$B:$B,0))/2,0),""),"")</f>
        <v/>
      </c>
      <c r="AD240" s="115" t="n">
        <f aca="false">IF($C240="&lt;01",IF(SUM($AC240)=0,"",ROUND(SUM($AC240)/$AG240,0)),IF(SUM($AB240)=0,"",ROUND(MAX($X240,0)*SUM($AB240),0)))</f>
        <v>1</v>
      </c>
      <c r="AE240" s="115" t="n">
        <f aca="false">IF(AND(SUM($AD240)=0,SUM($U240)=0),"",ROUND(IF($C240="&lt;01",0,SUM($U240))+SUM($AD240),0))</f>
        <v>8</v>
      </c>
      <c r="AF240" s="122" t="n">
        <f aca="false">IF($C240="&lt;01","",100%)</f>
        <v>1</v>
      </c>
      <c r="AG240" s="123" t="n">
        <f aca="false">0.98</f>
        <v>0.98</v>
      </c>
      <c r="AH240" s="123" t="n">
        <f aca="false">0.98</f>
        <v>0.98</v>
      </c>
      <c r="AI240" s="124" t="n">
        <f aca="false">IF(OR($C240="&lt;01",SUM($U240)=0),"",ROUND(SUM($U240)*(1-$AH240),0))</f>
        <v>0</v>
      </c>
      <c r="AJ240" s="124" t="n">
        <f aca="false">IF(AND(SUM($AE240)=0,SUM($U240)=0),"",IF($C240="&lt;01",SUM($AD240),SUM($AE240) - ROUND(SUM($U240)*$AH240,0)))</f>
        <v>1</v>
      </c>
      <c r="AK240" s="124" t="n">
        <v>41</v>
      </c>
      <c r="AL240" s="124" t="n">
        <v>46</v>
      </c>
      <c r="AM240" s="115" t="n">
        <f aca="false">IF(AND(SUM($AD240)=0,SUM($U240)=0),"",IF($C240="&lt;01",SUM($AD240),ROUND(ROUND(SUM($AJ240)*$AF240,0)/$AG240,0)))</f>
        <v>1</v>
      </c>
      <c r="AN240" s="122" t="n">
        <f aca="false">0.7</f>
        <v>0.7</v>
      </c>
      <c r="AO240" s="123" t="n">
        <f aca="false">1</f>
        <v>1</v>
      </c>
      <c r="AP240" s="115" t="n">
        <f aca="false">IF(AND(SUM($U240)=0,SUM($AM240)=0),"",ROUND((SUM($AM240)*$AN240+IF($C240="&lt;01",0,$U240))*$AO240,0))</f>
        <v>8</v>
      </c>
      <c r="AQ240" s="122" t="n">
        <v>10</v>
      </c>
      <c r="AR240" s="123" t="n">
        <f aca="false">0.95</f>
        <v>0.95</v>
      </c>
      <c r="AS240" s="123" t="n">
        <f aca="false">0.95</f>
        <v>0.95</v>
      </c>
      <c r="AT240" s="115" t="n">
        <f aca="false">IF(SUM($AP240)=0,"",ROUND(SUM($AP240)*$AR240,0))</f>
        <v>8</v>
      </c>
      <c r="AU240" s="115" t="n">
        <f aca="false">IF(LEFT($B240,4)="_Mil","",ROUND(SUM($AA240)*SUM($AS240),0))</f>
        <v>152</v>
      </c>
      <c r="AV240" s="124" t="n">
        <f aca="false">IF(SUM($AU240)&lt;=0,"",MAX(SUM($AU240)-SUM($R240),0))</f>
        <v>152</v>
      </c>
      <c r="AW240" s="122" t="n">
        <f aca="false">0</f>
        <v>0</v>
      </c>
      <c r="AX240" s="124" t="n">
        <f aca="false">IF(SUM($AM240)=0,"",ROUND(SUM($AM240)*SUM($AW240),0))</f>
        <v>0</v>
      </c>
      <c r="AY240" s="124" t="n">
        <f aca="false">IF(SUM($AM240)=0,"",SUM($AM240)-SUM($AX240))</f>
        <v>1</v>
      </c>
      <c r="AZ240" s="123" t="n">
        <v>16</v>
      </c>
      <c r="BA240" s="123" t="n">
        <f aca="false">0.95</f>
        <v>0.95</v>
      </c>
      <c r="BB240" s="123"/>
      <c r="BC240" s="123" t="n">
        <f aca="false">IF(OR(SUM($AM240)&lt;=0,$C240="&lt;01"),"",MAX(IF(OR(SUM($Y240)&lt;70%,LEFT($B240,4)="_Mil"),30%,IF(SUM($Y240)&gt;=80%,75%,50%)),SUM($BB240)))</f>
        <v>0.5</v>
      </c>
      <c r="BD240" s="115" t="n">
        <f aca="false">IF($C240="&lt;01",IFERROR(ROUND(INDEX(EID!$M:$M,MATCH($B240,EID!$B:$B,0)),0)/2,""),IF(SUM($AY240)=0,"",ROUND(SUM($AY240)/SUM($BA240),0)))</f>
        <v>1</v>
      </c>
      <c r="BE240" s="115" t="n">
        <f aca="false">IF($C240="&lt;01","",IF(SUM($BD240)=0,"",ROUND(SUM($BD240)*SUM($BC240),0)))</f>
        <v>1</v>
      </c>
      <c r="BF240" s="115" t="str">
        <f aca="false">_xlfn.IFNA(INDEX(PMTCT!$AE:$AE,MATCH($E240,PMTCT!$E:$E,0)),"")</f>
        <v/>
      </c>
      <c r="BG240" s="115" t="str">
        <f aca="false">_xlfn.IFNA(INDEX(PMTCT!$AU:$AU,MATCH($E240,PMTCT!$E:$E,0)),"")</f>
        <v/>
      </c>
      <c r="BH240" s="115" t="n">
        <f aca="false">_xlfn.IFNA(INDEX(TB!$Q:$Q,MATCH($E240,TB!$E:$E,0)),"")</f>
        <v>0</v>
      </c>
      <c r="BI240" s="115" t="str">
        <f aca="false">_xlfn.IFNA(INDEX(VMMC!$AC:$AC,MATCH($E240,VMMC!$E:$E,0)),"")</f>
        <v/>
      </c>
      <c r="BJ240" s="115" t="str">
        <f aca="false">IF($C240="&lt;01",$BD240,"")</f>
        <v/>
      </c>
      <c r="BK240" s="115" t="n">
        <f aca="false">IF(SUM($BD240)=0,"",($BD240)-SUM($BE240:$BJ240))</f>
        <v>0</v>
      </c>
      <c r="BL240" s="123" t="n">
        <f aca="false">IF(OR(SUM($BD240)=0,SUM($BE240)=0),"",SUM($BE240)/$BD240)</f>
        <v>1</v>
      </c>
      <c r="BM240" s="123" t="str">
        <f aca="false">IF(OR(SUM($BD240)=0,SUM($BF240)=0),"",SUM($BF240)/$BD240)</f>
        <v/>
      </c>
      <c r="BN240" s="123" t="str">
        <f aca="false">IF(OR(SUM($BD240)=0,SUM($BG240)=0),"",SUM($BG240)/$BD240)</f>
        <v/>
      </c>
      <c r="BO240" s="123" t="str">
        <f aca="false">IF(OR(SUM($BD240)=0,SUM($BH240)=0),"",SUM($BH240)/$BD240)</f>
        <v/>
      </c>
      <c r="BP240" s="123" t="str">
        <f aca="false">IF(OR(SUM($BD240)=0,SUM($BI240)=0),"",SUM($BI240)/$BD240)</f>
        <v/>
      </c>
      <c r="BQ240" s="123" t="str">
        <f aca="false">IF(AND($C240="&lt;01",SUM($BJ240)&lt;&gt;0),$BJ240/SUM($BD240),"")</f>
        <v/>
      </c>
      <c r="BR240" s="123" t="str">
        <f aca="false">IF(OR(SUM($BD240)=0,SUM($BK240)=0),"",SUM($BK240)/$BD240)</f>
        <v/>
      </c>
      <c r="BS240" s="122" t="n">
        <f aca="false">IF(SUM($X240)&lt;=0,"",$X240)</f>
        <v>0.0492957746478873</v>
      </c>
      <c r="BT240" s="115" t="n">
        <f aca="false">IF(LEFT($B240,4)="_Mil","",MAX(SUM($L240)+ROUND(SUM($BD240)/IF(SUM($BS240)&lt;=0,1,SUM($BS240)),0),0))</f>
        <v>180</v>
      </c>
    </row>
    <row r="241" customFormat="false" ht="15" hidden="false" customHeight="false" outlineLevel="0" collapsed="false">
      <c r="A241" s="0" t="s">
        <v>150</v>
      </c>
      <c r="B241" s="0" t="s">
        <v>117</v>
      </c>
      <c r="C241" s="0" t="s">
        <v>66</v>
      </c>
      <c r="D241" s="0" t="s">
        <v>56</v>
      </c>
      <c r="E241" s="0" t="str">
        <f aca="false">B241&amp;"|"&amp;C241&amp;"|"&amp;D241</f>
        <v>Quthing [#SNU] [HuwCoDZG0FY]|20-24|Female</v>
      </c>
      <c r="F241" s="115" t="n">
        <f aca="false">_xlfn.IFNA(ROUND(INDEX(Spectrum!$N:$N,MATCH(RIGHT($B241,13)&amp;"|"&amp;$C241&amp;"|"&amp;$D241&amp;"|"&amp;F$14&amp;"|"&amp;"CY2021Q3",Spectrum!$Q:$Q,0)),0),"")</f>
        <v>5322</v>
      </c>
      <c r="G241" s="123" t="n">
        <f aca="false">_xlfn.IFNA(INDEX(Spectrum!$P:$P,MATCH(RIGHT($B241,13)&amp;"|"&amp;$C241&amp;"|"&amp;$D241&amp;"|"&amp;F$14&amp;"|"&amp;"CY2021Q3",Spectrum!$Q:$Q,0)),"")</f>
        <v>1</v>
      </c>
      <c r="H241" s="115" t="n">
        <f aca="false">_xlfn.IFNA(ROUND(INDEX(Spectrum!$N:$N,MATCH(RIGHT($B241,13)&amp;"|"&amp;$C241&amp;"|"&amp;$D241&amp;"|"&amp;H$14&amp;"|"&amp;"CY2021Q3",Spectrum!$Q:$Q,0)),0),"")</f>
        <v>729</v>
      </c>
      <c r="I241" s="123" t="n">
        <f aca="false">_xlfn.IFNA(INDEX(Spectrum!$P:$P,MATCH(RIGHT($B241,13)&amp;"|"&amp;$C241&amp;"|"&amp;$D241&amp;"|"&amp;H$14&amp;"|"&amp;"CY2021Q3",Spectrum!$Q:$Q,0)),"")</f>
        <v>35</v>
      </c>
      <c r="J241" s="117" t="n">
        <f aca="false">_xlfn.IFNA(INDEX(Spectrum!$N:$N,MATCH(RIGHT($B241,13)&amp;"|"&amp;$C241&amp;"|"&amp;$D241&amp;"|"&amp;J$14&amp;"|"&amp;"CY2021Q3",Spectrum!$Q:$Q,0)),"")</f>
        <v>0.1369436</v>
      </c>
      <c r="K241" s="123" t="n">
        <f aca="false">_xlfn.IFNA(INDEX(Spectrum!$P:$P,MATCH(RIGHT($B241,13)&amp;"|"&amp;$C241&amp;"|"&amp;$D241&amp;"|"&amp;J$14&amp;"|"&amp;"CY2021Q3",Spectrum!$Q:$Q,0)),"")</f>
        <v>27</v>
      </c>
      <c r="L241" s="115" t="n">
        <f aca="false">_xlfn.IFNA(ROUND(INDEX(Spectrum!$N:$N,MATCH(RIGHT($B241,13)&amp;"|"&amp;$C241&amp;"|"&amp;$D241&amp;"|"&amp;L$14&amp;"|"&amp;"CY2021Q3",Spectrum!$Q:$Q,0)),0),"")</f>
        <v>464</v>
      </c>
      <c r="M241" s="123" t="n">
        <f aca="false">IF(OR(SUM($H241)&lt;=0,SUM($L241)&lt;=0),"",SUM($L241)/$H241)</f>
        <v>0.636488340192044</v>
      </c>
      <c r="N241" s="115" t="str">
        <f aca="false">_xlfn.IFNA(ROUND(INDEX(Spectrum!$N:$N,MATCH(RIGHT($B241,13)&amp;"|"&amp;$C241&amp;"|"&amp;$D241&amp;"|"&amp;N$14&amp;"|"&amp;"CY2020Q4",Spectrum!$Q:$Q,0)),0),"")</f>
        <v/>
      </c>
      <c r="O241" s="123" t="str">
        <f aca="false">_xlfn.IFNA(INDEX(Spectrum!$P:$P,MATCH(RIGHT($B241,13)&amp;"|"&amp;$C241&amp;"|"&amp;$D241&amp;"|"&amp;N$14&amp;"|"&amp;"CY2020Q4",Spectrum!$Q:$Q,0)),"")</f>
        <v/>
      </c>
      <c r="P241" s="115" t="n">
        <f aca="false">_xlfn.IFNA(ROUND(INDEX(Spectrum!$N:$N,MATCH(RIGHT($B241,13)&amp;"|"&amp;$C241&amp;"|"&amp;$D241&amp;"|"&amp;P$14&amp;"|"&amp;"CY2021Q3",Spectrum!$Q:$Q,0)),0),"")</f>
        <v>375</v>
      </c>
      <c r="Q241" s="123" t="n">
        <f aca="false">_xlfn.IFNA(INDEX(Spectrum!$P:$P,MATCH(RIGHT($B241,13)&amp;"|"&amp;$C241&amp;"|"&amp;$D241&amp;"|"&amp;P$14&amp;"|"&amp;"CY2021Q3",Spectrum!$Q:$Q,0)),"")</f>
        <v>37</v>
      </c>
      <c r="R241" s="115"/>
      <c r="S241" s="123" t="str">
        <f aca="false">IF(OR(SUM($P241)&lt;=0,SUM($R241)&lt;=0),"",SUM($R241)/$P241)</f>
        <v/>
      </c>
      <c r="T241" s="139" t="n">
        <v>11</v>
      </c>
      <c r="U241" s="124" t="n">
        <v>6</v>
      </c>
      <c r="V241" s="124" t="n">
        <f aca="false">IF($U241-$T241=0,"",$U241-$T241)</f>
        <v>-5</v>
      </c>
      <c r="W241" s="123" t="n">
        <f aca="false">IF(LEFT($B241,4)="_Mil","",IFERROR(MIN(IF(SUM($N241)&lt;=0,SUM($U241)/SUM($P241),SUM($T241)/SUM($N241)),1),""))</f>
        <v>0.016</v>
      </c>
      <c r="X241" s="123" t="n">
        <f aca="false">$W241</f>
        <v>0.016</v>
      </c>
      <c r="Y241" s="123" t="n">
        <f aca="false">IFERROR(1/(1/INDEX(Spectrum!$N:$N,MATCH(RIGHT($B241,13)&amp;"|"&amp;$C241&amp;"|"&amp;$D241&amp;"|"&amp;Y$14&amp;"|"&amp;"CY2021Q3",Spectrum!$Q:$Q,0))),IF(SUM($H241)=0,"",MAX(SUM($P241),SUM($U241))/SUM($H241)))</f>
        <v>0.51440329218107</v>
      </c>
      <c r="Z241" s="123" t="n">
        <f aca="false">IF(SUM($Y241)=0,"",MAX(SUM($Y241),90%))</f>
        <v>0.9</v>
      </c>
      <c r="AA241" s="115" t="n">
        <f aca="false">IF(LEFT($B241,4)="_Mil","",ROUND(MAX(SUM($U241),SUM($P241))+IF(SUM($Z241)=0,0,MAX(SUM($Z241)-SUM($Y241),0)*SUM($H241)),0))</f>
        <v>656</v>
      </c>
      <c r="AB241" s="115" t="n">
        <f aca="false">IF(SUM($AA241)=0,"",ROUND(MAX(SUM($AA241)-MAX(SUM($P241),SUM($U241)),0),0))</f>
        <v>281</v>
      </c>
      <c r="AC241" s="126" t="str">
        <f aca="false">IF($C241="&lt;01",IFERROR(ROUND(INDEX(EID!$N:$N,MATCH($B241,EID!$B:$B,0))/2,0),""),"")</f>
        <v/>
      </c>
      <c r="AD241" s="115" t="n">
        <f aca="false">IF($C241="&lt;01",IF(SUM($AC241)=0,"",ROUND(SUM($AC241)/$AG241,0)),IF(SUM($AB241)=0,"",ROUND(MAX($X241,0)*SUM($AB241),0)))</f>
        <v>4</v>
      </c>
      <c r="AE241" s="115" t="n">
        <f aca="false">IF(AND(SUM($AD241)=0,SUM($U241)=0),"",ROUND(IF($C241="&lt;01",0,SUM($U241))+SUM($AD241),0))</f>
        <v>10</v>
      </c>
      <c r="AF241" s="122" t="n">
        <f aca="false">IF($C241="&lt;01","",100%)</f>
        <v>1</v>
      </c>
      <c r="AG241" s="123" t="n">
        <f aca="false">0.98</f>
        <v>0.98</v>
      </c>
      <c r="AH241" s="123" t="n">
        <f aca="false">0.98</f>
        <v>0.98</v>
      </c>
      <c r="AI241" s="124" t="n">
        <f aca="false">IF(OR($C241="&lt;01",SUM($U241)=0),"",ROUND(SUM($U241)*(1-$AH241),0))</f>
        <v>0</v>
      </c>
      <c r="AJ241" s="124" t="n">
        <f aca="false">IF(AND(SUM($AE241)=0,SUM($U241)=0),"",IF($C241="&lt;01",SUM($AD241),SUM($AE241) - ROUND(SUM($U241)*$AH241,0)))</f>
        <v>4</v>
      </c>
      <c r="AK241" s="124" t="n">
        <v>12</v>
      </c>
      <c r="AL241" s="124" t="n">
        <v>12</v>
      </c>
      <c r="AM241" s="115" t="n">
        <f aca="false">IF(AND(SUM($AD241)=0,SUM($U241)=0),"",IF($C241="&lt;01",SUM($AD241),ROUND(ROUND(SUM($AJ241)*$AF241,0)/$AG241,0)))</f>
        <v>4</v>
      </c>
      <c r="AN241" s="122" t="n">
        <f aca="false">0.7</f>
        <v>0.7</v>
      </c>
      <c r="AO241" s="123" t="n">
        <f aca="false">1</f>
        <v>1</v>
      </c>
      <c r="AP241" s="115" t="n">
        <f aca="false">IF(AND(SUM($U241)=0,SUM($AM241)=0),"",ROUND((SUM($AM241)*$AN241+IF($C241="&lt;01",0,$U241))*$AO241,0))</f>
        <v>9</v>
      </c>
      <c r="AQ241" s="122" t="n">
        <v>34</v>
      </c>
      <c r="AR241" s="123" t="n">
        <f aca="false">0.95</f>
        <v>0.95</v>
      </c>
      <c r="AS241" s="123" t="n">
        <f aca="false">0.95</f>
        <v>0.95</v>
      </c>
      <c r="AT241" s="115" t="n">
        <f aca="false">IF(SUM($AP241)=0,"",ROUND(SUM($AP241)*$AR241,0))</f>
        <v>9</v>
      </c>
      <c r="AU241" s="115" t="n">
        <f aca="false">IF(LEFT($B241,4)="_Mil","",ROUND(SUM($AA241)*SUM($AS241),0))</f>
        <v>623</v>
      </c>
      <c r="AV241" s="124" t="n">
        <f aca="false">IF(SUM($AU241)&lt;=0,"",MAX(SUM($AU241)-SUM($R241),0))</f>
        <v>623</v>
      </c>
      <c r="AW241" s="122" t="n">
        <f aca="false">0</f>
        <v>0</v>
      </c>
      <c r="AX241" s="124" t="n">
        <f aca="false">IF(SUM($AM241)=0,"",ROUND(SUM($AM241)*SUM($AW241),0))</f>
        <v>0</v>
      </c>
      <c r="AY241" s="124" t="n">
        <f aca="false">IF(SUM($AM241)=0,"",SUM($AM241)-SUM($AX241))</f>
        <v>4</v>
      </c>
      <c r="AZ241" s="123" t="n">
        <v>17</v>
      </c>
      <c r="BA241" s="123" t="n">
        <f aca="false">0.95</f>
        <v>0.95</v>
      </c>
      <c r="BB241" s="123"/>
      <c r="BC241" s="123" t="n">
        <f aca="false">IF(OR(SUM($AM241)&lt;=0,$C241="&lt;01"),"",MAX(IF(OR(SUM($Y241)&lt;70%,LEFT($B241,4)="_Mil"),30%,IF(SUM($Y241)&gt;=80%,75%,50%)),SUM($BB241)))</f>
        <v>0.3</v>
      </c>
      <c r="BD241" s="115" t="n">
        <f aca="false">IF($C241="&lt;01",IFERROR(ROUND(INDEX(EID!$M:$M,MATCH($B241,EID!$B:$B,0)),0)/2,""),IF(SUM($AY241)=0,"",ROUND(SUM($AY241)/SUM($BA241),0)))</f>
        <v>4</v>
      </c>
      <c r="BE241" s="115" t="n">
        <f aca="false">IF($C241="&lt;01","",IF(SUM($BD241)=0,"",ROUND(SUM($BD241)*SUM($BC241),0)))</f>
        <v>1</v>
      </c>
      <c r="BF241" s="115" t="n">
        <f aca="false">_xlfn.IFNA(INDEX(PMTCT!$AE:$AE,MATCH($E241,PMTCT!$E:$E,0)),"")</f>
        <v>-9576</v>
      </c>
      <c r="BG241" s="115" t="str">
        <f aca="false">_xlfn.IFNA(INDEX(PMTCT!$AU:$AU,MATCH($E241,PMTCT!$E:$E,0)),"")</f>
        <v/>
      </c>
      <c r="BH241" s="115" t="n">
        <f aca="false">_xlfn.IFNA(INDEX(TB!$Q:$Q,MATCH($E241,TB!$E:$E,0)),"")</f>
        <v>-52452</v>
      </c>
      <c r="BI241" s="115" t="str">
        <f aca="false">_xlfn.IFNA(INDEX(VMMC!$AC:$AC,MATCH($E241,VMMC!$E:$E,0)),"")</f>
        <v/>
      </c>
      <c r="BJ241" s="115" t="str">
        <f aca="false">IF($C241="&lt;01",$BD241,"")</f>
        <v/>
      </c>
      <c r="BK241" s="115" t="n">
        <f aca="false">IF(SUM($BD241)=0,"",($BD241)-SUM($BE241:$BJ241))</f>
        <v>62031</v>
      </c>
      <c r="BL241" s="123" t="n">
        <f aca="false">IF(OR(SUM($BD241)=0,SUM($BE241)=0),"",SUM($BE241)/$BD241)</f>
        <v>0.25</v>
      </c>
      <c r="BM241" s="123" t="n">
        <f aca="false">IF(OR(SUM($BD241)=0,SUM($BF241)=0),"",SUM($BF241)/$BD241)</f>
        <v>-2394</v>
      </c>
      <c r="BN241" s="123" t="str">
        <f aca="false">IF(OR(SUM($BD241)=0,SUM($BG241)=0),"",SUM($BG241)/$BD241)</f>
        <v/>
      </c>
      <c r="BO241" s="123" t="n">
        <f aca="false">IF(OR(SUM($BD241)=0,SUM($BH241)=0),"",SUM($BH241)/$BD241)</f>
        <v>-13113</v>
      </c>
      <c r="BP241" s="123" t="str">
        <f aca="false">IF(OR(SUM($BD241)=0,SUM($BI241)=0),"",SUM($BI241)/$BD241)</f>
        <v/>
      </c>
      <c r="BQ241" s="123" t="str">
        <f aca="false">IF(AND($C241="&lt;01",SUM($BJ241)&lt;&gt;0),$BJ241/SUM($BD241),"")</f>
        <v/>
      </c>
      <c r="BR241" s="123" t="n">
        <f aca="false">IF(OR(SUM($BD241)=0,SUM($BK241)=0),"",SUM($BK241)/$BD241)</f>
        <v>15507.75</v>
      </c>
      <c r="BS241" s="122" t="n">
        <f aca="false">IF(SUM($X241)&lt;=0,"",$X241)</f>
        <v>0.016</v>
      </c>
      <c r="BT241" s="115" t="n">
        <f aca="false">IF(LEFT($B241,4)="_Mil","",MAX(SUM($L241)+ROUND(SUM($BD241)/IF(SUM($BS241)&lt;=0,1,SUM($BS241)),0),0))</f>
        <v>714</v>
      </c>
    </row>
    <row r="242" customFormat="false" ht="15" hidden="false" customHeight="false" outlineLevel="0" collapsed="false">
      <c r="A242" s="0" t="s">
        <v>150</v>
      </c>
      <c r="B242" s="0" t="s">
        <v>117</v>
      </c>
      <c r="C242" s="0" t="s">
        <v>66</v>
      </c>
      <c r="D242" s="0" t="s">
        <v>58</v>
      </c>
      <c r="E242" s="0" t="str">
        <f aca="false">B242&amp;"|"&amp;C242&amp;"|"&amp;D242</f>
        <v>Quthing [#SNU] [HuwCoDZG0FY]|20-24|Male</v>
      </c>
      <c r="F242" s="115" t="n">
        <f aca="false">_xlfn.IFNA(ROUND(INDEX(Spectrum!$N:$N,MATCH(RIGHT($B242,13)&amp;"|"&amp;$C242&amp;"|"&amp;$D242&amp;"|"&amp;F$14&amp;"|"&amp;"CY2021Q3",Spectrum!$Q:$Q,0)),0),"")</f>
        <v>5494</v>
      </c>
      <c r="G242" s="123" t="n">
        <f aca="false">_xlfn.IFNA(INDEX(Spectrum!$P:$P,MATCH(RIGHT($B242,13)&amp;"|"&amp;$C242&amp;"|"&amp;$D242&amp;"|"&amp;F$14&amp;"|"&amp;"CY2021Q3",Spectrum!$Q:$Q,0)),"")</f>
        <v>36</v>
      </c>
      <c r="H242" s="115" t="n">
        <f aca="false">_xlfn.IFNA(ROUND(INDEX(Spectrum!$N:$N,MATCH(RIGHT($B242,13)&amp;"|"&amp;$C242&amp;"|"&amp;$D242&amp;"|"&amp;H$14&amp;"|"&amp;"CY2021Q3",Spectrum!$Q:$Q,0)),0),"")</f>
        <v>286</v>
      </c>
      <c r="I242" s="123" t="n">
        <f aca="false">_xlfn.IFNA(INDEX(Spectrum!$P:$P,MATCH(RIGHT($B242,13)&amp;"|"&amp;$C242&amp;"|"&amp;$D242&amp;"|"&amp;H$14&amp;"|"&amp;"CY2021Q3",Spectrum!$Q:$Q,0)),"")</f>
        <v>34</v>
      </c>
      <c r="J242" s="117" t="n">
        <f aca="false">_xlfn.IFNA(INDEX(Spectrum!$N:$N,MATCH(RIGHT($B242,13)&amp;"|"&amp;$C242&amp;"|"&amp;$D242&amp;"|"&amp;J$14&amp;"|"&amp;"CY2021Q3",Spectrum!$Q:$Q,0)),"")</f>
        <v>0.0520713</v>
      </c>
      <c r="K242" s="123" t="n">
        <f aca="false">_xlfn.IFNA(INDEX(Spectrum!$P:$P,MATCH(RIGHT($B242,13)&amp;"|"&amp;$C242&amp;"|"&amp;$D242&amp;"|"&amp;J$14&amp;"|"&amp;"CY2021Q3",Spectrum!$Q:$Q,0)),"")</f>
        <v>9</v>
      </c>
      <c r="L242" s="115" t="n">
        <f aca="false">_xlfn.IFNA(ROUND(INDEX(Spectrum!$N:$N,MATCH(RIGHT($B242,13)&amp;"|"&amp;$C242&amp;"|"&amp;$D242&amp;"|"&amp;L$14&amp;"|"&amp;"CY2021Q3",Spectrum!$Q:$Q,0)),0),"")</f>
        <v>184</v>
      </c>
      <c r="M242" s="123" t="n">
        <f aca="false">IF(OR(SUM($H242)&lt;=0,SUM($L242)&lt;=0),"",SUM($L242)/$H242)</f>
        <v>0.643356643356643</v>
      </c>
      <c r="N242" s="115" t="str">
        <f aca="false">_xlfn.IFNA(ROUND(INDEX(Spectrum!$N:$N,MATCH(RIGHT($B242,13)&amp;"|"&amp;$C242&amp;"|"&amp;$D242&amp;"|"&amp;N$14&amp;"|"&amp;"CY2020Q4",Spectrum!$Q:$Q,0)),0),"")</f>
        <v/>
      </c>
      <c r="O242" s="123" t="str">
        <f aca="false">_xlfn.IFNA(INDEX(Spectrum!$P:$P,MATCH(RIGHT($B242,13)&amp;"|"&amp;$C242&amp;"|"&amp;$D242&amp;"|"&amp;N$14&amp;"|"&amp;"CY2020Q4",Spectrum!$Q:$Q,0)),"")</f>
        <v/>
      </c>
      <c r="P242" s="115" t="n">
        <f aca="false">_xlfn.IFNA(ROUND(INDEX(Spectrum!$N:$N,MATCH(RIGHT($B242,13)&amp;"|"&amp;$C242&amp;"|"&amp;$D242&amp;"|"&amp;P$14&amp;"|"&amp;"CY2021Q3",Spectrum!$Q:$Q,0)),0),"")</f>
        <v>133</v>
      </c>
      <c r="Q242" s="123" t="n">
        <f aca="false">_xlfn.IFNA(INDEX(Spectrum!$P:$P,MATCH(RIGHT($B242,13)&amp;"|"&amp;$C242&amp;"|"&amp;$D242&amp;"|"&amp;P$14&amp;"|"&amp;"CY2021Q3",Spectrum!$Q:$Q,0)),"")</f>
        <v>14</v>
      </c>
      <c r="R242" s="115"/>
      <c r="S242" s="123" t="str">
        <f aca="false">IF(OR(SUM($P242)&lt;=0,SUM($R242)&lt;=0),"",SUM($R242)/$P242)</f>
        <v/>
      </c>
      <c r="T242" s="139" t="n">
        <v>22</v>
      </c>
      <c r="U242" s="124" t="n">
        <v>50</v>
      </c>
      <c r="V242" s="124" t="n">
        <f aca="false">IF($U242-$T242=0,"",$U242-$T242)</f>
        <v>28</v>
      </c>
      <c r="W242" s="123" t="n">
        <f aca="false">IF(LEFT($B242,4)="_Mil","",IFERROR(MIN(IF(SUM($N242)&lt;=0,SUM($U242)/SUM($P242),SUM($T242)/SUM($N242)),1),""))</f>
        <v>0.37593984962406</v>
      </c>
      <c r="X242" s="123" t="n">
        <f aca="false">$W242</f>
        <v>0.37593984962406</v>
      </c>
      <c r="Y242" s="123" t="n">
        <f aca="false">IFERROR(1/(1/INDEX(Spectrum!$N:$N,MATCH(RIGHT($B242,13)&amp;"|"&amp;$C242&amp;"|"&amp;$D242&amp;"|"&amp;Y$14&amp;"|"&amp;"CY2021Q3",Spectrum!$Q:$Q,0))),IF(SUM($H242)=0,"",MAX(SUM($P242),SUM($U242))/SUM($H242)))</f>
        <v>0.465034965034965</v>
      </c>
      <c r="Z242" s="123" t="n">
        <f aca="false">IF(SUM($Y242)=0,"",MAX(SUM($Y242),90%))</f>
        <v>0.9</v>
      </c>
      <c r="AA242" s="115" t="n">
        <f aca="false">IF(LEFT($B242,4)="_Mil","",ROUND(MAX(SUM($U242),SUM($P242))+IF(SUM($Z242)=0,0,MAX(SUM($Z242)-SUM($Y242),0)*SUM($H242)),0))</f>
        <v>257</v>
      </c>
      <c r="AB242" s="115" t="n">
        <f aca="false">IF(SUM($AA242)=0,"",ROUND(MAX(SUM($AA242)-MAX(SUM($P242),SUM($U242)),0),0))</f>
        <v>124</v>
      </c>
      <c r="AC242" s="126" t="str">
        <f aca="false">IF($C242="&lt;01",IFERROR(ROUND(INDEX(EID!$N:$N,MATCH($B242,EID!$B:$B,0))/2,0),""),"")</f>
        <v/>
      </c>
      <c r="AD242" s="115" t="n">
        <f aca="false">IF($C242="&lt;01",IF(SUM($AC242)=0,"",ROUND(SUM($AC242)/$AG242,0)),IF(SUM($AB242)=0,"",ROUND(MAX($X242,0)*SUM($AB242),0)))</f>
        <v>47</v>
      </c>
      <c r="AE242" s="115" t="n">
        <f aca="false">IF(AND(SUM($AD242)=0,SUM($U242)=0),"",ROUND(IF($C242="&lt;01",0,SUM($U242))+SUM($AD242),0))</f>
        <v>97</v>
      </c>
      <c r="AF242" s="122" t="n">
        <f aca="false">IF($C242="&lt;01","",100%)</f>
        <v>1</v>
      </c>
      <c r="AG242" s="123" t="n">
        <f aca="false">0.98</f>
        <v>0.98</v>
      </c>
      <c r="AH242" s="123" t="n">
        <f aca="false">0.98</f>
        <v>0.98</v>
      </c>
      <c r="AI242" s="124" t="n">
        <f aca="false">IF(OR($C242="&lt;01",SUM($U242)=0),"",ROUND(SUM($U242)*(1-$AH242),0))</f>
        <v>1</v>
      </c>
      <c r="AJ242" s="124" t="n">
        <f aca="false">IF(AND(SUM($AE242)=0,SUM($U242)=0),"",IF($C242="&lt;01",SUM($AD242),SUM($AE242) - ROUND(SUM($U242)*$AH242,0)))</f>
        <v>48</v>
      </c>
      <c r="AK242" s="124" t="n">
        <v>46</v>
      </c>
      <c r="AL242" s="124" t="n">
        <v>32</v>
      </c>
      <c r="AM242" s="115" t="n">
        <f aca="false">IF(AND(SUM($AD242)=0,SUM($U242)=0),"",IF($C242="&lt;01",SUM($AD242),ROUND(ROUND(SUM($AJ242)*$AF242,0)/$AG242,0)))</f>
        <v>49</v>
      </c>
      <c r="AN242" s="122" t="n">
        <f aca="false">0.7</f>
        <v>0.7</v>
      </c>
      <c r="AO242" s="123" t="n">
        <f aca="false">1</f>
        <v>1</v>
      </c>
      <c r="AP242" s="115" t="n">
        <f aca="false">IF(AND(SUM($U242)=0,SUM($AM242)=0),"",ROUND((SUM($AM242)*$AN242+IF($C242="&lt;01",0,$U242))*$AO242,0))</f>
        <v>84</v>
      </c>
      <c r="AQ242" s="122" t="n">
        <v>50</v>
      </c>
      <c r="AR242" s="123" t="n">
        <f aca="false">0.95</f>
        <v>0.95</v>
      </c>
      <c r="AS242" s="123" t="n">
        <f aca="false">0.95</f>
        <v>0.95</v>
      </c>
      <c r="AT242" s="115" t="n">
        <f aca="false">IF(SUM($AP242)=0,"",ROUND(SUM($AP242)*$AR242,0))</f>
        <v>80</v>
      </c>
      <c r="AU242" s="115" t="n">
        <f aca="false">IF(LEFT($B242,4)="_Mil","",ROUND(SUM($AA242)*SUM($AS242),0))</f>
        <v>244</v>
      </c>
      <c r="AV242" s="124" t="n">
        <f aca="false">IF(SUM($AU242)&lt;=0,"",MAX(SUM($AU242)-SUM($R242),0))</f>
        <v>244</v>
      </c>
      <c r="AW242" s="122" t="n">
        <f aca="false">0</f>
        <v>0</v>
      </c>
      <c r="AX242" s="124" t="n">
        <f aca="false">IF(SUM($AM242)=0,"",ROUND(SUM($AM242)*SUM($AW242),0))</f>
        <v>0</v>
      </c>
      <c r="AY242" s="124" t="n">
        <f aca="false">IF(SUM($AM242)=0,"",SUM($AM242)-SUM($AX242))</f>
        <v>49</v>
      </c>
      <c r="AZ242" s="123" t="n">
        <v>4</v>
      </c>
      <c r="BA242" s="123" t="n">
        <f aca="false">0.95</f>
        <v>0.95</v>
      </c>
      <c r="BB242" s="123"/>
      <c r="BC242" s="123" t="n">
        <f aca="false">IF(OR(SUM($AM242)&lt;=0,$C242="&lt;01"),"",MAX(IF(OR(SUM($Y242)&lt;70%,LEFT($B242,4)="_Mil"),30%,IF(SUM($Y242)&gt;=80%,75%,50%)),SUM($BB242)))</f>
        <v>0.3</v>
      </c>
      <c r="BD242" s="115" t="n">
        <f aca="false">IF($C242="&lt;01",IFERROR(ROUND(INDEX(EID!$M:$M,MATCH($B242,EID!$B:$B,0)),0)/2,""),IF(SUM($AY242)=0,"",ROUND(SUM($AY242)/SUM($BA242),0)))</f>
        <v>52</v>
      </c>
      <c r="BE242" s="115" t="n">
        <f aca="false">IF($C242="&lt;01","",IF(SUM($BD242)=0,"",ROUND(SUM($BD242)*SUM($BC242),0)))</f>
        <v>16</v>
      </c>
      <c r="BF242" s="115" t="str">
        <f aca="false">_xlfn.IFNA(INDEX(PMTCT!$AE:$AE,MATCH($E242,PMTCT!$E:$E,0)),"")</f>
        <v/>
      </c>
      <c r="BG242" s="115" t="str">
        <f aca="false">_xlfn.IFNA(INDEX(PMTCT!$AU:$AU,MATCH($E242,PMTCT!$E:$E,0)),"")</f>
        <v/>
      </c>
      <c r="BH242" s="115" t="n">
        <f aca="false">_xlfn.IFNA(INDEX(TB!$Q:$Q,MATCH($E242,TB!$E:$E,0)),"")</f>
        <v>-0</v>
      </c>
      <c r="BI242" s="115" t="str">
        <f aca="false">_xlfn.IFNA(INDEX(VMMC!$AC:$AC,MATCH($E242,VMMC!$E:$E,0)),"")</f>
        <v/>
      </c>
      <c r="BJ242" s="115" t="str">
        <f aca="false">IF($C242="&lt;01",$BD242,"")</f>
        <v/>
      </c>
      <c r="BK242" s="115" t="n">
        <f aca="false">IF(SUM($BD242)=0,"",($BD242)-SUM($BE242:$BJ242))</f>
        <v>36</v>
      </c>
      <c r="BL242" s="123" t="n">
        <f aca="false">IF(OR(SUM($BD242)=0,SUM($BE242)=0),"",SUM($BE242)/$BD242)</f>
        <v>0.307692307692308</v>
      </c>
      <c r="BM242" s="123" t="str">
        <f aca="false">IF(OR(SUM($BD242)=0,SUM($BF242)=0),"",SUM($BF242)/$BD242)</f>
        <v/>
      </c>
      <c r="BN242" s="123" t="str">
        <f aca="false">IF(OR(SUM($BD242)=0,SUM($BG242)=0),"",SUM($BG242)/$BD242)</f>
        <v/>
      </c>
      <c r="BO242" s="123" t="str">
        <f aca="false">IF(OR(SUM($BD242)=0,SUM($BH242)=0),"",SUM($BH242)/$BD242)</f>
        <v/>
      </c>
      <c r="BP242" s="123" t="str">
        <f aca="false">IF(OR(SUM($BD242)=0,SUM($BI242)=0),"",SUM($BI242)/$BD242)</f>
        <v/>
      </c>
      <c r="BQ242" s="123" t="str">
        <f aca="false">IF(AND($C242="&lt;01",SUM($BJ242)&lt;&gt;0),$BJ242/SUM($BD242),"")</f>
        <v/>
      </c>
      <c r="BR242" s="123" t="n">
        <f aca="false">IF(OR(SUM($BD242)=0,SUM($BK242)=0),"",SUM($BK242)/$BD242)</f>
        <v>0.692307692307692</v>
      </c>
      <c r="BS242" s="122" t="n">
        <f aca="false">IF(SUM($X242)&lt;=0,"",$X242)</f>
        <v>0.37593984962406</v>
      </c>
      <c r="BT242" s="115" t="n">
        <f aca="false">IF(LEFT($B242,4)="_Mil","",MAX(SUM($L242)+ROUND(SUM($BD242)/IF(SUM($BS242)&lt;=0,1,SUM($BS242)),0),0))</f>
        <v>322</v>
      </c>
    </row>
    <row r="243" customFormat="false" ht="15" hidden="false" customHeight="false" outlineLevel="0" collapsed="false">
      <c r="A243" s="0" t="s">
        <v>150</v>
      </c>
      <c r="B243" s="0" t="s">
        <v>117</v>
      </c>
      <c r="C243" s="0" t="s">
        <v>69</v>
      </c>
      <c r="D243" s="0" t="s">
        <v>56</v>
      </c>
      <c r="E243" s="0" t="str">
        <f aca="false">B243&amp;"|"&amp;C243&amp;"|"&amp;D243</f>
        <v>Quthing [#SNU] [HuwCoDZG0FY]|25-29|Female</v>
      </c>
      <c r="F243" s="115" t="n">
        <f aca="false">_xlfn.IFNA(ROUND(INDEX(Spectrum!$N:$N,MATCH(RIGHT($B243,13)&amp;"|"&amp;$C243&amp;"|"&amp;$D243&amp;"|"&amp;F$14&amp;"|"&amp;"CY2021Q3",Spectrum!$Q:$Q,0)),0),"")</f>
        <v>5152</v>
      </c>
      <c r="G243" s="123" t="n">
        <f aca="false">_xlfn.IFNA(INDEX(Spectrum!$P:$P,MATCH(RIGHT($B243,13)&amp;"|"&amp;$C243&amp;"|"&amp;$D243&amp;"|"&amp;F$14&amp;"|"&amp;"CY2021Q3",Spectrum!$Q:$Q,0)),"")</f>
        <v>42</v>
      </c>
      <c r="H243" s="115" t="n">
        <f aca="false">_xlfn.IFNA(ROUND(INDEX(Spectrum!$N:$N,MATCH(RIGHT($B243,13)&amp;"|"&amp;$C243&amp;"|"&amp;$D243&amp;"|"&amp;H$14&amp;"|"&amp;"CY2021Q3",Spectrum!$Q:$Q,0)),0),"")</f>
        <v>1311</v>
      </c>
      <c r="I243" s="123" t="n">
        <f aca="false">_xlfn.IFNA(INDEX(Spectrum!$P:$P,MATCH(RIGHT($B243,13)&amp;"|"&amp;$C243&amp;"|"&amp;$D243&amp;"|"&amp;H$14&amp;"|"&amp;"CY2021Q3",Spectrum!$Q:$Q,0)),"")</f>
        <v>24</v>
      </c>
      <c r="J243" s="117" t="n">
        <f aca="false">_xlfn.IFNA(INDEX(Spectrum!$N:$N,MATCH(RIGHT($B243,13)&amp;"|"&amp;$C243&amp;"|"&amp;$D243&amp;"|"&amp;J$14&amp;"|"&amp;"CY2021Q3",Spectrum!$Q:$Q,0)),"")</f>
        <v>0.2544603</v>
      </c>
      <c r="K243" s="123" t="n">
        <f aca="false">_xlfn.IFNA(INDEX(Spectrum!$P:$P,MATCH(RIGHT($B243,13)&amp;"|"&amp;$C243&amp;"|"&amp;$D243&amp;"|"&amp;J$14&amp;"|"&amp;"CY2021Q3",Spectrum!$Q:$Q,0)),"")</f>
        <v>15</v>
      </c>
      <c r="L243" s="115" t="n">
        <f aca="false">_xlfn.IFNA(ROUND(INDEX(Spectrum!$N:$N,MATCH(RIGHT($B243,13)&amp;"|"&amp;$C243&amp;"|"&amp;$D243&amp;"|"&amp;L$14&amp;"|"&amp;"CY2021Q3",Spectrum!$Q:$Q,0)),0),"")</f>
        <v>750</v>
      </c>
      <c r="M243" s="123" t="n">
        <f aca="false">IF(OR(SUM($H243)&lt;=0,SUM($L243)&lt;=0),"",SUM($L243)/$H243)</f>
        <v>0.5720823798627</v>
      </c>
      <c r="N243" s="115" t="str">
        <f aca="false">_xlfn.IFNA(ROUND(INDEX(Spectrum!$N:$N,MATCH(RIGHT($B243,13)&amp;"|"&amp;$C243&amp;"|"&amp;$D243&amp;"|"&amp;N$14&amp;"|"&amp;"CY2020Q4",Spectrum!$Q:$Q,0)),0),"")</f>
        <v/>
      </c>
      <c r="O243" s="123" t="str">
        <f aca="false">_xlfn.IFNA(INDEX(Spectrum!$P:$P,MATCH(RIGHT($B243,13)&amp;"|"&amp;$C243&amp;"|"&amp;$D243&amp;"|"&amp;N$14&amp;"|"&amp;"CY2020Q4",Spectrum!$Q:$Q,0)),"")</f>
        <v/>
      </c>
      <c r="P243" s="115" t="n">
        <f aca="false">_xlfn.IFNA(ROUND(INDEX(Spectrum!$N:$N,MATCH(RIGHT($B243,13)&amp;"|"&amp;$C243&amp;"|"&amp;$D243&amp;"|"&amp;P$14&amp;"|"&amp;"CY2021Q3",Spectrum!$Q:$Q,0)),0),"")</f>
        <v>638</v>
      </c>
      <c r="Q243" s="123" t="n">
        <f aca="false">_xlfn.IFNA(INDEX(Spectrum!$P:$P,MATCH(RIGHT($B243,13)&amp;"|"&amp;$C243&amp;"|"&amp;$D243&amp;"|"&amp;P$14&amp;"|"&amp;"CY2021Q3",Spectrum!$Q:$Q,0)),"")</f>
        <v>49</v>
      </c>
      <c r="R243" s="115"/>
      <c r="S243" s="123" t="str">
        <f aca="false">IF(OR(SUM($P243)&lt;=0,SUM($R243)&lt;=0),"",SUM($R243)/$P243)</f>
        <v/>
      </c>
      <c r="T243" s="139" t="n">
        <v>48</v>
      </c>
      <c r="U243" s="124" t="n">
        <v>3</v>
      </c>
      <c r="V243" s="124" t="n">
        <f aca="false">IF($U243-$T243=0,"",$U243-$T243)</f>
        <v>-45</v>
      </c>
      <c r="W243" s="123" t="n">
        <f aca="false">IF(LEFT($B243,4)="_Mil","",IFERROR(MIN(IF(SUM($N243)&lt;=0,SUM($U243)/SUM($P243),SUM($T243)/SUM($N243)),1),""))</f>
        <v>0.00470219435736677</v>
      </c>
      <c r="X243" s="123" t="n">
        <f aca="false">$W243</f>
        <v>0.00470219435736677</v>
      </c>
      <c r="Y243" s="123" t="n">
        <f aca="false">IFERROR(1/(1/INDEX(Spectrum!$N:$N,MATCH(RIGHT($B243,13)&amp;"|"&amp;$C243&amp;"|"&amp;$D243&amp;"|"&amp;Y$14&amp;"|"&amp;"CY2021Q3",Spectrum!$Q:$Q,0))),IF(SUM($H243)=0,"",MAX(SUM($P243),SUM($U243))/SUM($H243)))</f>
        <v>0.486651411136537</v>
      </c>
      <c r="Z243" s="123" t="n">
        <f aca="false">IF(SUM($Y243)=0,"",MAX(SUM($Y243),90%))</f>
        <v>0.9</v>
      </c>
      <c r="AA243" s="115" t="n">
        <f aca="false">IF(LEFT($B243,4)="_Mil","",ROUND(MAX(SUM($U243),SUM($P243))+IF(SUM($Z243)=0,0,MAX(SUM($Z243)-SUM($Y243),0)*SUM($H243)),0))</f>
        <v>1180</v>
      </c>
      <c r="AB243" s="115" t="n">
        <f aca="false">IF(SUM($AA243)=0,"",ROUND(MAX(SUM($AA243)-MAX(SUM($P243),SUM($U243)),0),0))</f>
        <v>542</v>
      </c>
      <c r="AC243" s="126" t="str">
        <f aca="false">IF($C243="&lt;01",IFERROR(ROUND(INDEX(EID!$N:$N,MATCH($B243,EID!$B:$B,0))/2,0),""),"")</f>
        <v/>
      </c>
      <c r="AD243" s="115" t="n">
        <f aca="false">IF($C243="&lt;01",IF(SUM($AC243)=0,"",ROUND(SUM($AC243)/$AG243,0)),IF(SUM($AB243)=0,"",ROUND(MAX($X243,0)*SUM($AB243),0)))</f>
        <v>3</v>
      </c>
      <c r="AE243" s="115" t="n">
        <f aca="false">IF(AND(SUM($AD243)=0,SUM($U243)=0),"",ROUND(IF($C243="&lt;01",0,SUM($U243))+SUM($AD243),0))</f>
        <v>6</v>
      </c>
      <c r="AF243" s="122" t="n">
        <f aca="false">IF($C243="&lt;01","",100%)</f>
        <v>1</v>
      </c>
      <c r="AG243" s="123" t="n">
        <f aca="false">0.98</f>
        <v>0.98</v>
      </c>
      <c r="AH243" s="123" t="n">
        <f aca="false">0.98</f>
        <v>0.98</v>
      </c>
      <c r="AI243" s="124" t="n">
        <f aca="false">IF(OR($C243="&lt;01",SUM($U243)=0),"",ROUND(SUM($U243)*(1-$AH243),0))</f>
        <v>0</v>
      </c>
      <c r="AJ243" s="124" t="n">
        <f aca="false">IF(AND(SUM($AE243)=0,SUM($U243)=0),"",IF($C243="&lt;01",SUM($AD243),SUM($AE243) - ROUND(SUM($U243)*$AH243,0)))</f>
        <v>3</v>
      </c>
      <c r="AK243" s="124" t="n">
        <v>44</v>
      </c>
      <c r="AL243" s="124" t="n">
        <v>21</v>
      </c>
      <c r="AM243" s="115" t="n">
        <f aca="false">IF(AND(SUM($AD243)=0,SUM($U243)=0),"",IF($C243="&lt;01",SUM($AD243),ROUND(ROUND(SUM($AJ243)*$AF243,0)/$AG243,0)))</f>
        <v>3</v>
      </c>
      <c r="AN243" s="122" t="n">
        <f aca="false">0.7</f>
        <v>0.7</v>
      </c>
      <c r="AO243" s="123" t="n">
        <f aca="false">1</f>
        <v>1</v>
      </c>
      <c r="AP243" s="115" t="n">
        <f aca="false">IF(AND(SUM($U243)=0,SUM($AM243)=0),"",ROUND((SUM($AM243)*$AN243+IF($C243="&lt;01",0,$U243))*$AO243,0))</f>
        <v>5</v>
      </c>
      <c r="AQ243" s="122" t="n">
        <v>44</v>
      </c>
      <c r="AR243" s="123" t="n">
        <f aca="false">0.95</f>
        <v>0.95</v>
      </c>
      <c r="AS243" s="123" t="n">
        <f aca="false">0.95</f>
        <v>0.95</v>
      </c>
      <c r="AT243" s="115" t="n">
        <f aca="false">IF(SUM($AP243)=0,"",ROUND(SUM($AP243)*$AR243,0))</f>
        <v>5</v>
      </c>
      <c r="AU243" s="115" t="n">
        <f aca="false">IF(LEFT($B243,4)="_Mil","",ROUND(SUM($AA243)*SUM($AS243),0))</f>
        <v>1121</v>
      </c>
      <c r="AV243" s="124" t="n">
        <f aca="false">IF(SUM($AU243)&lt;=0,"",MAX(SUM($AU243)-SUM($R243),0))</f>
        <v>1121</v>
      </c>
      <c r="AW243" s="122" t="n">
        <f aca="false">0</f>
        <v>0</v>
      </c>
      <c r="AX243" s="124" t="n">
        <f aca="false">IF(SUM($AM243)=0,"",ROUND(SUM($AM243)*SUM($AW243),0))</f>
        <v>0</v>
      </c>
      <c r="AY243" s="124" t="n">
        <f aca="false">IF(SUM($AM243)=0,"",SUM($AM243)-SUM($AX243))</f>
        <v>3</v>
      </c>
      <c r="AZ243" s="123" t="n">
        <v>50</v>
      </c>
      <c r="BA243" s="123" t="n">
        <f aca="false">0.95</f>
        <v>0.95</v>
      </c>
      <c r="BB243" s="123"/>
      <c r="BC243" s="123" t="n">
        <f aca="false">IF(OR(SUM($AM243)&lt;=0,$C243="&lt;01"),"",MAX(IF(OR(SUM($Y243)&lt;70%,LEFT($B243,4)="_Mil"),30%,IF(SUM($Y243)&gt;=80%,75%,50%)),SUM($BB243)))</f>
        <v>0.3</v>
      </c>
      <c r="BD243" s="115" t="n">
        <f aca="false">IF($C243="&lt;01",IFERROR(ROUND(INDEX(EID!$M:$M,MATCH($B243,EID!$B:$B,0)),0)/2,""),IF(SUM($AY243)=0,"",ROUND(SUM($AY243)/SUM($BA243),0)))</f>
        <v>3</v>
      </c>
      <c r="BE243" s="115" t="n">
        <f aca="false">IF($C243="&lt;01","",IF(SUM($BD243)=0,"",ROUND(SUM($BD243)*SUM($BC243),0)))</f>
        <v>1</v>
      </c>
      <c r="BF243" s="115" t="n">
        <f aca="false">_xlfn.IFNA(INDEX(PMTCT!$AE:$AE,MATCH($E243,PMTCT!$E:$E,0)),"")</f>
        <v>-13440</v>
      </c>
      <c r="BG243" s="115" t="str">
        <f aca="false">_xlfn.IFNA(INDEX(PMTCT!$AU:$AU,MATCH($E243,PMTCT!$E:$E,0)),"")</f>
        <v/>
      </c>
      <c r="BH243" s="115" t="n">
        <f aca="false">_xlfn.IFNA(INDEX(TB!$Q:$Q,MATCH($E243,TB!$E:$E,0)),"")</f>
        <v>-1200</v>
      </c>
      <c r="BI243" s="115" t="str">
        <f aca="false">_xlfn.IFNA(INDEX(VMMC!$AC:$AC,MATCH($E243,VMMC!$E:$E,0)),"")</f>
        <v/>
      </c>
      <c r="BJ243" s="115" t="str">
        <f aca="false">IF($C243="&lt;01",$BD243,"")</f>
        <v/>
      </c>
      <c r="BK243" s="115" t="n">
        <f aca="false">IF(SUM($BD243)=0,"",($BD243)-SUM($BE243:$BJ243))</f>
        <v>14642</v>
      </c>
      <c r="BL243" s="123" t="n">
        <f aca="false">IF(OR(SUM($BD243)=0,SUM($BE243)=0),"",SUM($BE243)/$BD243)</f>
        <v>0.333333333333333</v>
      </c>
      <c r="BM243" s="123" t="n">
        <f aca="false">IF(OR(SUM($BD243)=0,SUM($BF243)=0),"",SUM($BF243)/$BD243)</f>
        <v>-4480</v>
      </c>
      <c r="BN243" s="123" t="str">
        <f aca="false">IF(OR(SUM($BD243)=0,SUM($BG243)=0),"",SUM($BG243)/$BD243)</f>
        <v/>
      </c>
      <c r="BO243" s="123" t="n">
        <f aca="false">IF(OR(SUM($BD243)=0,SUM($BH243)=0),"",SUM($BH243)/$BD243)</f>
        <v>-400</v>
      </c>
      <c r="BP243" s="123" t="str">
        <f aca="false">IF(OR(SUM($BD243)=0,SUM($BI243)=0),"",SUM($BI243)/$BD243)</f>
        <v/>
      </c>
      <c r="BQ243" s="123" t="str">
        <f aca="false">IF(AND($C243="&lt;01",SUM($BJ243)&lt;&gt;0),$BJ243/SUM($BD243),"")</f>
        <v/>
      </c>
      <c r="BR243" s="123" t="n">
        <f aca="false">IF(OR(SUM($BD243)=0,SUM($BK243)=0),"",SUM($BK243)/$BD243)</f>
        <v>4880.66666666667</v>
      </c>
      <c r="BS243" s="122" t="n">
        <f aca="false">IF(SUM($X243)&lt;=0,"",$X243)</f>
        <v>0.00470219435736677</v>
      </c>
      <c r="BT243" s="115" t="n">
        <f aca="false">IF(LEFT($B243,4)="_Mil","",MAX(SUM($L243)+ROUND(SUM($BD243)/IF(SUM($BS243)&lt;=0,1,SUM($BS243)),0),0))</f>
        <v>1388</v>
      </c>
    </row>
    <row r="244" customFormat="false" ht="15" hidden="false" customHeight="false" outlineLevel="0" collapsed="false">
      <c r="A244" s="0" t="s">
        <v>150</v>
      </c>
      <c r="B244" s="0" t="s">
        <v>117</v>
      </c>
      <c r="C244" s="0" t="s">
        <v>69</v>
      </c>
      <c r="D244" s="0" t="s">
        <v>58</v>
      </c>
      <c r="E244" s="0" t="str">
        <f aca="false">B244&amp;"|"&amp;C244&amp;"|"&amp;D244</f>
        <v>Quthing [#SNU] [HuwCoDZG0FY]|25-29|Male</v>
      </c>
      <c r="F244" s="115" t="n">
        <f aca="false">_xlfn.IFNA(ROUND(INDEX(Spectrum!$N:$N,MATCH(RIGHT($B244,13)&amp;"|"&amp;$C244&amp;"|"&amp;$D244&amp;"|"&amp;F$14&amp;"|"&amp;"CY2021Q3",Spectrum!$Q:$Q,0)),0),"")</f>
        <v>5755</v>
      </c>
      <c r="G244" s="123" t="n">
        <f aca="false">_xlfn.IFNA(INDEX(Spectrum!$P:$P,MATCH(RIGHT($B244,13)&amp;"|"&amp;$C244&amp;"|"&amp;$D244&amp;"|"&amp;F$14&amp;"|"&amp;"CY2021Q3",Spectrum!$Q:$Q,0)),"")</f>
        <v>30</v>
      </c>
      <c r="H244" s="115" t="n">
        <f aca="false">_xlfn.IFNA(ROUND(INDEX(Spectrum!$N:$N,MATCH(RIGHT($B244,13)&amp;"|"&amp;$C244&amp;"|"&amp;$D244&amp;"|"&amp;H$14&amp;"|"&amp;"CY2021Q3",Spectrum!$Q:$Q,0)),0),"")</f>
        <v>625</v>
      </c>
      <c r="I244" s="123" t="n">
        <f aca="false">_xlfn.IFNA(INDEX(Spectrum!$P:$P,MATCH(RIGHT($B244,13)&amp;"|"&amp;$C244&amp;"|"&amp;$D244&amp;"|"&amp;H$14&amp;"|"&amp;"CY2021Q3",Spectrum!$Q:$Q,0)),"")</f>
        <v>48</v>
      </c>
      <c r="J244" s="117" t="n">
        <f aca="false">_xlfn.IFNA(INDEX(Spectrum!$N:$N,MATCH(RIGHT($B244,13)&amp;"|"&amp;$C244&amp;"|"&amp;$D244&amp;"|"&amp;J$14&amp;"|"&amp;"CY2021Q3",Spectrum!$Q:$Q,0)),"")</f>
        <v>0.1085506</v>
      </c>
      <c r="K244" s="123" t="n">
        <f aca="false">_xlfn.IFNA(INDEX(Spectrum!$P:$P,MATCH(RIGHT($B244,13)&amp;"|"&amp;$C244&amp;"|"&amp;$D244&amp;"|"&amp;J$14&amp;"|"&amp;"CY2021Q3",Spectrum!$Q:$Q,0)),"")</f>
        <v>29</v>
      </c>
      <c r="L244" s="115" t="n">
        <f aca="false">_xlfn.IFNA(ROUND(INDEX(Spectrum!$N:$N,MATCH(RIGHT($B244,13)&amp;"|"&amp;$C244&amp;"|"&amp;$D244&amp;"|"&amp;L$14&amp;"|"&amp;"CY2021Q3",Spectrum!$Q:$Q,0)),0),"")</f>
        <v>311</v>
      </c>
      <c r="M244" s="123" t="n">
        <f aca="false">IF(OR(SUM($H244)&lt;=0,SUM($L244)&lt;=0),"",SUM($L244)/$H244)</f>
        <v>0.4976</v>
      </c>
      <c r="N244" s="115" t="str">
        <f aca="false">_xlfn.IFNA(ROUND(INDEX(Spectrum!$N:$N,MATCH(RIGHT($B244,13)&amp;"|"&amp;$C244&amp;"|"&amp;$D244&amp;"|"&amp;N$14&amp;"|"&amp;"CY2020Q4",Spectrum!$Q:$Q,0)),0),"")</f>
        <v/>
      </c>
      <c r="O244" s="123" t="str">
        <f aca="false">_xlfn.IFNA(INDEX(Spectrum!$P:$P,MATCH(RIGHT($B244,13)&amp;"|"&amp;$C244&amp;"|"&amp;$D244&amp;"|"&amp;N$14&amp;"|"&amp;"CY2020Q4",Spectrum!$Q:$Q,0)),"")</f>
        <v/>
      </c>
      <c r="P244" s="115" t="n">
        <f aca="false">_xlfn.IFNA(ROUND(INDEX(Spectrum!$N:$N,MATCH(RIGHT($B244,13)&amp;"|"&amp;$C244&amp;"|"&amp;$D244&amp;"|"&amp;P$14&amp;"|"&amp;"CY2021Q3",Spectrum!$Q:$Q,0)),0),"")</f>
        <v>227</v>
      </c>
      <c r="Q244" s="123" t="n">
        <f aca="false">_xlfn.IFNA(INDEX(Spectrum!$P:$P,MATCH(RIGHT($B244,13)&amp;"|"&amp;$C244&amp;"|"&amp;$D244&amp;"|"&amp;P$14&amp;"|"&amp;"CY2021Q3",Spectrum!$Q:$Q,0)),"")</f>
        <v>1</v>
      </c>
      <c r="R244" s="115"/>
      <c r="S244" s="123" t="str">
        <f aca="false">IF(OR(SUM($P244)&lt;=0,SUM($R244)&lt;=0),"",SUM($R244)/$P244)</f>
        <v/>
      </c>
      <c r="T244" s="139" t="n">
        <v>31</v>
      </c>
      <c r="U244" s="124" t="n">
        <v>10</v>
      </c>
      <c r="V244" s="124" t="n">
        <f aca="false">IF($U244-$T244=0,"",$U244-$T244)</f>
        <v>-21</v>
      </c>
      <c r="W244" s="123" t="n">
        <f aca="false">IF(LEFT($B244,4)="_Mil","",IFERROR(MIN(IF(SUM($N244)&lt;=0,SUM($U244)/SUM($P244),SUM($T244)/SUM($N244)),1),""))</f>
        <v>0.0440528634361234</v>
      </c>
      <c r="X244" s="123" t="n">
        <f aca="false">$W244</f>
        <v>0.0440528634361234</v>
      </c>
      <c r="Y244" s="123" t="n">
        <f aca="false">IFERROR(1/(1/INDEX(Spectrum!$N:$N,MATCH(RIGHT($B244,13)&amp;"|"&amp;$C244&amp;"|"&amp;$D244&amp;"|"&amp;Y$14&amp;"|"&amp;"CY2021Q3",Spectrum!$Q:$Q,0))),IF(SUM($H244)=0,"",MAX(SUM($P244),SUM($U244))/SUM($H244)))</f>
        <v>0.3632</v>
      </c>
      <c r="Z244" s="123" t="n">
        <f aca="false">IF(SUM($Y244)=0,"",MAX(SUM($Y244),90%))</f>
        <v>0.9</v>
      </c>
      <c r="AA244" s="115" t="n">
        <f aca="false">IF(LEFT($B244,4)="_Mil","",ROUND(MAX(SUM($U244),SUM($P244))+IF(SUM($Z244)=0,0,MAX(SUM($Z244)-SUM($Y244),0)*SUM($H244)),0))</f>
        <v>563</v>
      </c>
      <c r="AB244" s="115" t="n">
        <f aca="false">IF(SUM($AA244)=0,"",ROUND(MAX(SUM($AA244)-MAX(SUM($P244),SUM($U244)),0),0))</f>
        <v>336</v>
      </c>
      <c r="AC244" s="126" t="str">
        <f aca="false">IF($C244="&lt;01",IFERROR(ROUND(INDEX(EID!$N:$N,MATCH($B244,EID!$B:$B,0))/2,0),""),"")</f>
        <v/>
      </c>
      <c r="AD244" s="115" t="n">
        <f aca="false">IF($C244="&lt;01",IF(SUM($AC244)=0,"",ROUND(SUM($AC244)/$AG244,0)),IF(SUM($AB244)=0,"",ROUND(MAX($X244,0)*SUM($AB244),0)))</f>
        <v>15</v>
      </c>
      <c r="AE244" s="115" t="n">
        <f aca="false">IF(AND(SUM($AD244)=0,SUM($U244)=0),"",ROUND(IF($C244="&lt;01",0,SUM($U244))+SUM($AD244),0))</f>
        <v>25</v>
      </c>
      <c r="AF244" s="122" t="n">
        <f aca="false">IF($C244="&lt;01","",100%)</f>
        <v>1</v>
      </c>
      <c r="AG244" s="123" t="n">
        <f aca="false">0.98</f>
        <v>0.98</v>
      </c>
      <c r="AH244" s="123" t="n">
        <f aca="false">0.98</f>
        <v>0.98</v>
      </c>
      <c r="AI244" s="124" t="n">
        <f aca="false">IF(OR($C244="&lt;01",SUM($U244)=0),"",ROUND(SUM($U244)*(1-$AH244),0))</f>
        <v>0</v>
      </c>
      <c r="AJ244" s="124" t="n">
        <f aca="false">IF(AND(SUM($AE244)=0,SUM($U244)=0),"",IF($C244="&lt;01",SUM($AD244),SUM($AE244) - ROUND(SUM($U244)*$AH244,0)))</f>
        <v>15</v>
      </c>
      <c r="AK244" s="124" t="n">
        <v>44</v>
      </c>
      <c r="AL244" s="124" t="n">
        <v>26</v>
      </c>
      <c r="AM244" s="115" t="n">
        <f aca="false">IF(AND(SUM($AD244)=0,SUM($U244)=0),"",IF($C244="&lt;01",SUM($AD244),ROUND(ROUND(SUM($AJ244)*$AF244,0)/$AG244,0)))</f>
        <v>15</v>
      </c>
      <c r="AN244" s="122" t="n">
        <f aca="false">0.7</f>
        <v>0.7</v>
      </c>
      <c r="AO244" s="123" t="n">
        <f aca="false">1</f>
        <v>1</v>
      </c>
      <c r="AP244" s="115" t="n">
        <f aca="false">IF(AND(SUM($U244)=0,SUM($AM244)=0),"",ROUND((SUM($AM244)*$AN244+IF($C244="&lt;01",0,$U244))*$AO244,0))</f>
        <v>21</v>
      </c>
      <c r="AQ244" s="122" t="n">
        <v>30</v>
      </c>
      <c r="AR244" s="123" t="n">
        <f aca="false">0.95</f>
        <v>0.95</v>
      </c>
      <c r="AS244" s="123" t="n">
        <f aca="false">0.95</f>
        <v>0.95</v>
      </c>
      <c r="AT244" s="115" t="n">
        <f aca="false">IF(SUM($AP244)=0,"",ROUND(SUM($AP244)*$AR244,0))</f>
        <v>20</v>
      </c>
      <c r="AU244" s="115" t="n">
        <f aca="false">IF(LEFT($B244,4)="_Mil","",ROUND(SUM($AA244)*SUM($AS244),0))</f>
        <v>535</v>
      </c>
      <c r="AV244" s="124" t="n">
        <f aca="false">IF(SUM($AU244)&lt;=0,"",MAX(SUM($AU244)-SUM($R244),0))</f>
        <v>535</v>
      </c>
      <c r="AW244" s="122" t="n">
        <f aca="false">0</f>
        <v>0</v>
      </c>
      <c r="AX244" s="124" t="n">
        <f aca="false">IF(SUM($AM244)=0,"",ROUND(SUM($AM244)*SUM($AW244),0))</f>
        <v>0</v>
      </c>
      <c r="AY244" s="124" t="n">
        <f aca="false">IF(SUM($AM244)=0,"",SUM($AM244)-SUM($AX244))</f>
        <v>15</v>
      </c>
      <c r="AZ244" s="123" t="n">
        <v>43</v>
      </c>
      <c r="BA244" s="123" t="n">
        <f aca="false">0.95</f>
        <v>0.95</v>
      </c>
      <c r="BB244" s="123"/>
      <c r="BC244" s="123" t="n">
        <f aca="false">IF(OR(SUM($AM244)&lt;=0,$C244="&lt;01"),"",MAX(IF(OR(SUM($Y244)&lt;70%,LEFT($B244,4)="_Mil"),30%,IF(SUM($Y244)&gt;=80%,75%,50%)),SUM($BB244)))</f>
        <v>0.3</v>
      </c>
      <c r="BD244" s="115" t="n">
        <f aca="false">IF($C244="&lt;01",IFERROR(ROUND(INDEX(EID!$M:$M,MATCH($B244,EID!$B:$B,0)),0)/2,""),IF(SUM($AY244)=0,"",ROUND(SUM($AY244)/SUM($BA244),0)))</f>
        <v>16</v>
      </c>
      <c r="BE244" s="115" t="n">
        <f aca="false">IF($C244="&lt;01","",IF(SUM($BD244)=0,"",ROUND(SUM($BD244)*SUM($BC244),0)))</f>
        <v>5</v>
      </c>
      <c r="BF244" s="115" t="str">
        <f aca="false">_xlfn.IFNA(INDEX(PMTCT!$AE:$AE,MATCH($E244,PMTCT!$E:$E,0)),"")</f>
        <v/>
      </c>
      <c r="BG244" s="115" t="str">
        <f aca="false">_xlfn.IFNA(INDEX(PMTCT!$AU:$AU,MATCH($E244,PMTCT!$E:$E,0)),"")</f>
        <v/>
      </c>
      <c r="BH244" s="115" t="n">
        <f aca="false">_xlfn.IFNA(INDEX(TB!$Q:$Q,MATCH($E244,TB!$E:$E,0)),"")</f>
        <v>-0</v>
      </c>
      <c r="BI244" s="115" t="str">
        <f aca="false">_xlfn.IFNA(INDEX(VMMC!$AC:$AC,MATCH($E244,VMMC!$E:$E,0)),"")</f>
        <v/>
      </c>
      <c r="BJ244" s="115" t="str">
        <f aca="false">IF($C244="&lt;01",$BD244,"")</f>
        <v/>
      </c>
      <c r="BK244" s="115" t="n">
        <f aca="false">IF(SUM($BD244)=0,"",($BD244)-SUM($BE244:$BJ244))</f>
        <v>11</v>
      </c>
      <c r="BL244" s="123" t="n">
        <f aca="false">IF(OR(SUM($BD244)=0,SUM($BE244)=0),"",SUM($BE244)/$BD244)</f>
        <v>0.3125</v>
      </c>
      <c r="BM244" s="123" t="str">
        <f aca="false">IF(OR(SUM($BD244)=0,SUM($BF244)=0),"",SUM($BF244)/$BD244)</f>
        <v/>
      </c>
      <c r="BN244" s="123" t="str">
        <f aca="false">IF(OR(SUM($BD244)=0,SUM($BG244)=0),"",SUM($BG244)/$BD244)</f>
        <v/>
      </c>
      <c r="BO244" s="123" t="str">
        <f aca="false">IF(OR(SUM($BD244)=0,SUM($BH244)=0),"",SUM($BH244)/$BD244)</f>
        <v/>
      </c>
      <c r="BP244" s="123" t="str">
        <f aca="false">IF(OR(SUM($BD244)=0,SUM($BI244)=0),"",SUM($BI244)/$BD244)</f>
        <v/>
      </c>
      <c r="BQ244" s="123" t="str">
        <f aca="false">IF(AND($C244="&lt;01",SUM($BJ244)&lt;&gt;0),$BJ244/SUM($BD244),"")</f>
        <v/>
      </c>
      <c r="BR244" s="123" t="n">
        <f aca="false">IF(OR(SUM($BD244)=0,SUM($BK244)=0),"",SUM($BK244)/$BD244)</f>
        <v>0.6875</v>
      </c>
      <c r="BS244" s="122" t="n">
        <f aca="false">IF(SUM($X244)&lt;=0,"",$X244)</f>
        <v>0.0440528634361234</v>
      </c>
      <c r="BT244" s="115" t="n">
        <f aca="false">IF(LEFT($B244,4)="_Mil","",MAX(SUM($L244)+ROUND(SUM($BD244)/IF(SUM($BS244)&lt;=0,1,SUM($BS244)),0),0))</f>
        <v>674</v>
      </c>
    </row>
    <row r="245" customFormat="false" ht="15" hidden="false" customHeight="false" outlineLevel="0" collapsed="false">
      <c r="A245" s="0" t="s">
        <v>150</v>
      </c>
      <c r="B245" s="0" t="s">
        <v>117</v>
      </c>
      <c r="C245" s="0" t="s">
        <v>72</v>
      </c>
      <c r="D245" s="0" t="s">
        <v>56</v>
      </c>
      <c r="E245" s="0" t="str">
        <f aca="false">B245&amp;"|"&amp;C245&amp;"|"&amp;D245</f>
        <v>Quthing [#SNU] [HuwCoDZG0FY]|30-34|Female</v>
      </c>
      <c r="F245" s="115" t="n">
        <f aca="false">_xlfn.IFNA(ROUND(INDEX(Spectrum!$N:$N,MATCH(RIGHT($B245,13)&amp;"|"&amp;$C245&amp;"|"&amp;$D245&amp;"|"&amp;F$14&amp;"|"&amp;"CY2021Q3",Spectrum!$Q:$Q,0)),0),"")</f>
        <v>4504</v>
      </c>
      <c r="G245" s="123" t="n">
        <f aca="false">_xlfn.IFNA(INDEX(Spectrum!$P:$P,MATCH(RIGHT($B245,13)&amp;"|"&amp;$C245&amp;"|"&amp;$D245&amp;"|"&amp;F$14&amp;"|"&amp;"CY2021Q3",Spectrum!$Q:$Q,0)),"")</f>
        <v>20</v>
      </c>
      <c r="H245" s="115" t="n">
        <f aca="false">_xlfn.IFNA(ROUND(INDEX(Spectrum!$N:$N,MATCH(RIGHT($B245,13)&amp;"|"&amp;$C245&amp;"|"&amp;$D245&amp;"|"&amp;H$14&amp;"|"&amp;"CY2021Q3",Spectrum!$Q:$Q,0)),0),"")</f>
        <v>1725</v>
      </c>
      <c r="I245" s="123" t="n">
        <f aca="false">_xlfn.IFNA(INDEX(Spectrum!$P:$P,MATCH(RIGHT($B245,13)&amp;"|"&amp;$C245&amp;"|"&amp;$D245&amp;"|"&amp;H$14&amp;"|"&amp;"CY2021Q3",Spectrum!$Q:$Q,0)),"")</f>
        <v>15</v>
      </c>
      <c r="J245" s="117" t="n">
        <f aca="false">_xlfn.IFNA(INDEX(Spectrum!$N:$N,MATCH(RIGHT($B245,13)&amp;"|"&amp;$C245&amp;"|"&amp;$D245&amp;"|"&amp;J$14&amp;"|"&amp;"CY2021Q3",Spectrum!$Q:$Q,0)),"")</f>
        <v>0.3829206</v>
      </c>
      <c r="K245" s="123" t="n">
        <f aca="false">_xlfn.IFNA(INDEX(Spectrum!$P:$P,MATCH(RIGHT($B245,13)&amp;"|"&amp;$C245&amp;"|"&amp;$D245&amp;"|"&amp;J$14&amp;"|"&amp;"CY2021Q3",Spectrum!$Q:$Q,0)),"")</f>
        <v>13</v>
      </c>
      <c r="L245" s="115" t="n">
        <f aca="false">_xlfn.IFNA(ROUND(INDEX(Spectrum!$N:$N,MATCH(RIGHT($B245,13)&amp;"|"&amp;$C245&amp;"|"&amp;$D245&amp;"|"&amp;L$14&amp;"|"&amp;"CY2021Q3",Spectrum!$Q:$Q,0)),0),"")</f>
        <v>912</v>
      </c>
      <c r="M245" s="123" t="n">
        <f aca="false">IF(OR(SUM($H245)&lt;=0,SUM($L245)&lt;=0),"",SUM($L245)/$H245)</f>
        <v>0.528695652173913</v>
      </c>
      <c r="N245" s="115" t="str">
        <f aca="false">_xlfn.IFNA(ROUND(INDEX(Spectrum!$N:$N,MATCH(RIGHT($B245,13)&amp;"|"&amp;$C245&amp;"|"&amp;$D245&amp;"|"&amp;N$14&amp;"|"&amp;"CY2020Q4",Spectrum!$Q:$Q,0)),0),"")</f>
        <v/>
      </c>
      <c r="O245" s="123" t="str">
        <f aca="false">_xlfn.IFNA(INDEX(Spectrum!$P:$P,MATCH(RIGHT($B245,13)&amp;"|"&amp;$C245&amp;"|"&amp;$D245&amp;"|"&amp;N$14&amp;"|"&amp;"CY2020Q4",Spectrum!$Q:$Q,0)),"")</f>
        <v/>
      </c>
      <c r="P245" s="115" t="n">
        <f aca="false">_xlfn.IFNA(ROUND(INDEX(Spectrum!$N:$N,MATCH(RIGHT($B245,13)&amp;"|"&amp;$C245&amp;"|"&amp;$D245&amp;"|"&amp;P$14&amp;"|"&amp;"CY2021Q3",Spectrum!$Q:$Q,0)),0),"")</f>
        <v>812</v>
      </c>
      <c r="Q245" s="123" t="n">
        <f aca="false">_xlfn.IFNA(INDEX(Spectrum!$P:$P,MATCH(RIGHT($B245,13)&amp;"|"&amp;$C245&amp;"|"&amp;$D245&amp;"|"&amp;P$14&amp;"|"&amp;"CY2021Q3",Spectrum!$Q:$Q,0)),"")</f>
        <v>31</v>
      </c>
      <c r="R245" s="115"/>
      <c r="S245" s="123" t="str">
        <f aca="false">IF(OR(SUM($P245)&lt;=0,SUM($R245)&lt;=0),"",SUM($R245)/$P245)</f>
        <v/>
      </c>
      <c r="T245" s="139" t="n">
        <v>27</v>
      </c>
      <c r="U245" s="124" t="n">
        <v>8</v>
      </c>
      <c r="V245" s="124" t="n">
        <f aca="false">IF($U245-$T245=0,"",$U245-$T245)</f>
        <v>-19</v>
      </c>
      <c r="W245" s="123" t="n">
        <f aca="false">IF(LEFT($B245,4)="_Mil","",IFERROR(MIN(IF(SUM($N245)&lt;=0,SUM($U245)/SUM($P245),SUM($T245)/SUM($N245)),1),""))</f>
        <v>0.00985221674876847</v>
      </c>
      <c r="X245" s="123" t="n">
        <f aca="false">$W245</f>
        <v>0.00985221674876847</v>
      </c>
      <c r="Y245" s="123" t="n">
        <f aca="false">IFERROR(1/(1/INDEX(Spectrum!$N:$N,MATCH(RIGHT($B245,13)&amp;"|"&amp;$C245&amp;"|"&amp;$D245&amp;"|"&amp;Y$14&amp;"|"&amp;"CY2021Q3",Spectrum!$Q:$Q,0))),IF(SUM($H245)=0,"",MAX(SUM($P245),SUM($U245))/SUM($H245)))</f>
        <v>0.470724637681159</v>
      </c>
      <c r="Z245" s="123" t="n">
        <f aca="false">IF(SUM($Y245)=0,"",MAX(SUM($Y245),90%))</f>
        <v>0.9</v>
      </c>
      <c r="AA245" s="115" t="n">
        <f aca="false">IF(LEFT($B245,4)="_Mil","",ROUND(MAX(SUM($U245),SUM($P245))+IF(SUM($Z245)=0,0,MAX(SUM($Z245)-SUM($Y245),0)*SUM($H245)),0))</f>
        <v>1553</v>
      </c>
      <c r="AB245" s="115" t="n">
        <f aca="false">IF(SUM($AA245)=0,"",ROUND(MAX(SUM($AA245)-MAX(SUM($P245),SUM($U245)),0),0))</f>
        <v>741</v>
      </c>
      <c r="AC245" s="126" t="str">
        <f aca="false">IF($C245="&lt;01",IFERROR(ROUND(INDEX(EID!$N:$N,MATCH($B245,EID!$B:$B,0))/2,0),""),"")</f>
        <v/>
      </c>
      <c r="AD245" s="115" t="n">
        <f aca="false">IF($C245="&lt;01",IF(SUM($AC245)=0,"",ROUND(SUM($AC245)/$AG245,0)),IF(SUM($AB245)=0,"",ROUND(MAX($X245,0)*SUM($AB245),0)))</f>
        <v>7</v>
      </c>
      <c r="AE245" s="115" t="n">
        <f aca="false">IF(AND(SUM($AD245)=0,SUM($U245)=0),"",ROUND(IF($C245="&lt;01",0,SUM($U245))+SUM($AD245),0))</f>
        <v>15</v>
      </c>
      <c r="AF245" s="122" t="n">
        <f aca="false">IF($C245="&lt;01","",100%)</f>
        <v>1</v>
      </c>
      <c r="AG245" s="123" t="n">
        <f aca="false">0.98</f>
        <v>0.98</v>
      </c>
      <c r="AH245" s="123" t="n">
        <f aca="false">0.98</f>
        <v>0.98</v>
      </c>
      <c r="AI245" s="124" t="n">
        <f aca="false">IF(OR($C245="&lt;01",SUM($U245)=0),"",ROUND(SUM($U245)*(1-$AH245),0))</f>
        <v>0</v>
      </c>
      <c r="AJ245" s="124" t="n">
        <f aca="false">IF(AND(SUM($AE245)=0,SUM($U245)=0),"",IF($C245="&lt;01",SUM($AD245),SUM($AE245) - ROUND(SUM($U245)*$AH245,0)))</f>
        <v>7</v>
      </c>
      <c r="AK245" s="124" t="n">
        <v>28</v>
      </c>
      <c r="AL245" s="124" t="n">
        <v>40</v>
      </c>
      <c r="AM245" s="115" t="n">
        <f aca="false">IF(AND(SUM($AD245)=0,SUM($U245)=0),"",IF($C245="&lt;01",SUM($AD245),ROUND(ROUND(SUM($AJ245)*$AF245,0)/$AG245,0)))</f>
        <v>7</v>
      </c>
      <c r="AN245" s="122" t="n">
        <f aca="false">0.7</f>
        <v>0.7</v>
      </c>
      <c r="AO245" s="123" t="n">
        <f aca="false">1</f>
        <v>1</v>
      </c>
      <c r="AP245" s="115" t="n">
        <f aca="false">IF(AND(SUM($U245)=0,SUM($AM245)=0),"",ROUND((SUM($AM245)*$AN245+IF($C245="&lt;01",0,$U245))*$AO245,0))</f>
        <v>13</v>
      </c>
      <c r="AQ245" s="122" t="n">
        <v>43</v>
      </c>
      <c r="AR245" s="123" t="n">
        <f aca="false">0.95</f>
        <v>0.95</v>
      </c>
      <c r="AS245" s="123" t="n">
        <f aca="false">0.95</f>
        <v>0.95</v>
      </c>
      <c r="AT245" s="115" t="n">
        <f aca="false">IF(SUM($AP245)=0,"",ROUND(SUM($AP245)*$AR245,0))</f>
        <v>12</v>
      </c>
      <c r="AU245" s="115" t="n">
        <f aca="false">IF(LEFT($B245,4)="_Mil","",ROUND(SUM($AA245)*SUM($AS245),0))</f>
        <v>1475</v>
      </c>
      <c r="AV245" s="124" t="n">
        <f aca="false">IF(SUM($AU245)&lt;=0,"",MAX(SUM($AU245)-SUM($R245),0))</f>
        <v>1475</v>
      </c>
      <c r="AW245" s="122" t="n">
        <f aca="false">0</f>
        <v>0</v>
      </c>
      <c r="AX245" s="124" t="n">
        <f aca="false">IF(SUM($AM245)=0,"",ROUND(SUM($AM245)*SUM($AW245),0))</f>
        <v>0</v>
      </c>
      <c r="AY245" s="124" t="n">
        <f aca="false">IF(SUM($AM245)=0,"",SUM($AM245)-SUM($AX245))</f>
        <v>7</v>
      </c>
      <c r="AZ245" s="123" t="n">
        <v>50</v>
      </c>
      <c r="BA245" s="123" t="n">
        <f aca="false">0.95</f>
        <v>0.95</v>
      </c>
      <c r="BB245" s="123"/>
      <c r="BC245" s="123" t="n">
        <f aca="false">IF(OR(SUM($AM245)&lt;=0,$C245="&lt;01"),"",MAX(IF(OR(SUM($Y245)&lt;70%,LEFT($B245,4)="_Mil"),30%,IF(SUM($Y245)&gt;=80%,75%,50%)),SUM($BB245)))</f>
        <v>0.3</v>
      </c>
      <c r="BD245" s="115" t="n">
        <f aca="false">IF($C245="&lt;01",IFERROR(ROUND(INDEX(EID!$M:$M,MATCH($B245,EID!$B:$B,0)),0)/2,""),IF(SUM($AY245)=0,"",ROUND(SUM($AY245)/SUM($BA245),0)))</f>
        <v>7</v>
      </c>
      <c r="BE245" s="115" t="n">
        <f aca="false">IF($C245="&lt;01","",IF(SUM($BD245)=0,"",ROUND(SUM($BD245)*SUM($BC245),0)))</f>
        <v>2</v>
      </c>
      <c r="BF245" s="115" t="n">
        <f aca="false">_xlfn.IFNA(INDEX(PMTCT!$AE:$AE,MATCH($E245,PMTCT!$E:$E,0)),"")</f>
        <v>-37800</v>
      </c>
      <c r="BG245" s="115" t="str">
        <f aca="false">_xlfn.IFNA(INDEX(PMTCT!$AU:$AU,MATCH($E245,PMTCT!$E:$E,0)),"")</f>
        <v/>
      </c>
      <c r="BH245" s="115" t="n">
        <f aca="false">_xlfn.IFNA(INDEX(TB!$Q:$Q,MATCH($E245,TB!$E:$E,0)),"")</f>
        <v>-21344</v>
      </c>
      <c r="BI245" s="115" t="str">
        <f aca="false">_xlfn.IFNA(INDEX(VMMC!$AC:$AC,MATCH($E245,VMMC!$E:$E,0)),"")</f>
        <v/>
      </c>
      <c r="BJ245" s="115" t="str">
        <f aca="false">IF($C245="&lt;01",$BD245,"")</f>
        <v/>
      </c>
      <c r="BK245" s="115" t="n">
        <f aca="false">IF(SUM($BD245)=0,"",($BD245)-SUM($BE245:$BJ245))</f>
        <v>59149</v>
      </c>
      <c r="BL245" s="123" t="n">
        <f aca="false">IF(OR(SUM($BD245)=0,SUM($BE245)=0),"",SUM($BE245)/$BD245)</f>
        <v>0.285714285714286</v>
      </c>
      <c r="BM245" s="123" t="n">
        <f aca="false">IF(OR(SUM($BD245)=0,SUM($BF245)=0),"",SUM($BF245)/$BD245)</f>
        <v>-5400</v>
      </c>
      <c r="BN245" s="123" t="str">
        <f aca="false">IF(OR(SUM($BD245)=0,SUM($BG245)=0),"",SUM($BG245)/$BD245)</f>
        <v/>
      </c>
      <c r="BO245" s="123" t="n">
        <f aca="false">IF(OR(SUM($BD245)=0,SUM($BH245)=0),"",SUM($BH245)/$BD245)</f>
        <v>-3049.14285714286</v>
      </c>
      <c r="BP245" s="123" t="str">
        <f aca="false">IF(OR(SUM($BD245)=0,SUM($BI245)=0),"",SUM($BI245)/$BD245)</f>
        <v/>
      </c>
      <c r="BQ245" s="123" t="str">
        <f aca="false">IF(AND($C245="&lt;01",SUM($BJ245)&lt;&gt;0),$BJ245/SUM($BD245),"")</f>
        <v/>
      </c>
      <c r="BR245" s="123" t="n">
        <f aca="false">IF(OR(SUM($BD245)=0,SUM($BK245)=0),"",SUM($BK245)/$BD245)</f>
        <v>8449.85714285714</v>
      </c>
      <c r="BS245" s="122" t="n">
        <f aca="false">IF(SUM($X245)&lt;=0,"",$X245)</f>
        <v>0.00985221674876847</v>
      </c>
      <c r="BT245" s="115" t="n">
        <f aca="false">IF(LEFT($B245,4)="_Mil","",MAX(SUM($L245)+ROUND(SUM($BD245)/IF(SUM($BS245)&lt;=0,1,SUM($BS245)),0),0))</f>
        <v>1623</v>
      </c>
    </row>
    <row r="246" customFormat="false" ht="15" hidden="false" customHeight="false" outlineLevel="0" collapsed="false">
      <c r="A246" s="0" t="s">
        <v>150</v>
      </c>
      <c r="B246" s="0" t="s">
        <v>117</v>
      </c>
      <c r="C246" s="0" t="s">
        <v>72</v>
      </c>
      <c r="D246" s="0" t="s">
        <v>58</v>
      </c>
      <c r="E246" s="0" t="str">
        <f aca="false">B246&amp;"|"&amp;C246&amp;"|"&amp;D246</f>
        <v>Quthing [#SNU] [HuwCoDZG0FY]|30-34|Male</v>
      </c>
      <c r="F246" s="115" t="n">
        <f aca="false">_xlfn.IFNA(ROUND(INDEX(Spectrum!$N:$N,MATCH(RIGHT($B246,13)&amp;"|"&amp;$C246&amp;"|"&amp;$D246&amp;"|"&amp;F$14&amp;"|"&amp;"CY2021Q3",Spectrum!$Q:$Q,0)),0),"")</f>
        <v>5415</v>
      </c>
      <c r="G246" s="123" t="n">
        <f aca="false">_xlfn.IFNA(INDEX(Spectrum!$P:$P,MATCH(RIGHT($B246,13)&amp;"|"&amp;$C246&amp;"|"&amp;$D246&amp;"|"&amp;F$14&amp;"|"&amp;"CY2021Q3",Spectrum!$Q:$Q,0)),"")</f>
        <v>48</v>
      </c>
      <c r="H246" s="115" t="n">
        <f aca="false">_xlfn.IFNA(ROUND(INDEX(Spectrum!$N:$N,MATCH(RIGHT($B246,13)&amp;"|"&amp;$C246&amp;"|"&amp;$D246&amp;"|"&amp;H$14&amp;"|"&amp;"CY2021Q3",Spectrum!$Q:$Q,0)),0),"")</f>
        <v>1097</v>
      </c>
      <c r="I246" s="123" t="n">
        <f aca="false">_xlfn.IFNA(INDEX(Spectrum!$P:$P,MATCH(RIGHT($B246,13)&amp;"|"&amp;$C246&amp;"|"&amp;$D246&amp;"|"&amp;H$14&amp;"|"&amp;"CY2021Q3",Spectrum!$Q:$Q,0)),"")</f>
        <v>9</v>
      </c>
      <c r="J246" s="117" t="n">
        <f aca="false">_xlfn.IFNA(INDEX(Spectrum!$N:$N,MATCH(RIGHT($B246,13)&amp;"|"&amp;$C246&amp;"|"&amp;$D246&amp;"|"&amp;J$14&amp;"|"&amp;"CY2021Q3",Spectrum!$Q:$Q,0)),"")</f>
        <v>0.2025305</v>
      </c>
      <c r="K246" s="123" t="n">
        <f aca="false">_xlfn.IFNA(INDEX(Spectrum!$P:$P,MATCH(RIGHT($B246,13)&amp;"|"&amp;$C246&amp;"|"&amp;$D246&amp;"|"&amp;J$14&amp;"|"&amp;"CY2021Q3",Spectrum!$Q:$Q,0)),"")</f>
        <v>48</v>
      </c>
      <c r="L246" s="115" t="n">
        <f aca="false">_xlfn.IFNA(ROUND(INDEX(Spectrum!$N:$N,MATCH(RIGHT($B246,13)&amp;"|"&amp;$C246&amp;"|"&amp;$D246&amp;"|"&amp;L$14&amp;"|"&amp;"CY2021Q3",Spectrum!$Q:$Q,0)),0),"")</f>
        <v>498</v>
      </c>
      <c r="M246" s="123" t="n">
        <f aca="false">IF(OR(SUM($H246)&lt;=0,SUM($L246)&lt;=0),"",SUM($L246)/$H246)</f>
        <v>0.453965360072926</v>
      </c>
      <c r="N246" s="115" t="str">
        <f aca="false">_xlfn.IFNA(ROUND(INDEX(Spectrum!$N:$N,MATCH(RIGHT($B246,13)&amp;"|"&amp;$C246&amp;"|"&amp;$D246&amp;"|"&amp;N$14&amp;"|"&amp;"CY2020Q4",Spectrum!$Q:$Q,0)),0),"")</f>
        <v/>
      </c>
      <c r="O246" s="123" t="str">
        <f aca="false">_xlfn.IFNA(INDEX(Spectrum!$P:$P,MATCH(RIGHT($B246,13)&amp;"|"&amp;$C246&amp;"|"&amp;$D246&amp;"|"&amp;N$14&amp;"|"&amp;"CY2020Q4",Spectrum!$Q:$Q,0)),"")</f>
        <v/>
      </c>
      <c r="P246" s="115" t="n">
        <f aca="false">_xlfn.IFNA(ROUND(INDEX(Spectrum!$N:$N,MATCH(RIGHT($B246,13)&amp;"|"&amp;$C246&amp;"|"&amp;$D246&amp;"|"&amp;P$14&amp;"|"&amp;"CY2021Q3",Spectrum!$Q:$Q,0)),0),"")</f>
        <v>391</v>
      </c>
      <c r="Q246" s="123" t="n">
        <f aca="false">_xlfn.IFNA(INDEX(Spectrum!$P:$P,MATCH(RIGHT($B246,13)&amp;"|"&amp;$C246&amp;"|"&amp;$D246&amp;"|"&amp;P$14&amp;"|"&amp;"CY2021Q3",Spectrum!$Q:$Q,0)),"")</f>
        <v>7</v>
      </c>
      <c r="R246" s="115"/>
      <c r="S246" s="123" t="str">
        <f aca="false">IF(OR(SUM($P246)&lt;=0,SUM($R246)&lt;=0),"",SUM($R246)/$P246)</f>
        <v/>
      </c>
      <c r="T246" s="139" t="n">
        <v>5</v>
      </c>
      <c r="U246" s="124" t="n">
        <v>49</v>
      </c>
      <c r="V246" s="124" t="n">
        <f aca="false">IF($U246-$T246=0,"",$U246-$T246)</f>
        <v>44</v>
      </c>
      <c r="W246" s="123" t="n">
        <f aca="false">IF(LEFT($B246,4)="_Mil","",IFERROR(MIN(IF(SUM($N246)&lt;=0,SUM($U246)/SUM($P246),SUM($T246)/SUM($N246)),1),""))</f>
        <v>0.125319693094629</v>
      </c>
      <c r="X246" s="123" t="n">
        <f aca="false">$W246</f>
        <v>0.125319693094629</v>
      </c>
      <c r="Y246" s="123" t="n">
        <f aca="false">IFERROR(1/(1/INDEX(Spectrum!$N:$N,MATCH(RIGHT($B246,13)&amp;"|"&amp;$C246&amp;"|"&amp;$D246&amp;"|"&amp;Y$14&amp;"|"&amp;"CY2021Q3",Spectrum!$Q:$Q,0))),IF(SUM($H246)=0,"",MAX(SUM($P246),SUM($U246))/SUM($H246)))</f>
        <v>0.356426618049225</v>
      </c>
      <c r="Z246" s="123" t="n">
        <f aca="false">IF(SUM($Y246)=0,"",MAX(SUM($Y246),90%))</f>
        <v>0.9</v>
      </c>
      <c r="AA246" s="115" t="n">
        <f aca="false">IF(LEFT($B246,4)="_Mil","",ROUND(MAX(SUM($U246),SUM($P246))+IF(SUM($Z246)=0,0,MAX(SUM($Z246)-SUM($Y246),0)*SUM($H246)),0))</f>
        <v>987</v>
      </c>
      <c r="AB246" s="115" t="n">
        <f aca="false">IF(SUM($AA246)=0,"",ROUND(MAX(SUM($AA246)-MAX(SUM($P246),SUM($U246)),0),0))</f>
        <v>596</v>
      </c>
      <c r="AC246" s="126" t="str">
        <f aca="false">IF($C246="&lt;01",IFERROR(ROUND(INDEX(EID!$N:$N,MATCH($B246,EID!$B:$B,0))/2,0),""),"")</f>
        <v/>
      </c>
      <c r="AD246" s="115" t="n">
        <f aca="false">IF($C246="&lt;01",IF(SUM($AC246)=0,"",ROUND(SUM($AC246)/$AG246,0)),IF(SUM($AB246)=0,"",ROUND(MAX($X246,0)*SUM($AB246),0)))</f>
        <v>75</v>
      </c>
      <c r="AE246" s="115" t="n">
        <f aca="false">IF(AND(SUM($AD246)=0,SUM($U246)=0),"",ROUND(IF($C246="&lt;01",0,SUM($U246))+SUM($AD246),0))</f>
        <v>124</v>
      </c>
      <c r="AF246" s="122" t="n">
        <f aca="false">IF($C246="&lt;01","",100%)</f>
        <v>1</v>
      </c>
      <c r="AG246" s="123" t="n">
        <f aca="false">0.98</f>
        <v>0.98</v>
      </c>
      <c r="AH246" s="123" t="n">
        <f aca="false">0.98</f>
        <v>0.98</v>
      </c>
      <c r="AI246" s="124" t="n">
        <f aca="false">IF(OR($C246="&lt;01",SUM($U246)=0),"",ROUND(SUM($U246)*(1-$AH246),0))</f>
        <v>1</v>
      </c>
      <c r="AJ246" s="124" t="n">
        <f aca="false">IF(AND(SUM($AE246)=0,SUM($U246)=0),"",IF($C246="&lt;01",SUM($AD246),SUM($AE246) - ROUND(SUM($U246)*$AH246,0)))</f>
        <v>76</v>
      </c>
      <c r="AK246" s="124" t="n">
        <v>34</v>
      </c>
      <c r="AL246" s="124" t="n">
        <v>34</v>
      </c>
      <c r="AM246" s="115" t="n">
        <f aca="false">IF(AND(SUM($AD246)=0,SUM($U246)=0),"",IF($C246="&lt;01",SUM($AD246),ROUND(ROUND(SUM($AJ246)*$AF246,0)/$AG246,0)))</f>
        <v>78</v>
      </c>
      <c r="AN246" s="122" t="n">
        <f aca="false">0.7</f>
        <v>0.7</v>
      </c>
      <c r="AO246" s="123" t="n">
        <f aca="false">1</f>
        <v>1</v>
      </c>
      <c r="AP246" s="115" t="n">
        <f aca="false">IF(AND(SUM($U246)=0,SUM($AM246)=0),"",ROUND((SUM($AM246)*$AN246+IF($C246="&lt;01",0,$U246))*$AO246,0))</f>
        <v>104</v>
      </c>
      <c r="AQ246" s="122" t="n">
        <v>17</v>
      </c>
      <c r="AR246" s="123" t="n">
        <f aca="false">0.95</f>
        <v>0.95</v>
      </c>
      <c r="AS246" s="123" t="n">
        <f aca="false">0.95</f>
        <v>0.95</v>
      </c>
      <c r="AT246" s="115" t="n">
        <f aca="false">IF(SUM($AP246)=0,"",ROUND(SUM($AP246)*$AR246,0))</f>
        <v>99</v>
      </c>
      <c r="AU246" s="115" t="n">
        <f aca="false">IF(LEFT($B246,4)="_Mil","",ROUND(SUM($AA246)*SUM($AS246),0))</f>
        <v>938</v>
      </c>
      <c r="AV246" s="124" t="n">
        <f aca="false">IF(SUM($AU246)&lt;=0,"",MAX(SUM($AU246)-SUM($R246),0))</f>
        <v>938</v>
      </c>
      <c r="AW246" s="122" t="n">
        <f aca="false">0</f>
        <v>0</v>
      </c>
      <c r="AX246" s="124" t="n">
        <f aca="false">IF(SUM($AM246)=0,"",ROUND(SUM($AM246)*SUM($AW246),0))</f>
        <v>0</v>
      </c>
      <c r="AY246" s="124" t="n">
        <f aca="false">IF(SUM($AM246)=0,"",SUM($AM246)-SUM($AX246))</f>
        <v>78</v>
      </c>
      <c r="AZ246" s="123" t="n">
        <v>26</v>
      </c>
      <c r="BA246" s="123" t="n">
        <f aca="false">0.95</f>
        <v>0.95</v>
      </c>
      <c r="BB246" s="123"/>
      <c r="BC246" s="123" t="n">
        <f aca="false">IF(OR(SUM($AM246)&lt;=0,$C246="&lt;01"),"",MAX(IF(OR(SUM($Y246)&lt;70%,LEFT($B246,4)="_Mil"),30%,IF(SUM($Y246)&gt;=80%,75%,50%)),SUM($BB246)))</f>
        <v>0.3</v>
      </c>
      <c r="BD246" s="115" t="n">
        <f aca="false">IF($C246="&lt;01",IFERROR(ROUND(INDEX(EID!$M:$M,MATCH($B246,EID!$B:$B,0)),0)/2,""),IF(SUM($AY246)=0,"",ROUND(SUM($AY246)/SUM($BA246),0)))</f>
        <v>82</v>
      </c>
      <c r="BE246" s="115" t="n">
        <f aca="false">IF($C246="&lt;01","",IF(SUM($BD246)=0,"",ROUND(SUM($BD246)*SUM($BC246),0)))</f>
        <v>25</v>
      </c>
      <c r="BF246" s="115" t="str">
        <f aca="false">_xlfn.IFNA(INDEX(PMTCT!$AE:$AE,MATCH($E246,PMTCT!$E:$E,0)),"")</f>
        <v/>
      </c>
      <c r="BG246" s="115" t="str">
        <f aca="false">_xlfn.IFNA(INDEX(PMTCT!$AU:$AU,MATCH($E246,PMTCT!$E:$E,0)),"")</f>
        <v/>
      </c>
      <c r="BH246" s="115" t="n">
        <f aca="false">_xlfn.IFNA(INDEX(TB!$Q:$Q,MATCH($E246,TB!$E:$E,0)),"")</f>
        <v>-0</v>
      </c>
      <c r="BI246" s="115" t="str">
        <f aca="false">_xlfn.IFNA(INDEX(VMMC!$AC:$AC,MATCH($E246,VMMC!$E:$E,0)),"")</f>
        <v/>
      </c>
      <c r="BJ246" s="115" t="str">
        <f aca="false">IF($C246="&lt;01",$BD246,"")</f>
        <v/>
      </c>
      <c r="BK246" s="115" t="n">
        <f aca="false">IF(SUM($BD246)=0,"",($BD246)-SUM($BE246:$BJ246))</f>
        <v>57</v>
      </c>
      <c r="BL246" s="123" t="n">
        <f aca="false">IF(OR(SUM($BD246)=0,SUM($BE246)=0),"",SUM($BE246)/$BD246)</f>
        <v>0.304878048780488</v>
      </c>
      <c r="BM246" s="123" t="str">
        <f aca="false">IF(OR(SUM($BD246)=0,SUM($BF246)=0),"",SUM($BF246)/$BD246)</f>
        <v/>
      </c>
      <c r="BN246" s="123" t="str">
        <f aca="false">IF(OR(SUM($BD246)=0,SUM($BG246)=0),"",SUM($BG246)/$BD246)</f>
        <v/>
      </c>
      <c r="BO246" s="123" t="str">
        <f aca="false">IF(OR(SUM($BD246)=0,SUM($BH246)=0),"",SUM($BH246)/$BD246)</f>
        <v/>
      </c>
      <c r="BP246" s="123" t="str">
        <f aca="false">IF(OR(SUM($BD246)=0,SUM($BI246)=0),"",SUM($BI246)/$BD246)</f>
        <v/>
      </c>
      <c r="BQ246" s="123" t="str">
        <f aca="false">IF(AND($C246="&lt;01",SUM($BJ246)&lt;&gt;0),$BJ246/SUM($BD246),"")</f>
        <v/>
      </c>
      <c r="BR246" s="123" t="n">
        <f aca="false">IF(OR(SUM($BD246)=0,SUM($BK246)=0),"",SUM($BK246)/$BD246)</f>
        <v>0.695121951219512</v>
      </c>
      <c r="BS246" s="122" t="n">
        <f aca="false">IF(SUM($X246)&lt;=0,"",$X246)</f>
        <v>0.125319693094629</v>
      </c>
      <c r="BT246" s="115" t="n">
        <f aca="false">IF(LEFT($B246,4)="_Mil","",MAX(SUM($L246)+ROUND(SUM($BD246)/IF(SUM($BS246)&lt;=0,1,SUM($BS246)),0),0))</f>
        <v>1152</v>
      </c>
    </row>
    <row r="247" customFormat="false" ht="15" hidden="false" customHeight="false" outlineLevel="0" collapsed="false">
      <c r="A247" s="0" t="s">
        <v>150</v>
      </c>
      <c r="B247" s="0" t="s">
        <v>117</v>
      </c>
      <c r="C247" s="0" t="s">
        <v>75</v>
      </c>
      <c r="D247" s="0" t="s">
        <v>56</v>
      </c>
      <c r="E247" s="0" t="str">
        <f aca="false">B247&amp;"|"&amp;C247&amp;"|"&amp;D247</f>
        <v>Quthing [#SNU] [HuwCoDZG0FY]|35-39|Female</v>
      </c>
      <c r="F247" s="115" t="n">
        <f aca="false">_xlfn.IFNA(ROUND(INDEX(Spectrum!$N:$N,MATCH(RIGHT($B247,13)&amp;"|"&amp;$C247&amp;"|"&amp;$D247&amp;"|"&amp;F$14&amp;"|"&amp;"CY2021Q3",Spectrum!$Q:$Q,0)),0),"")</f>
        <v>3061</v>
      </c>
      <c r="G247" s="123" t="n">
        <f aca="false">_xlfn.IFNA(INDEX(Spectrum!$P:$P,MATCH(RIGHT($B247,13)&amp;"|"&amp;$C247&amp;"|"&amp;$D247&amp;"|"&amp;F$14&amp;"|"&amp;"CY2021Q3",Spectrum!$Q:$Q,0)),"")</f>
        <v>37</v>
      </c>
      <c r="H247" s="115" t="n">
        <f aca="false">_xlfn.IFNA(ROUND(INDEX(Spectrum!$N:$N,MATCH(RIGHT($B247,13)&amp;"|"&amp;$C247&amp;"|"&amp;$D247&amp;"|"&amp;H$14&amp;"|"&amp;"CY2021Q3",Spectrum!$Q:$Q,0)),0),"")</f>
        <v>1543</v>
      </c>
      <c r="I247" s="123" t="n">
        <f aca="false">_xlfn.IFNA(INDEX(Spectrum!$P:$P,MATCH(RIGHT($B247,13)&amp;"|"&amp;$C247&amp;"|"&amp;$D247&amp;"|"&amp;H$14&amp;"|"&amp;"CY2021Q3",Spectrum!$Q:$Q,0)),"")</f>
        <v>48</v>
      </c>
      <c r="J247" s="117" t="n">
        <f aca="false">_xlfn.IFNA(INDEX(Spectrum!$N:$N,MATCH(RIGHT($B247,13)&amp;"|"&amp;$C247&amp;"|"&amp;$D247&amp;"|"&amp;J$14&amp;"|"&amp;"CY2021Q3",Spectrum!$Q:$Q,0)),"")</f>
        <v>0.5040283</v>
      </c>
      <c r="K247" s="123" t="n">
        <f aca="false">_xlfn.IFNA(INDEX(Spectrum!$P:$P,MATCH(RIGHT($B247,13)&amp;"|"&amp;$C247&amp;"|"&amp;$D247&amp;"|"&amp;J$14&amp;"|"&amp;"CY2021Q3",Spectrum!$Q:$Q,0)),"")</f>
        <v>27</v>
      </c>
      <c r="L247" s="115" t="n">
        <f aca="false">_xlfn.IFNA(ROUND(INDEX(Spectrum!$N:$N,MATCH(RIGHT($B247,13)&amp;"|"&amp;$C247&amp;"|"&amp;$D247&amp;"|"&amp;L$14&amp;"|"&amp;"CY2021Q3",Spectrum!$Q:$Q,0)),0),"")</f>
        <v>964</v>
      </c>
      <c r="M247" s="123" t="n">
        <f aca="false">IF(OR(SUM($H247)&lt;=0,SUM($L247)&lt;=0),"",SUM($L247)/$H247)</f>
        <v>0.624756966947505</v>
      </c>
      <c r="N247" s="115" t="str">
        <f aca="false">_xlfn.IFNA(ROUND(INDEX(Spectrum!$N:$N,MATCH(RIGHT($B247,13)&amp;"|"&amp;$C247&amp;"|"&amp;$D247&amp;"|"&amp;N$14&amp;"|"&amp;"CY2020Q4",Spectrum!$Q:$Q,0)),0),"")</f>
        <v/>
      </c>
      <c r="O247" s="123" t="str">
        <f aca="false">_xlfn.IFNA(INDEX(Spectrum!$P:$P,MATCH(RIGHT($B247,13)&amp;"|"&amp;$C247&amp;"|"&amp;$D247&amp;"|"&amp;N$14&amp;"|"&amp;"CY2020Q4",Spectrum!$Q:$Q,0)),"")</f>
        <v/>
      </c>
      <c r="P247" s="115" t="n">
        <f aca="false">_xlfn.IFNA(ROUND(INDEX(Spectrum!$N:$N,MATCH(RIGHT($B247,13)&amp;"|"&amp;$C247&amp;"|"&amp;$D247&amp;"|"&amp;P$14&amp;"|"&amp;"CY2021Q3",Spectrum!$Q:$Q,0)),0),"")</f>
        <v>893</v>
      </c>
      <c r="Q247" s="123" t="n">
        <f aca="false">_xlfn.IFNA(INDEX(Spectrum!$P:$P,MATCH(RIGHT($B247,13)&amp;"|"&amp;$C247&amp;"|"&amp;$D247&amp;"|"&amp;P$14&amp;"|"&amp;"CY2021Q3",Spectrum!$Q:$Q,0)),"")</f>
        <v>7</v>
      </c>
      <c r="R247" s="115"/>
      <c r="S247" s="123" t="str">
        <f aca="false">IF(OR(SUM($P247)&lt;=0,SUM($R247)&lt;=0),"",SUM($R247)/$P247)</f>
        <v/>
      </c>
      <c r="T247" s="139" t="n">
        <v>27</v>
      </c>
      <c r="U247" s="124" t="n">
        <v>35</v>
      </c>
      <c r="V247" s="124" t="n">
        <f aca="false">IF($U247-$T247=0,"",$U247-$T247)</f>
        <v>8</v>
      </c>
      <c r="W247" s="123" t="n">
        <f aca="false">IF(LEFT($B247,4)="_Mil","",IFERROR(MIN(IF(SUM($N247)&lt;=0,SUM($U247)/SUM($P247),SUM($T247)/SUM($N247)),1),""))</f>
        <v>0.0391937290033595</v>
      </c>
      <c r="X247" s="123" t="n">
        <f aca="false">$W247</f>
        <v>0.0391937290033595</v>
      </c>
      <c r="Y247" s="123" t="n">
        <f aca="false">IFERROR(1/(1/INDEX(Spectrum!$N:$N,MATCH(RIGHT($B247,13)&amp;"|"&amp;$C247&amp;"|"&amp;$D247&amp;"|"&amp;Y$14&amp;"|"&amp;"CY2021Q3",Spectrum!$Q:$Q,0))),IF(SUM($H247)=0,"",MAX(SUM($P247),SUM($U247))/SUM($H247)))</f>
        <v>0.578742709008425</v>
      </c>
      <c r="Z247" s="123" t="n">
        <f aca="false">IF(SUM($Y247)=0,"",MAX(SUM($Y247),90%))</f>
        <v>0.9</v>
      </c>
      <c r="AA247" s="115" t="n">
        <f aca="false">IF(LEFT($B247,4)="_Mil","",ROUND(MAX(SUM($U247),SUM($P247))+IF(SUM($Z247)=0,0,MAX(SUM($Z247)-SUM($Y247),0)*SUM($H247)),0))</f>
        <v>1389</v>
      </c>
      <c r="AB247" s="115" t="n">
        <f aca="false">IF(SUM($AA247)=0,"",ROUND(MAX(SUM($AA247)-MAX(SUM($P247),SUM($U247)),0),0))</f>
        <v>496</v>
      </c>
      <c r="AC247" s="126" t="str">
        <f aca="false">IF($C247="&lt;01",IFERROR(ROUND(INDEX(EID!$N:$N,MATCH($B247,EID!$B:$B,0))/2,0),""),"")</f>
        <v/>
      </c>
      <c r="AD247" s="115" t="n">
        <f aca="false">IF($C247="&lt;01",IF(SUM($AC247)=0,"",ROUND(SUM($AC247)/$AG247,0)),IF(SUM($AB247)=0,"",ROUND(MAX($X247,0)*SUM($AB247),0)))</f>
        <v>19</v>
      </c>
      <c r="AE247" s="115" t="n">
        <f aca="false">IF(AND(SUM($AD247)=0,SUM($U247)=0),"",ROUND(IF($C247="&lt;01",0,SUM($U247))+SUM($AD247),0))</f>
        <v>54</v>
      </c>
      <c r="AF247" s="122" t="n">
        <f aca="false">IF($C247="&lt;01","",100%)</f>
        <v>1</v>
      </c>
      <c r="AG247" s="123" t="n">
        <f aca="false">0.98</f>
        <v>0.98</v>
      </c>
      <c r="AH247" s="123" t="n">
        <f aca="false">0.98</f>
        <v>0.98</v>
      </c>
      <c r="AI247" s="124" t="n">
        <f aca="false">IF(OR($C247="&lt;01",SUM($U247)=0),"",ROUND(SUM($U247)*(1-$AH247),0))</f>
        <v>1</v>
      </c>
      <c r="AJ247" s="124" t="n">
        <f aca="false">IF(AND(SUM($AE247)=0,SUM($U247)=0),"",IF($C247="&lt;01",SUM($AD247),SUM($AE247) - ROUND(SUM($U247)*$AH247,0)))</f>
        <v>20</v>
      </c>
      <c r="AK247" s="124" t="n">
        <v>50</v>
      </c>
      <c r="AL247" s="124" t="n">
        <v>37</v>
      </c>
      <c r="AM247" s="115" t="n">
        <f aca="false">IF(AND(SUM($AD247)=0,SUM($U247)=0),"",IF($C247="&lt;01",SUM($AD247),ROUND(ROUND(SUM($AJ247)*$AF247,0)/$AG247,0)))</f>
        <v>20</v>
      </c>
      <c r="AN247" s="122" t="n">
        <f aca="false">0.7</f>
        <v>0.7</v>
      </c>
      <c r="AO247" s="123" t="n">
        <f aca="false">1</f>
        <v>1</v>
      </c>
      <c r="AP247" s="115" t="n">
        <f aca="false">IF(AND(SUM($U247)=0,SUM($AM247)=0),"",ROUND((SUM($AM247)*$AN247+IF($C247="&lt;01",0,$U247))*$AO247,0))</f>
        <v>49</v>
      </c>
      <c r="AQ247" s="122" t="n">
        <v>36</v>
      </c>
      <c r="AR247" s="123" t="n">
        <f aca="false">0.95</f>
        <v>0.95</v>
      </c>
      <c r="AS247" s="123" t="n">
        <f aca="false">0.95</f>
        <v>0.95</v>
      </c>
      <c r="AT247" s="115" t="n">
        <f aca="false">IF(SUM($AP247)=0,"",ROUND(SUM($AP247)*$AR247,0))</f>
        <v>47</v>
      </c>
      <c r="AU247" s="115" t="n">
        <f aca="false">IF(LEFT($B247,4)="_Mil","",ROUND(SUM($AA247)*SUM($AS247),0))</f>
        <v>1320</v>
      </c>
      <c r="AV247" s="124" t="n">
        <f aca="false">IF(SUM($AU247)&lt;=0,"",MAX(SUM($AU247)-SUM($R247),0))</f>
        <v>1320</v>
      </c>
      <c r="AW247" s="122" t="n">
        <f aca="false">0</f>
        <v>0</v>
      </c>
      <c r="AX247" s="124" t="n">
        <f aca="false">IF(SUM($AM247)=0,"",ROUND(SUM($AM247)*SUM($AW247),0))</f>
        <v>0</v>
      </c>
      <c r="AY247" s="124" t="n">
        <f aca="false">IF(SUM($AM247)=0,"",SUM($AM247)-SUM($AX247))</f>
        <v>20</v>
      </c>
      <c r="AZ247" s="123" t="n">
        <v>28</v>
      </c>
      <c r="BA247" s="123" t="n">
        <f aca="false">0.95</f>
        <v>0.95</v>
      </c>
      <c r="BB247" s="123"/>
      <c r="BC247" s="123" t="n">
        <f aca="false">IF(OR(SUM($AM247)&lt;=0,$C247="&lt;01"),"",MAX(IF(OR(SUM($Y247)&lt;70%,LEFT($B247,4)="_Mil"),30%,IF(SUM($Y247)&gt;=80%,75%,50%)),SUM($BB247)))</f>
        <v>0.3</v>
      </c>
      <c r="BD247" s="115" t="n">
        <f aca="false">IF($C247="&lt;01",IFERROR(ROUND(INDEX(EID!$M:$M,MATCH($B247,EID!$B:$B,0)),0)/2,""),IF(SUM($AY247)=0,"",ROUND(SUM($AY247)/SUM($BA247),0)))</f>
        <v>21</v>
      </c>
      <c r="BE247" s="115" t="n">
        <f aca="false">IF($C247="&lt;01","",IF(SUM($BD247)=0,"",ROUND(SUM($BD247)*SUM($BC247),0)))</f>
        <v>6</v>
      </c>
      <c r="BF247" s="115" t="n">
        <f aca="false">_xlfn.IFNA(INDEX(PMTCT!$AE:$AE,MATCH($E247,PMTCT!$E:$E,0)),"")</f>
        <v>-13608</v>
      </c>
      <c r="BG247" s="115" t="str">
        <f aca="false">_xlfn.IFNA(INDEX(PMTCT!$AU:$AU,MATCH($E247,PMTCT!$E:$E,0)),"")</f>
        <v/>
      </c>
      <c r="BH247" s="115" t="n">
        <f aca="false">_xlfn.IFNA(INDEX(TB!$Q:$Q,MATCH($E247,TB!$E:$E,0)),"")</f>
        <v>-372</v>
      </c>
      <c r="BI247" s="115" t="str">
        <f aca="false">_xlfn.IFNA(INDEX(VMMC!$AC:$AC,MATCH($E247,VMMC!$E:$E,0)),"")</f>
        <v/>
      </c>
      <c r="BJ247" s="115" t="str">
        <f aca="false">IF($C247="&lt;01",$BD247,"")</f>
        <v/>
      </c>
      <c r="BK247" s="115" t="n">
        <f aca="false">IF(SUM($BD247)=0,"",($BD247)-SUM($BE247:$BJ247))</f>
        <v>13995</v>
      </c>
      <c r="BL247" s="123" t="n">
        <f aca="false">IF(OR(SUM($BD247)=0,SUM($BE247)=0),"",SUM($BE247)/$BD247)</f>
        <v>0.285714285714286</v>
      </c>
      <c r="BM247" s="123" t="n">
        <f aca="false">IF(OR(SUM($BD247)=0,SUM($BF247)=0),"",SUM($BF247)/$BD247)</f>
        <v>-648</v>
      </c>
      <c r="BN247" s="123" t="str">
        <f aca="false">IF(OR(SUM($BD247)=0,SUM($BG247)=0),"",SUM($BG247)/$BD247)</f>
        <v/>
      </c>
      <c r="BO247" s="123" t="n">
        <f aca="false">IF(OR(SUM($BD247)=0,SUM($BH247)=0),"",SUM($BH247)/$BD247)</f>
        <v>-17.7142857142857</v>
      </c>
      <c r="BP247" s="123" t="str">
        <f aca="false">IF(OR(SUM($BD247)=0,SUM($BI247)=0),"",SUM($BI247)/$BD247)</f>
        <v/>
      </c>
      <c r="BQ247" s="123" t="str">
        <f aca="false">IF(AND($C247="&lt;01",SUM($BJ247)&lt;&gt;0),$BJ247/SUM($BD247),"")</f>
        <v/>
      </c>
      <c r="BR247" s="123" t="n">
        <f aca="false">IF(OR(SUM($BD247)=0,SUM($BK247)=0),"",SUM($BK247)/$BD247)</f>
        <v>666.428571428571</v>
      </c>
      <c r="BS247" s="122" t="n">
        <f aca="false">IF(SUM($X247)&lt;=0,"",$X247)</f>
        <v>0.0391937290033595</v>
      </c>
      <c r="BT247" s="115" t="n">
        <f aca="false">IF(LEFT($B247,4)="_Mil","",MAX(SUM($L247)+ROUND(SUM($BD247)/IF(SUM($BS247)&lt;=0,1,SUM($BS247)),0),0))</f>
        <v>1500</v>
      </c>
    </row>
    <row r="248" customFormat="false" ht="15" hidden="false" customHeight="false" outlineLevel="0" collapsed="false">
      <c r="A248" s="0" t="s">
        <v>150</v>
      </c>
      <c r="B248" s="0" t="s">
        <v>117</v>
      </c>
      <c r="C248" s="0" t="s">
        <v>75</v>
      </c>
      <c r="D248" s="0" t="s">
        <v>58</v>
      </c>
      <c r="E248" s="0" t="str">
        <f aca="false">B248&amp;"|"&amp;C248&amp;"|"&amp;D248</f>
        <v>Quthing [#SNU] [HuwCoDZG0FY]|35-39|Male</v>
      </c>
      <c r="F248" s="115" t="n">
        <f aca="false">_xlfn.IFNA(ROUND(INDEX(Spectrum!$N:$N,MATCH(RIGHT($B248,13)&amp;"|"&amp;$C248&amp;"|"&amp;$D248&amp;"|"&amp;F$14&amp;"|"&amp;"CY2021Q3",Spectrum!$Q:$Q,0)),0),"")</f>
        <v>3830</v>
      </c>
      <c r="G248" s="123" t="n">
        <f aca="false">_xlfn.IFNA(INDEX(Spectrum!$P:$P,MATCH(RIGHT($B248,13)&amp;"|"&amp;$C248&amp;"|"&amp;$D248&amp;"|"&amp;F$14&amp;"|"&amp;"CY2021Q3",Spectrum!$Q:$Q,0)),"")</f>
        <v>40</v>
      </c>
      <c r="H248" s="115" t="n">
        <f aca="false">_xlfn.IFNA(ROUND(INDEX(Spectrum!$N:$N,MATCH(RIGHT($B248,13)&amp;"|"&amp;$C248&amp;"|"&amp;$D248&amp;"|"&amp;H$14&amp;"|"&amp;"CY2021Q3",Spectrum!$Q:$Q,0)),0),"")</f>
        <v>1249</v>
      </c>
      <c r="I248" s="123" t="n">
        <f aca="false">_xlfn.IFNA(INDEX(Spectrum!$P:$P,MATCH(RIGHT($B248,13)&amp;"|"&amp;$C248&amp;"|"&amp;$D248&amp;"|"&amp;H$14&amp;"|"&amp;"CY2021Q3",Spectrum!$Q:$Q,0)),"")</f>
        <v>25</v>
      </c>
      <c r="J248" s="117" t="n">
        <f aca="false">_xlfn.IFNA(INDEX(Spectrum!$N:$N,MATCH(RIGHT($B248,13)&amp;"|"&amp;$C248&amp;"|"&amp;$D248&amp;"|"&amp;J$14&amp;"|"&amp;"CY2021Q3",Spectrum!$Q:$Q,0)),"")</f>
        <v>0.3259964</v>
      </c>
      <c r="K248" s="123" t="n">
        <f aca="false">_xlfn.IFNA(INDEX(Spectrum!$P:$P,MATCH(RIGHT($B248,13)&amp;"|"&amp;$C248&amp;"|"&amp;$D248&amp;"|"&amp;J$14&amp;"|"&amp;"CY2021Q3",Spectrum!$Q:$Q,0)),"")</f>
        <v>3</v>
      </c>
      <c r="L248" s="115" t="n">
        <f aca="false">_xlfn.IFNA(ROUND(INDEX(Spectrum!$N:$N,MATCH(RIGHT($B248,13)&amp;"|"&amp;$C248&amp;"|"&amp;$D248&amp;"|"&amp;L$14&amp;"|"&amp;"CY2021Q3",Spectrum!$Q:$Q,0)),0),"")</f>
        <v>660</v>
      </c>
      <c r="M248" s="123" t="n">
        <f aca="false">IF(OR(SUM($H248)&lt;=0,SUM($L248)&lt;=0),"",SUM($L248)/$H248)</f>
        <v>0.528422738190552</v>
      </c>
      <c r="N248" s="115" t="str">
        <f aca="false">_xlfn.IFNA(ROUND(INDEX(Spectrum!$N:$N,MATCH(RIGHT($B248,13)&amp;"|"&amp;$C248&amp;"|"&amp;$D248&amp;"|"&amp;N$14&amp;"|"&amp;"CY2020Q4",Spectrum!$Q:$Q,0)),0),"")</f>
        <v/>
      </c>
      <c r="O248" s="123" t="str">
        <f aca="false">_xlfn.IFNA(INDEX(Spectrum!$P:$P,MATCH(RIGHT($B248,13)&amp;"|"&amp;$C248&amp;"|"&amp;$D248&amp;"|"&amp;N$14&amp;"|"&amp;"CY2020Q4",Spectrum!$Q:$Q,0)),"")</f>
        <v/>
      </c>
      <c r="P248" s="115" t="n">
        <f aca="false">_xlfn.IFNA(ROUND(INDEX(Spectrum!$N:$N,MATCH(RIGHT($B248,13)&amp;"|"&amp;$C248&amp;"|"&amp;$D248&amp;"|"&amp;P$14&amp;"|"&amp;"CY2021Q3",Spectrum!$Q:$Q,0)),0),"")</f>
        <v>547</v>
      </c>
      <c r="Q248" s="123" t="n">
        <f aca="false">_xlfn.IFNA(INDEX(Spectrum!$P:$P,MATCH(RIGHT($B248,13)&amp;"|"&amp;$C248&amp;"|"&amp;$D248&amp;"|"&amp;P$14&amp;"|"&amp;"CY2021Q3",Spectrum!$Q:$Q,0)),"")</f>
        <v>18</v>
      </c>
      <c r="R248" s="115"/>
      <c r="S248" s="123" t="str">
        <f aca="false">IF(OR(SUM($P248)&lt;=0,SUM($R248)&lt;=0),"",SUM($R248)/$P248)</f>
        <v/>
      </c>
      <c r="T248" s="139" t="n">
        <v>9</v>
      </c>
      <c r="U248" s="124" t="n">
        <v>47</v>
      </c>
      <c r="V248" s="124" t="n">
        <f aca="false">IF($U248-$T248=0,"",$U248-$T248)</f>
        <v>38</v>
      </c>
      <c r="W248" s="123" t="n">
        <f aca="false">IF(LEFT($B248,4)="_Mil","",IFERROR(MIN(IF(SUM($N248)&lt;=0,SUM($U248)/SUM($P248),SUM($T248)/SUM($N248)),1),""))</f>
        <v>0.0859232175502742</v>
      </c>
      <c r="X248" s="123" t="n">
        <f aca="false">$W248</f>
        <v>0.0859232175502742</v>
      </c>
      <c r="Y248" s="123" t="n">
        <f aca="false">IFERROR(1/(1/INDEX(Spectrum!$N:$N,MATCH(RIGHT($B248,13)&amp;"|"&amp;$C248&amp;"|"&amp;$D248&amp;"|"&amp;Y$14&amp;"|"&amp;"CY2021Q3",Spectrum!$Q:$Q,0))),IF(SUM($H248)=0,"",MAX(SUM($P248),SUM($U248))/SUM($H248)))</f>
        <v>0.437950360288231</v>
      </c>
      <c r="Z248" s="123" t="n">
        <f aca="false">IF(SUM($Y248)=0,"",MAX(SUM($Y248),90%))</f>
        <v>0.9</v>
      </c>
      <c r="AA248" s="115" t="n">
        <f aca="false">IF(LEFT($B248,4)="_Mil","",ROUND(MAX(SUM($U248),SUM($P248))+IF(SUM($Z248)=0,0,MAX(SUM($Z248)-SUM($Y248),0)*SUM($H248)),0))</f>
        <v>1124</v>
      </c>
      <c r="AB248" s="115" t="n">
        <f aca="false">IF(SUM($AA248)=0,"",ROUND(MAX(SUM($AA248)-MAX(SUM($P248),SUM($U248)),0),0))</f>
        <v>577</v>
      </c>
      <c r="AC248" s="126" t="str">
        <f aca="false">IF($C248="&lt;01",IFERROR(ROUND(INDEX(EID!$N:$N,MATCH($B248,EID!$B:$B,0))/2,0),""),"")</f>
        <v/>
      </c>
      <c r="AD248" s="115" t="n">
        <f aca="false">IF($C248="&lt;01",IF(SUM($AC248)=0,"",ROUND(SUM($AC248)/$AG248,0)),IF(SUM($AB248)=0,"",ROUND(MAX($X248,0)*SUM($AB248),0)))</f>
        <v>50</v>
      </c>
      <c r="AE248" s="115" t="n">
        <f aca="false">IF(AND(SUM($AD248)=0,SUM($U248)=0),"",ROUND(IF($C248="&lt;01",0,SUM($U248))+SUM($AD248),0))</f>
        <v>97</v>
      </c>
      <c r="AF248" s="122" t="n">
        <f aca="false">IF($C248="&lt;01","",100%)</f>
        <v>1</v>
      </c>
      <c r="AG248" s="123" t="n">
        <f aca="false">0.98</f>
        <v>0.98</v>
      </c>
      <c r="AH248" s="123" t="n">
        <f aca="false">0.98</f>
        <v>0.98</v>
      </c>
      <c r="AI248" s="124" t="n">
        <f aca="false">IF(OR($C248="&lt;01",SUM($U248)=0),"",ROUND(SUM($U248)*(1-$AH248),0))</f>
        <v>1</v>
      </c>
      <c r="AJ248" s="124" t="n">
        <f aca="false">IF(AND(SUM($AE248)=0,SUM($U248)=0),"",IF($C248="&lt;01",SUM($AD248),SUM($AE248) - ROUND(SUM($U248)*$AH248,0)))</f>
        <v>51</v>
      </c>
      <c r="AK248" s="124" t="n">
        <v>42</v>
      </c>
      <c r="AL248" s="124" t="n">
        <v>11</v>
      </c>
      <c r="AM248" s="115" t="n">
        <f aca="false">IF(AND(SUM($AD248)=0,SUM($U248)=0),"",IF($C248="&lt;01",SUM($AD248),ROUND(ROUND(SUM($AJ248)*$AF248,0)/$AG248,0)))</f>
        <v>52</v>
      </c>
      <c r="AN248" s="122" t="n">
        <f aca="false">0.7</f>
        <v>0.7</v>
      </c>
      <c r="AO248" s="123" t="n">
        <f aca="false">1</f>
        <v>1</v>
      </c>
      <c r="AP248" s="115" t="n">
        <f aca="false">IF(AND(SUM($U248)=0,SUM($AM248)=0),"",ROUND((SUM($AM248)*$AN248+IF($C248="&lt;01",0,$U248))*$AO248,0))</f>
        <v>83</v>
      </c>
      <c r="AQ248" s="122" t="n">
        <v>0</v>
      </c>
      <c r="AR248" s="123" t="n">
        <f aca="false">0.95</f>
        <v>0.95</v>
      </c>
      <c r="AS248" s="123" t="n">
        <f aca="false">0.95</f>
        <v>0.95</v>
      </c>
      <c r="AT248" s="115" t="n">
        <f aca="false">IF(SUM($AP248)=0,"",ROUND(SUM($AP248)*$AR248,0))</f>
        <v>79</v>
      </c>
      <c r="AU248" s="115" t="n">
        <f aca="false">IF(LEFT($B248,4)="_Mil","",ROUND(SUM($AA248)*SUM($AS248),0))</f>
        <v>1068</v>
      </c>
      <c r="AV248" s="124" t="n">
        <f aca="false">IF(SUM($AU248)&lt;=0,"",MAX(SUM($AU248)-SUM($R248),0))</f>
        <v>1068</v>
      </c>
      <c r="AW248" s="122" t="n">
        <f aca="false">0</f>
        <v>0</v>
      </c>
      <c r="AX248" s="124" t="n">
        <f aca="false">IF(SUM($AM248)=0,"",ROUND(SUM($AM248)*SUM($AW248),0))</f>
        <v>0</v>
      </c>
      <c r="AY248" s="124" t="n">
        <f aca="false">IF(SUM($AM248)=0,"",SUM($AM248)-SUM($AX248))</f>
        <v>52</v>
      </c>
      <c r="AZ248" s="123" t="n">
        <v>21</v>
      </c>
      <c r="BA248" s="123" t="n">
        <f aca="false">0.95</f>
        <v>0.95</v>
      </c>
      <c r="BB248" s="123"/>
      <c r="BC248" s="123" t="n">
        <f aca="false">IF(OR(SUM($AM248)&lt;=0,$C248="&lt;01"),"",MAX(IF(OR(SUM($Y248)&lt;70%,LEFT($B248,4)="_Mil"),30%,IF(SUM($Y248)&gt;=80%,75%,50%)),SUM($BB248)))</f>
        <v>0.3</v>
      </c>
      <c r="BD248" s="115" t="n">
        <f aca="false">IF($C248="&lt;01",IFERROR(ROUND(INDEX(EID!$M:$M,MATCH($B248,EID!$B:$B,0)),0)/2,""),IF(SUM($AY248)=0,"",ROUND(SUM($AY248)/SUM($BA248),0)))</f>
        <v>55</v>
      </c>
      <c r="BE248" s="115" t="n">
        <f aca="false">IF($C248="&lt;01","",IF(SUM($BD248)=0,"",ROUND(SUM($BD248)*SUM($BC248),0)))</f>
        <v>17</v>
      </c>
      <c r="BF248" s="115" t="str">
        <f aca="false">_xlfn.IFNA(INDEX(PMTCT!$AE:$AE,MATCH($E248,PMTCT!$E:$E,0)),"")</f>
        <v/>
      </c>
      <c r="BG248" s="115" t="str">
        <f aca="false">_xlfn.IFNA(INDEX(PMTCT!$AU:$AU,MATCH($E248,PMTCT!$E:$E,0)),"")</f>
        <v/>
      </c>
      <c r="BH248" s="115" t="n">
        <f aca="false">_xlfn.IFNA(INDEX(TB!$Q:$Q,MATCH($E248,TB!$E:$E,0)),"")</f>
        <v>-2210</v>
      </c>
      <c r="BI248" s="115" t="str">
        <f aca="false">_xlfn.IFNA(INDEX(VMMC!$AC:$AC,MATCH($E248,VMMC!$E:$E,0)),"")</f>
        <v/>
      </c>
      <c r="BJ248" s="115" t="str">
        <f aca="false">IF($C248="&lt;01",$BD248,"")</f>
        <v/>
      </c>
      <c r="BK248" s="115" t="n">
        <f aca="false">IF(SUM($BD248)=0,"",($BD248)-SUM($BE248:$BJ248))</f>
        <v>2248</v>
      </c>
      <c r="BL248" s="123" t="n">
        <f aca="false">IF(OR(SUM($BD248)=0,SUM($BE248)=0),"",SUM($BE248)/$BD248)</f>
        <v>0.309090909090909</v>
      </c>
      <c r="BM248" s="123" t="str">
        <f aca="false">IF(OR(SUM($BD248)=0,SUM($BF248)=0),"",SUM($BF248)/$BD248)</f>
        <v/>
      </c>
      <c r="BN248" s="123" t="str">
        <f aca="false">IF(OR(SUM($BD248)=0,SUM($BG248)=0),"",SUM($BG248)/$BD248)</f>
        <v/>
      </c>
      <c r="BO248" s="123" t="n">
        <f aca="false">IF(OR(SUM($BD248)=0,SUM($BH248)=0),"",SUM($BH248)/$BD248)</f>
        <v>-40.1818181818182</v>
      </c>
      <c r="BP248" s="123" t="str">
        <f aca="false">IF(OR(SUM($BD248)=0,SUM($BI248)=0),"",SUM($BI248)/$BD248)</f>
        <v/>
      </c>
      <c r="BQ248" s="123" t="str">
        <f aca="false">IF(AND($C248="&lt;01",SUM($BJ248)&lt;&gt;0),$BJ248/SUM($BD248),"")</f>
        <v/>
      </c>
      <c r="BR248" s="123" t="n">
        <f aca="false">IF(OR(SUM($BD248)=0,SUM($BK248)=0),"",SUM($BK248)/$BD248)</f>
        <v>40.8727272727273</v>
      </c>
      <c r="BS248" s="122" t="n">
        <f aca="false">IF(SUM($X248)&lt;=0,"",$X248)</f>
        <v>0.0859232175502742</v>
      </c>
      <c r="BT248" s="115" t="n">
        <f aca="false">IF(LEFT($B248,4)="_Mil","",MAX(SUM($L248)+ROUND(SUM($BD248)/IF(SUM($BS248)&lt;=0,1,SUM($BS248)),0),0))</f>
        <v>1300</v>
      </c>
    </row>
    <row r="249" customFormat="false" ht="15" hidden="false" customHeight="false" outlineLevel="0" collapsed="false">
      <c r="A249" s="0" t="s">
        <v>150</v>
      </c>
      <c r="B249" s="0" t="s">
        <v>117</v>
      </c>
      <c r="C249" s="0" t="s">
        <v>77</v>
      </c>
      <c r="D249" s="0" t="s">
        <v>56</v>
      </c>
      <c r="E249" s="0" t="str">
        <f aca="false">B249&amp;"|"&amp;C249&amp;"|"&amp;D249</f>
        <v>Quthing [#SNU] [HuwCoDZG0FY]|40-44|Female</v>
      </c>
      <c r="F249" s="115" t="n">
        <f aca="false">_xlfn.IFNA(ROUND(INDEX(Spectrum!$N:$N,MATCH(RIGHT($B249,13)&amp;"|"&amp;$C249&amp;"|"&amp;$D249&amp;"|"&amp;F$14&amp;"|"&amp;"CY2021Q3",Spectrum!$Q:$Q,0)),0),"")</f>
        <v>2225</v>
      </c>
      <c r="G249" s="123" t="n">
        <f aca="false">_xlfn.IFNA(INDEX(Spectrum!$P:$P,MATCH(RIGHT($B249,13)&amp;"|"&amp;$C249&amp;"|"&amp;$D249&amp;"|"&amp;F$14&amp;"|"&amp;"CY2021Q3",Spectrum!$Q:$Q,0)),"")</f>
        <v>27</v>
      </c>
      <c r="H249" s="115" t="n">
        <f aca="false">_xlfn.IFNA(ROUND(INDEX(Spectrum!$N:$N,MATCH(RIGHT($B249,13)&amp;"|"&amp;$C249&amp;"|"&amp;$D249&amp;"|"&amp;H$14&amp;"|"&amp;"CY2021Q3",Spectrum!$Q:$Q,0)),0),"")</f>
        <v>1192</v>
      </c>
      <c r="I249" s="123" t="n">
        <f aca="false">_xlfn.IFNA(INDEX(Spectrum!$P:$P,MATCH(RIGHT($B249,13)&amp;"|"&amp;$C249&amp;"|"&amp;$D249&amp;"|"&amp;H$14&amp;"|"&amp;"CY2021Q3",Spectrum!$Q:$Q,0)),"")</f>
        <v>20</v>
      </c>
      <c r="J249" s="117" t="n">
        <f aca="false">_xlfn.IFNA(INDEX(Spectrum!$N:$N,MATCH(RIGHT($B249,13)&amp;"|"&amp;$C249&amp;"|"&amp;$D249&amp;"|"&amp;J$14&amp;"|"&amp;"CY2021Q3",Spectrum!$Q:$Q,0)),"")</f>
        <v>0.5357978</v>
      </c>
      <c r="K249" s="123" t="n">
        <f aca="false">_xlfn.IFNA(INDEX(Spectrum!$P:$P,MATCH(RIGHT($B249,13)&amp;"|"&amp;$C249&amp;"|"&amp;$D249&amp;"|"&amp;J$14&amp;"|"&amp;"CY2021Q3",Spectrum!$Q:$Q,0)),"")</f>
        <v>11</v>
      </c>
      <c r="L249" s="115" t="n">
        <f aca="false">_xlfn.IFNA(ROUND(INDEX(Spectrum!$N:$N,MATCH(RIGHT($B249,13)&amp;"|"&amp;$C249&amp;"|"&amp;$D249&amp;"|"&amp;L$14&amp;"|"&amp;"CY2021Q3",Spectrum!$Q:$Q,0)),0),"")</f>
        <v>955</v>
      </c>
      <c r="M249" s="123" t="n">
        <f aca="false">IF(OR(SUM($H249)&lt;=0,SUM($L249)&lt;=0),"",SUM($L249)/$H249)</f>
        <v>0.801174496644295</v>
      </c>
      <c r="N249" s="115" t="str">
        <f aca="false">_xlfn.IFNA(ROUND(INDEX(Spectrum!$N:$N,MATCH(RIGHT($B249,13)&amp;"|"&amp;$C249&amp;"|"&amp;$D249&amp;"|"&amp;N$14&amp;"|"&amp;"CY2020Q4",Spectrum!$Q:$Q,0)),0),"")</f>
        <v/>
      </c>
      <c r="O249" s="123" t="str">
        <f aca="false">_xlfn.IFNA(INDEX(Spectrum!$P:$P,MATCH(RIGHT($B249,13)&amp;"|"&amp;$C249&amp;"|"&amp;$D249&amp;"|"&amp;N$14&amp;"|"&amp;"CY2020Q4",Spectrum!$Q:$Q,0)),"")</f>
        <v/>
      </c>
      <c r="P249" s="115" t="n">
        <f aca="false">_xlfn.IFNA(ROUND(INDEX(Spectrum!$N:$N,MATCH(RIGHT($B249,13)&amp;"|"&amp;$C249&amp;"|"&amp;$D249&amp;"|"&amp;P$14&amp;"|"&amp;"CY2021Q3",Spectrum!$Q:$Q,0)),0),"")</f>
        <v>904</v>
      </c>
      <c r="Q249" s="123" t="n">
        <f aca="false">_xlfn.IFNA(INDEX(Spectrum!$P:$P,MATCH(RIGHT($B249,13)&amp;"|"&amp;$C249&amp;"|"&amp;$D249&amp;"|"&amp;P$14&amp;"|"&amp;"CY2021Q3",Spectrum!$Q:$Q,0)),"")</f>
        <v>8</v>
      </c>
      <c r="R249" s="115"/>
      <c r="S249" s="123" t="str">
        <f aca="false">IF(OR(SUM($P249)&lt;=0,SUM($R249)&lt;=0),"",SUM($R249)/$P249)</f>
        <v/>
      </c>
      <c r="T249" s="139" t="n">
        <v>18</v>
      </c>
      <c r="U249" s="124" t="n">
        <v>21</v>
      </c>
      <c r="V249" s="124" t="n">
        <f aca="false">IF($U249-$T249=0,"",$U249-$T249)</f>
        <v>3</v>
      </c>
      <c r="W249" s="123" t="n">
        <f aca="false">IF(LEFT($B249,4)="_Mil","",IFERROR(MIN(IF(SUM($N249)&lt;=0,SUM($U249)/SUM($P249),SUM($T249)/SUM($N249)),1),""))</f>
        <v>0.0232300884955752</v>
      </c>
      <c r="X249" s="123" t="n">
        <f aca="false">$W249</f>
        <v>0.0232300884955752</v>
      </c>
      <c r="Y249" s="123" t="n">
        <f aca="false">IFERROR(1/(1/INDEX(Spectrum!$N:$N,MATCH(RIGHT($B249,13)&amp;"|"&amp;$C249&amp;"|"&amp;$D249&amp;"|"&amp;Y$14&amp;"|"&amp;"CY2021Q3",Spectrum!$Q:$Q,0))),IF(SUM($H249)=0,"",MAX(SUM($P249),SUM($U249))/SUM($H249)))</f>
        <v>0.758389261744966</v>
      </c>
      <c r="Z249" s="123" t="n">
        <f aca="false">IF(SUM($Y249)=0,"",MAX(SUM($Y249),90%))</f>
        <v>0.9</v>
      </c>
      <c r="AA249" s="115" t="n">
        <f aca="false">IF(LEFT($B249,4)="_Mil","",ROUND(MAX(SUM($U249),SUM($P249))+IF(SUM($Z249)=0,0,MAX(SUM($Z249)-SUM($Y249),0)*SUM($H249)),0))</f>
        <v>1073</v>
      </c>
      <c r="AB249" s="115" t="n">
        <f aca="false">IF(SUM($AA249)=0,"",ROUND(MAX(SUM($AA249)-MAX(SUM($P249),SUM($U249)),0),0))</f>
        <v>169</v>
      </c>
      <c r="AC249" s="126" t="str">
        <f aca="false">IF($C249="&lt;01",IFERROR(ROUND(INDEX(EID!$N:$N,MATCH($B249,EID!$B:$B,0))/2,0),""),"")</f>
        <v/>
      </c>
      <c r="AD249" s="115" t="n">
        <f aca="false">IF($C249="&lt;01",IF(SUM($AC249)=0,"",ROUND(SUM($AC249)/$AG249,0)),IF(SUM($AB249)=0,"",ROUND(MAX($X249,0)*SUM($AB249),0)))</f>
        <v>4</v>
      </c>
      <c r="AE249" s="115" t="n">
        <f aca="false">IF(AND(SUM($AD249)=0,SUM($U249)=0),"",ROUND(IF($C249="&lt;01",0,SUM($U249))+SUM($AD249),0))</f>
        <v>25</v>
      </c>
      <c r="AF249" s="122" t="n">
        <f aca="false">IF($C249="&lt;01","",100%)</f>
        <v>1</v>
      </c>
      <c r="AG249" s="123" t="n">
        <f aca="false">0.98</f>
        <v>0.98</v>
      </c>
      <c r="AH249" s="123" t="n">
        <f aca="false">0.98</f>
        <v>0.98</v>
      </c>
      <c r="AI249" s="124" t="n">
        <f aca="false">IF(OR($C249="&lt;01",SUM($U249)=0),"",ROUND(SUM($U249)*(1-$AH249),0))</f>
        <v>0</v>
      </c>
      <c r="AJ249" s="124" t="n">
        <f aca="false">IF(AND(SUM($AE249)=0,SUM($U249)=0),"",IF($C249="&lt;01",SUM($AD249),SUM($AE249) - ROUND(SUM($U249)*$AH249,0)))</f>
        <v>4</v>
      </c>
      <c r="AK249" s="124" t="n">
        <v>25</v>
      </c>
      <c r="AL249" s="124" t="n">
        <v>20</v>
      </c>
      <c r="AM249" s="115" t="n">
        <f aca="false">IF(AND(SUM($AD249)=0,SUM($U249)=0),"",IF($C249="&lt;01",SUM($AD249),ROUND(ROUND(SUM($AJ249)*$AF249,0)/$AG249,0)))</f>
        <v>4</v>
      </c>
      <c r="AN249" s="122" t="n">
        <f aca="false">0.7</f>
        <v>0.7</v>
      </c>
      <c r="AO249" s="123" t="n">
        <f aca="false">1</f>
        <v>1</v>
      </c>
      <c r="AP249" s="115" t="n">
        <f aca="false">IF(AND(SUM($U249)=0,SUM($AM249)=0),"",ROUND((SUM($AM249)*$AN249+IF($C249="&lt;01",0,$U249))*$AO249,0))</f>
        <v>24</v>
      </c>
      <c r="AQ249" s="122" t="n">
        <v>9</v>
      </c>
      <c r="AR249" s="123" t="n">
        <f aca="false">0.95</f>
        <v>0.95</v>
      </c>
      <c r="AS249" s="123" t="n">
        <f aca="false">0.95</f>
        <v>0.95</v>
      </c>
      <c r="AT249" s="115" t="n">
        <f aca="false">IF(SUM($AP249)=0,"",ROUND(SUM($AP249)*$AR249,0))</f>
        <v>23</v>
      </c>
      <c r="AU249" s="115" t="n">
        <f aca="false">IF(LEFT($B249,4)="_Mil","",ROUND(SUM($AA249)*SUM($AS249),0))</f>
        <v>1019</v>
      </c>
      <c r="AV249" s="124" t="n">
        <f aca="false">IF(SUM($AU249)&lt;=0,"",MAX(SUM($AU249)-SUM($R249),0))</f>
        <v>1019</v>
      </c>
      <c r="AW249" s="122" t="n">
        <f aca="false">0</f>
        <v>0</v>
      </c>
      <c r="AX249" s="124" t="n">
        <f aca="false">IF(SUM($AM249)=0,"",ROUND(SUM($AM249)*SUM($AW249),0))</f>
        <v>0</v>
      </c>
      <c r="AY249" s="124" t="n">
        <f aca="false">IF(SUM($AM249)=0,"",SUM($AM249)-SUM($AX249))</f>
        <v>4</v>
      </c>
      <c r="AZ249" s="123" t="n">
        <v>22</v>
      </c>
      <c r="BA249" s="123" t="n">
        <f aca="false">0.95</f>
        <v>0.95</v>
      </c>
      <c r="BB249" s="123"/>
      <c r="BC249" s="123" t="n">
        <f aca="false">IF(OR(SUM($AM249)&lt;=0,$C249="&lt;01"),"",MAX(IF(OR(SUM($Y249)&lt;70%,LEFT($B249,4)="_Mil"),30%,IF(SUM($Y249)&gt;=80%,75%,50%)),SUM($BB249)))</f>
        <v>0.5</v>
      </c>
      <c r="BD249" s="115" t="n">
        <f aca="false">IF($C249="&lt;01",IFERROR(ROUND(INDEX(EID!$M:$M,MATCH($B249,EID!$B:$B,0)),0)/2,""),IF(SUM($AY249)=0,"",ROUND(SUM($AY249)/SUM($BA249),0)))</f>
        <v>4</v>
      </c>
      <c r="BE249" s="115" t="n">
        <f aca="false">IF($C249="&lt;01","",IF(SUM($BD249)=0,"",ROUND(SUM($BD249)*SUM($BC249),0)))</f>
        <v>2</v>
      </c>
      <c r="BF249" s="115" t="n">
        <f aca="false">_xlfn.IFNA(INDEX(PMTCT!$AE:$AE,MATCH($E249,PMTCT!$E:$E,0)),"")</f>
        <v>-14742</v>
      </c>
      <c r="BG249" s="115" t="str">
        <f aca="false">_xlfn.IFNA(INDEX(PMTCT!$AU:$AU,MATCH($E249,PMTCT!$E:$E,0)),"")</f>
        <v/>
      </c>
      <c r="BH249" s="115" t="n">
        <f aca="false">_xlfn.IFNA(INDEX(TB!$Q:$Q,MATCH($E249,TB!$E:$E,0)),"")</f>
        <v>-11466</v>
      </c>
      <c r="BI249" s="115" t="str">
        <f aca="false">_xlfn.IFNA(INDEX(VMMC!$AC:$AC,MATCH($E249,VMMC!$E:$E,0)),"")</f>
        <v/>
      </c>
      <c r="BJ249" s="115" t="str">
        <f aca="false">IF($C249="&lt;01",$BD249,"")</f>
        <v/>
      </c>
      <c r="BK249" s="115" t="n">
        <f aca="false">IF(SUM($BD249)=0,"",($BD249)-SUM($BE249:$BJ249))</f>
        <v>26210</v>
      </c>
      <c r="BL249" s="123" t="n">
        <f aca="false">IF(OR(SUM($BD249)=0,SUM($BE249)=0),"",SUM($BE249)/$BD249)</f>
        <v>0.5</v>
      </c>
      <c r="BM249" s="123" t="n">
        <f aca="false">IF(OR(SUM($BD249)=0,SUM($BF249)=0),"",SUM($BF249)/$BD249)</f>
        <v>-3685.5</v>
      </c>
      <c r="BN249" s="123" t="str">
        <f aca="false">IF(OR(SUM($BD249)=0,SUM($BG249)=0),"",SUM($BG249)/$BD249)</f>
        <v/>
      </c>
      <c r="BO249" s="123" t="n">
        <f aca="false">IF(OR(SUM($BD249)=0,SUM($BH249)=0),"",SUM($BH249)/$BD249)</f>
        <v>-2866.5</v>
      </c>
      <c r="BP249" s="123" t="str">
        <f aca="false">IF(OR(SUM($BD249)=0,SUM($BI249)=0),"",SUM($BI249)/$BD249)</f>
        <v/>
      </c>
      <c r="BQ249" s="123" t="str">
        <f aca="false">IF(AND($C249="&lt;01",SUM($BJ249)&lt;&gt;0),$BJ249/SUM($BD249),"")</f>
        <v/>
      </c>
      <c r="BR249" s="123" t="n">
        <f aca="false">IF(OR(SUM($BD249)=0,SUM($BK249)=0),"",SUM($BK249)/$BD249)</f>
        <v>6552.5</v>
      </c>
      <c r="BS249" s="122" t="n">
        <f aca="false">IF(SUM($X249)&lt;=0,"",$X249)</f>
        <v>0.0232300884955752</v>
      </c>
      <c r="BT249" s="115" t="n">
        <f aca="false">IF(LEFT($B249,4)="_Mil","",MAX(SUM($L249)+ROUND(SUM($BD249)/IF(SUM($BS249)&lt;=0,1,SUM($BS249)),0),0))</f>
        <v>1127</v>
      </c>
    </row>
    <row r="250" customFormat="false" ht="15" hidden="false" customHeight="false" outlineLevel="0" collapsed="false">
      <c r="A250" s="0" t="s">
        <v>150</v>
      </c>
      <c r="B250" s="0" t="s">
        <v>117</v>
      </c>
      <c r="C250" s="0" t="s">
        <v>77</v>
      </c>
      <c r="D250" s="0" t="s">
        <v>58</v>
      </c>
      <c r="E250" s="0" t="str">
        <f aca="false">B250&amp;"|"&amp;C250&amp;"|"&amp;D250</f>
        <v>Quthing [#SNU] [HuwCoDZG0FY]|40-44|Male</v>
      </c>
      <c r="F250" s="115" t="n">
        <f aca="false">_xlfn.IFNA(ROUND(INDEX(Spectrum!$N:$N,MATCH(RIGHT($B250,13)&amp;"|"&amp;$C250&amp;"|"&amp;$D250&amp;"|"&amp;F$14&amp;"|"&amp;"CY2021Q3",Spectrum!$Q:$Q,0)),0),"")</f>
        <v>2490</v>
      </c>
      <c r="G250" s="123" t="n">
        <f aca="false">_xlfn.IFNA(INDEX(Spectrum!$P:$P,MATCH(RIGHT($B250,13)&amp;"|"&amp;$C250&amp;"|"&amp;$D250&amp;"|"&amp;F$14&amp;"|"&amp;"CY2021Q3",Spectrum!$Q:$Q,0)),"")</f>
        <v>21</v>
      </c>
      <c r="H250" s="115" t="n">
        <f aca="false">_xlfn.IFNA(ROUND(INDEX(Spectrum!$N:$N,MATCH(RIGHT($B250,13)&amp;"|"&amp;$C250&amp;"|"&amp;$D250&amp;"|"&amp;H$14&amp;"|"&amp;"CY2021Q3",Spectrum!$Q:$Q,0)),0),"")</f>
        <v>1036</v>
      </c>
      <c r="I250" s="123" t="n">
        <f aca="false">_xlfn.IFNA(INDEX(Spectrum!$P:$P,MATCH(RIGHT($B250,13)&amp;"|"&amp;$C250&amp;"|"&amp;$D250&amp;"|"&amp;H$14&amp;"|"&amp;"CY2021Q3",Spectrum!$Q:$Q,0)),"")</f>
        <v>36</v>
      </c>
      <c r="J250" s="117" t="n">
        <f aca="false">_xlfn.IFNA(INDEX(Spectrum!$N:$N,MATCH(RIGHT($B250,13)&amp;"|"&amp;$C250&amp;"|"&amp;$D250&amp;"|"&amp;J$14&amp;"|"&amp;"CY2021Q3",Spectrum!$Q:$Q,0)),"")</f>
        <v>0.416006</v>
      </c>
      <c r="K250" s="123" t="n">
        <f aca="false">_xlfn.IFNA(INDEX(Spectrum!$P:$P,MATCH(RIGHT($B250,13)&amp;"|"&amp;$C250&amp;"|"&amp;$D250&amp;"|"&amp;J$14&amp;"|"&amp;"CY2021Q3",Spectrum!$Q:$Q,0)),"")</f>
        <v>36</v>
      </c>
      <c r="L250" s="115" t="n">
        <f aca="false">_xlfn.IFNA(ROUND(INDEX(Spectrum!$N:$N,MATCH(RIGHT($B250,13)&amp;"|"&amp;$C250&amp;"|"&amp;$D250&amp;"|"&amp;L$14&amp;"|"&amp;"CY2021Q3",Spectrum!$Q:$Q,0)),0),"")</f>
        <v>670</v>
      </c>
      <c r="M250" s="123" t="n">
        <f aca="false">IF(OR(SUM($H250)&lt;=0,SUM($L250)&lt;=0),"",SUM($L250)/$H250)</f>
        <v>0.646718146718147</v>
      </c>
      <c r="N250" s="115" t="str">
        <f aca="false">_xlfn.IFNA(ROUND(INDEX(Spectrum!$N:$N,MATCH(RIGHT($B250,13)&amp;"|"&amp;$C250&amp;"|"&amp;$D250&amp;"|"&amp;N$14&amp;"|"&amp;"CY2020Q4",Spectrum!$Q:$Q,0)),0),"")</f>
        <v/>
      </c>
      <c r="O250" s="123" t="str">
        <f aca="false">_xlfn.IFNA(INDEX(Spectrum!$P:$P,MATCH(RIGHT($B250,13)&amp;"|"&amp;$C250&amp;"|"&amp;$D250&amp;"|"&amp;N$14&amp;"|"&amp;"CY2020Q4",Spectrum!$Q:$Q,0)),"")</f>
        <v/>
      </c>
      <c r="P250" s="115" t="n">
        <f aca="false">_xlfn.IFNA(ROUND(INDEX(Spectrum!$N:$N,MATCH(RIGHT($B250,13)&amp;"|"&amp;$C250&amp;"|"&amp;$D250&amp;"|"&amp;P$14&amp;"|"&amp;"CY2021Q3",Spectrum!$Q:$Q,0)),0),"")</f>
        <v>573</v>
      </c>
      <c r="Q250" s="123" t="n">
        <f aca="false">_xlfn.IFNA(INDEX(Spectrum!$P:$P,MATCH(RIGHT($B250,13)&amp;"|"&amp;$C250&amp;"|"&amp;$D250&amp;"|"&amp;P$14&amp;"|"&amp;"CY2021Q3",Spectrum!$Q:$Q,0)),"")</f>
        <v>30</v>
      </c>
      <c r="R250" s="115"/>
      <c r="S250" s="123" t="str">
        <f aca="false">IF(OR(SUM($P250)&lt;=0,SUM($R250)&lt;=0),"",SUM($R250)/$P250)</f>
        <v/>
      </c>
      <c r="T250" s="139" t="n">
        <v>15</v>
      </c>
      <c r="U250" s="124" t="n">
        <v>0</v>
      </c>
      <c r="V250" s="124" t="n">
        <f aca="false">IF($U250-$T250=0,"",$U250-$T250)</f>
        <v>-15</v>
      </c>
      <c r="W250" s="123" t="n">
        <f aca="false">IF(LEFT($B250,4)="_Mil","",IFERROR(MIN(IF(SUM($N250)&lt;=0,SUM($U250)/SUM($P250),SUM($T250)/SUM($N250)),1),""))</f>
        <v>0</v>
      </c>
      <c r="X250" s="123" t="n">
        <f aca="false">$W250</f>
        <v>0</v>
      </c>
      <c r="Y250" s="123" t="n">
        <f aca="false">IFERROR(1/(1/INDEX(Spectrum!$N:$N,MATCH(RIGHT($B250,13)&amp;"|"&amp;$C250&amp;"|"&amp;$D250&amp;"|"&amp;Y$14&amp;"|"&amp;"CY2021Q3",Spectrum!$Q:$Q,0))),IF(SUM($H250)=0,"",MAX(SUM($P250),SUM($U250))/SUM($H250)))</f>
        <v>0.553088803088803</v>
      </c>
      <c r="Z250" s="123" t="n">
        <f aca="false">IF(SUM($Y250)=0,"",MAX(SUM($Y250),90%))</f>
        <v>0.9</v>
      </c>
      <c r="AA250" s="115" t="n">
        <f aca="false">IF(LEFT($B250,4)="_Mil","",ROUND(MAX(SUM($U250),SUM($P250))+IF(SUM($Z250)=0,0,MAX(SUM($Z250)-SUM($Y250),0)*SUM($H250)),0))</f>
        <v>932</v>
      </c>
      <c r="AB250" s="115" t="n">
        <f aca="false">IF(SUM($AA250)=0,"",ROUND(MAX(SUM($AA250)-MAX(SUM($P250),SUM($U250)),0),0))</f>
        <v>359</v>
      </c>
      <c r="AC250" s="126" t="str">
        <f aca="false">IF($C250="&lt;01",IFERROR(ROUND(INDEX(EID!$N:$N,MATCH($B250,EID!$B:$B,0))/2,0),""),"")</f>
        <v/>
      </c>
      <c r="AD250" s="115" t="n">
        <f aca="false">IF($C250="&lt;01",IF(SUM($AC250)=0,"",ROUND(SUM($AC250)/$AG250,0)),IF(SUM($AB250)=0,"",ROUND(MAX($X250,0)*SUM($AB250),0)))</f>
        <v>0</v>
      </c>
      <c r="AE250" s="115" t="str">
        <f aca="false">IF(AND(SUM($AD250)=0,SUM($U250)=0),"",ROUND(IF($C250="&lt;01",0,SUM($U250))+SUM($AD250),0))</f>
        <v/>
      </c>
      <c r="AF250" s="122" t="n">
        <f aca="false">IF($C250="&lt;01","",100%)</f>
        <v>1</v>
      </c>
      <c r="AG250" s="123" t="n">
        <f aca="false">0.98</f>
        <v>0.98</v>
      </c>
      <c r="AH250" s="123" t="n">
        <f aca="false">0.98</f>
        <v>0.98</v>
      </c>
      <c r="AI250" s="124" t="str">
        <f aca="false">IF(OR($C250="&lt;01",SUM($U250)=0),"",ROUND(SUM($U250)*(1-$AH250),0))</f>
        <v/>
      </c>
      <c r="AJ250" s="124" t="str">
        <f aca="false">IF(AND(SUM($AE250)=0,SUM($U250)=0),"",IF($C250="&lt;01",SUM($AD250),SUM($AE250) - ROUND(SUM($U250)*$AH250,0)))</f>
        <v/>
      </c>
      <c r="AK250" s="124" t="n">
        <v>35</v>
      </c>
      <c r="AL250" s="124" t="n">
        <v>38</v>
      </c>
      <c r="AM250" s="115" t="str">
        <f aca="false">IF(AND(SUM($AD250)=0,SUM($U250)=0),"",IF($C250="&lt;01",SUM($AD250),ROUND(ROUND(SUM($AJ250)*$AF250,0)/$AG250,0)))</f>
        <v/>
      </c>
      <c r="AN250" s="122" t="n">
        <f aca="false">0.7</f>
        <v>0.7</v>
      </c>
      <c r="AO250" s="123" t="n">
        <f aca="false">1</f>
        <v>1</v>
      </c>
      <c r="AP250" s="115" t="str">
        <f aca="false">IF(AND(SUM($U250)=0,SUM($AM250)=0),"",ROUND((SUM($AM250)*$AN250+IF($C250="&lt;01",0,$U250))*$AO250,0))</f>
        <v/>
      </c>
      <c r="AQ250" s="122" t="n">
        <v>48</v>
      </c>
      <c r="AR250" s="123" t="n">
        <f aca="false">0.95</f>
        <v>0.95</v>
      </c>
      <c r="AS250" s="123" t="n">
        <f aca="false">0.95</f>
        <v>0.95</v>
      </c>
      <c r="AT250" s="115" t="str">
        <f aca="false">IF(SUM($AP250)=0,"",ROUND(SUM($AP250)*$AR250,0))</f>
        <v/>
      </c>
      <c r="AU250" s="115" t="n">
        <f aca="false">IF(LEFT($B250,4)="_Mil","",ROUND(SUM($AA250)*SUM($AS250),0))</f>
        <v>885</v>
      </c>
      <c r="AV250" s="124" t="n">
        <f aca="false">IF(SUM($AU250)&lt;=0,"",MAX(SUM($AU250)-SUM($R250),0))</f>
        <v>885</v>
      </c>
      <c r="AW250" s="122" t="n">
        <f aca="false">0</f>
        <v>0</v>
      </c>
      <c r="AX250" s="124" t="str">
        <f aca="false">IF(SUM($AM250)=0,"",ROUND(SUM($AM250)*SUM($AW250),0))</f>
        <v/>
      </c>
      <c r="AY250" s="124" t="str">
        <f aca="false">IF(SUM($AM250)=0,"",SUM($AM250)-SUM($AX250))</f>
        <v/>
      </c>
      <c r="AZ250" s="123" t="n">
        <v>10</v>
      </c>
      <c r="BA250" s="123" t="n">
        <f aca="false">0.95</f>
        <v>0.95</v>
      </c>
      <c r="BB250" s="123"/>
      <c r="BC250" s="123" t="str">
        <f aca="false">IF(OR(SUM($AM250)&lt;=0,$C250="&lt;01"),"",MAX(IF(OR(SUM($Y250)&lt;70%,LEFT($B250,4)="_Mil"),30%,IF(SUM($Y250)&gt;=80%,75%,50%)),SUM($BB250)))</f>
        <v/>
      </c>
      <c r="BD250" s="115" t="str">
        <f aca="false">IF($C250="&lt;01",IFERROR(ROUND(INDEX(EID!$M:$M,MATCH($B250,EID!$B:$B,0)),0)/2,""),IF(SUM($AY250)=0,"",ROUND(SUM($AY250)/SUM($BA250),0)))</f>
        <v/>
      </c>
      <c r="BE250" s="115" t="str">
        <f aca="false">IF($C250="&lt;01","",IF(SUM($BD250)=0,"",ROUND(SUM($BD250)*SUM($BC250),0)))</f>
        <v/>
      </c>
      <c r="BF250" s="115" t="str">
        <f aca="false">_xlfn.IFNA(INDEX(PMTCT!$AE:$AE,MATCH($E250,PMTCT!$E:$E,0)),"")</f>
        <v/>
      </c>
      <c r="BG250" s="115" t="str">
        <f aca="false">_xlfn.IFNA(INDEX(PMTCT!$AU:$AU,MATCH($E250,PMTCT!$E:$E,0)),"")</f>
        <v/>
      </c>
      <c r="BH250" s="115" t="n">
        <f aca="false">_xlfn.IFNA(INDEX(TB!$Q:$Q,MATCH($E250,TB!$E:$E,0)),"")</f>
        <v>-3388</v>
      </c>
      <c r="BI250" s="115" t="str">
        <f aca="false">_xlfn.IFNA(INDEX(VMMC!$AC:$AC,MATCH($E250,VMMC!$E:$E,0)),"")</f>
        <v/>
      </c>
      <c r="BJ250" s="115" t="str">
        <f aca="false">IF($C250="&lt;01",$BD250,"")</f>
        <v/>
      </c>
      <c r="BK250" s="115" t="str">
        <f aca="false">IF(SUM($BD250)=0,"",($BD250)-SUM($BE250:$BJ250))</f>
        <v/>
      </c>
      <c r="BL250" s="123" t="str">
        <f aca="false">IF(OR(SUM($BD250)=0,SUM($BE250)=0),"",SUM($BE250)/$BD250)</f>
        <v/>
      </c>
      <c r="BM250" s="123" t="str">
        <f aca="false">IF(OR(SUM($BD250)=0,SUM($BF250)=0),"",SUM($BF250)/$BD250)</f>
        <v/>
      </c>
      <c r="BN250" s="123" t="str">
        <f aca="false">IF(OR(SUM($BD250)=0,SUM($BG250)=0),"",SUM($BG250)/$BD250)</f>
        <v/>
      </c>
      <c r="BO250" s="123" t="str">
        <f aca="false">IF(OR(SUM($BD250)=0,SUM($BH250)=0),"",SUM($BH250)/$BD250)</f>
        <v/>
      </c>
      <c r="BP250" s="123" t="str">
        <f aca="false">IF(OR(SUM($BD250)=0,SUM($BI250)=0),"",SUM($BI250)/$BD250)</f>
        <v/>
      </c>
      <c r="BQ250" s="123" t="str">
        <f aca="false">IF(AND($C250="&lt;01",SUM($BJ250)&lt;&gt;0),$BJ250/SUM($BD250),"")</f>
        <v/>
      </c>
      <c r="BR250" s="123" t="str">
        <f aca="false">IF(OR(SUM($BD250)=0,SUM($BK250)=0),"",SUM($BK250)/$BD250)</f>
        <v/>
      </c>
      <c r="BS250" s="122" t="str">
        <f aca="false">IF(SUM($X250)&lt;=0,"",$X250)</f>
        <v/>
      </c>
      <c r="BT250" s="115" t="n">
        <f aca="false">IF(LEFT($B250,4)="_Mil","",MAX(SUM($L250)+ROUND(SUM($BD250)/IF(SUM($BS250)&lt;=0,1,SUM($BS250)),0),0))</f>
        <v>670</v>
      </c>
    </row>
    <row r="251" customFormat="false" ht="15" hidden="false" customHeight="false" outlineLevel="0" collapsed="false">
      <c r="A251" s="0" t="s">
        <v>150</v>
      </c>
      <c r="B251" s="0" t="s">
        <v>117</v>
      </c>
      <c r="C251" s="0" t="s">
        <v>80</v>
      </c>
      <c r="D251" s="0" t="s">
        <v>56</v>
      </c>
      <c r="E251" s="0" t="str">
        <f aca="false">B251&amp;"|"&amp;C251&amp;"|"&amp;D251</f>
        <v>Quthing [#SNU] [HuwCoDZG0FY]|45-49|Female</v>
      </c>
      <c r="F251" s="115" t="n">
        <f aca="false">_xlfn.IFNA(ROUND(INDEX(Spectrum!$N:$N,MATCH(RIGHT($B251,13)&amp;"|"&amp;$C251&amp;"|"&amp;$D251&amp;"|"&amp;F$14&amp;"|"&amp;"CY2021Q3",Spectrum!$Q:$Q,0)),0),"")</f>
        <v>1837</v>
      </c>
      <c r="G251" s="123" t="n">
        <f aca="false">_xlfn.IFNA(INDEX(Spectrum!$P:$P,MATCH(RIGHT($B251,13)&amp;"|"&amp;$C251&amp;"|"&amp;$D251&amp;"|"&amp;F$14&amp;"|"&amp;"CY2021Q3",Spectrum!$Q:$Q,0)),"")</f>
        <v>15</v>
      </c>
      <c r="H251" s="115" t="n">
        <f aca="false">_xlfn.IFNA(ROUND(INDEX(Spectrum!$N:$N,MATCH(RIGHT($B251,13)&amp;"|"&amp;$C251&amp;"|"&amp;$D251&amp;"|"&amp;H$14&amp;"|"&amp;"CY2021Q3",Spectrum!$Q:$Q,0)),0),"")</f>
        <v>917</v>
      </c>
      <c r="I251" s="123" t="n">
        <f aca="false">_xlfn.IFNA(INDEX(Spectrum!$P:$P,MATCH(RIGHT($B251,13)&amp;"|"&amp;$C251&amp;"|"&amp;$D251&amp;"|"&amp;H$14&amp;"|"&amp;"CY2021Q3",Spectrum!$Q:$Q,0)),"")</f>
        <v>43</v>
      </c>
      <c r="J251" s="117" t="n">
        <f aca="false">_xlfn.IFNA(INDEX(Spectrum!$N:$N,MATCH(RIGHT($B251,13)&amp;"|"&amp;$C251&amp;"|"&amp;$D251&amp;"|"&amp;J$14&amp;"|"&amp;"CY2021Q3",Spectrum!$Q:$Q,0)),"")</f>
        <v>0.4994024</v>
      </c>
      <c r="K251" s="123" t="n">
        <f aca="false">_xlfn.IFNA(INDEX(Spectrum!$P:$P,MATCH(RIGHT($B251,13)&amp;"|"&amp;$C251&amp;"|"&amp;$D251&amp;"|"&amp;J$14&amp;"|"&amp;"CY2021Q3",Spectrum!$Q:$Q,0)),"")</f>
        <v>24</v>
      </c>
      <c r="L251" s="115" t="n">
        <f aca="false">_xlfn.IFNA(ROUND(INDEX(Spectrum!$N:$N,MATCH(RIGHT($B251,13)&amp;"|"&amp;$C251&amp;"|"&amp;$D251&amp;"|"&amp;L$14&amp;"|"&amp;"CY2021Q3",Spectrum!$Q:$Q,0)),0),"")</f>
        <v>818</v>
      </c>
      <c r="M251" s="123" t="n">
        <f aca="false">IF(OR(SUM($H251)&lt;=0,SUM($L251)&lt;=0),"",SUM($L251)/$H251)</f>
        <v>0.892039258451472</v>
      </c>
      <c r="N251" s="115" t="str">
        <f aca="false">_xlfn.IFNA(ROUND(INDEX(Spectrum!$N:$N,MATCH(RIGHT($B251,13)&amp;"|"&amp;$C251&amp;"|"&amp;$D251&amp;"|"&amp;N$14&amp;"|"&amp;"CY2020Q4",Spectrum!$Q:$Q,0)),0),"")</f>
        <v/>
      </c>
      <c r="O251" s="123" t="str">
        <f aca="false">_xlfn.IFNA(INDEX(Spectrum!$P:$P,MATCH(RIGHT($B251,13)&amp;"|"&amp;$C251&amp;"|"&amp;$D251&amp;"|"&amp;N$14&amp;"|"&amp;"CY2020Q4",Spectrum!$Q:$Q,0)),"")</f>
        <v/>
      </c>
      <c r="P251" s="115" t="n">
        <f aca="false">_xlfn.IFNA(ROUND(INDEX(Spectrum!$N:$N,MATCH(RIGHT($B251,13)&amp;"|"&amp;$C251&amp;"|"&amp;$D251&amp;"|"&amp;P$14&amp;"|"&amp;"CY2021Q3",Spectrum!$Q:$Q,0)),0),"")</f>
        <v>783</v>
      </c>
      <c r="Q251" s="123" t="n">
        <f aca="false">_xlfn.IFNA(INDEX(Spectrum!$P:$P,MATCH(RIGHT($B251,13)&amp;"|"&amp;$C251&amp;"|"&amp;$D251&amp;"|"&amp;P$14&amp;"|"&amp;"CY2021Q3",Spectrum!$Q:$Q,0)),"")</f>
        <v>32</v>
      </c>
      <c r="R251" s="115"/>
      <c r="S251" s="123" t="str">
        <f aca="false">IF(OR(SUM($P251)&lt;=0,SUM($R251)&lt;=0),"",SUM($R251)/$P251)</f>
        <v/>
      </c>
      <c r="T251" s="139" t="n">
        <v>9</v>
      </c>
      <c r="U251" s="124" t="n">
        <v>36</v>
      </c>
      <c r="V251" s="124" t="n">
        <f aca="false">IF($U251-$T251=0,"",$U251-$T251)</f>
        <v>27</v>
      </c>
      <c r="W251" s="123" t="n">
        <f aca="false">IF(LEFT($B251,4)="_Mil","",IFERROR(MIN(IF(SUM($N251)&lt;=0,SUM($U251)/SUM($P251),SUM($T251)/SUM($N251)),1),""))</f>
        <v>0.0459770114942529</v>
      </c>
      <c r="X251" s="123" t="n">
        <f aca="false">$W251</f>
        <v>0.0459770114942529</v>
      </c>
      <c r="Y251" s="123" t="n">
        <f aca="false">IFERROR(1/(1/INDEX(Spectrum!$N:$N,MATCH(RIGHT($B251,13)&amp;"|"&amp;$C251&amp;"|"&amp;$D251&amp;"|"&amp;Y$14&amp;"|"&amp;"CY2021Q3",Spectrum!$Q:$Q,0))),IF(SUM($H251)=0,"",MAX(SUM($P251),SUM($U251))/SUM($H251)))</f>
        <v>0.853871319520174</v>
      </c>
      <c r="Z251" s="123" t="n">
        <f aca="false">IF(SUM($Y251)=0,"",MAX(SUM($Y251),90%))</f>
        <v>0.9</v>
      </c>
      <c r="AA251" s="115" t="n">
        <f aca="false">IF(LEFT($B251,4)="_Mil","",ROUND(MAX(SUM($U251),SUM($P251))+IF(SUM($Z251)=0,0,MAX(SUM($Z251)-SUM($Y251),0)*SUM($H251)),0))</f>
        <v>825</v>
      </c>
      <c r="AB251" s="115" t="n">
        <f aca="false">IF(SUM($AA251)=0,"",ROUND(MAX(SUM($AA251)-MAX(SUM($P251),SUM($U251)),0),0))</f>
        <v>42</v>
      </c>
      <c r="AC251" s="126" t="str">
        <f aca="false">IF($C251="&lt;01",IFERROR(ROUND(INDEX(EID!$N:$N,MATCH($B251,EID!$B:$B,0))/2,0),""),"")</f>
        <v/>
      </c>
      <c r="AD251" s="115" t="n">
        <f aca="false">IF($C251="&lt;01",IF(SUM($AC251)=0,"",ROUND(SUM($AC251)/$AG251,0)),IF(SUM($AB251)=0,"",ROUND(MAX($X251,0)*SUM($AB251),0)))</f>
        <v>2</v>
      </c>
      <c r="AE251" s="115" t="n">
        <f aca="false">IF(AND(SUM($AD251)=0,SUM($U251)=0),"",ROUND(IF($C251="&lt;01",0,SUM($U251))+SUM($AD251),0))</f>
        <v>38</v>
      </c>
      <c r="AF251" s="122" t="n">
        <f aca="false">IF($C251="&lt;01","",100%)</f>
        <v>1</v>
      </c>
      <c r="AG251" s="123" t="n">
        <f aca="false">0.98</f>
        <v>0.98</v>
      </c>
      <c r="AH251" s="123" t="n">
        <f aca="false">0.98</f>
        <v>0.98</v>
      </c>
      <c r="AI251" s="124" t="n">
        <f aca="false">IF(OR($C251="&lt;01",SUM($U251)=0),"",ROUND(SUM($U251)*(1-$AH251),0))</f>
        <v>1</v>
      </c>
      <c r="AJ251" s="124" t="n">
        <f aca="false">IF(AND(SUM($AE251)=0,SUM($U251)=0),"",IF($C251="&lt;01",SUM($AD251),SUM($AE251) - ROUND(SUM($U251)*$AH251,0)))</f>
        <v>3</v>
      </c>
      <c r="AK251" s="124" t="n">
        <v>29</v>
      </c>
      <c r="AL251" s="124" t="n">
        <v>34</v>
      </c>
      <c r="AM251" s="115" t="n">
        <f aca="false">IF(AND(SUM($AD251)=0,SUM($U251)=0),"",IF($C251="&lt;01",SUM($AD251),ROUND(ROUND(SUM($AJ251)*$AF251,0)/$AG251,0)))</f>
        <v>3</v>
      </c>
      <c r="AN251" s="122" t="n">
        <f aca="false">0.7</f>
        <v>0.7</v>
      </c>
      <c r="AO251" s="123" t="n">
        <f aca="false">1</f>
        <v>1</v>
      </c>
      <c r="AP251" s="115" t="n">
        <f aca="false">IF(AND(SUM($U251)=0,SUM($AM251)=0),"",ROUND((SUM($AM251)*$AN251+IF($C251="&lt;01",0,$U251))*$AO251,0))</f>
        <v>38</v>
      </c>
      <c r="AQ251" s="122" t="n">
        <v>18</v>
      </c>
      <c r="AR251" s="123" t="n">
        <f aca="false">0.95</f>
        <v>0.95</v>
      </c>
      <c r="AS251" s="123" t="n">
        <f aca="false">0.95</f>
        <v>0.95</v>
      </c>
      <c r="AT251" s="115" t="n">
        <f aca="false">IF(SUM($AP251)=0,"",ROUND(SUM($AP251)*$AR251,0))</f>
        <v>36</v>
      </c>
      <c r="AU251" s="115" t="n">
        <f aca="false">IF(LEFT($B251,4)="_Mil","",ROUND(SUM($AA251)*SUM($AS251),0))</f>
        <v>784</v>
      </c>
      <c r="AV251" s="124" t="n">
        <f aca="false">IF(SUM($AU251)&lt;=0,"",MAX(SUM($AU251)-SUM($R251),0))</f>
        <v>784</v>
      </c>
      <c r="AW251" s="122" t="n">
        <f aca="false">0</f>
        <v>0</v>
      </c>
      <c r="AX251" s="124" t="n">
        <f aca="false">IF(SUM($AM251)=0,"",ROUND(SUM($AM251)*SUM($AW251),0))</f>
        <v>0</v>
      </c>
      <c r="AY251" s="124" t="n">
        <f aca="false">IF(SUM($AM251)=0,"",SUM($AM251)-SUM($AX251))</f>
        <v>3</v>
      </c>
      <c r="AZ251" s="123" t="n">
        <v>44</v>
      </c>
      <c r="BA251" s="123" t="n">
        <f aca="false">0.95</f>
        <v>0.95</v>
      </c>
      <c r="BB251" s="123"/>
      <c r="BC251" s="123" t="n">
        <f aca="false">IF(OR(SUM($AM251)&lt;=0,$C251="&lt;01"),"",MAX(IF(OR(SUM($Y251)&lt;70%,LEFT($B251,4)="_Mil"),30%,IF(SUM($Y251)&gt;=80%,75%,50%)),SUM($BB251)))</f>
        <v>0.75</v>
      </c>
      <c r="BD251" s="115" t="n">
        <f aca="false">IF($C251="&lt;01",IFERROR(ROUND(INDEX(EID!$M:$M,MATCH($B251,EID!$B:$B,0)),0)/2,""),IF(SUM($AY251)=0,"",ROUND(SUM($AY251)/SUM($BA251),0)))</f>
        <v>3</v>
      </c>
      <c r="BE251" s="115" t="n">
        <f aca="false">IF($C251="&lt;01","",IF(SUM($BD251)=0,"",ROUND(SUM($BD251)*SUM($BC251),0)))</f>
        <v>2</v>
      </c>
      <c r="BF251" s="115" t="n">
        <f aca="false">_xlfn.IFNA(INDEX(PMTCT!$AE:$AE,MATCH($E251,PMTCT!$E:$E,0)),"")</f>
        <v>-0</v>
      </c>
      <c r="BG251" s="115" t="str">
        <f aca="false">_xlfn.IFNA(INDEX(PMTCT!$AU:$AU,MATCH($E251,PMTCT!$E:$E,0)),"")</f>
        <v/>
      </c>
      <c r="BH251" s="115" t="n">
        <f aca="false">_xlfn.IFNA(INDEX(TB!$Q:$Q,MATCH($E251,TB!$E:$E,0)),"")</f>
        <v>-550</v>
      </c>
      <c r="BI251" s="115" t="str">
        <f aca="false">_xlfn.IFNA(INDEX(VMMC!$AC:$AC,MATCH($E251,VMMC!$E:$E,0)),"")</f>
        <v/>
      </c>
      <c r="BJ251" s="115" t="str">
        <f aca="false">IF($C251="&lt;01",$BD251,"")</f>
        <v/>
      </c>
      <c r="BK251" s="115" t="n">
        <f aca="false">IF(SUM($BD251)=0,"",($BD251)-SUM($BE251:$BJ251))</f>
        <v>551</v>
      </c>
      <c r="BL251" s="123" t="n">
        <f aca="false">IF(OR(SUM($BD251)=0,SUM($BE251)=0),"",SUM($BE251)/$BD251)</f>
        <v>0.666666666666667</v>
      </c>
      <c r="BM251" s="123" t="str">
        <f aca="false">IF(OR(SUM($BD251)=0,SUM($BF251)=0),"",SUM($BF251)/$BD251)</f>
        <v/>
      </c>
      <c r="BN251" s="123" t="str">
        <f aca="false">IF(OR(SUM($BD251)=0,SUM($BG251)=0),"",SUM($BG251)/$BD251)</f>
        <v/>
      </c>
      <c r="BO251" s="123" t="n">
        <f aca="false">IF(OR(SUM($BD251)=0,SUM($BH251)=0),"",SUM($BH251)/$BD251)</f>
        <v>-183.333333333333</v>
      </c>
      <c r="BP251" s="123" t="str">
        <f aca="false">IF(OR(SUM($BD251)=0,SUM($BI251)=0),"",SUM($BI251)/$BD251)</f>
        <v/>
      </c>
      <c r="BQ251" s="123" t="str">
        <f aca="false">IF(AND($C251="&lt;01",SUM($BJ251)&lt;&gt;0),$BJ251/SUM($BD251),"")</f>
        <v/>
      </c>
      <c r="BR251" s="123" t="n">
        <f aca="false">IF(OR(SUM($BD251)=0,SUM($BK251)=0),"",SUM($BK251)/$BD251)</f>
        <v>183.666666666667</v>
      </c>
      <c r="BS251" s="122" t="n">
        <f aca="false">IF(SUM($X251)&lt;=0,"",$X251)</f>
        <v>0.0459770114942529</v>
      </c>
      <c r="BT251" s="115" t="n">
        <f aca="false">IF(LEFT($B251,4)="_Mil","",MAX(SUM($L251)+ROUND(SUM($BD251)/IF(SUM($BS251)&lt;=0,1,SUM($BS251)),0),0))</f>
        <v>883</v>
      </c>
    </row>
    <row r="252" customFormat="false" ht="15" hidden="false" customHeight="false" outlineLevel="0" collapsed="false">
      <c r="A252" s="0" t="s">
        <v>150</v>
      </c>
      <c r="B252" s="0" t="s">
        <v>117</v>
      </c>
      <c r="C252" s="0" t="s">
        <v>80</v>
      </c>
      <c r="D252" s="0" t="s">
        <v>58</v>
      </c>
      <c r="E252" s="0" t="str">
        <f aca="false">B252&amp;"|"&amp;C252&amp;"|"&amp;D252</f>
        <v>Quthing [#SNU] [HuwCoDZG0FY]|45-49|Male</v>
      </c>
      <c r="F252" s="115" t="n">
        <f aca="false">_xlfn.IFNA(ROUND(INDEX(Spectrum!$N:$N,MATCH(RIGHT($B252,13)&amp;"|"&amp;$C252&amp;"|"&amp;$D252&amp;"|"&amp;F$14&amp;"|"&amp;"CY2021Q3",Spectrum!$Q:$Q,0)),0),"")</f>
        <v>1782</v>
      </c>
      <c r="G252" s="123" t="n">
        <f aca="false">_xlfn.IFNA(INDEX(Spectrum!$P:$P,MATCH(RIGHT($B252,13)&amp;"|"&amp;$C252&amp;"|"&amp;$D252&amp;"|"&amp;F$14&amp;"|"&amp;"CY2021Q3",Spectrum!$Q:$Q,0)),"")</f>
        <v>34</v>
      </c>
      <c r="H252" s="115" t="n">
        <f aca="false">_xlfn.IFNA(ROUND(INDEX(Spectrum!$N:$N,MATCH(RIGHT($B252,13)&amp;"|"&amp;$C252&amp;"|"&amp;$D252&amp;"|"&amp;H$14&amp;"|"&amp;"CY2021Q3",Spectrum!$Q:$Q,0)),0),"")</f>
        <v>841</v>
      </c>
      <c r="I252" s="123" t="n">
        <f aca="false">_xlfn.IFNA(INDEX(Spectrum!$P:$P,MATCH(RIGHT($B252,13)&amp;"|"&amp;$C252&amp;"|"&amp;$D252&amp;"|"&amp;H$14&amp;"|"&amp;"CY2021Q3",Spectrum!$Q:$Q,0)),"")</f>
        <v>50</v>
      </c>
      <c r="J252" s="117" t="n">
        <f aca="false">_xlfn.IFNA(INDEX(Spectrum!$N:$N,MATCH(RIGHT($B252,13)&amp;"|"&amp;$C252&amp;"|"&amp;$D252&amp;"|"&amp;J$14&amp;"|"&amp;"CY2021Q3",Spectrum!$Q:$Q,0)),"")</f>
        <v>0.4721665</v>
      </c>
      <c r="K252" s="123" t="n">
        <f aca="false">_xlfn.IFNA(INDEX(Spectrum!$P:$P,MATCH(RIGHT($B252,13)&amp;"|"&amp;$C252&amp;"|"&amp;$D252&amp;"|"&amp;J$14&amp;"|"&amp;"CY2021Q3",Spectrum!$Q:$Q,0)),"")</f>
        <v>45</v>
      </c>
      <c r="L252" s="115" t="n">
        <f aca="false">_xlfn.IFNA(ROUND(INDEX(Spectrum!$N:$N,MATCH(RIGHT($B252,13)&amp;"|"&amp;$C252&amp;"|"&amp;$D252&amp;"|"&amp;L$14&amp;"|"&amp;"CY2021Q3",Spectrum!$Q:$Q,0)),0),"")</f>
        <v>567</v>
      </c>
      <c r="M252" s="123" t="n">
        <f aca="false">IF(OR(SUM($H252)&lt;=0,SUM($L252)&lt;=0),"",SUM($L252)/$H252)</f>
        <v>0.674197384066587</v>
      </c>
      <c r="N252" s="115" t="str">
        <f aca="false">_xlfn.IFNA(ROUND(INDEX(Spectrum!$N:$N,MATCH(RIGHT($B252,13)&amp;"|"&amp;$C252&amp;"|"&amp;$D252&amp;"|"&amp;N$14&amp;"|"&amp;"CY2020Q4",Spectrum!$Q:$Q,0)),0),"")</f>
        <v/>
      </c>
      <c r="O252" s="123" t="str">
        <f aca="false">_xlfn.IFNA(INDEX(Spectrum!$P:$P,MATCH(RIGHT($B252,13)&amp;"|"&amp;$C252&amp;"|"&amp;$D252&amp;"|"&amp;N$14&amp;"|"&amp;"CY2020Q4",Spectrum!$Q:$Q,0)),"")</f>
        <v/>
      </c>
      <c r="P252" s="115" t="n">
        <f aca="false">_xlfn.IFNA(ROUND(INDEX(Spectrum!$N:$N,MATCH(RIGHT($B252,13)&amp;"|"&amp;$C252&amp;"|"&amp;$D252&amp;"|"&amp;P$14&amp;"|"&amp;"CY2021Q3",Spectrum!$Q:$Q,0)),0),"")</f>
        <v>512</v>
      </c>
      <c r="Q252" s="123" t="n">
        <f aca="false">_xlfn.IFNA(INDEX(Spectrum!$P:$P,MATCH(RIGHT($B252,13)&amp;"|"&amp;$C252&amp;"|"&amp;$D252&amp;"|"&amp;P$14&amp;"|"&amp;"CY2021Q3",Spectrum!$Q:$Q,0)),"")</f>
        <v>17</v>
      </c>
      <c r="R252" s="115"/>
      <c r="S252" s="123" t="str">
        <f aca="false">IF(OR(SUM($P252)&lt;=0,SUM($R252)&lt;=0),"",SUM($R252)/$P252)</f>
        <v/>
      </c>
      <c r="T252" s="139" t="n">
        <v>13</v>
      </c>
      <c r="U252" s="124" t="n">
        <v>42</v>
      </c>
      <c r="V252" s="124" t="n">
        <f aca="false">IF($U252-$T252=0,"",$U252-$T252)</f>
        <v>29</v>
      </c>
      <c r="W252" s="123" t="n">
        <f aca="false">IF(LEFT($B252,4)="_Mil","",IFERROR(MIN(IF(SUM($N252)&lt;=0,SUM($U252)/SUM($P252),SUM($T252)/SUM($N252)),1),""))</f>
        <v>0.08203125</v>
      </c>
      <c r="X252" s="123" t="n">
        <f aca="false">$W252</f>
        <v>0.08203125</v>
      </c>
      <c r="Y252" s="123" t="n">
        <f aca="false">IFERROR(1/(1/INDEX(Spectrum!$N:$N,MATCH(RIGHT($B252,13)&amp;"|"&amp;$C252&amp;"|"&amp;$D252&amp;"|"&amp;Y$14&amp;"|"&amp;"CY2021Q3",Spectrum!$Q:$Q,0))),IF(SUM($H252)=0,"",MAX(SUM($P252),SUM($U252))/SUM($H252)))</f>
        <v>0.608799048751486</v>
      </c>
      <c r="Z252" s="123" t="n">
        <f aca="false">IF(SUM($Y252)=0,"",MAX(SUM($Y252),90%))</f>
        <v>0.9</v>
      </c>
      <c r="AA252" s="115" t="n">
        <f aca="false">IF(LEFT($B252,4)="_Mil","",ROUND(MAX(SUM($U252),SUM($P252))+IF(SUM($Z252)=0,0,MAX(SUM($Z252)-SUM($Y252),0)*SUM($H252)),0))</f>
        <v>757</v>
      </c>
      <c r="AB252" s="115" t="n">
        <f aca="false">IF(SUM($AA252)=0,"",ROUND(MAX(SUM($AA252)-MAX(SUM($P252),SUM($U252)),0),0))</f>
        <v>245</v>
      </c>
      <c r="AC252" s="126" t="str">
        <f aca="false">IF($C252="&lt;01",IFERROR(ROUND(INDEX(EID!$N:$N,MATCH($B252,EID!$B:$B,0))/2,0),""),"")</f>
        <v/>
      </c>
      <c r="AD252" s="115" t="n">
        <f aca="false">IF($C252="&lt;01",IF(SUM($AC252)=0,"",ROUND(SUM($AC252)/$AG252,0)),IF(SUM($AB252)=0,"",ROUND(MAX($X252,0)*SUM($AB252),0)))</f>
        <v>20</v>
      </c>
      <c r="AE252" s="115" t="n">
        <f aca="false">IF(AND(SUM($AD252)=0,SUM($U252)=0),"",ROUND(IF($C252="&lt;01",0,SUM($U252))+SUM($AD252),0))</f>
        <v>62</v>
      </c>
      <c r="AF252" s="122" t="n">
        <f aca="false">IF($C252="&lt;01","",100%)</f>
        <v>1</v>
      </c>
      <c r="AG252" s="123" t="n">
        <f aca="false">0.98</f>
        <v>0.98</v>
      </c>
      <c r="AH252" s="123" t="n">
        <f aca="false">0.98</f>
        <v>0.98</v>
      </c>
      <c r="AI252" s="124" t="n">
        <f aca="false">IF(OR($C252="&lt;01",SUM($U252)=0),"",ROUND(SUM($U252)*(1-$AH252),0))</f>
        <v>1</v>
      </c>
      <c r="AJ252" s="124" t="n">
        <f aca="false">IF(AND(SUM($AE252)=0,SUM($U252)=0),"",IF($C252="&lt;01",SUM($AD252),SUM($AE252) - ROUND(SUM($U252)*$AH252,0)))</f>
        <v>21</v>
      </c>
      <c r="AK252" s="124" t="n">
        <v>10</v>
      </c>
      <c r="AL252" s="124" t="n">
        <v>29</v>
      </c>
      <c r="AM252" s="115" t="n">
        <f aca="false">IF(AND(SUM($AD252)=0,SUM($U252)=0),"",IF($C252="&lt;01",SUM($AD252),ROUND(ROUND(SUM($AJ252)*$AF252,0)/$AG252,0)))</f>
        <v>21</v>
      </c>
      <c r="AN252" s="122" t="n">
        <f aca="false">0.7</f>
        <v>0.7</v>
      </c>
      <c r="AO252" s="123" t="n">
        <f aca="false">1</f>
        <v>1</v>
      </c>
      <c r="AP252" s="115" t="n">
        <f aca="false">IF(AND(SUM($U252)=0,SUM($AM252)=0),"",ROUND((SUM($AM252)*$AN252+IF($C252="&lt;01",0,$U252))*$AO252,0))</f>
        <v>57</v>
      </c>
      <c r="AQ252" s="122" t="n">
        <v>12</v>
      </c>
      <c r="AR252" s="123" t="n">
        <f aca="false">0.95</f>
        <v>0.95</v>
      </c>
      <c r="AS252" s="123" t="n">
        <f aca="false">0.95</f>
        <v>0.95</v>
      </c>
      <c r="AT252" s="115" t="n">
        <f aca="false">IF(SUM($AP252)=0,"",ROUND(SUM($AP252)*$AR252,0))</f>
        <v>54</v>
      </c>
      <c r="AU252" s="115" t="n">
        <f aca="false">IF(LEFT($B252,4)="_Mil","",ROUND(SUM($AA252)*SUM($AS252),0))</f>
        <v>719</v>
      </c>
      <c r="AV252" s="124" t="n">
        <f aca="false">IF(SUM($AU252)&lt;=0,"",MAX(SUM($AU252)-SUM($R252),0))</f>
        <v>719</v>
      </c>
      <c r="AW252" s="122" t="n">
        <f aca="false">0</f>
        <v>0</v>
      </c>
      <c r="AX252" s="124" t="n">
        <f aca="false">IF(SUM($AM252)=0,"",ROUND(SUM($AM252)*SUM($AW252),0))</f>
        <v>0</v>
      </c>
      <c r="AY252" s="124" t="n">
        <f aca="false">IF(SUM($AM252)=0,"",SUM($AM252)-SUM($AX252))</f>
        <v>21</v>
      </c>
      <c r="AZ252" s="123" t="n">
        <v>42</v>
      </c>
      <c r="BA252" s="123" t="n">
        <f aca="false">0.95</f>
        <v>0.95</v>
      </c>
      <c r="BB252" s="123"/>
      <c r="BC252" s="123" t="n">
        <f aca="false">IF(OR(SUM($AM252)&lt;=0,$C252="&lt;01"),"",MAX(IF(OR(SUM($Y252)&lt;70%,LEFT($B252,4)="_Mil"),30%,IF(SUM($Y252)&gt;=80%,75%,50%)),SUM($BB252)))</f>
        <v>0.3</v>
      </c>
      <c r="BD252" s="115" t="n">
        <f aca="false">IF($C252="&lt;01",IFERROR(ROUND(INDEX(EID!$M:$M,MATCH($B252,EID!$B:$B,0)),0)/2,""),IF(SUM($AY252)=0,"",ROUND(SUM($AY252)/SUM($BA252),0)))</f>
        <v>22</v>
      </c>
      <c r="BE252" s="115" t="n">
        <f aca="false">IF($C252="&lt;01","",IF(SUM($BD252)=0,"",ROUND(SUM($BD252)*SUM($BC252),0)))</f>
        <v>7</v>
      </c>
      <c r="BF252" s="115" t="str">
        <f aca="false">_xlfn.IFNA(INDEX(PMTCT!$AE:$AE,MATCH($E252,PMTCT!$E:$E,0)),"")</f>
        <v/>
      </c>
      <c r="BG252" s="115" t="str">
        <f aca="false">_xlfn.IFNA(INDEX(PMTCT!$AU:$AU,MATCH($E252,PMTCT!$E:$E,0)),"")</f>
        <v/>
      </c>
      <c r="BH252" s="115" t="n">
        <f aca="false">_xlfn.IFNA(INDEX(TB!$Q:$Q,MATCH($E252,TB!$E:$E,0)),"")</f>
        <v>-0</v>
      </c>
      <c r="BI252" s="115" t="str">
        <f aca="false">_xlfn.IFNA(INDEX(VMMC!$AC:$AC,MATCH($E252,VMMC!$E:$E,0)),"")</f>
        <v/>
      </c>
      <c r="BJ252" s="115" t="str">
        <f aca="false">IF($C252="&lt;01",$BD252,"")</f>
        <v/>
      </c>
      <c r="BK252" s="115" t="n">
        <f aca="false">IF(SUM($BD252)=0,"",($BD252)-SUM($BE252:$BJ252))</f>
        <v>15</v>
      </c>
      <c r="BL252" s="123" t="n">
        <f aca="false">IF(OR(SUM($BD252)=0,SUM($BE252)=0),"",SUM($BE252)/$BD252)</f>
        <v>0.318181818181818</v>
      </c>
      <c r="BM252" s="123" t="str">
        <f aca="false">IF(OR(SUM($BD252)=0,SUM($BF252)=0),"",SUM($BF252)/$BD252)</f>
        <v/>
      </c>
      <c r="BN252" s="123" t="str">
        <f aca="false">IF(OR(SUM($BD252)=0,SUM($BG252)=0),"",SUM($BG252)/$BD252)</f>
        <v/>
      </c>
      <c r="BO252" s="123" t="str">
        <f aca="false">IF(OR(SUM($BD252)=0,SUM($BH252)=0),"",SUM($BH252)/$BD252)</f>
        <v/>
      </c>
      <c r="BP252" s="123" t="str">
        <f aca="false">IF(OR(SUM($BD252)=0,SUM($BI252)=0),"",SUM($BI252)/$BD252)</f>
        <v/>
      </c>
      <c r="BQ252" s="123" t="str">
        <f aca="false">IF(AND($C252="&lt;01",SUM($BJ252)&lt;&gt;0),$BJ252/SUM($BD252),"")</f>
        <v/>
      </c>
      <c r="BR252" s="123" t="n">
        <f aca="false">IF(OR(SUM($BD252)=0,SUM($BK252)=0),"",SUM($BK252)/$BD252)</f>
        <v>0.681818181818182</v>
      </c>
      <c r="BS252" s="122" t="n">
        <f aca="false">IF(SUM($X252)&lt;=0,"",$X252)</f>
        <v>0.08203125</v>
      </c>
      <c r="BT252" s="115" t="n">
        <f aca="false">IF(LEFT($B252,4)="_Mil","",MAX(SUM($L252)+ROUND(SUM($BD252)/IF(SUM($BS252)&lt;=0,1,SUM($BS252)),0),0))</f>
        <v>835</v>
      </c>
    </row>
    <row r="253" customFormat="false" ht="15" hidden="false" customHeight="false" outlineLevel="0" collapsed="false">
      <c r="A253" s="0" t="s">
        <v>150</v>
      </c>
      <c r="B253" s="0" t="s">
        <v>117</v>
      </c>
      <c r="C253" s="0" t="s">
        <v>86</v>
      </c>
      <c r="D253" s="0" t="s">
        <v>56</v>
      </c>
      <c r="E253" s="0" t="str">
        <f aca="false">B253&amp;"|"&amp;C253&amp;"|"&amp;D253</f>
        <v>Quthing [#SNU] [HuwCoDZG0FY]|50+|Female</v>
      </c>
      <c r="F253" s="115" t="n">
        <f aca="false">_xlfn.IFNA(ROUND(INDEX(Spectrum!$N:$N,MATCH(RIGHT($B253,13)&amp;"|"&amp;$C253&amp;"|"&amp;$D253&amp;"|"&amp;F$14&amp;"|"&amp;"CY2021Q3",Spectrum!$Q:$Q,0)),0),"")</f>
        <v>11665</v>
      </c>
      <c r="G253" s="123" t="n">
        <f aca="false">_xlfn.IFNA(INDEX(Spectrum!$P:$P,MATCH(RIGHT($B253,13)&amp;"|"&amp;$C253&amp;"|"&amp;$D253&amp;"|"&amp;F$14&amp;"|"&amp;"CY2021Q3",Spectrum!$Q:$Q,0)),"")</f>
        <v>30</v>
      </c>
      <c r="H253" s="115" t="n">
        <f aca="false">_xlfn.IFNA(ROUND(INDEX(Spectrum!$N:$N,MATCH(RIGHT($B253,13)&amp;"|"&amp;$C253&amp;"|"&amp;$D253&amp;"|"&amp;H$14&amp;"|"&amp;"CY2021Q3",Spectrum!$Q:$Q,0)),0),"")</f>
        <v>3011</v>
      </c>
      <c r="I253" s="123" t="n">
        <f aca="false">_xlfn.IFNA(INDEX(Spectrum!$P:$P,MATCH(RIGHT($B253,13)&amp;"|"&amp;$C253&amp;"|"&amp;$D253&amp;"|"&amp;H$14&amp;"|"&amp;"CY2021Q3",Spectrum!$Q:$Q,0)),"")</f>
        <v>31</v>
      </c>
      <c r="J253" s="117" t="n">
        <f aca="false">_xlfn.IFNA(INDEX(Spectrum!$N:$N,MATCH(RIGHT($B253,13)&amp;"|"&amp;$C253&amp;"|"&amp;$D253&amp;"|"&amp;J$14&amp;"|"&amp;"CY2021Q3",Spectrum!$Q:$Q,0)),"")</f>
        <v>0.2581027</v>
      </c>
      <c r="K253" s="123" t="n">
        <f aca="false">_xlfn.IFNA(INDEX(Spectrum!$P:$P,MATCH(RIGHT($B253,13)&amp;"|"&amp;$C253&amp;"|"&amp;$D253&amp;"|"&amp;J$14&amp;"|"&amp;"CY2021Q3",Spectrum!$Q:$Q,0)),"")</f>
        <v>46</v>
      </c>
      <c r="L253" s="115" t="n">
        <f aca="false">_xlfn.IFNA(ROUND(INDEX(Spectrum!$N:$N,MATCH(RIGHT($B253,13)&amp;"|"&amp;$C253&amp;"|"&amp;$D253&amp;"|"&amp;L$14&amp;"|"&amp;"CY2021Q3",Spectrum!$Q:$Q,0)),0),"")</f>
        <v>2204</v>
      </c>
      <c r="M253" s="123" t="n">
        <f aca="false">IF(OR(SUM($H253)&lt;=0,SUM($L253)&lt;=0),"",SUM($L253)/$H253)</f>
        <v>0.731982729990037</v>
      </c>
      <c r="N253" s="115" t="str">
        <f aca="false">_xlfn.IFNA(ROUND(INDEX(Spectrum!$N:$N,MATCH(RIGHT($B253,13)&amp;"|"&amp;$C253&amp;"|"&amp;$D253&amp;"|"&amp;N$14&amp;"|"&amp;"CY2020Q4",Spectrum!$Q:$Q,0)),0),"")</f>
        <v/>
      </c>
      <c r="O253" s="123" t="str">
        <f aca="false">_xlfn.IFNA(INDEX(Spectrum!$P:$P,MATCH(RIGHT($B253,13)&amp;"|"&amp;$C253&amp;"|"&amp;$D253&amp;"|"&amp;N$14&amp;"|"&amp;"CY2020Q4",Spectrum!$Q:$Q,0)),"")</f>
        <v/>
      </c>
      <c r="P253" s="115" t="n">
        <f aca="false">_xlfn.IFNA(ROUND(INDEX(Spectrum!$N:$N,MATCH(RIGHT($B253,13)&amp;"|"&amp;$C253&amp;"|"&amp;$D253&amp;"|"&amp;P$14&amp;"|"&amp;"CY2021Q3",Spectrum!$Q:$Q,0)),0),"")</f>
        <v>2127</v>
      </c>
      <c r="Q253" s="123" t="n">
        <f aca="false">_xlfn.IFNA(INDEX(Spectrum!$P:$P,MATCH(RIGHT($B253,13)&amp;"|"&amp;$C253&amp;"|"&amp;$D253&amp;"|"&amp;P$14&amp;"|"&amp;"CY2021Q3",Spectrum!$Q:$Q,0)),"")</f>
        <v>26</v>
      </c>
      <c r="R253" s="115"/>
      <c r="S253" s="123" t="str">
        <f aca="false">IF(OR(SUM($P253)&lt;=0,SUM($R253)&lt;=0),"",SUM($R253)/$P253)</f>
        <v/>
      </c>
      <c r="T253" s="139" t="n">
        <v>6</v>
      </c>
      <c r="U253" s="124" t="n">
        <v>2</v>
      </c>
      <c r="V253" s="124" t="n">
        <f aca="false">IF($U253-$T253=0,"",$U253-$T253)</f>
        <v>-4</v>
      </c>
      <c r="W253" s="123" t="n">
        <f aca="false">IF(LEFT($B253,4)="_Mil","",IFERROR(MIN(IF(SUM($N253)&lt;=0,SUM($U253)/SUM($P253),SUM($T253)/SUM($N253)),1),""))</f>
        <v>0.000940291490362012</v>
      </c>
      <c r="X253" s="123" t="n">
        <f aca="false">$W253</f>
        <v>0.000940291490362012</v>
      </c>
      <c r="Y253" s="123" t="n">
        <f aca="false">IFERROR(1/(1/INDEX(Spectrum!$N:$N,MATCH(RIGHT($B253,13)&amp;"|"&amp;$C253&amp;"|"&amp;$D253&amp;"|"&amp;Y$14&amp;"|"&amp;"CY2021Q3",Spectrum!$Q:$Q,0))),IF(SUM($H253)=0,"",MAX(SUM($P253),SUM($U253))/SUM($H253)))</f>
        <v>0.706409830621056</v>
      </c>
      <c r="Z253" s="123" t="n">
        <f aca="false">IF(SUM($Y253)=0,"",MAX(SUM($Y253),90%))</f>
        <v>0.9</v>
      </c>
      <c r="AA253" s="115" t="n">
        <f aca="false">IF(LEFT($B253,4)="_Mil","",ROUND(MAX(SUM($U253),SUM($P253))+IF(SUM($Z253)=0,0,MAX(SUM($Z253)-SUM($Y253),0)*SUM($H253)),0))</f>
        <v>2710</v>
      </c>
      <c r="AB253" s="115" t="n">
        <f aca="false">IF(SUM($AA253)=0,"",ROUND(MAX(SUM($AA253)-MAX(SUM($P253),SUM($U253)),0),0))</f>
        <v>583</v>
      </c>
      <c r="AC253" s="126" t="str">
        <f aca="false">IF($C253="&lt;01",IFERROR(ROUND(INDEX(EID!$N:$N,MATCH($B253,EID!$B:$B,0))/2,0),""),"")</f>
        <v/>
      </c>
      <c r="AD253" s="115" t="n">
        <f aca="false">IF($C253="&lt;01",IF(SUM($AC253)=0,"",ROUND(SUM($AC253)/$AG253,0)),IF(SUM($AB253)=0,"",ROUND(MAX($X253,0)*SUM($AB253),0)))</f>
        <v>1</v>
      </c>
      <c r="AE253" s="115" t="n">
        <f aca="false">IF(AND(SUM($AD253)=0,SUM($U253)=0),"",ROUND(IF($C253="&lt;01",0,SUM($U253))+SUM($AD253),0))</f>
        <v>3</v>
      </c>
      <c r="AF253" s="122" t="n">
        <f aca="false">IF($C253="&lt;01","",100%)</f>
        <v>1</v>
      </c>
      <c r="AG253" s="123" t="n">
        <f aca="false">0.98</f>
        <v>0.98</v>
      </c>
      <c r="AH253" s="123" t="n">
        <f aca="false">0.98</f>
        <v>0.98</v>
      </c>
      <c r="AI253" s="124" t="n">
        <f aca="false">IF(OR($C253="&lt;01",SUM($U253)=0),"",ROUND(SUM($U253)*(1-$AH253),0))</f>
        <v>0</v>
      </c>
      <c r="AJ253" s="124" t="n">
        <f aca="false">IF(AND(SUM($AE253)=0,SUM($U253)=0),"",IF($C253="&lt;01",SUM($AD253),SUM($AE253) - ROUND(SUM($U253)*$AH253,0)))</f>
        <v>1</v>
      </c>
      <c r="AK253" s="124" t="n">
        <v>28</v>
      </c>
      <c r="AL253" s="124" t="n">
        <v>4</v>
      </c>
      <c r="AM253" s="115" t="n">
        <f aca="false">IF(AND(SUM($AD253)=0,SUM($U253)=0),"",IF($C253="&lt;01",SUM($AD253),ROUND(ROUND(SUM($AJ253)*$AF253,0)/$AG253,0)))</f>
        <v>1</v>
      </c>
      <c r="AN253" s="122" t="n">
        <f aca="false">0.7</f>
        <v>0.7</v>
      </c>
      <c r="AO253" s="123" t="n">
        <f aca="false">1</f>
        <v>1</v>
      </c>
      <c r="AP253" s="115" t="n">
        <f aca="false">IF(AND(SUM($U253)=0,SUM($AM253)=0),"",ROUND((SUM($AM253)*$AN253+IF($C253="&lt;01",0,$U253))*$AO253,0))</f>
        <v>3</v>
      </c>
      <c r="AQ253" s="122" t="n">
        <v>24</v>
      </c>
      <c r="AR253" s="123" t="n">
        <f aca="false">0.95</f>
        <v>0.95</v>
      </c>
      <c r="AS253" s="123" t="n">
        <f aca="false">0.95</f>
        <v>0.95</v>
      </c>
      <c r="AT253" s="115" t="n">
        <f aca="false">IF(SUM($AP253)=0,"",ROUND(SUM($AP253)*$AR253,0))</f>
        <v>3</v>
      </c>
      <c r="AU253" s="115" t="n">
        <f aca="false">IF(LEFT($B253,4)="_Mil","",ROUND(SUM($AA253)*SUM($AS253),0))</f>
        <v>2575</v>
      </c>
      <c r="AV253" s="124" t="n">
        <f aca="false">IF(SUM($AU253)&lt;=0,"",MAX(SUM($AU253)-SUM($R253),0))</f>
        <v>2575</v>
      </c>
      <c r="AW253" s="122" t="n">
        <f aca="false">0</f>
        <v>0</v>
      </c>
      <c r="AX253" s="124" t="n">
        <f aca="false">IF(SUM($AM253)=0,"",ROUND(SUM($AM253)*SUM($AW253),0))</f>
        <v>0</v>
      </c>
      <c r="AY253" s="124" t="n">
        <f aca="false">IF(SUM($AM253)=0,"",SUM($AM253)-SUM($AX253))</f>
        <v>1</v>
      </c>
      <c r="AZ253" s="123" t="n">
        <v>41</v>
      </c>
      <c r="BA253" s="123" t="n">
        <f aca="false">0.95</f>
        <v>0.95</v>
      </c>
      <c r="BB253" s="123"/>
      <c r="BC253" s="123" t="n">
        <f aca="false">IF(OR(SUM($AM253)&lt;=0,$C253="&lt;01"),"",MAX(IF(OR(SUM($Y253)&lt;70%,LEFT($B253,4)="_Mil"),30%,IF(SUM($Y253)&gt;=80%,75%,50%)),SUM($BB253)))</f>
        <v>0.5</v>
      </c>
      <c r="BD253" s="115" t="n">
        <f aca="false">IF($C253="&lt;01",IFERROR(ROUND(INDEX(EID!$M:$M,MATCH($B253,EID!$B:$B,0)),0)/2,""),IF(SUM($AY253)=0,"",ROUND(SUM($AY253)/SUM($BA253),0)))</f>
        <v>1</v>
      </c>
      <c r="BE253" s="115" t="n">
        <f aca="false">IF($C253="&lt;01","",IF(SUM($BD253)=0,"",ROUND(SUM($BD253)*SUM($BC253),0)))</f>
        <v>1</v>
      </c>
      <c r="BF253" s="115" t="str">
        <f aca="false">_xlfn.IFNA(INDEX(PMTCT!$AE:$AE,MATCH($E253,PMTCT!$E:$E,0)),"")</f>
        <v/>
      </c>
      <c r="BG253" s="115" t="str">
        <f aca="false">_xlfn.IFNA(INDEX(PMTCT!$AU:$AU,MATCH($E253,PMTCT!$E:$E,0)),"")</f>
        <v/>
      </c>
      <c r="BH253" s="115" t="n">
        <f aca="false">_xlfn.IFNA(INDEX(TB!$Q:$Q,MATCH($E253,TB!$E:$E,0)),"")</f>
        <v>-0</v>
      </c>
      <c r="BI253" s="115" t="str">
        <f aca="false">_xlfn.IFNA(INDEX(VMMC!$AC:$AC,MATCH($E253,VMMC!$E:$E,0)),"")</f>
        <v/>
      </c>
      <c r="BJ253" s="115" t="str">
        <f aca="false">IF($C253="&lt;01",$BD253,"")</f>
        <v/>
      </c>
      <c r="BK253" s="115" t="n">
        <f aca="false">IF(SUM($BD253)=0,"",($BD253)-SUM($BE253:$BJ253))</f>
        <v>0</v>
      </c>
      <c r="BL253" s="123" t="n">
        <f aca="false">IF(OR(SUM($BD253)=0,SUM($BE253)=0),"",SUM($BE253)/$BD253)</f>
        <v>1</v>
      </c>
      <c r="BM253" s="123" t="str">
        <f aca="false">IF(OR(SUM($BD253)=0,SUM($BF253)=0),"",SUM($BF253)/$BD253)</f>
        <v/>
      </c>
      <c r="BN253" s="123" t="str">
        <f aca="false">IF(OR(SUM($BD253)=0,SUM($BG253)=0),"",SUM($BG253)/$BD253)</f>
        <v/>
      </c>
      <c r="BO253" s="123" t="str">
        <f aca="false">IF(OR(SUM($BD253)=0,SUM($BH253)=0),"",SUM($BH253)/$BD253)</f>
        <v/>
      </c>
      <c r="BP253" s="123" t="str">
        <f aca="false">IF(OR(SUM($BD253)=0,SUM($BI253)=0),"",SUM($BI253)/$BD253)</f>
        <v/>
      </c>
      <c r="BQ253" s="123" t="str">
        <f aca="false">IF(AND($C253="&lt;01",SUM($BJ253)&lt;&gt;0),$BJ253/SUM($BD253),"")</f>
        <v/>
      </c>
      <c r="BR253" s="123" t="str">
        <f aca="false">IF(OR(SUM($BD253)=0,SUM($BK253)=0),"",SUM($BK253)/$BD253)</f>
        <v/>
      </c>
      <c r="BS253" s="122" t="n">
        <f aca="false">IF(SUM($X253)&lt;=0,"",$X253)</f>
        <v>0.000940291490362012</v>
      </c>
      <c r="BT253" s="115" t="n">
        <f aca="false">IF(LEFT($B253,4)="_Mil","",MAX(SUM($L253)+ROUND(SUM($BD253)/IF(SUM($BS253)&lt;=0,1,SUM($BS253)),0),0))</f>
        <v>3268</v>
      </c>
    </row>
    <row r="254" customFormat="false" ht="15" hidden="false" customHeight="false" outlineLevel="0" collapsed="false">
      <c r="A254" s="0" t="s">
        <v>150</v>
      </c>
      <c r="B254" s="0" t="s">
        <v>117</v>
      </c>
      <c r="C254" s="0" t="s">
        <v>86</v>
      </c>
      <c r="D254" s="0" t="s">
        <v>58</v>
      </c>
      <c r="E254" s="0" t="str">
        <f aca="false">B254&amp;"|"&amp;C254&amp;"|"&amp;D254</f>
        <v>Quthing [#SNU] [HuwCoDZG0FY]|50+|Male</v>
      </c>
      <c r="F254" s="115" t="n">
        <f aca="false">_xlfn.IFNA(ROUND(INDEX(Spectrum!$N:$N,MATCH(RIGHT($B254,13)&amp;"|"&amp;$C254&amp;"|"&amp;$D254&amp;"|"&amp;F$14&amp;"|"&amp;"CY2021Q3",Spectrum!$Q:$Q,0)),0),"")</f>
        <v>7161</v>
      </c>
      <c r="G254" s="123" t="n">
        <f aca="false">_xlfn.IFNA(INDEX(Spectrum!$P:$P,MATCH(RIGHT($B254,13)&amp;"|"&amp;$C254&amp;"|"&amp;$D254&amp;"|"&amp;F$14&amp;"|"&amp;"CY2021Q3",Spectrum!$Q:$Q,0)),"")</f>
        <v>31</v>
      </c>
      <c r="H254" s="115" t="n">
        <f aca="false">_xlfn.IFNA(ROUND(INDEX(Spectrum!$N:$N,MATCH(RIGHT($B254,13)&amp;"|"&amp;$C254&amp;"|"&amp;$D254&amp;"|"&amp;H$14&amp;"|"&amp;"CY2021Q3",Spectrum!$Q:$Q,0)),0),"")</f>
        <v>2180</v>
      </c>
      <c r="I254" s="123" t="n">
        <f aca="false">_xlfn.IFNA(INDEX(Spectrum!$P:$P,MATCH(RIGHT($B254,13)&amp;"|"&amp;$C254&amp;"|"&amp;$D254&amp;"|"&amp;H$14&amp;"|"&amp;"CY2021Q3",Spectrum!$Q:$Q,0)),"")</f>
        <v>38</v>
      </c>
      <c r="J254" s="117" t="n">
        <f aca="false">_xlfn.IFNA(INDEX(Spectrum!$N:$N,MATCH(RIGHT($B254,13)&amp;"|"&amp;$C254&amp;"|"&amp;$D254&amp;"|"&amp;J$14&amp;"|"&amp;"CY2021Q3",Spectrum!$Q:$Q,0)),"")</f>
        <v>0.3043469</v>
      </c>
      <c r="K254" s="123" t="n">
        <f aca="false">_xlfn.IFNA(INDEX(Spectrum!$P:$P,MATCH(RIGHT($B254,13)&amp;"|"&amp;$C254&amp;"|"&amp;$D254&amp;"|"&amp;J$14&amp;"|"&amp;"CY2021Q3",Spectrum!$Q:$Q,0)),"")</f>
        <v>10</v>
      </c>
      <c r="L254" s="115" t="n">
        <f aca="false">_xlfn.IFNA(ROUND(INDEX(Spectrum!$N:$N,MATCH(RIGHT($B254,13)&amp;"|"&amp;$C254&amp;"|"&amp;$D254&amp;"|"&amp;L$14&amp;"|"&amp;"CY2021Q3",Spectrum!$Q:$Q,0)),0),"")</f>
        <v>1457</v>
      </c>
      <c r="M254" s="123" t="n">
        <f aca="false">IF(OR(SUM($H254)&lt;=0,SUM($L254)&lt;=0),"",SUM($L254)/$H254)</f>
        <v>0.668348623853211</v>
      </c>
      <c r="N254" s="115" t="str">
        <f aca="false">_xlfn.IFNA(ROUND(INDEX(Spectrum!$N:$N,MATCH(RIGHT($B254,13)&amp;"|"&amp;$C254&amp;"|"&amp;$D254&amp;"|"&amp;N$14&amp;"|"&amp;"CY2020Q4",Spectrum!$Q:$Q,0)),0),"")</f>
        <v/>
      </c>
      <c r="O254" s="123" t="str">
        <f aca="false">_xlfn.IFNA(INDEX(Spectrum!$P:$P,MATCH(RIGHT($B254,13)&amp;"|"&amp;$C254&amp;"|"&amp;$D254&amp;"|"&amp;N$14&amp;"|"&amp;"CY2020Q4",Spectrum!$Q:$Q,0)),"")</f>
        <v/>
      </c>
      <c r="P254" s="115" t="n">
        <f aca="false">_xlfn.IFNA(ROUND(INDEX(Spectrum!$N:$N,MATCH(RIGHT($B254,13)&amp;"|"&amp;$C254&amp;"|"&amp;$D254&amp;"|"&amp;P$14&amp;"|"&amp;"CY2021Q3",Spectrum!$Q:$Q,0)),0),"")</f>
        <v>1363</v>
      </c>
      <c r="Q254" s="123" t="n">
        <f aca="false">_xlfn.IFNA(INDEX(Spectrum!$P:$P,MATCH(RIGHT($B254,13)&amp;"|"&amp;$C254&amp;"|"&amp;$D254&amp;"|"&amp;P$14&amp;"|"&amp;"CY2021Q3",Spectrum!$Q:$Q,0)),"")</f>
        <v>43</v>
      </c>
      <c r="R254" s="115"/>
      <c r="S254" s="123" t="str">
        <f aca="false">IF(OR(SUM($P254)&lt;=0,SUM($R254)&lt;=0),"",SUM($R254)/$P254)</f>
        <v/>
      </c>
      <c r="T254" s="139" t="n">
        <v>7</v>
      </c>
      <c r="U254" s="124" t="n">
        <v>37</v>
      </c>
      <c r="V254" s="124" t="n">
        <f aca="false">IF($U254-$T254=0,"",$U254-$T254)</f>
        <v>30</v>
      </c>
      <c r="W254" s="123" t="n">
        <f aca="false">IF(LEFT($B254,4)="_Mil","",IFERROR(MIN(IF(SUM($N254)&lt;=0,SUM($U254)/SUM($P254),SUM($T254)/SUM($N254)),1),""))</f>
        <v>0.0271460014673514</v>
      </c>
      <c r="X254" s="123" t="n">
        <f aca="false">$W254</f>
        <v>0.0271460014673514</v>
      </c>
      <c r="Y254" s="123" t="n">
        <f aca="false">IFERROR(1/(1/INDEX(Spectrum!$N:$N,MATCH(RIGHT($B254,13)&amp;"|"&amp;$C254&amp;"|"&amp;$D254&amp;"|"&amp;Y$14&amp;"|"&amp;"CY2021Q3",Spectrum!$Q:$Q,0))),IF(SUM($H254)=0,"",MAX(SUM($P254),SUM($U254))/SUM($H254)))</f>
        <v>0.625229357798165</v>
      </c>
      <c r="Z254" s="123" t="n">
        <f aca="false">IF(SUM($Y254)=0,"",MAX(SUM($Y254),90%))</f>
        <v>0.9</v>
      </c>
      <c r="AA254" s="115" t="n">
        <f aca="false">IF(LEFT($B254,4)="_Mil","",ROUND(MAX(SUM($U254),SUM($P254))+IF(SUM($Z254)=0,0,MAX(SUM($Z254)-SUM($Y254),0)*SUM($H254)),0))</f>
        <v>1962</v>
      </c>
      <c r="AB254" s="115" t="n">
        <f aca="false">IF(SUM($AA254)=0,"",ROUND(MAX(SUM($AA254)-MAX(SUM($P254),SUM($U254)),0),0))</f>
        <v>599</v>
      </c>
      <c r="AC254" s="126" t="str">
        <f aca="false">IF($C254="&lt;01",IFERROR(ROUND(INDEX(EID!$N:$N,MATCH($B254,EID!$B:$B,0))/2,0),""),"")</f>
        <v/>
      </c>
      <c r="AD254" s="115" t="n">
        <f aca="false">IF($C254="&lt;01",IF(SUM($AC254)=0,"",ROUND(SUM($AC254)/$AG254,0)),IF(SUM($AB254)=0,"",ROUND(MAX($X254,0)*SUM($AB254),0)))</f>
        <v>16</v>
      </c>
      <c r="AE254" s="115" t="n">
        <f aca="false">IF(AND(SUM($AD254)=0,SUM($U254)=0),"",ROUND(IF($C254="&lt;01",0,SUM($U254))+SUM($AD254),0))</f>
        <v>53</v>
      </c>
      <c r="AF254" s="122" t="n">
        <f aca="false">IF($C254="&lt;01","",100%)</f>
        <v>1</v>
      </c>
      <c r="AG254" s="123" t="n">
        <f aca="false">0.98</f>
        <v>0.98</v>
      </c>
      <c r="AH254" s="123" t="n">
        <f aca="false">0.98</f>
        <v>0.98</v>
      </c>
      <c r="AI254" s="124" t="n">
        <f aca="false">IF(OR($C254="&lt;01",SUM($U254)=0),"",ROUND(SUM($U254)*(1-$AH254),0))</f>
        <v>1</v>
      </c>
      <c r="AJ254" s="124" t="n">
        <f aca="false">IF(AND(SUM($AE254)=0,SUM($U254)=0),"",IF($C254="&lt;01",SUM($AD254),SUM($AE254) - ROUND(SUM($U254)*$AH254,0)))</f>
        <v>17</v>
      </c>
      <c r="AK254" s="124" t="n">
        <v>31</v>
      </c>
      <c r="AL254" s="124" t="n">
        <v>37</v>
      </c>
      <c r="AM254" s="115" t="n">
        <f aca="false">IF(AND(SUM($AD254)=0,SUM($U254)=0),"",IF($C254="&lt;01",SUM($AD254),ROUND(ROUND(SUM($AJ254)*$AF254,0)/$AG254,0)))</f>
        <v>17</v>
      </c>
      <c r="AN254" s="122" t="n">
        <f aca="false">0.7</f>
        <v>0.7</v>
      </c>
      <c r="AO254" s="123" t="n">
        <f aca="false">1</f>
        <v>1</v>
      </c>
      <c r="AP254" s="115" t="n">
        <f aca="false">IF(AND(SUM($U254)=0,SUM($AM254)=0),"",ROUND((SUM($AM254)*$AN254+IF($C254="&lt;01",0,$U254))*$AO254,0))</f>
        <v>49</v>
      </c>
      <c r="AQ254" s="122" t="n">
        <v>25</v>
      </c>
      <c r="AR254" s="123" t="n">
        <f aca="false">0.95</f>
        <v>0.95</v>
      </c>
      <c r="AS254" s="123" t="n">
        <f aca="false">0.95</f>
        <v>0.95</v>
      </c>
      <c r="AT254" s="115" t="n">
        <f aca="false">IF(SUM($AP254)=0,"",ROUND(SUM($AP254)*$AR254,0))</f>
        <v>47</v>
      </c>
      <c r="AU254" s="115" t="n">
        <f aca="false">IF(LEFT($B254,4)="_Mil","",ROUND(SUM($AA254)*SUM($AS254),0))</f>
        <v>1864</v>
      </c>
      <c r="AV254" s="124" t="n">
        <f aca="false">IF(SUM($AU254)&lt;=0,"",MAX(SUM($AU254)-SUM($R254),0))</f>
        <v>1864</v>
      </c>
      <c r="AW254" s="122" t="n">
        <f aca="false">0</f>
        <v>0</v>
      </c>
      <c r="AX254" s="124" t="n">
        <f aca="false">IF(SUM($AM254)=0,"",ROUND(SUM($AM254)*SUM($AW254),0))</f>
        <v>0</v>
      </c>
      <c r="AY254" s="124" t="n">
        <f aca="false">IF(SUM($AM254)=0,"",SUM($AM254)-SUM($AX254))</f>
        <v>17</v>
      </c>
      <c r="AZ254" s="123" t="n">
        <v>45</v>
      </c>
      <c r="BA254" s="123" t="n">
        <f aca="false">0.95</f>
        <v>0.95</v>
      </c>
      <c r="BB254" s="123"/>
      <c r="BC254" s="123" t="n">
        <f aca="false">IF(OR(SUM($AM254)&lt;=0,$C254="&lt;01"),"",MAX(IF(OR(SUM($Y254)&lt;70%,LEFT($B254,4)="_Mil"),30%,IF(SUM($Y254)&gt;=80%,75%,50%)),SUM($BB254)))</f>
        <v>0.3</v>
      </c>
      <c r="BD254" s="115" t="n">
        <f aca="false">IF($C254="&lt;01",IFERROR(ROUND(INDEX(EID!$M:$M,MATCH($B254,EID!$B:$B,0)),0)/2,""),IF(SUM($AY254)=0,"",ROUND(SUM($AY254)/SUM($BA254),0)))</f>
        <v>18</v>
      </c>
      <c r="BE254" s="115" t="n">
        <f aca="false">IF($C254="&lt;01","",IF(SUM($BD254)=0,"",ROUND(SUM($BD254)*SUM($BC254),0)))</f>
        <v>5</v>
      </c>
      <c r="BF254" s="115" t="str">
        <f aca="false">_xlfn.IFNA(INDEX(PMTCT!$AE:$AE,MATCH($E254,PMTCT!$E:$E,0)),"")</f>
        <v/>
      </c>
      <c r="BG254" s="115" t="str">
        <f aca="false">_xlfn.IFNA(INDEX(PMTCT!$AU:$AU,MATCH($E254,PMTCT!$E:$E,0)),"")</f>
        <v/>
      </c>
      <c r="BH254" s="115" t="n">
        <f aca="false">_xlfn.IFNA(INDEX(TB!$Q:$Q,MATCH($E254,TB!$E:$E,0)),"")</f>
        <v>-8050</v>
      </c>
      <c r="BI254" s="115" t="str">
        <f aca="false">_xlfn.IFNA(INDEX(VMMC!$AC:$AC,MATCH($E254,VMMC!$E:$E,0)),"")</f>
        <v/>
      </c>
      <c r="BJ254" s="115" t="str">
        <f aca="false">IF($C254="&lt;01",$BD254,"")</f>
        <v/>
      </c>
      <c r="BK254" s="115" t="n">
        <f aca="false">IF(SUM($BD254)=0,"",($BD254)-SUM($BE254:$BJ254))</f>
        <v>8063</v>
      </c>
      <c r="BL254" s="123" t="n">
        <f aca="false">IF(OR(SUM($BD254)=0,SUM($BE254)=0),"",SUM($BE254)/$BD254)</f>
        <v>0.277777777777778</v>
      </c>
      <c r="BM254" s="123" t="str">
        <f aca="false">IF(OR(SUM($BD254)=0,SUM($BF254)=0),"",SUM($BF254)/$BD254)</f>
        <v/>
      </c>
      <c r="BN254" s="123" t="str">
        <f aca="false">IF(OR(SUM($BD254)=0,SUM($BG254)=0),"",SUM($BG254)/$BD254)</f>
        <v/>
      </c>
      <c r="BO254" s="123" t="n">
        <f aca="false">IF(OR(SUM($BD254)=0,SUM($BH254)=0),"",SUM($BH254)/$BD254)</f>
        <v>-447.222222222222</v>
      </c>
      <c r="BP254" s="123" t="str">
        <f aca="false">IF(OR(SUM($BD254)=0,SUM($BI254)=0),"",SUM($BI254)/$BD254)</f>
        <v/>
      </c>
      <c r="BQ254" s="123" t="str">
        <f aca="false">IF(AND($C254="&lt;01",SUM($BJ254)&lt;&gt;0),$BJ254/SUM($BD254),"")</f>
        <v/>
      </c>
      <c r="BR254" s="123" t="n">
        <f aca="false">IF(OR(SUM($BD254)=0,SUM($BK254)=0),"",SUM($BK254)/$BD254)</f>
        <v>447.944444444445</v>
      </c>
      <c r="BS254" s="122" t="n">
        <f aca="false">IF(SUM($X254)&lt;=0,"",$X254)</f>
        <v>0.0271460014673514</v>
      </c>
      <c r="BT254" s="115" t="n">
        <f aca="false">IF(LEFT($B254,4)="_Mil","",MAX(SUM($L254)+ROUND(SUM($BD254)/IF(SUM($BS254)&lt;=0,1,SUM($BS254)),0),0))</f>
        <v>2120</v>
      </c>
    </row>
    <row r="255" customFormat="false" ht="15" hidden="false" customHeight="false" outlineLevel="0" collapsed="false">
      <c r="A255" s="0" t="s">
        <v>151</v>
      </c>
      <c r="B255" s="0" t="s">
        <v>101</v>
      </c>
      <c r="C255" s="0" t="s">
        <v>89</v>
      </c>
      <c r="D255" s="0" t="s">
        <v>56</v>
      </c>
      <c r="E255" s="0" t="str">
        <f aca="false">B255&amp;"|"&amp;C255&amp;"|"&amp;D255</f>
        <v>Thaba Tseka [#SNU] [jyhIrCoB31x]|&lt;01|Female</v>
      </c>
      <c r="F255" s="115" t="n">
        <f aca="false">_xlfn.IFNA(ROUND(INDEX(Spectrum!$N:$N,MATCH(RIGHT($B255,13)&amp;"|"&amp;$C255&amp;"|"&amp;$D255&amp;"|"&amp;F$14&amp;"|"&amp;"CY2021Q3",Spectrum!$Q:$Q,0)),0),"")</f>
        <v>1295</v>
      </c>
      <c r="G255" s="123" t="n">
        <f aca="false">_xlfn.IFNA(INDEX(Spectrum!$P:$P,MATCH(RIGHT($B255,13)&amp;"|"&amp;$C255&amp;"|"&amp;$D255&amp;"|"&amp;F$14&amp;"|"&amp;"CY2021Q3",Spectrum!$Q:$Q,0)),"")</f>
        <v>28</v>
      </c>
      <c r="H255" s="115" t="n">
        <f aca="false">_xlfn.IFNA(ROUND(INDEX(Spectrum!$N:$N,MATCH(RIGHT($B255,13)&amp;"|"&amp;$C255&amp;"|"&amp;$D255&amp;"|"&amp;H$14&amp;"|"&amp;"CY2021Q3",Spectrum!$Q:$Q,0)),0),"")</f>
        <v>8</v>
      </c>
      <c r="I255" s="123" t="n">
        <f aca="false">_xlfn.IFNA(INDEX(Spectrum!$P:$P,MATCH(RIGHT($B255,13)&amp;"|"&amp;$C255&amp;"|"&amp;$D255&amp;"|"&amp;H$14&amp;"|"&amp;"CY2021Q3",Spectrum!$Q:$Q,0)),"")</f>
        <v>18</v>
      </c>
      <c r="J255" s="117" t="n">
        <f aca="false">_xlfn.IFNA(INDEX(Spectrum!$N:$N,MATCH(RIGHT($B255,13)&amp;"|"&amp;$C255&amp;"|"&amp;$D255&amp;"|"&amp;J$14&amp;"|"&amp;"CY2021Q3",Spectrum!$Q:$Q,0)),"")</f>
        <v>0.0061156</v>
      </c>
      <c r="K255" s="123" t="n">
        <f aca="false">_xlfn.IFNA(INDEX(Spectrum!$P:$P,MATCH(RIGHT($B255,13)&amp;"|"&amp;$C255&amp;"|"&amp;$D255&amp;"|"&amp;J$14&amp;"|"&amp;"CY2021Q3",Spectrum!$Q:$Q,0)),"")</f>
        <v>42</v>
      </c>
      <c r="L255" s="115" t="n">
        <f aca="false">_xlfn.IFNA(ROUND(INDEX(Spectrum!$N:$N,MATCH(RIGHT($B255,13)&amp;"|"&amp;$C255&amp;"|"&amp;$D255&amp;"|"&amp;L$14&amp;"|"&amp;"CY2021Q3",Spectrum!$Q:$Q,0)),0),"")</f>
        <v>4</v>
      </c>
      <c r="M255" s="123" t="n">
        <f aca="false">IF(OR(SUM($H255)&lt;=0,SUM($L255)&lt;=0),"",SUM($L255)/$H255)</f>
        <v>0.5</v>
      </c>
      <c r="N255" s="115" t="str">
        <f aca="false">_xlfn.IFNA(ROUND(INDEX(Spectrum!$N:$N,MATCH(RIGHT($B255,13)&amp;"|"&amp;$C255&amp;"|"&amp;$D255&amp;"|"&amp;N$14&amp;"|"&amp;"CY2020Q4",Spectrum!$Q:$Q,0)),0),"")</f>
        <v/>
      </c>
      <c r="O255" s="123" t="str">
        <f aca="false">_xlfn.IFNA(INDEX(Spectrum!$P:$P,MATCH(RIGHT($B255,13)&amp;"|"&amp;$C255&amp;"|"&amp;$D255&amp;"|"&amp;N$14&amp;"|"&amp;"CY2020Q4",Spectrum!$Q:$Q,0)),"")</f>
        <v/>
      </c>
      <c r="P255" s="115" t="n">
        <f aca="false">_xlfn.IFNA(ROUND(INDEX(Spectrum!$N:$N,MATCH(RIGHT($B255,13)&amp;"|"&amp;$C255&amp;"|"&amp;$D255&amp;"|"&amp;P$14&amp;"|"&amp;"CY2021Q3",Spectrum!$Q:$Q,0)),0),"")</f>
        <v>4</v>
      </c>
      <c r="Q255" s="123" t="n">
        <f aca="false">_xlfn.IFNA(INDEX(Spectrum!$P:$P,MATCH(RIGHT($B255,13)&amp;"|"&amp;$C255&amp;"|"&amp;$D255&amp;"|"&amp;P$14&amp;"|"&amp;"CY2021Q3",Spectrum!$Q:$Q,0)),"")</f>
        <v>39</v>
      </c>
      <c r="R255" s="115"/>
      <c r="S255" s="123" t="str">
        <f aca="false">IF(OR(SUM($P255)&lt;=0,SUM($R255)&lt;=0),"",SUM($R255)/$P255)</f>
        <v/>
      </c>
      <c r="T255" s="139" t="n">
        <v>44</v>
      </c>
      <c r="U255" s="124" t="n">
        <v>27</v>
      </c>
      <c r="V255" s="124" t="n">
        <f aca="false">IF($U255-$T255=0,"",$U255-$T255)</f>
        <v>-17</v>
      </c>
      <c r="W255" s="123" t="n">
        <f aca="false">IF(LEFT($B255,4)="_Mil","",IFERROR(MIN(IF(SUM($N255)&lt;=0,SUM($U255)/SUM($P255),SUM($T255)/SUM($N255)),1),""))</f>
        <v>1</v>
      </c>
      <c r="X255" s="123" t="n">
        <f aca="false">$W255</f>
        <v>1</v>
      </c>
      <c r="Y255" s="123" t="n">
        <f aca="false">IFERROR(1/(1/INDEX(Spectrum!$N:$N,MATCH(RIGHT($B255,13)&amp;"|"&amp;$C255&amp;"|"&amp;$D255&amp;"|"&amp;Y$14&amp;"|"&amp;"CY2021Q3",Spectrum!$Q:$Q,0))),IF(SUM($H255)=0,"",MAX(SUM($P255),SUM($U255))/SUM($H255)))</f>
        <v>3.375</v>
      </c>
      <c r="Z255" s="123" t="n">
        <f aca="false">IF(SUM($Y255)=0,"",MAX(SUM($Y255),90%))</f>
        <v>3.375</v>
      </c>
      <c r="AA255" s="115" t="n">
        <f aca="false">IF(LEFT($B255,4)="_Mil","",ROUND(MAX(SUM($U255),SUM($P255))+IF(SUM($Z255)=0,0,MAX(SUM($Z255)-SUM($Y255),0)*SUM($H255)),0))</f>
        <v>27</v>
      </c>
      <c r="AB255" s="115" t="n">
        <f aca="false">IF(SUM($AA255)=0,"",ROUND(MAX(SUM($AA255)-MAX(SUM($P255),SUM($U255)),0),0))</f>
        <v>0</v>
      </c>
      <c r="AC255" s="126" t="n">
        <f aca="false">IF($C255="&lt;01",IFERROR(ROUND(INDEX(EID!$N:$N,MATCH($B255,EID!$B:$B,0))/2,0),""),"")</f>
        <v>26112</v>
      </c>
      <c r="AD255" s="115" t="n">
        <f aca="false">IF($C255="&lt;01",IF(SUM($AC255)=0,"",ROUND(SUM($AC255)/$AG255,0)),IF(SUM($AB255)=0,"",ROUND(MAX($X255,0)*SUM($AB255),0)))</f>
        <v>26645</v>
      </c>
      <c r="AE255" s="115" t="n">
        <f aca="false">IF(AND(SUM($AD255)=0,SUM($U255)=0),"",ROUND(IF($C255="&lt;01",0,SUM($U255))+SUM($AD255),0))</f>
        <v>26645</v>
      </c>
      <c r="AF255" s="122" t="str">
        <f aca="false">IF($C255="&lt;01","",100%)</f>
        <v/>
      </c>
      <c r="AG255" s="123" t="n">
        <f aca="false">0.98</f>
        <v>0.98</v>
      </c>
      <c r="AH255" s="123" t="n">
        <f aca="false">0.98</f>
        <v>0.98</v>
      </c>
      <c r="AI255" s="124" t="str">
        <f aca="false">IF(OR($C255="&lt;01",SUM($U255)=0),"",ROUND(SUM($U255)*(1-$AH255),0))</f>
        <v/>
      </c>
      <c r="AJ255" s="124" t="n">
        <f aca="false">IF(AND(SUM($AE255)=0,SUM($U255)=0),"",IF($C255="&lt;01",SUM($AD255),SUM($AE255) - ROUND(SUM($U255)*$AH255,0)))</f>
        <v>26645</v>
      </c>
      <c r="AK255" s="124" t="n">
        <v>48</v>
      </c>
      <c r="AL255" s="124" t="n">
        <v>5</v>
      </c>
      <c r="AM255" s="115" t="n">
        <f aca="false">IF(AND(SUM($AD255)=0,SUM($U255)=0),"",IF($C255="&lt;01",SUM($AD255),ROUND(ROUND(SUM($AJ255)*$AF255,0)/$AG255,0)))</f>
        <v>26645</v>
      </c>
      <c r="AN255" s="122" t="n">
        <f aca="false">0.7</f>
        <v>0.7</v>
      </c>
      <c r="AO255" s="123" t="n">
        <f aca="false">1</f>
        <v>1</v>
      </c>
      <c r="AP255" s="115" t="n">
        <f aca="false">IF(AND(SUM($U255)=0,SUM($AM255)=0),"",ROUND((SUM($AM255)*$AN255+IF($C255="&lt;01",0,$U255))*$AO255,0))</f>
        <v>18652</v>
      </c>
      <c r="AQ255" s="122" t="n">
        <v>28</v>
      </c>
      <c r="AR255" s="123" t="n">
        <f aca="false">0.95</f>
        <v>0.95</v>
      </c>
      <c r="AS255" s="123" t="n">
        <f aca="false">0.95</f>
        <v>0.95</v>
      </c>
      <c r="AT255" s="115" t="n">
        <f aca="false">IF(SUM($AP255)=0,"",ROUND(SUM($AP255)*$AR255,0))</f>
        <v>17719</v>
      </c>
      <c r="AU255" s="115" t="n">
        <f aca="false">IF(LEFT($B255,4)="_Mil","",ROUND(SUM($AA255)*SUM($AS255),0))</f>
        <v>26</v>
      </c>
      <c r="AV255" s="124" t="n">
        <f aca="false">IF(SUM($AU255)&lt;=0,"",MAX(SUM($AU255)-SUM($R255),0))</f>
        <v>26</v>
      </c>
      <c r="AW255" s="122" t="n">
        <f aca="false">0</f>
        <v>0</v>
      </c>
      <c r="AX255" s="124" t="n">
        <f aca="false">IF(SUM($AM255)=0,"",ROUND(SUM($AM255)*SUM($AW255),0))</f>
        <v>0</v>
      </c>
      <c r="AY255" s="124" t="n">
        <f aca="false">IF(SUM($AM255)=0,"",SUM($AM255)-SUM($AX255))</f>
        <v>26645</v>
      </c>
      <c r="AZ255" s="123" t="n">
        <v>13</v>
      </c>
      <c r="BA255" s="123" t="n">
        <f aca="false">0.95</f>
        <v>0.95</v>
      </c>
      <c r="BB255" s="123"/>
      <c r="BC255" s="123" t="str">
        <f aca="false">IF(OR(SUM($AM255)&lt;=0,$C255="&lt;01"),"",MAX(IF(OR(SUM($Y255)&lt;70%,LEFT($B255,4)="_Mil"),30%,IF(SUM($Y255)&gt;=80%,75%,50%)),SUM($BB255)))</f>
        <v/>
      </c>
      <c r="BD255" s="115" t="n">
        <f aca="false">IF($C255="&lt;01",IFERROR(ROUND(INDEX(EID!$M:$M,MATCH($B255,EID!$B:$B,0)),0)/2,""),IF(SUM($AY255)=0,"",ROUND(SUM($AY255)/SUM($BA255),0)))</f>
        <v>27486.5</v>
      </c>
      <c r="BE255" s="115" t="str">
        <f aca="false">IF($C255="&lt;01","",IF(SUM($BD255)=0,"",ROUND(SUM($BD255)*SUM($BC255),0)))</f>
        <v/>
      </c>
      <c r="BF255" s="115" t="str">
        <f aca="false">_xlfn.IFNA(INDEX(PMTCT!$AE:$AE,MATCH($E255,PMTCT!$E:$E,0)),"")</f>
        <v/>
      </c>
      <c r="BG255" s="115" t="str">
        <f aca="false">_xlfn.IFNA(INDEX(PMTCT!$AU:$AU,MATCH($E255,PMTCT!$E:$E,0)),"")</f>
        <v/>
      </c>
      <c r="BH255" s="115" t="str">
        <f aca="false">_xlfn.IFNA(INDEX(TB!$Q:$Q,MATCH($E255,TB!$E:$E,0)),"")</f>
        <v/>
      </c>
      <c r="BI255" s="115" t="str">
        <f aca="false">_xlfn.IFNA(INDEX(VMMC!$AC:$AC,MATCH($E255,VMMC!$E:$E,0)),"")</f>
        <v/>
      </c>
      <c r="BJ255" s="115" t="n">
        <f aca="false">IF($C255="&lt;01",$BD255,"")</f>
        <v>27486.5</v>
      </c>
      <c r="BK255" s="115" t="n">
        <f aca="false">IF(SUM($BD255)=0,"",($BD255)-SUM($BE255:$BJ255))</f>
        <v>0</v>
      </c>
      <c r="BL255" s="123" t="str">
        <f aca="false">IF(OR(SUM($BD255)=0,SUM($BE255)=0),"",SUM($BE255)/$BD255)</f>
        <v/>
      </c>
      <c r="BM255" s="123" t="str">
        <f aca="false">IF(OR(SUM($BD255)=0,SUM($BF255)=0),"",SUM($BF255)/$BD255)</f>
        <v/>
      </c>
      <c r="BN255" s="123" t="str">
        <f aca="false">IF(OR(SUM($BD255)=0,SUM($BG255)=0),"",SUM($BG255)/$BD255)</f>
        <v/>
      </c>
      <c r="BO255" s="123" t="str">
        <f aca="false">IF(OR(SUM($BD255)=0,SUM($BH255)=0),"",SUM($BH255)/$BD255)</f>
        <v/>
      </c>
      <c r="BP255" s="123" t="str">
        <f aca="false">IF(OR(SUM($BD255)=0,SUM($BI255)=0),"",SUM($BI255)/$BD255)</f>
        <v/>
      </c>
      <c r="BQ255" s="123" t="n">
        <f aca="false">IF(AND($C255="&lt;01",SUM($BJ255)&lt;&gt;0),$BJ255/SUM($BD255),"")</f>
        <v>1</v>
      </c>
      <c r="BR255" s="123" t="str">
        <f aca="false">IF(OR(SUM($BD255)=0,SUM($BK255)=0),"",SUM($BK255)/$BD255)</f>
        <v/>
      </c>
      <c r="BS255" s="122" t="n">
        <f aca="false">IF(SUM($X255)&lt;=0,"",$X255)</f>
        <v>1</v>
      </c>
      <c r="BT255" s="115" t="n">
        <f aca="false">IF(LEFT($B255,4)="_Mil","",MAX(SUM($L255)+ROUND(SUM($BD255)/IF(SUM($BS255)&lt;=0,1,SUM($BS255)),0),0))</f>
        <v>27491</v>
      </c>
    </row>
    <row r="256" customFormat="false" ht="15" hidden="false" customHeight="false" outlineLevel="0" collapsed="false">
      <c r="A256" s="0" t="s">
        <v>151</v>
      </c>
      <c r="B256" s="0" t="s">
        <v>101</v>
      </c>
      <c r="C256" s="0" t="s">
        <v>89</v>
      </c>
      <c r="D256" s="0" t="s">
        <v>58</v>
      </c>
      <c r="E256" s="0" t="str">
        <f aca="false">B256&amp;"|"&amp;C256&amp;"|"&amp;D256</f>
        <v>Thaba Tseka [#SNU] [jyhIrCoB31x]|&lt;01|Male</v>
      </c>
      <c r="F256" s="115" t="n">
        <f aca="false">_xlfn.IFNA(ROUND(INDEX(Spectrum!$N:$N,MATCH(RIGHT($B256,13)&amp;"|"&amp;$C256&amp;"|"&amp;$D256&amp;"|"&amp;F$14&amp;"|"&amp;"CY2021Q3",Spectrum!$Q:$Q,0)),0),"")</f>
        <v>1274</v>
      </c>
      <c r="G256" s="123" t="n">
        <f aca="false">_xlfn.IFNA(INDEX(Spectrum!$P:$P,MATCH(RIGHT($B256,13)&amp;"|"&amp;$C256&amp;"|"&amp;$D256&amp;"|"&amp;F$14&amp;"|"&amp;"CY2021Q3",Spectrum!$Q:$Q,0)),"")</f>
        <v>33</v>
      </c>
      <c r="H256" s="115" t="n">
        <f aca="false">_xlfn.IFNA(ROUND(INDEX(Spectrum!$N:$N,MATCH(RIGHT($B256,13)&amp;"|"&amp;$C256&amp;"|"&amp;$D256&amp;"|"&amp;H$14&amp;"|"&amp;"CY2021Q3",Spectrum!$Q:$Q,0)),0),"")</f>
        <v>8</v>
      </c>
      <c r="I256" s="123" t="n">
        <f aca="false">_xlfn.IFNA(INDEX(Spectrum!$P:$P,MATCH(RIGHT($B256,13)&amp;"|"&amp;$C256&amp;"|"&amp;$D256&amp;"|"&amp;H$14&amp;"|"&amp;"CY2021Q3",Spectrum!$Q:$Q,0)),"")</f>
        <v>14</v>
      </c>
      <c r="J256" s="117" t="n">
        <f aca="false">_xlfn.IFNA(INDEX(Spectrum!$N:$N,MATCH(RIGHT($B256,13)&amp;"|"&amp;$C256&amp;"|"&amp;$D256&amp;"|"&amp;J$14&amp;"|"&amp;"CY2021Q3",Spectrum!$Q:$Q,0)),"")</f>
        <v>0.0062096</v>
      </c>
      <c r="K256" s="123" t="n">
        <f aca="false">_xlfn.IFNA(INDEX(Spectrum!$P:$P,MATCH(RIGHT($B256,13)&amp;"|"&amp;$C256&amp;"|"&amp;$D256&amp;"|"&amp;J$14&amp;"|"&amp;"CY2021Q3",Spectrum!$Q:$Q,0)),"")</f>
        <v>41</v>
      </c>
      <c r="L256" s="115" t="n">
        <f aca="false">_xlfn.IFNA(ROUND(INDEX(Spectrum!$N:$N,MATCH(RIGHT($B256,13)&amp;"|"&amp;$C256&amp;"|"&amp;$D256&amp;"|"&amp;L$14&amp;"|"&amp;"CY2021Q3",Spectrum!$Q:$Q,0)),0),"")</f>
        <v>4</v>
      </c>
      <c r="M256" s="123" t="n">
        <f aca="false">IF(OR(SUM($H256)&lt;=0,SUM($L256)&lt;=0),"",SUM($L256)/$H256)</f>
        <v>0.5</v>
      </c>
      <c r="N256" s="115" t="str">
        <f aca="false">_xlfn.IFNA(ROUND(INDEX(Spectrum!$N:$N,MATCH(RIGHT($B256,13)&amp;"|"&amp;$C256&amp;"|"&amp;$D256&amp;"|"&amp;N$14&amp;"|"&amp;"CY2020Q4",Spectrum!$Q:$Q,0)),0),"")</f>
        <v/>
      </c>
      <c r="O256" s="123" t="str">
        <f aca="false">_xlfn.IFNA(INDEX(Spectrum!$P:$P,MATCH(RIGHT($B256,13)&amp;"|"&amp;$C256&amp;"|"&amp;$D256&amp;"|"&amp;N$14&amp;"|"&amp;"CY2020Q4",Spectrum!$Q:$Q,0)),"")</f>
        <v/>
      </c>
      <c r="P256" s="115" t="n">
        <f aca="false">_xlfn.IFNA(ROUND(INDEX(Spectrum!$N:$N,MATCH(RIGHT($B256,13)&amp;"|"&amp;$C256&amp;"|"&amp;$D256&amp;"|"&amp;P$14&amp;"|"&amp;"CY2021Q3",Spectrum!$Q:$Q,0)),0),"")</f>
        <v>4</v>
      </c>
      <c r="Q256" s="123" t="n">
        <f aca="false">_xlfn.IFNA(INDEX(Spectrum!$P:$P,MATCH(RIGHT($B256,13)&amp;"|"&amp;$C256&amp;"|"&amp;$D256&amp;"|"&amp;P$14&amp;"|"&amp;"CY2021Q3",Spectrum!$Q:$Q,0)),"")</f>
        <v>31</v>
      </c>
      <c r="R256" s="115"/>
      <c r="S256" s="123" t="str">
        <f aca="false">IF(OR(SUM($P256)&lt;=0,SUM($R256)&lt;=0),"",SUM($R256)/$P256)</f>
        <v/>
      </c>
      <c r="T256" s="139" t="n">
        <v>11</v>
      </c>
      <c r="U256" s="124" t="n">
        <v>43</v>
      </c>
      <c r="V256" s="124" t="n">
        <f aca="false">IF($U256-$T256=0,"",$U256-$T256)</f>
        <v>32</v>
      </c>
      <c r="W256" s="123" t="n">
        <f aca="false">IF(LEFT($B256,4)="_Mil","",IFERROR(MIN(IF(SUM($N256)&lt;=0,SUM($U256)/SUM($P256),SUM($T256)/SUM($N256)),1),""))</f>
        <v>1</v>
      </c>
      <c r="X256" s="123" t="n">
        <f aca="false">$W256</f>
        <v>1</v>
      </c>
      <c r="Y256" s="123" t="n">
        <f aca="false">IFERROR(1/(1/INDEX(Spectrum!$N:$N,MATCH(RIGHT($B256,13)&amp;"|"&amp;$C256&amp;"|"&amp;$D256&amp;"|"&amp;Y$14&amp;"|"&amp;"CY2021Q3",Spectrum!$Q:$Q,0))),IF(SUM($H256)=0,"",MAX(SUM($P256),SUM($U256))/SUM($H256)))</f>
        <v>5.375</v>
      </c>
      <c r="Z256" s="123" t="n">
        <f aca="false">IF(SUM($Y256)=0,"",MAX(SUM($Y256),90%))</f>
        <v>5.375</v>
      </c>
      <c r="AA256" s="115" t="n">
        <f aca="false">IF(LEFT($B256,4)="_Mil","",ROUND(MAX(SUM($U256),SUM($P256))+IF(SUM($Z256)=0,0,MAX(SUM($Z256)-SUM($Y256),0)*SUM($H256)),0))</f>
        <v>43</v>
      </c>
      <c r="AB256" s="115" t="n">
        <f aca="false">IF(SUM($AA256)=0,"",ROUND(MAX(SUM($AA256)-MAX(SUM($P256),SUM($U256)),0),0))</f>
        <v>0</v>
      </c>
      <c r="AC256" s="126" t="n">
        <f aca="false">IF($C256="&lt;01",IFERROR(ROUND(INDEX(EID!$N:$N,MATCH($B256,EID!$B:$B,0))/2,0),""),"")</f>
        <v>26112</v>
      </c>
      <c r="AD256" s="115" t="n">
        <f aca="false">IF($C256="&lt;01",IF(SUM($AC256)=0,"",ROUND(SUM($AC256)/$AG256,0)),IF(SUM($AB256)=0,"",ROUND(MAX($X256,0)*SUM($AB256),0)))</f>
        <v>26645</v>
      </c>
      <c r="AE256" s="115" t="n">
        <f aca="false">IF(AND(SUM($AD256)=0,SUM($U256)=0),"",ROUND(IF($C256="&lt;01",0,SUM($U256))+SUM($AD256),0))</f>
        <v>26645</v>
      </c>
      <c r="AF256" s="122" t="str">
        <f aca="false">IF($C256="&lt;01","",100%)</f>
        <v/>
      </c>
      <c r="AG256" s="123" t="n">
        <f aca="false">0.98</f>
        <v>0.98</v>
      </c>
      <c r="AH256" s="123" t="n">
        <f aca="false">0.98</f>
        <v>0.98</v>
      </c>
      <c r="AI256" s="124" t="str">
        <f aca="false">IF(OR($C256="&lt;01",SUM($U256)=0),"",ROUND(SUM($U256)*(1-$AH256),0))</f>
        <v/>
      </c>
      <c r="AJ256" s="124" t="n">
        <f aca="false">IF(AND(SUM($AE256)=0,SUM($U256)=0),"",IF($C256="&lt;01",SUM($AD256),SUM($AE256) - ROUND(SUM($U256)*$AH256,0)))</f>
        <v>26645</v>
      </c>
      <c r="AK256" s="124" t="n">
        <v>42</v>
      </c>
      <c r="AL256" s="124" t="n">
        <v>41</v>
      </c>
      <c r="AM256" s="115" t="n">
        <f aca="false">IF(AND(SUM($AD256)=0,SUM($U256)=0),"",IF($C256="&lt;01",SUM($AD256),ROUND(ROUND(SUM($AJ256)*$AF256,0)/$AG256,0)))</f>
        <v>26645</v>
      </c>
      <c r="AN256" s="122" t="n">
        <f aca="false">0.7</f>
        <v>0.7</v>
      </c>
      <c r="AO256" s="123" t="n">
        <f aca="false">1</f>
        <v>1</v>
      </c>
      <c r="AP256" s="115" t="n">
        <f aca="false">IF(AND(SUM($U256)=0,SUM($AM256)=0),"",ROUND((SUM($AM256)*$AN256+IF($C256="&lt;01",0,$U256))*$AO256,0))</f>
        <v>18652</v>
      </c>
      <c r="AQ256" s="122"/>
      <c r="AR256" s="123" t="n">
        <f aca="false">0.95</f>
        <v>0.95</v>
      </c>
      <c r="AS256" s="123" t="n">
        <f aca="false">0.95</f>
        <v>0.95</v>
      </c>
      <c r="AT256" s="115" t="n">
        <f aca="false">IF(SUM($AP256)=0,"",ROUND(SUM($AP256)*$AR256,0))</f>
        <v>17719</v>
      </c>
      <c r="AU256" s="115" t="n">
        <f aca="false">IF(LEFT($B256,4)="_Mil","",ROUND(SUM($AA256)*SUM($AS256),0))</f>
        <v>41</v>
      </c>
      <c r="AV256" s="124" t="n">
        <f aca="false">IF(SUM($AU256)&lt;=0,"",MAX(SUM($AU256)-SUM($R256),0))</f>
        <v>41</v>
      </c>
      <c r="AW256" s="122" t="n">
        <f aca="false">0</f>
        <v>0</v>
      </c>
      <c r="AX256" s="124" t="n">
        <f aca="false">IF(SUM($AM256)=0,"",ROUND(SUM($AM256)*SUM($AW256),0))</f>
        <v>0</v>
      </c>
      <c r="AY256" s="124" t="n">
        <f aca="false">IF(SUM($AM256)=0,"",SUM($AM256)-SUM($AX256))</f>
        <v>26645</v>
      </c>
      <c r="AZ256" s="123" t="n">
        <v>9</v>
      </c>
      <c r="BA256" s="123" t="n">
        <f aca="false">0.95</f>
        <v>0.95</v>
      </c>
      <c r="BB256" s="123"/>
      <c r="BC256" s="123" t="str">
        <f aca="false">IF(OR(SUM($AM256)&lt;=0,$C256="&lt;01"),"",MAX(IF(OR(SUM($Y256)&lt;70%,LEFT($B256,4)="_Mil"),30%,IF(SUM($Y256)&gt;=80%,75%,50%)),SUM($BB256)))</f>
        <v/>
      </c>
      <c r="BD256" s="115" t="n">
        <f aca="false">IF($C256="&lt;01",IFERROR(ROUND(INDEX(EID!$M:$M,MATCH($B256,EID!$B:$B,0)),0)/2,""),IF(SUM($AY256)=0,"",ROUND(SUM($AY256)/SUM($BA256),0)))</f>
        <v>27486.5</v>
      </c>
      <c r="BE256" s="115" t="str">
        <f aca="false">IF($C256="&lt;01","",IF(SUM($BD256)=0,"",ROUND(SUM($BD256)*SUM($BC256),0)))</f>
        <v/>
      </c>
      <c r="BF256" s="115" t="str">
        <f aca="false">_xlfn.IFNA(INDEX(PMTCT!$AE:$AE,MATCH($E256,PMTCT!$E:$E,0)),"")</f>
        <v/>
      </c>
      <c r="BG256" s="115" t="str">
        <f aca="false">_xlfn.IFNA(INDEX(PMTCT!$AU:$AU,MATCH($E256,PMTCT!$E:$E,0)),"")</f>
        <v/>
      </c>
      <c r="BH256" s="115" t="str">
        <f aca="false">_xlfn.IFNA(INDEX(TB!$Q:$Q,MATCH($E256,TB!$E:$E,0)),"")</f>
        <v/>
      </c>
      <c r="BI256" s="115" t="str">
        <f aca="false">_xlfn.IFNA(INDEX(VMMC!$AC:$AC,MATCH($E256,VMMC!$E:$E,0)),"")</f>
        <v/>
      </c>
      <c r="BJ256" s="115" t="n">
        <f aca="false">IF($C256="&lt;01",$BD256,"")</f>
        <v>27486.5</v>
      </c>
      <c r="BK256" s="115" t="n">
        <f aca="false">IF(SUM($BD256)=0,"",($BD256)-SUM($BE256:$BJ256))</f>
        <v>0</v>
      </c>
      <c r="BL256" s="123" t="str">
        <f aca="false">IF(OR(SUM($BD256)=0,SUM($BE256)=0),"",SUM($BE256)/$BD256)</f>
        <v/>
      </c>
      <c r="BM256" s="123" t="str">
        <f aca="false">IF(OR(SUM($BD256)=0,SUM($BF256)=0),"",SUM($BF256)/$BD256)</f>
        <v/>
      </c>
      <c r="BN256" s="123" t="str">
        <f aca="false">IF(OR(SUM($BD256)=0,SUM($BG256)=0),"",SUM($BG256)/$BD256)</f>
        <v/>
      </c>
      <c r="BO256" s="123" t="str">
        <f aca="false">IF(OR(SUM($BD256)=0,SUM($BH256)=0),"",SUM($BH256)/$BD256)</f>
        <v/>
      </c>
      <c r="BP256" s="123" t="str">
        <f aca="false">IF(OR(SUM($BD256)=0,SUM($BI256)=0),"",SUM($BI256)/$BD256)</f>
        <v/>
      </c>
      <c r="BQ256" s="123" t="n">
        <f aca="false">IF(AND($C256="&lt;01",SUM($BJ256)&lt;&gt;0),$BJ256/SUM($BD256),"")</f>
        <v>1</v>
      </c>
      <c r="BR256" s="123" t="str">
        <f aca="false">IF(OR(SUM($BD256)=0,SUM($BK256)=0),"",SUM($BK256)/$BD256)</f>
        <v/>
      </c>
      <c r="BS256" s="122" t="n">
        <f aca="false">IF(SUM($X256)&lt;=0,"",$X256)</f>
        <v>1</v>
      </c>
      <c r="BT256" s="115" t="n">
        <f aca="false">IF(LEFT($B256,4)="_Mil","",MAX(SUM($L256)+ROUND(SUM($BD256)/IF(SUM($BS256)&lt;=0,1,SUM($BS256)),0),0))</f>
        <v>27491</v>
      </c>
    </row>
    <row r="257" customFormat="false" ht="15" hidden="false" customHeight="false" outlineLevel="0" collapsed="false">
      <c r="A257" s="0" t="s">
        <v>151</v>
      </c>
      <c r="B257" s="0" t="s">
        <v>101</v>
      </c>
      <c r="C257" s="0" t="s">
        <v>54</v>
      </c>
      <c r="D257" s="0" t="s">
        <v>56</v>
      </c>
      <c r="E257" s="0" t="str">
        <f aca="false">B257&amp;"|"&amp;C257&amp;"|"&amp;D257</f>
        <v>Thaba Tseka [#SNU] [jyhIrCoB31x]|01-04|Female</v>
      </c>
      <c r="F257" s="115" t="n">
        <f aca="false">_xlfn.IFNA(ROUND(INDEX(Spectrum!$N:$N,MATCH(RIGHT($B257,13)&amp;"|"&amp;$C257&amp;"|"&amp;$D257&amp;"|"&amp;F$14&amp;"|"&amp;"CY2021Q3",Spectrum!$Q:$Q,0)),0),"")</f>
        <v>6015</v>
      </c>
      <c r="G257" s="123" t="n">
        <f aca="false">_xlfn.IFNA(INDEX(Spectrum!$P:$P,MATCH(RIGHT($B257,13)&amp;"|"&amp;$C257&amp;"|"&amp;$D257&amp;"|"&amp;F$14&amp;"|"&amp;"CY2021Q3",Spectrum!$Q:$Q,0)),"")</f>
        <v>25</v>
      </c>
      <c r="H257" s="115" t="n">
        <f aca="false">_xlfn.IFNA(ROUND(INDEX(Spectrum!$N:$N,MATCH(RIGHT($B257,13)&amp;"|"&amp;$C257&amp;"|"&amp;$D257&amp;"|"&amp;H$14&amp;"|"&amp;"CY2021Q3",Spectrum!$Q:$Q,0)),0),"")</f>
        <v>39</v>
      </c>
      <c r="I257" s="123" t="n">
        <f aca="false">_xlfn.IFNA(INDEX(Spectrum!$P:$P,MATCH(RIGHT($B257,13)&amp;"|"&amp;$C257&amp;"|"&amp;$D257&amp;"|"&amp;H$14&amp;"|"&amp;"CY2021Q3",Spectrum!$Q:$Q,0)),"")</f>
        <v>17</v>
      </c>
      <c r="J257" s="117" t="n">
        <f aca="false">_xlfn.IFNA(INDEX(Spectrum!$N:$N,MATCH(RIGHT($B257,13)&amp;"|"&amp;$C257&amp;"|"&amp;$D257&amp;"|"&amp;J$14&amp;"|"&amp;"CY2021Q3",Spectrum!$Q:$Q,0)),"")</f>
        <v>0.0064674</v>
      </c>
      <c r="K257" s="123" t="n">
        <f aca="false">_xlfn.IFNA(INDEX(Spectrum!$P:$P,MATCH(RIGHT($B257,13)&amp;"|"&amp;$C257&amp;"|"&amp;$D257&amp;"|"&amp;J$14&amp;"|"&amp;"CY2021Q3",Spectrum!$Q:$Q,0)),"")</f>
        <v>25</v>
      </c>
      <c r="L257" s="115" t="n">
        <f aca="false">_xlfn.IFNA(ROUND(INDEX(Spectrum!$N:$N,MATCH(RIGHT($B257,13)&amp;"|"&amp;$C257&amp;"|"&amp;$D257&amp;"|"&amp;L$14&amp;"|"&amp;"CY2021Q3",Spectrum!$Q:$Q,0)),0),"")</f>
        <v>17</v>
      </c>
      <c r="M257" s="123" t="n">
        <f aca="false">IF(OR(SUM($H257)&lt;=0,SUM($L257)&lt;=0),"",SUM($L257)/$H257)</f>
        <v>0.435897435897436</v>
      </c>
      <c r="N257" s="115" t="str">
        <f aca="false">_xlfn.IFNA(ROUND(INDEX(Spectrum!$N:$N,MATCH(RIGHT($B257,13)&amp;"|"&amp;$C257&amp;"|"&amp;$D257&amp;"|"&amp;N$14&amp;"|"&amp;"CY2020Q4",Spectrum!$Q:$Q,0)),0),"")</f>
        <v/>
      </c>
      <c r="O257" s="123" t="str">
        <f aca="false">_xlfn.IFNA(INDEX(Spectrum!$P:$P,MATCH(RIGHT($B257,13)&amp;"|"&amp;$C257&amp;"|"&amp;$D257&amp;"|"&amp;N$14&amp;"|"&amp;"CY2020Q4",Spectrum!$Q:$Q,0)),"")</f>
        <v/>
      </c>
      <c r="P257" s="115" t="n">
        <f aca="false">_xlfn.IFNA(ROUND(INDEX(Spectrum!$N:$N,MATCH(RIGHT($B257,13)&amp;"|"&amp;$C257&amp;"|"&amp;$D257&amp;"|"&amp;P$14&amp;"|"&amp;"CY2021Q3",Spectrum!$Q:$Q,0)),0),"")</f>
        <v>20</v>
      </c>
      <c r="Q257" s="123" t="n">
        <f aca="false">_xlfn.IFNA(INDEX(Spectrum!$P:$P,MATCH(RIGHT($B257,13)&amp;"|"&amp;$C257&amp;"|"&amp;$D257&amp;"|"&amp;P$14&amp;"|"&amp;"CY2021Q3",Spectrum!$Q:$Q,0)),"")</f>
        <v>38</v>
      </c>
      <c r="R257" s="115"/>
      <c r="S257" s="123" t="str">
        <f aca="false">IF(OR(SUM($P257)&lt;=0,SUM($R257)&lt;=0),"",SUM($R257)/$P257)</f>
        <v/>
      </c>
      <c r="T257" s="139" t="n">
        <v>1</v>
      </c>
      <c r="U257" s="124" t="n">
        <v>30</v>
      </c>
      <c r="V257" s="124" t="n">
        <f aca="false">IF($U257-$T257=0,"",$U257-$T257)</f>
        <v>29</v>
      </c>
      <c r="W257" s="123" t="n">
        <f aca="false">IF(LEFT($B257,4)="_Mil","",IFERROR(MIN(IF(SUM($N257)&lt;=0,SUM($U257)/SUM($P257),SUM($T257)/SUM($N257)),1),""))</f>
        <v>1</v>
      </c>
      <c r="X257" s="123" t="n">
        <f aca="false">$W257</f>
        <v>1</v>
      </c>
      <c r="Y257" s="123" t="n">
        <f aca="false">IFERROR(1/(1/INDEX(Spectrum!$N:$N,MATCH(RIGHT($B257,13)&amp;"|"&amp;$C257&amp;"|"&amp;$D257&amp;"|"&amp;Y$14&amp;"|"&amp;"CY2021Q3",Spectrum!$Q:$Q,0))),IF(SUM($H257)=0,"",MAX(SUM($P257),SUM($U257))/SUM($H257)))</f>
        <v>0.769230769230769</v>
      </c>
      <c r="Z257" s="123" t="n">
        <f aca="false">IF(SUM($Y257)=0,"",MAX(SUM($Y257),90%))</f>
        <v>0.9</v>
      </c>
      <c r="AA257" s="115" t="n">
        <f aca="false">IF(LEFT($B257,4)="_Mil","",ROUND(MAX(SUM($U257),SUM($P257))+IF(SUM($Z257)=0,0,MAX(SUM($Z257)-SUM($Y257),0)*SUM($H257)),0))</f>
        <v>35</v>
      </c>
      <c r="AB257" s="115" t="n">
        <f aca="false">IF(SUM($AA257)=0,"",ROUND(MAX(SUM($AA257)-MAX(SUM($P257),SUM($U257)),0),0))</f>
        <v>5</v>
      </c>
      <c r="AC257" s="126" t="str">
        <f aca="false">IF($C257="&lt;01",IFERROR(ROUND(INDEX(EID!$N:$N,MATCH($B257,EID!$B:$B,0))/2,0),""),"")</f>
        <v/>
      </c>
      <c r="AD257" s="115" t="n">
        <f aca="false">IF($C257="&lt;01",IF(SUM($AC257)=0,"",ROUND(SUM($AC257)/$AG257,0)),IF(SUM($AB257)=0,"",ROUND(MAX($X257,0)*SUM($AB257),0)))</f>
        <v>5</v>
      </c>
      <c r="AE257" s="115" t="n">
        <f aca="false">IF(AND(SUM($AD257)=0,SUM($U257)=0),"",ROUND(IF($C257="&lt;01",0,SUM($U257))+SUM($AD257),0))</f>
        <v>35</v>
      </c>
      <c r="AF257" s="122" t="n">
        <f aca="false">IF($C257="&lt;01","",100%)</f>
        <v>1</v>
      </c>
      <c r="AG257" s="123" t="n">
        <f aca="false">0.98</f>
        <v>0.98</v>
      </c>
      <c r="AH257" s="123" t="n">
        <f aca="false">0.98</f>
        <v>0.98</v>
      </c>
      <c r="AI257" s="124" t="n">
        <f aca="false">IF(OR($C257="&lt;01",SUM($U257)=0),"",ROUND(SUM($U257)*(1-$AH257),0))</f>
        <v>1</v>
      </c>
      <c r="AJ257" s="124" t="n">
        <f aca="false">IF(AND(SUM($AE257)=0,SUM($U257)=0),"",IF($C257="&lt;01",SUM($AD257),SUM($AE257) - ROUND(SUM($U257)*$AH257,0)))</f>
        <v>6</v>
      </c>
      <c r="AK257" s="124" t="n">
        <v>13</v>
      </c>
      <c r="AL257" s="124" t="n">
        <v>13</v>
      </c>
      <c r="AM257" s="115" t="n">
        <f aca="false">IF(AND(SUM($AD257)=0,SUM($U257)=0),"",IF($C257="&lt;01",SUM($AD257),ROUND(ROUND(SUM($AJ257)*$AF257,0)/$AG257,0)))</f>
        <v>6</v>
      </c>
      <c r="AN257" s="122" t="n">
        <f aca="false">0.7</f>
        <v>0.7</v>
      </c>
      <c r="AO257" s="123" t="n">
        <f aca="false">1</f>
        <v>1</v>
      </c>
      <c r="AP257" s="115" t="n">
        <f aca="false">IF(AND(SUM($U257)=0,SUM($AM257)=0),"",ROUND((SUM($AM257)*$AN257+IF($C257="&lt;01",0,$U257))*$AO257,0))</f>
        <v>34</v>
      </c>
      <c r="AQ257" s="122" t="n">
        <v>49</v>
      </c>
      <c r="AR257" s="123" t="n">
        <f aca="false">0.95</f>
        <v>0.95</v>
      </c>
      <c r="AS257" s="123" t="n">
        <f aca="false">0.95</f>
        <v>0.95</v>
      </c>
      <c r="AT257" s="115" t="n">
        <f aca="false">IF(SUM($AP257)=0,"",ROUND(SUM($AP257)*$AR257,0))</f>
        <v>32</v>
      </c>
      <c r="AU257" s="115" t="n">
        <f aca="false">IF(LEFT($B257,4)="_Mil","",ROUND(SUM($AA257)*SUM($AS257),0))</f>
        <v>33</v>
      </c>
      <c r="AV257" s="124" t="n">
        <f aca="false">IF(SUM($AU257)&lt;=0,"",MAX(SUM($AU257)-SUM($R257),0))</f>
        <v>33</v>
      </c>
      <c r="AW257" s="122" t="n">
        <f aca="false">0</f>
        <v>0</v>
      </c>
      <c r="AX257" s="124" t="n">
        <f aca="false">IF(SUM($AM257)=0,"",ROUND(SUM($AM257)*SUM($AW257),0))</f>
        <v>0</v>
      </c>
      <c r="AY257" s="124" t="n">
        <f aca="false">IF(SUM($AM257)=0,"",SUM($AM257)-SUM($AX257))</f>
        <v>6</v>
      </c>
      <c r="AZ257" s="123" t="n">
        <v>33</v>
      </c>
      <c r="BA257" s="123" t="n">
        <f aca="false">0.95</f>
        <v>0.95</v>
      </c>
      <c r="BB257" s="123"/>
      <c r="BC257" s="123" t="n">
        <f aca="false">IF(OR(SUM($AM257)&lt;=0,$C257="&lt;01"),"",MAX(IF(OR(SUM($Y257)&lt;70%,LEFT($B257,4)="_Mil"),30%,IF(SUM($Y257)&gt;=80%,75%,50%)),SUM($BB257)))</f>
        <v>0.5</v>
      </c>
      <c r="BD257" s="115" t="n">
        <f aca="false">IF($C257="&lt;01",IFERROR(ROUND(INDEX(EID!$M:$M,MATCH($B257,EID!$B:$B,0)),0)/2,""),IF(SUM($AY257)=0,"",ROUND(SUM($AY257)/SUM($BA257),0)))</f>
        <v>6</v>
      </c>
      <c r="BE257" s="115" t="n">
        <f aca="false">IF($C257="&lt;01","",IF(SUM($BD257)=0,"",ROUND(SUM($BD257)*SUM($BC257),0)))</f>
        <v>3</v>
      </c>
      <c r="BF257" s="115" t="str">
        <f aca="false">_xlfn.IFNA(INDEX(PMTCT!$AE:$AE,MATCH($E257,PMTCT!$E:$E,0)),"")</f>
        <v/>
      </c>
      <c r="BG257" s="115" t="str">
        <f aca="false">_xlfn.IFNA(INDEX(PMTCT!$AU:$AU,MATCH($E257,PMTCT!$E:$E,0)),"")</f>
        <v/>
      </c>
      <c r="BH257" s="115" t="n">
        <f aca="false">_xlfn.IFNA(INDEX(TB!$Q:$Q,MATCH($E257,TB!$E:$E,0)),"")</f>
        <v>0</v>
      </c>
      <c r="BI257" s="115" t="str">
        <f aca="false">_xlfn.IFNA(INDEX(VMMC!$AC:$AC,MATCH($E257,VMMC!$E:$E,0)),"")</f>
        <v/>
      </c>
      <c r="BJ257" s="115" t="str">
        <f aca="false">IF($C257="&lt;01",$BD257,"")</f>
        <v/>
      </c>
      <c r="BK257" s="115" t="n">
        <f aca="false">IF(SUM($BD257)=0,"",($BD257)-SUM($BE257:$BJ257))</f>
        <v>3</v>
      </c>
      <c r="BL257" s="123" t="n">
        <f aca="false">IF(OR(SUM($BD257)=0,SUM($BE257)=0),"",SUM($BE257)/$BD257)</f>
        <v>0.5</v>
      </c>
      <c r="BM257" s="123" t="str">
        <f aca="false">IF(OR(SUM($BD257)=0,SUM($BF257)=0),"",SUM($BF257)/$BD257)</f>
        <v/>
      </c>
      <c r="BN257" s="123" t="str">
        <f aca="false">IF(OR(SUM($BD257)=0,SUM($BG257)=0),"",SUM($BG257)/$BD257)</f>
        <v/>
      </c>
      <c r="BO257" s="123" t="str">
        <f aca="false">IF(OR(SUM($BD257)=0,SUM($BH257)=0),"",SUM($BH257)/$BD257)</f>
        <v/>
      </c>
      <c r="BP257" s="123" t="str">
        <f aca="false">IF(OR(SUM($BD257)=0,SUM($BI257)=0),"",SUM($BI257)/$BD257)</f>
        <v/>
      </c>
      <c r="BQ257" s="123" t="str">
        <f aca="false">IF(AND($C257="&lt;01",SUM($BJ257)&lt;&gt;0),$BJ257/SUM($BD257),"")</f>
        <v/>
      </c>
      <c r="BR257" s="123" t="n">
        <f aca="false">IF(OR(SUM($BD257)=0,SUM($BK257)=0),"",SUM($BK257)/$BD257)</f>
        <v>0.5</v>
      </c>
      <c r="BS257" s="122" t="n">
        <f aca="false">IF(SUM($X257)&lt;=0,"",$X257)</f>
        <v>1</v>
      </c>
      <c r="BT257" s="115" t="n">
        <f aca="false">IF(LEFT($B257,4)="_Mil","",MAX(SUM($L257)+ROUND(SUM($BD257)/IF(SUM($BS257)&lt;=0,1,SUM($BS257)),0),0))</f>
        <v>23</v>
      </c>
    </row>
    <row r="258" customFormat="false" ht="15" hidden="false" customHeight="false" outlineLevel="0" collapsed="false">
      <c r="A258" s="0" t="s">
        <v>151</v>
      </c>
      <c r="B258" s="0" t="s">
        <v>101</v>
      </c>
      <c r="C258" s="0" t="s">
        <v>54</v>
      </c>
      <c r="D258" s="0" t="s">
        <v>58</v>
      </c>
      <c r="E258" s="0" t="str">
        <f aca="false">B258&amp;"|"&amp;C258&amp;"|"&amp;D258</f>
        <v>Thaba Tseka [#SNU] [jyhIrCoB31x]|01-04|Male</v>
      </c>
      <c r="F258" s="115" t="n">
        <f aca="false">_xlfn.IFNA(ROUND(INDEX(Spectrum!$N:$N,MATCH(RIGHT($B258,13)&amp;"|"&amp;$C258&amp;"|"&amp;$D258&amp;"|"&amp;F$14&amp;"|"&amp;"CY2021Q3",Spectrum!$Q:$Q,0)),0),"")</f>
        <v>5918</v>
      </c>
      <c r="G258" s="123" t="n">
        <f aca="false">_xlfn.IFNA(INDEX(Spectrum!$P:$P,MATCH(RIGHT($B258,13)&amp;"|"&amp;$C258&amp;"|"&amp;$D258&amp;"|"&amp;F$14&amp;"|"&amp;"CY2021Q3",Spectrum!$Q:$Q,0)),"")</f>
        <v>19</v>
      </c>
      <c r="H258" s="115" t="n">
        <f aca="false">_xlfn.IFNA(ROUND(INDEX(Spectrum!$N:$N,MATCH(RIGHT($B258,13)&amp;"|"&amp;$C258&amp;"|"&amp;$D258&amp;"|"&amp;H$14&amp;"|"&amp;"CY2021Q3",Spectrum!$Q:$Q,0)),0),"")</f>
        <v>39</v>
      </c>
      <c r="I258" s="123" t="n">
        <f aca="false">_xlfn.IFNA(INDEX(Spectrum!$P:$P,MATCH(RIGHT($B258,13)&amp;"|"&amp;$C258&amp;"|"&amp;$D258&amp;"|"&amp;H$14&amp;"|"&amp;"CY2021Q3",Spectrum!$Q:$Q,0)),"")</f>
        <v>12</v>
      </c>
      <c r="J258" s="117" t="n">
        <f aca="false">_xlfn.IFNA(INDEX(Spectrum!$N:$N,MATCH(RIGHT($B258,13)&amp;"|"&amp;$C258&amp;"|"&amp;$D258&amp;"|"&amp;J$14&amp;"|"&amp;"CY2021Q3",Spectrum!$Q:$Q,0)),"")</f>
        <v>0.0065668</v>
      </c>
      <c r="K258" s="123" t="n">
        <f aca="false">_xlfn.IFNA(INDEX(Spectrum!$P:$P,MATCH(RIGHT($B258,13)&amp;"|"&amp;$C258&amp;"|"&amp;$D258&amp;"|"&amp;J$14&amp;"|"&amp;"CY2021Q3",Spectrum!$Q:$Q,0)),"")</f>
        <v>44</v>
      </c>
      <c r="L258" s="115" t="n">
        <f aca="false">_xlfn.IFNA(ROUND(INDEX(Spectrum!$N:$N,MATCH(RIGHT($B258,13)&amp;"|"&amp;$C258&amp;"|"&amp;$D258&amp;"|"&amp;L$14&amp;"|"&amp;"CY2021Q3",Spectrum!$Q:$Q,0)),0),"")</f>
        <v>17</v>
      </c>
      <c r="M258" s="123" t="n">
        <f aca="false">IF(OR(SUM($H258)&lt;=0,SUM($L258)&lt;=0),"",SUM($L258)/$H258)</f>
        <v>0.435897435897436</v>
      </c>
      <c r="N258" s="115" t="str">
        <f aca="false">_xlfn.IFNA(ROUND(INDEX(Spectrum!$N:$N,MATCH(RIGHT($B258,13)&amp;"|"&amp;$C258&amp;"|"&amp;$D258&amp;"|"&amp;N$14&amp;"|"&amp;"CY2020Q4",Spectrum!$Q:$Q,0)),0),"")</f>
        <v/>
      </c>
      <c r="O258" s="123" t="str">
        <f aca="false">_xlfn.IFNA(INDEX(Spectrum!$P:$P,MATCH(RIGHT($B258,13)&amp;"|"&amp;$C258&amp;"|"&amp;$D258&amp;"|"&amp;N$14&amp;"|"&amp;"CY2020Q4",Spectrum!$Q:$Q,0)),"")</f>
        <v/>
      </c>
      <c r="P258" s="115" t="n">
        <f aca="false">_xlfn.IFNA(ROUND(INDEX(Spectrum!$N:$N,MATCH(RIGHT($B258,13)&amp;"|"&amp;$C258&amp;"|"&amp;$D258&amp;"|"&amp;P$14&amp;"|"&amp;"CY2021Q3",Spectrum!$Q:$Q,0)),0),"")</f>
        <v>20</v>
      </c>
      <c r="Q258" s="123" t="n">
        <f aca="false">_xlfn.IFNA(INDEX(Spectrum!$P:$P,MATCH(RIGHT($B258,13)&amp;"|"&amp;$C258&amp;"|"&amp;$D258&amp;"|"&amp;P$14&amp;"|"&amp;"CY2021Q3",Spectrum!$Q:$Q,0)),"")</f>
        <v>24</v>
      </c>
      <c r="R258" s="115"/>
      <c r="S258" s="123" t="str">
        <f aca="false">IF(OR(SUM($P258)&lt;=0,SUM($R258)&lt;=0),"",SUM($R258)/$P258)</f>
        <v/>
      </c>
      <c r="T258" s="139" t="n">
        <v>8</v>
      </c>
      <c r="U258" s="124" t="n">
        <v>8</v>
      </c>
      <c r="V258" s="124" t="str">
        <f aca="false">IF($U258-$T258=0,"",$U258-$T258)</f>
        <v/>
      </c>
      <c r="W258" s="123" t="n">
        <f aca="false">IF(LEFT($B258,4)="_Mil","",IFERROR(MIN(IF(SUM($N258)&lt;=0,SUM($U258)/SUM($P258),SUM($T258)/SUM($N258)),1),""))</f>
        <v>0.4</v>
      </c>
      <c r="X258" s="123" t="n">
        <f aca="false">$W258</f>
        <v>0.4</v>
      </c>
      <c r="Y258" s="123" t="n">
        <f aca="false">IFERROR(1/(1/INDEX(Spectrum!$N:$N,MATCH(RIGHT($B258,13)&amp;"|"&amp;$C258&amp;"|"&amp;$D258&amp;"|"&amp;Y$14&amp;"|"&amp;"CY2021Q3",Spectrum!$Q:$Q,0))),IF(SUM($H258)=0,"",MAX(SUM($P258),SUM($U258))/SUM($H258)))</f>
        <v>0.512820512820513</v>
      </c>
      <c r="Z258" s="123" t="n">
        <f aca="false">IF(SUM($Y258)=0,"",MAX(SUM($Y258),90%))</f>
        <v>0.9</v>
      </c>
      <c r="AA258" s="115" t="n">
        <f aca="false">IF(LEFT($B258,4)="_Mil","",ROUND(MAX(SUM($U258),SUM($P258))+IF(SUM($Z258)=0,0,MAX(SUM($Z258)-SUM($Y258),0)*SUM($H258)),0))</f>
        <v>35</v>
      </c>
      <c r="AB258" s="115" t="n">
        <f aca="false">IF(SUM($AA258)=0,"",ROUND(MAX(SUM($AA258)-MAX(SUM($P258),SUM($U258)),0),0))</f>
        <v>15</v>
      </c>
      <c r="AC258" s="126" t="str">
        <f aca="false">IF($C258="&lt;01",IFERROR(ROUND(INDEX(EID!$N:$N,MATCH($B258,EID!$B:$B,0))/2,0),""),"")</f>
        <v/>
      </c>
      <c r="AD258" s="115" t="n">
        <f aca="false">IF($C258="&lt;01",IF(SUM($AC258)=0,"",ROUND(SUM($AC258)/$AG258,0)),IF(SUM($AB258)=0,"",ROUND(MAX($X258,0)*SUM($AB258),0)))</f>
        <v>6</v>
      </c>
      <c r="AE258" s="115" t="n">
        <f aca="false">IF(AND(SUM($AD258)=0,SUM($U258)=0),"",ROUND(IF($C258="&lt;01",0,SUM($U258))+SUM($AD258),0))</f>
        <v>14</v>
      </c>
      <c r="AF258" s="122" t="n">
        <f aca="false">IF($C258="&lt;01","",100%)</f>
        <v>1</v>
      </c>
      <c r="AG258" s="123" t="n">
        <f aca="false">0.98</f>
        <v>0.98</v>
      </c>
      <c r="AH258" s="123" t="n">
        <f aca="false">0.98</f>
        <v>0.98</v>
      </c>
      <c r="AI258" s="124" t="n">
        <f aca="false">IF(OR($C258="&lt;01",SUM($U258)=0),"",ROUND(SUM($U258)*(1-$AH258),0))</f>
        <v>0</v>
      </c>
      <c r="AJ258" s="124" t="n">
        <f aca="false">IF(AND(SUM($AE258)=0,SUM($U258)=0),"",IF($C258="&lt;01",SUM($AD258),SUM($AE258) - ROUND(SUM($U258)*$AH258,0)))</f>
        <v>6</v>
      </c>
      <c r="AK258" s="124" t="n">
        <v>1</v>
      </c>
      <c r="AL258" s="124" t="n">
        <v>29</v>
      </c>
      <c r="AM258" s="115" t="n">
        <f aca="false">IF(AND(SUM($AD258)=0,SUM($U258)=0),"",IF($C258="&lt;01",SUM($AD258),ROUND(ROUND(SUM($AJ258)*$AF258,0)/$AG258,0)))</f>
        <v>6</v>
      </c>
      <c r="AN258" s="122" t="n">
        <f aca="false">0.7</f>
        <v>0.7</v>
      </c>
      <c r="AO258" s="123" t="n">
        <f aca="false">1</f>
        <v>1</v>
      </c>
      <c r="AP258" s="115" t="n">
        <f aca="false">IF(AND(SUM($U258)=0,SUM($AM258)=0),"",ROUND((SUM($AM258)*$AN258+IF($C258="&lt;01",0,$U258))*$AO258,0))</f>
        <v>12</v>
      </c>
      <c r="AQ258" s="122" t="n">
        <v>34</v>
      </c>
      <c r="AR258" s="123" t="n">
        <f aca="false">0.95</f>
        <v>0.95</v>
      </c>
      <c r="AS258" s="123" t="n">
        <f aca="false">0.95</f>
        <v>0.95</v>
      </c>
      <c r="AT258" s="115" t="n">
        <f aca="false">IF(SUM($AP258)=0,"",ROUND(SUM($AP258)*$AR258,0))</f>
        <v>11</v>
      </c>
      <c r="AU258" s="115" t="n">
        <f aca="false">IF(LEFT($B258,4)="_Mil","",ROUND(SUM($AA258)*SUM($AS258),0))</f>
        <v>33</v>
      </c>
      <c r="AV258" s="124" t="n">
        <f aca="false">IF(SUM($AU258)&lt;=0,"",MAX(SUM($AU258)-SUM($R258),0))</f>
        <v>33</v>
      </c>
      <c r="AW258" s="122" t="n">
        <f aca="false">0</f>
        <v>0</v>
      </c>
      <c r="AX258" s="124" t="n">
        <f aca="false">IF(SUM($AM258)=0,"",ROUND(SUM($AM258)*SUM($AW258),0))</f>
        <v>0</v>
      </c>
      <c r="AY258" s="124" t="n">
        <f aca="false">IF(SUM($AM258)=0,"",SUM($AM258)-SUM($AX258))</f>
        <v>6</v>
      </c>
      <c r="AZ258" s="123" t="n">
        <v>35</v>
      </c>
      <c r="BA258" s="123" t="n">
        <f aca="false">0.95</f>
        <v>0.95</v>
      </c>
      <c r="BB258" s="123"/>
      <c r="BC258" s="123" t="n">
        <f aca="false">IF(OR(SUM($AM258)&lt;=0,$C258="&lt;01"),"",MAX(IF(OR(SUM($Y258)&lt;70%,LEFT($B258,4)="_Mil"),30%,IF(SUM($Y258)&gt;=80%,75%,50%)),SUM($BB258)))</f>
        <v>0.3</v>
      </c>
      <c r="BD258" s="115" t="n">
        <f aca="false">IF($C258="&lt;01",IFERROR(ROUND(INDEX(EID!$M:$M,MATCH($B258,EID!$B:$B,0)),0)/2,""),IF(SUM($AY258)=0,"",ROUND(SUM($AY258)/SUM($BA258),0)))</f>
        <v>6</v>
      </c>
      <c r="BE258" s="115" t="n">
        <f aca="false">IF($C258="&lt;01","",IF(SUM($BD258)=0,"",ROUND(SUM($BD258)*SUM($BC258),0)))</f>
        <v>2</v>
      </c>
      <c r="BF258" s="115" t="str">
        <f aca="false">_xlfn.IFNA(INDEX(PMTCT!$AE:$AE,MATCH($E258,PMTCT!$E:$E,0)),"")</f>
        <v/>
      </c>
      <c r="BG258" s="115" t="str">
        <f aca="false">_xlfn.IFNA(INDEX(PMTCT!$AU:$AU,MATCH($E258,PMTCT!$E:$E,0)),"")</f>
        <v/>
      </c>
      <c r="BH258" s="115" t="n">
        <f aca="false">_xlfn.IFNA(INDEX(TB!$Q:$Q,MATCH($E258,TB!$E:$E,0)),"")</f>
        <v>0</v>
      </c>
      <c r="BI258" s="115" t="str">
        <f aca="false">_xlfn.IFNA(INDEX(VMMC!$AC:$AC,MATCH($E258,VMMC!$E:$E,0)),"")</f>
        <v/>
      </c>
      <c r="BJ258" s="115" t="str">
        <f aca="false">IF($C258="&lt;01",$BD258,"")</f>
        <v/>
      </c>
      <c r="BK258" s="115" t="n">
        <f aca="false">IF(SUM($BD258)=0,"",($BD258)-SUM($BE258:$BJ258))</f>
        <v>4</v>
      </c>
      <c r="BL258" s="123" t="n">
        <f aca="false">IF(OR(SUM($BD258)=0,SUM($BE258)=0),"",SUM($BE258)/$BD258)</f>
        <v>0.333333333333333</v>
      </c>
      <c r="BM258" s="123" t="str">
        <f aca="false">IF(OR(SUM($BD258)=0,SUM($BF258)=0),"",SUM($BF258)/$BD258)</f>
        <v/>
      </c>
      <c r="BN258" s="123" t="str">
        <f aca="false">IF(OR(SUM($BD258)=0,SUM($BG258)=0),"",SUM($BG258)/$BD258)</f>
        <v/>
      </c>
      <c r="BO258" s="123" t="str">
        <f aca="false">IF(OR(SUM($BD258)=0,SUM($BH258)=0),"",SUM($BH258)/$BD258)</f>
        <v/>
      </c>
      <c r="BP258" s="123" t="str">
        <f aca="false">IF(OR(SUM($BD258)=0,SUM($BI258)=0),"",SUM($BI258)/$BD258)</f>
        <v/>
      </c>
      <c r="BQ258" s="123" t="str">
        <f aca="false">IF(AND($C258="&lt;01",SUM($BJ258)&lt;&gt;0),$BJ258/SUM($BD258),"")</f>
        <v/>
      </c>
      <c r="BR258" s="123" t="n">
        <f aca="false">IF(OR(SUM($BD258)=0,SUM($BK258)=0),"",SUM($BK258)/$BD258)</f>
        <v>0.666666666666667</v>
      </c>
      <c r="BS258" s="122" t="n">
        <f aca="false">IF(SUM($X258)&lt;=0,"",$X258)</f>
        <v>0.4</v>
      </c>
      <c r="BT258" s="115" t="n">
        <f aca="false">IF(LEFT($B258,4)="_Mil","",MAX(SUM($L258)+ROUND(SUM($BD258)/IF(SUM($BS258)&lt;=0,1,SUM($BS258)),0),0))</f>
        <v>32</v>
      </c>
    </row>
    <row r="259" customFormat="false" ht="15" hidden="false" customHeight="false" outlineLevel="0" collapsed="false">
      <c r="A259" s="0" t="s">
        <v>151</v>
      </c>
      <c r="B259" s="0" t="s">
        <v>101</v>
      </c>
      <c r="C259" s="0" t="s">
        <v>83</v>
      </c>
      <c r="D259" s="0" t="s">
        <v>56</v>
      </c>
      <c r="E259" s="0" t="str">
        <f aca="false">B259&amp;"|"&amp;C259&amp;"|"&amp;D259</f>
        <v>Thaba Tseka [#SNU] [jyhIrCoB31x]|05-09|Female</v>
      </c>
      <c r="F259" s="115" t="n">
        <f aca="false">_xlfn.IFNA(ROUND(INDEX(Spectrum!$N:$N,MATCH(RIGHT($B259,13)&amp;"|"&amp;$C259&amp;"|"&amp;$D259&amp;"|"&amp;F$14&amp;"|"&amp;"CY2021Q3",Spectrum!$Q:$Q,0)),0),"")</f>
        <v>9085</v>
      </c>
      <c r="G259" s="123" t="n">
        <f aca="false">_xlfn.IFNA(INDEX(Spectrum!$P:$P,MATCH(RIGHT($B259,13)&amp;"|"&amp;$C259&amp;"|"&amp;$D259&amp;"|"&amp;F$14&amp;"|"&amp;"CY2021Q3",Spectrum!$Q:$Q,0)),"")</f>
        <v>13</v>
      </c>
      <c r="H259" s="115" t="n">
        <f aca="false">_xlfn.IFNA(ROUND(INDEX(Spectrum!$N:$N,MATCH(RIGHT($B259,13)&amp;"|"&amp;$C259&amp;"|"&amp;$D259&amp;"|"&amp;H$14&amp;"|"&amp;"CY2021Q3",Spectrum!$Q:$Q,0)),0),"")</f>
        <v>122</v>
      </c>
      <c r="I259" s="123" t="n">
        <f aca="false">_xlfn.IFNA(INDEX(Spectrum!$P:$P,MATCH(RIGHT($B259,13)&amp;"|"&amp;$C259&amp;"|"&amp;$D259&amp;"|"&amp;H$14&amp;"|"&amp;"CY2021Q3",Spectrum!$Q:$Q,0)),"")</f>
        <v>15</v>
      </c>
      <c r="J259" s="117" t="n">
        <f aca="false">_xlfn.IFNA(INDEX(Spectrum!$N:$N,MATCH(RIGHT($B259,13)&amp;"|"&amp;$C259&amp;"|"&amp;$D259&amp;"|"&amp;J$14&amp;"|"&amp;"CY2021Q3",Spectrum!$Q:$Q,0)),"")</f>
        <v>0.013411</v>
      </c>
      <c r="K259" s="123" t="n">
        <f aca="false">_xlfn.IFNA(INDEX(Spectrum!$P:$P,MATCH(RIGHT($B259,13)&amp;"|"&amp;$C259&amp;"|"&amp;$D259&amp;"|"&amp;J$14&amp;"|"&amp;"CY2021Q3",Spectrum!$Q:$Q,0)),"")</f>
        <v>8</v>
      </c>
      <c r="L259" s="115" t="n">
        <f aca="false">_xlfn.IFNA(ROUND(INDEX(Spectrum!$N:$N,MATCH(RIGHT($B259,13)&amp;"|"&amp;$C259&amp;"|"&amp;$D259&amp;"|"&amp;L$14&amp;"|"&amp;"CY2021Q3",Spectrum!$Q:$Q,0)),0),"")</f>
        <v>72</v>
      </c>
      <c r="M259" s="123" t="n">
        <f aca="false">IF(OR(SUM($H259)&lt;=0,SUM($L259)&lt;=0),"",SUM($L259)/$H259)</f>
        <v>0.590163934426229</v>
      </c>
      <c r="N259" s="115" t="str">
        <f aca="false">_xlfn.IFNA(ROUND(INDEX(Spectrum!$N:$N,MATCH(RIGHT($B259,13)&amp;"|"&amp;$C259&amp;"|"&amp;$D259&amp;"|"&amp;N$14&amp;"|"&amp;"CY2020Q4",Spectrum!$Q:$Q,0)),0),"")</f>
        <v/>
      </c>
      <c r="O259" s="123" t="str">
        <f aca="false">_xlfn.IFNA(INDEX(Spectrum!$P:$P,MATCH(RIGHT($B259,13)&amp;"|"&amp;$C259&amp;"|"&amp;$D259&amp;"|"&amp;N$14&amp;"|"&amp;"CY2020Q4",Spectrum!$Q:$Q,0)),"")</f>
        <v/>
      </c>
      <c r="P259" s="115" t="n">
        <f aca="false">_xlfn.IFNA(ROUND(INDEX(Spectrum!$N:$N,MATCH(RIGHT($B259,13)&amp;"|"&amp;$C259&amp;"|"&amp;$D259&amp;"|"&amp;P$14&amp;"|"&amp;"CY2021Q3",Spectrum!$Q:$Q,0)),0),"")</f>
        <v>77</v>
      </c>
      <c r="Q259" s="123" t="n">
        <f aca="false">_xlfn.IFNA(INDEX(Spectrum!$P:$P,MATCH(RIGHT($B259,13)&amp;"|"&amp;$C259&amp;"|"&amp;$D259&amp;"|"&amp;P$14&amp;"|"&amp;"CY2021Q3",Spectrum!$Q:$Q,0)),"")</f>
        <v>15</v>
      </c>
      <c r="R259" s="115"/>
      <c r="S259" s="123" t="str">
        <f aca="false">IF(OR(SUM($P259)&lt;=0,SUM($R259)&lt;=0),"",SUM($R259)/$P259)</f>
        <v/>
      </c>
      <c r="T259" s="139" t="n">
        <v>39</v>
      </c>
      <c r="U259" s="124" t="n">
        <v>34</v>
      </c>
      <c r="V259" s="124" t="n">
        <f aca="false">IF($U259-$T259=0,"",$U259-$T259)</f>
        <v>-5</v>
      </c>
      <c r="W259" s="123" t="n">
        <f aca="false">IF(LEFT($B259,4)="_Mil","",IFERROR(MIN(IF(SUM($N259)&lt;=0,SUM($U259)/SUM($P259),SUM($T259)/SUM($N259)),1),""))</f>
        <v>0.441558441558442</v>
      </c>
      <c r="X259" s="123" t="n">
        <f aca="false">$W259</f>
        <v>0.441558441558442</v>
      </c>
      <c r="Y259" s="123" t="n">
        <f aca="false">IFERROR(1/(1/INDEX(Spectrum!$N:$N,MATCH(RIGHT($B259,13)&amp;"|"&amp;$C259&amp;"|"&amp;$D259&amp;"|"&amp;Y$14&amp;"|"&amp;"CY2021Q3",Spectrum!$Q:$Q,0))),IF(SUM($H259)=0,"",MAX(SUM($P259),SUM($U259))/SUM($H259)))</f>
        <v>0.631147540983607</v>
      </c>
      <c r="Z259" s="123" t="n">
        <f aca="false">IF(SUM($Y259)=0,"",MAX(SUM($Y259),90%))</f>
        <v>0.9</v>
      </c>
      <c r="AA259" s="115" t="n">
        <f aca="false">IF(LEFT($B259,4)="_Mil","",ROUND(MAX(SUM($U259),SUM($P259))+IF(SUM($Z259)=0,0,MAX(SUM($Z259)-SUM($Y259),0)*SUM($H259)),0))</f>
        <v>110</v>
      </c>
      <c r="AB259" s="115" t="n">
        <f aca="false">IF(SUM($AA259)=0,"",ROUND(MAX(SUM($AA259)-MAX(SUM($P259),SUM($U259)),0),0))</f>
        <v>33</v>
      </c>
      <c r="AC259" s="126" t="str">
        <f aca="false">IF($C259="&lt;01",IFERROR(ROUND(INDEX(EID!$N:$N,MATCH($B259,EID!$B:$B,0))/2,0),""),"")</f>
        <v/>
      </c>
      <c r="AD259" s="115" t="n">
        <f aca="false">IF($C259="&lt;01",IF(SUM($AC259)=0,"",ROUND(SUM($AC259)/$AG259,0)),IF(SUM($AB259)=0,"",ROUND(MAX($X259,0)*SUM($AB259),0)))</f>
        <v>15</v>
      </c>
      <c r="AE259" s="115" t="n">
        <f aca="false">IF(AND(SUM($AD259)=0,SUM($U259)=0),"",ROUND(IF($C259="&lt;01",0,SUM($U259))+SUM($AD259),0))</f>
        <v>49</v>
      </c>
      <c r="AF259" s="122" t="n">
        <f aca="false">IF($C259="&lt;01","",100%)</f>
        <v>1</v>
      </c>
      <c r="AG259" s="123" t="n">
        <f aca="false">0.98</f>
        <v>0.98</v>
      </c>
      <c r="AH259" s="123" t="n">
        <f aca="false">0.98</f>
        <v>0.98</v>
      </c>
      <c r="AI259" s="124" t="n">
        <f aca="false">IF(OR($C259="&lt;01",SUM($U259)=0),"",ROUND(SUM($U259)*(1-$AH259),0))</f>
        <v>1</v>
      </c>
      <c r="AJ259" s="124" t="n">
        <f aca="false">IF(AND(SUM($AE259)=0,SUM($U259)=0),"",IF($C259="&lt;01",SUM($AD259),SUM($AE259) - ROUND(SUM($U259)*$AH259,0)))</f>
        <v>16</v>
      </c>
      <c r="AK259" s="124" t="n">
        <v>49</v>
      </c>
      <c r="AL259" s="124" t="n">
        <v>20</v>
      </c>
      <c r="AM259" s="115" t="n">
        <f aca="false">IF(AND(SUM($AD259)=0,SUM($U259)=0),"",IF($C259="&lt;01",SUM($AD259),ROUND(ROUND(SUM($AJ259)*$AF259,0)/$AG259,0)))</f>
        <v>16</v>
      </c>
      <c r="AN259" s="122" t="n">
        <f aca="false">0.7</f>
        <v>0.7</v>
      </c>
      <c r="AO259" s="123" t="n">
        <f aca="false">1</f>
        <v>1</v>
      </c>
      <c r="AP259" s="115" t="n">
        <f aca="false">IF(AND(SUM($U259)=0,SUM($AM259)=0),"",ROUND((SUM($AM259)*$AN259+IF($C259="&lt;01",0,$U259))*$AO259,0))</f>
        <v>45</v>
      </c>
      <c r="AQ259" s="122" t="n">
        <v>37</v>
      </c>
      <c r="AR259" s="123" t="n">
        <f aca="false">0.95</f>
        <v>0.95</v>
      </c>
      <c r="AS259" s="123" t="n">
        <f aca="false">0.95</f>
        <v>0.95</v>
      </c>
      <c r="AT259" s="115" t="n">
        <f aca="false">IF(SUM($AP259)=0,"",ROUND(SUM($AP259)*$AR259,0))</f>
        <v>43</v>
      </c>
      <c r="AU259" s="115" t="n">
        <f aca="false">IF(LEFT($B259,4)="_Mil","",ROUND(SUM($AA259)*SUM($AS259),0))</f>
        <v>105</v>
      </c>
      <c r="AV259" s="124" t="n">
        <f aca="false">IF(SUM($AU259)&lt;=0,"",MAX(SUM($AU259)-SUM($R259),0))</f>
        <v>105</v>
      </c>
      <c r="AW259" s="122" t="n">
        <f aca="false">0</f>
        <v>0</v>
      </c>
      <c r="AX259" s="124" t="n">
        <f aca="false">IF(SUM($AM259)=0,"",ROUND(SUM($AM259)*SUM($AW259),0))</f>
        <v>0</v>
      </c>
      <c r="AY259" s="124" t="n">
        <f aca="false">IF(SUM($AM259)=0,"",SUM($AM259)-SUM($AX259))</f>
        <v>16</v>
      </c>
      <c r="AZ259" s="123" t="n">
        <v>18</v>
      </c>
      <c r="BA259" s="123" t="n">
        <f aca="false">0.95</f>
        <v>0.95</v>
      </c>
      <c r="BB259" s="123"/>
      <c r="BC259" s="123" t="n">
        <f aca="false">IF(OR(SUM($AM259)&lt;=0,$C259="&lt;01"),"",MAX(IF(OR(SUM($Y259)&lt;70%,LEFT($B259,4)="_Mil"),30%,IF(SUM($Y259)&gt;=80%,75%,50%)),SUM($BB259)))</f>
        <v>0.3</v>
      </c>
      <c r="BD259" s="115" t="n">
        <f aca="false">IF($C259="&lt;01",IFERROR(ROUND(INDEX(EID!$M:$M,MATCH($B259,EID!$B:$B,0)),0)/2,""),IF(SUM($AY259)=0,"",ROUND(SUM($AY259)/SUM($BA259),0)))</f>
        <v>17</v>
      </c>
      <c r="BE259" s="115" t="n">
        <f aca="false">IF($C259="&lt;01","",IF(SUM($BD259)=0,"",ROUND(SUM($BD259)*SUM($BC259),0)))</f>
        <v>5</v>
      </c>
      <c r="BF259" s="115" t="str">
        <f aca="false">_xlfn.IFNA(INDEX(PMTCT!$AE:$AE,MATCH($E259,PMTCT!$E:$E,0)),"")</f>
        <v/>
      </c>
      <c r="BG259" s="115" t="str">
        <f aca="false">_xlfn.IFNA(INDEX(PMTCT!$AU:$AU,MATCH($E259,PMTCT!$E:$E,0)),"")</f>
        <v/>
      </c>
      <c r="BH259" s="115" t="n">
        <f aca="false">_xlfn.IFNA(INDEX(TB!$Q:$Q,MATCH($E259,TB!$E:$E,0)),"")</f>
        <v>0</v>
      </c>
      <c r="BI259" s="115" t="str">
        <f aca="false">_xlfn.IFNA(INDEX(VMMC!$AC:$AC,MATCH($E259,VMMC!$E:$E,0)),"")</f>
        <v/>
      </c>
      <c r="BJ259" s="115" t="str">
        <f aca="false">IF($C259="&lt;01",$BD259,"")</f>
        <v/>
      </c>
      <c r="BK259" s="115" t="n">
        <f aca="false">IF(SUM($BD259)=0,"",($BD259)-SUM($BE259:$BJ259))</f>
        <v>12</v>
      </c>
      <c r="BL259" s="123" t="n">
        <f aca="false">IF(OR(SUM($BD259)=0,SUM($BE259)=0),"",SUM($BE259)/$BD259)</f>
        <v>0.294117647058823</v>
      </c>
      <c r="BM259" s="123" t="str">
        <f aca="false">IF(OR(SUM($BD259)=0,SUM($BF259)=0),"",SUM($BF259)/$BD259)</f>
        <v/>
      </c>
      <c r="BN259" s="123" t="str">
        <f aca="false">IF(OR(SUM($BD259)=0,SUM($BG259)=0),"",SUM($BG259)/$BD259)</f>
        <v/>
      </c>
      <c r="BO259" s="123" t="str">
        <f aca="false">IF(OR(SUM($BD259)=0,SUM($BH259)=0),"",SUM($BH259)/$BD259)</f>
        <v/>
      </c>
      <c r="BP259" s="123" t="str">
        <f aca="false">IF(OR(SUM($BD259)=0,SUM($BI259)=0),"",SUM($BI259)/$BD259)</f>
        <v/>
      </c>
      <c r="BQ259" s="123" t="str">
        <f aca="false">IF(AND($C259="&lt;01",SUM($BJ259)&lt;&gt;0),$BJ259/SUM($BD259),"")</f>
        <v/>
      </c>
      <c r="BR259" s="123" t="n">
        <f aca="false">IF(OR(SUM($BD259)=0,SUM($BK259)=0),"",SUM($BK259)/$BD259)</f>
        <v>0.705882352941176</v>
      </c>
      <c r="BS259" s="122" t="n">
        <f aca="false">IF(SUM($X259)&lt;=0,"",$X259)</f>
        <v>0.441558441558442</v>
      </c>
      <c r="BT259" s="115" t="n">
        <f aca="false">IF(LEFT($B259,4)="_Mil","",MAX(SUM($L259)+ROUND(SUM($BD259)/IF(SUM($BS259)&lt;=0,1,SUM($BS259)),0),0))</f>
        <v>111</v>
      </c>
    </row>
    <row r="260" customFormat="false" ht="15" hidden="false" customHeight="false" outlineLevel="0" collapsed="false">
      <c r="A260" s="0" t="s">
        <v>151</v>
      </c>
      <c r="B260" s="0" t="s">
        <v>101</v>
      </c>
      <c r="C260" s="0" t="s">
        <v>83</v>
      </c>
      <c r="D260" s="0" t="s">
        <v>58</v>
      </c>
      <c r="E260" s="0" t="str">
        <f aca="false">B260&amp;"|"&amp;C260&amp;"|"&amp;D260</f>
        <v>Thaba Tseka [#SNU] [jyhIrCoB31x]|05-09|Male</v>
      </c>
      <c r="F260" s="115" t="n">
        <f aca="false">_xlfn.IFNA(ROUND(INDEX(Spectrum!$N:$N,MATCH(RIGHT($B260,13)&amp;"|"&amp;$C260&amp;"|"&amp;$D260&amp;"|"&amp;F$14&amp;"|"&amp;"CY2021Q3",Spectrum!$Q:$Q,0)),0),"")</f>
        <v>8759</v>
      </c>
      <c r="G260" s="123" t="n">
        <f aca="false">_xlfn.IFNA(INDEX(Spectrum!$P:$P,MATCH(RIGHT($B260,13)&amp;"|"&amp;$C260&amp;"|"&amp;$D260&amp;"|"&amp;F$14&amp;"|"&amp;"CY2021Q3",Spectrum!$Q:$Q,0)),"")</f>
        <v>5</v>
      </c>
      <c r="H260" s="115" t="n">
        <f aca="false">_xlfn.IFNA(ROUND(INDEX(Spectrum!$N:$N,MATCH(RIGHT($B260,13)&amp;"|"&amp;$C260&amp;"|"&amp;$D260&amp;"|"&amp;H$14&amp;"|"&amp;"CY2021Q3",Spectrum!$Q:$Q,0)),0),"")</f>
        <v>116</v>
      </c>
      <c r="I260" s="123" t="n">
        <f aca="false">_xlfn.IFNA(INDEX(Spectrum!$P:$P,MATCH(RIGHT($B260,13)&amp;"|"&amp;$C260&amp;"|"&amp;$D260&amp;"|"&amp;H$14&amp;"|"&amp;"CY2021Q3",Spectrum!$Q:$Q,0)),"")</f>
        <v>47</v>
      </c>
      <c r="J260" s="117" t="n">
        <f aca="false">_xlfn.IFNA(INDEX(Spectrum!$N:$N,MATCH(RIGHT($B260,13)&amp;"|"&amp;$C260&amp;"|"&amp;$D260&amp;"|"&amp;J$14&amp;"|"&amp;"CY2021Q3",Spectrum!$Q:$Q,0)),"")</f>
        <v>0.0132263</v>
      </c>
      <c r="K260" s="123" t="n">
        <f aca="false">_xlfn.IFNA(INDEX(Spectrum!$P:$P,MATCH(RIGHT($B260,13)&amp;"|"&amp;$C260&amp;"|"&amp;$D260&amp;"|"&amp;J$14&amp;"|"&amp;"CY2021Q3",Spectrum!$Q:$Q,0)),"")</f>
        <v>49</v>
      </c>
      <c r="L260" s="115" t="n">
        <f aca="false">_xlfn.IFNA(ROUND(INDEX(Spectrum!$N:$N,MATCH(RIGHT($B260,13)&amp;"|"&amp;$C260&amp;"|"&amp;$D260&amp;"|"&amp;L$14&amp;"|"&amp;"CY2021Q3",Spectrum!$Q:$Q,0)),0),"")</f>
        <v>72</v>
      </c>
      <c r="M260" s="123" t="n">
        <f aca="false">IF(OR(SUM($H260)&lt;=0,SUM($L260)&lt;=0),"",SUM($L260)/$H260)</f>
        <v>0.620689655172414</v>
      </c>
      <c r="N260" s="115" t="str">
        <f aca="false">_xlfn.IFNA(ROUND(INDEX(Spectrum!$N:$N,MATCH(RIGHT($B260,13)&amp;"|"&amp;$C260&amp;"|"&amp;$D260&amp;"|"&amp;N$14&amp;"|"&amp;"CY2020Q4",Spectrum!$Q:$Q,0)),0),"")</f>
        <v/>
      </c>
      <c r="O260" s="123" t="str">
        <f aca="false">_xlfn.IFNA(INDEX(Spectrum!$P:$P,MATCH(RIGHT($B260,13)&amp;"|"&amp;$C260&amp;"|"&amp;$D260&amp;"|"&amp;N$14&amp;"|"&amp;"CY2020Q4",Spectrum!$Q:$Q,0)),"")</f>
        <v/>
      </c>
      <c r="P260" s="115" t="n">
        <f aca="false">_xlfn.IFNA(ROUND(INDEX(Spectrum!$N:$N,MATCH(RIGHT($B260,13)&amp;"|"&amp;$C260&amp;"|"&amp;$D260&amp;"|"&amp;P$14&amp;"|"&amp;"CY2021Q3",Spectrum!$Q:$Q,0)),0),"")</f>
        <v>77</v>
      </c>
      <c r="Q260" s="123" t="n">
        <f aca="false">_xlfn.IFNA(INDEX(Spectrum!$P:$P,MATCH(RIGHT($B260,13)&amp;"|"&amp;$C260&amp;"|"&amp;$D260&amp;"|"&amp;P$14&amp;"|"&amp;"CY2021Q3",Spectrum!$Q:$Q,0)),"")</f>
        <v>18</v>
      </c>
      <c r="R260" s="115"/>
      <c r="S260" s="123" t="str">
        <f aca="false">IF(OR(SUM($P260)&lt;=0,SUM($R260)&lt;=0),"",SUM($R260)/$P260)</f>
        <v/>
      </c>
      <c r="T260" s="139" t="n">
        <v>40</v>
      </c>
      <c r="U260" s="124" t="n">
        <v>3</v>
      </c>
      <c r="V260" s="124" t="n">
        <f aca="false">IF($U260-$T260=0,"",$U260-$T260)</f>
        <v>-37</v>
      </c>
      <c r="W260" s="123" t="n">
        <f aca="false">IF(LEFT($B260,4)="_Mil","",IFERROR(MIN(IF(SUM($N260)&lt;=0,SUM($U260)/SUM($P260),SUM($T260)/SUM($N260)),1),""))</f>
        <v>0.038961038961039</v>
      </c>
      <c r="X260" s="123" t="n">
        <f aca="false">$W260</f>
        <v>0.038961038961039</v>
      </c>
      <c r="Y260" s="123" t="n">
        <f aca="false">IFERROR(1/(1/INDEX(Spectrum!$N:$N,MATCH(RIGHT($B260,13)&amp;"|"&amp;$C260&amp;"|"&amp;$D260&amp;"|"&amp;Y$14&amp;"|"&amp;"CY2021Q3",Spectrum!$Q:$Q,0))),IF(SUM($H260)=0,"",MAX(SUM($P260),SUM($U260))/SUM($H260)))</f>
        <v>0.663793103448276</v>
      </c>
      <c r="Z260" s="123" t="n">
        <f aca="false">IF(SUM($Y260)=0,"",MAX(SUM($Y260),90%))</f>
        <v>0.9</v>
      </c>
      <c r="AA260" s="115" t="n">
        <f aca="false">IF(LEFT($B260,4)="_Mil","",ROUND(MAX(SUM($U260),SUM($P260))+IF(SUM($Z260)=0,0,MAX(SUM($Z260)-SUM($Y260),0)*SUM($H260)),0))</f>
        <v>104</v>
      </c>
      <c r="AB260" s="115" t="n">
        <f aca="false">IF(SUM($AA260)=0,"",ROUND(MAX(SUM($AA260)-MAX(SUM($P260),SUM($U260)),0),0))</f>
        <v>27</v>
      </c>
      <c r="AC260" s="126" t="str">
        <f aca="false">IF($C260="&lt;01",IFERROR(ROUND(INDEX(EID!$N:$N,MATCH($B260,EID!$B:$B,0))/2,0),""),"")</f>
        <v/>
      </c>
      <c r="AD260" s="115" t="n">
        <f aca="false">IF($C260="&lt;01",IF(SUM($AC260)=0,"",ROUND(SUM($AC260)/$AG260,0)),IF(SUM($AB260)=0,"",ROUND(MAX($X260,0)*SUM($AB260),0)))</f>
        <v>1</v>
      </c>
      <c r="AE260" s="115" t="n">
        <f aca="false">IF(AND(SUM($AD260)=0,SUM($U260)=0),"",ROUND(IF($C260="&lt;01",0,SUM($U260))+SUM($AD260),0))</f>
        <v>4</v>
      </c>
      <c r="AF260" s="122" t="n">
        <f aca="false">IF($C260="&lt;01","",100%)</f>
        <v>1</v>
      </c>
      <c r="AG260" s="123" t="n">
        <f aca="false">0.98</f>
        <v>0.98</v>
      </c>
      <c r="AH260" s="123" t="n">
        <f aca="false">0.98</f>
        <v>0.98</v>
      </c>
      <c r="AI260" s="124" t="n">
        <f aca="false">IF(OR($C260="&lt;01",SUM($U260)=0),"",ROUND(SUM($U260)*(1-$AH260),0))</f>
        <v>0</v>
      </c>
      <c r="AJ260" s="124" t="n">
        <f aca="false">IF(AND(SUM($AE260)=0,SUM($U260)=0),"",IF($C260="&lt;01",SUM($AD260),SUM($AE260) - ROUND(SUM($U260)*$AH260,0)))</f>
        <v>1</v>
      </c>
      <c r="AK260" s="124" t="n">
        <v>3</v>
      </c>
      <c r="AL260" s="124" t="n">
        <v>21</v>
      </c>
      <c r="AM260" s="115" t="n">
        <f aca="false">IF(AND(SUM($AD260)=0,SUM($U260)=0),"",IF($C260="&lt;01",SUM($AD260),ROUND(ROUND(SUM($AJ260)*$AF260,0)/$AG260,0)))</f>
        <v>1</v>
      </c>
      <c r="AN260" s="122" t="n">
        <f aca="false">0.7</f>
        <v>0.7</v>
      </c>
      <c r="AO260" s="123" t="n">
        <f aca="false">1</f>
        <v>1</v>
      </c>
      <c r="AP260" s="115" t="n">
        <f aca="false">IF(AND(SUM($U260)=0,SUM($AM260)=0),"",ROUND((SUM($AM260)*$AN260+IF($C260="&lt;01",0,$U260))*$AO260,0))</f>
        <v>4</v>
      </c>
      <c r="AQ260" s="122" t="n">
        <v>12</v>
      </c>
      <c r="AR260" s="123" t="n">
        <f aca="false">0.95</f>
        <v>0.95</v>
      </c>
      <c r="AS260" s="123" t="n">
        <f aca="false">0.95</f>
        <v>0.95</v>
      </c>
      <c r="AT260" s="115" t="n">
        <f aca="false">IF(SUM($AP260)=0,"",ROUND(SUM($AP260)*$AR260,0))</f>
        <v>4</v>
      </c>
      <c r="AU260" s="115" t="n">
        <f aca="false">IF(LEFT($B260,4)="_Mil","",ROUND(SUM($AA260)*SUM($AS260),0))</f>
        <v>99</v>
      </c>
      <c r="AV260" s="124" t="n">
        <f aca="false">IF(SUM($AU260)&lt;=0,"",MAX(SUM($AU260)-SUM($R260),0))</f>
        <v>99</v>
      </c>
      <c r="AW260" s="122" t="n">
        <f aca="false">0</f>
        <v>0</v>
      </c>
      <c r="AX260" s="124" t="n">
        <f aca="false">IF(SUM($AM260)=0,"",ROUND(SUM($AM260)*SUM($AW260),0))</f>
        <v>0</v>
      </c>
      <c r="AY260" s="124" t="n">
        <f aca="false">IF(SUM($AM260)=0,"",SUM($AM260)-SUM($AX260))</f>
        <v>1</v>
      </c>
      <c r="AZ260" s="123" t="n">
        <v>7</v>
      </c>
      <c r="BA260" s="123" t="n">
        <f aca="false">0.95</f>
        <v>0.95</v>
      </c>
      <c r="BB260" s="123"/>
      <c r="BC260" s="123" t="n">
        <f aca="false">IF(OR(SUM($AM260)&lt;=0,$C260="&lt;01"),"",MAX(IF(OR(SUM($Y260)&lt;70%,LEFT($B260,4)="_Mil"),30%,IF(SUM($Y260)&gt;=80%,75%,50%)),SUM($BB260)))</f>
        <v>0.3</v>
      </c>
      <c r="BD260" s="115" t="n">
        <f aca="false">IF($C260="&lt;01",IFERROR(ROUND(INDEX(EID!$M:$M,MATCH($B260,EID!$B:$B,0)),0)/2,""),IF(SUM($AY260)=0,"",ROUND(SUM($AY260)/SUM($BA260),0)))</f>
        <v>1</v>
      </c>
      <c r="BE260" s="115" t="n">
        <f aca="false">IF($C260="&lt;01","",IF(SUM($BD260)=0,"",ROUND(SUM($BD260)*SUM($BC260),0)))</f>
        <v>0</v>
      </c>
      <c r="BF260" s="115" t="str">
        <f aca="false">_xlfn.IFNA(INDEX(PMTCT!$AE:$AE,MATCH($E260,PMTCT!$E:$E,0)),"")</f>
        <v/>
      </c>
      <c r="BG260" s="115" t="str">
        <f aca="false">_xlfn.IFNA(INDEX(PMTCT!$AU:$AU,MATCH($E260,PMTCT!$E:$E,0)),"")</f>
        <v/>
      </c>
      <c r="BH260" s="115" t="n">
        <f aca="false">_xlfn.IFNA(INDEX(TB!$Q:$Q,MATCH($E260,TB!$E:$E,0)),"")</f>
        <v>0</v>
      </c>
      <c r="BI260" s="115" t="str">
        <f aca="false">_xlfn.IFNA(INDEX(VMMC!$AC:$AC,MATCH($E260,VMMC!$E:$E,0)),"")</f>
        <v/>
      </c>
      <c r="BJ260" s="115" t="str">
        <f aca="false">IF($C260="&lt;01",$BD260,"")</f>
        <v/>
      </c>
      <c r="BK260" s="115" t="n">
        <f aca="false">IF(SUM($BD260)=0,"",($BD260)-SUM($BE260:$BJ260))</f>
        <v>1</v>
      </c>
      <c r="BL260" s="123" t="str">
        <f aca="false">IF(OR(SUM($BD260)=0,SUM($BE260)=0),"",SUM($BE260)/$BD260)</f>
        <v/>
      </c>
      <c r="BM260" s="123" t="str">
        <f aca="false">IF(OR(SUM($BD260)=0,SUM($BF260)=0),"",SUM($BF260)/$BD260)</f>
        <v/>
      </c>
      <c r="BN260" s="123" t="str">
        <f aca="false">IF(OR(SUM($BD260)=0,SUM($BG260)=0),"",SUM($BG260)/$BD260)</f>
        <v/>
      </c>
      <c r="BO260" s="123" t="str">
        <f aca="false">IF(OR(SUM($BD260)=0,SUM($BH260)=0),"",SUM($BH260)/$BD260)</f>
        <v/>
      </c>
      <c r="BP260" s="123" t="str">
        <f aca="false">IF(OR(SUM($BD260)=0,SUM($BI260)=0),"",SUM($BI260)/$BD260)</f>
        <v/>
      </c>
      <c r="BQ260" s="123" t="str">
        <f aca="false">IF(AND($C260="&lt;01",SUM($BJ260)&lt;&gt;0),$BJ260/SUM($BD260),"")</f>
        <v/>
      </c>
      <c r="BR260" s="123" t="n">
        <f aca="false">IF(OR(SUM($BD260)=0,SUM($BK260)=0),"",SUM($BK260)/$BD260)</f>
        <v>1</v>
      </c>
      <c r="BS260" s="122" t="n">
        <f aca="false">IF(SUM($X260)&lt;=0,"",$X260)</f>
        <v>0.038961038961039</v>
      </c>
      <c r="BT260" s="115" t="n">
        <f aca="false">IF(LEFT($B260,4)="_Mil","",MAX(SUM($L260)+ROUND(SUM($BD260)/IF(SUM($BS260)&lt;=0,1,SUM($BS260)),0),0))</f>
        <v>98</v>
      </c>
    </row>
    <row r="261" customFormat="false" ht="15" hidden="false" customHeight="false" outlineLevel="0" collapsed="false">
      <c r="A261" s="0" t="s">
        <v>151</v>
      </c>
      <c r="B261" s="0" t="s">
        <v>101</v>
      </c>
      <c r="C261" s="0" t="s">
        <v>61</v>
      </c>
      <c r="D261" s="0" t="s">
        <v>56</v>
      </c>
      <c r="E261" s="0" t="str">
        <f aca="false">B261&amp;"|"&amp;C261&amp;"|"&amp;D261</f>
        <v>Thaba Tseka [#SNU] [jyhIrCoB31x]|10-14|Female</v>
      </c>
      <c r="F261" s="115" t="n">
        <f aca="false">_xlfn.IFNA(ROUND(INDEX(Spectrum!$N:$N,MATCH(RIGHT($B261,13)&amp;"|"&amp;$C261&amp;"|"&amp;$D261&amp;"|"&amp;F$14&amp;"|"&amp;"CY2021Q3",Spectrum!$Q:$Q,0)),0),"")</f>
        <v>8337</v>
      </c>
      <c r="G261" s="123" t="n">
        <f aca="false">_xlfn.IFNA(INDEX(Spectrum!$P:$P,MATCH(RIGHT($B261,13)&amp;"|"&amp;$C261&amp;"|"&amp;$D261&amp;"|"&amp;F$14&amp;"|"&amp;"CY2021Q3",Spectrum!$Q:$Q,0)),"")</f>
        <v>19</v>
      </c>
      <c r="H261" s="115" t="n">
        <f aca="false">_xlfn.IFNA(ROUND(INDEX(Spectrum!$N:$N,MATCH(RIGHT($B261,13)&amp;"|"&amp;$C261&amp;"|"&amp;$D261&amp;"|"&amp;H$14&amp;"|"&amp;"CY2021Q3",Spectrum!$Q:$Q,0)),0),"")</f>
        <v>196</v>
      </c>
      <c r="I261" s="123" t="n">
        <f aca="false">_xlfn.IFNA(INDEX(Spectrum!$P:$P,MATCH(RIGHT($B261,13)&amp;"|"&amp;$C261&amp;"|"&amp;$D261&amp;"|"&amp;H$14&amp;"|"&amp;"CY2021Q3",Spectrum!$Q:$Q,0)),"")</f>
        <v>24</v>
      </c>
      <c r="J261" s="117" t="n">
        <f aca="false">_xlfn.IFNA(INDEX(Spectrum!$N:$N,MATCH(RIGHT($B261,13)&amp;"|"&amp;$C261&amp;"|"&amp;$D261&amp;"|"&amp;J$14&amp;"|"&amp;"CY2021Q3",Spectrum!$Q:$Q,0)),"")</f>
        <v>0.0235236</v>
      </c>
      <c r="K261" s="123" t="n">
        <f aca="false">_xlfn.IFNA(INDEX(Spectrum!$P:$P,MATCH(RIGHT($B261,13)&amp;"|"&amp;$C261&amp;"|"&amp;$D261&amp;"|"&amp;J$14&amp;"|"&amp;"CY2021Q3",Spectrum!$Q:$Q,0)),"")</f>
        <v>8</v>
      </c>
      <c r="L261" s="115" t="n">
        <f aca="false">_xlfn.IFNA(ROUND(INDEX(Spectrum!$N:$N,MATCH(RIGHT($B261,13)&amp;"|"&amp;$C261&amp;"|"&amp;$D261&amp;"|"&amp;L$14&amp;"|"&amp;"CY2021Q3",Spectrum!$Q:$Q,0)),0),"")</f>
        <v>140</v>
      </c>
      <c r="M261" s="123" t="n">
        <f aca="false">IF(OR(SUM($H261)&lt;=0,SUM($L261)&lt;=0),"",SUM($L261)/$H261)</f>
        <v>0.714285714285714</v>
      </c>
      <c r="N261" s="115" t="str">
        <f aca="false">_xlfn.IFNA(ROUND(INDEX(Spectrum!$N:$N,MATCH(RIGHT($B261,13)&amp;"|"&amp;$C261&amp;"|"&amp;$D261&amp;"|"&amp;N$14&amp;"|"&amp;"CY2020Q4",Spectrum!$Q:$Q,0)),0),"")</f>
        <v/>
      </c>
      <c r="O261" s="123" t="str">
        <f aca="false">_xlfn.IFNA(INDEX(Spectrum!$P:$P,MATCH(RIGHT($B261,13)&amp;"|"&amp;$C261&amp;"|"&amp;$D261&amp;"|"&amp;N$14&amp;"|"&amp;"CY2020Q4",Spectrum!$Q:$Q,0)),"")</f>
        <v/>
      </c>
      <c r="P261" s="115" t="n">
        <f aca="false">_xlfn.IFNA(ROUND(INDEX(Spectrum!$N:$N,MATCH(RIGHT($B261,13)&amp;"|"&amp;$C261&amp;"|"&amp;$D261&amp;"|"&amp;P$14&amp;"|"&amp;"CY2021Q3",Spectrum!$Q:$Q,0)),0),"")</f>
        <v>157</v>
      </c>
      <c r="Q261" s="123" t="n">
        <f aca="false">_xlfn.IFNA(INDEX(Spectrum!$P:$P,MATCH(RIGHT($B261,13)&amp;"|"&amp;$C261&amp;"|"&amp;$D261&amp;"|"&amp;P$14&amp;"|"&amp;"CY2021Q3",Spectrum!$Q:$Q,0)),"")</f>
        <v>2</v>
      </c>
      <c r="R261" s="115"/>
      <c r="S261" s="123" t="str">
        <f aca="false">IF(OR(SUM($P261)&lt;=0,SUM($R261)&lt;=0),"",SUM($R261)/$P261)</f>
        <v/>
      </c>
      <c r="T261" s="139" t="n">
        <v>46</v>
      </c>
      <c r="U261" s="124" t="n">
        <v>6</v>
      </c>
      <c r="V261" s="124" t="n">
        <f aca="false">IF($U261-$T261=0,"",$U261-$T261)</f>
        <v>-40</v>
      </c>
      <c r="W261" s="123" t="n">
        <f aca="false">IF(LEFT($B261,4)="_Mil","",IFERROR(MIN(IF(SUM($N261)&lt;=0,SUM($U261)/SUM($P261),SUM($T261)/SUM($N261)),1),""))</f>
        <v>0.0382165605095541</v>
      </c>
      <c r="X261" s="123" t="n">
        <f aca="false">$W261</f>
        <v>0.0382165605095541</v>
      </c>
      <c r="Y261" s="123" t="n">
        <f aca="false">IFERROR(1/(1/INDEX(Spectrum!$N:$N,MATCH(RIGHT($B261,13)&amp;"|"&amp;$C261&amp;"|"&amp;$D261&amp;"|"&amp;Y$14&amp;"|"&amp;"CY2021Q3",Spectrum!$Q:$Q,0))),IF(SUM($H261)=0,"",MAX(SUM($P261),SUM($U261))/SUM($H261)))</f>
        <v>0.801020408163265</v>
      </c>
      <c r="Z261" s="123" t="n">
        <f aca="false">IF(SUM($Y261)=0,"",MAX(SUM($Y261),90%))</f>
        <v>0.9</v>
      </c>
      <c r="AA261" s="115" t="n">
        <f aca="false">IF(LEFT($B261,4)="_Mil","",ROUND(MAX(SUM($U261),SUM($P261))+IF(SUM($Z261)=0,0,MAX(SUM($Z261)-SUM($Y261),0)*SUM($H261)),0))</f>
        <v>176</v>
      </c>
      <c r="AB261" s="115" t="n">
        <f aca="false">IF(SUM($AA261)=0,"",ROUND(MAX(SUM($AA261)-MAX(SUM($P261),SUM($U261)),0),0))</f>
        <v>19</v>
      </c>
      <c r="AC261" s="126" t="str">
        <f aca="false">IF($C261="&lt;01",IFERROR(ROUND(INDEX(EID!$N:$N,MATCH($B261,EID!$B:$B,0))/2,0),""),"")</f>
        <v/>
      </c>
      <c r="AD261" s="115" t="n">
        <f aca="false">IF($C261="&lt;01",IF(SUM($AC261)=0,"",ROUND(SUM($AC261)/$AG261,0)),IF(SUM($AB261)=0,"",ROUND(MAX($X261,0)*SUM($AB261),0)))</f>
        <v>1</v>
      </c>
      <c r="AE261" s="115" t="n">
        <f aca="false">IF(AND(SUM($AD261)=0,SUM($U261)=0),"",ROUND(IF($C261="&lt;01",0,SUM($U261))+SUM($AD261),0))</f>
        <v>7</v>
      </c>
      <c r="AF261" s="122" t="n">
        <f aca="false">IF($C261="&lt;01","",100%)</f>
        <v>1</v>
      </c>
      <c r="AG261" s="123" t="n">
        <f aca="false">0.98</f>
        <v>0.98</v>
      </c>
      <c r="AH261" s="123" t="n">
        <f aca="false">0.98</f>
        <v>0.98</v>
      </c>
      <c r="AI261" s="124" t="n">
        <f aca="false">IF(OR($C261="&lt;01",SUM($U261)=0),"",ROUND(SUM($U261)*(1-$AH261),0))</f>
        <v>0</v>
      </c>
      <c r="AJ261" s="124" t="n">
        <f aca="false">IF(AND(SUM($AE261)=0,SUM($U261)=0),"",IF($C261="&lt;01",SUM($AD261),SUM($AE261) - ROUND(SUM($U261)*$AH261,0)))</f>
        <v>1</v>
      </c>
      <c r="AK261" s="124" t="n">
        <v>24</v>
      </c>
      <c r="AL261" s="124" t="n">
        <v>44</v>
      </c>
      <c r="AM261" s="115" t="n">
        <f aca="false">IF(AND(SUM($AD261)=0,SUM($U261)=0),"",IF($C261="&lt;01",SUM($AD261),ROUND(ROUND(SUM($AJ261)*$AF261,0)/$AG261,0)))</f>
        <v>1</v>
      </c>
      <c r="AN261" s="122" t="n">
        <f aca="false">0.7</f>
        <v>0.7</v>
      </c>
      <c r="AO261" s="123" t="n">
        <f aca="false">1</f>
        <v>1</v>
      </c>
      <c r="AP261" s="115" t="n">
        <f aca="false">IF(AND(SUM($U261)=0,SUM($AM261)=0),"",ROUND((SUM($AM261)*$AN261+IF($C261="&lt;01",0,$U261))*$AO261,0))</f>
        <v>7</v>
      </c>
      <c r="AQ261" s="122" t="n">
        <v>33</v>
      </c>
      <c r="AR261" s="123" t="n">
        <f aca="false">0.95</f>
        <v>0.95</v>
      </c>
      <c r="AS261" s="123" t="n">
        <f aca="false">0.95</f>
        <v>0.95</v>
      </c>
      <c r="AT261" s="115" t="n">
        <f aca="false">IF(SUM($AP261)=0,"",ROUND(SUM($AP261)*$AR261,0))</f>
        <v>7</v>
      </c>
      <c r="AU261" s="115" t="n">
        <f aca="false">IF(LEFT($B261,4)="_Mil","",ROUND(SUM($AA261)*SUM($AS261),0))</f>
        <v>167</v>
      </c>
      <c r="AV261" s="124" t="n">
        <f aca="false">IF(SUM($AU261)&lt;=0,"",MAX(SUM($AU261)-SUM($R261),0))</f>
        <v>167</v>
      </c>
      <c r="AW261" s="122" t="n">
        <f aca="false">0</f>
        <v>0</v>
      </c>
      <c r="AX261" s="124" t="n">
        <f aca="false">IF(SUM($AM261)=0,"",ROUND(SUM($AM261)*SUM($AW261),0))</f>
        <v>0</v>
      </c>
      <c r="AY261" s="124" t="n">
        <f aca="false">IF(SUM($AM261)=0,"",SUM($AM261)-SUM($AX261))</f>
        <v>1</v>
      </c>
      <c r="AZ261" s="123" t="n">
        <v>22</v>
      </c>
      <c r="BA261" s="123" t="n">
        <f aca="false">0.95</f>
        <v>0.95</v>
      </c>
      <c r="BB261" s="123"/>
      <c r="BC261" s="123" t="n">
        <f aca="false">IF(OR(SUM($AM261)&lt;=0,$C261="&lt;01"),"",MAX(IF(OR(SUM($Y261)&lt;70%,LEFT($B261,4)="_Mil"),30%,IF(SUM($Y261)&gt;=80%,75%,50%)),SUM($BB261)))</f>
        <v>0.75</v>
      </c>
      <c r="BD261" s="115" t="n">
        <f aca="false">IF($C261="&lt;01",IFERROR(ROUND(INDEX(EID!$M:$M,MATCH($B261,EID!$B:$B,0)),0)/2,""),IF(SUM($AY261)=0,"",ROUND(SUM($AY261)/SUM($BA261),0)))</f>
        <v>1</v>
      </c>
      <c r="BE261" s="115" t="n">
        <f aca="false">IF($C261="&lt;01","",IF(SUM($BD261)=0,"",ROUND(SUM($BD261)*SUM($BC261),0)))</f>
        <v>1</v>
      </c>
      <c r="BF261" s="115" t="str">
        <f aca="false">_xlfn.IFNA(INDEX(PMTCT!$AE:$AE,MATCH($E261,PMTCT!$E:$E,0)),"")</f>
        <v/>
      </c>
      <c r="BG261" s="115" t="str">
        <f aca="false">_xlfn.IFNA(INDEX(PMTCT!$AU:$AU,MATCH($E261,PMTCT!$E:$E,0)),"")</f>
        <v/>
      </c>
      <c r="BH261" s="115" t="n">
        <f aca="false">_xlfn.IFNA(INDEX(TB!$Q:$Q,MATCH($E261,TB!$E:$E,0)),"")</f>
        <v>0</v>
      </c>
      <c r="BI261" s="115" t="str">
        <f aca="false">_xlfn.IFNA(INDEX(VMMC!$AC:$AC,MATCH($E261,VMMC!$E:$E,0)),"")</f>
        <v/>
      </c>
      <c r="BJ261" s="115" t="str">
        <f aca="false">IF($C261="&lt;01",$BD261,"")</f>
        <v/>
      </c>
      <c r="BK261" s="115" t="n">
        <f aca="false">IF(SUM($BD261)=0,"",($BD261)-SUM($BE261:$BJ261))</f>
        <v>0</v>
      </c>
      <c r="BL261" s="123" t="n">
        <f aca="false">IF(OR(SUM($BD261)=0,SUM($BE261)=0),"",SUM($BE261)/$BD261)</f>
        <v>1</v>
      </c>
      <c r="BM261" s="123" t="str">
        <f aca="false">IF(OR(SUM($BD261)=0,SUM($BF261)=0),"",SUM($BF261)/$BD261)</f>
        <v/>
      </c>
      <c r="BN261" s="123" t="str">
        <f aca="false">IF(OR(SUM($BD261)=0,SUM($BG261)=0),"",SUM($BG261)/$BD261)</f>
        <v/>
      </c>
      <c r="BO261" s="123" t="str">
        <f aca="false">IF(OR(SUM($BD261)=0,SUM($BH261)=0),"",SUM($BH261)/$BD261)</f>
        <v/>
      </c>
      <c r="BP261" s="123" t="str">
        <f aca="false">IF(OR(SUM($BD261)=0,SUM($BI261)=0),"",SUM($BI261)/$BD261)</f>
        <v/>
      </c>
      <c r="BQ261" s="123" t="str">
        <f aca="false">IF(AND($C261="&lt;01",SUM($BJ261)&lt;&gt;0),$BJ261/SUM($BD261),"")</f>
        <v/>
      </c>
      <c r="BR261" s="123" t="str">
        <f aca="false">IF(OR(SUM($BD261)=0,SUM($BK261)=0),"",SUM($BK261)/$BD261)</f>
        <v/>
      </c>
      <c r="BS261" s="122" t="n">
        <f aca="false">IF(SUM($X261)&lt;=0,"",$X261)</f>
        <v>0.0382165605095541</v>
      </c>
      <c r="BT261" s="115" t="n">
        <f aca="false">IF(LEFT($B261,4)="_Mil","",MAX(SUM($L261)+ROUND(SUM($BD261)/IF(SUM($BS261)&lt;=0,1,SUM($BS261)),0),0))</f>
        <v>166</v>
      </c>
    </row>
    <row r="262" customFormat="false" ht="15" hidden="false" customHeight="false" outlineLevel="0" collapsed="false">
      <c r="A262" s="0" t="s">
        <v>151</v>
      </c>
      <c r="B262" s="0" t="s">
        <v>101</v>
      </c>
      <c r="C262" s="0" t="s">
        <v>61</v>
      </c>
      <c r="D262" s="0" t="s">
        <v>58</v>
      </c>
      <c r="E262" s="0" t="str">
        <f aca="false">B262&amp;"|"&amp;C262&amp;"|"&amp;D262</f>
        <v>Thaba Tseka [#SNU] [jyhIrCoB31x]|10-14|Male</v>
      </c>
      <c r="F262" s="115" t="n">
        <f aca="false">_xlfn.IFNA(ROUND(INDEX(Spectrum!$N:$N,MATCH(RIGHT($B262,13)&amp;"|"&amp;$C262&amp;"|"&amp;$D262&amp;"|"&amp;F$14&amp;"|"&amp;"CY2021Q3",Spectrum!$Q:$Q,0)),0),"")</f>
        <v>8505</v>
      </c>
      <c r="G262" s="123" t="n">
        <f aca="false">_xlfn.IFNA(INDEX(Spectrum!$P:$P,MATCH(RIGHT($B262,13)&amp;"|"&amp;$C262&amp;"|"&amp;$D262&amp;"|"&amp;F$14&amp;"|"&amp;"CY2021Q3",Spectrum!$Q:$Q,0)),"")</f>
        <v>12</v>
      </c>
      <c r="H262" s="115" t="n">
        <f aca="false">_xlfn.IFNA(ROUND(INDEX(Spectrum!$N:$N,MATCH(RIGHT($B262,13)&amp;"|"&amp;$C262&amp;"|"&amp;$D262&amp;"|"&amp;H$14&amp;"|"&amp;"CY2021Q3",Spectrum!$Q:$Q,0)),0),"")</f>
        <v>199</v>
      </c>
      <c r="I262" s="123" t="n">
        <f aca="false">_xlfn.IFNA(INDEX(Spectrum!$P:$P,MATCH(RIGHT($B262,13)&amp;"|"&amp;$C262&amp;"|"&amp;$D262&amp;"|"&amp;H$14&amp;"|"&amp;"CY2021Q3",Spectrum!$Q:$Q,0)),"")</f>
        <v>43</v>
      </c>
      <c r="J262" s="117" t="n">
        <f aca="false">_xlfn.IFNA(INDEX(Spectrum!$N:$N,MATCH(RIGHT($B262,13)&amp;"|"&amp;$C262&amp;"|"&amp;$D262&amp;"|"&amp;J$14&amp;"|"&amp;"CY2021Q3",Spectrum!$Q:$Q,0)),"")</f>
        <v>0.0233775</v>
      </c>
      <c r="K262" s="123" t="n">
        <f aca="false">_xlfn.IFNA(INDEX(Spectrum!$P:$P,MATCH(RIGHT($B262,13)&amp;"|"&amp;$C262&amp;"|"&amp;$D262&amp;"|"&amp;J$14&amp;"|"&amp;"CY2021Q3",Spectrum!$Q:$Q,0)),"")</f>
        <v>45</v>
      </c>
      <c r="L262" s="115" t="n">
        <f aca="false">_xlfn.IFNA(ROUND(INDEX(Spectrum!$N:$N,MATCH(RIGHT($B262,13)&amp;"|"&amp;$C262&amp;"|"&amp;$D262&amp;"|"&amp;L$14&amp;"|"&amp;"CY2021Q3",Spectrum!$Q:$Q,0)),0),"")</f>
        <v>144</v>
      </c>
      <c r="M262" s="123" t="n">
        <f aca="false">IF(OR(SUM($H262)&lt;=0,SUM($L262)&lt;=0),"",SUM($L262)/$H262)</f>
        <v>0.723618090452261</v>
      </c>
      <c r="N262" s="115" t="str">
        <f aca="false">_xlfn.IFNA(ROUND(INDEX(Spectrum!$N:$N,MATCH(RIGHT($B262,13)&amp;"|"&amp;$C262&amp;"|"&amp;$D262&amp;"|"&amp;N$14&amp;"|"&amp;"CY2020Q4",Spectrum!$Q:$Q,0)),0),"")</f>
        <v/>
      </c>
      <c r="O262" s="123" t="str">
        <f aca="false">_xlfn.IFNA(INDEX(Spectrum!$P:$P,MATCH(RIGHT($B262,13)&amp;"|"&amp;$C262&amp;"|"&amp;$D262&amp;"|"&amp;N$14&amp;"|"&amp;"CY2020Q4",Spectrum!$Q:$Q,0)),"")</f>
        <v/>
      </c>
      <c r="P262" s="115" t="n">
        <f aca="false">_xlfn.IFNA(ROUND(INDEX(Spectrum!$N:$N,MATCH(RIGHT($B262,13)&amp;"|"&amp;$C262&amp;"|"&amp;$D262&amp;"|"&amp;P$14&amp;"|"&amp;"CY2021Q3",Spectrum!$Q:$Q,0)),0),"")</f>
        <v>162</v>
      </c>
      <c r="Q262" s="123" t="n">
        <f aca="false">_xlfn.IFNA(INDEX(Spectrum!$P:$P,MATCH(RIGHT($B262,13)&amp;"|"&amp;$C262&amp;"|"&amp;$D262&amp;"|"&amp;P$14&amp;"|"&amp;"CY2021Q3",Spectrum!$Q:$Q,0)),"")</f>
        <v>14</v>
      </c>
      <c r="R262" s="115"/>
      <c r="S262" s="123" t="str">
        <f aca="false">IF(OR(SUM($P262)&lt;=0,SUM($R262)&lt;=0),"",SUM($R262)/$P262)</f>
        <v/>
      </c>
      <c r="T262" s="139" t="n">
        <v>1</v>
      </c>
      <c r="U262" s="124" t="n">
        <v>28</v>
      </c>
      <c r="V262" s="124" t="n">
        <f aca="false">IF($U262-$T262=0,"",$U262-$T262)</f>
        <v>27</v>
      </c>
      <c r="W262" s="123" t="n">
        <f aca="false">IF(LEFT($B262,4)="_Mil","",IFERROR(MIN(IF(SUM($N262)&lt;=0,SUM($U262)/SUM($P262),SUM($T262)/SUM($N262)),1),""))</f>
        <v>0.17283950617284</v>
      </c>
      <c r="X262" s="123" t="n">
        <f aca="false">$W262</f>
        <v>0.17283950617284</v>
      </c>
      <c r="Y262" s="123" t="n">
        <f aca="false">IFERROR(1/(1/INDEX(Spectrum!$N:$N,MATCH(RIGHT($B262,13)&amp;"|"&amp;$C262&amp;"|"&amp;$D262&amp;"|"&amp;Y$14&amp;"|"&amp;"CY2021Q3",Spectrum!$Q:$Q,0))),IF(SUM($H262)=0,"",MAX(SUM($P262),SUM($U262))/SUM($H262)))</f>
        <v>0.814070351758794</v>
      </c>
      <c r="Z262" s="123" t="n">
        <f aca="false">IF(SUM($Y262)=0,"",MAX(SUM($Y262),90%))</f>
        <v>0.9</v>
      </c>
      <c r="AA262" s="115" t="n">
        <f aca="false">IF(LEFT($B262,4)="_Mil","",ROUND(MAX(SUM($U262),SUM($P262))+IF(SUM($Z262)=0,0,MAX(SUM($Z262)-SUM($Y262),0)*SUM($H262)),0))</f>
        <v>179</v>
      </c>
      <c r="AB262" s="115" t="n">
        <f aca="false">IF(SUM($AA262)=0,"",ROUND(MAX(SUM($AA262)-MAX(SUM($P262),SUM($U262)),0),0))</f>
        <v>17</v>
      </c>
      <c r="AC262" s="126" t="str">
        <f aca="false">IF($C262="&lt;01",IFERROR(ROUND(INDEX(EID!$N:$N,MATCH($B262,EID!$B:$B,0))/2,0),""),"")</f>
        <v/>
      </c>
      <c r="AD262" s="115" t="n">
        <f aca="false">IF($C262="&lt;01",IF(SUM($AC262)=0,"",ROUND(SUM($AC262)/$AG262,0)),IF(SUM($AB262)=0,"",ROUND(MAX($X262,0)*SUM($AB262),0)))</f>
        <v>3</v>
      </c>
      <c r="AE262" s="115" t="n">
        <f aca="false">IF(AND(SUM($AD262)=0,SUM($U262)=0),"",ROUND(IF($C262="&lt;01",0,SUM($U262))+SUM($AD262),0))</f>
        <v>31</v>
      </c>
      <c r="AF262" s="122" t="n">
        <f aca="false">IF($C262="&lt;01","",100%)</f>
        <v>1</v>
      </c>
      <c r="AG262" s="123" t="n">
        <f aca="false">0.98</f>
        <v>0.98</v>
      </c>
      <c r="AH262" s="123" t="n">
        <f aca="false">0.98</f>
        <v>0.98</v>
      </c>
      <c r="AI262" s="124" t="n">
        <f aca="false">IF(OR($C262="&lt;01",SUM($U262)=0),"",ROUND(SUM($U262)*(1-$AH262),0))</f>
        <v>1</v>
      </c>
      <c r="AJ262" s="124" t="n">
        <f aca="false">IF(AND(SUM($AE262)=0,SUM($U262)=0),"",IF($C262="&lt;01",SUM($AD262),SUM($AE262) - ROUND(SUM($U262)*$AH262,0)))</f>
        <v>4</v>
      </c>
      <c r="AK262" s="124" t="n">
        <v>10</v>
      </c>
      <c r="AL262" s="124" t="n">
        <v>44</v>
      </c>
      <c r="AM262" s="115" t="n">
        <f aca="false">IF(AND(SUM($AD262)=0,SUM($U262)=0),"",IF($C262="&lt;01",SUM($AD262),ROUND(ROUND(SUM($AJ262)*$AF262,0)/$AG262,0)))</f>
        <v>4</v>
      </c>
      <c r="AN262" s="122" t="n">
        <f aca="false">0.7</f>
        <v>0.7</v>
      </c>
      <c r="AO262" s="123" t="n">
        <f aca="false">1</f>
        <v>1</v>
      </c>
      <c r="AP262" s="115" t="n">
        <f aca="false">IF(AND(SUM($U262)=0,SUM($AM262)=0),"",ROUND((SUM($AM262)*$AN262+IF($C262="&lt;01",0,$U262))*$AO262,0))</f>
        <v>31</v>
      </c>
      <c r="AQ262" s="122" t="n">
        <v>37</v>
      </c>
      <c r="AR262" s="123" t="n">
        <f aca="false">0.95</f>
        <v>0.95</v>
      </c>
      <c r="AS262" s="123" t="n">
        <f aca="false">0.95</f>
        <v>0.95</v>
      </c>
      <c r="AT262" s="115" t="n">
        <f aca="false">IF(SUM($AP262)=0,"",ROUND(SUM($AP262)*$AR262,0))</f>
        <v>29</v>
      </c>
      <c r="AU262" s="115" t="n">
        <f aca="false">IF(LEFT($B262,4)="_Mil","",ROUND(SUM($AA262)*SUM($AS262),0))</f>
        <v>170</v>
      </c>
      <c r="AV262" s="124" t="n">
        <f aca="false">IF(SUM($AU262)&lt;=0,"",MAX(SUM($AU262)-SUM($R262),0))</f>
        <v>170</v>
      </c>
      <c r="AW262" s="122" t="n">
        <f aca="false">0</f>
        <v>0</v>
      </c>
      <c r="AX262" s="124" t="n">
        <f aca="false">IF(SUM($AM262)=0,"",ROUND(SUM($AM262)*SUM($AW262),0))</f>
        <v>0</v>
      </c>
      <c r="AY262" s="124" t="n">
        <f aca="false">IF(SUM($AM262)=0,"",SUM($AM262)-SUM($AX262))</f>
        <v>4</v>
      </c>
      <c r="AZ262" s="123" t="n">
        <v>10</v>
      </c>
      <c r="BA262" s="123" t="n">
        <f aca="false">0.95</f>
        <v>0.95</v>
      </c>
      <c r="BB262" s="123"/>
      <c r="BC262" s="123" t="n">
        <f aca="false">IF(OR(SUM($AM262)&lt;=0,$C262="&lt;01"),"",MAX(IF(OR(SUM($Y262)&lt;70%,LEFT($B262,4)="_Mil"),30%,IF(SUM($Y262)&gt;=80%,75%,50%)),SUM($BB262)))</f>
        <v>0.75</v>
      </c>
      <c r="BD262" s="115" t="n">
        <f aca="false">IF($C262="&lt;01",IFERROR(ROUND(INDEX(EID!$M:$M,MATCH($B262,EID!$B:$B,0)),0)/2,""),IF(SUM($AY262)=0,"",ROUND(SUM($AY262)/SUM($BA262),0)))</f>
        <v>4</v>
      </c>
      <c r="BE262" s="115" t="n">
        <f aca="false">IF($C262="&lt;01","",IF(SUM($BD262)=0,"",ROUND(SUM($BD262)*SUM($BC262),0)))</f>
        <v>3</v>
      </c>
      <c r="BF262" s="115" t="str">
        <f aca="false">_xlfn.IFNA(INDEX(PMTCT!$AE:$AE,MATCH($E262,PMTCT!$E:$E,0)),"")</f>
        <v/>
      </c>
      <c r="BG262" s="115" t="str">
        <f aca="false">_xlfn.IFNA(INDEX(PMTCT!$AU:$AU,MATCH($E262,PMTCT!$E:$E,0)),"")</f>
        <v/>
      </c>
      <c r="BH262" s="115" t="n">
        <f aca="false">_xlfn.IFNA(INDEX(TB!$Q:$Q,MATCH($E262,TB!$E:$E,0)),"")</f>
        <v>0</v>
      </c>
      <c r="BI262" s="115" t="str">
        <f aca="false">_xlfn.IFNA(INDEX(VMMC!$AC:$AC,MATCH($E262,VMMC!$E:$E,0)),"")</f>
        <v/>
      </c>
      <c r="BJ262" s="115" t="str">
        <f aca="false">IF($C262="&lt;01",$BD262,"")</f>
        <v/>
      </c>
      <c r="BK262" s="115" t="n">
        <f aca="false">IF(SUM($BD262)=0,"",($BD262)-SUM($BE262:$BJ262))</f>
        <v>1</v>
      </c>
      <c r="BL262" s="123" t="n">
        <f aca="false">IF(OR(SUM($BD262)=0,SUM($BE262)=0),"",SUM($BE262)/$BD262)</f>
        <v>0.75</v>
      </c>
      <c r="BM262" s="123" t="str">
        <f aca="false">IF(OR(SUM($BD262)=0,SUM($BF262)=0),"",SUM($BF262)/$BD262)</f>
        <v/>
      </c>
      <c r="BN262" s="123" t="str">
        <f aca="false">IF(OR(SUM($BD262)=0,SUM($BG262)=0),"",SUM($BG262)/$BD262)</f>
        <v/>
      </c>
      <c r="BO262" s="123" t="str">
        <f aca="false">IF(OR(SUM($BD262)=0,SUM($BH262)=0),"",SUM($BH262)/$BD262)</f>
        <v/>
      </c>
      <c r="BP262" s="123" t="str">
        <f aca="false">IF(OR(SUM($BD262)=0,SUM($BI262)=0),"",SUM($BI262)/$BD262)</f>
        <v/>
      </c>
      <c r="BQ262" s="123" t="str">
        <f aca="false">IF(AND($C262="&lt;01",SUM($BJ262)&lt;&gt;0),$BJ262/SUM($BD262),"")</f>
        <v/>
      </c>
      <c r="BR262" s="123" t="n">
        <f aca="false">IF(OR(SUM($BD262)=0,SUM($BK262)=0),"",SUM($BK262)/$BD262)</f>
        <v>0.25</v>
      </c>
      <c r="BS262" s="122" t="n">
        <f aca="false">IF(SUM($X262)&lt;=0,"",$X262)</f>
        <v>0.17283950617284</v>
      </c>
      <c r="BT262" s="115" t="n">
        <f aca="false">IF(LEFT($B262,4)="_Mil","",MAX(SUM($L262)+ROUND(SUM($BD262)/IF(SUM($BS262)&lt;=0,1,SUM($BS262)),0),0))</f>
        <v>167</v>
      </c>
    </row>
    <row r="263" customFormat="false" ht="15" hidden="false" customHeight="false" outlineLevel="0" collapsed="false">
      <c r="A263" s="0" t="s">
        <v>151</v>
      </c>
      <c r="B263" s="0" t="s">
        <v>101</v>
      </c>
      <c r="C263" s="0" t="s">
        <v>63</v>
      </c>
      <c r="D263" s="0" t="s">
        <v>56</v>
      </c>
      <c r="E263" s="0" t="str">
        <f aca="false">B263&amp;"|"&amp;C263&amp;"|"&amp;D263</f>
        <v>Thaba Tseka [#SNU] [jyhIrCoB31x]|15-19|Female</v>
      </c>
      <c r="F263" s="115" t="n">
        <f aca="false">_xlfn.IFNA(ROUND(INDEX(Spectrum!$N:$N,MATCH(RIGHT($B263,13)&amp;"|"&amp;$C263&amp;"|"&amp;$D263&amp;"|"&amp;F$14&amp;"|"&amp;"CY2021Q3",Spectrum!$Q:$Q,0)),0),"")</f>
        <v>6910</v>
      </c>
      <c r="G263" s="123" t="n">
        <f aca="false">_xlfn.IFNA(INDEX(Spectrum!$P:$P,MATCH(RIGHT($B263,13)&amp;"|"&amp;$C263&amp;"|"&amp;$D263&amp;"|"&amp;F$14&amp;"|"&amp;"CY2021Q3",Spectrum!$Q:$Q,0)),"")</f>
        <v>40</v>
      </c>
      <c r="H263" s="115" t="n">
        <f aca="false">_xlfn.IFNA(ROUND(INDEX(Spectrum!$N:$N,MATCH(RIGHT($B263,13)&amp;"|"&amp;$C263&amp;"|"&amp;$D263&amp;"|"&amp;H$14&amp;"|"&amp;"CY2021Q3",Spectrum!$Q:$Q,0)),0),"")</f>
        <v>304</v>
      </c>
      <c r="I263" s="123" t="n">
        <f aca="false">_xlfn.IFNA(INDEX(Spectrum!$P:$P,MATCH(RIGHT($B263,13)&amp;"|"&amp;$C263&amp;"|"&amp;$D263&amp;"|"&amp;H$14&amp;"|"&amp;"CY2021Q3",Spectrum!$Q:$Q,0)),"")</f>
        <v>42</v>
      </c>
      <c r="J263" s="117" t="n">
        <f aca="false">_xlfn.IFNA(INDEX(Spectrum!$N:$N,MATCH(RIGHT($B263,13)&amp;"|"&amp;$C263&amp;"|"&amp;$D263&amp;"|"&amp;J$14&amp;"|"&amp;"CY2021Q3",Spectrum!$Q:$Q,0)),"")</f>
        <v>0.0439496</v>
      </c>
      <c r="K263" s="123" t="n">
        <f aca="false">_xlfn.IFNA(INDEX(Spectrum!$P:$P,MATCH(RIGHT($B263,13)&amp;"|"&amp;$C263&amp;"|"&amp;$D263&amp;"|"&amp;J$14&amp;"|"&amp;"CY2021Q3",Spectrum!$Q:$Q,0)),"")</f>
        <v>3</v>
      </c>
      <c r="L263" s="115" t="n">
        <f aca="false">_xlfn.IFNA(ROUND(INDEX(Spectrum!$N:$N,MATCH(RIGHT($B263,13)&amp;"|"&amp;$C263&amp;"|"&amp;$D263&amp;"|"&amp;L$14&amp;"|"&amp;"CY2021Q3",Spectrum!$Q:$Q,0)),0),"")</f>
        <v>257</v>
      </c>
      <c r="M263" s="123" t="n">
        <f aca="false">IF(OR(SUM($H263)&lt;=0,SUM($L263)&lt;=0),"",SUM($L263)/$H263)</f>
        <v>0.845394736842105</v>
      </c>
      <c r="N263" s="115" t="str">
        <f aca="false">_xlfn.IFNA(ROUND(INDEX(Spectrum!$N:$N,MATCH(RIGHT($B263,13)&amp;"|"&amp;$C263&amp;"|"&amp;$D263&amp;"|"&amp;N$14&amp;"|"&amp;"CY2020Q4",Spectrum!$Q:$Q,0)),0),"")</f>
        <v/>
      </c>
      <c r="O263" s="123" t="str">
        <f aca="false">_xlfn.IFNA(INDEX(Spectrum!$P:$P,MATCH(RIGHT($B263,13)&amp;"|"&amp;$C263&amp;"|"&amp;$D263&amp;"|"&amp;N$14&amp;"|"&amp;"CY2020Q4",Spectrum!$Q:$Q,0)),"")</f>
        <v/>
      </c>
      <c r="P263" s="115" t="n">
        <f aca="false">_xlfn.IFNA(ROUND(INDEX(Spectrum!$N:$N,MATCH(RIGHT($B263,13)&amp;"|"&amp;$C263&amp;"|"&amp;$D263&amp;"|"&amp;P$14&amp;"|"&amp;"CY2021Q3",Spectrum!$Q:$Q,0)),0),"")</f>
        <v>221</v>
      </c>
      <c r="Q263" s="123" t="n">
        <f aca="false">_xlfn.IFNA(INDEX(Spectrum!$P:$P,MATCH(RIGHT($B263,13)&amp;"|"&amp;$C263&amp;"|"&amp;$D263&amp;"|"&amp;P$14&amp;"|"&amp;"CY2021Q3",Spectrum!$Q:$Q,0)),"")</f>
        <v>32</v>
      </c>
      <c r="R263" s="115"/>
      <c r="S263" s="123" t="str">
        <f aca="false">IF(OR(SUM($P263)&lt;=0,SUM($R263)&lt;=0),"",SUM($R263)/$P263)</f>
        <v/>
      </c>
      <c r="T263" s="139" t="n">
        <v>39</v>
      </c>
      <c r="U263" s="124" t="n">
        <v>43</v>
      </c>
      <c r="V263" s="124" t="n">
        <f aca="false">IF($U263-$T263=0,"",$U263-$T263)</f>
        <v>4</v>
      </c>
      <c r="W263" s="123" t="n">
        <f aca="false">IF(LEFT($B263,4)="_Mil","",IFERROR(MIN(IF(SUM($N263)&lt;=0,SUM($U263)/SUM($P263),SUM($T263)/SUM($N263)),1),""))</f>
        <v>0.194570135746606</v>
      </c>
      <c r="X263" s="123" t="n">
        <f aca="false">$W263</f>
        <v>0.194570135746606</v>
      </c>
      <c r="Y263" s="123" t="n">
        <f aca="false">IFERROR(1/(1/INDEX(Spectrum!$N:$N,MATCH(RIGHT($B263,13)&amp;"|"&amp;$C263&amp;"|"&amp;$D263&amp;"|"&amp;Y$14&amp;"|"&amp;"CY2021Q3",Spectrum!$Q:$Q,0))),IF(SUM($H263)=0,"",MAX(SUM($P263),SUM($U263))/SUM($H263)))</f>
        <v>0.726973684210526</v>
      </c>
      <c r="Z263" s="123" t="n">
        <f aca="false">IF(SUM($Y263)=0,"",MAX(SUM($Y263),90%))</f>
        <v>0.9</v>
      </c>
      <c r="AA263" s="115" t="n">
        <f aca="false">IF(LEFT($B263,4)="_Mil","",ROUND(MAX(SUM($U263),SUM($P263))+IF(SUM($Z263)=0,0,MAX(SUM($Z263)-SUM($Y263),0)*SUM($H263)),0))</f>
        <v>274</v>
      </c>
      <c r="AB263" s="115" t="n">
        <f aca="false">IF(SUM($AA263)=0,"",ROUND(MAX(SUM($AA263)-MAX(SUM($P263),SUM($U263)),0),0))</f>
        <v>53</v>
      </c>
      <c r="AC263" s="126" t="str">
        <f aca="false">IF($C263="&lt;01",IFERROR(ROUND(INDEX(EID!$N:$N,MATCH($B263,EID!$B:$B,0))/2,0),""),"")</f>
        <v/>
      </c>
      <c r="AD263" s="115" t="n">
        <f aca="false">IF($C263="&lt;01",IF(SUM($AC263)=0,"",ROUND(SUM($AC263)/$AG263,0)),IF(SUM($AB263)=0,"",ROUND(MAX($X263,0)*SUM($AB263),0)))</f>
        <v>10</v>
      </c>
      <c r="AE263" s="115" t="n">
        <f aca="false">IF(AND(SUM($AD263)=0,SUM($U263)=0),"",ROUND(IF($C263="&lt;01",0,SUM($U263))+SUM($AD263),0))</f>
        <v>53</v>
      </c>
      <c r="AF263" s="122" t="n">
        <f aca="false">IF($C263="&lt;01","",100%)</f>
        <v>1</v>
      </c>
      <c r="AG263" s="123" t="n">
        <f aca="false">0.98</f>
        <v>0.98</v>
      </c>
      <c r="AH263" s="123" t="n">
        <f aca="false">0.98</f>
        <v>0.98</v>
      </c>
      <c r="AI263" s="124" t="n">
        <f aca="false">IF(OR($C263="&lt;01",SUM($U263)=0),"",ROUND(SUM($U263)*(1-$AH263),0))</f>
        <v>1</v>
      </c>
      <c r="AJ263" s="124" t="n">
        <f aca="false">IF(AND(SUM($AE263)=0,SUM($U263)=0),"",IF($C263="&lt;01",SUM($AD263),SUM($AE263) - ROUND(SUM($U263)*$AH263,0)))</f>
        <v>11</v>
      </c>
      <c r="AK263" s="124" t="n">
        <v>26</v>
      </c>
      <c r="AL263" s="124" t="n">
        <v>38</v>
      </c>
      <c r="AM263" s="115" t="n">
        <f aca="false">IF(AND(SUM($AD263)=0,SUM($U263)=0),"",IF($C263="&lt;01",SUM($AD263),ROUND(ROUND(SUM($AJ263)*$AF263,0)/$AG263,0)))</f>
        <v>11</v>
      </c>
      <c r="AN263" s="122" t="n">
        <f aca="false">0.7</f>
        <v>0.7</v>
      </c>
      <c r="AO263" s="123" t="n">
        <f aca="false">1</f>
        <v>1</v>
      </c>
      <c r="AP263" s="115" t="n">
        <f aca="false">IF(AND(SUM($U263)=0,SUM($AM263)=0),"",ROUND((SUM($AM263)*$AN263+IF($C263="&lt;01",0,$U263))*$AO263,0))</f>
        <v>51</v>
      </c>
      <c r="AQ263" s="122" t="n">
        <v>14</v>
      </c>
      <c r="AR263" s="123" t="n">
        <f aca="false">0.95</f>
        <v>0.95</v>
      </c>
      <c r="AS263" s="123" t="n">
        <f aca="false">0.95</f>
        <v>0.95</v>
      </c>
      <c r="AT263" s="115" t="n">
        <f aca="false">IF(SUM($AP263)=0,"",ROUND(SUM($AP263)*$AR263,0))</f>
        <v>48</v>
      </c>
      <c r="AU263" s="115" t="n">
        <f aca="false">IF(LEFT($B263,4)="_Mil","",ROUND(SUM($AA263)*SUM($AS263),0))</f>
        <v>260</v>
      </c>
      <c r="AV263" s="124" t="n">
        <f aca="false">IF(SUM($AU263)&lt;=0,"",MAX(SUM($AU263)-SUM($R263),0))</f>
        <v>260</v>
      </c>
      <c r="AW263" s="122" t="n">
        <f aca="false">0</f>
        <v>0</v>
      </c>
      <c r="AX263" s="124" t="n">
        <f aca="false">IF(SUM($AM263)=0,"",ROUND(SUM($AM263)*SUM($AW263),0))</f>
        <v>0</v>
      </c>
      <c r="AY263" s="124" t="n">
        <f aca="false">IF(SUM($AM263)=0,"",SUM($AM263)-SUM($AX263))</f>
        <v>11</v>
      </c>
      <c r="AZ263" s="123" t="n">
        <v>50</v>
      </c>
      <c r="BA263" s="123" t="n">
        <f aca="false">0.95</f>
        <v>0.95</v>
      </c>
      <c r="BB263" s="123"/>
      <c r="BC263" s="123" t="n">
        <f aca="false">IF(OR(SUM($AM263)&lt;=0,$C263="&lt;01"),"",MAX(IF(OR(SUM($Y263)&lt;70%,LEFT($B263,4)="_Mil"),30%,IF(SUM($Y263)&gt;=80%,75%,50%)),SUM($BB263)))</f>
        <v>0.5</v>
      </c>
      <c r="BD263" s="115" t="n">
        <f aca="false">IF($C263="&lt;01",IFERROR(ROUND(INDEX(EID!$M:$M,MATCH($B263,EID!$B:$B,0)),0)/2,""),IF(SUM($AY263)=0,"",ROUND(SUM($AY263)/SUM($BA263),0)))</f>
        <v>12</v>
      </c>
      <c r="BE263" s="115" t="n">
        <f aca="false">IF($C263="&lt;01","",IF(SUM($BD263)=0,"",ROUND(SUM($BD263)*SUM($BC263),0)))</f>
        <v>6</v>
      </c>
      <c r="BF263" s="115" t="n">
        <f aca="false">_xlfn.IFNA(INDEX(PMTCT!$AE:$AE,MATCH($E263,PMTCT!$E:$E,0)),"")</f>
        <v>-8568</v>
      </c>
      <c r="BG263" s="115" t="str">
        <f aca="false">_xlfn.IFNA(INDEX(PMTCT!$AU:$AU,MATCH($E263,PMTCT!$E:$E,0)),"")</f>
        <v/>
      </c>
      <c r="BH263" s="115" t="n">
        <f aca="false">_xlfn.IFNA(INDEX(TB!$Q:$Q,MATCH($E263,TB!$E:$E,0)),"")</f>
        <v>-0</v>
      </c>
      <c r="BI263" s="115" t="str">
        <f aca="false">_xlfn.IFNA(INDEX(VMMC!$AC:$AC,MATCH($E263,VMMC!$E:$E,0)),"")</f>
        <v/>
      </c>
      <c r="BJ263" s="115" t="str">
        <f aca="false">IF($C263="&lt;01",$BD263,"")</f>
        <v/>
      </c>
      <c r="BK263" s="115" t="n">
        <f aca="false">IF(SUM($BD263)=0,"",($BD263)-SUM($BE263:$BJ263))</f>
        <v>8574</v>
      </c>
      <c r="BL263" s="123" t="n">
        <f aca="false">IF(OR(SUM($BD263)=0,SUM($BE263)=0),"",SUM($BE263)/$BD263)</f>
        <v>0.5</v>
      </c>
      <c r="BM263" s="123" t="n">
        <f aca="false">IF(OR(SUM($BD263)=0,SUM($BF263)=0),"",SUM($BF263)/$BD263)</f>
        <v>-714</v>
      </c>
      <c r="BN263" s="123" t="str">
        <f aca="false">IF(OR(SUM($BD263)=0,SUM($BG263)=0),"",SUM($BG263)/$BD263)</f>
        <v/>
      </c>
      <c r="BO263" s="123" t="str">
        <f aca="false">IF(OR(SUM($BD263)=0,SUM($BH263)=0),"",SUM($BH263)/$BD263)</f>
        <v/>
      </c>
      <c r="BP263" s="123" t="str">
        <f aca="false">IF(OR(SUM($BD263)=0,SUM($BI263)=0),"",SUM($BI263)/$BD263)</f>
        <v/>
      </c>
      <c r="BQ263" s="123" t="str">
        <f aca="false">IF(AND($C263="&lt;01",SUM($BJ263)&lt;&gt;0),$BJ263/SUM($BD263),"")</f>
        <v/>
      </c>
      <c r="BR263" s="123" t="n">
        <f aca="false">IF(OR(SUM($BD263)=0,SUM($BK263)=0),"",SUM($BK263)/$BD263)</f>
        <v>714.5</v>
      </c>
      <c r="BS263" s="122" t="n">
        <f aca="false">IF(SUM($X263)&lt;=0,"",$X263)</f>
        <v>0.194570135746606</v>
      </c>
      <c r="BT263" s="115" t="n">
        <f aca="false">IF(LEFT($B263,4)="_Mil","",MAX(SUM($L263)+ROUND(SUM($BD263)/IF(SUM($BS263)&lt;=0,1,SUM($BS263)),0),0))</f>
        <v>319</v>
      </c>
    </row>
    <row r="264" customFormat="false" ht="15" hidden="false" customHeight="false" outlineLevel="0" collapsed="false">
      <c r="A264" s="0" t="s">
        <v>151</v>
      </c>
      <c r="B264" s="0" t="s">
        <v>101</v>
      </c>
      <c r="C264" s="0" t="s">
        <v>63</v>
      </c>
      <c r="D264" s="0" t="s">
        <v>58</v>
      </c>
      <c r="E264" s="0" t="str">
        <f aca="false">B264&amp;"|"&amp;C264&amp;"|"&amp;D264</f>
        <v>Thaba Tseka [#SNU] [jyhIrCoB31x]|15-19|Male</v>
      </c>
      <c r="F264" s="115" t="n">
        <f aca="false">_xlfn.IFNA(ROUND(INDEX(Spectrum!$N:$N,MATCH(RIGHT($B264,13)&amp;"|"&amp;$C264&amp;"|"&amp;$D264&amp;"|"&amp;F$14&amp;"|"&amp;"CY2021Q3",Spectrum!$Q:$Q,0)),0),"")</f>
        <v>7851</v>
      </c>
      <c r="G264" s="123" t="n">
        <f aca="false">_xlfn.IFNA(INDEX(Spectrum!$P:$P,MATCH(RIGHT($B264,13)&amp;"|"&amp;$C264&amp;"|"&amp;$D264&amp;"|"&amp;F$14&amp;"|"&amp;"CY2021Q3",Spectrum!$Q:$Q,0)),"")</f>
        <v>14</v>
      </c>
      <c r="H264" s="115" t="n">
        <f aca="false">_xlfn.IFNA(ROUND(INDEX(Spectrum!$N:$N,MATCH(RIGHT($B264,13)&amp;"|"&amp;$C264&amp;"|"&amp;$D264&amp;"|"&amp;H$14&amp;"|"&amp;"CY2021Q3",Spectrum!$Q:$Q,0)),0),"")</f>
        <v>197</v>
      </c>
      <c r="I264" s="123" t="n">
        <f aca="false">_xlfn.IFNA(INDEX(Spectrum!$P:$P,MATCH(RIGHT($B264,13)&amp;"|"&amp;$C264&amp;"|"&amp;$D264&amp;"|"&amp;H$14&amp;"|"&amp;"CY2021Q3",Spectrum!$Q:$Q,0)),"")</f>
        <v>46</v>
      </c>
      <c r="J264" s="117" t="n">
        <f aca="false">_xlfn.IFNA(INDEX(Spectrum!$N:$N,MATCH(RIGHT($B264,13)&amp;"|"&amp;$C264&amp;"|"&amp;$D264&amp;"|"&amp;J$14&amp;"|"&amp;"CY2021Q3",Spectrum!$Q:$Q,0)),"")</f>
        <v>0.0250636</v>
      </c>
      <c r="K264" s="123" t="n">
        <f aca="false">_xlfn.IFNA(INDEX(Spectrum!$P:$P,MATCH(RIGHT($B264,13)&amp;"|"&amp;$C264&amp;"|"&amp;$D264&amp;"|"&amp;J$14&amp;"|"&amp;"CY2021Q3",Spectrum!$Q:$Q,0)),"")</f>
        <v>47</v>
      </c>
      <c r="L264" s="115" t="n">
        <f aca="false">_xlfn.IFNA(ROUND(INDEX(Spectrum!$N:$N,MATCH(RIGHT($B264,13)&amp;"|"&amp;$C264&amp;"|"&amp;$D264&amp;"|"&amp;L$14&amp;"|"&amp;"CY2021Q3",Spectrum!$Q:$Q,0)),0),"")</f>
        <v>198</v>
      </c>
      <c r="M264" s="123" t="n">
        <f aca="false">IF(OR(SUM($H264)&lt;=0,SUM($L264)&lt;=0),"",SUM($L264)/$H264)</f>
        <v>1.00507614213198</v>
      </c>
      <c r="N264" s="115" t="str">
        <f aca="false">_xlfn.IFNA(ROUND(INDEX(Spectrum!$N:$N,MATCH(RIGHT($B264,13)&amp;"|"&amp;$C264&amp;"|"&amp;$D264&amp;"|"&amp;N$14&amp;"|"&amp;"CY2020Q4",Spectrum!$Q:$Q,0)),0),"")</f>
        <v/>
      </c>
      <c r="O264" s="123" t="str">
        <f aca="false">_xlfn.IFNA(INDEX(Spectrum!$P:$P,MATCH(RIGHT($B264,13)&amp;"|"&amp;$C264&amp;"|"&amp;$D264&amp;"|"&amp;N$14&amp;"|"&amp;"CY2020Q4",Spectrum!$Q:$Q,0)),"")</f>
        <v/>
      </c>
      <c r="P264" s="115" t="n">
        <f aca="false">_xlfn.IFNA(ROUND(INDEX(Spectrum!$N:$N,MATCH(RIGHT($B264,13)&amp;"|"&amp;$C264&amp;"|"&amp;$D264&amp;"|"&amp;P$14&amp;"|"&amp;"CY2021Q3",Spectrum!$Q:$Q,0)),0),"")</f>
        <v>176</v>
      </c>
      <c r="Q264" s="123" t="n">
        <f aca="false">_xlfn.IFNA(INDEX(Spectrum!$P:$P,MATCH(RIGHT($B264,13)&amp;"|"&amp;$C264&amp;"|"&amp;$D264&amp;"|"&amp;P$14&amp;"|"&amp;"CY2021Q3",Spectrum!$Q:$Q,0)),"")</f>
        <v>47</v>
      </c>
      <c r="R264" s="115"/>
      <c r="S264" s="123" t="str">
        <f aca="false">IF(OR(SUM($P264)&lt;=0,SUM($R264)&lt;=0),"",SUM($R264)/$P264)</f>
        <v/>
      </c>
      <c r="T264" s="139" t="n">
        <v>6</v>
      </c>
      <c r="U264" s="124" t="n">
        <v>4</v>
      </c>
      <c r="V264" s="124" t="n">
        <f aca="false">IF($U264-$T264=0,"",$U264-$T264)</f>
        <v>-2</v>
      </c>
      <c r="W264" s="123" t="n">
        <f aca="false">IF(LEFT($B264,4)="_Mil","",IFERROR(MIN(IF(SUM($N264)&lt;=0,SUM($U264)/SUM($P264),SUM($T264)/SUM($N264)),1),""))</f>
        <v>0.0227272727272727</v>
      </c>
      <c r="X264" s="123" t="n">
        <f aca="false">$W264</f>
        <v>0.0227272727272727</v>
      </c>
      <c r="Y264" s="123" t="n">
        <f aca="false">IFERROR(1/(1/INDEX(Spectrum!$N:$N,MATCH(RIGHT($B264,13)&amp;"|"&amp;$C264&amp;"|"&amp;$D264&amp;"|"&amp;Y$14&amp;"|"&amp;"CY2021Q3",Spectrum!$Q:$Q,0))),IF(SUM($H264)=0,"",MAX(SUM($P264),SUM($U264))/SUM($H264)))</f>
        <v>0.893401015228426</v>
      </c>
      <c r="Z264" s="123" t="n">
        <f aca="false">IF(SUM($Y264)=0,"",MAX(SUM($Y264),90%))</f>
        <v>0.9</v>
      </c>
      <c r="AA264" s="115" t="n">
        <f aca="false">IF(LEFT($B264,4)="_Mil","",ROUND(MAX(SUM($U264),SUM($P264))+IF(SUM($Z264)=0,0,MAX(SUM($Z264)-SUM($Y264),0)*SUM($H264)),0))</f>
        <v>177</v>
      </c>
      <c r="AB264" s="115" t="n">
        <f aca="false">IF(SUM($AA264)=0,"",ROUND(MAX(SUM($AA264)-MAX(SUM($P264),SUM($U264)),0),0))</f>
        <v>1</v>
      </c>
      <c r="AC264" s="126" t="str">
        <f aca="false">IF($C264="&lt;01",IFERROR(ROUND(INDEX(EID!$N:$N,MATCH($B264,EID!$B:$B,0))/2,0),""),"")</f>
        <v/>
      </c>
      <c r="AD264" s="115" t="n">
        <f aca="false">IF($C264="&lt;01",IF(SUM($AC264)=0,"",ROUND(SUM($AC264)/$AG264,0)),IF(SUM($AB264)=0,"",ROUND(MAX($X264,0)*SUM($AB264),0)))</f>
        <v>0</v>
      </c>
      <c r="AE264" s="115" t="n">
        <f aca="false">IF(AND(SUM($AD264)=0,SUM($U264)=0),"",ROUND(IF($C264="&lt;01",0,SUM($U264))+SUM($AD264),0))</f>
        <v>4</v>
      </c>
      <c r="AF264" s="122" t="n">
        <f aca="false">IF($C264="&lt;01","",100%)</f>
        <v>1</v>
      </c>
      <c r="AG264" s="123" t="n">
        <f aca="false">0.98</f>
        <v>0.98</v>
      </c>
      <c r="AH264" s="123" t="n">
        <f aca="false">0.98</f>
        <v>0.98</v>
      </c>
      <c r="AI264" s="124" t="n">
        <f aca="false">IF(OR($C264="&lt;01",SUM($U264)=0),"",ROUND(SUM($U264)*(1-$AH264),0))</f>
        <v>0</v>
      </c>
      <c r="AJ264" s="124" t="n">
        <f aca="false">IF(AND(SUM($AE264)=0,SUM($U264)=0),"",IF($C264="&lt;01",SUM($AD264),SUM($AE264) - ROUND(SUM($U264)*$AH264,0)))</f>
        <v>0</v>
      </c>
      <c r="AK264" s="124" t="n">
        <v>14</v>
      </c>
      <c r="AL264" s="124" t="n">
        <v>33</v>
      </c>
      <c r="AM264" s="115" t="n">
        <f aca="false">IF(AND(SUM($AD264)=0,SUM($U264)=0),"",IF($C264="&lt;01",SUM($AD264),ROUND(ROUND(SUM($AJ264)*$AF264,0)/$AG264,0)))</f>
        <v>0</v>
      </c>
      <c r="AN264" s="122" t="n">
        <f aca="false">0.7</f>
        <v>0.7</v>
      </c>
      <c r="AO264" s="123" t="n">
        <f aca="false">1</f>
        <v>1</v>
      </c>
      <c r="AP264" s="115" t="n">
        <f aca="false">IF(AND(SUM($U264)=0,SUM($AM264)=0),"",ROUND((SUM($AM264)*$AN264+IF($C264="&lt;01",0,$U264))*$AO264,0))</f>
        <v>4</v>
      </c>
      <c r="AQ264" s="122" t="n">
        <v>42</v>
      </c>
      <c r="AR264" s="123" t="n">
        <f aca="false">0.95</f>
        <v>0.95</v>
      </c>
      <c r="AS264" s="123" t="n">
        <f aca="false">0.95</f>
        <v>0.95</v>
      </c>
      <c r="AT264" s="115" t="n">
        <f aca="false">IF(SUM($AP264)=0,"",ROUND(SUM($AP264)*$AR264,0))</f>
        <v>4</v>
      </c>
      <c r="AU264" s="115" t="n">
        <f aca="false">IF(LEFT($B264,4)="_Mil","",ROUND(SUM($AA264)*SUM($AS264),0))</f>
        <v>168</v>
      </c>
      <c r="AV264" s="124" t="n">
        <f aca="false">IF(SUM($AU264)&lt;=0,"",MAX(SUM($AU264)-SUM($R264),0))</f>
        <v>168</v>
      </c>
      <c r="AW264" s="122" t="n">
        <f aca="false">0</f>
        <v>0</v>
      </c>
      <c r="AX264" s="124" t="str">
        <f aca="false">IF(SUM($AM264)=0,"",ROUND(SUM($AM264)*SUM($AW264),0))</f>
        <v/>
      </c>
      <c r="AY264" s="124" t="str">
        <f aca="false">IF(SUM($AM264)=0,"",SUM($AM264)-SUM($AX264))</f>
        <v/>
      </c>
      <c r="AZ264" s="123" t="n">
        <v>16</v>
      </c>
      <c r="BA264" s="123" t="n">
        <f aca="false">0.95</f>
        <v>0.95</v>
      </c>
      <c r="BB264" s="123"/>
      <c r="BC264" s="123" t="str">
        <f aca="false">IF(OR(SUM($AM264)&lt;=0,$C264="&lt;01"),"",MAX(IF(OR(SUM($Y264)&lt;70%,LEFT($B264,4)="_Mil"),30%,IF(SUM($Y264)&gt;=80%,75%,50%)),SUM($BB264)))</f>
        <v/>
      </c>
      <c r="BD264" s="115" t="str">
        <f aca="false">IF($C264="&lt;01",IFERROR(ROUND(INDEX(EID!$M:$M,MATCH($B264,EID!$B:$B,0)),0)/2,""),IF(SUM($AY264)=0,"",ROUND(SUM($AY264)/SUM($BA264),0)))</f>
        <v/>
      </c>
      <c r="BE264" s="115" t="str">
        <f aca="false">IF($C264="&lt;01","",IF(SUM($BD264)=0,"",ROUND(SUM($BD264)*SUM($BC264),0)))</f>
        <v/>
      </c>
      <c r="BF264" s="115" t="str">
        <f aca="false">_xlfn.IFNA(INDEX(PMTCT!$AE:$AE,MATCH($E264,PMTCT!$E:$E,0)),"")</f>
        <v/>
      </c>
      <c r="BG264" s="115" t="str">
        <f aca="false">_xlfn.IFNA(INDEX(PMTCT!$AU:$AU,MATCH($E264,PMTCT!$E:$E,0)),"")</f>
        <v/>
      </c>
      <c r="BH264" s="115" t="n">
        <f aca="false">_xlfn.IFNA(INDEX(TB!$Q:$Q,MATCH($E264,TB!$E:$E,0)),"")</f>
        <v>0</v>
      </c>
      <c r="BI264" s="115" t="str">
        <f aca="false">_xlfn.IFNA(INDEX(VMMC!$AC:$AC,MATCH($E264,VMMC!$E:$E,0)),"")</f>
        <v/>
      </c>
      <c r="BJ264" s="115" t="str">
        <f aca="false">IF($C264="&lt;01",$BD264,"")</f>
        <v/>
      </c>
      <c r="BK264" s="115" t="str">
        <f aca="false">IF(SUM($BD264)=0,"",($BD264)-SUM($BE264:$BJ264))</f>
        <v/>
      </c>
      <c r="BL264" s="123" t="str">
        <f aca="false">IF(OR(SUM($BD264)=0,SUM($BE264)=0),"",SUM($BE264)/$BD264)</f>
        <v/>
      </c>
      <c r="BM264" s="123" t="str">
        <f aca="false">IF(OR(SUM($BD264)=0,SUM($BF264)=0),"",SUM($BF264)/$BD264)</f>
        <v/>
      </c>
      <c r="BN264" s="123" t="str">
        <f aca="false">IF(OR(SUM($BD264)=0,SUM($BG264)=0),"",SUM($BG264)/$BD264)</f>
        <v/>
      </c>
      <c r="BO264" s="123" t="str">
        <f aca="false">IF(OR(SUM($BD264)=0,SUM($BH264)=0),"",SUM($BH264)/$BD264)</f>
        <v/>
      </c>
      <c r="BP264" s="123" t="str">
        <f aca="false">IF(OR(SUM($BD264)=0,SUM($BI264)=0),"",SUM($BI264)/$BD264)</f>
        <v/>
      </c>
      <c r="BQ264" s="123" t="str">
        <f aca="false">IF(AND($C264="&lt;01",SUM($BJ264)&lt;&gt;0),$BJ264/SUM($BD264),"")</f>
        <v/>
      </c>
      <c r="BR264" s="123" t="str">
        <f aca="false">IF(OR(SUM($BD264)=0,SUM($BK264)=0),"",SUM($BK264)/$BD264)</f>
        <v/>
      </c>
      <c r="BS264" s="122" t="n">
        <f aca="false">IF(SUM($X264)&lt;=0,"",$X264)</f>
        <v>0.0227272727272727</v>
      </c>
      <c r="BT264" s="115" t="n">
        <f aca="false">IF(LEFT($B264,4)="_Mil","",MAX(SUM($L264)+ROUND(SUM($BD264)/IF(SUM($BS264)&lt;=0,1,SUM($BS264)),0),0))</f>
        <v>198</v>
      </c>
    </row>
    <row r="265" customFormat="false" ht="15" hidden="false" customHeight="false" outlineLevel="0" collapsed="false">
      <c r="A265" s="0" t="s">
        <v>151</v>
      </c>
      <c r="B265" s="0" t="s">
        <v>101</v>
      </c>
      <c r="C265" s="0" t="s">
        <v>66</v>
      </c>
      <c r="D265" s="0" t="s">
        <v>56</v>
      </c>
      <c r="E265" s="0" t="str">
        <f aca="false">B265&amp;"|"&amp;C265&amp;"|"&amp;D265</f>
        <v>Thaba Tseka [#SNU] [jyhIrCoB31x]|20-24|Female</v>
      </c>
      <c r="F265" s="115" t="n">
        <f aca="false">_xlfn.IFNA(ROUND(INDEX(Spectrum!$N:$N,MATCH(RIGHT($B265,13)&amp;"|"&amp;$C265&amp;"|"&amp;$D265&amp;"|"&amp;F$14&amp;"|"&amp;"CY2021Q3",Spectrum!$Q:$Q,0)),0),"")</f>
        <v>5495</v>
      </c>
      <c r="G265" s="123" t="n">
        <f aca="false">_xlfn.IFNA(INDEX(Spectrum!$P:$P,MATCH(RIGHT($B265,13)&amp;"|"&amp;$C265&amp;"|"&amp;$D265&amp;"|"&amp;F$14&amp;"|"&amp;"CY2021Q3",Spectrum!$Q:$Q,0)),"")</f>
        <v>45</v>
      </c>
      <c r="H265" s="115" t="n">
        <f aca="false">_xlfn.IFNA(ROUND(INDEX(Spectrum!$N:$N,MATCH(RIGHT($B265,13)&amp;"|"&amp;$C265&amp;"|"&amp;$D265&amp;"|"&amp;H$14&amp;"|"&amp;"CY2021Q3",Spectrum!$Q:$Q,0)),0),"")</f>
        <v>711</v>
      </c>
      <c r="I265" s="123" t="n">
        <f aca="false">_xlfn.IFNA(INDEX(Spectrum!$P:$P,MATCH(RIGHT($B265,13)&amp;"|"&amp;$C265&amp;"|"&amp;$D265&amp;"|"&amp;H$14&amp;"|"&amp;"CY2021Q3",Spectrum!$Q:$Q,0)),"")</f>
        <v>11</v>
      </c>
      <c r="J265" s="117" t="n">
        <f aca="false">_xlfn.IFNA(INDEX(Spectrum!$N:$N,MATCH(RIGHT($B265,13)&amp;"|"&amp;$C265&amp;"|"&amp;$D265&amp;"|"&amp;J$14&amp;"|"&amp;"CY2021Q3",Spectrum!$Q:$Q,0)),"")</f>
        <v>0.1293446</v>
      </c>
      <c r="K265" s="123" t="n">
        <f aca="false">_xlfn.IFNA(INDEX(Spectrum!$P:$P,MATCH(RIGHT($B265,13)&amp;"|"&amp;$C265&amp;"|"&amp;$D265&amp;"|"&amp;J$14&amp;"|"&amp;"CY2021Q3",Spectrum!$Q:$Q,0)),"")</f>
        <v>29</v>
      </c>
      <c r="L265" s="115" t="n">
        <f aca="false">_xlfn.IFNA(ROUND(INDEX(Spectrum!$N:$N,MATCH(RIGHT($B265,13)&amp;"|"&amp;$C265&amp;"|"&amp;$D265&amp;"|"&amp;L$14&amp;"|"&amp;"CY2021Q3",Spectrum!$Q:$Q,0)),0),"")</f>
        <v>572</v>
      </c>
      <c r="M265" s="123" t="n">
        <f aca="false">IF(OR(SUM($H265)&lt;=0,SUM($L265)&lt;=0),"",SUM($L265)/$H265)</f>
        <v>0.80450070323488</v>
      </c>
      <c r="N265" s="115" t="str">
        <f aca="false">_xlfn.IFNA(ROUND(INDEX(Spectrum!$N:$N,MATCH(RIGHT($B265,13)&amp;"|"&amp;$C265&amp;"|"&amp;$D265&amp;"|"&amp;N$14&amp;"|"&amp;"CY2020Q4",Spectrum!$Q:$Q,0)),0),"")</f>
        <v/>
      </c>
      <c r="O265" s="123" t="str">
        <f aca="false">_xlfn.IFNA(INDEX(Spectrum!$P:$P,MATCH(RIGHT($B265,13)&amp;"|"&amp;$C265&amp;"|"&amp;$D265&amp;"|"&amp;N$14&amp;"|"&amp;"CY2020Q4",Spectrum!$Q:$Q,0)),"")</f>
        <v/>
      </c>
      <c r="P265" s="115" t="n">
        <f aca="false">_xlfn.IFNA(ROUND(INDEX(Spectrum!$N:$N,MATCH(RIGHT($B265,13)&amp;"|"&amp;$C265&amp;"|"&amp;$D265&amp;"|"&amp;P$14&amp;"|"&amp;"CY2021Q3",Spectrum!$Q:$Q,0)),0),"")</f>
        <v>474</v>
      </c>
      <c r="Q265" s="123" t="n">
        <f aca="false">_xlfn.IFNA(INDEX(Spectrum!$P:$P,MATCH(RIGHT($B265,13)&amp;"|"&amp;$C265&amp;"|"&amp;$D265&amp;"|"&amp;P$14&amp;"|"&amp;"CY2021Q3",Spectrum!$Q:$Q,0)),"")</f>
        <v>13</v>
      </c>
      <c r="R265" s="115"/>
      <c r="S265" s="123" t="str">
        <f aca="false">IF(OR(SUM($P265)&lt;=0,SUM($R265)&lt;=0),"",SUM($R265)/$P265)</f>
        <v/>
      </c>
      <c r="T265" s="139" t="n">
        <v>34</v>
      </c>
      <c r="U265" s="124" t="n">
        <v>11</v>
      </c>
      <c r="V265" s="124" t="n">
        <f aca="false">IF($U265-$T265=0,"",$U265-$T265)</f>
        <v>-23</v>
      </c>
      <c r="W265" s="123" t="n">
        <f aca="false">IF(LEFT($B265,4)="_Mil","",IFERROR(MIN(IF(SUM($N265)&lt;=0,SUM($U265)/SUM($P265),SUM($T265)/SUM($N265)),1),""))</f>
        <v>0.0232067510548523</v>
      </c>
      <c r="X265" s="123" t="n">
        <f aca="false">$W265</f>
        <v>0.0232067510548523</v>
      </c>
      <c r="Y265" s="123" t="n">
        <f aca="false">IFERROR(1/(1/INDEX(Spectrum!$N:$N,MATCH(RIGHT($B265,13)&amp;"|"&amp;$C265&amp;"|"&amp;$D265&amp;"|"&amp;Y$14&amp;"|"&amp;"CY2021Q3",Spectrum!$Q:$Q,0))),IF(SUM($H265)=0,"",MAX(SUM($P265),SUM($U265))/SUM($H265)))</f>
        <v>0.666666666666667</v>
      </c>
      <c r="Z265" s="123" t="n">
        <f aca="false">IF(SUM($Y265)=0,"",MAX(SUM($Y265),90%))</f>
        <v>0.9</v>
      </c>
      <c r="AA265" s="115" t="n">
        <f aca="false">IF(LEFT($B265,4)="_Mil","",ROUND(MAX(SUM($U265),SUM($P265))+IF(SUM($Z265)=0,0,MAX(SUM($Z265)-SUM($Y265),0)*SUM($H265)),0))</f>
        <v>640</v>
      </c>
      <c r="AB265" s="115" t="n">
        <f aca="false">IF(SUM($AA265)=0,"",ROUND(MAX(SUM($AA265)-MAX(SUM($P265),SUM($U265)),0),0))</f>
        <v>166</v>
      </c>
      <c r="AC265" s="126" t="str">
        <f aca="false">IF($C265="&lt;01",IFERROR(ROUND(INDEX(EID!$N:$N,MATCH($B265,EID!$B:$B,0))/2,0),""),"")</f>
        <v/>
      </c>
      <c r="AD265" s="115" t="n">
        <f aca="false">IF($C265="&lt;01",IF(SUM($AC265)=0,"",ROUND(SUM($AC265)/$AG265,0)),IF(SUM($AB265)=0,"",ROUND(MAX($X265,0)*SUM($AB265),0)))</f>
        <v>4</v>
      </c>
      <c r="AE265" s="115" t="n">
        <f aca="false">IF(AND(SUM($AD265)=0,SUM($U265)=0),"",ROUND(IF($C265="&lt;01",0,SUM($U265))+SUM($AD265),0))</f>
        <v>15</v>
      </c>
      <c r="AF265" s="122" t="n">
        <f aca="false">IF($C265="&lt;01","",100%)</f>
        <v>1</v>
      </c>
      <c r="AG265" s="123" t="n">
        <f aca="false">0.98</f>
        <v>0.98</v>
      </c>
      <c r="AH265" s="123" t="n">
        <f aca="false">0.98</f>
        <v>0.98</v>
      </c>
      <c r="AI265" s="124" t="n">
        <f aca="false">IF(OR($C265="&lt;01",SUM($U265)=0),"",ROUND(SUM($U265)*(1-$AH265),0))</f>
        <v>0</v>
      </c>
      <c r="AJ265" s="124" t="n">
        <f aca="false">IF(AND(SUM($AE265)=0,SUM($U265)=0),"",IF($C265="&lt;01",SUM($AD265),SUM($AE265) - ROUND(SUM($U265)*$AH265,0)))</f>
        <v>4</v>
      </c>
      <c r="AK265" s="124" t="n">
        <v>46</v>
      </c>
      <c r="AL265" s="124" t="n">
        <v>45</v>
      </c>
      <c r="AM265" s="115" t="n">
        <f aca="false">IF(AND(SUM($AD265)=0,SUM($U265)=0),"",IF($C265="&lt;01",SUM($AD265),ROUND(ROUND(SUM($AJ265)*$AF265,0)/$AG265,0)))</f>
        <v>4</v>
      </c>
      <c r="AN265" s="122" t="n">
        <f aca="false">0.7</f>
        <v>0.7</v>
      </c>
      <c r="AO265" s="123" t="n">
        <f aca="false">1</f>
        <v>1</v>
      </c>
      <c r="AP265" s="115" t="n">
        <f aca="false">IF(AND(SUM($U265)=0,SUM($AM265)=0),"",ROUND((SUM($AM265)*$AN265+IF($C265="&lt;01",0,$U265))*$AO265,0))</f>
        <v>14</v>
      </c>
      <c r="AQ265" s="122" t="n">
        <v>47</v>
      </c>
      <c r="AR265" s="123" t="n">
        <f aca="false">0.95</f>
        <v>0.95</v>
      </c>
      <c r="AS265" s="123" t="n">
        <f aca="false">0.95</f>
        <v>0.95</v>
      </c>
      <c r="AT265" s="115" t="n">
        <f aca="false">IF(SUM($AP265)=0,"",ROUND(SUM($AP265)*$AR265,0))</f>
        <v>13</v>
      </c>
      <c r="AU265" s="115" t="n">
        <f aca="false">IF(LEFT($B265,4)="_Mil","",ROUND(SUM($AA265)*SUM($AS265),0))</f>
        <v>608</v>
      </c>
      <c r="AV265" s="124" t="n">
        <f aca="false">IF(SUM($AU265)&lt;=0,"",MAX(SUM($AU265)-SUM($R265),0))</f>
        <v>608</v>
      </c>
      <c r="AW265" s="122" t="n">
        <f aca="false">0</f>
        <v>0</v>
      </c>
      <c r="AX265" s="124" t="n">
        <f aca="false">IF(SUM($AM265)=0,"",ROUND(SUM($AM265)*SUM($AW265),0))</f>
        <v>0</v>
      </c>
      <c r="AY265" s="124" t="n">
        <f aca="false">IF(SUM($AM265)=0,"",SUM($AM265)-SUM($AX265))</f>
        <v>4</v>
      </c>
      <c r="AZ265" s="123" t="n">
        <v>40</v>
      </c>
      <c r="BA265" s="123" t="n">
        <f aca="false">0.95</f>
        <v>0.95</v>
      </c>
      <c r="BB265" s="123"/>
      <c r="BC265" s="123" t="n">
        <f aca="false">IF(OR(SUM($AM265)&lt;=0,$C265="&lt;01"),"",MAX(IF(OR(SUM($Y265)&lt;70%,LEFT($B265,4)="_Mil"),30%,IF(SUM($Y265)&gt;=80%,75%,50%)),SUM($BB265)))</f>
        <v>0.3</v>
      </c>
      <c r="BD265" s="115" t="n">
        <f aca="false">IF($C265="&lt;01",IFERROR(ROUND(INDEX(EID!$M:$M,MATCH($B265,EID!$B:$B,0)),0)/2,""),IF(SUM($AY265)=0,"",ROUND(SUM($AY265)/SUM($BA265),0)))</f>
        <v>4</v>
      </c>
      <c r="BE265" s="115" t="n">
        <f aca="false">IF($C265="&lt;01","",IF(SUM($BD265)=0,"",ROUND(SUM($BD265)*SUM($BC265),0)))</f>
        <v>1</v>
      </c>
      <c r="BF265" s="115" t="n">
        <f aca="false">_xlfn.IFNA(INDEX(PMTCT!$AE:$AE,MATCH($E265,PMTCT!$E:$E,0)),"")</f>
        <v>-51072</v>
      </c>
      <c r="BG265" s="115" t="str">
        <f aca="false">_xlfn.IFNA(INDEX(PMTCT!$AU:$AU,MATCH($E265,PMTCT!$E:$E,0)),"")</f>
        <v/>
      </c>
      <c r="BH265" s="115" t="n">
        <f aca="false">_xlfn.IFNA(INDEX(TB!$Q:$Q,MATCH($E265,TB!$E:$E,0)),"")</f>
        <v>-0</v>
      </c>
      <c r="BI265" s="115" t="str">
        <f aca="false">_xlfn.IFNA(INDEX(VMMC!$AC:$AC,MATCH($E265,VMMC!$E:$E,0)),"")</f>
        <v/>
      </c>
      <c r="BJ265" s="115" t="str">
        <f aca="false">IF($C265="&lt;01",$BD265,"")</f>
        <v/>
      </c>
      <c r="BK265" s="115" t="n">
        <f aca="false">IF(SUM($BD265)=0,"",($BD265)-SUM($BE265:$BJ265))</f>
        <v>51075</v>
      </c>
      <c r="BL265" s="123" t="n">
        <f aca="false">IF(OR(SUM($BD265)=0,SUM($BE265)=0),"",SUM($BE265)/$BD265)</f>
        <v>0.25</v>
      </c>
      <c r="BM265" s="123" t="n">
        <f aca="false">IF(OR(SUM($BD265)=0,SUM($BF265)=0),"",SUM($BF265)/$BD265)</f>
        <v>-12768</v>
      </c>
      <c r="BN265" s="123" t="str">
        <f aca="false">IF(OR(SUM($BD265)=0,SUM($BG265)=0),"",SUM($BG265)/$BD265)</f>
        <v/>
      </c>
      <c r="BO265" s="123" t="str">
        <f aca="false">IF(OR(SUM($BD265)=0,SUM($BH265)=0),"",SUM($BH265)/$BD265)</f>
        <v/>
      </c>
      <c r="BP265" s="123" t="str">
        <f aca="false">IF(OR(SUM($BD265)=0,SUM($BI265)=0),"",SUM($BI265)/$BD265)</f>
        <v/>
      </c>
      <c r="BQ265" s="123" t="str">
        <f aca="false">IF(AND($C265="&lt;01",SUM($BJ265)&lt;&gt;0),$BJ265/SUM($BD265),"")</f>
        <v/>
      </c>
      <c r="BR265" s="123" t="n">
        <f aca="false">IF(OR(SUM($BD265)=0,SUM($BK265)=0),"",SUM($BK265)/$BD265)</f>
        <v>12768.75</v>
      </c>
      <c r="BS265" s="122" t="n">
        <f aca="false">IF(SUM($X265)&lt;=0,"",$X265)</f>
        <v>0.0232067510548523</v>
      </c>
      <c r="BT265" s="115" t="n">
        <f aca="false">IF(LEFT($B265,4)="_Mil","",MAX(SUM($L265)+ROUND(SUM($BD265)/IF(SUM($BS265)&lt;=0,1,SUM($BS265)),0),0))</f>
        <v>744</v>
      </c>
    </row>
    <row r="266" customFormat="false" ht="15" hidden="false" customHeight="false" outlineLevel="0" collapsed="false">
      <c r="A266" s="0" t="s">
        <v>151</v>
      </c>
      <c r="B266" s="0" t="s">
        <v>101</v>
      </c>
      <c r="C266" s="0" t="s">
        <v>66</v>
      </c>
      <c r="D266" s="0" t="s">
        <v>58</v>
      </c>
      <c r="E266" s="0" t="str">
        <f aca="false">B266&amp;"|"&amp;C266&amp;"|"&amp;D266</f>
        <v>Thaba Tseka [#SNU] [jyhIrCoB31x]|20-24|Male</v>
      </c>
      <c r="F266" s="115" t="n">
        <f aca="false">_xlfn.IFNA(ROUND(INDEX(Spectrum!$N:$N,MATCH(RIGHT($B266,13)&amp;"|"&amp;$C266&amp;"|"&amp;$D266&amp;"|"&amp;F$14&amp;"|"&amp;"CY2021Q3",Spectrum!$Q:$Q,0)),0),"")</f>
        <v>6182</v>
      </c>
      <c r="G266" s="123" t="n">
        <f aca="false">_xlfn.IFNA(INDEX(Spectrum!$P:$P,MATCH(RIGHT($B266,13)&amp;"|"&amp;$C266&amp;"|"&amp;$D266&amp;"|"&amp;F$14&amp;"|"&amp;"CY2021Q3",Spectrum!$Q:$Q,0)),"")</f>
        <v>41</v>
      </c>
      <c r="H266" s="115" t="n">
        <f aca="false">_xlfn.IFNA(ROUND(INDEX(Spectrum!$N:$N,MATCH(RIGHT($B266,13)&amp;"|"&amp;$C266&amp;"|"&amp;$D266&amp;"|"&amp;H$14&amp;"|"&amp;"CY2021Q3",Spectrum!$Q:$Q,0)),0),"")</f>
        <v>289</v>
      </c>
      <c r="I266" s="123" t="n">
        <f aca="false">_xlfn.IFNA(INDEX(Spectrum!$P:$P,MATCH(RIGHT($B266,13)&amp;"|"&amp;$C266&amp;"|"&amp;$D266&amp;"|"&amp;H$14&amp;"|"&amp;"CY2021Q3",Spectrum!$Q:$Q,0)),"")</f>
        <v>31</v>
      </c>
      <c r="J266" s="117" t="n">
        <f aca="false">_xlfn.IFNA(INDEX(Spectrum!$N:$N,MATCH(RIGHT($B266,13)&amp;"|"&amp;$C266&amp;"|"&amp;$D266&amp;"|"&amp;J$14&amp;"|"&amp;"CY2021Q3",Spectrum!$Q:$Q,0)),"")</f>
        <v>0.0467494</v>
      </c>
      <c r="K266" s="123" t="n">
        <f aca="false">_xlfn.IFNA(INDEX(Spectrum!$P:$P,MATCH(RIGHT($B266,13)&amp;"|"&amp;$C266&amp;"|"&amp;$D266&amp;"|"&amp;J$14&amp;"|"&amp;"CY2021Q3",Spectrum!$Q:$Q,0)),"")</f>
        <v>6</v>
      </c>
      <c r="L266" s="115" t="n">
        <f aca="false">_xlfn.IFNA(ROUND(INDEX(Spectrum!$N:$N,MATCH(RIGHT($B266,13)&amp;"|"&amp;$C266&amp;"|"&amp;$D266&amp;"|"&amp;L$14&amp;"|"&amp;"CY2021Q3",Spectrum!$Q:$Q,0)),0),"")</f>
        <v>237</v>
      </c>
      <c r="M266" s="123" t="n">
        <f aca="false">IF(OR(SUM($H266)&lt;=0,SUM($L266)&lt;=0),"",SUM($L266)/$H266)</f>
        <v>0.820069204152249</v>
      </c>
      <c r="N266" s="115" t="str">
        <f aca="false">_xlfn.IFNA(ROUND(INDEX(Spectrum!$N:$N,MATCH(RIGHT($B266,13)&amp;"|"&amp;$C266&amp;"|"&amp;$D266&amp;"|"&amp;N$14&amp;"|"&amp;"CY2020Q4",Spectrum!$Q:$Q,0)),0),"")</f>
        <v/>
      </c>
      <c r="O266" s="123" t="str">
        <f aca="false">_xlfn.IFNA(INDEX(Spectrum!$P:$P,MATCH(RIGHT($B266,13)&amp;"|"&amp;$C266&amp;"|"&amp;$D266&amp;"|"&amp;N$14&amp;"|"&amp;"CY2020Q4",Spectrum!$Q:$Q,0)),"")</f>
        <v/>
      </c>
      <c r="P266" s="115" t="n">
        <f aca="false">_xlfn.IFNA(ROUND(INDEX(Spectrum!$N:$N,MATCH(RIGHT($B266,13)&amp;"|"&amp;$C266&amp;"|"&amp;$D266&amp;"|"&amp;P$14&amp;"|"&amp;"CY2021Q3",Spectrum!$Q:$Q,0)),0),"")</f>
        <v>174</v>
      </c>
      <c r="Q266" s="123" t="n">
        <f aca="false">_xlfn.IFNA(INDEX(Spectrum!$P:$P,MATCH(RIGHT($B266,13)&amp;"|"&amp;$C266&amp;"|"&amp;$D266&amp;"|"&amp;P$14&amp;"|"&amp;"CY2021Q3",Spectrum!$Q:$Q,0)),"")</f>
        <v>48</v>
      </c>
      <c r="R266" s="115"/>
      <c r="S266" s="123" t="str">
        <f aca="false">IF(OR(SUM($P266)&lt;=0,SUM($R266)&lt;=0),"",SUM($R266)/$P266)</f>
        <v/>
      </c>
      <c r="T266" s="139" t="n">
        <v>13</v>
      </c>
      <c r="U266" s="124" t="n">
        <v>45</v>
      </c>
      <c r="V266" s="124" t="n">
        <f aca="false">IF($U266-$T266=0,"",$U266-$T266)</f>
        <v>32</v>
      </c>
      <c r="W266" s="123" t="n">
        <f aca="false">IF(LEFT($B266,4)="_Mil","",IFERROR(MIN(IF(SUM($N266)&lt;=0,SUM($U266)/SUM($P266),SUM($T266)/SUM($N266)),1),""))</f>
        <v>0.258620689655172</v>
      </c>
      <c r="X266" s="123" t="n">
        <f aca="false">$W266</f>
        <v>0.258620689655172</v>
      </c>
      <c r="Y266" s="123" t="n">
        <f aca="false">IFERROR(1/(1/INDEX(Spectrum!$N:$N,MATCH(RIGHT($B266,13)&amp;"|"&amp;$C266&amp;"|"&amp;$D266&amp;"|"&amp;Y$14&amp;"|"&amp;"CY2021Q3",Spectrum!$Q:$Q,0))),IF(SUM($H266)=0,"",MAX(SUM($P266),SUM($U266))/SUM($H266)))</f>
        <v>0.602076124567474</v>
      </c>
      <c r="Z266" s="123" t="n">
        <f aca="false">IF(SUM($Y266)=0,"",MAX(SUM($Y266),90%))</f>
        <v>0.9</v>
      </c>
      <c r="AA266" s="115" t="n">
        <f aca="false">IF(LEFT($B266,4)="_Mil","",ROUND(MAX(SUM($U266),SUM($P266))+IF(SUM($Z266)=0,0,MAX(SUM($Z266)-SUM($Y266),0)*SUM($H266)),0))</f>
        <v>260</v>
      </c>
      <c r="AB266" s="115" t="n">
        <f aca="false">IF(SUM($AA266)=0,"",ROUND(MAX(SUM($AA266)-MAX(SUM($P266),SUM($U266)),0),0))</f>
        <v>86</v>
      </c>
      <c r="AC266" s="126" t="str">
        <f aca="false">IF($C266="&lt;01",IFERROR(ROUND(INDEX(EID!$N:$N,MATCH($B266,EID!$B:$B,0))/2,0),""),"")</f>
        <v/>
      </c>
      <c r="AD266" s="115" t="n">
        <f aca="false">IF($C266="&lt;01",IF(SUM($AC266)=0,"",ROUND(SUM($AC266)/$AG266,0)),IF(SUM($AB266)=0,"",ROUND(MAX($X266,0)*SUM($AB266),0)))</f>
        <v>22</v>
      </c>
      <c r="AE266" s="115" t="n">
        <f aca="false">IF(AND(SUM($AD266)=0,SUM($U266)=0),"",ROUND(IF($C266="&lt;01",0,SUM($U266))+SUM($AD266),0))</f>
        <v>67</v>
      </c>
      <c r="AF266" s="122" t="n">
        <f aca="false">IF($C266="&lt;01","",100%)</f>
        <v>1</v>
      </c>
      <c r="AG266" s="123" t="n">
        <f aca="false">0.98</f>
        <v>0.98</v>
      </c>
      <c r="AH266" s="123" t="n">
        <f aca="false">0.98</f>
        <v>0.98</v>
      </c>
      <c r="AI266" s="124" t="n">
        <f aca="false">IF(OR($C266="&lt;01",SUM($U266)=0),"",ROUND(SUM($U266)*(1-$AH266),0))</f>
        <v>1</v>
      </c>
      <c r="AJ266" s="124" t="n">
        <f aca="false">IF(AND(SUM($AE266)=0,SUM($U266)=0),"",IF($C266="&lt;01",SUM($AD266),SUM($AE266) - ROUND(SUM($U266)*$AH266,0)))</f>
        <v>23</v>
      </c>
      <c r="AK266" s="124" t="n">
        <v>42</v>
      </c>
      <c r="AL266" s="124" t="n">
        <v>27</v>
      </c>
      <c r="AM266" s="115" t="n">
        <f aca="false">IF(AND(SUM($AD266)=0,SUM($U266)=0),"",IF($C266="&lt;01",SUM($AD266),ROUND(ROUND(SUM($AJ266)*$AF266,0)/$AG266,0)))</f>
        <v>23</v>
      </c>
      <c r="AN266" s="122" t="n">
        <f aca="false">0.7</f>
        <v>0.7</v>
      </c>
      <c r="AO266" s="123" t="n">
        <f aca="false">1</f>
        <v>1</v>
      </c>
      <c r="AP266" s="115" t="n">
        <f aca="false">IF(AND(SUM($U266)=0,SUM($AM266)=0),"",ROUND((SUM($AM266)*$AN266+IF($C266="&lt;01",0,$U266))*$AO266,0))</f>
        <v>61</v>
      </c>
      <c r="AQ266" s="122" t="n">
        <v>33</v>
      </c>
      <c r="AR266" s="123" t="n">
        <f aca="false">0.95</f>
        <v>0.95</v>
      </c>
      <c r="AS266" s="123" t="n">
        <f aca="false">0.95</f>
        <v>0.95</v>
      </c>
      <c r="AT266" s="115" t="n">
        <f aca="false">IF(SUM($AP266)=0,"",ROUND(SUM($AP266)*$AR266,0))</f>
        <v>58</v>
      </c>
      <c r="AU266" s="115" t="n">
        <f aca="false">IF(LEFT($B266,4)="_Mil","",ROUND(SUM($AA266)*SUM($AS266),0))</f>
        <v>247</v>
      </c>
      <c r="AV266" s="124" t="n">
        <f aca="false">IF(SUM($AU266)&lt;=0,"",MAX(SUM($AU266)-SUM($R266),0))</f>
        <v>247</v>
      </c>
      <c r="AW266" s="122" t="n">
        <f aca="false">0</f>
        <v>0</v>
      </c>
      <c r="AX266" s="124" t="n">
        <f aca="false">IF(SUM($AM266)=0,"",ROUND(SUM($AM266)*SUM($AW266),0))</f>
        <v>0</v>
      </c>
      <c r="AY266" s="124" t="n">
        <f aca="false">IF(SUM($AM266)=0,"",SUM($AM266)-SUM($AX266))</f>
        <v>23</v>
      </c>
      <c r="AZ266" s="123" t="n">
        <v>43</v>
      </c>
      <c r="BA266" s="123" t="n">
        <f aca="false">0.95</f>
        <v>0.95</v>
      </c>
      <c r="BB266" s="123"/>
      <c r="BC266" s="123" t="n">
        <f aca="false">IF(OR(SUM($AM266)&lt;=0,$C266="&lt;01"),"",MAX(IF(OR(SUM($Y266)&lt;70%,LEFT($B266,4)="_Mil"),30%,IF(SUM($Y266)&gt;=80%,75%,50%)),SUM($BB266)))</f>
        <v>0.3</v>
      </c>
      <c r="BD266" s="115" t="n">
        <f aca="false">IF($C266="&lt;01",IFERROR(ROUND(INDEX(EID!$M:$M,MATCH($B266,EID!$B:$B,0)),0)/2,""),IF(SUM($AY266)=0,"",ROUND(SUM($AY266)/SUM($BA266),0)))</f>
        <v>24</v>
      </c>
      <c r="BE266" s="115" t="n">
        <f aca="false">IF($C266="&lt;01","",IF(SUM($BD266)=0,"",ROUND(SUM($BD266)*SUM($BC266),0)))</f>
        <v>7</v>
      </c>
      <c r="BF266" s="115" t="str">
        <f aca="false">_xlfn.IFNA(INDEX(PMTCT!$AE:$AE,MATCH($E266,PMTCT!$E:$E,0)),"")</f>
        <v/>
      </c>
      <c r="BG266" s="115" t="str">
        <f aca="false">_xlfn.IFNA(INDEX(PMTCT!$AU:$AU,MATCH($E266,PMTCT!$E:$E,0)),"")</f>
        <v/>
      </c>
      <c r="BH266" s="115" t="n">
        <f aca="false">_xlfn.IFNA(INDEX(TB!$Q:$Q,MATCH($E266,TB!$E:$E,0)),"")</f>
        <v>0</v>
      </c>
      <c r="BI266" s="115" t="str">
        <f aca="false">_xlfn.IFNA(INDEX(VMMC!$AC:$AC,MATCH($E266,VMMC!$E:$E,0)),"")</f>
        <v/>
      </c>
      <c r="BJ266" s="115" t="str">
        <f aca="false">IF($C266="&lt;01",$BD266,"")</f>
        <v/>
      </c>
      <c r="BK266" s="115" t="n">
        <f aca="false">IF(SUM($BD266)=0,"",($BD266)-SUM($BE266:$BJ266))</f>
        <v>17</v>
      </c>
      <c r="BL266" s="123" t="n">
        <f aca="false">IF(OR(SUM($BD266)=0,SUM($BE266)=0),"",SUM($BE266)/$BD266)</f>
        <v>0.291666666666667</v>
      </c>
      <c r="BM266" s="123" t="str">
        <f aca="false">IF(OR(SUM($BD266)=0,SUM($BF266)=0),"",SUM($BF266)/$BD266)</f>
        <v/>
      </c>
      <c r="BN266" s="123" t="str">
        <f aca="false">IF(OR(SUM($BD266)=0,SUM($BG266)=0),"",SUM($BG266)/$BD266)</f>
        <v/>
      </c>
      <c r="BO266" s="123" t="str">
        <f aca="false">IF(OR(SUM($BD266)=0,SUM($BH266)=0),"",SUM($BH266)/$BD266)</f>
        <v/>
      </c>
      <c r="BP266" s="123" t="str">
        <f aca="false">IF(OR(SUM($BD266)=0,SUM($BI266)=0),"",SUM($BI266)/$BD266)</f>
        <v/>
      </c>
      <c r="BQ266" s="123" t="str">
        <f aca="false">IF(AND($C266="&lt;01",SUM($BJ266)&lt;&gt;0),$BJ266/SUM($BD266),"")</f>
        <v/>
      </c>
      <c r="BR266" s="123" t="n">
        <f aca="false">IF(OR(SUM($BD266)=0,SUM($BK266)=0),"",SUM($BK266)/$BD266)</f>
        <v>0.708333333333333</v>
      </c>
      <c r="BS266" s="122" t="n">
        <f aca="false">IF(SUM($X266)&lt;=0,"",$X266)</f>
        <v>0.258620689655172</v>
      </c>
      <c r="BT266" s="115" t="n">
        <f aca="false">IF(LEFT($B266,4)="_Mil","",MAX(SUM($L266)+ROUND(SUM($BD266)/IF(SUM($BS266)&lt;=0,1,SUM($BS266)),0),0))</f>
        <v>330</v>
      </c>
    </row>
    <row r="267" customFormat="false" ht="15" hidden="false" customHeight="false" outlineLevel="0" collapsed="false">
      <c r="A267" s="0" t="s">
        <v>151</v>
      </c>
      <c r="B267" s="0" t="s">
        <v>101</v>
      </c>
      <c r="C267" s="0" t="s">
        <v>69</v>
      </c>
      <c r="D267" s="0" t="s">
        <v>56</v>
      </c>
      <c r="E267" s="0" t="str">
        <f aca="false">B267&amp;"|"&amp;C267&amp;"|"&amp;D267</f>
        <v>Thaba Tseka [#SNU] [jyhIrCoB31x]|25-29|Female</v>
      </c>
      <c r="F267" s="115" t="n">
        <f aca="false">_xlfn.IFNA(ROUND(INDEX(Spectrum!$N:$N,MATCH(RIGHT($B267,13)&amp;"|"&amp;$C267&amp;"|"&amp;$D267&amp;"|"&amp;F$14&amp;"|"&amp;"CY2021Q3",Spectrum!$Q:$Q,0)),0),"")</f>
        <v>5307</v>
      </c>
      <c r="G267" s="123" t="n">
        <f aca="false">_xlfn.IFNA(INDEX(Spectrum!$P:$P,MATCH(RIGHT($B267,13)&amp;"|"&amp;$C267&amp;"|"&amp;$D267&amp;"|"&amp;F$14&amp;"|"&amp;"CY2021Q3",Spectrum!$Q:$Q,0)),"")</f>
        <v>25</v>
      </c>
      <c r="H267" s="115" t="n">
        <f aca="false">_xlfn.IFNA(ROUND(INDEX(Spectrum!$N:$N,MATCH(RIGHT($B267,13)&amp;"|"&amp;$C267&amp;"|"&amp;$D267&amp;"|"&amp;H$14&amp;"|"&amp;"CY2021Q3",Spectrum!$Q:$Q,0)),0),"")</f>
        <v>1225</v>
      </c>
      <c r="I267" s="123" t="n">
        <f aca="false">_xlfn.IFNA(INDEX(Spectrum!$P:$P,MATCH(RIGHT($B267,13)&amp;"|"&amp;$C267&amp;"|"&amp;$D267&amp;"|"&amp;H$14&amp;"|"&amp;"CY2021Q3",Spectrum!$Q:$Q,0)),"")</f>
        <v>1</v>
      </c>
      <c r="J267" s="117" t="n">
        <f aca="false">_xlfn.IFNA(INDEX(Spectrum!$N:$N,MATCH(RIGHT($B267,13)&amp;"|"&amp;$C267&amp;"|"&amp;$D267&amp;"|"&amp;J$14&amp;"|"&amp;"CY2021Q3",Spectrum!$Q:$Q,0)),"")</f>
        <v>0.2308018</v>
      </c>
      <c r="K267" s="123" t="n">
        <f aca="false">_xlfn.IFNA(INDEX(Spectrum!$P:$P,MATCH(RIGHT($B267,13)&amp;"|"&amp;$C267&amp;"|"&amp;$D267&amp;"|"&amp;J$14&amp;"|"&amp;"CY2021Q3",Spectrum!$Q:$Q,0)),"")</f>
        <v>32</v>
      </c>
      <c r="L267" s="115" t="n">
        <f aca="false">_xlfn.IFNA(ROUND(INDEX(Spectrum!$N:$N,MATCH(RIGHT($B267,13)&amp;"|"&amp;$C267&amp;"|"&amp;$D267&amp;"|"&amp;L$14&amp;"|"&amp;"CY2021Q3",Spectrum!$Q:$Q,0)),0),"")</f>
        <v>958</v>
      </c>
      <c r="M267" s="123" t="n">
        <f aca="false">IF(OR(SUM($H267)&lt;=0,SUM($L267)&lt;=0),"",SUM($L267)/$H267)</f>
        <v>0.782040816326531</v>
      </c>
      <c r="N267" s="115" t="str">
        <f aca="false">_xlfn.IFNA(ROUND(INDEX(Spectrum!$N:$N,MATCH(RIGHT($B267,13)&amp;"|"&amp;$C267&amp;"|"&amp;$D267&amp;"|"&amp;N$14&amp;"|"&amp;"CY2020Q4",Spectrum!$Q:$Q,0)),0),"")</f>
        <v/>
      </c>
      <c r="O267" s="123" t="str">
        <f aca="false">_xlfn.IFNA(INDEX(Spectrum!$P:$P,MATCH(RIGHT($B267,13)&amp;"|"&amp;$C267&amp;"|"&amp;$D267&amp;"|"&amp;N$14&amp;"|"&amp;"CY2020Q4",Spectrum!$Q:$Q,0)),"")</f>
        <v/>
      </c>
      <c r="P267" s="115" t="n">
        <f aca="false">_xlfn.IFNA(ROUND(INDEX(Spectrum!$N:$N,MATCH(RIGHT($B267,13)&amp;"|"&amp;$C267&amp;"|"&amp;$D267&amp;"|"&amp;P$14&amp;"|"&amp;"CY2021Q3",Spectrum!$Q:$Q,0)),0),"")</f>
        <v>834</v>
      </c>
      <c r="Q267" s="123" t="n">
        <f aca="false">_xlfn.IFNA(INDEX(Spectrum!$P:$P,MATCH(RIGHT($B267,13)&amp;"|"&amp;$C267&amp;"|"&amp;$D267&amp;"|"&amp;P$14&amp;"|"&amp;"CY2021Q3",Spectrum!$Q:$Q,0)),"")</f>
        <v>44</v>
      </c>
      <c r="R267" s="115"/>
      <c r="S267" s="123" t="str">
        <f aca="false">IF(OR(SUM($P267)&lt;=0,SUM($R267)&lt;=0),"",SUM($R267)/$P267)</f>
        <v/>
      </c>
      <c r="T267" s="139" t="n">
        <v>41</v>
      </c>
      <c r="U267" s="124" t="n">
        <v>32</v>
      </c>
      <c r="V267" s="124" t="n">
        <f aca="false">IF($U267-$T267=0,"",$U267-$T267)</f>
        <v>-9</v>
      </c>
      <c r="W267" s="123" t="n">
        <f aca="false">IF(LEFT($B267,4)="_Mil","",IFERROR(MIN(IF(SUM($N267)&lt;=0,SUM($U267)/SUM($P267),SUM($T267)/SUM($N267)),1),""))</f>
        <v>0.0383693045563549</v>
      </c>
      <c r="X267" s="123" t="n">
        <f aca="false">$W267</f>
        <v>0.0383693045563549</v>
      </c>
      <c r="Y267" s="123" t="n">
        <f aca="false">IFERROR(1/(1/INDEX(Spectrum!$N:$N,MATCH(RIGHT($B267,13)&amp;"|"&amp;$C267&amp;"|"&amp;$D267&amp;"|"&amp;Y$14&amp;"|"&amp;"CY2021Q3",Spectrum!$Q:$Q,0))),IF(SUM($H267)=0,"",MAX(SUM($P267),SUM($U267))/SUM($H267)))</f>
        <v>0.680816326530612</v>
      </c>
      <c r="Z267" s="123" t="n">
        <f aca="false">IF(SUM($Y267)=0,"",MAX(SUM($Y267),90%))</f>
        <v>0.9</v>
      </c>
      <c r="AA267" s="115" t="n">
        <f aca="false">IF(LEFT($B267,4)="_Mil","",ROUND(MAX(SUM($U267),SUM($P267))+IF(SUM($Z267)=0,0,MAX(SUM($Z267)-SUM($Y267),0)*SUM($H267)),0))</f>
        <v>1103</v>
      </c>
      <c r="AB267" s="115" t="n">
        <f aca="false">IF(SUM($AA267)=0,"",ROUND(MAX(SUM($AA267)-MAX(SUM($P267),SUM($U267)),0),0))</f>
        <v>269</v>
      </c>
      <c r="AC267" s="126" t="str">
        <f aca="false">IF($C267="&lt;01",IFERROR(ROUND(INDEX(EID!$N:$N,MATCH($B267,EID!$B:$B,0))/2,0),""),"")</f>
        <v/>
      </c>
      <c r="AD267" s="115" t="n">
        <f aca="false">IF($C267="&lt;01",IF(SUM($AC267)=0,"",ROUND(SUM($AC267)/$AG267,0)),IF(SUM($AB267)=0,"",ROUND(MAX($X267,0)*SUM($AB267),0)))</f>
        <v>10</v>
      </c>
      <c r="AE267" s="115" t="n">
        <f aca="false">IF(AND(SUM($AD267)=0,SUM($U267)=0),"",ROUND(IF($C267="&lt;01",0,SUM($U267))+SUM($AD267),0))</f>
        <v>42</v>
      </c>
      <c r="AF267" s="122" t="n">
        <f aca="false">IF($C267="&lt;01","",100%)</f>
        <v>1</v>
      </c>
      <c r="AG267" s="123" t="n">
        <f aca="false">0.98</f>
        <v>0.98</v>
      </c>
      <c r="AH267" s="123" t="n">
        <f aca="false">0.98</f>
        <v>0.98</v>
      </c>
      <c r="AI267" s="124" t="n">
        <f aca="false">IF(OR($C267="&lt;01",SUM($U267)=0),"",ROUND(SUM($U267)*(1-$AH267),0))</f>
        <v>1</v>
      </c>
      <c r="AJ267" s="124" t="n">
        <f aca="false">IF(AND(SUM($AE267)=0,SUM($U267)=0),"",IF($C267="&lt;01",SUM($AD267),SUM($AE267) - ROUND(SUM($U267)*$AH267,0)))</f>
        <v>11</v>
      </c>
      <c r="AK267" s="124" t="n">
        <v>19</v>
      </c>
      <c r="AL267" s="124" t="n">
        <v>9</v>
      </c>
      <c r="AM267" s="115" t="n">
        <f aca="false">IF(AND(SUM($AD267)=0,SUM($U267)=0),"",IF($C267="&lt;01",SUM($AD267),ROUND(ROUND(SUM($AJ267)*$AF267,0)/$AG267,0)))</f>
        <v>11</v>
      </c>
      <c r="AN267" s="122" t="n">
        <f aca="false">0.7</f>
        <v>0.7</v>
      </c>
      <c r="AO267" s="123" t="n">
        <f aca="false">1</f>
        <v>1</v>
      </c>
      <c r="AP267" s="115" t="n">
        <f aca="false">IF(AND(SUM($U267)=0,SUM($AM267)=0),"",ROUND((SUM($AM267)*$AN267+IF($C267="&lt;01",0,$U267))*$AO267,0))</f>
        <v>40</v>
      </c>
      <c r="AQ267" s="122" t="n">
        <v>29</v>
      </c>
      <c r="AR267" s="123" t="n">
        <f aca="false">0.95</f>
        <v>0.95</v>
      </c>
      <c r="AS267" s="123" t="n">
        <f aca="false">0.95</f>
        <v>0.95</v>
      </c>
      <c r="AT267" s="115" t="n">
        <f aca="false">IF(SUM($AP267)=0,"",ROUND(SUM($AP267)*$AR267,0))</f>
        <v>38</v>
      </c>
      <c r="AU267" s="115" t="n">
        <f aca="false">IF(LEFT($B267,4)="_Mil","",ROUND(SUM($AA267)*SUM($AS267),0))</f>
        <v>1048</v>
      </c>
      <c r="AV267" s="124" t="n">
        <f aca="false">IF(SUM($AU267)&lt;=0,"",MAX(SUM($AU267)-SUM($R267),0))</f>
        <v>1048</v>
      </c>
      <c r="AW267" s="122" t="n">
        <f aca="false">0</f>
        <v>0</v>
      </c>
      <c r="AX267" s="124" t="n">
        <f aca="false">IF(SUM($AM267)=0,"",ROUND(SUM($AM267)*SUM($AW267),0))</f>
        <v>0</v>
      </c>
      <c r="AY267" s="124" t="n">
        <f aca="false">IF(SUM($AM267)=0,"",SUM($AM267)-SUM($AX267))</f>
        <v>11</v>
      </c>
      <c r="AZ267" s="123" t="n">
        <v>18</v>
      </c>
      <c r="BA267" s="123" t="n">
        <f aca="false">0.95</f>
        <v>0.95</v>
      </c>
      <c r="BB267" s="123"/>
      <c r="BC267" s="123" t="n">
        <f aca="false">IF(OR(SUM($AM267)&lt;=0,$C267="&lt;01"),"",MAX(IF(OR(SUM($Y267)&lt;70%,LEFT($B267,4)="_Mil"),30%,IF(SUM($Y267)&gt;=80%,75%,50%)),SUM($BB267)))</f>
        <v>0.3</v>
      </c>
      <c r="BD267" s="115" t="n">
        <f aca="false">IF($C267="&lt;01",IFERROR(ROUND(INDEX(EID!$M:$M,MATCH($B267,EID!$B:$B,0)),0)/2,""),IF(SUM($AY267)=0,"",ROUND(SUM($AY267)/SUM($BA267),0)))</f>
        <v>12</v>
      </c>
      <c r="BE267" s="115" t="n">
        <f aca="false">IF($C267="&lt;01","",IF(SUM($BD267)=0,"",ROUND(SUM($BD267)*SUM($BC267),0)))</f>
        <v>4</v>
      </c>
      <c r="BF267" s="115" t="n">
        <f aca="false">_xlfn.IFNA(INDEX(PMTCT!$AE:$AE,MATCH($E267,PMTCT!$E:$E,0)),"")</f>
        <v>-11160</v>
      </c>
      <c r="BG267" s="115" t="str">
        <f aca="false">_xlfn.IFNA(INDEX(PMTCT!$AU:$AU,MATCH($E267,PMTCT!$E:$E,0)),"")</f>
        <v/>
      </c>
      <c r="BH267" s="115" t="n">
        <f aca="false">_xlfn.IFNA(INDEX(TB!$Q:$Q,MATCH($E267,TB!$E:$E,0)),"")</f>
        <v>-0</v>
      </c>
      <c r="BI267" s="115" t="str">
        <f aca="false">_xlfn.IFNA(INDEX(VMMC!$AC:$AC,MATCH($E267,VMMC!$E:$E,0)),"")</f>
        <v/>
      </c>
      <c r="BJ267" s="115" t="str">
        <f aca="false">IF($C267="&lt;01",$BD267,"")</f>
        <v/>
      </c>
      <c r="BK267" s="115" t="n">
        <f aca="false">IF(SUM($BD267)=0,"",($BD267)-SUM($BE267:$BJ267))</f>
        <v>11168</v>
      </c>
      <c r="BL267" s="123" t="n">
        <f aca="false">IF(OR(SUM($BD267)=0,SUM($BE267)=0),"",SUM($BE267)/$BD267)</f>
        <v>0.333333333333333</v>
      </c>
      <c r="BM267" s="123" t="n">
        <f aca="false">IF(OR(SUM($BD267)=0,SUM($BF267)=0),"",SUM($BF267)/$BD267)</f>
        <v>-930</v>
      </c>
      <c r="BN267" s="123" t="str">
        <f aca="false">IF(OR(SUM($BD267)=0,SUM($BG267)=0),"",SUM($BG267)/$BD267)</f>
        <v/>
      </c>
      <c r="BO267" s="123" t="str">
        <f aca="false">IF(OR(SUM($BD267)=0,SUM($BH267)=0),"",SUM($BH267)/$BD267)</f>
        <v/>
      </c>
      <c r="BP267" s="123" t="str">
        <f aca="false">IF(OR(SUM($BD267)=0,SUM($BI267)=0),"",SUM($BI267)/$BD267)</f>
        <v/>
      </c>
      <c r="BQ267" s="123" t="str">
        <f aca="false">IF(AND($C267="&lt;01",SUM($BJ267)&lt;&gt;0),$BJ267/SUM($BD267),"")</f>
        <v/>
      </c>
      <c r="BR267" s="123" t="n">
        <f aca="false">IF(OR(SUM($BD267)=0,SUM($BK267)=0),"",SUM($BK267)/$BD267)</f>
        <v>930.666666666667</v>
      </c>
      <c r="BS267" s="122" t="n">
        <f aca="false">IF(SUM($X267)&lt;=0,"",$X267)</f>
        <v>0.0383693045563549</v>
      </c>
      <c r="BT267" s="115" t="n">
        <f aca="false">IF(LEFT($B267,4)="_Mil","",MAX(SUM($L267)+ROUND(SUM($BD267)/IF(SUM($BS267)&lt;=0,1,SUM($BS267)),0),0))</f>
        <v>1271</v>
      </c>
    </row>
    <row r="268" customFormat="false" ht="15" hidden="false" customHeight="false" outlineLevel="0" collapsed="false">
      <c r="A268" s="0" t="s">
        <v>151</v>
      </c>
      <c r="B268" s="0" t="s">
        <v>101</v>
      </c>
      <c r="C268" s="0" t="s">
        <v>69</v>
      </c>
      <c r="D268" s="0" t="s">
        <v>58</v>
      </c>
      <c r="E268" s="0" t="str">
        <f aca="false">B268&amp;"|"&amp;C268&amp;"|"&amp;D268</f>
        <v>Thaba Tseka [#SNU] [jyhIrCoB31x]|25-29|Male</v>
      </c>
      <c r="F268" s="115" t="n">
        <f aca="false">_xlfn.IFNA(ROUND(INDEX(Spectrum!$N:$N,MATCH(RIGHT($B268,13)&amp;"|"&amp;$C268&amp;"|"&amp;$D268&amp;"|"&amp;F$14&amp;"|"&amp;"CY2021Q3",Spectrum!$Q:$Q,0)),0),"")</f>
        <v>5944</v>
      </c>
      <c r="G268" s="123" t="n">
        <f aca="false">_xlfn.IFNA(INDEX(Spectrum!$P:$P,MATCH(RIGHT($B268,13)&amp;"|"&amp;$C268&amp;"|"&amp;$D268&amp;"|"&amp;F$14&amp;"|"&amp;"CY2021Q3",Spectrum!$Q:$Q,0)),"")</f>
        <v>34</v>
      </c>
      <c r="H268" s="115" t="n">
        <f aca="false">_xlfn.IFNA(ROUND(INDEX(Spectrum!$N:$N,MATCH(RIGHT($B268,13)&amp;"|"&amp;$C268&amp;"|"&amp;$D268&amp;"|"&amp;H$14&amp;"|"&amp;"CY2021Q3",Spectrum!$Q:$Q,0)),0),"")</f>
        <v>586</v>
      </c>
      <c r="I268" s="123" t="n">
        <f aca="false">_xlfn.IFNA(INDEX(Spectrum!$P:$P,MATCH(RIGHT($B268,13)&amp;"|"&amp;$C268&amp;"|"&amp;$D268&amp;"|"&amp;H$14&amp;"|"&amp;"CY2021Q3",Spectrum!$Q:$Q,0)),"")</f>
        <v>21</v>
      </c>
      <c r="J268" s="117" t="n">
        <f aca="false">_xlfn.IFNA(INDEX(Spectrum!$N:$N,MATCH(RIGHT($B268,13)&amp;"|"&amp;$C268&amp;"|"&amp;$D268&amp;"|"&amp;J$14&amp;"|"&amp;"CY2021Q3",Spectrum!$Q:$Q,0)),"")</f>
        <v>0.0985727</v>
      </c>
      <c r="K268" s="123" t="n">
        <f aca="false">_xlfn.IFNA(INDEX(Spectrum!$P:$P,MATCH(RIGHT($B268,13)&amp;"|"&amp;$C268&amp;"|"&amp;$D268&amp;"|"&amp;J$14&amp;"|"&amp;"CY2021Q3",Spectrum!$Q:$Q,0)),"")</f>
        <v>24</v>
      </c>
      <c r="L268" s="115" t="n">
        <f aca="false">_xlfn.IFNA(ROUND(INDEX(Spectrum!$N:$N,MATCH(RIGHT($B268,13)&amp;"|"&amp;$C268&amp;"|"&amp;$D268&amp;"|"&amp;L$14&amp;"|"&amp;"CY2021Q3",Spectrum!$Q:$Q,0)),0),"")</f>
        <v>418</v>
      </c>
      <c r="M268" s="123" t="n">
        <f aca="false">IF(OR(SUM($H268)&lt;=0,SUM($L268)&lt;=0),"",SUM($L268)/$H268)</f>
        <v>0.713310580204778</v>
      </c>
      <c r="N268" s="115" t="str">
        <f aca="false">_xlfn.IFNA(ROUND(INDEX(Spectrum!$N:$N,MATCH(RIGHT($B268,13)&amp;"|"&amp;$C268&amp;"|"&amp;$D268&amp;"|"&amp;N$14&amp;"|"&amp;"CY2020Q4",Spectrum!$Q:$Q,0)),0),"")</f>
        <v/>
      </c>
      <c r="O268" s="123" t="str">
        <f aca="false">_xlfn.IFNA(INDEX(Spectrum!$P:$P,MATCH(RIGHT($B268,13)&amp;"|"&amp;$C268&amp;"|"&amp;$D268&amp;"|"&amp;N$14&amp;"|"&amp;"CY2020Q4",Spectrum!$Q:$Q,0)),"")</f>
        <v/>
      </c>
      <c r="P268" s="115" t="n">
        <f aca="false">_xlfn.IFNA(ROUND(INDEX(Spectrum!$N:$N,MATCH(RIGHT($B268,13)&amp;"|"&amp;$C268&amp;"|"&amp;$D268&amp;"|"&amp;P$14&amp;"|"&amp;"CY2021Q3",Spectrum!$Q:$Q,0)),0),"")</f>
        <v>309</v>
      </c>
      <c r="Q268" s="123" t="n">
        <f aca="false">_xlfn.IFNA(INDEX(Spectrum!$P:$P,MATCH(RIGHT($B268,13)&amp;"|"&amp;$C268&amp;"|"&amp;$D268&amp;"|"&amp;P$14&amp;"|"&amp;"CY2021Q3",Spectrum!$Q:$Q,0)),"")</f>
        <v>14</v>
      </c>
      <c r="R268" s="115"/>
      <c r="S268" s="123" t="str">
        <f aca="false">IF(OR(SUM($P268)&lt;=0,SUM($R268)&lt;=0),"",SUM($R268)/$P268)</f>
        <v/>
      </c>
      <c r="T268" s="139" t="n">
        <v>25</v>
      </c>
      <c r="U268" s="124" t="n">
        <v>7</v>
      </c>
      <c r="V268" s="124" t="n">
        <f aca="false">IF($U268-$T268=0,"",$U268-$T268)</f>
        <v>-18</v>
      </c>
      <c r="W268" s="123" t="n">
        <f aca="false">IF(LEFT($B268,4)="_Mil","",IFERROR(MIN(IF(SUM($N268)&lt;=0,SUM($U268)/SUM($P268),SUM($T268)/SUM($N268)),1),""))</f>
        <v>0.0226537216828479</v>
      </c>
      <c r="X268" s="123" t="n">
        <f aca="false">$W268</f>
        <v>0.0226537216828479</v>
      </c>
      <c r="Y268" s="123" t="n">
        <f aca="false">IFERROR(1/(1/INDEX(Spectrum!$N:$N,MATCH(RIGHT($B268,13)&amp;"|"&amp;$C268&amp;"|"&amp;$D268&amp;"|"&amp;Y$14&amp;"|"&amp;"CY2021Q3",Spectrum!$Q:$Q,0))),IF(SUM($H268)=0,"",MAX(SUM($P268),SUM($U268))/SUM($H268)))</f>
        <v>0.527303754266212</v>
      </c>
      <c r="Z268" s="123" t="n">
        <f aca="false">IF(SUM($Y268)=0,"",MAX(SUM($Y268),90%))</f>
        <v>0.9</v>
      </c>
      <c r="AA268" s="115" t="n">
        <f aca="false">IF(LEFT($B268,4)="_Mil","",ROUND(MAX(SUM($U268),SUM($P268))+IF(SUM($Z268)=0,0,MAX(SUM($Z268)-SUM($Y268),0)*SUM($H268)),0))</f>
        <v>527</v>
      </c>
      <c r="AB268" s="115" t="n">
        <f aca="false">IF(SUM($AA268)=0,"",ROUND(MAX(SUM($AA268)-MAX(SUM($P268),SUM($U268)),0),0))</f>
        <v>218</v>
      </c>
      <c r="AC268" s="126" t="str">
        <f aca="false">IF($C268="&lt;01",IFERROR(ROUND(INDEX(EID!$N:$N,MATCH($B268,EID!$B:$B,0))/2,0),""),"")</f>
        <v/>
      </c>
      <c r="AD268" s="115" t="n">
        <f aca="false">IF($C268="&lt;01",IF(SUM($AC268)=0,"",ROUND(SUM($AC268)/$AG268,0)),IF(SUM($AB268)=0,"",ROUND(MAX($X268,0)*SUM($AB268),0)))</f>
        <v>5</v>
      </c>
      <c r="AE268" s="115" t="n">
        <f aca="false">IF(AND(SUM($AD268)=0,SUM($U268)=0),"",ROUND(IF($C268="&lt;01",0,SUM($U268))+SUM($AD268),0))</f>
        <v>12</v>
      </c>
      <c r="AF268" s="122" t="n">
        <f aca="false">IF($C268="&lt;01","",100%)</f>
        <v>1</v>
      </c>
      <c r="AG268" s="123" t="n">
        <f aca="false">0.98</f>
        <v>0.98</v>
      </c>
      <c r="AH268" s="123" t="n">
        <f aca="false">0.98</f>
        <v>0.98</v>
      </c>
      <c r="AI268" s="124" t="n">
        <f aca="false">IF(OR($C268="&lt;01",SUM($U268)=0),"",ROUND(SUM($U268)*(1-$AH268),0))</f>
        <v>0</v>
      </c>
      <c r="AJ268" s="124" t="n">
        <f aca="false">IF(AND(SUM($AE268)=0,SUM($U268)=0),"",IF($C268="&lt;01",SUM($AD268),SUM($AE268) - ROUND(SUM($U268)*$AH268,0)))</f>
        <v>5</v>
      </c>
      <c r="AK268" s="124" t="n">
        <v>2</v>
      </c>
      <c r="AL268" s="124" t="n">
        <v>27</v>
      </c>
      <c r="AM268" s="115" t="n">
        <f aca="false">IF(AND(SUM($AD268)=0,SUM($U268)=0),"",IF($C268="&lt;01",SUM($AD268),ROUND(ROUND(SUM($AJ268)*$AF268,0)/$AG268,0)))</f>
        <v>5</v>
      </c>
      <c r="AN268" s="122" t="n">
        <f aca="false">0.7</f>
        <v>0.7</v>
      </c>
      <c r="AO268" s="123" t="n">
        <f aca="false">1</f>
        <v>1</v>
      </c>
      <c r="AP268" s="115" t="n">
        <f aca="false">IF(AND(SUM($U268)=0,SUM($AM268)=0),"",ROUND((SUM($AM268)*$AN268+IF($C268="&lt;01",0,$U268))*$AO268,0))</f>
        <v>11</v>
      </c>
      <c r="AQ268" s="122" t="n">
        <v>14</v>
      </c>
      <c r="AR268" s="123" t="n">
        <f aca="false">0.95</f>
        <v>0.95</v>
      </c>
      <c r="AS268" s="123" t="n">
        <f aca="false">0.95</f>
        <v>0.95</v>
      </c>
      <c r="AT268" s="115" t="n">
        <f aca="false">IF(SUM($AP268)=0,"",ROUND(SUM($AP268)*$AR268,0))</f>
        <v>10</v>
      </c>
      <c r="AU268" s="115" t="n">
        <f aca="false">IF(LEFT($B268,4)="_Mil","",ROUND(SUM($AA268)*SUM($AS268),0))</f>
        <v>501</v>
      </c>
      <c r="AV268" s="124" t="n">
        <f aca="false">IF(SUM($AU268)&lt;=0,"",MAX(SUM($AU268)-SUM($R268),0))</f>
        <v>501</v>
      </c>
      <c r="AW268" s="122" t="n">
        <f aca="false">0</f>
        <v>0</v>
      </c>
      <c r="AX268" s="124" t="n">
        <f aca="false">IF(SUM($AM268)=0,"",ROUND(SUM($AM268)*SUM($AW268),0))</f>
        <v>0</v>
      </c>
      <c r="AY268" s="124" t="n">
        <f aca="false">IF(SUM($AM268)=0,"",SUM($AM268)-SUM($AX268))</f>
        <v>5</v>
      </c>
      <c r="AZ268" s="123" t="n">
        <v>35</v>
      </c>
      <c r="BA268" s="123" t="n">
        <f aca="false">0.95</f>
        <v>0.95</v>
      </c>
      <c r="BB268" s="123"/>
      <c r="BC268" s="123" t="n">
        <f aca="false">IF(OR(SUM($AM268)&lt;=0,$C268="&lt;01"),"",MAX(IF(OR(SUM($Y268)&lt;70%,LEFT($B268,4)="_Mil"),30%,IF(SUM($Y268)&gt;=80%,75%,50%)),SUM($BB268)))</f>
        <v>0.3</v>
      </c>
      <c r="BD268" s="115" t="n">
        <f aca="false">IF($C268="&lt;01",IFERROR(ROUND(INDEX(EID!$M:$M,MATCH($B268,EID!$B:$B,0)),0)/2,""),IF(SUM($AY268)=0,"",ROUND(SUM($AY268)/SUM($BA268),0)))</f>
        <v>5</v>
      </c>
      <c r="BE268" s="115" t="n">
        <f aca="false">IF($C268="&lt;01","",IF(SUM($BD268)=0,"",ROUND(SUM($BD268)*SUM($BC268),0)))</f>
        <v>2</v>
      </c>
      <c r="BF268" s="115" t="str">
        <f aca="false">_xlfn.IFNA(INDEX(PMTCT!$AE:$AE,MATCH($E268,PMTCT!$E:$E,0)),"")</f>
        <v/>
      </c>
      <c r="BG268" s="115" t="str">
        <f aca="false">_xlfn.IFNA(INDEX(PMTCT!$AU:$AU,MATCH($E268,PMTCT!$E:$E,0)),"")</f>
        <v/>
      </c>
      <c r="BH268" s="115" t="n">
        <f aca="false">_xlfn.IFNA(INDEX(TB!$Q:$Q,MATCH($E268,TB!$E:$E,0)),"")</f>
        <v>-0</v>
      </c>
      <c r="BI268" s="115" t="str">
        <f aca="false">_xlfn.IFNA(INDEX(VMMC!$AC:$AC,MATCH($E268,VMMC!$E:$E,0)),"")</f>
        <v/>
      </c>
      <c r="BJ268" s="115" t="str">
        <f aca="false">IF($C268="&lt;01",$BD268,"")</f>
        <v/>
      </c>
      <c r="BK268" s="115" t="n">
        <f aca="false">IF(SUM($BD268)=0,"",($BD268)-SUM($BE268:$BJ268))</f>
        <v>3</v>
      </c>
      <c r="BL268" s="123" t="n">
        <f aca="false">IF(OR(SUM($BD268)=0,SUM($BE268)=0),"",SUM($BE268)/$BD268)</f>
        <v>0.4</v>
      </c>
      <c r="BM268" s="123" t="str">
        <f aca="false">IF(OR(SUM($BD268)=0,SUM($BF268)=0),"",SUM($BF268)/$BD268)</f>
        <v/>
      </c>
      <c r="BN268" s="123" t="str">
        <f aca="false">IF(OR(SUM($BD268)=0,SUM($BG268)=0),"",SUM($BG268)/$BD268)</f>
        <v/>
      </c>
      <c r="BO268" s="123" t="str">
        <f aca="false">IF(OR(SUM($BD268)=0,SUM($BH268)=0),"",SUM($BH268)/$BD268)</f>
        <v/>
      </c>
      <c r="BP268" s="123" t="str">
        <f aca="false">IF(OR(SUM($BD268)=0,SUM($BI268)=0),"",SUM($BI268)/$BD268)</f>
        <v/>
      </c>
      <c r="BQ268" s="123" t="str">
        <f aca="false">IF(AND($C268="&lt;01",SUM($BJ268)&lt;&gt;0),$BJ268/SUM($BD268),"")</f>
        <v/>
      </c>
      <c r="BR268" s="123" t="n">
        <f aca="false">IF(OR(SUM($BD268)=0,SUM($BK268)=0),"",SUM($BK268)/$BD268)</f>
        <v>0.6</v>
      </c>
      <c r="BS268" s="122" t="n">
        <f aca="false">IF(SUM($X268)&lt;=0,"",$X268)</f>
        <v>0.0226537216828479</v>
      </c>
      <c r="BT268" s="115" t="n">
        <f aca="false">IF(LEFT($B268,4)="_Mil","",MAX(SUM($L268)+ROUND(SUM($BD268)/IF(SUM($BS268)&lt;=0,1,SUM($BS268)),0),0))</f>
        <v>639</v>
      </c>
    </row>
    <row r="269" customFormat="false" ht="15" hidden="false" customHeight="false" outlineLevel="0" collapsed="false">
      <c r="A269" s="0" t="s">
        <v>151</v>
      </c>
      <c r="B269" s="0" t="s">
        <v>101</v>
      </c>
      <c r="C269" s="0" t="s">
        <v>72</v>
      </c>
      <c r="D269" s="0" t="s">
        <v>56</v>
      </c>
      <c r="E269" s="0" t="str">
        <f aca="false">B269&amp;"|"&amp;C269&amp;"|"&amp;D269</f>
        <v>Thaba Tseka [#SNU] [jyhIrCoB31x]|30-34|Female</v>
      </c>
      <c r="F269" s="115" t="n">
        <f aca="false">_xlfn.IFNA(ROUND(INDEX(Spectrum!$N:$N,MATCH(RIGHT($B269,13)&amp;"|"&amp;$C269&amp;"|"&amp;$D269&amp;"|"&amp;F$14&amp;"|"&amp;"CY2021Q3",Spectrum!$Q:$Q,0)),0),"")</f>
        <v>4772</v>
      </c>
      <c r="G269" s="123" t="n">
        <f aca="false">_xlfn.IFNA(INDEX(Spectrum!$P:$P,MATCH(RIGHT($B269,13)&amp;"|"&amp;$C269&amp;"|"&amp;$D269&amp;"|"&amp;F$14&amp;"|"&amp;"CY2021Q3",Spectrum!$Q:$Q,0)),"")</f>
        <v>21</v>
      </c>
      <c r="H269" s="115" t="n">
        <f aca="false">_xlfn.IFNA(ROUND(INDEX(Spectrum!$N:$N,MATCH(RIGHT($B269,13)&amp;"|"&amp;$C269&amp;"|"&amp;$D269&amp;"|"&amp;H$14&amp;"|"&amp;"CY2021Q3",Spectrum!$Q:$Q,0)),0),"")</f>
        <v>1653</v>
      </c>
      <c r="I269" s="123" t="n">
        <f aca="false">_xlfn.IFNA(INDEX(Spectrum!$P:$P,MATCH(RIGHT($B269,13)&amp;"|"&amp;$C269&amp;"|"&amp;$D269&amp;"|"&amp;H$14&amp;"|"&amp;"CY2021Q3",Spectrum!$Q:$Q,0)),"")</f>
        <v>23</v>
      </c>
      <c r="J269" s="117" t="n">
        <f aca="false">_xlfn.IFNA(INDEX(Spectrum!$N:$N,MATCH(RIGHT($B269,13)&amp;"|"&amp;$C269&amp;"|"&amp;$D269&amp;"|"&amp;J$14&amp;"|"&amp;"CY2021Q3",Spectrum!$Q:$Q,0)),"")</f>
        <v>0.3463225</v>
      </c>
      <c r="K269" s="123" t="n">
        <f aca="false">_xlfn.IFNA(INDEX(Spectrum!$P:$P,MATCH(RIGHT($B269,13)&amp;"|"&amp;$C269&amp;"|"&amp;$D269&amp;"|"&amp;J$14&amp;"|"&amp;"CY2021Q3",Spectrum!$Q:$Q,0)),"")</f>
        <v>24</v>
      </c>
      <c r="L269" s="115" t="n">
        <f aca="false">_xlfn.IFNA(ROUND(INDEX(Spectrum!$N:$N,MATCH(RIGHT($B269,13)&amp;"|"&amp;$C269&amp;"|"&amp;$D269&amp;"|"&amp;L$14&amp;"|"&amp;"CY2021Q3",Spectrum!$Q:$Q,0)),0),"")</f>
        <v>1227</v>
      </c>
      <c r="M269" s="123" t="n">
        <f aca="false">IF(OR(SUM($H269)&lt;=0,SUM($L269)&lt;=0),"",SUM($L269)/$H269)</f>
        <v>0.742286751361162</v>
      </c>
      <c r="N269" s="115" t="str">
        <f aca="false">_xlfn.IFNA(ROUND(INDEX(Spectrum!$N:$N,MATCH(RIGHT($B269,13)&amp;"|"&amp;$C269&amp;"|"&amp;$D269&amp;"|"&amp;N$14&amp;"|"&amp;"CY2020Q4",Spectrum!$Q:$Q,0)),0),"")</f>
        <v/>
      </c>
      <c r="O269" s="123" t="str">
        <f aca="false">_xlfn.IFNA(INDEX(Spectrum!$P:$P,MATCH(RIGHT($B269,13)&amp;"|"&amp;$C269&amp;"|"&amp;$D269&amp;"|"&amp;N$14&amp;"|"&amp;"CY2020Q4",Spectrum!$Q:$Q,0)),"")</f>
        <v/>
      </c>
      <c r="P269" s="115" t="n">
        <f aca="false">_xlfn.IFNA(ROUND(INDEX(Spectrum!$N:$N,MATCH(RIGHT($B269,13)&amp;"|"&amp;$C269&amp;"|"&amp;$D269&amp;"|"&amp;P$14&amp;"|"&amp;"CY2021Q3",Spectrum!$Q:$Q,0)),0),"")</f>
        <v>1121</v>
      </c>
      <c r="Q269" s="123" t="n">
        <f aca="false">_xlfn.IFNA(INDEX(Spectrum!$P:$P,MATCH(RIGHT($B269,13)&amp;"|"&amp;$C269&amp;"|"&amp;$D269&amp;"|"&amp;P$14&amp;"|"&amp;"CY2021Q3",Spectrum!$Q:$Q,0)),"")</f>
        <v>31</v>
      </c>
      <c r="R269" s="115"/>
      <c r="S269" s="123" t="str">
        <f aca="false">IF(OR(SUM($P269)&lt;=0,SUM($R269)&lt;=0),"",SUM($R269)/$P269)</f>
        <v/>
      </c>
      <c r="T269" s="139" t="n">
        <v>18</v>
      </c>
      <c r="U269" s="124" t="n">
        <v>9</v>
      </c>
      <c r="V269" s="124" t="n">
        <f aca="false">IF($U269-$T269=0,"",$U269-$T269)</f>
        <v>-9</v>
      </c>
      <c r="W269" s="123" t="n">
        <f aca="false">IF(LEFT($B269,4)="_Mil","",IFERROR(MIN(IF(SUM($N269)&lt;=0,SUM($U269)/SUM($P269),SUM($T269)/SUM($N269)),1),""))</f>
        <v>0.008028545941124</v>
      </c>
      <c r="X269" s="123" t="n">
        <f aca="false">$W269</f>
        <v>0.008028545941124</v>
      </c>
      <c r="Y269" s="123" t="n">
        <f aca="false">IFERROR(1/(1/INDEX(Spectrum!$N:$N,MATCH(RIGHT($B269,13)&amp;"|"&amp;$C269&amp;"|"&amp;$D269&amp;"|"&amp;Y$14&amp;"|"&amp;"CY2021Q3",Spectrum!$Q:$Q,0))),IF(SUM($H269)=0,"",MAX(SUM($P269),SUM($U269))/SUM($H269)))</f>
        <v>0.67816091954023</v>
      </c>
      <c r="Z269" s="123" t="n">
        <f aca="false">IF(SUM($Y269)=0,"",MAX(SUM($Y269),90%))</f>
        <v>0.9</v>
      </c>
      <c r="AA269" s="115" t="n">
        <f aca="false">IF(LEFT($B269,4)="_Mil","",ROUND(MAX(SUM($U269),SUM($P269))+IF(SUM($Z269)=0,0,MAX(SUM($Z269)-SUM($Y269),0)*SUM($H269)),0))</f>
        <v>1488</v>
      </c>
      <c r="AB269" s="115" t="n">
        <f aca="false">IF(SUM($AA269)=0,"",ROUND(MAX(SUM($AA269)-MAX(SUM($P269),SUM($U269)),0),0))</f>
        <v>367</v>
      </c>
      <c r="AC269" s="126" t="str">
        <f aca="false">IF($C269="&lt;01",IFERROR(ROUND(INDEX(EID!$N:$N,MATCH($B269,EID!$B:$B,0))/2,0),""),"")</f>
        <v/>
      </c>
      <c r="AD269" s="115" t="n">
        <f aca="false">IF($C269="&lt;01",IF(SUM($AC269)=0,"",ROUND(SUM($AC269)/$AG269,0)),IF(SUM($AB269)=0,"",ROUND(MAX($X269,0)*SUM($AB269),0)))</f>
        <v>3</v>
      </c>
      <c r="AE269" s="115" t="n">
        <f aca="false">IF(AND(SUM($AD269)=0,SUM($U269)=0),"",ROUND(IF($C269="&lt;01",0,SUM($U269))+SUM($AD269),0))</f>
        <v>12</v>
      </c>
      <c r="AF269" s="122" t="n">
        <f aca="false">IF($C269="&lt;01","",100%)</f>
        <v>1</v>
      </c>
      <c r="AG269" s="123" t="n">
        <f aca="false">0.98</f>
        <v>0.98</v>
      </c>
      <c r="AH269" s="123" t="n">
        <f aca="false">0.98</f>
        <v>0.98</v>
      </c>
      <c r="AI269" s="124" t="n">
        <f aca="false">IF(OR($C269="&lt;01",SUM($U269)=0),"",ROUND(SUM($U269)*(1-$AH269),0))</f>
        <v>0</v>
      </c>
      <c r="AJ269" s="124" t="n">
        <f aca="false">IF(AND(SUM($AE269)=0,SUM($U269)=0),"",IF($C269="&lt;01",SUM($AD269),SUM($AE269) - ROUND(SUM($U269)*$AH269,0)))</f>
        <v>3</v>
      </c>
      <c r="AK269" s="124" t="n">
        <v>32</v>
      </c>
      <c r="AL269" s="124" t="n">
        <v>14</v>
      </c>
      <c r="AM269" s="115" t="n">
        <f aca="false">IF(AND(SUM($AD269)=0,SUM($U269)=0),"",IF($C269="&lt;01",SUM($AD269),ROUND(ROUND(SUM($AJ269)*$AF269,0)/$AG269,0)))</f>
        <v>3</v>
      </c>
      <c r="AN269" s="122" t="n">
        <f aca="false">0.7</f>
        <v>0.7</v>
      </c>
      <c r="AO269" s="123" t="n">
        <f aca="false">1</f>
        <v>1</v>
      </c>
      <c r="AP269" s="115" t="n">
        <f aca="false">IF(AND(SUM($U269)=0,SUM($AM269)=0),"",ROUND((SUM($AM269)*$AN269+IF($C269="&lt;01",0,$U269))*$AO269,0))</f>
        <v>11</v>
      </c>
      <c r="AQ269" s="122" t="n">
        <v>36</v>
      </c>
      <c r="AR269" s="123" t="n">
        <f aca="false">0.95</f>
        <v>0.95</v>
      </c>
      <c r="AS269" s="123" t="n">
        <f aca="false">0.95</f>
        <v>0.95</v>
      </c>
      <c r="AT269" s="115" t="n">
        <f aca="false">IF(SUM($AP269)=0,"",ROUND(SUM($AP269)*$AR269,0))</f>
        <v>10</v>
      </c>
      <c r="AU269" s="115" t="n">
        <f aca="false">IF(LEFT($B269,4)="_Mil","",ROUND(SUM($AA269)*SUM($AS269),0))</f>
        <v>1414</v>
      </c>
      <c r="AV269" s="124" t="n">
        <f aca="false">IF(SUM($AU269)&lt;=0,"",MAX(SUM($AU269)-SUM($R269),0))</f>
        <v>1414</v>
      </c>
      <c r="AW269" s="122" t="n">
        <f aca="false">0</f>
        <v>0</v>
      </c>
      <c r="AX269" s="124" t="n">
        <f aca="false">IF(SUM($AM269)=0,"",ROUND(SUM($AM269)*SUM($AW269),0))</f>
        <v>0</v>
      </c>
      <c r="AY269" s="124" t="n">
        <f aca="false">IF(SUM($AM269)=0,"",SUM($AM269)-SUM($AX269))</f>
        <v>3</v>
      </c>
      <c r="AZ269" s="123" t="n">
        <v>16</v>
      </c>
      <c r="BA269" s="123" t="n">
        <f aca="false">0.95</f>
        <v>0.95</v>
      </c>
      <c r="BB269" s="123"/>
      <c r="BC269" s="123" t="n">
        <f aca="false">IF(OR(SUM($AM269)&lt;=0,$C269="&lt;01"),"",MAX(IF(OR(SUM($Y269)&lt;70%,LEFT($B269,4)="_Mil"),30%,IF(SUM($Y269)&gt;=80%,75%,50%)),SUM($BB269)))</f>
        <v>0.3</v>
      </c>
      <c r="BD269" s="115" t="n">
        <f aca="false">IF($C269="&lt;01",IFERROR(ROUND(INDEX(EID!$M:$M,MATCH($B269,EID!$B:$B,0)),0)/2,""),IF(SUM($AY269)=0,"",ROUND(SUM($AY269)/SUM($BA269),0)))</f>
        <v>3</v>
      </c>
      <c r="BE269" s="115" t="n">
        <f aca="false">IF($C269="&lt;01","",IF(SUM($BD269)=0,"",ROUND(SUM($BD269)*SUM($BC269),0)))</f>
        <v>1</v>
      </c>
      <c r="BF269" s="115" t="n">
        <f aca="false">_xlfn.IFNA(INDEX(PMTCT!$AE:$AE,MATCH($E269,PMTCT!$E:$E,0)),"")</f>
        <v>-672</v>
      </c>
      <c r="BG269" s="115" t="str">
        <f aca="false">_xlfn.IFNA(INDEX(PMTCT!$AU:$AU,MATCH($E269,PMTCT!$E:$E,0)),"")</f>
        <v/>
      </c>
      <c r="BH269" s="115" t="n">
        <f aca="false">_xlfn.IFNA(INDEX(TB!$Q:$Q,MATCH($E269,TB!$E:$E,0)),"")</f>
        <v>-0</v>
      </c>
      <c r="BI269" s="115" t="str">
        <f aca="false">_xlfn.IFNA(INDEX(VMMC!$AC:$AC,MATCH($E269,VMMC!$E:$E,0)),"")</f>
        <v/>
      </c>
      <c r="BJ269" s="115" t="str">
        <f aca="false">IF($C269="&lt;01",$BD269,"")</f>
        <v/>
      </c>
      <c r="BK269" s="115" t="n">
        <f aca="false">IF(SUM($BD269)=0,"",($BD269)-SUM($BE269:$BJ269))</f>
        <v>674</v>
      </c>
      <c r="BL269" s="123" t="n">
        <f aca="false">IF(OR(SUM($BD269)=0,SUM($BE269)=0),"",SUM($BE269)/$BD269)</f>
        <v>0.333333333333333</v>
      </c>
      <c r="BM269" s="123" t="n">
        <f aca="false">IF(OR(SUM($BD269)=0,SUM($BF269)=0),"",SUM($BF269)/$BD269)</f>
        <v>-224</v>
      </c>
      <c r="BN269" s="123" t="str">
        <f aca="false">IF(OR(SUM($BD269)=0,SUM($BG269)=0),"",SUM($BG269)/$BD269)</f>
        <v/>
      </c>
      <c r="BO269" s="123" t="str">
        <f aca="false">IF(OR(SUM($BD269)=0,SUM($BH269)=0),"",SUM($BH269)/$BD269)</f>
        <v/>
      </c>
      <c r="BP269" s="123" t="str">
        <f aca="false">IF(OR(SUM($BD269)=0,SUM($BI269)=0),"",SUM($BI269)/$BD269)</f>
        <v/>
      </c>
      <c r="BQ269" s="123" t="str">
        <f aca="false">IF(AND($C269="&lt;01",SUM($BJ269)&lt;&gt;0),$BJ269/SUM($BD269),"")</f>
        <v/>
      </c>
      <c r="BR269" s="123" t="n">
        <f aca="false">IF(OR(SUM($BD269)=0,SUM($BK269)=0),"",SUM($BK269)/$BD269)</f>
        <v>224.666666666667</v>
      </c>
      <c r="BS269" s="122" t="n">
        <f aca="false">IF(SUM($X269)&lt;=0,"",$X269)</f>
        <v>0.008028545941124</v>
      </c>
      <c r="BT269" s="115" t="n">
        <f aca="false">IF(LEFT($B269,4)="_Mil","",MAX(SUM($L269)+ROUND(SUM($BD269)/IF(SUM($BS269)&lt;=0,1,SUM($BS269)),0),0))</f>
        <v>1601</v>
      </c>
    </row>
    <row r="270" customFormat="false" ht="15" hidden="false" customHeight="false" outlineLevel="0" collapsed="false">
      <c r="A270" s="0" t="s">
        <v>151</v>
      </c>
      <c r="B270" s="0" t="s">
        <v>101</v>
      </c>
      <c r="C270" s="0" t="s">
        <v>72</v>
      </c>
      <c r="D270" s="0" t="s">
        <v>58</v>
      </c>
      <c r="E270" s="0" t="str">
        <f aca="false">B270&amp;"|"&amp;C270&amp;"|"&amp;D270</f>
        <v>Thaba Tseka [#SNU] [jyhIrCoB31x]|30-34|Male</v>
      </c>
      <c r="F270" s="115" t="n">
        <f aca="false">_xlfn.IFNA(ROUND(INDEX(Spectrum!$N:$N,MATCH(RIGHT($B270,13)&amp;"|"&amp;$C270&amp;"|"&amp;$D270&amp;"|"&amp;F$14&amp;"|"&amp;"CY2021Q3",Spectrum!$Q:$Q,0)),0),"")</f>
        <v>5655</v>
      </c>
      <c r="G270" s="123" t="n">
        <f aca="false">_xlfn.IFNA(INDEX(Spectrum!$P:$P,MATCH(RIGHT($B270,13)&amp;"|"&amp;$C270&amp;"|"&amp;$D270&amp;"|"&amp;F$14&amp;"|"&amp;"CY2021Q3",Spectrum!$Q:$Q,0)),"")</f>
        <v>37</v>
      </c>
      <c r="H270" s="115" t="n">
        <f aca="false">_xlfn.IFNA(ROUND(INDEX(Spectrum!$N:$N,MATCH(RIGHT($B270,13)&amp;"|"&amp;$C270&amp;"|"&amp;$D270&amp;"|"&amp;H$14&amp;"|"&amp;"CY2021Q3",Spectrum!$Q:$Q,0)),0),"")</f>
        <v>1027</v>
      </c>
      <c r="I270" s="123" t="n">
        <f aca="false">_xlfn.IFNA(INDEX(Spectrum!$P:$P,MATCH(RIGHT($B270,13)&amp;"|"&amp;$C270&amp;"|"&amp;$D270&amp;"|"&amp;H$14&amp;"|"&amp;"CY2021Q3",Spectrum!$Q:$Q,0)),"")</f>
        <v>6</v>
      </c>
      <c r="J270" s="117" t="n">
        <f aca="false">_xlfn.IFNA(INDEX(Spectrum!$N:$N,MATCH(RIGHT($B270,13)&amp;"|"&amp;$C270&amp;"|"&amp;$D270&amp;"|"&amp;J$14&amp;"|"&amp;"CY2021Q3",Spectrum!$Q:$Q,0)),"")</f>
        <v>0.1815696</v>
      </c>
      <c r="K270" s="123" t="n">
        <f aca="false">_xlfn.IFNA(INDEX(Spectrum!$P:$P,MATCH(RIGHT($B270,13)&amp;"|"&amp;$C270&amp;"|"&amp;$D270&amp;"|"&amp;J$14&amp;"|"&amp;"CY2021Q3",Spectrum!$Q:$Q,0)),"")</f>
        <v>34</v>
      </c>
      <c r="L270" s="115" t="n">
        <f aca="false">_xlfn.IFNA(ROUND(INDEX(Spectrum!$N:$N,MATCH(RIGHT($B270,13)&amp;"|"&amp;$C270&amp;"|"&amp;$D270&amp;"|"&amp;L$14&amp;"|"&amp;"CY2021Q3",Spectrum!$Q:$Q,0)),0),"")</f>
        <v>688</v>
      </c>
      <c r="M270" s="123" t="n">
        <f aca="false">IF(OR(SUM($H270)&lt;=0,SUM($L270)&lt;=0),"",SUM($L270)/$H270)</f>
        <v>0.669912366114898</v>
      </c>
      <c r="N270" s="115" t="str">
        <f aca="false">_xlfn.IFNA(ROUND(INDEX(Spectrum!$N:$N,MATCH(RIGHT($B270,13)&amp;"|"&amp;$C270&amp;"|"&amp;$D270&amp;"|"&amp;N$14&amp;"|"&amp;"CY2020Q4",Spectrum!$Q:$Q,0)),0),"")</f>
        <v/>
      </c>
      <c r="O270" s="123" t="str">
        <f aca="false">_xlfn.IFNA(INDEX(Spectrum!$P:$P,MATCH(RIGHT($B270,13)&amp;"|"&amp;$C270&amp;"|"&amp;$D270&amp;"|"&amp;N$14&amp;"|"&amp;"CY2020Q4",Spectrum!$Q:$Q,0)),"")</f>
        <v/>
      </c>
      <c r="P270" s="115" t="n">
        <f aca="false">_xlfn.IFNA(ROUND(INDEX(Spectrum!$N:$N,MATCH(RIGHT($B270,13)&amp;"|"&amp;$C270&amp;"|"&amp;$D270&amp;"|"&amp;P$14&amp;"|"&amp;"CY2021Q3",Spectrum!$Q:$Q,0)),0),"")</f>
        <v>546</v>
      </c>
      <c r="Q270" s="123" t="n">
        <f aca="false">_xlfn.IFNA(INDEX(Spectrum!$P:$P,MATCH(RIGHT($B270,13)&amp;"|"&amp;$C270&amp;"|"&amp;$D270&amp;"|"&amp;P$14&amp;"|"&amp;"CY2021Q3",Spectrum!$Q:$Q,0)),"")</f>
        <v>49</v>
      </c>
      <c r="R270" s="115"/>
      <c r="S270" s="123" t="str">
        <f aca="false">IF(OR(SUM($P270)&lt;=0,SUM($R270)&lt;=0),"",SUM($R270)/$P270)</f>
        <v/>
      </c>
      <c r="T270" s="139" t="n">
        <v>2</v>
      </c>
      <c r="U270" s="124" t="n">
        <v>48</v>
      </c>
      <c r="V270" s="124" t="n">
        <f aca="false">IF($U270-$T270=0,"",$U270-$T270)</f>
        <v>46</v>
      </c>
      <c r="W270" s="123" t="n">
        <f aca="false">IF(LEFT($B270,4)="_Mil","",IFERROR(MIN(IF(SUM($N270)&lt;=0,SUM($U270)/SUM($P270),SUM($T270)/SUM($N270)),1),""))</f>
        <v>0.0879120879120879</v>
      </c>
      <c r="X270" s="123" t="n">
        <f aca="false">$W270</f>
        <v>0.0879120879120879</v>
      </c>
      <c r="Y270" s="123" t="n">
        <f aca="false">IFERROR(1/(1/INDEX(Spectrum!$N:$N,MATCH(RIGHT($B270,13)&amp;"|"&amp;$C270&amp;"|"&amp;$D270&amp;"|"&amp;Y$14&amp;"|"&amp;"CY2021Q3",Spectrum!$Q:$Q,0))),IF(SUM($H270)=0,"",MAX(SUM($P270),SUM($U270))/SUM($H270)))</f>
        <v>0.531645569620253</v>
      </c>
      <c r="Z270" s="123" t="n">
        <f aca="false">IF(SUM($Y270)=0,"",MAX(SUM($Y270),90%))</f>
        <v>0.9</v>
      </c>
      <c r="AA270" s="115" t="n">
        <f aca="false">IF(LEFT($B270,4)="_Mil","",ROUND(MAX(SUM($U270),SUM($P270))+IF(SUM($Z270)=0,0,MAX(SUM($Z270)-SUM($Y270),0)*SUM($H270)),0))</f>
        <v>924</v>
      </c>
      <c r="AB270" s="115" t="n">
        <f aca="false">IF(SUM($AA270)=0,"",ROUND(MAX(SUM($AA270)-MAX(SUM($P270),SUM($U270)),0),0))</f>
        <v>378</v>
      </c>
      <c r="AC270" s="126" t="str">
        <f aca="false">IF($C270="&lt;01",IFERROR(ROUND(INDEX(EID!$N:$N,MATCH($B270,EID!$B:$B,0))/2,0),""),"")</f>
        <v/>
      </c>
      <c r="AD270" s="115" t="n">
        <f aca="false">IF($C270="&lt;01",IF(SUM($AC270)=0,"",ROUND(SUM($AC270)/$AG270,0)),IF(SUM($AB270)=0,"",ROUND(MAX($X270,0)*SUM($AB270),0)))</f>
        <v>33</v>
      </c>
      <c r="AE270" s="115" t="n">
        <f aca="false">IF(AND(SUM($AD270)=0,SUM($U270)=0),"",ROUND(IF($C270="&lt;01",0,SUM($U270))+SUM($AD270),0))</f>
        <v>81</v>
      </c>
      <c r="AF270" s="122" t="n">
        <f aca="false">IF($C270="&lt;01","",100%)</f>
        <v>1</v>
      </c>
      <c r="AG270" s="123" t="n">
        <f aca="false">0.98</f>
        <v>0.98</v>
      </c>
      <c r="AH270" s="123" t="n">
        <f aca="false">0.98</f>
        <v>0.98</v>
      </c>
      <c r="AI270" s="124" t="n">
        <f aca="false">IF(OR($C270="&lt;01",SUM($U270)=0),"",ROUND(SUM($U270)*(1-$AH270),0))</f>
        <v>1</v>
      </c>
      <c r="AJ270" s="124" t="n">
        <f aca="false">IF(AND(SUM($AE270)=0,SUM($U270)=0),"",IF($C270="&lt;01",SUM($AD270),SUM($AE270) - ROUND(SUM($U270)*$AH270,0)))</f>
        <v>34</v>
      </c>
      <c r="AK270" s="124" t="n">
        <v>2</v>
      </c>
      <c r="AL270" s="124" t="n">
        <v>24</v>
      </c>
      <c r="AM270" s="115" t="n">
        <f aca="false">IF(AND(SUM($AD270)=0,SUM($U270)=0),"",IF($C270="&lt;01",SUM($AD270),ROUND(ROUND(SUM($AJ270)*$AF270,0)/$AG270,0)))</f>
        <v>35</v>
      </c>
      <c r="AN270" s="122" t="n">
        <f aca="false">0.7</f>
        <v>0.7</v>
      </c>
      <c r="AO270" s="123" t="n">
        <f aca="false">1</f>
        <v>1</v>
      </c>
      <c r="AP270" s="115" t="n">
        <f aca="false">IF(AND(SUM($U270)=0,SUM($AM270)=0),"",ROUND((SUM($AM270)*$AN270+IF($C270="&lt;01",0,$U270))*$AO270,0))</f>
        <v>73</v>
      </c>
      <c r="AQ270" s="122" t="n">
        <v>30</v>
      </c>
      <c r="AR270" s="123" t="n">
        <f aca="false">0.95</f>
        <v>0.95</v>
      </c>
      <c r="AS270" s="123" t="n">
        <f aca="false">0.95</f>
        <v>0.95</v>
      </c>
      <c r="AT270" s="115" t="n">
        <f aca="false">IF(SUM($AP270)=0,"",ROUND(SUM($AP270)*$AR270,0))</f>
        <v>69</v>
      </c>
      <c r="AU270" s="115" t="n">
        <f aca="false">IF(LEFT($B270,4)="_Mil","",ROUND(SUM($AA270)*SUM($AS270),0))</f>
        <v>878</v>
      </c>
      <c r="AV270" s="124" t="n">
        <f aca="false">IF(SUM($AU270)&lt;=0,"",MAX(SUM($AU270)-SUM($R270),0))</f>
        <v>878</v>
      </c>
      <c r="AW270" s="122" t="n">
        <f aca="false">0</f>
        <v>0</v>
      </c>
      <c r="AX270" s="124" t="n">
        <f aca="false">IF(SUM($AM270)=0,"",ROUND(SUM($AM270)*SUM($AW270),0))</f>
        <v>0</v>
      </c>
      <c r="AY270" s="124" t="n">
        <f aca="false">IF(SUM($AM270)=0,"",SUM($AM270)-SUM($AX270))</f>
        <v>35</v>
      </c>
      <c r="AZ270" s="123" t="n">
        <v>18</v>
      </c>
      <c r="BA270" s="123" t="n">
        <f aca="false">0.95</f>
        <v>0.95</v>
      </c>
      <c r="BB270" s="123"/>
      <c r="BC270" s="123" t="n">
        <f aca="false">IF(OR(SUM($AM270)&lt;=0,$C270="&lt;01"),"",MAX(IF(OR(SUM($Y270)&lt;70%,LEFT($B270,4)="_Mil"),30%,IF(SUM($Y270)&gt;=80%,75%,50%)),SUM($BB270)))</f>
        <v>0.3</v>
      </c>
      <c r="BD270" s="115" t="n">
        <f aca="false">IF($C270="&lt;01",IFERROR(ROUND(INDEX(EID!$M:$M,MATCH($B270,EID!$B:$B,0)),0)/2,""),IF(SUM($AY270)=0,"",ROUND(SUM($AY270)/SUM($BA270),0)))</f>
        <v>37</v>
      </c>
      <c r="BE270" s="115" t="n">
        <f aca="false">IF($C270="&lt;01","",IF(SUM($BD270)=0,"",ROUND(SUM($BD270)*SUM($BC270),0)))</f>
        <v>11</v>
      </c>
      <c r="BF270" s="115" t="str">
        <f aca="false">_xlfn.IFNA(INDEX(PMTCT!$AE:$AE,MATCH($E270,PMTCT!$E:$E,0)),"")</f>
        <v/>
      </c>
      <c r="BG270" s="115" t="str">
        <f aca="false">_xlfn.IFNA(INDEX(PMTCT!$AU:$AU,MATCH($E270,PMTCT!$E:$E,0)),"")</f>
        <v/>
      </c>
      <c r="BH270" s="115" t="n">
        <f aca="false">_xlfn.IFNA(INDEX(TB!$Q:$Q,MATCH($E270,TB!$E:$E,0)),"")</f>
        <v>-13986</v>
      </c>
      <c r="BI270" s="115" t="str">
        <f aca="false">_xlfn.IFNA(INDEX(VMMC!$AC:$AC,MATCH($E270,VMMC!$E:$E,0)),"")</f>
        <v/>
      </c>
      <c r="BJ270" s="115" t="str">
        <f aca="false">IF($C270="&lt;01",$BD270,"")</f>
        <v/>
      </c>
      <c r="BK270" s="115" t="n">
        <f aca="false">IF(SUM($BD270)=0,"",($BD270)-SUM($BE270:$BJ270))</f>
        <v>14012</v>
      </c>
      <c r="BL270" s="123" t="n">
        <f aca="false">IF(OR(SUM($BD270)=0,SUM($BE270)=0),"",SUM($BE270)/$BD270)</f>
        <v>0.297297297297297</v>
      </c>
      <c r="BM270" s="123" t="str">
        <f aca="false">IF(OR(SUM($BD270)=0,SUM($BF270)=0),"",SUM($BF270)/$BD270)</f>
        <v/>
      </c>
      <c r="BN270" s="123" t="str">
        <f aca="false">IF(OR(SUM($BD270)=0,SUM($BG270)=0),"",SUM($BG270)/$BD270)</f>
        <v/>
      </c>
      <c r="BO270" s="123" t="n">
        <f aca="false">IF(OR(SUM($BD270)=0,SUM($BH270)=0),"",SUM($BH270)/$BD270)</f>
        <v>-378</v>
      </c>
      <c r="BP270" s="123" t="str">
        <f aca="false">IF(OR(SUM($BD270)=0,SUM($BI270)=0),"",SUM($BI270)/$BD270)</f>
        <v/>
      </c>
      <c r="BQ270" s="123" t="str">
        <f aca="false">IF(AND($C270="&lt;01",SUM($BJ270)&lt;&gt;0),$BJ270/SUM($BD270),"")</f>
        <v/>
      </c>
      <c r="BR270" s="123" t="n">
        <f aca="false">IF(OR(SUM($BD270)=0,SUM($BK270)=0),"",SUM($BK270)/$BD270)</f>
        <v>378.702702702703</v>
      </c>
      <c r="BS270" s="122" t="n">
        <f aca="false">IF(SUM($X270)&lt;=0,"",$X270)</f>
        <v>0.0879120879120879</v>
      </c>
      <c r="BT270" s="115" t="n">
        <f aca="false">IF(LEFT($B270,4)="_Mil","",MAX(SUM($L270)+ROUND(SUM($BD270)/IF(SUM($BS270)&lt;=0,1,SUM($BS270)),0),0))</f>
        <v>1109</v>
      </c>
    </row>
    <row r="271" customFormat="false" ht="15" hidden="false" customHeight="false" outlineLevel="0" collapsed="false">
      <c r="A271" s="0" t="s">
        <v>151</v>
      </c>
      <c r="B271" s="0" t="s">
        <v>101</v>
      </c>
      <c r="C271" s="0" t="s">
        <v>75</v>
      </c>
      <c r="D271" s="0" t="s">
        <v>56</v>
      </c>
      <c r="E271" s="0" t="str">
        <f aca="false">B271&amp;"|"&amp;C271&amp;"|"&amp;D271</f>
        <v>Thaba Tseka [#SNU] [jyhIrCoB31x]|35-39|Female</v>
      </c>
      <c r="F271" s="115" t="n">
        <f aca="false">_xlfn.IFNA(ROUND(INDEX(Spectrum!$N:$N,MATCH(RIGHT($B271,13)&amp;"|"&amp;$C271&amp;"|"&amp;$D271&amp;"|"&amp;F$14&amp;"|"&amp;"CY2021Q3",Spectrum!$Q:$Q,0)),0),"")</f>
        <v>3784</v>
      </c>
      <c r="G271" s="123" t="n">
        <f aca="false">_xlfn.IFNA(INDEX(Spectrum!$P:$P,MATCH(RIGHT($B271,13)&amp;"|"&amp;$C271&amp;"|"&amp;$D271&amp;"|"&amp;F$14&amp;"|"&amp;"CY2021Q3",Spectrum!$Q:$Q,0)),"")</f>
        <v>2</v>
      </c>
      <c r="H271" s="115" t="n">
        <f aca="false">_xlfn.IFNA(ROUND(INDEX(Spectrum!$N:$N,MATCH(RIGHT($B271,13)&amp;"|"&amp;$C271&amp;"|"&amp;$D271&amp;"|"&amp;H$14&amp;"|"&amp;"CY2021Q3",Spectrum!$Q:$Q,0)),0),"")</f>
        <v>1573</v>
      </c>
      <c r="I271" s="123" t="n">
        <f aca="false">_xlfn.IFNA(INDEX(Spectrum!$P:$P,MATCH(RIGHT($B271,13)&amp;"|"&amp;$C271&amp;"|"&amp;$D271&amp;"|"&amp;H$14&amp;"|"&amp;"CY2021Q3",Spectrum!$Q:$Q,0)),"")</f>
        <v>35</v>
      </c>
      <c r="J271" s="117" t="n">
        <f aca="false">_xlfn.IFNA(INDEX(Spectrum!$N:$N,MATCH(RIGHT($B271,13)&amp;"|"&amp;$C271&amp;"|"&amp;$D271&amp;"|"&amp;J$14&amp;"|"&amp;"CY2021Q3",Spectrum!$Q:$Q,0)),"")</f>
        <v>0.4156875</v>
      </c>
      <c r="K271" s="123" t="n">
        <f aca="false">_xlfn.IFNA(INDEX(Spectrum!$P:$P,MATCH(RIGHT($B271,13)&amp;"|"&amp;$C271&amp;"|"&amp;$D271&amp;"|"&amp;J$14&amp;"|"&amp;"CY2021Q3",Spectrum!$Q:$Q,0)),"")</f>
        <v>34</v>
      </c>
      <c r="L271" s="115" t="n">
        <f aca="false">_xlfn.IFNA(ROUND(INDEX(Spectrum!$N:$N,MATCH(RIGHT($B271,13)&amp;"|"&amp;$C271&amp;"|"&amp;$D271&amp;"|"&amp;L$14&amp;"|"&amp;"CY2021Q3",Spectrum!$Q:$Q,0)),0),"")</f>
        <v>1353</v>
      </c>
      <c r="M271" s="123" t="n">
        <f aca="false">IF(OR(SUM($H271)&lt;=0,SUM($L271)&lt;=0),"",SUM($L271)/$H271)</f>
        <v>0.86013986013986</v>
      </c>
      <c r="N271" s="115" t="str">
        <f aca="false">_xlfn.IFNA(ROUND(INDEX(Spectrum!$N:$N,MATCH(RIGHT($B271,13)&amp;"|"&amp;$C271&amp;"|"&amp;$D271&amp;"|"&amp;N$14&amp;"|"&amp;"CY2020Q4",Spectrum!$Q:$Q,0)),0),"")</f>
        <v/>
      </c>
      <c r="O271" s="123" t="str">
        <f aca="false">_xlfn.IFNA(INDEX(Spectrum!$P:$P,MATCH(RIGHT($B271,13)&amp;"|"&amp;$C271&amp;"|"&amp;$D271&amp;"|"&amp;N$14&amp;"|"&amp;"CY2020Q4",Spectrum!$Q:$Q,0)),"")</f>
        <v/>
      </c>
      <c r="P271" s="115" t="n">
        <f aca="false">_xlfn.IFNA(ROUND(INDEX(Spectrum!$N:$N,MATCH(RIGHT($B271,13)&amp;"|"&amp;$C271&amp;"|"&amp;$D271&amp;"|"&amp;P$14&amp;"|"&amp;"CY2021Q3",Spectrum!$Q:$Q,0)),0),"")</f>
        <v>1280</v>
      </c>
      <c r="Q271" s="123" t="n">
        <f aca="false">_xlfn.IFNA(INDEX(Spectrum!$P:$P,MATCH(RIGHT($B271,13)&amp;"|"&amp;$C271&amp;"|"&amp;$D271&amp;"|"&amp;P$14&amp;"|"&amp;"CY2021Q3",Spectrum!$Q:$Q,0)),"")</f>
        <v>22</v>
      </c>
      <c r="R271" s="115"/>
      <c r="S271" s="123" t="str">
        <f aca="false">IF(OR(SUM($P271)&lt;=0,SUM($R271)&lt;=0),"",SUM($R271)/$P271)</f>
        <v/>
      </c>
      <c r="T271" s="139" t="n">
        <v>31</v>
      </c>
      <c r="U271" s="124" t="n">
        <v>18</v>
      </c>
      <c r="V271" s="124" t="n">
        <f aca="false">IF($U271-$T271=0,"",$U271-$T271)</f>
        <v>-13</v>
      </c>
      <c r="W271" s="123" t="n">
        <f aca="false">IF(LEFT($B271,4)="_Mil","",IFERROR(MIN(IF(SUM($N271)&lt;=0,SUM($U271)/SUM($P271),SUM($T271)/SUM($N271)),1),""))</f>
        <v>0.0140625</v>
      </c>
      <c r="X271" s="123" t="n">
        <f aca="false">$W271</f>
        <v>0.0140625</v>
      </c>
      <c r="Y271" s="123" t="n">
        <f aca="false">IFERROR(1/(1/INDEX(Spectrum!$N:$N,MATCH(RIGHT($B271,13)&amp;"|"&amp;$C271&amp;"|"&amp;$D271&amp;"|"&amp;Y$14&amp;"|"&amp;"CY2021Q3",Spectrum!$Q:$Q,0))),IF(SUM($H271)=0,"",MAX(SUM($P271),SUM($U271))/SUM($H271)))</f>
        <v>0.813731722822632</v>
      </c>
      <c r="Z271" s="123" t="n">
        <f aca="false">IF(SUM($Y271)=0,"",MAX(SUM($Y271),90%))</f>
        <v>0.9</v>
      </c>
      <c r="AA271" s="115" t="n">
        <f aca="false">IF(LEFT($B271,4)="_Mil","",ROUND(MAX(SUM($U271),SUM($P271))+IF(SUM($Z271)=0,0,MAX(SUM($Z271)-SUM($Y271),0)*SUM($H271)),0))</f>
        <v>1416</v>
      </c>
      <c r="AB271" s="115" t="n">
        <f aca="false">IF(SUM($AA271)=0,"",ROUND(MAX(SUM($AA271)-MAX(SUM($P271),SUM($U271)),0),0))</f>
        <v>136</v>
      </c>
      <c r="AC271" s="126" t="str">
        <f aca="false">IF($C271="&lt;01",IFERROR(ROUND(INDEX(EID!$N:$N,MATCH($B271,EID!$B:$B,0))/2,0),""),"")</f>
        <v/>
      </c>
      <c r="AD271" s="115" t="n">
        <f aca="false">IF($C271="&lt;01",IF(SUM($AC271)=0,"",ROUND(SUM($AC271)/$AG271,0)),IF(SUM($AB271)=0,"",ROUND(MAX($X271,0)*SUM($AB271),0)))</f>
        <v>2</v>
      </c>
      <c r="AE271" s="115" t="n">
        <f aca="false">IF(AND(SUM($AD271)=0,SUM($U271)=0),"",ROUND(IF($C271="&lt;01",0,SUM($U271))+SUM($AD271),0))</f>
        <v>20</v>
      </c>
      <c r="AF271" s="122" t="n">
        <f aca="false">IF($C271="&lt;01","",100%)</f>
        <v>1</v>
      </c>
      <c r="AG271" s="123" t="n">
        <f aca="false">0.98</f>
        <v>0.98</v>
      </c>
      <c r="AH271" s="123" t="n">
        <f aca="false">0.98</f>
        <v>0.98</v>
      </c>
      <c r="AI271" s="124" t="n">
        <f aca="false">IF(OR($C271="&lt;01",SUM($U271)=0),"",ROUND(SUM($U271)*(1-$AH271),0))</f>
        <v>0</v>
      </c>
      <c r="AJ271" s="124" t="n">
        <f aca="false">IF(AND(SUM($AE271)=0,SUM($U271)=0),"",IF($C271="&lt;01",SUM($AD271),SUM($AE271) - ROUND(SUM($U271)*$AH271,0)))</f>
        <v>2</v>
      </c>
      <c r="AK271" s="124" t="n">
        <v>23</v>
      </c>
      <c r="AL271" s="124" t="n">
        <v>14</v>
      </c>
      <c r="AM271" s="115" t="n">
        <f aca="false">IF(AND(SUM($AD271)=0,SUM($U271)=0),"",IF($C271="&lt;01",SUM($AD271),ROUND(ROUND(SUM($AJ271)*$AF271,0)/$AG271,0)))</f>
        <v>2</v>
      </c>
      <c r="AN271" s="122" t="n">
        <f aca="false">0.7</f>
        <v>0.7</v>
      </c>
      <c r="AO271" s="123" t="n">
        <f aca="false">1</f>
        <v>1</v>
      </c>
      <c r="AP271" s="115" t="n">
        <f aca="false">IF(AND(SUM($U271)=0,SUM($AM271)=0),"",ROUND((SUM($AM271)*$AN271+IF($C271="&lt;01",0,$U271))*$AO271,0))</f>
        <v>19</v>
      </c>
      <c r="AQ271" s="122" t="n">
        <v>5</v>
      </c>
      <c r="AR271" s="123" t="n">
        <f aca="false">0.95</f>
        <v>0.95</v>
      </c>
      <c r="AS271" s="123" t="n">
        <f aca="false">0.95</f>
        <v>0.95</v>
      </c>
      <c r="AT271" s="115" t="n">
        <f aca="false">IF(SUM($AP271)=0,"",ROUND(SUM($AP271)*$AR271,0))</f>
        <v>18</v>
      </c>
      <c r="AU271" s="115" t="n">
        <f aca="false">IF(LEFT($B271,4)="_Mil","",ROUND(SUM($AA271)*SUM($AS271),0))</f>
        <v>1345</v>
      </c>
      <c r="AV271" s="124" t="n">
        <f aca="false">IF(SUM($AU271)&lt;=0,"",MAX(SUM($AU271)-SUM($R271),0))</f>
        <v>1345</v>
      </c>
      <c r="AW271" s="122" t="n">
        <f aca="false">0</f>
        <v>0</v>
      </c>
      <c r="AX271" s="124" t="n">
        <f aca="false">IF(SUM($AM271)=0,"",ROUND(SUM($AM271)*SUM($AW271),0))</f>
        <v>0</v>
      </c>
      <c r="AY271" s="124" t="n">
        <f aca="false">IF(SUM($AM271)=0,"",SUM($AM271)-SUM($AX271))</f>
        <v>2</v>
      </c>
      <c r="AZ271" s="123" t="n">
        <v>34</v>
      </c>
      <c r="BA271" s="123" t="n">
        <f aca="false">0.95</f>
        <v>0.95</v>
      </c>
      <c r="BB271" s="123"/>
      <c r="BC271" s="123" t="n">
        <f aca="false">IF(OR(SUM($AM271)&lt;=0,$C271="&lt;01"),"",MAX(IF(OR(SUM($Y271)&lt;70%,LEFT($B271,4)="_Mil"),30%,IF(SUM($Y271)&gt;=80%,75%,50%)),SUM($BB271)))</f>
        <v>0.75</v>
      </c>
      <c r="BD271" s="115" t="n">
        <f aca="false">IF($C271="&lt;01",IFERROR(ROUND(INDEX(EID!$M:$M,MATCH($B271,EID!$B:$B,0)),0)/2,""),IF(SUM($AY271)=0,"",ROUND(SUM($AY271)/SUM($BA271),0)))</f>
        <v>2</v>
      </c>
      <c r="BE271" s="115" t="n">
        <f aca="false">IF($C271="&lt;01","",IF(SUM($BD271)=0,"",ROUND(SUM($BD271)*SUM($BC271),0)))</f>
        <v>2</v>
      </c>
      <c r="BF271" s="115" t="n">
        <f aca="false">_xlfn.IFNA(INDEX(PMTCT!$AE:$AE,MATCH($E271,PMTCT!$E:$E,0)),"")</f>
        <v>-32175</v>
      </c>
      <c r="BG271" s="115" t="str">
        <f aca="false">_xlfn.IFNA(INDEX(PMTCT!$AU:$AU,MATCH($E271,PMTCT!$E:$E,0)),"")</f>
        <v/>
      </c>
      <c r="BH271" s="115" t="n">
        <f aca="false">_xlfn.IFNA(INDEX(TB!$Q:$Q,MATCH($E271,TB!$E:$E,0)),"")</f>
        <v>-0</v>
      </c>
      <c r="BI271" s="115" t="str">
        <f aca="false">_xlfn.IFNA(INDEX(VMMC!$AC:$AC,MATCH($E271,VMMC!$E:$E,0)),"")</f>
        <v/>
      </c>
      <c r="BJ271" s="115" t="str">
        <f aca="false">IF($C271="&lt;01",$BD271,"")</f>
        <v/>
      </c>
      <c r="BK271" s="115" t="n">
        <f aca="false">IF(SUM($BD271)=0,"",($BD271)-SUM($BE271:$BJ271))</f>
        <v>32175</v>
      </c>
      <c r="BL271" s="123" t="n">
        <f aca="false">IF(OR(SUM($BD271)=0,SUM($BE271)=0),"",SUM($BE271)/$BD271)</f>
        <v>1</v>
      </c>
      <c r="BM271" s="123" t="n">
        <f aca="false">IF(OR(SUM($BD271)=0,SUM($BF271)=0),"",SUM($BF271)/$BD271)</f>
        <v>-16087.5</v>
      </c>
      <c r="BN271" s="123" t="str">
        <f aca="false">IF(OR(SUM($BD271)=0,SUM($BG271)=0),"",SUM($BG271)/$BD271)</f>
        <v/>
      </c>
      <c r="BO271" s="123" t="str">
        <f aca="false">IF(OR(SUM($BD271)=0,SUM($BH271)=0),"",SUM($BH271)/$BD271)</f>
        <v/>
      </c>
      <c r="BP271" s="123" t="str">
        <f aca="false">IF(OR(SUM($BD271)=0,SUM($BI271)=0),"",SUM($BI271)/$BD271)</f>
        <v/>
      </c>
      <c r="BQ271" s="123" t="str">
        <f aca="false">IF(AND($C271="&lt;01",SUM($BJ271)&lt;&gt;0),$BJ271/SUM($BD271),"")</f>
        <v/>
      </c>
      <c r="BR271" s="123" t="n">
        <f aca="false">IF(OR(SUM($BD271)=0,SUM($BK271)=0),"",SUM($BK271)/$BD271)</f>
        <v>16087.5</v>
      </c>
      <c r="BS271" s="122" t="n">
        <f aca="false">IF(SUM($X271)&lt;=0,"",$X271)</f>
        <v>0.0140625</v>
      </c>
      <c r="BT271" s="115" t="n">
        <f aca="false">IF(LEFT($B271,4)="_Mil","",MAX(SUM($L271)+ROUND(SUM($BD271)/IF(SUM($BS271)&lt;=0,1,SUM($BS271)),0),0))</f>
        <v>1495</v>
      </c>
    </row>
    <row r="272" customFormat="false" ht="15" hidden="false" customHeight="false" outlineLevel="0" collapsed="false">
      <c r="A272" s="0" t="s">
        <v>151</v>
      </c>
      <c r="B272" s="0" t="s">
        <v>101</v>
      </c>
      <c r="C272" s="0" t="s">
        <v>75</v>
      </c>
      <c r="D272" s="0" t="s">
        <v>58</v>
      </c>
      <c r="E272" s="0" t="str">
        <f aca="false">B272&amp;"|"&amp;C272&amp;"|"&amp;D272</f>
        <v>Thaba Tseka [#SNU] [jyhIrCoB31x]|35-39|Male</v>
      </c>
      <c r="F272" s="115" t="n">
        <f aca="false">_xlfn.IFNA(ROUND(INDEX(Spectrum!$N:$N,MATCH(RIGHT($B272,13)&amp;"|"&amp;$C272&amp;"|"&amp;$D272&amp;"|"&amp;F$14&amp;"|"&amp;"CY2021Q3",Spectrum!$Q:$Q,0)),0),"")</f>
        <v>4692</v>
      </c>
      <c r="G272" s="123" t="n">
        <f aca="false">_xlfn.IFNA(INDEX(Spectrum!$P:$P,MATCH(RIGHT($B272,13)&amp;"|"&amp;$C272&amp;"|"&amp;$D272&amp;"|"&amp;F$14&amp;"|"&amp;"CY2021Q3",Spectrum!$Q:$Q,0)),"")</f>
        <v>39</v>
      </c>
      <c r="H272" s="115" t="n">
        <f aca="false">_xlfn.IFNA(ROUND(INDEX(Spectrum!$N:$N,MATCH(RIGHT($B272,13)&amp;"|"&amp;$C272&amp;"|"&amp;$D272&amp;"|"&amp;H$14&amp;"|"&amp;"CY2021Q3",Spectrum!$Q:$Q,0)),0),"")</f>
        <v>1248</v>
      </c>
      <c r="I272" s="123" t="n">
        <f aca="false">_xlfn.IFNA(INDEX(Spectrum!$P:$P,MATCH(RIGHT($B272,13)&amp;"|"&amp;$C272&amp;"|"&amp;$D272&amp;"|"&amp;H$14&amp;"|"&amp;"CY2021Q3",Spectrum!$Q:$Q,0)),"")</f>
        <v>38</v>
      </c>
      <c r="J272" s="117" t="n">
        <f aca="false">_xlfn.IFNA(INDEX(Spectrum!$N:$N,MATCH(RIGHT($B272,13)&amp;"|"&amp;$C272&amp;"|"&amp;$D272&amp;"|"&amp;J$14&amp;"|"&amp;"CY2021Q3",Spectrum!$Q:$Q,0)),"")</f>
        <v>0.2661159</v>
      </c>
      <c r="K272" s="123" t="n">
        <f aca="false">_xlfn.IFNA(INDEX(Spectrum!$P:$P,MATCH(RIGHT($B272,13)&amp;"|"&amp;$C272&amp;"|"&amp;$D272&amp;"|"&amp;J$14&amp;"|"&amp;"CY2021Q3",Spectrum!$Q:$Q,0)),"")</f>
        <v>15</v>
      </c>
      <c r="L272" s="115" t="n">
        <f aca="false">_xlfn.IFNA(ROUND(INDEX(Spectrum!$N:$N,MATCH(RIGHT($B272,13)&amp;"|"&amp;$C272&amp;"|"&amp;$D272&amp;"|"&amp;L$14&amp;"|"&amp;"CY2021Q3",Spectrum!$Q:$Q,0)),0),"")</f>
        <v>953</v>
      </c>
      <c r="M272" s="123" t="n">
        <f aca="false">IF(OR(SUM($H272)&lt;=0,SUM($L272)&lt;=0),"",SUM($L272)/$H272)</f>
        <v>0.763621794871795</v>
      </c>
      <c r="N272" s="115" t="str">
        <f aca="false">_xlfn.IFNA(ROUND(INDEX(Spectrum!$N:$N,MATCH(RIGHT($B272,13)&amp;"|"&amp;$C272&amp;"|"&amp;$D272&amp;"|"&amp;N$14&amp;"|"&amp;"CY2020Q4",Spectrum!$Q:$Q,0)),0),"")</f>
        <v/>
      </c>
      <c r="O272" s="123" t="str">
        <f aca="false">_xlfn.IFNA(INDEX(Spectrum!$P:$P,MATCH(RIGHT($B272,13)&amp;"|"&amp;$C272&amp;"|"&amp;$D272&amp;"|"&amp;N$14&amp;"|"&amp;"CY2020Q4",Spectrum!$Q:$Q,0)),"")</f>
        <v/>
      </c>
      <c r="P272" s="115" t="n">
        <f aca="false">_xlfn.IFNA(ROUND(INDEX(Spectrum!$N:$N,MATCH(RIGHT($B272,13)&amp;"|"&amp;$C272&amp;"|"&amp;$D272&amp;"|"&amp;P$14&amp;"|"&amp;"CY2021Q3",Spectrum!$Q:$Q,0)),0),"")</f>
        <v>801</v>
      </c>
      <c r="Q272" s="123" t="n">
        <f aca="false">_xlfn.IFNA(INDEX(Spectrum!$P:$P,MATCH(RIGHT($B272,13)&amp;"|"&amp;$C272&amp;"|"&amp;$D272&amp;"|"&amp;P$14&amp;"|"&amp;"CY2021Q3",Spectrum!$Q:$Q,0)),"")</f>
        <v>5</v>
      </c>
      <c r="R272" s="115"/>
      <c r="S272" s="123" t="str">
        <f aca="false">IF(OR(SUM($P272)&lt;=0,SUM($R272)&lt;=0),"",SUM($R272)/$P272)</f>
        <v/>
      </c>
      <c r="T272" s="139" t="n">
        <v>40</v>
      </c>
      <c r="U272" s="124" t="n">
        <v>47</v>
      </c>
      <c r="V272" s="124" t="n">
        <f aca="false">IF($U272-$T272=0,"",$U272-$T272)</f>
        <v>7</v>
      </c>
      <c r="W272" s="123" t="n">
        <f aca="false">IF(LEFT($B272,4)="_Mil","",IFERROR(MIN(IF(SUM($N272)&lt;=0,SUM($U272)/SUM($P272),SUM($T272)/SUM($N272)),1),""))</f>
        <v>0.0586766541822722</v>
      </c>
      <c r="X272" s="123" t="n">
        <f aca="false">$W272</f>
        <v>0.0586766541822722</v>
      </c>
      <c r="Y272" s="123" t="n">
        <f aca="false">IFERROR(1/(1/INDEX(Spectrum!$N:$N,MATCH(RIGHT($B272,13)&amp;"|"&amp;$C272&amp;"|"&amp;$D272&amp;"|"&amp;Y$14&amp;"|"&amp;"CY2021Q3",Spectrum!$Q:$Q,0))),IF(SUM($H272)=0,"",MAX(SUM($P272),SUM($U272))/SUM($H272)))</f>
        <v>0.641826923076923</v>
      </c>
      <c r="Z272" s="123" t="n">
        <f aca="false">IF(SUM($Y272)=0,"",MAX(SUM($Y272),90%))</f>
        <v>0.9</v>
      </c>
      <c r="AA272" s="115" t="n">
        <f aca="false">IF(LEFT($B272,4)="_Mil","",ROUND(MAX(SUM($U272),SUM($P272))+IF(SUM($Z272)=0,0,MAX(SUM($Z272)-SUM($Y272),0)*SUM($H272)),0))</f>
        <v>1123</v>
      </c>
      <c r="AB272" s="115" t="n">
        <f aca="false">IF(SUM($AA272)=0,"",ROUND(MAX(SUM($AA272)-MAX(SUM($P272),SUM($U272)),0),0))</f>
        <v>322</v>
      </c>
      <c r="AC272" s="126" t="str">
        <f aca="false">IF($C272="&lt;01",IFERROR(ROUND(INDEX(EID!$N:$N,MATCH($B272,EID!$B:$B,0))/2,0),""),"")</f>
        <v/>
      </c>
      <c r="AD272" s="115" t="n">
        <f aca="false">IF($C272="&lt;01",IF(SUM($AC272)=0,"",ROUND(SUM($AC272)/$AG272,0)),IF(SUM($AB272)=0,"",ROUND(MAX($X272,0)*SUM($AB272),0)))</f>
        <v>19</v>
      </c>
      <c r="AE272" s="115" t="n">
        <f aca="false">IF(AND(SUM($AD272)=0,SUM($U272)=0),"",ROUND(IF($C272="&lt;01",0,SUM($U272))+SUM($AD272),0))</f>
        <v>66</v>
      </c>
      <c r="AF272" s="122" t="n">
        <f aca="false">IF($C272="&lt;01","",100%)</f>
        <v>1</v>
      </c>
      <c r="AG272" s="123" t="n">
        <f aca="false">0.98</f>
        <v>0.98</v>
      </c>
      <c r="AH272" s="123" t="n">
        <f aca="false">0.98</f>
        <v>0.98</v>
      </c>
      <c r="AI272" s="124" t="n">
        <f aca="false">IF(OR($C272="&lt;01",SUM($U272)=0),"",ROUND(SUM($U272)*(1-$AH272),0))</f>
        <v>1</v>
      </c>
      <c r="AJ272" s="124" t="n">
        <f aca="false">IF(AND(SUM($AE272)=0,SUM($U272)=0),"",IF($C272="&lt;01",SUM($AD272),SUM($AE272) - ROUND(SUM($U272)*$AH272,0)))</f>
        <v>20</v>
      </c>
      <c r="AK272" s="124" t="n">
        <v>19</v>
      </c>
      <c r="AL272" s="124" t="n">
        <v>24</v>
      </c>
      <c r="AM272" s="115" t="n">
        <f aca="false">IF(AND(SUM($AD272)=0,SUM($U272)=0),"",IF($C272="&lt;01",SUM($AD272),ROUND(ROUND(SUM($AJ272)*$AF272,0)/$AG272,0)))</f>
        <v>20</v>
      </c>
      <c r="AN272" s="122" t="n">
        <f aca="false">0.7</f>
        <v>0.7</v>
      </c>
      <c r="AO272" s="123" t="n">
        <f aca="false">1</f>
        <v>1</v>
      </c>
      <c r="AP272" s="115" t="n">
        <f aca="false">IF(AND(SUM($U272)=0,SUM($AM272)=0),"",ROUND((SUM($AM272)*$AN272+IF($C272="&lt;01",0,$U272))*$AO272,0))</f>
        <v>61</v>
      </c>
      <c r="AQ272" s="122" t="n">
        <v>46</v>
      </c>
      <c r="AR272" s="123" t="n">
        <f aca="false">0.95</f>
        <v>0.95</v>
      </c>
      <c r="AS272" s="123" t="n">
        <f aca="false">0.95</f>
        <v>0.95</v>
      </c>
      <c r="AT272" s="115" t="n">
        <f aca="false">IF(SUM($AP272)=0,"",ROUND(SUM($AP272)*$AR272,0))</f>
        <v>58</v>
      </c>
      <c r="AU272" s="115" t="n">
        <f aca="false">IF(LEFT($B272,4)="_Mil","",ROUND(SUM($AA272)*SUM($AS272),0))</f>
        <v>1067</v>
      </c>
      <c r="AV272" s="124" t="n">
        <f aca="false">IF(SUM($AU272)&lt;=0,"",MAX(SUM($AU272)-SUM($R272),0))</f>
        <v>1067</v>
      </c>
      <c r="AW272" s="122" t="n">
        <f aca="false">0</f>
        <v>0</v>
      </c>
      <c r="AX272" s="124" t="n">
        <f aca="false">IF(SUM($AM272)=0,"",ROUND(SUM($AM272)*SUM($AW272),0))</f>
        <v>0</v>
      </c>
      <c r="AY272" s="124" t="n">
        <f aca="false">IF(SUM($AM272)=0,"",SUM($AM272)-SUM($AX272))</f>
        <v>20</v>
      </c>
      <c r="AZ272" s="123" t="n">
        <v>36</v>
      </c>
      <c r="BA272" s="123" t="n">
        <f aca="false">0.95</f>
        <v>0.95</v>
      </c>
      <c r="BB272" s="123"/>
      <c r="BC272" s="123" t="n">
        <f aca="false">IF(OR(SUM($AM272)&lt;=0,$C272="&lt;01"),"",MAX(IF(OR(SUM($Y272)&lt;70%,LEFT($B272,4)="_Mil"),30%,IF(SUM($Y272)&gt;=80%,75%,50%)),SUM($BB272)))</f>
        <v>0.3</v>
      </c>
      <c r="BD272" s="115" t="n">
        <f aca="false">IF($C272="&lt;01",IFERROR(ROUND(INDEX(EID!$M:$M,MATCH($B272,EID!$B:$B,0)),0)/2,""),IF(SUM($AY272)=0,"",ROUND(SUM($AY272)/SUM($BA272),0)))</f>
        <v>21</v>
      </c>
      <c r="BE272" s="115" t="n">
        <f aca="false">IF($C272="&lt;01","",IF(SUM($BD272)=0,"",ROUND(SUM($BD272)*SUM($BC272),0)))</f>
        <v>6</v>
      </c>
      <c r="BF272" s="115" t="str">
        <f aca="false">_xlfn.IFNA(INDEX(PMTCT!$AE:$AE,MATCH($E272,PMTCT!$E:$E,0)),"")</f>
        <v/>
      </c>
      <c r="BG272" s="115" t="str">
        <f aca="false">_xlfn.IFNA(INDEX(PMTCT!$AU:$AU,MATCH($E272,PMTCT!$E:$E,0)),"")</f>
        <v/>
      </c>
      <c r="BH272" s="115" t="n">
        <f aca="false">_xlfn.IFNA(INDEX(TB!$Q:$Q,MATCH($E272,TB!$E:$E,0)),"")</f>
        <v>-5535</v>
      </c>
      <c r="BI272" s="115" t="str">
        <f aca="false">_xlfn.IFNA(INDEX(VMMC!$AC:$AC,MATCH($E272,VMMC!$E:$E,0)),"")</f>
        <v/>
      </c>
      <c r="BJ272" s="115" t="str">
        <f aca="false">IF($C272="&lt;01",$BD272,"")</f>
        <v/>
      </c>
      <c r="BK272" s="115" t="n">
        <f aca="false">IF(SUM($BD272)=0,"",($BD272)-SUM($BE272:$BJ272))</f>
        <v>5550</v>
      </c>
      <c r="BL272" s="123" t="n">
        <f aca="false">IF(OR(SUM($BD272)=0,SUM($BE272)=0),"",SUM($BE272)/$BD272)</f>
        <v>0.285714285714286</v>
      </c>
      <c r="BM272" s="123" t="str">
        <f aca="false">IF(OR(SUM($BD272)=0,SUM($BF272)=0),"",SUM($BF272)/$BD272)</f>
        <v/>
      </c>
      <c r="BN272" s="123" t="str">
        <f aca="false">IF(OR(SUM($BD272)=0,SUM($BG272)=0),"",SUM($BG272)/$BD272)</f>
        <v/>
      </c>
      <c r="BO272" s="123" t="n">
        <f aca="false">IF(OR(SUM($BD272)=0,SUM($BH272)=0),"",SUM($BH272)/$BD272)</f>
        <v>-263.571428571429</v>
      </c>
      <c r="BP272" s="123" t="str">
        <f aca="false">IF(OR(SUM($BD272)=0,SUM($BI272)=0),"",SUM($BI272)/$BD272)</f>
        <v/>
      </c>
      <c r="BQ272" s="123" t="str">
        <f aca="false">IF(AND($C272="&lt;01",SUM($BJ272)&lt;&gt;0),$BJ272/SUM($BD272),"")</f>
        <v/>
      </c>
      <c r="BR272" s="123" t="n">
        <f aca="false">IF(OR(SUM($BD272)=0,SUM($BK272)=0),"",SUM($BK272)/$BD272)</f>
        <v>264.285714285714</v>
      </c>
      <c r="BS272" s="122" t="n">
        <f aca="false">IF(SUM($X272)&lt;=0,"",$X272)</f>
        <v>0.0586766541822722</v>
      </c>
      <c r="BT272" s="115" t="n">
        <f aca="false">IF(LEFT($B272,4)="_Mil","",MAX(SUM($L272)+ROUND(SUM($BD272)/IF(SUM($BS272)&lt;=0,1,SUM($BS272)),0),0))</f>
        <v>1311</v>
      </c>
    </row>
    <row r="273" customFormat="false" ht="15" hidden="false" customHeight="false" outlineLevel="0" collapsed="false">
      <c r="A273" s="0" t="s">
        <v>151</v>
      </c>
      <c r="B273" s="0" t="s">
        <v>101</v>
      </c>
      <c r="C273" s="0" t="s">
        <v>77</v>
      </c>
      <c r="D273" s="0" t="s">
        <v>56</v>
      </c>
      <c r="E273" s="0" t="str">
        <f aca="false">B273&amp;"|"&amp;C273&amp;"|"&amp;D273</f>
        <v>Thaba Tseka [#SNU] [jyhIrCoB31x]|40-44|Female</v>
      </c>
      <c r="F273" s="115" t="n">
        <f aca="false">_xlfn.IFNA(ROUND(INDEX(Spectrum!$N:$N,MATCH(RIGHT($B273,13)&amp;"|"&amp;$C273&amp;"|"&amp;$D273&amp;"|"&amp;F$14&amp;"|"&amp;"CY2021Q3",Spectrum!$Q:$Q,0)),0),"")</f>
        <v>2934</v>
      </c>
      <c r="G273" s="123" t="n">
        <f aca="false">_xlfn.IFNA(INDEX(Spectrum!$P:$P,MATCH(RIGHT($B273,13)&amp;"|"&amp;$C273&amp;"|"&amp;$D273&amp;"|"&amp;F$14&amp;"|"&amp;"CY2021Q3",Spectrum!$Q:$Q,0)),"")</f>
        <v>38</v>
      </c>
      <c r="H273" s="115" t="n">
        <f aca="false">_xlfn.IFNA(ROUND(INDEX(Spectrum!$N:$N,MATCH(RIGHT($B273,13)&amp;"|"&amp;$C273&amp;"|"&amp;$D273&amp;"|"&amp;H$14&amp;"|"&amp;"CY2021Q3",Spectrum!$Q:$Q,0)),0),"")</f>
        <v>1315</v>
      </c>
      <c r="I273" s="123" t="n">
        <f aca="false">_xlfn.IFNA(INDEX(Spectrum!$P:$P,MATCH(RIGHT($B273,13)&amp;"|"&amp;$C273&amp;"|"&amp;$D273&amp;"|"&amp;H$14&amp;"|"&amp;"CY2021Q3",Spectrum!$Q:$Q,0)),"")</f>
        <v>18</v>
      </c>
      <c r="J273" s="117" t="n">
        <f aca="false">_xlfn.IFNA(INDEX(Spectrum!$N:$N,MATCH(RIGHT($B273,13)&amp;"|"&amp;$C273&amp;"|"&amp;$D273&amp;"|"&amp;J$14&amp;"|"&amp;"CY2021Q3",Spectrum!$Q:$Q,0)),"")</f>
        <v>0.4482321</v>
      </c>
      <c r="K273" s="123" t="n">
        <f aca="false">_xlfn.IFNA(INDEX(Spectrum!$P:$P,MATCH(RIGHT($B273,13)&amp;"|"&amp;$C273&amp;"|"&amp;$D273&amp;"|"&amp;J$14&amp;"|"&amp;"CY2021Q3",Spectrum!$Q:$Q,0)),"")</f>
        <v>48</v>
      </c>
      <c r="L273" s="115" t="n">
        <f aca="false">_xlfn.IFNA(ROUND(INDEX(Spectrum!$N:$N,MATCH(RIGHT($B273,13)&amp;"|"&amp;$C273&amp;"|"&amp;$D273&amp;"|"&amp;L$14&amp;"|"&amp;"CY2021Q3",Spectrum!$Q:$Q,0)),0),"")</f>
        <v>1356</v>
      </c>
      <c r="M273" s="123" t="n">
        <f aca="false">IF(OR(SUM($H273)&lt;=0,SUM($L273)&lt;=0),"",SUM($L273)/$H273)</f>
        <v>1.03117870722433</v>
      </c>
      <c r="N273" s="115" t="str">
        <f aca="false">_xlfn.IFNA(ROUND(INDEX(Spectrum!$N:$N,MATCH(RIGHT($B273,13)&amp;"|"&amp;$C273&amp;"|"&amp;$D273&amp;"|"&amp;N$14&amp;"|"&amp;"CY2020Q4",Spectrum!$Q:$Q,0)),0),"")</f>
        <v/>
      </c>
      <c r="O273" s="123" t="str">
        <f aca="false">_xlfn.IFNA(INDEX(Spectrum!$P:$P,MATCH(RIGHT($B273,13)&amp;"|"&amp;$C273&amp;"|"&amp;$D273&amp;"|"&amp;N$14&amp;"|"&amp;"CY2020Q4",Spectrum!$Q:$Q,0)),"")</f>
        <v/>
      </c>
      <c r="P273" s="115" t="n">
        <f aca="false">_xlfn.IFNA(ROUND(INDEX(Spectrum!$N:$N,MATCH(RIGHT($B273,13)&amp;"|"&amp;$C273&amp;"|"&amp;$D273&amp;"|"&amp;P$14&amp;"|"&amp;"CY2021Q3",Spectrum!$Q:$Q,0)),0),"")</f>
        <v>1292</v>
      </c>
      <c r="Q273" s="123" t="n">
        <f aca="false">_xlfn.IFNA(INDEX(Spectrum!$P:$P,MATCH(RIGHT($B273,13)&amp;"|"&amp;$C273&amp;"|"&amp;$D273&amp;"|"&amp;P$14&amp;"|"&amp;"CY2021Q3",Spectrum!$Q:$Q,0)),"")</f>
        <v>13</v>
      </c>
      <c r="R273" s="115"/>
      <c r="S273" s="123" t="str">
        <f aca="false">IF(OR(SUM($P273)&lt;=0,SUM($R273)&lt;=0),"",SUM($R273)/$P273)</f>
        <v/>
      </c>
      <c r="T273" s="139" t="n">
        <v>44</v>
      </c>
      <c r="U273" s="124" t="n">
        <v>5</v>
      </c>
      <c r="V273" s="124" t="n">
        <f aca="false">IF($U273-$T273=0,"",$U273-$T273)</f>
        <v>-39</v>
      </c>
      <c r="W273" s="123" t="n">
        <f aca="false">IF(LEFT($B273,4)="_Mil","",IFERROR(MIN(IF(SUM($N273)&lt;=0,SUM($U273)/SUM($P273),SUM($T273)/SUM($N273)),1),""))</f>
        <v>0.00386996904024768</v>
      </c>
      <c r="X273" s="123" t="n">
        <f aca="false">$W273</f>
        <v>0.00386996904024768</v>
      </c>
      <c r="Y273" s="123" t="n">
        <f aca="false">IFERROR(1/(1/INDEX(Spectrum!$N:$N,MATCH(RIGHT($B273,13)&amp;"|"&amp;$C273&amp;"|"&amp;$D273&amp;"|"&amp;Y$14&amp;"|"&amp;"CY2021Q3",Spectrum!$Q:$Q,0))),IF(SUM($H273)=0,"",MAX(SUM($P273),SUM($U273))/SUM($H273)))</f>
        <v>0.982509505703422</v>
      </c>
      <c r="Z273" s="123" t="n">
        <f aca="false">IF(SUM($Y273)=0,"",MAX(SUM($Y273),90%))</f>
        <v>0.982509505703422</v>
      </c>
      <c r="AA273" s="115" t="n">
        <f aca="false">IF(LEFT($B273,4)="_Mil","",ROUND(MAX(SUM($U273),SUM($P273))+IF(SUM($Z273)=0,0,MAX(SUM($Z273)-SUM($Y273),0)*SUM($H273)),0))</f>
        <v>1292</v>
      </c>
      <c r="AB273" s="115" t="n">
        <f aca="false">IF(SUM($AA273)=0,"",ROUND(MAX(SUM($AA273)-MAX(SUM($P273),SUM($U273)),0),0))</f>
        <v>0</v>
      </c>
      <c r="AC273" s="126" t="str">
        <f aca="false">IF($C273="&lt;01",IFERROR(ROUND(INDEX(EID!$N:$N,MATCH($B273,EID!$B:$B,0))/2,0),""),"")</f>
        <v/>
      </c>
      <c r="AD273" s="115" t="str">
        <f aca="false">IF($C273="&lt;01",IF(SUM($AC273)=0,"",ROUND(SUM($AC273)/$AG273,0)),IF(SUM($AB273)=0,"",ROUND(MAX($X273,0)*SUM($AB273),0)))</f>
        <v/>
      </c>
      <c r="AE273" s="115" t="n">
        <f aca="false">IF(AND(SUM($AD273)=0,SUM($U273)=0),"",ROUND(IF($C273="&lt;01",0,SUM($U273))+SUM($AD273),0))</f>
        <v>5</v>
      </c>
      <c r="AF273" s="122" t="n">
        <f aca="false">IF($C273="&lt;01","",100%)</f>
        <v>1</v>
      </c>
      <c r="AG273" s="123" t="n">
        <f aca="false">0.98</f>
        <v>0.98</v>
      </c>
      <c r="AH273" s="123" t="n">
        <f aca="false">0.98</f>
        <v>0.98</v>
      </c>
      <c r="AI273" s="124" t="n">
        <f aca="false">IF(OR($C273="&lt;01",SUM($U273)=0),"",ROUND(SUM($U273)*(1-$AH273),0))</f>
        <v>0</v>
      </c>
      <c r="AJ273" s="124" t="n">
        <f aca="false">IF(AND(SUM($AE273)=0,SUM($U273)=0),"",IF($C273="&lt;01",SUM($AD273),SUM($AE273) - ROUND(SUM($U273)*$AH273,0)))</f>
        <v>0</v>
      </c>
      <c r="AK273" s="124" t="n">
        <v>48</v>
      </c>
      <c r="AL273" s="124" t="n">
        <v>4</v>
      </c>
      <c r="AM273" s="115" t="n">
        <f aca="false">IF(AND(SUM($AD273)=0,SUM($U273)=0),"",IF($C273="&lt;01",SUM($AD273),ROUND(ROUND(SUM($AJ273)*$AF273,0)/$AG273,0)))</f>
        <v>0</v>
      </c>
      <c r="AN273" s="122" t="n">
        <f aca="false">0.7</f>
        <v>0.7</v>
      </c>
      <c r="AO273" s="123" t="n">
        <f aca="false">1</f>
        <v>1</v>
      </c>
      <c r="AP273" s="115" t="n">
        <f aca="false">IF(AND(SUM($U273)=0,SUM($AM273)=0),"",ROUND((SUM($AM273)*$AN273+IF($C273="&lt;01",0,$U273))*$AO273,0))</f>
        <v>5</v>
      </c>
      <c r="AQ273" s="122" t="n">
        <v>24</v>
      </c>
      <c r="AR273" s="123" t="n">
        <f aca="false">0.95</f>
        <v>0.95</v>
      </c>
      <c r="AS273" s="123" t="n">
        <f aca="false">0.95</f>
        <v>0.95</v>
      </c>
      <c r="AT273" s="115" t="n">
        <f aca="false">IF(SUM($AP273)=0,"",ROUND(SUM($AP273)*$AR273,0))</f>
        <v>5</v>
      </c>
      <c r="AU273" s="115" t="n">
        <f aca="false">IF(LEFT($B273,4)="_Mil","",ROUND(SUM($AA273)*SUM($AS273),0))</f>
        <v>1227</v>
      </c>
      <c r="AV273" s="124" t="n">
        <f aca="false">IF(SUM($AU273)&lt;=0,"",MAX(SUM($AU273)-SUM($R273),0))</f>
        <v>1227</v>
      </c>
      <c r="AW273" s="122" t="n">
        <f aca="false">0</f>
        <v>0</v>
      </c>
      <c r="AX273" s="124" t="str">
        <f aca="false">IF(SUM($AM273)=0,"",ROUND(SUM($AM273)*SUM($AW273),0))</f>
        <v/>
      </c>
      <c r="AY273" s="124" t="str">
        <f aca="false">IF(SUM($AM273)=0,"",SUM($AM273)-SUM($AX273))</f>
        <v/>
      </c>
      <c r="AZ273" s="123" t="n">
        <v>37</v>
      </c>
      <c r="BA273" s="123" t="n">
        <f aca="false">0.95</f>
        <v>0.95</v>
      </c>
      <c r="BB273" s="123"/>
      <c r="BC273" s="123" t="str">
        <f aca="false">IF(OR(SUM($AM273)&lt;=0,$C273="&lt;01"),"",MAX(IF(OR(SUM($Y273)&lt;70%,LEFT($B273,4)="_Mil"),30%,IF(SUM($Y273)&gt;=80%,75%,50%)),SUM($BB273)))</f>
        <v/>
      </c>
      <c r="BD273" s="115" t="str">
        <f aca="false">IF($C273="&lt;01",IFERROR(ROUND(INDEX(EID!$M:$M,MATCH($B273,EID!$B:$B,0)),0)/2,""),IF(SUM($AY273)=0,"",ROUND(SUM($AY273)/SUM($BA273),0)))</f>
        <v/>
      </c>
      <c r="BE273" s="115" t="str">
        <f aca="false">IF($C273="&lt;01","",IF(SUM($BD273)=0,"",ROUND(SUM($BD273)*SUM($BC273),0)))</f>
        <v/>
      </c>
      <c r="BF273" s="115" t="n">
        <f aca="false">_xlfn.IFNA(INDEX(PMTCT!$AE:$AE,MATCH($E273,PMTCT!$E:$E,0)),"")</f>
        <v>-0</v>
      </c>
      <c r="BG273" s="115" t="str">
        <f aca="false">_xlfn.IFNA(INDEX(PMTCT!$AU:$AU,MATCH($E273,PMTCT!$E:$E,0)),"")</f>
        <v/>
      </c>
      <c r="BH273" s="115" t="n">
        <f aca="false">_xlfn.IFNA(INDEX(TB!$Q:$Q,MATCH($E273,TB!$E:$E,0)),"")</f>
        <v>-0</v>
      </c>
      <c r="BI273" s="115" t="str">
        <f aca="false">_xlfn.IFNA(INDEX(VMMC!$AC:$AC,MATCH($E273,VMMC!$E:$E,0)),"")</f>
        <v/>
      </c>
      <c r="BJ273" s="115" t="str">
        <f aca="false">IF($C273="&lt;01",$BD273,"")</f>
        <v/>
      </c>
      <c r="BK273" s="115" t="str">
        <f aca="false">IF(SUM($BD273)=0,"",($BD273)-SUM($BE273:$BJ273))</f>
        <v/>
      </c>
      <c r="BL273" s="123" t="str">
        <f aca="false">IF(OR(SUM($BD273)=0,SUM($BE273)=0),"",SUM($BE273)/$BD273)</f>
        <v/>
      </c>
      <c r="BM273" s="123" t="str">
        <f aca="false">IF(OR(SUM($BD273)=0,SUM($BF273)=0),"",SUM($BF273)/$BD273)</f>
        <v/>
      </c>
      <c r="BN273" s="123" t="str">
        <f aca="false">IF(OR(SUM($BD273)=0,SUM($BG273)=0),"",SUM($BG273)/$BD273)</f>
        <v/>
      </c>
      <c r="BO273" s="123" t="str">
        <f aca="false">IF(OR(SUM($BD273)=0,SUM($BH273)=0),"",SUM($BH273)/$BD273)</f>
        <v/>
      </c>
      <c r="BP273" s="123" t="str">
        <f aca="false">IF(OR(SUM($BD273)=0,SUM($BI273)=0),"",SUM($BI273)/$BD273)</f>
        <v/>
      </c>
      <c r="BQ273" s="123" t="str">
        <f aca="false">IF(AND($C273="&lt;01",SUM($BJ273)&lt;&gt;0),$BJ273/SUM($BD273),"")</f>
        <v/>
      </c>
      <c r="BR273" s="123" t="str">
        <f aca="false">IF(OR(SUM($BD273)=0,SUM($BK273)=0),"",SUM($BK273)/$BD273)</f>
        <v/>
      </c>
      <c r="BS273" s="122" t="n">
        <f aca="false">IF(SUM($X273)&lt;=0,"",$X273)</f>
        <v>0.00386996904024768</v>
      </c>
      <c r="BT273" s="115" t="n">
        <f aca="false">IF(LEFT($B273,4)="_Mil","",MAX(SUM($L273)+ROUND(SUM($BD273)/IF(SUM($BS273)&lt;=0,1,SUM($BS273)),0),0))</f>
        <v>1356</v>
      </c>
    </row>
    <row r="274" customFormat="false" ht="15" hidden="false" customHeight="false" outlineLevel="0" collapsed="false">
      <c r="A274" s="0" t="s">
        <v>151</v>
      </c>
      <c r="B274" s="0" t="s">
        <v>101</v>
      </c>
      <c r="C274" s="0" t="s">
        <v>77</v>
      </c>
      <c r="D274" s="0" t="s">
        <v>58</v>
      </c>
      <c r="E274" s="0" t="str">
        <f aca="false">B274&amp;"|"&amp;C274&amp;"|"&amp;D274</f>
        <v>Thaba Tseka [#SNU] [jyhIrCoB31x]|40-44|Male</v>
      </c>
      <c r="F274" s="115" t="n">
        <f aca="false">_xlfn.IFNA(ROUND(INDEX(Spectrum!$N:$N,MATCH(RIGHT($B274,13)&amp;"|"&amp;$C274&amp;"|"&amp;$D274&amp;"|"&amp;F$14&amp;"|"&amp;"CY2021Q3",Spectrum!$Q:$Q,0)),0),"")</f>
        <v>3343</v>
      </c>
      <c r="G274" s="123" t="n">
        <f aca="false">_xlfn.IFNA(INDEX(Spectrum!$P:$P,MATCH(RIGHT($B274,13)&amp;"|"&amp;$C274&amp;"|"&amp;$D274&amp;"|"&amp;F$14&amp;"|"&amp;"CY2021Q3",Spectrum!$Q:$Q,0)),"")</f>
        <v>7</v>
      </c>
      <c r="H274" s="115" t="n">
        <f aca="false">_xlfn.IFNA(ROUND(INDEX(Spectrum!$N:$N,MATCH(RIGHT($B274,13)&amp;"|"&amp;$C274&amp;"|"&amp;$D274&amp;"|"&amp;H$14&amp;"|"&amp;"CY2021Q3",Spectrum!$Q:$Q,0)),0),"")</f>
        <v>1150</v>
      </c>
      <c r="I274" s="123" t="n">
        <f aca="false">_xlfn.IFNA(INDEX(Spectrum!$P:$P,MATCH(RIGHT($B274,13)&amp;"|"&amp;$C274&amp;"|"&amp;$D274&amp;"|"&amp;H$14&amp;"|"&amp;"CY2021Q3",Spectrum!$Q:$Q,0)),"")</f>
        <v>23</v>
      </c>
      <c r="J274" s="117" t="n">
        <f aca="false">_xlfn.IFNA(INDEX(Spectrum!$N:$N,MATCH(RIGHT($B274,13)&amp;"|"&amp;$C274&amp;"|"&amp;$D274&amp;"|"&amp;J$14&amp;"|"&amp;"CY2021Q3",Spectrum!$Q:$Q,0)),"")</f>
        <v>0.3440514</v>
      </c>
      <c r="K274" s="123" t="n">
        <f aca="false">_xlfn.IFNA(INDEX(Spectrum!$P:$P,MATCH(RIGHT($B274,13)&amp;"|"&amp;$C274&amp;"|"&amp;$D274&amp;"|"&amp;J$14&amp;"|"&amp;"CY2021Q3",Spectrum!$Q:$Q,0)),"")</f>
        <v>38</v>
      </c>
      <c r="L274" s="115" t="n">
        <f aca="false">_xlfn.IFNA(ROUND(INDEX(Spectrum!$N:$N,MATCH(RIGHT($B274,13)&amp;"|"&amp;$C274&amp;"|"&amp;$D274&amp;"|"&amp;L$14&amp;"|"&amp;"CY2021Q3",Spectrum!$Q:$Q,0)),0),"")</f>
        <v>1031</v>
      </c>
      <c r="M274" s="123" t="n">
        <f aca="false">IF(OR(SUM($H274)&lt;=0,SUM($L274)&lt;=0),"",SUM($L274)/$H274)</f>
        <v>0.896521739130435</v>
      </c>
      <c r="N274" s="115" t="str">
        <f aca="false">_xlfn.IFNA(ROUND(INDEX(Spectrum!$N:$N,MATCH(RIGHT($B274,13)&amp;"|"&amp;$C274&amp;"|"&amp;$D274&amp;"|"&amp;N$14&amp;"|"&amp;"CY2020Q4",Spectrum!$Q:$Q,0)),0),"")</f>
        <v/>
      </c>
      <c r="O274" s="123" t="str">
        <f aca="false">_xlfn.IFNA(INDEX(Spectrum!$P:$P,MATCH(RIGHT($B274,13)&amp;"|"&amp;$C274&amp;"|"&amp;$D274&amp;"|"&amp;N$14&amp;"|"&amp;"CY2020Q4",Spectrum!$Q:$Q,0)),"")</f>
        <v/>
      </c>
      <c r="P274" s="115" t="n">
        <f aca="false">_xlfn.IFNA(ROUND(INDEX(Spectrum!$N:$N,MATCH(RIGHT($B274,13)&amp;"|"&amp;$C274&amp;"|"&amp;$D274&amp;"|"&amp;P$14&amp;"|"&amp;"CY2021Q3",Spectrum!$Q:$Q,0)),0),"")</f>
        <v>895</v>
      </c>
      <c r="Q274" s="123" t="n">
        <f aca="false">_xlfn.IFNA(INDEX(Spectrum!$P:$P,MATCH(RIGHT($B274,13)&amp;"|"&amp;$C274&amp;"|"&amp;$D274&amp;"|"&amp;P$14&amp;"|"&amp;"CY2021Q3",Spectrum!$Q:$Q,0)),"")</f>
        <v>32</v>
      </c>
      <c r="R274" s="115"/>
      <c r="S274" s="123" t="str">
        <f aca="false">IF(OR(SUM($P274)&lt;=0,SUM($R274)&lt;=0),"",SUM($R274)/$P274)</f>
        <v/>
      </c>
      <c r="T274" s="139" t="n">
        <v>34</v>
      </c>
      <c r="U274" s="124" t="n">
        <v>10</v>
      </c>
      <c r="V274" s="124" t="n">
        <f aca="false">IF($U274-$T274=0,"",$U274-$T274)</f>
        <v>-24</v>
      </c>
      <c r="W274" s="123" t="n">
        <f aca="false">IF(LEFT($B274,4)="_Mil","",IFERROR(MIN(IF(SUM($N274)&lt;=0,SUM($U274)/SUM($P274),SUM($T274)/SUM($N274)),1),""))</f>
        <v>0.0111731843575419</v>
      </c>
      <c r="X274" s="123" t="n">
        <f aca="false">$W274</f>
        <v>0.0111731843575419</v>
      </c>
      <c r="Y274" s="123" t="n">
        <f aca="false">IFERROR(1/(1/INDEX(Spectrum!$N:$N,MATCH(RIGHT($B274,13)&amp;"|"&amp;$C274&amp;"|"&amp;$D274&amp;"|"&amp;Y$14&amp;"|"&amp;"CY2021Q3",Spectrum!$Q:$Q,0))),IF(SUM($H274)=0,"",MAX(SUM($P274),SUM($U274))/SUM($H274)))</f>
        <v>0.778260869565217</v>
      </c>
      <c r="Z274" s="123" t="n">
        <f aca="false">IF(SUM($Y274)=0,"",MAX(SUM($Y274),90%))</f>
        <v>0.9</v>
      </c>
      <c r="AA274" s="115" t="n">
        <f aca="false">IF(LEFT($B274,4)="_Mil","",ROUND(MAX(SUM($U274),SUM($P274))+IF(SUM($Z274)=0,0,MAX(SUM($Z274)-SUM($Y274),0)*SUM($H274)),0))</f>
        <v>1035</v>
      </c>
      <c r="AB274" s="115" t="n">
        <f aca="false">IF(SUM($AA274)=0,"",ROUND(MAX(SUM($AA274)-MAX(SUM($P274),SUM($U274)),0),0))</f>
        <v>140</v>
      </c>
      <c r="AC274" s="126" t="str">
        <f aca="false">IF($C274="&lt;01",IFERROR(ROUND(INDEX(EID!$N:$N,MATCH($B274,EID!$B:$B,0))/2,0),""),"")</f>
        <v/>
      </c>
      <c r="AD274" s="115" t="n">
        <f aca="false">IF($C274="&lt;01",IF(SUM($AC274)=0,"",ROUND(SUM($AC274)/$AG274,0)),IF(SUM($AB274)=0,"",ROUND(MAX($X274,0)*SUM($AB274),0)))</f>
        <v>2</v>
      </c>
      <c r="AE274" s="115" t="n">
        <f aca="false">IF(AND(SUM($AD274)=0,SUM($U274)=0),"",ROUND(IF($C274="&lt;01",0,SUM($U274))+SUM($AD274),0))</f>
        <v>12</v>
      </c>
      <c r="AF274" s="122" t="n">
        <f aca="false">IF($C274="&lt;01","",100%)</f>
        <v>1</v>
      </c>
      <c r="AG274" s="123" t="n">
        <f aca="false">0.98</f>
        <v>0.98</v>
      </c>
      <c r="AH274" s="123" t="n">
        <f aca="false">0.98</f>
        <v>0.98</v>
      </c>
      <c r="AI274" s="124" t="n">
        <f aca="false">IF(OR($C274="&lt;01",SUM($U274)=0),"",ROUND(SUM($U274)*(1-$AH274),0))</f>
        <v>0</v>
      </c>
      <c r="AJ274" s="124" t="n">
        <f aca="false">IF(AND(SUM($AE274)=0,SUM($U274)=0),"",IF($C274="&lt;01",SUM($AD274),SUM($AE274) - ROUND(SUM($U274)*$AH274,0)))</f>
        <v>2</v>
      </c>
      <c r="AK274" s="124" t="n">
        <v>33</v>
      </c>
      <c r="AL274" s="124" t="n">
        <v>17</v>
      </c>
      <c r="AM274" s="115" t="n">
        <f aca="false">IF(AND(SUM($AD274)=0,SUM($U274)=0),"",IF($C274="&lt;01",SUM($AD274),ROUND(ROUND(SUM($AJ274)*$AF274,0)/$AG274,0)))</f>
        <v>2</v>
      </c>
      <c r="AN274" s="122" t="n">
        <f aca="false">0.7</f>
        <v>0.7</v>
      </c>
      <c r="AO274" s="123" t="n">
        <f aca="false">1</f>
        <v>1</v>
      </c>
      <c r="AP274" s="115" t="n">
        <f aca="false">IF(AND(SUM($U274)=0,SUM($AM274)=0),"",ROUND((SUM($AM274)*$AN274+IF($C274="&lt;01",0,$U274))*$AO274,0))</f>
        <v>11</v>
      </c>
      <c r="AQ274" s="122" t="n">
        <v>19</v>
      </c>
      <c r="AR274" s="123" t="n">
        <f aca="false">0.95</f>
        <v>0.95</v>
      </c>
      <c r="AS274" s="123" t="n">
        <f aca="false">0.95</f>
        <v>0.95</v>
      </c>
      <c r="AT274" s="115" t="n">
        <f aca="false">IF(SUM($AP274)=0,"",ROUND(SUM($AP274)*$AR274,0))</f>
        <v>10</v>
      </c>
      <c r="AU274" s="115" t="n">
        <f aca="false">IF(LEFT($B274,4)="_Mil","",ROUND(SUM($AA274)*SUM($AS274),0))</f>
        <v>983</v>
      </c>
      <c r="AV274" s="124" t="n">
        <f aca="false">IF(SUM($AU274)&lt;=0,"",MAX(SUM($AU274)-SUM($R274),0))</f>
        <v>983</v>
      </c>
      <c r="AW274" s="122" t="n">
        <f aca="false">0</f>
        <v>0</v>
      </c>
      <c r="AX274" s="124" t="n">
        <f aca="false">IF(SUM($AM274)=0,"",ROUND(SUM($AM274)*SUM($AW274),0))</f>
        <v>0</v>
      </c>
      <c r="AY274" s="124" t="n">
        <f aca="false">IF(SUM($AM274)=0,"",SUM($AM274)-SUM($AX274))</f>
        <v>2</v>
      </c>
      <c r="AZ274" s="123" t="n">
        <v>2</v>
      </c>
      <c r="BA274" s="123" t="n">
        <f aca="false">0.95</f>
        <v>0.95</v>
      </c>
      <c r="BB274" s="123"/>
      <c r="BC274" s="123" t="n">
        <f aca="false">IF(OR(SUM($AM274)&lt;=0,$C274="&lt;01"),"",MAX(IF(OR(SUM($Y274)&lt;70%,LEFT($B274,4)="_Mil"),30%,IF(SUM($Y274)&gt;=80%,75%,50%)),SUM($BB274)))</f>
        <v>0.5</v>
      </c>
      <c r="BD274" s="115" t="n">
        <f aca="false">IF($C274="&lt;01",IFERROR(ROUND(INDEX(EID!$M:$M,MATCH($B274,EID!$B:$B,0)),0)/2,""),IF(SUM($AY274)=0,"",ROUND(SUM($AY274)/SUM($BA274),0)))</f>
        <v>2</v>
      </c>
      <c r="BE274" s="115" t="n">
        <f aca="false">IF($C274="&lt;01","",IF(SUM($BD274)=0,"",ROUND(SUM($BD274)*SUM($BC274),0)))</f>
        <v>1</v>
      </c>
      <c r="BF274" s="115" t="str">
        <f aca="false">_xlfn.IFNA(INDEX(PMTCT!$AE:$AE,MATCH($E274,PMTCT!$E:$E,0)),"")</f>
        <v/>
      </c>
      <c r="BG274" s="115" t="str">
        <f aca="false">_xlfn.IFNA(INDEX(PMTCT!$AU:$AU,MATCH($E274,PMTCT!$E:$E,0)),"")</f>
        <v/>
      </c>
      <c r="BH274" s="115" t="n">
        <f aca="false">_xlfn.IFNA(INDEX(TB!$Q:$Q,MATCH($E274,TB!$E:$E,0)),"")</f>
        <v>-3069</v>
      </c>
      <c r="BI274" s="115" t="str">
        <f aca="false">_xlfn.IFNA(INDEX(VMMC!$AC:$AC,MATCH($E274,VMMC!$E:$E,0)),"")</f>
        <v/>
      </c>
      <c r="BJ274" s="115" t="str">
        <f aca="false">IF($C274="&lt;01",$BD274,"")</f>
        <v/>
      </c>
      <c r="BK274" s="115" t="n">
        <f aca="false">IF(SUM($BD274)=0,"",($BD274)-SUM($BE274:$BJ274))</f>
        <v>3070</v>
      </c>
      <c r="BL274" s="123" t="n">
        <f aca="false">IF(OR(SUM($BD274)=0,SUM($BE274)=0),"",SUM($BE274)/$BD274)</f>
        <v>0.5</v>
      </c>
      <c r="BM274" s="123" t="str">
        <f aca="false">IF(OR(SUM($BD274)=0,SUM($BF274)=0),"",SUM($BF274)/$BD274)</f>
        <v/>
      </c>
      <c r="BN274" s="123" t="str">
        <f aca="false">IF(OR(SUM($BD274)=0,SUM($BG274)=0),"",SUM($BG274)/$BD274)</f>
        <v/>
      </c>
      <c r="BO274" s="123" t="n">
        <f aca="false">IF(OR(SUM($BD274)=0,SUM($BH274)=0),"",SUM($BH274)/$BD274)</f>
        <v>-1534.5</v>
      </c>
      <c r="BP274" s="123" t="str">
        <f aca="false">IF(OR(SUM($BD274)=0,SUM($BI274)=0),"",SUM($BI274)/$BD274)</f>
        <v/>
      </c>
      <c r="BQ274" s="123" t="str">
        <f aca="false">IF(AND($C274="&lt;01",SUM($BJ274)&lt;&gt;0),$BJ274/SUM($BD274),"")</f>
        <v/>
      </c>
      <c r="BR274" s="123" t="n">
        <f aca="false">IF(OR(SUM($BD274)=0,SUM($BK274)=0),"",SUM($BK274)/$BD274)</f>
        <v>1535</v>
      </c>
      <c r="BS274" s="122" t="n">
        <f aca="false">IF(SUM($X274)&lt;=0,"",$X274)</f>
        <v>0.0111731843575419</v>
      </c>
      <c r="BT274" s="115" t="n">
        <f aca="false">IF(LEFT($B274,4)="_Mil","",MAX(SUM($L274)+ROUND(SUM($BD274)/IF(SUM($BS274)&lt;=0,1,SUM($BS274)),0),0))</f>
        <v>1210</v>
      </c>
    </row>
    <row r="275" customFormat="false" ht="15" hidden="false" customHeight="false" outlineLevel="0" collapsed="false">
      <c r="A275" s="0" t="s">
        <v>151</v>
      </c>
      <c r="B275" s="0" t="s">
        <v>101</v>
      </c>
      <c r="C275" s="0" t="s">
        <v>80</v>
      </c>
      <c r="D275" s="0" t="s">
        <v>56</v>
      </c>
      <c r="E275" s="0" t="str">
        <f aca="false">B275&amp;"|"&amp;C275&amp;"|"&amp;D275</f>
        <v>Thaba Tseka [#SNU] [jyhIrCoB31x]|45-49|Female</v>
      </c>
      <c r="F275" s="115" t="n">
        <f aca="false">_xlfn.IFNA(ROUND(INDEX(Spectrum!$N:$N,MATCH(RIGHT($B275,13)&amp;"|"&amp;$C275&amp;"|"&amp;$D275&amp;"|"&amp;F$14&amp;"|"&amp;"CY2021Q3",Spectrum!$Q:$Q,0)),0),"")</f>
        <v>2137</v>
      </c>
      <c r="G275" s="123" t="n">
        <f aca="false">_xlfn.IFNA(INDEX(Spectrum!$P:$P,MATCH(RIGHT($B275,13)&amp;"|"&amp;$C275&amp;"|"&amp;$D275&amp;"|"&amp;F$14&amp;"|"&amp;"CY2021Q3",Spectrum!$Q:$Q,0)),"")</f>
        <v>22</v>
      </c>
      <c r="H275" s="115" t="n">
        <f aca="false">_xlfn.IFNA(ROUND(INDEX(Spectrum!$N:$N,MATCH(RIGHT($B275,13)&amp;"|"&amp;$C275&amp;"|"&amp;$D275&amp;"|"&amp;H$14&amp;"|"&amp;"CY2021Q3",Spectrum!$Q:$Q,0)),0),"")</f>
        <v>999</v>
      </c>
      <c r="I275" s="123" t="n">
        <f aca="false">_xlfn.IFNA(INDEX(Spectrum!$P:$P,MATCH(RIGHT($B275,13)&amp;"|"&amp;$C275&amp;"|"&amp;$D275&amp;"|"&amp;H$14&amp;"|"&amp;"CY2021Q3",Spectrum!$Q:$Q,0)),"")</f>
        <v>12</v>
      </c>
      <c r="J275" s="117" t="n">
        <f aca="false">_xlfn.IFNA(INDEX(Spectrum!$N:$N,MATCH(RIGHT($B275,13)&amp;"|"&amp;$C275&amp;"|"&amp;$D275&amp;"|"&amp;J$14&amp;"|"&amp;"CY2021Q3",Spectrum!$Q:$Q,0)),"")</f>
        <v>0.4676123</v>
      </c>
      <c r="K275" s="123" t="n">
        <f aca="false">_xlfn.IFNA(INDEX(Spectrum!$P:$P,MATCH(RIGHT($B275,13)&amp;"|"&amp;$C275&amp;"|"&amp;$D275&amp;"|"&amp;J$14&amp;"|"&amp;"CY2021Q3",Spectrum!$Q:$Q,0)),"")</f>
        <v>21</v>
      </c>
      <c r="L275" s="115" t="n">
        <f aca="false">_xlfn.IFNA(ROUND(INDEX(Spectrum!$N:$N,MATCH(RIGHT($B275,13)&amp;"|"&amp;$C275&amp;"|"&amp;$D275&amp;"|"&amp;L$14&amp;"|"&amp;"CY2021Q3",Spectrum!$Q:$Q,0)),0),"")</f>
        <v>1065</v>
      </c>
      <c r="M275" s="123" t="n">
        <f aca="false">IF(OR(SUM($H275)&lt;=0,SUM($L275)&lt;=0),"",SUM($L275)/$H275)</f>
        <v>1.06606606606607</v>
      </c>
      <c r="N275" s="115" t="str">
        <f aca="false">_xlfn.IFNA(ROUND(INDEX(Spectrum!$N:$N,MATCH(RIGHT($B275,13)&amp;"|"&amp;$C275&amp;"|"&amp;$D275&amp;"|"&amp;N$14&amp;"|"&amp;"CY2020Q4",Spectrum!$Q:$Q,0)),0),"")</f>
        <v/>
      </c>
      <c r="O275" s="123" t="str">
        <f aca="false">_xlfn.IFNA(INDEX(Spectrum!$P:$P,MATCH(RIGHT($B275,13)&amp;"|"&amp;$C275&amp;"|"&amp;$D275&amp;"|"&amp;N$14&amp;"|"&amp;"CY2020Q4",Spectrum!$Q:$Q,0)),"")</f>
        <v/>
      </c>
      <c r="P275" s="115" t="n">
        <f aca="false">_xlfn.IFNA(ROUND(INDEX(Spectrum!$N:$N,MATCH(RIGHT($B275,13)&amp;"|"&amp;$C275&amp;"|"&amp;$D275&amp;"|"&amp;P$14&amp;"|"&amp;"CY2021Q3",Spectrum!$Q:$Q,0)),0),"")</f>
        <v>1026</v>
      </c>
      <c r="Q275" s="123" t="n">
        <f aca="false">_xlfn.IFNA(INDEX(Spectrum!$P:$P,MATCH(RIGHT($B275,13)&amp;"|"&amp;$C275&amp;"|"&amp;$D275&amp;"|"&amp;P$14&amp;"|"&amp;"CY2021Q3",Spectrum!$Q:$Q,0)),"")</f>
        <v>6</v>
      </c>
      <c r="R275" s="115"/>
      <c r="S275" s="123" t="str">
        <f aca="false">IF(OR(SUM($P275)&lt;=0,SUM($R275)&lt;=0),"",SUM($R275)/$P275)</f>
        <v/>
      </c>
      <c r="T275" s="139" t="n">
        <v>49</v>
      </c>
      <c r="U275" s="124" t="n">
        <v>4</v>
      </c>
      <c r="V275" s="124" t="n">
        <f aca="false">IF($U275-$T275=0,"",$U275-$T275)</f>
        <v>-45</v>
      </c>
      <c r="W275" s="123" t="n">
        <f aca="false">IF(LEFT($B275,4)="_Mil","",IFERROR(MIN(IF(SUM($N275)&lt;=0,SUM($U275)/SUM($P275),SUM($T275)/SUM($N275)),1),""))</f>
        <v>0.00389863547758285</v>
      </c>
      <c r="X275" s="123" t="n">
        <f aca="false">$W275</f>
        <v>0.00389863547758285</v>
      </c>
      <c r="Y275" s="123" t="n">
        <f aca="false">IFERROR(1/(1/INDEX(Spectrum!$N:$N,MATCH(RIGHT($B275,13)&amp;"|"&amp;$C275&amp;"|"&amp;$D275&amp;"|"&amp;Y$14&amp;"|"&amp;"CY2021Q3",Spectrum!$Q:$Q,0))),IF(SUM($H275)=0,"",MAX(SUM($P275),SUM($U275))/SUM($H275)))</f>
        <v>1.02702702702703</v>
      </c>
      <c r="Z275" s="123" t="n">
        <f aca="false">IF(SUM($Y275)=0,"",MAX(SUM($Y275),90%))</f>
        <v>1.02702702702703</v>
      </c>
      <c r="AA275" s="115" t="n">
        <f aca="false">IF(LEFT($B275,4)="_Mil","",ROUND(MAX(SUM($U275),SUM($P275))+IF(SUM($Z275)=0,0,MAX(SUM($Z275)-SUM($Y275),0)*SUM($H275)),0))</f>
        <v>1026</v>
      </c>
      <c r="AB275" s="115" t="n">
        <f aca="false">IF(SUM($AA275)=0,"",ROUND(MAX(SUM($AA275)-MAX(SUM($P275),SUM($U275)),0),0))</f>
        <v>0</v>
      </c>
      <c r="AC275" s="126" t="str">
        <f aca="false">IF($C275="&lt;01",IFERROR(ROUND(INDEX(EID!$N:$N,MATCH($B275,EID!$B:$B,0))/2,0),""),"")</f>
        <v/>
      </c>
      <c r="AD275" s="115" t="str">
        <f aca="false">IF($C275="&lt;01",IF(SUM($AC275)=0,"",ROUND(SUM($AC275)/$AG275,0)),IF(SUM($AB275)=0,"",ROUND(MAX($X275,0)*SUM($AB275),0)))</f>
        <v/>
      </c>
      <c r="AE275" s="115" t="n">
        <f aca="false">IF(AND(SUM($AD275)=0,SUM($U275)=0),"",ROUND(IF($C275="&lt;01",0,SUM($U275))+SUM($AD275),0))</f>
        <v>4</v>
      </c>
      <c r="AF275" s="122" t="n">
        <f aca="false">IF($C275="&lt;01","",100%)</f>
        <v>1</v>
      </c>
      <c r="AG275" s="123" t="n">
        <f aca="false">0.98</f>
        <v>0.98</v>
      </c>
      <c r="AH275" s="123" t="n">
        <f aca="false">0.98</f>
        <v>0.98</v>
      </c>
      <c r="AI275" s="124" t="n">
        <f aca="false">IF(OR($C275="&lt;01",SUM($U275)=0),"",ROUND(SUM($U275)*(1-$AH275),0))</f>
        <v>0</v>
      </c>
      <c r="AJ275" s="124" t="n">
        <f aca="false">IF(AND(SUM($AE275)=0,SUM($U275)=0),"",IF($C275="&lt;01",SUM($AD275),SUM($AE275) - ROUND(SUM($U275)*$AH275,0)))</f>
        <v>0</v>
      </c>
      <c r="AK275" s="124" t="n">
        <v>1</v>
      </c>
      <c r="AL275" s="124" t="n">
        <v>44</v>
      </c>
      <c r="AM275" s="115" t="n">
        <f aca="false">IF(AND(SUM($AD275)=0,SUM($U275)=0),"",IF($C275="&lt;01",SUM($AD275),ROUND(ROUND(SUM($AJ275)*$AF275,0)/$AG275,0)))</f>
        <v>0</v>
      </c>
      <c r="AN275" s="122" t="n">
        <f aca="false">0.7</f>
        <v>0.7</v>
      </c>
      <c r="AO275" s="123" t="n">
        <f aca="false">1</f>
        <v>1</v>
      </c>
      <c r="AP275" s="115" t="n">
        <f aca="false">IF(AND(SUM($U275)=0,SUM($AM275)=0),"",ROUND((SUM($AM275)*$AN275+IF($C275="&lt;01",0,$U275))*$AO275,0))</f>
        <v>4</v>
      </c>
      <c r="AQ275" s="122" t="n">
        <v>35</v>
      </c>
      <c r="AR275" s="123" t="n">
        <f aca="false">0.95</f>
        <v>0.95</v>
      </c>
      <c r="AS275" s="123" t="n">
        <f aca="false">0.95</f>
        <v>0.95</v>
      </c>
      <c r="AT275" s="115" t="n">
        <f aca="false">IF(SUM($AP275)=0,"",ROUND(SUM($AP275)*$AR275,0))</f>
        <v>4</v>
      </c>
      <c r="AU275" s="115" t="n">
        <f aca="false">IF(LEFT($B275,4)="_Mil","",ROUND(SUM($AA275)*SUM($AS275),0))</f>
        <v>975</v>
      </c>
      <c r="AV275" s="124" t="n">
        <f aca="false">IF(SUM($AU275)&lt;=0,"",MAX(SUM($AU275)-SUM($R275),0))</f>
        <v>975</v>
      </c>
      <c r="AW275" s="122" t="n">
        <f aca="false">0</f>
        <v>0</v>
      </c>
      <c r="AX275" s="124" t="str">
        <f aca="false">IF(SUM($AM275)=0,"",ROUND(SUM($AM275)*SUM($AW275),0))</f>
        <v/>
      </c>
      <c r="AY275" s="124" t="str">
        <f aca="false">IF(SUM($AM275)=0,"",SUM($AM275)-SUM($AX275))</f>
        <v/>
      </c>
      <c r="AZ275" s="123" t="n">
        <v>28</v>
      </c>
      <c r="BA275" s="123" t="n">
        <f aca="false">0.95</f>
        <v>0.95</v>
      </c>
      <c r="BB275" s="123"/>
      <c r="BC275" s="123" t="str">
        <f aca="false">IF(OR(SUM($AM275)&lt;=0,$C275="&lt;01"),"",MAX(IF(OR(SUM($Y275)&lt;70%,LEFT($B275,4)="_Mil"),30%,IF(SUM($Y275)&gt;=80%,75%,50%)),SUM($BB275)))</f>
        <v/>
      </c>
      <c r="BD275" s="115" t="str">
        <f aca="false">IF($C275="&lt;01",IFERROR(ROUND(INDEX(EID!$M:$M,MATCH($B275,EID!$B:$B,0)),0)/2,""),IF(SUM($AY275)=0,"",ROUND(SUM($AY275)/SUM($BA275),0)))</f>
        <v/>
      </c>
      <c r="BE275" s="115" t="str">
        <f aca="false">IF($C275="&lt;01","",IF(SUM($BD275)=0,"",ROUND(SUM($BD275)*SUM($BC275),0)))</f>
        <v/>
      </c>
      <c r="BF275" s="115" t="n">
        <f aca="false">_xlfn.IFNA(INDEX(PMTCT!$AE:$AE,MATCH($E275,PMTCT!$E:$E,0)),"")</f>
        <v>-0</v>
      </c>
      <c r="BG275" s="115" t="str">
        <f aca="false">_xlfn.IFNA(INDEX(PMTCT!$AU:$AU,MATCH($E275,PMTCT!$E:$E,0)),"")</f>
        <v/>
      </c>
      <c r="BH275" s="115" t="n">
        <f aca="false">_xlfn.IFNA(INDEX(TB!$Q:$Q,MATCH($E275,TB!$E:$E,0)),"")</f>
        <v>-0</v>
      </c>
      <c r="BI275" s="115" t="str">
        <f aca="false">_xlfn.IFNA(INDEX(VMMC!$AC:$AC,MATCH($E275,VMMC!$E:$E,0)),"")</f>
        <v/>
      </c>
      <c r="BJ275" s="115" t="str">
        <f aca="false">IF($C275="&lt;01",$BD275,"")</f>
        <v/>
      </c>
      <c r="BK275" s="115" t="str">
        <f aca="false">IF(SUM($BD275)=0,"",($BD275)-SUM($BE275:$BJ275))</f>
        <v/>
      </c>
      <c r="BL275" s="123" t="str">
        <f aca="false">IF(OR(SUM($BD275)=0,SUM($BE275)=0),"",SUM($BE275)/$BD275)</f>
        <v/>
      </c>
      <c r="BM275" s="123" t="str">
        <f aca="false">IF(OR(SUM($BD275)=0,SUM($BF275)=0),"",SUM($BF275)/$BD275)</f>
        <v/>
      </c>
      <c r="BN275" s="123" t="str">
        <f aca="false">IF(OR(SUM($BD275)=0,SUM($BG275)=0),"",SUM($BG275)/$BD275)</f>
        <v/>
      </c>
      <c r="BO275" s="123" t="str">
        <f aca="false">IF(OR(SUM($BD275)=0,SUM($BH275)=0),"",SUM($BH275)/$BD275)</f>
        <v/>
      </c>
      <c r="BP275" s="123" t="str">
        <f aca="false">IF(OR(SUM($BD275)=0,SUM($BI275)=0),"",SUM($BI275)/$BD275)</f>
        <v/>
      </c>
      <c r="BQ275" s="123" t="str">
        <f aca="false">IF(AND($C275="&lt;01",SUM($BJ275)&lt;&gt;0),$BJ275/SUM($BD275),"")</f>
        <v/>
      </c>
      <c r="BR275" s="123" t="str">
        <f aca="false">IF(OR(SUM($BD275)=0,SUM($BK275)=0),"",SUM($BK275)/$BD275)</f>
        <v/>
      </c>
      <c r="BS275" s="122" t="n">
        <f aca="false">IF(SUM($X275)&lt;=0,"",$X275)</f>
        <v>0.00389863547758285</v>
      </c>
      <c r="BT275" s="115" t="n">
        <f aca="false">IF(LEFT($B275,4)="_Mil","",MAX(SUM($L275)+ROUND(SUM($BD275)/IF(SUM($BS275)&lt;=0,1,SUM($BS275)),0),0))</f>
        <v>1065</v>
      </c>
    </row>
    <row r="276" customFormat="false" ht="15" hidden="false" customHeight="false" outlineLevel="0" collapsed="false">
      <c r="A276" s="0" t="s">
        <v>151</v>
      </c>
      <c r="B276" s="0" t="s">
        <v>101</v>
      </c>
      <c r="C276" s="0" t="s">
        <v>80</v>
      </c>
      <c r="D276" s="0" t="s">
        <v>58</v>
      </c>
      <c r="E276" s="0" t="str">
        <f aca="false">B276&amp;"|"&amp;C276&amp;"|"&amp;D276</f>
        <v>Thaba Tseka [#SNU] [jyhIrCoB31x]|45-49|Male</v>
      </c>
      <c r="F276" s="115" t="n">
        <f aca="false">_xlfn.IFNA(ROUND(INDEX(Spectrum!$N:$N,MATCH(RIGHT($B276,13)&amp;"|"&amp;$C276&amp;"|"&amp;$D276&amp;"|"&amp;F$14&amp;"|"&amp;"CY2021Q3",Spectrum!$Q:$Q,0)),0),"")</f>
        <v>2384</v>
      </c>
      <c r="G276" s="123" t="n">
        <f aca="false">_xlfn.IFNA(INDEX(Spectrum!$P:$P,MATCH(RIGHT($B276,13)&amp;"|"&amp;$C276&amp;"|"&amp;$D276&amp;"|"&amp;F$14&amp;"|"&amp;"CY2021Q3",Spectrum!$Q:$Q,0)),"")</f>
        <v>11</v>
      </c>
      <c r="H276" s="115" t="n">
        <f aca="false">_xlfn.IFNA(ROUND(INDEX(Spectrum!$N:$N,MATCH(RIGHT($B276,13)&amp;"|"&amp;$C276&amp;"|"&amp;$D276&amp;"|"&amp;H$14&amp;"|"&amp;"CY2021Q3",Spectrum!$Q:$Q,0)),0),"")</f>
        <v>976</v>
      </c>
      <c r="I276" s="123" t="n">
        <f aca="false">_xlfn.IFNA(INDEX(Spectrum!$P:$P,MATCH(RIGHT($B276,13)&amp;"|"&amp;$C276&amp;"|"&amp;$D276&amp;"|"&amp;H$14&amp;"|"&amp;"CY2021Q3",Spectrum!$Q:$Q,0)),"")</f>
        <v>2</v>
      </c>
      <c r="J276" s="117" t="n">
        <f aca="false">_xlfn.IFNA(INDEX(Spectrum!$N:$N,MATCH(RIGHT($B276,13)&amp;"|"&amp;$C276&amp;"|"&amp;$D276&amp;"|"&amp;J$14&amp;"|"&amp;"CY2021Q3",Spectrum!$Q:$Q,0)),"")</f>
        <v>0.4093487</v>
      </c>
      <c r="K276" s="123" t="n">
        <f aca="false">_xlfn.IFNA(INDEX(Spectrum!$P:$P,MATCH(RIGHT($B276,13)&amp;"|"&amp;$C276&amp;"|"&amp;$D276&amp;"|"&amp;J$14&amp;"|"&amp;"CY2021Q3",Spectrum!$Q:$Q,0)),"")</f>
        <v>29</v>
      </c>
      <c r="L276" s="115" t="n">
        <f aca="false">_xlfn.IFNA(ROUND(INDEX(Spectrum!$N:$N,MATCH(RIGHT($B276,13)&amp;"|"&amp;$C276&amp;"|"&amp;$D276&amp;"|"&amp;L$14&amp;"|"&amp;"CY2021Q3",Spectrum!$Q:$Q,0)),0),"")</f>
        <v>870</v>
      </c>
      <c r="M276" s="123" t="n">
        <f aca="false">IF(OR(SUM($H276)&lt;=0,SUM($L276)&lt;=0),"",SUM($L276)/$H276)</f>
        <v>0.891393442622951</v>
      </c>
      <c r="N276" s="115" t="str">
        <f aca="false">_xlfn.IFNA(ROUND(INDEX(Spectrum!$N:$N,MATCH(RIGHT($B276,13)&amp;"|"&amp;$C276&amp;"|"&amp;$D276&amp;"|"&amp;N$14&amp;"|"&amp;"CY2020Q4",Spectrum!$Q:$Q,0)),0),"")</f>
        <v/>
      </c>
      <c r="O276" s="123" t="str">
        <f aca="false">_xlfn.IFNA(INDEX(Spectrum!$P:$P,MATCH(RIGHT($B276,13)&amp;"|"&amp;$C276&amp;"|"&amp;$D276&amp;"|"&amp;N$14&amp;"|"&amp;"CY2020Q4",Spectrum!$Q:$Q,0)),"")</f>
        <v/>
      </c>
      <c r="P276" s="115" t="n">
        <f aca="false">_xlfn.IFNA(ROUND(INDEX(Spectrum!$N:$N,MATCH(RIGHT($B276,13)&amp;"|"&amp;$C276&amp;"|"&amp;$D276&amp;"|"&amp;P$14&amp;"|"&amp;"CY2021Q3",Spectrum!$Q:$Q,0)),0),"")</f>
        <v>785</v>
      </c>
      <c r="Q276" s="123" t="n">
        <f aca="false">_xlfn.IFNA(INDEX(Spectrum!$P:$P,MATCH(RIGHT($B276,13)&amp;"|"&amp;$C276&amp;"|"&amp;$D276&amp;"|"&amp;P$14&amp;"|"&amp;"CY2021Q3",Spectrum!$Q:$Q,0)),"")</f>
        <v>21</v>
      </c>
      <c r="R276" s="115"/>
      <c r="S276" s="123" t="str">
        <f aca="false">IF(OR(SUM($P276)&lt;=0,SUM($R276)&lt;=0),"",SUM($R276)/$P276)</f>
        <v/>
      </c>
      <c r="T276" s="139" t="n">
        <v>7</v>
      </c>
      <c r="U276" s="124" t="n">
        <v>9</v>
      </c>
      <c r="V276" s="124" t="n">
        <f aca="false">IF($U276-$T276=0,"",$U276-$T276)</f>
        <v>2</v>
      </c>
      <c r="W276" s="123" t="n">
        <f aca="false">IF(LEFT($B276,4)="_Mil","",IFERROR(MIN(IF(SUM($N276)&lt;=0,SUM($U276)/SUM($P276),SUM($T276)/SUM($N276)),1),""))</f>
        <v>0.0114649681528662</v>
      </c>
      <c r="X276" s="123" t="n">
        <f aca="false">$W276</f>
        <v>0.0114649681528662</v>
      </c>
      <c r="Y276" s="123" t="n">
        <f aca="false">IFERROR(1/(1/INDEX(Spectrum!$N:$N,MATCH(RIGHT($B276,13)&amp;"|"&amp;$C276&amp;"|"&amp;$D276&amp;"|"&amp;Y$14&amp;"|"&amp;"CY2021Q3",Spectrum!$Q:$Q,0))),IF(SUM($H276)=0,"",MAX(SUM($P276),SUM($U276))/SUM($H276)))</f>
        <v>0.804303278688525</v>
      </c>
      <c r="Z276" s="123" t="n">
        <f aca="false">IF(SUM($Y276)=0,"",MAX(SUM($Y276),90%))</f>
        <v>0.9</v>
      </c>
      <c r="AA276" s="115" t="n">
        <f aca="false">IF(LEFT($B276,4)="_Mil","",ROUND(MAX(SUM($U276),SUM($P276))+IF(SUM($Z276)=0,0,MAX(SUM($Z276)-SUM($Y276),0)*SUM($H276)),0))</f>
        <v>878</v>
      </c>
      <c r="AB276" s="115" t="n">
        <f aca="false">IF(SUM($AA276)=0,"",ROUND(MAX(SUM($AA276)-MAX(SUM($P276),SUM($U276)),0),0))</f>
        <v>93</v>
      </c>
      <c r="AC276" s="126" t="str">
        <f aca="false">IF($C276="&lt;01",IFERROR(ROUND(INDEX(EID!$N:$N,MATCH($B276,EID!$B:$B,0))/2,0),""),"")</f>
        <v/>
      </c>
      <c r="AD276" s="115" t="n">
        <f aca="false">IF($C276="&lt;01",IF(SUM($AC276)=0,"",ROUND(SUM($AC276)/$AG276,0)),IF(SUM($AB276)=0,"",ROUND(MAX($X276,0)*SUM($AB276),0)))</f>
        <v>1</v>
      </c>
      <c r="AE276" s="115" t="n">
        <f aca="false">IF(AND(SUM($AD276)=0,SUM($U276)=0),"",ROUND(IF($C276="&lt;01",0,SUM($U276))+SUM($AD276),0))</f>
        <v>10</v>
      </c>
      <c r="AF276" s="122" t="n">
        <f aca="false">IF($C276="&lt;01","",100%)</f>
        <v>1</v>
      </c>
      <c r="AG276" s="123" t="n">
        <f aca="false">0.98</f>
        <v>0.98</v>
      </c>
      <c r="AH276" s="123" t="n">
        <f aca="false">0.98</f>
        <v>0.98</v>
      </c>
      <c r="AI276" s="124" t="n">
        <f aca="false">IF(OR($C276="&lt;01",SUM($U276)=0),"",ROUND(SUM($U276)*(1-$AH276),0))</f>
        <v>0</v>
      </c>
      <c r="AJ276" s="124" t="n">
        <f aca="false">IF(AND(SUM($AE276)=0,SUM($U276)=0),"",IF($C276="&lt;01",SUM($AD276),SUM($AE276) - ROUND(SUM($U276)*$AH276,0)))</f>
        <v>1</v>
      </c>
      <c r="AK276" s="124" t="n">
        <v>31</v>
      </c>
      <c r="AL276" s="124" t="n">
        <v>25</v>
      </c>
      <c r="AM276" s="115" t="n">
        <f aca="false">IF(AND(SUM($AD276)=0,SUM($U276)=0),"",IF($C276="&lt;01",SUM($AD276),ROUND(ROUND(SUM($AJ276)*$AF276,0)/$AG276,0)))</f>
        <v>1</v>
      </c>
      <c r="AN276" s="122" t="n">
        <f aca="false">0.7</f>
        <v>0.7</v>
      </c>
      <c r="AO276" s="123" t="n">
        <f aca="false">1</f>
        <v>1</v>
      </c>
      <c r="AP276" s="115" t="n">
        <f aca="false">IF(AND(SUM($U276)=0,SUM($AM276)=0),"",ROUND((SUM($AM276)*$AN276+IF($C276="&lt;01",0,$U276))*$AO276,0))</f>
        <v>10</v>
      </c>
      <c r="AQ276" s="122" t="n">
        <v>23</v>
      </c>
      <c r="AR276" s="123" t="n">
        <f aca="false">0.95</f>
        <v>0.95</v>
      </c>
      <c r="AS276" s="123" t="n">
        <f aca="false">0.95</f>
        <v>0.95</v>
      </c>
      <c r="AT276" s="115" t="n">
        <f aca="false">IF(SUM($AP276)=0,"",ROUND(SUM($AP276)*$AR276,0))</f>
        <v>10</v>
      </c>
      <c r="AU276" s="115" t="n">
        <f aca="false">IF(LEFT($B276,4)="_Mil","",ROUND(SUM($AA276)*SUM($AS276),0))</f>
        <v>834</v>
      </c>
      <c r="AV276" s="124" t="n">
        <f aca="false">IF(SUM($AU276)&lt;=0,"",MAX(SUM($AU276)-SUM($R276),0))</f>
        <v>834</v>
      </c>
      <c r="AW276" s="122" t="n">
        <f aca="false">0</f>
        <v>0</v>
      </c>
      <c r="AX276" s="124" t="n">
        <f aca="false">IF(SUM($AM276)=0,"",ROUND(SUM($AM276)*SUM($AW276),0))</f>
        <v>0</v>
      </c>
      <c r="AY276" s="124" t="n">
        <f aca="false">IF(SUM($AM276)=0,"",SUM($AM276)-SUM($AX276))</f>
        <v>1</v>
      </c>
      <c r="AZ276" s="123" t="n">
        <v>43</v>
      </c>
      <c r="BA276" s="123" t="n">
        <f aca="false">0.95</f>
        <v>0.95</v>
      </c>
      <c r="BB276" s="123"/>
      <c r="BC276" s="123" t="n">
        <f aca="false">IF(OR(SUM($AM276)&lt;=0,$C276="&lt;01"),"",MAX(IF(OR(SUM($Y276)&lt;70%,LEFT($B276,4)="_Mil"),30%,IF(SUM($Y276)&gt;=80%,75%,50%)),SUM($BB276)))</f>
        <v>0.75</v>
      </c>
      <c r="BD276" s="115" t="n">
        <f aca="false">IF($C276="&lt;01",IFERROR(ROUND(INDEX(EID!$M:$M,MATCH($B276,EID!$B:$B,0)),0)/2,""),IF(SUM($AY276)=0,"",ROUND(SUM($AY276)/SUM($BA276),0)))</f>
        <v>1</v>
      </c>
      <c r="BE276" s="115" t="n">
        <f aca="false">IF($C276="&lt;01","",IF(SUM($BD276)=0,"",ROUND(SUM($BD276)*SUM($BC276),0)))</f>
        <v>1</v>
      </c>
      <c r="BF276" s="115" t="str">
        <f aca="false">_xlfn.IFNA(INDEX(PMTCT!$AE:$AE,MATCH($E276,PMTCT!$E:$E,0)),"")</f>
        <v/>
      </c>
      <c r="BG276" s="115" t="str">
        <f aca="false">_xlfn.IFNA(INDEX(PMTCT!$AU:$AU,MATCH($E276,PMTCT!$E:$E,0)),"")</f>
        <v/>
      </c>
      <c r="BH276" s="115" t="n">
        <f aca="false">_xlfn.IFNA(INDEX(TB!$Q:$Q,MATCH($E276,TB!$E:$E,0)),"")</f>
        <v>-6400</v>
      </c>
      <c r="BI276" s="115" t="str">
        <f aca="false">_xlfn.IFNA(INDEX(VMMC!$AC:$AC,MATCH($E276,VMMC!$E:$E,0)),"")</f>
        <v/>
      </c>
      <c r="BJ276" s="115" t="str">
        <f aca="false">IF($C276="&lt;01",$BD276,"")</f>
        <v/>
      </c>
      <c r="BK276" s="115" t="n">
        <f aca="false">IF(SUM($BD276)=0,"",($BD276)-SUM($BE276:$BJ276))</f>
        <v>6400</v>
      </c>
      <c r="BL276" s="123" t="n">
        <f aca="false">IF(OR(SUM($BD276)=0,SUM($BE276)=0),"",SUM($BE276)/$BD276)</f>
        <v>1</v>
      </c>
      <c r="BM276" s="123" t="str">
        <f aca="false">IF(OR(SUM($BD276)=0,SUM($BF276)=0),"",SUM($BF276)/$BD276)</f>
        <v/>
      </c>
      <c r="BN276" s="123" t="str">
        <f aca="false">IF(OR(SUM($BD276)=0,SUM($BG276)=0),"",SUM($BG276)/$BD276)</f>
        <v/>
      </c>
      <c r="BO276" s="123" t="n">
        <f aca="false">IF(OR(SUM($BD276)=0,SUM($BH276)=0),"",SUM($BH276)/$BD276)</f>
        <v>-6400</v>
      </c>
      <c r="BP276" s="123" t="str">
        <f aca="false">IF(OR(SUM($BD276)=0,SUM($BI276)=0),"",SUM($BI276)/$BD276)</f>
        <v/>
      </c>
      <c r="BQ276" s="123" t="str">
        <f aca="false">IF(AND($C276="&lt;01",SUM($BJ276)&lt;&gt;0),$BJ276/SUM($BD276),"")</f>
        <v/>
      </c>
      <c r="BR276" s="123" t="n">
        <f aca="false">IF(OR(SUM($BD276)=0,SUM($BK276)=0),"",SUM($BK276)/$BD276)</f>
        <v>6400</v>
      </c>
      <c r="BS276" s="122" t="n">
        <f aca="false">IF(SUM($X276)&lt;=0,"",$X276)</f>
        <v>0.0114649681528662</v>
      </c>
      <c r="BT276" s="115" t="n">
        <f aca="false">IF(LEFT($B276,4)="_Mil","",MAX(SUM($L276)+ROUND(SUM($BD276)/IF(SUM($BS276)&lt;=0,1,SUM($BS276)),0),0))</f>
        <v>957</v>
      </c>
    </row>
    <row r="277" customFormat="false" ht="15" hidden="false" customHeight="false" outlineLevel="0" collapsed="false">
      <c r="A277" s="0" t="s">
        <v>151</v>
      </c>
      <c r="B277" s="0" t="s">
        <v>101</v>
      </c>
      <c r="C277" s="0" t="s">
        <v>86</v>
      </c>
      <c r="D277" s="0" t="s">
        <v>56</v>
      </c>
      <c r="E277" s="0" t="str">
        <f aca="false">B277&amp;"|"&amp;C277&amp;"|"&amp;D277</f>
        <v>Thaba Tseka [#SNU] [jyhIrCoB31x]|50+|Female</v>
      </c>
      <c r="F277" s="115" t="n">
        <f aca="false">_xlfn.IFNA(ROUND(INDEX(Spectrum!$N:$N,MATCH(RIGHT($B277,13)&amp;"|"&amp;$C277&amp;"|"&amp;$D277&amp;"|"&amp;F$14&amp;"|"&amp;"CY2021Q3",Spectrum!$Q:$Q,0)),0),"")</f>
        <v>12744</v>
      </c>
      <c r="G277" s="123" t="n">
        <f aca="false">_xlfn.IFNA(INDEX(Spectrum!$P:$P,MATCH(RIGHT($B277,13)&amp;"|"&amp;$C277&amp;"|"&amp;$D277&amp;"|"&amp;F$14&amp;"|"&amp;"CY2021Q3",Spectrum!$Q:$Q,0)),"")</f>
        <v>22</v>
      </c>
      <c r="H277" s="115" t="n">
        <f aca="false">_xlfn.IFNA(ROUND(INDEX(Spectrum!$N:$N,MATCH(RIGHT($B277,13)&amp;"|"&amp;$C277&amp;"|"&amp;$D277&amp;"|"&amp;H$14&amp;"|"&amp;"CY2021Q3",Spectrum!$Q:$Q,0)),0),"")</f>
        <v>2898</v>
      </c>
      <c r="I277" s="123" t="n">
        <f aca="false">_xlfn.IFNA(INDEX(Spectrum!$P:$P,MATCH(RIGHT($B277,13)&amp;"|"&amp;$C277&amp;"|"&amp;$D277&amp;"|"&amp;H$14&amp;"|"&amp;"CY2021Q3",Spectrum!$Q:$Q,0)),"")</f>
        <v>37</v>
      </c>
      <c r="J277" s="117" t="n">
        <f aca="false">_xlfn.IFNA(INDEX(Spectrum!$N:$N,MATCH(RIGHT($B277,13)&amp;"|"&amp;$C277&amp;"|"&amp;$D277&amp;"|"&amp;J$14&amp;"|"&amp;"CY2021Q3",Spectrum!$Q:$Q,0)),"")</f>
        <v>0.2273606</v>
      </c>
      <c r="K277" s="123" t="n">
        <f aca="false">_xlfn.IFNA(INDEX(Spectrum!$P:$P,MATCH(RIGHT($B277,13)&amp;"|"&amp;$C277&amp;"|"&amp;$D277&amp;"|"&amp;J$14&amp;"|"&amp;"CY2021Q3",Spectrum!$Q:$Q,0)),"")</f>
        <v>44</v>
      </c>
      <c r="L277" s="115" t="n">
        <f aca="false">_xlfn.IFNA(ROUND(INDEX(Spectrum!$N:$N,MATCH(RIGHT($B277,13)&amp;"|"&amp;$C277&amp;"|"&amp;$D277&amp;"|"&amp;L$14&amp;"|"&amp;"CY2021Q3",Spectrum!$Q:$Q,0)),0),"")</f>
        <v>2329</v>
      </c>
      <c r="M277" s="123" t="n">
        <f aca="false">IF(OR(SUM($H277)&lt;=0,SUM($L277)&lt;=0),"",SUM($L277)/$H277)</f>
        <v>0.803657694962043</v>
      </c>
      <c r="N277" s="115" t="str">
        <f aca="false">_xlfn.IFNA(ROUND(INDEX(Spectrum!$N:$N,MATCH(RIGHT($B277,13)&amp;"|"&amp;$C277&amp;"|"&amp;$D277&amp;"|"&amp;N$14&amp;"|"&amp;"CY2020Q4",Spectrum!$Q:$Q,0)),0),"")</f>
        <v/>
      </c>
      <c r="O277" s="123" t="str">
        <f aca="false">_xlfn.IFNA(INDEX(Spectrum!$P:$P,MATCH(RIGHT($B277,13)&amp;"|"&amp;$C277&amp;"|"&amp;$D277&amp;"|"&amp;N$14&amp;"|"&amp;"CY2020Q4",Spectrum!$Q:$Q,0)),"")</f>
        <v/>
      </c>
      <c r="P277" s="115" t="n">
        <f aca="false">_xlfn.IFNA(ROUND(INDEX(Spectrum!$N:$N,MATCH(RIGHT($B277,13)&amp;"|"&amp;$C277&amp;"|"&amp;$D277&amp;"|"&amp;P$14&amp;"|"&amp;"CY2021Q3",Spectrum!$Q:$Q,0)),0),"")</f>
        <v>2262</v>
      </c>
      <c r="Q277" s="123" t="n">
        <f aca="false">_xlfn.IFNA(INDEX(Spectrum!$P:$P,MATCH(RIGHT($B277,13)&amp;"|"&amp;$C277&amp;"|"&amp;$D277&amp;"|"&amp;P$14&amp;"|"&amp;"CY2021Q3",Spectrum!$Q:$Q,0)),"")</f>
        <v>33</v>
      </c>
      <c r="R277" s="115"/>
      <c r="S277" s="123" t="str">
        <f aca="false">IF(OR(SUM($P277)&lt;=0,SUM($R277)&lt;=0),"",SUM($R277)/$P277)</f>
        <v/>
      </c>
      <c r="T277" s="139" t="n">
        <v>14</v>
      </c>
      <c r="U277" s="124" t="n">
        <v>2</v>
      </c>
      <c r="V277" s="124" t="n">
        <f aca="false">IF($U277-$T277=0,"",$U277-$T277)</f>
        <v>-12</v>
      </c>
      <c r="W277" s="123" t="n">
        <f aca="false">IF(LEFT($B277,4)="_Mil","",IFERROR(MIN(IF(SUM($N277)&lt;=0,SUM($U277)/SUM($P277),SUM($T277)/SUM($N277)),1),""))</f>
        <v>0.000884173297966401</v>
      </c>
      <c r="X277" s="123" t="n">
        <f aca="false">$W277</f>
        <v>0.000884173297966401</v>
      </c>
      <c r="Y277" s="123" t="n">
        <f aca="false">IFERROR(1/(1/INDEX(Spectrum!$N:$N,MATCH(RIGHT($B277,13)&amp;"|"&amp;$C277&amp;"|"&amp;$D277&amp;"|"&amp;Y$14&amp;"|"&amp;"CY2021Q3",Spectrum!$Q:$Q,0))),IF(SUM($H277)=0,"",MAX(SUM($P277),SUM($U277))/SUM($H277)))</f>
        <v>0.780538302277433</v>
      </c>
      <c r="Z277" s="123" t="n">
        <f aca="false">IF(SUM($Y277)=0,"",MAX(SUM($Y277),90%))</f>
        <v>0.9</v>
      </c>
      <c r="AA277" s="115" t="n">
        <f aca="false">IF(LEFT($B277,4)="_Mil","",ROUND(MAX(SUM($U277),SUM($P277))+IF(SUM($Z277)=0,0,MAX(SUM($Z277)-SUM($Y277),0)*SUM($H277)),0))</f>
        <v>2608</v>
      </c>
      <c r="AB277" s="115" t="n">
        <f aca="false">IF(SUM($AA277)=0,"",ROUND(MAX(SUM($AA277)-MAX(SUM($P277),SUM($U277)),0),0))</f>
        <v>346</v>
      </c>
      <c r="AC277" s="126" t="str">
        <f aca="false">IF($C277="&lt;01",IFERROR(ROUND(INDEX(EID!$N:$N,MATCH($B277,EID!$B:$B,0))/2,0),""),"")</f>
        <v/>
      </c>
      <c r="AD277" s="115" t="n">
        <f aca="false">IF($C277="&lt;01",IF(SUM($AC277)=0,"",ROUND(SUM($AC277)/$AG277,0)),IF(SUM($AB277)=0,"",ROUND(MAX($X277,0)*SUM($AB277),0)))</f>
        <v>0</v>
      </c>
      <c r="AE277" s="115" t="n">
        <f aca="false">IF(AND(SUM($AD277)=0,SUM($U277)=0),"",ROUND(IF($C277="&lt;01",0,SUM($U277))+SUM($AD277),0))</f>
        <v>2</v>
      </c>
      <c r="AF277" s="122" t="n">
        <f aca="false">IF($C277="&lt;01","",100%)</f>
        <v>1</v>
      </c>
      <c r="AG277" s="123" t="n">
        <f aca="false">0.98</f>
        <v>0.98</v>
      </c>
      <c r="AH277" s="123" t="n">
        <f aca="false">0.98</f>
        <v>0.98</v>
      </c>
      <c r="AI277" s="124" t="n">
        <f aca="false">IF(OR($C277="&lt;01",SUM($U277)=0),"",ROUND(SUM($U277)*(1-$AH277),0))</f>
        <v>0</v>
      </c>
      <c r="AJ277" s="124" t="n">
        <f aca="false">IF(AND(SUM($AE277)=0,SUM($U277)=0),"",IF($C277="&lt;01",SUM($AD277),SUM($AE277) - ROUND(SUM($U277)*$AH277,0)))</f>
        <v>0</v>
      </c>
      <c r="AK277" s="124" t="n">
        <v>16</v>
      </c>
      <c r="AL277" s="124" t="n">
        <v>1</v>
      </c>
      <c r="AM277" s="115" t="n">
        <f aca="false">IF(AND(SUM($AD277)=0,SUM($U277)=0),"",IF($C277="&lt;01",SUM($AD277),ROUND(ROUND(SUM($AJ277)*$AF277,0)/$AG277,0)))</f>
        <v>0</v>
      </c>
      <c r="AN277" s="122" t="n">
        <f aca="false">0.7</f>
        <v>0.7</v>
      </c>
      <c r="AO277" s="123" t="n">
        <f aca="false">1</f>
        <v>1</v>
      </c>
      <c r="AP277" s="115" t="n">
        <f aca="false">IF(AND(SUM($U277)=0,SUM($AM277)=0),"",ROUND((SUM($AM277)*$AN277+IF($C277="&lt;01",0,$U277))*$AO277,0))</f>
        <v>2</v>
      </c>
      <c r="AQ277" s="122" t="n">
        <v>36</v>
      </c>
      <c r="AR277" s="123" t="n">
        <f aca="false">0.95</f>
        <v>0.95</v>
      </c>
      <c r="AS277" s="123" t="n">
        <f aca="false">0.95</f>
        <v>0.95</v>
      </c>
      <c r="AT277" s="115" t="n">
        <f aca="false">IF(SUM($AP277)=0,"",ROUND(SUM($AP277)*$AR277,0))</f>
        <v>2</v>
      </c>
      <c r="AU277" s="115" t="n">
        <f aca="false">IF(LEFT($B277,4)="_Mil","",ROUND(SUM($AA277)*SUM($AS277),0))</f>
        <v>2478</v>
      </c>
      <c r="AV277" s="124" t="n">
        <f aca="false">IF(SUM($AU277)&lt;=0,"",MAX(SUM($AU277)-SUM($R277),0))</f>
        <v>2478</v>
      </c>
      <c r="AW277" s="122" t="n">
        <f aca="false">0</f>
        <v>0</v>
      </c>
      <c r="AX277" s="124" t="str">
        <f aca="false">IF(SUM($AM277)=0,"",ROUND(SUM($AM277)*SUM($AW277),0))</f>
        <v/>
      </c>
      <c r="AY277" s="124" t="str">
        <f aca="false">IF(SUM($AM277)=0,"",SUM($AM277)-SUM($AX277))</f>
        <v/>
      </c>
      <c r="AZ277" s="123" t="n">
        <v>5</v>
      </c>
      <c r="BA277" s="123" t="n">
        <f aca="false">0.95</f>
        <v>0.95</v>
      </c>
      <c r="BB277" s="123"/>
      <c r="BC277" s="123" t="str">
        <f aca="false">IF(OR(SUM($AM277)&lt;=0,$C277="&lt;01"),"",MAX(IF(OR(SUM($Y277)&lt;70%,LEFT($B277,4)="_Mil"),30%,IF(SUM($Y277)&gt;=80%,75%,50%)),SUM($BB277)))</f>
        <v/>
      </c>
      <c r="BD277" s="115" t="str">
        <f aca="false">IF($C277="&lt;01",IFERROR(ROUND(INDEX(EID!$M:$M,MATCH($B277,EID!$B:$B,0)),0)/2,""),IF(SUM($AY277)=0,"",ROUND(SUM($AY277)/SUM($BA277),0)))</f>
        <v/>
      </c>
      <c r="BE277" s="115" t="str">
        <f aca="false">IF($C277="&lt;01","",IF(SUM($BD277)=0,"",ROUND(SUM($BD277)*SUM($BC277),0)))</f>
        <v/>
      </c>
      <c r="BF277" s="115" t="str">
        <f aca="false">_xlfn.IFNA(INDEX(PMTCT!$AE:$AE,MATCH($E277,PMTCT!$E:$E,0)),"")</f>
        <v/>
      </c>
      <c r="BG277" s="115" t="str">
        <f aca="false">_xlfn.IFNA(INDEX(PMTCT!$AU:$AU,MATCH($E277,PMTCT!$E:$E,0)),"")</f>
        <v/>
      </c>
      <c r="BH277" s="115" t="n">
        <f aca="false">_xlfn.IFNA(INDEX(TB!$Q:$Q,MATCH($E277,TB!$E:$E,0)),"")</f>
        <v>-5670</v>
      </c>
      <c r="BI277" s="115" t="str">
        <f aca="false">_xlfn.IFNA(INDEX(VMMC!$AC:$AC,MATCH($E277,VMMC!$E:$E,0)),"")</f>
        <v/>
      </c>
      <c r="BJ277" s="115" t="str">
        <f aca="false">IF($C277="&lt;01",$BD277,"")</f>
        <v/>
      </c>
      <c r="BK277" s="115" t="str">
        <f aca="false">IF(SUM($BD277)=0,"",($BD277)-SUM($BE277:$BJ277))</f>
        <v/>
      </c>
      <c r="BL277" s="123" t="str">
        <f aca="false">IF(OR(SUM($BD277)=0,SUM($BE277)=0),"",SUM($BE277)/$BD277)</f>
        <v/>
      </c>
      <c r="BM277" s="123" t="str">
        <f aca="false">IF(OR(SUM($BD277)=0,SUM($BF277)=0),"",SUM($BF277)/$BD277)</f>
        <v/>
      </c>
      <c r="BN277" s="123" t="str">
        <f aca="false">IF(OR(SUM($BD277)=0,SUM($BG277)=0),"",SUM($BG277)/$BD277)</f>
        <v/>
      </c>
      <c r="BO277" s="123" t="str">
        <f aca="false">IF(OR(SUM($BD277)=0,SUM($BH277)=0),"",SUM($BH277)/$BD277)</f>
        <v/>
      </c>
      <c r="BP277" s="123" t="str">
        <f aca="false">IF(OR(SUM($BD277)=0,SUM($BI277)=0),"",SUM($BI277)/$BD277)</f>
        <v/>
      </c>
      <c r="BQ277" s="123" t="str">
        <f aca="false">IF(AND($C277="&lt;01",SUM($BJ277)&lt;&gt;0),$BJ277/SUM($BD277),"")</f>
        <v/>
      </c>
      <c r="BR277" s="123" t="str">
        <f aca="false">IF(OR(SUM($BD277)=0,SUM($BK277)=0),"",SUM($BK277)/$BD277)</f>
        <v/>
      </c>
      <c r="BS277" s="122" t="n">
        <f aca="false">IF(SUM($X277)&lt;=0,"",$X277)</f>
        <v>0.000884173297966401</v>
      </c>
      <c r="BT277" s="115" t="n">
        <f aca="false">IF(LEFT($B277,4)="_Mil","",MAX(SUM($L277)+ROUND(SUM($BD277)/IF(SUM($BS277)&lt;=0,1,SUM($BS277)),0),0))</f>
        <v>2329</v>
      </c>
    </row>
    <row r="278" customFormat="false" ht="15" hidden="false" customHeight="false" outlineLevel="0" collapsed="false">
      <c r="A278" s="0" t="s">
        <v>151</v>
      </c>
      <c r="B278" s="0" t="s">
        <v>101</v>
      </c>
      <c r="C278" s="0" t="s">
        <v>86</v>
      </c>
      <c r="D278" s="0" t="s">
        <v>58</v>
      </c>
      <c r="E278" s="0" t="str">
        <f aca="false">B278&amp;"|"&amp;C278&amp;"|"&amp;D278</f>
        <v>Thaba Tseka [#SNU] [jyhIrCoB31x]|50+|Male</v>
      </c>
      <c r="F278" s="115" t="n">
        <f aca="false">_xlfn.IFNA(ROUND(INDEX(Spectrum!$N:$N,MATCH(RIGHT($B278,13)&amp;"|"&amp;$C278&amp;"|"&amp;$D278&amp;"|"&amp;F$14&amp;"|"&amp;"CY2021Q3",Spectrum!$Q:$Q,0)),0),"")</f>
        <v>8523</v>
      </c>
      <c r="G278" s="123" t="n">
        <f aca="false">_xlfn.IFNA(INDEX(Spectrum!$P:$P,MATCH(RIGHT($B278,13)&amp;"|"&amp;$C278&amp;"|"&amp;$D278&amp;"|"&amp;F$14&amp;"|"&amp;"CY2021Q3",Spectrum!$Q:$Q,0)),"")</f>
        <v>37</v>
      </c>
      <c r="H278" s="115" t="n">
        <f aca="false">_xlfn.IFNA(ROUND(INDEX(Spectrum!$N:$N,MATCH(RIGHT($B278,13)&amp;"|"&amp;$C278&amp;"|"&amp;$D278&amp;"|"&amp;H$14&amp;"|"&amp;"CY2021Q3",Spectrum!$Q:$Q,0)),0),"")</f>
        <v>2241</v>
      </c>
      <c r="I278" s="123" t="n">
        <f aca="false">_xlfn.IFNA(INDEX(Spectrum!$P:$P,MATCH(RIGHT($B278,13)&amp;"|"&amp;$C278&amp;"|"&amp;$D278&amp;"|"&amp;H$14&amp;"|"&amp;"CY2021Q3",Spectrum!$Q:$Q,0)),"")</f>
        <v>28</v>
      </c>
      <c r="J278" s="117" t="n">
        <f aca="false">_xlfn.IFNA(INDEX(Spectrum!$N:$N,MATCH(RIGHT($B278,13)&amp;"|"&amp;$C278&amp;"|"&amp;$D278&amp;"|"&amp;J$14&amp;"|"&amp;"CY2021Q3",Spectrum!$Q:$Q,0)),"")</f>
        <v>0.2629713</v>
      </c>
      <c r="K278" s="123" t="n">
        <f aca="false">_xlfn.IFNA(INDEX(Spectrum!$P:$P,MATCH(RIGHT($B278,13)&amp;"|"&amp;$C278&amp;"|"&amp;$D278&amp;"|"&amp;J$14&amp;"|"&amp;"CY2021Q3",Spectrum!$Q:$Q,0)),"")</f>
        <v>8</v>
      </c>
      <c r="L278" s="115" t="n">
        <f aca="false">_xlfn.IFNA(ROUND(INDEX(Spectrum!$N:$N,MATCH(RIGHT($B278,13)&amp;"|"&amp;$C278&amp;"|"&amp;$D278&amp;"|"&amp;L$14&amp;"|"&amp;"CY2021Q3",Spectrum!$Q:$Q,0)),0),"")</f>
        <v>1764</v>
      </c>
      <c r="M278" s="123" t="n">
        <f aca="false">IF(OR(SUM($H278)&lt;=0,SUM($L278)&lt;=0),"",SUM($L278)/$H278)</f>
        <v>0.78714859437751</v>
      </c>
      <c r="N278" s="115" t="str">
        <f aca="false">_xlfn.IFNA(ROUND(INDEX(Spectrum!$N:$N,MATCH(RIGHT($B278,13)&amp;"|"&amp;$C278&amp;"|"&amp;$D278&amp;"|"&amp;N$14&amp;"|"&amp;"CY2020Q4",Spectrum!$Q:$Q,0)),0),"")</f>
        <v/>
      </c>
      <c r="O278" s="123" t="str">
        <f aca="false">_xlfn.IFNA(INDEX(Spectrum!$P:$P,MATCH(RIGHT($B278,13)&amp;"|"&amp;$C278&amp;"|"&amp;$D278&amp;"|"&amp;N$14&amp;"|"&amp;"CY2020Q4",Spectrum!$Q:$Q,0)),"")</f>
        <v/>
      </c>
      <c r="P278" s="115" t="n">
        <f aca="false">_xlfn.IFNA(ROUND(INDEX(Spectrum!$N:$N,MATCH(RIGHT($B278,13)&amp;"|"&amp;$C278&amp;"|"&amp;$D278&amp;"|"&amp;P$14&amp;"|"&amp;"CY2021Q3",Spectrum!$Q:$Q,0)),0),"")</f>
        <v>1647</v>
      </c>
      <c r="Q278" s="123" t="n">
        <f aca="false">_xlfn.IFNA(INDEX(Spectrum!$P:$P,MATCH(RIGHT($B278,13)&amp;"|"&amp;$C278&amp;"|"&amp;$D278&amp;"|"&amp;P$14&amp;"|"&amp;"CY2021Q3",Spectrum!$Q:$Q,0)),"")</f>
        <v>8</v>
      </c>
      <c r="R278" s="115"/>
      <c r="S278" s="123" t="str">
        <f aca="false">IF(OR(SUM($P278)&lt;=0,SUM($R278)&lt;=0),"",SUM($R278)/$P278)</f>
        <v/>
      </c>
      <c r="T278" s="139" t="n">
        <v>50</v>
      </c>
      <c r="U278" s="124" t="n">
        <v>2</v>
      </c>
      <c r="V278" s="124" t="n">
        <f aca="false">IF($U278-$T278=0,"",$U278-$T278)</f>
        <v>-48</v>
      </c>
      <c r="W278" s="123" t="n">
        <f aca="false">IF(LEFT($B278,4)="_Mil","",IFERROR(MIN(IF(SUM($N278)&lt;=0,SUM($U278)/SUM($P278),SUM($T278)/SUM($N278)),1),""))</f>
        <v>0.00121432908318154</v>
      </c>
      <c r="X278" s="123" t="n">
        <f aca="false">$W278</f>
        <v>0.00121432908318154</v>
      </c>
      <c r="Y278" s="123" t="n">
        <f aca="false">IFERROR(1/(1/INDEX(Spectrum!$N:$N,MATCH(RIGHT($B278,13)&amp;"|"&amp;$C278&amp;"|"&amp;$D278&amp;"|"&amp;Y$14&amp;"|"&amp;"CY2021Q3",Spectrum!$Q:$Q,0))),IF(SUM($H278)=0,"",MAX(SUM($P278),SUM($U278))/SUM($H278)))</f>
        <v>0.734939759036145</v>
      </c>
      <c r="Z278" s="123" t="n">
        <f aca="false">IF(SUM($Y278)=0,"",MAX(SUM($Y278),90%))</f>
        <v>0.9</v>
      </c>
      <c r="AA278" s="115" t="n">
        <f aca="false">IF(LEFT($B278,4)="_Mil","",ROUND(MAX(SUM($U278),SUM($P278))+IF(SUM($Z278)=0,0,MAX(SUM($Z278)-SUM($Y278),0)*SUM($H278)),0))</f>
        <v>2017</v>
      </c>
      <c r="AB278" s="115" t="n">
        <f aca="false">IF(SUM($AA278)=0,"",ROUND(MAX(SUM($AA278)-MAX(SUM($P278),SUM($U278)),0),0))</f>
        <v>370</v>
      </c>
      <c r="AC278" s="126" t="str">
        <f aca="false">IF($C278="&lt;01",IFERROR(ROUND(INDEX(EID!$N:$N,MATCH($B278,EID!$B:$B,0))/2,0),""),"")</f>
        <v/>
      </c>
      <c r="AD278" s="115" t="n">
        <f aca="false">IF($C278="&lt;01",IF(SUM($AC278)=0,"",ROUND(SUM($AC278)/$AG278,0)),IF(SUM($AB278)=0,"",ROUND(MAX($X278,0)*SUM($AB278),0)))</f>
        <v>0</v>
      </c>
      <c r="AE278" s="115" t="n">
        <f aca="false">IF(AND(SUM($AD278)=0,SUM($U278)=0),"",ROUND(IF($C278="&lt;01",0,SUM($U278))+SUM($AD278),0))</f>
        <v>2</v>
      </c>
      <c r="AF278" s="122" t="n">
        <f aca="false">IF($C278="&lt;01","",100%)</f>
        <v>1</v>
      </c>
      <c r="AG278" s="123" t="n">
        <f aca="false">0.98</f>
        <v>0.98</v>
      </c>
      <c r="AH278" s="123" t="n">
        <f aca="false">0.98</f>
        <v>0.98</v>
      </c>
      <c r="AI278" s="124" t="n">
        <f aca="false">IF(OR($C278="&lt;01",SUM($U278)=0),"",ROUND(SUM($U278)*(1-$AH278),0))</f>
        <v>0</v>
      </c>
      <c r="AJ278" s="124" t="n">
        <f aca="false">IF(AND(SUM($AE278)=0,SUM($U278)=0),"",IF($C278="&lt;01",SUM($AD278),SUM($AE278) - ROUND(SUM($U278)*$AH278,0)))</f>
        <v>0</v>
      </c>
      <c r="AK278" s="124" t="n">
        <v>18</v>
      </c>
      <c r="AL278" s="124" t="n">
        <v>38</v>
      </c>
      <c r="AM278" s="115" t="n">
        <f aca="false">IF(AND(SUM($AD278)=0,SUM($U278)=0),"",IF($C278="&lt;01",SUM($AD278),ROUND(ROUND(SUM($AJ278)*$AF278,0)/$AG278,0)))</f>
        <v>0</v>
      </c>
      <c r="AN278" s="122" t="n">
        <f aca="false">0.7</f>
        <v>0.7</v>
      </c>
      <c r="AO278" s="123" t="n">
        <f aca="false">1</f>
        <v>1</v>
      </c>
      <c r="AP278" s="115" t="n">
        <f aca="false">IF(AND(SUM($U278)=0,SUM($AM278)=0),"",ROUND((SUM($AM278)*$AN278+IF($C278="&lt;01",0,$U278))*$AO278,0))</f>
        <v>2</v>
      </c>
      <c r="AQ278" s="122" t="n">
        <v>33</v>
      </c>
      <c r="AR278" s="123" t="n">
        <f aca="false">0.95</f>
        <v>0.95</v>
      </c>
      <c r="AS278" s="123" t="n">
        <f aca="false">0.95</f>
        <v>0.95</v>
      </c>
      <c r="AT278" s="115" t="n">
        <f aca="false">IF(SUM($AP278)=0,"",ROUND(SUM($AP278)*$AR278,0))</f>
        <v>2</v>
      </c>
      <c r="AU278" s="115" t="n">
        <f aca="false">IF(LEFT($B278,4)="_Mil","",ROUND(SUM($AA278)*SUM($AS278),0))</f>
        <v>1916</v>
      </c>
      <c r="AV278" s="124" t="n">
        <f aca="false">IF(SUM($AU278)&lt;=0,"",MAX(SUM($AU278)-SUM($R278),0))</f>
        <v>1916</v>
      </c>
      <c r="AW278" s="122" t="n">
        <f aca="false">0</f>
        <v>0</v>
      </c>
      <c r="AX278" s="124" t="str">
        <f aca="false">IF(SUM($AM278)=0,"",ROUND(SUM($AM278)*SUM($AW278),0))</f>
        <v/>
      </c>
      <c r="AY278" s="124" t="str">
        <f aca="false">IF(SUM($AM278)=0,"",SUM($AM278)-SUM($AX278))</f>
        <v/>
      </c>
      <c r="AZ278" s="123" t="n">
        <v>50</v>
      </c>
      <c r="BA278" s="123" t="n">
        <f aca="false">0.95</f>
        <v>0.95</v>
      </c>
      <c r="BB278" s="123"/>
      <c r="BC278" s="123" t="str">
        <f aca="false">IF(OR(SUM($AM278)&lt;=0,$C278="&lt;01"),"",MAX(IF(OR(SUM($Y278)&lt;70%,LEFT($B278,4)="_Mil"),30%,IF(SUM($Y278)&gt;=80%,75%,50%)),SUM($BB278)))</f>
        <v/>
      </c>
      <c r="BD278" s="115" t="str">
        <f aca="false">IF($C278="&lt;01",IFERROR(ROUND(INDEX(EID!$M:$M,MATCH($B278,EID!$B:$B,0)),0)/2,""),IF(SUM($AY278)=0,"",ROUND(SUM($AY278)/SUM($BA278),0)))</f>
        <v/>
      </c>
      <c r="BE278" s="115" t="str">
        <f aca="false">IF($C278="&lt;01","",IF(SUM($BD278)=0,"",ROUND(SUM($BD278)*SUM($BC278),0)))</f>
        <v/>
      </c>
      <c r="BF278" s="115" t="str">
        <f aca="false">_xlfn.IFNA(INDEX(PMTCT!$AE:$AE,MATCH($E278,PMTCT!$E:$E,0)),"")</f>
        <v/>
      </c>
      <c r="BG278" s="115" t="str">
        <f aca="false">_xlfn.IFNA(INDEX(PMTCT!$AU:$AU,MATCH($E278,PMTCT!$E:$E,0)),"")</f>
        <v/>
      </c>
      <c r="BH278" s="115" t="n">
        <f aca="false">_xlfn.IFNA(INDEX(TB!$Q:$Q,MATCH($E278,TB!$E:$E,0)),"")</f>
        <v>-8112</v>
      </c>
      <c r="BI278" s="115" t="str">
        <f aca="false">_xlfn.IFNA(INDEX(VMMC!$AC:$AC,MATCH($E278,VMMC!$E:$E,0)),"")</f>
        <v/>
      </c>
      <c r="BJ278" s="115" t="str">
        <f aca="false">IF($C278="&lt;01",$BD278,"")</f>
        <v/>
      </c>
      <c r="BK278" s="115" t="str">
        <f aca="false">IF(SUM($BD278)=0,"",($BD278)-SUM($BE278:$BJ278))</f>
        <v/>
      </c>
      <c r="BL278" s="123" t="str">
        <f aca="false">IF(OR(SUM($BD278)=0,SUM($BE278)=0),"",SUM($BE278)/$BD278)</f>
        <v/>
      </c>
      <c r="BM278" s="123" t="str">
        <f aca="false">IF(OR(SUM($BD278)=0,SUM($BF278)=0),"",SUM($BF278)/$BD278)</f>
        <v/>
      </c>
      <c r="BN278" s="123" t="str">
        <f aca="false">IF(OR(SUM($BD278)=0,SUM($BG278)=0),"",SUM($BG278)/$BD278)</f>
        <v/>
      </c>
      <c r="BO278" s="123" t="str">
        <f aca="false">IF(OR(SUM($BD278)=0,SUM($BH278)=0),"",SUM($BH278)/$BD278)</f>
        <v/>
      </c>
      <c r="BP278" s="123" t="str">
        <f aca="false">IF(OR(SUM($BD278)=0,SUM($BI278)=0),"",SUM($BI278)/$BD278)</f>
        <v/>
      </c>
      <c r="BQ278" s="123" t="str">
        <f aca="false">IF(AND($C278="&lt;01",SUM($BJ278)&lt;&gt;0),$BJ278/SUM($BD278),"")</f>
        <v/>
      </c>
      <c r="BR278" s="123" t="str">
        <f aca="false">IF(OR(SUM($BD278)=0,SUM($BK278)=0),"",SUM($BK278)/$BD278)</f>
        <v/>
      </c>
      <c r="BS278" s="122" t="n">
        <f aca="false">IF(SUM($X278)&lt;=0,"",$X278)</f>
        <v>0.00121432908318154</v>
      </c>
      <c r="BT278" s="115" t="n">
        <f aca="false">IF(LEFT($B278,4)="_Mil","",MAX(SUM($L278)+ROUND(SUM($BD278)/IF(SUM($BS278)&lt;=0,1,SUM($BS278)),0),0))</f>
        <v>1764</v>
      </c>
    </row>
  </sheetData>
  <conditionalFormatting sqref="AO1:AO1048576 AF1:AF1048576">
    <cfRule type="expression" priority="2" aboveAverage="0" equalAverage="0" bottom="0" percent="0" rank="0" text="" dxfId="0">
      <formula>AND(ROW(AF1)&gt;14,ISNUMBER(AF1),ROUND(AF1,2)&lt;100%)</formula>
    </cfRule>
  </conditionalFormatting>
  <conditionalFormatting sqref="AW1:AW1048576">
    <cfRule type="expression" priority="3" aboveAverage="0" equalAverage="0" bottom="0" percent="0" rank="0" text="" dxfId="1">
      <formula>AND(ISNUMBER($AW1),ROUND($AW1,2)&gt;0)</formula>
    </cfRule>
  </conditionalFormatting>
  <conditionalFormatting sqref="W1:AB1048576 F1:S1048576 AU1:AV1048576 BT1:BT1048576">
    <cfRule type="expression" priority="4" aboveAverage="0" equalAverage="0" bottom="0" percent="0" rank="0" text="" dxfId="2">
      <formula>LEFT($B1,4)="_Mil"</formula>
    </cfRule>
  </conditionalFormatting>
  <conditionalFormatting sqref="G1:G1048576 I1:I1048576 K1:K1048576 Q1:Q1048576 O1:O1048576">
    <cfRule type="expression" priority="5" aboveAverage="0" equalAverage="0" bottom="0" percent="0" rank="0" text="" dxfId="3">
      <formula>AND(ISNUMBER(G1),ISNUMBER(F1),G1&lt;20%)</formula>
    </cfRule>
    <cfRule type="expression" priority="6" aboveAverage="0" equalAverage="0" bottom="0" percent="0" rank="0" text="" dxfId="0">
      <formula>AND(ISNUMBER(G1),G1&gt;=40%)</formula>
    </cfRule>
    <cfRule type="expression" priority="7" aboveAverage="0" equalAverage="0" bottom="0" percent="0" rank="0" text="" dxfId="1">
      <formula>AND(ISNUMBER(G1),G1&gt;=20%,G1&lt;40%)</formula>
    </cfRule>
  </conditionalFormatting>
  <conditionalFormatting sqref="V1:V3 V5:V1048576">
    <cfRule type="cellIs" priority="8" operator="lessThan" aboveAverage="0" equalAverage="0" bottom="0" percent="0" rank="0" text="" dxfId="2">
      <formula>0</formula>
    </cfRule>
  </conditionalFormatting>
  <conditionalFormatting sqref="W1:W1048576">
    <cfRule type="containsText" priority="9" operator="containsText" aboveAverage="0" equalAverage="0" bottom="0" percent="0" rank="0" text="SUBNAT not reported" dxfId="3"/>
  </conditionalFormatting>
  <conditionalFormatting sqref="AC1:AC1048576 BJ1:BJ1048576 BQ1:BQ1048576">
    <cfRule type="expression" priority="10" aboveAverage="0" equalAverage="0" bottom="0" percent="0" rank="0" text="" dxfId="4">
      <formula>AND(ROW(AC1)&gt;14,$B1&lt;&gt;"",NOT($C1="&lt;01"))</formula>
    </cfRule>
  </conditionalFormatting>
  <conditionalFormatting sqref="BB1:BC1048576 BE1:BI1048576 BL1:BP1048576 AF1:AF1048576">
    <cfRule type="expression" priority="11" aboveAverage="0" equalAverage="0" bottom="0" percent="0" rank="0" text="" dxfId="5">
      <formula>AND($C1="&lt;01",ROW(AF1)&gt;14,$B1&lt;&gt;"")</formula>
    </cfRule>
  </conditionalFormatting>
  <conditionalFormatting sqref="BF1:BG1048576 BM1:BN1048576">
    <cfRule type="expression" priority="12" aboveAverage="0" equalAverage="0" bottom="0" percent="0" rank="0" text="" dxfId="6">
      <formula>AND(ROW(AX1)&gt;14,$B1&lt;&gt;"",$D1&lt;&gt;"Female")</formula>
    </cfRule>
    <cfRule type="expression" priority="13" aboveAverage="0" equalAverage="0" bottom="0" percent="0" rank="0" text="" dxfId="7">
      <formula>AND(ROW(BF1)&gt;14,$B1&lt;&gt;"",OR($C1="&lt;01",$C1="01-04",$C1="05-09"))</formula>
    </cfRule>
  </conditionalFormatting>
  <conditionalFormatting sqref="BI1:BI1048576 BP1:BP1048576">
    <cfRule type="expression" priority="14" aboveAverage="0" equalAverage="0" bottom="0" percent="0" rank="0" text="" dxfId="8">
      <formula>AND(ROW(BB1)&gt;14,$B1&lt;&gt;"",$D1&lt;&gt;"Male")</formula>
    </cfRule>
    <cfRule type="expression" priority="15" aboveAverage="0" equalAverage="0" bottom="0" percent="0" rank="0" text="" dxfId="9">
      <formula>AND(ROW(AY1)&gt;14,$B1&lt;&gt;"",OR($C1="&lt;01",$C1="01-04",$C1="05-09",$C1="10-14"))</formula>
    </cfRule>
  </conditionalFormatting>
  <conditionalFormatting sqref="F1:F1048576 J1:J1048576 P1:P1048576 H1:H1048576 N1:N1048576">
    <cfRule type="expression" priority="16" aboveAverage="0" equalAverage="0" bottom="0" percent="0" rank="0" text="" dxfId="10">
      <formula>AND(ISNUMBER(G1),ISNUMBER(F1),G1&gt;=40%)</formula>
    </cfRule>
    <cfRule type="expression" priority="17" aboveAverage="0" equalAverage="0" bottom="0" percent="0" rank="0" text="" dxfId="11">
      <formula>AND(ISNUMBER(G1),ISNUMBER(F1),G1&gt;=20%,G1&lt;40%)</formula>
    </cfRule>
    <cfRule type="expression" priority="18" aboveAverage="0" equalAverage="0" bottom="0" percent="0" rank="0" text="" dxfId="12">
      <formula>AND(ISNUMBER(G1),ISNUMBER(F1),G1&lt;20%)</formula>
    </cfRule>
  </conditionalFormatting>
  <conditionalFormatting sqref="X1:X1048576">
    <cfRule type="expression" priority="19" aboveAverage="0" equalAverage="0" bottom="0" percent="0" rank="0" text="" dxfId="13">
      <formula>AND(ROW($X1)&gt;14,$X1&lt;&gt;$W1)</formula>
    </cfRule>
  </conditionalFormatting>
  <conditionalFormatting sqref="AG1:AH1048576">
    <cfRule type="expression" priority="20" aboveAverage="0" equalAverage="0" bottom="0" percent="0" rank="0" text="" dxfId="14">
      <formula>AND(ROW(AG1)&gt;14,ISNUMBER(AG1),AG1&lt;98%)</formula>
    </cfRule>
  </conditionalFormatting>
  <conditionalFormatting sqref="AN1:AN1048576">
    <cfRule type="expression" priority="21" aboveAverage="0" equalAverage="0" bottom="0" percent="0" rank="0" text="" dxfId="15">
      <formula>AND(ROW($AN1)&gt;14,ISNUMBER($AN1),ROUND($AN1,2)&lt;70%)</formula>
    </cfRule>
  </conditionalFormatting>
  <conditionalFormatting sqref="BA1:BA1048576 AR1:AS1048576">
    <cfRule type="expression" priority="22" aboveAverage="0" equalAverage="0" bottom="0" percent="0" rank="0" text="" dxfId="16">
      <formula>AND(ROW(AR1)&gt;14,ISNUMBER(AR1),ROUND(AR1,2)&lt;95%)</formula>
    </cfRule>
  </conditionalFormatting>
  <conditionalFormatting sqref="Z1:Z1048576">
    <cfRule type="expression" priority="23" aboveAverage="0" equalAverage="0" bottom="0" percent="0" rank="0" text="" dxfId="17">
      <formula>AND(ROW($Z1)&gt;14,$Z1&lt;&gt;$Y1)</formula>
    </cfRule>
  </conditionalFormatting>
  <conditionalFormatting sqref="AF1:AH1048576 AN1:AO1048576 AQ1:AS1048576 AW1:AW1048576 BA1:BA1048576 BC1:BC1048576 BL1:BS1048576 W1:X1048576">
    <cfRule type="expression" priority="24" aboveAverage="0" equalAverage="0" bottom="0" percent="0" rank="0" text="" dxfId="18">
      <formula>AND(ROW(W1)&gt;14,OR(ROUND(W1,2)&gt;100%,ROUND(W1,2)&lt;0))</formula>
    </cfRule>
  </conditionalFormatting>
  <conditionalFormatting sqref="BC1:BC1048576">
    <cfRule type="expression" priority="25" aboveAverage="0" equalAverage="0" bottom="0" percent="0" rank="0" text="" dxfId="19">
      <formula>AND(ISNUMBER($BC1),OR(AND(OR(SUM($Y1)&lt;70%,LEFT($B1,4)="_Mil"),SUM($BC1)&lt;30%),AND(OR(SUM($Y1)&gt;=70%,SUM($Y1)&lt;80%),SUM($BC1)&lt;50%),AND(SUM($Y1)&gt;=80%,SUM($BC1)&lt;75%)))</formula>
    </cfRule>
  </conditionalFormatting>
  <conditionalFormatting sqref="BD1:BR1048576">
    <cfRule type="expression" priority="26" aboveAverage="0" equalAverage="0" bottom="0" percent="0" rank="0" text="" dxfId="20">
      <formula>AND(ROW($BK1)&gt;14,$B1&lt;&gt;"",$C1="&lt;01",OR(SUM($BK1)&lt;&gt;0,SUM($BR1)&lt;&gt;0))</formula>
    </cfRule>
    <cfRule type="expression" priority="27" aboveAverage="0" equalAverage="0" bottom="0" percent="0" rank="0" text="" dxfId="21">
      <formula>AND(ROW(BD1)&gt;14,$B1&lt;&gt;"",OR(SUM($BK1)&lt;0,SUM($BR1)&lt;0))</formula>
    </cfRule>
  </conditionalFormatting>
  <conditionalFormatting sqref="BE1:BR1048576">
    <cfRule type="expression" priority="28" aboveAverage="0" equalAverage="0" bottom="0" percent="0" rank="0" text="" dxfId="22">
      <formula>AND(ROW(BE1)&gt;14,ISNUMBER(BE1),SUM($BD1)=0,SUM(BE1)&lt;&gt;0)</formula>
    </cfRule>
  </conditionalFormatting>
  <conditionalFormatting sqref="T4">
    <cfRule type="expression" priority="29" aboveAverage="0" equalAverage="0" bottom="0" percent="0" rank="0" text="" dxfId="23">
      <formula>LEFT($B4,4)="_Mil"</formula>
    </cfRule>
  </conditionalFormatting>
  <conditionalFormatting sqref="U4:V4">
    <cfRule type="expression" priority="30" aboveAverage="0" equalAverage="0" bottom="0" percent="0" rank="0" text="" dxfId="24">
      <formula>LEFT($B4,4)="_Mil"</formula>
    </cfRule>
  </conditionalFormatting>
  <hyperlinks>
    <hyperlink ref="AC3" location="EID!N:N" display="PMTCT_HEI_POS Linked to ART (FY22)"/>
    <hyperlink ref="BE3" location="HTS!N:U" display="HTS_INDEX (FY22)"/>
    <hyperlink ref="BF3" location="PMTCT!AB:AB" display="PMTCT_STAT New Positives (FY22)"/>
    <hyperlink ref="BG3" location="PMTCT!AJ:AJ" display="HTS_TST Post ANC1 New Positives (FY22)"/>
    <hyperlink ref="BH3" location="TB!Q:Q" display="TB_STAT New Positives (FY22)"/>
    <hyperlink ref="BI3" location="VMMC!AC:AC" display="VMMC Tested Positives (FY22)"/>
    <hyperlink ref="BJ3" location="EID!M:M" display="PMTCT_HEI_POS"/>
    <hyperlink ref="BK3" location="HTS!M:M" display="HTS_TST_POS from All Other Modalities (FY2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A1:BD1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9" activePane="bottomRight" state="frozen"/>
      <selection pane="topLeft" activeCell="A1" activeCellId="0" sqref="A1"/>
      <selection pane="topRight" activeCell="F1" activeCellId="0" sqref="F1"/>
      <selection pane="bottomLeft" activeCell="A19" activeCellId="0" sqref="A19"/>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15.52"/>
    <col collapsed="false" customWidth="true" hidden="false" outlineLevel="0" max="56" min="6" style="0" width="11.83"/>
    <col collapsed="false" customWidth="true" hidden="false" outlineLevel="0" max="1025" min="57" style="0" width="10.61"/>
  </cols>
  <sheetData>
    <row r="1" customFormat="false" ht="31" hidden="false" customHeight="true" outlineLevel="0" collapsed="false">
      <c r="A1" s="54" t="s">
        <v>315</v>
      </c>
      <c r="C1" s="54"/>
      <c r="D1" s="54"/>
      <c r="E1" s="54"/>
      <c r="F1" s="76" t="s">
        <v>153</v>
      </c>
      <c r="G1" s="83"/>
      <c r="H1" s="78"/>
      <c r="I1" s="83"/>
      <c r="J1" s="79"/>
      <c r="K1" s="76"/>
      <c r="L1" s="76"/>
      <c r="M1" s="76"/>
      <c r="N1" s="76"/>
      <c r="O1" s="76"/>
      <c r="P1" s="76"/>
      <c r="Q1" s="76"/>
      <c r="R1" s="80" t="s">
        <v>316</v>
      </c>
      <c r="S1" s="81"/>
      <c r="T1" s="76"/>
      <c r="U1" s="82" t="s">
        <v>317</v>
      </c>
      <c r="V1" s="81"/>
      <c r="W1" s="76"/>
      <c r="X1" s="82" t="s">
        <v>318</v>
      </c>
      <c r="Y1" s="81"/>
      <c r="Z1" s="81"/>
      <c r="AA1" s="81"/>
      <c r="AB1" s="81"/>
      <c r="AC1" s="76"/>
      <c r="AD1" s="76"/>
      <c r="AE1" s="76"/>
      <c r="AF1" s="76"/>
      <c r="AG1" s="80" t="s">
        <v>319</v>
      </c>
      <c r="AH1" s="76"/>
      <c r="AI1" s="76"/>
      <c r="AJ1" s="76"/>
      <c r="AK1" s="82" t="s">
        <v>320</v>
      </c>
      <c r="AL1" s="76"/>
      <c r="AM1" s="76"/>
      <c r="AN1" s="80" t="s">
        <v>321</v>
      </c>
      <c r="AO1" s="76"/>
      <c r="AP1" s="76"/>
      <c r="AQ1" s="80" t="s">
        <v>322</v>
      </c>
      <c r="AR1" s="81"/>
      <c r="AS1" s="81"/>
      <c r="AT1" s="81"/>
      <c r="AU1" s="76"/>
      <c r="AV1" s="76"/>
      <c r="AW1" s="76"/>
      <c r="AX1" s="80" t="s">
        <v>323</v>
      </c>
      <c r="AY1" s="76"/>
      <c r="AZ1" s="81"/>
      <c r="BA1" s="81"/>
      <c r="BB1" s="81"/>
      <c r="BC1" s="81"/>
      <c r="BD1" s="81"/>
    </row>
    <row r="2" customFormat="false" ht="19" hidden="false" customHeight="true" outlineLevel="0" collapsed="false">
      <c r="A2" s="140" t="s">
        <v>324</v>
      </c>
      <c r="B2" s="140"/>
      <c r="D2" s="57"/>
      <c r="E2" s="57"/>
      <c r="F2" s="89" t="s">
        <v>120</v>
      </c>
      <c r="G2" s="89"/>
      <c r="H2" s="85"/>
      <c r="I2" s="89"/>
      <c r="J2" s="87"/>
      <c r="K2" s="84"/>
      <c r="L2" s="84"/>
      <c r="M2" s="84"/>
      <c r="N2" s="84"/>
      <c r="O2" s="84"/>
      <c r="P2" s="84"/>
      <c r="Q2" s="84"/>
      <c r="R2" s="88" t="s">
        <v>120</v>
      </c>
      <c r="S2" s="87" t="s">
        <v>156</v>
      </c>
      <c r="T2" s="84" t="s">
        <v>121</v>
      </c>
      <c r="U2" s="91" t="s">
        <v>120</v>
      </c>
      <c r="V2" s="87" t="s">
        <v>156</v>
      </c>
      <c r="W2" s="84" t="s">
        <v>121</v>
      </c>
      <c r="X2" s="91" t="s">
        <v>156</v>
      </c>
      <c r="Y2" s="87"/>
      <c r="Z2" s="87"/>
      <c r="AA2" s="87"/>
      <c r="AB2" s="87"/>
      <c r="AC2" s="84" t="s">
        <v>121</v>
      </c>
      <c r="AD2" s="141"/>
      <c r="AE2" s="84"/>
      <c r="AF2" s="84"/>
      <c r="AG2" s="90" t="s">
        <v>121</v>
      </c>
      <c r="AH2" s="84"/>
      <c r="AI2" s="84"/>
      <c r="AJ2" s="84"/>
      <c r="AK2" s="91" t="s">
        <v>156</v>
      </c>
      <c r="AL2" s="84" t="s">
        <v>121</v>
      </c>
      <c r="AM2" s="84"/>
      <c r="AN2" s="90"/>
      <c r="AO2" s="84"/>
      <c r="AP2" s="84"/>
      <c r="AQ2" s="88" t="s">
        <v>156</v>
      </c>
      <c r="AR2" s="87"/>
      <c r="AS2" s="87"/>
      <c r="AT2" s="87"/>
      <c r="AU2" s="84" t="s">
        <v>121</v>
      </c>
      <c r="AV2" s="84"/>
      <c r="AW2" s="87"/>
      <c r="AX2" s="88" t="s">
        <v>157</v>
      </c>
      <c r="AY2" s="89"/>
      <c r="AZ2" s="87"/>
      <c r="BA2" s="87"/>
      <c r="BB2" s="87"/>
      <c r="BC2" s="87"/>
      <c r="BD2" s="87"/>
    </row>
    <row r="3" customFormat="false" ht="117" hidden="false" customHeight="true" outlineLevel="0" collapsed="false">
      <c r="A3" s="140"/>
      <c r="B3" s="140"/>
      <c r="D3" s="61"/>
      <c r="E3" s="61"/>
      <c r="F3" s="142" t="s">
        <v>325</v>
      </c>
      <c r="G3" s="142" t="s">
        <v>160</v>
      </c>
      <c r="H3" s="143" t="s">
        <v>162</v>
      </c>
      <c r="I3" s="142" t="s">
        <v>168</v>
      </c>
      <c r="J3" s="144" t="s">
        <v>177</v>
      </c>
      <c r="K3" s="92" t="s">
        <v>326</v>
      </c>
      <c r="L3" s="92" t="s">
        <v>327</v>
      </c>
      <c r="M3" s="92" t="s">
        <v>328</v>
      </c>
      <c r="N3" s="92" t="s">
        <v>329</v>
      </c>
      <c r="O3" s="92" t="s">
        <v>330</v>
      </c>
      <c r="P3" s="92" t="s">
        <v>331</v>
      </c>
      <c r="Q3" s="92" t="s">
        <v>332</v>
      </c>
      <c r="R3" s="145" t="s">
        <v>333</v>
      </c>
      <c r="S3" s="146" t="s">
        <v>334</v>
      </c>
      <c r="T3" s="100" t="s">
        <v>335</v>
      </c>
      <c r="U3" s="147" t="s">
        <v>336</v>
      </c>
      <c r="V3" s="146" t="s">
        <v>337</v>
      </c>
      <c r="W3" s="100" t="s">
        <v>338</v>
      </c>
      <c r="X3" s="148" t="s">
        <v>339</v>
      </c>
      <c r="Y3" s="95" t="s">
        <v>340</v>
      </c>
      <c r="Z3" s="146" t="s">
        <v>341</v>
      </c>
      <c r="AA3" s="95" t="s">
        <v>342</v>
      </c>
      <c r="AB3" s="146" t="s">
        <v>343</v>
      </c>
      <c r="AC3" s="100" t="s">
        <v>344</v>
      </c>
      <c r="AD3" s="100" t="s">
        <v>345</v>
      </c>
      <c r="AE3" s="104" t="s">
        <v>346</v>
      </c>
      <c r="AF3" s="100" t="s">
        <v>347</v>
      </c>
      <c r="AG3" s="149" t="s">
        <v>348</v>
      </c>
      <c r="AH3" s="100" t="s">
        <v>349</v>
      </c>
      <c r="AI3" s="100" t="s">
        <v>350</v>
      </c>
      <c r="AJ3" s="100" t="s">
        <v>351</v>
      </c>
      <c r="AK3" s="150" t="s">
        <v>352</v>
      </c>
      <c r="AL3" s="100" t="s">
        <v>353</v>
      </c>
      <c r="AM3" s="151" t="s">
        <v>354</v>
      </c>
      <c r="AN3" s="152" t="s">
        <v>355</v>
      </c>
      <c r="AO3" s="153" t="s">
        <v>356</v>
      </c>
      <c r="AP3" s="153" t="s">
        <v>357</v>
      </c>
      <c r="AQ3" s="154" t="s">
        <v>358</v>
      </c>
      <c r="AR3" s="103" t="s">
        <v>359</v>
      </c>
      <c r="AS3" s="99" t="s">
        <v>360</v>
      </c>
      <c r="AT3" s="103" t="s">
        <v>352</v>
      </c>
      <c r="AU3" s="104" t="s">
        <v>361</v>
      </c>
      <c r="AV3" s="151" t="s">
        <v>362</v>
      </c>
      <c r="AW3" s="155" t="s">
        <v>363</v>
      </c>
      <c r="AX3" s="156" t="s">
        <v>364</v>
      </c>
      <c r="AY3" s="142" t="s">
        <v>365</v>
      </c>
      <c r="AZ3" s="144" t="s">
        <v>366</v>
      </c>
      <c r="BA3" s="144" t="s">
        <v>217</v>
      </c>
      <c r="BB3" s="144" t="s">
        <v>215</v>
      </c>
      <c r="BC3" s="144" t="s">
        <v>218</v>
      </c>
      <c r="BD3" s="144" t="s">
        <v>221</v>
      </c>
    </row>
    <row r="4" customFormat="false" ht="15" hidden="false" customHeight="false" outlineLevel="0" collapsed="false">
      <c r="B4" s="65"/>
      <c r="C4" s="65"/>
      <c r="D4" s="65" t="s">
        <v>125</v>
      </c>
      <c r="E4" s="65"/>
      <c r="F4" s="109" t="n">
        <f aca="false">SUBTOTAL(109,F$15:INDEX(F:F,COUNTA($B:$B)+14-COUNTA($B$1:$B$14)))</f>
        <v>838700</v>
      </c>
      <c r="G4" s="109" t="n">
        <f aca="false">SUBTOTAL(109,G$15:INDEX(G:G,COUNTA($B:$B)+14-COUNTA($B$1:$B$14)))</f>
        <v>195909</v>
      </c>
      <c r="H4" s="106"/>
      <c r="I4" s="109" t="n">
        <f aca="false">SUBTOTAL(109,I$15:INDEX(I:I,COUNTA($B:$B)+14-COUNTA($B$1:$B$14)))</f>
        <v>148082</v>
      </c>
      <c r="J4" s="113"/>
      <c r="K4" s="105" t="n">
        <f aca="false">SUBTOTAL(109,K$15:INDEX(K:K,COUNTA($B:$B)+14-COUNTA($B$1:$B$14)))</f>
        <v>0</v>
      </c>
      <c r="L4" s="105" t="n">
        <f aca="false">SUBTOTAL(109,L$15:INDEX(L:L,COUNTA($B:$B)+14-COUNTA($B$1:$B$14)))</f>
        <v>0</v>
      </c>
      <c r="M4" s="105" t="n">
        <f aca="false">SUBTOTAL(109,M$15:INDEX(M:M,COUNTA($B:$B)+14-COUNTA($B$1:$B$14)))</f>
        <v>0</v>
      </c>
      <c r="N4" s="105" t="n">
        <f aca="false">SUBTOTAL(109,N$15:INDEX(N:N,COUNTA($B:$B)+14-COUNTA($B$1:$B$14)))</f>
        <v>0</v>
      </c>
      <c r="O4" s="105" t="n">
        <f aca="false">SUBTOTAL(109,O$15:INDEX(O:O,COUNTA($B:$B)+14-COUNTA($B$1:$B$14)))</f>
        <v>0</v>
      </c>
      <c r="P4" s="105" t="n">
        <f aca="false">SUBTOTAL(109,P$15:INDEX(P:P,COUNTA($B:$B)+14-COUNTA($B$1:$B$14)))</f>
        <v>0</v>
      </c>
      <c r="Q4" s="105" t="n">
        <f aca="false">SUBTOTAL(109,Q$15:INDEX(Q:Q,COUNTA($B:$B)+14-COUNTA($B$1:$B$14)))</f>
        <v>0</v>
      </c>
      <c r="R4" s="157" t="n">
        <f aca="false">SUBTOTAL(109,R$15:INDEX(R:R,COUNTA($B:$B)+14-COUNTA($B$1:$B$14)))</f>
        <v>0</v>
      </c>
      <c r="S4" s="108"/>
      <c r="T4" s="105" t="n">
        <f aca="false">SUBTOTAL(109,T$15:INDEX(T:T,COUNTA($B:$B)+14-COUNTA($B$1:$B$14)))</f>
        <v>1878</v>
      </c>
      <c r="U4" s="114"/>
      <c r="V4" s="108"/>
      <c r="W4" s="105" t="n">
        <f aca="false">SUBTOTAL(109,W$15:INDEX(W:W,COUNTA($B:$B)+14-COUNTA($B$1:$B$14)))</f>
        <v>1878</v>
      </c>
      <c r="X4" s="114" t="n">
        <f aca="false">IF(SUM($T$4)=0,"",SUM($AC$4)/(SUM($T$4)))</f>
        <v>1</v>
      </c>
      <c r="Y4" s="108"/>
      <c r="Z4" s="108" t="n">
        <f aca="false">IF(SUM($AC$4)=0,"",SUM($AD$4)/(SUM($AC$4)))</f>
        <v>22.1160809371672</v>
      </c>
      <c r="AA4" s="108"/>
      <c r="AB4" s="108" t="n">
        <f aca="false">IF(SUM($AC$4)=0,"",SUM($AE$4)/(SUM($AC$4)-SUM($AD$4)))</f>
        <v>21.6753076457535</v>
      </c>
      <c r="AC4" s="105" t="n">
        <f aca="false">SUBTOTAL(109,AC$15:INDEX(AC:AC,COUNTA($B:$B)+14-COUNTA($B$1:$B$14)))</f>
        <v>1878</v>
      </c>
      <c r="AD4" s="158" t="n">
        <f aca="false">IF(COUNTIF(AD$15:INDEX($AD:$AD,COUNTA($B:$B)+14-COUNTA($B$1:$B$14)),"&lt;0")&gt;0,"RESOLVE NEGATIVES",SUBTOTAL(109,AD$15:INDEX(AD:AD,COUNTA($B:$B)+14-COUNTA($B$1:$B$14))))</f>
        <v>41534</v>
      </c>
      <c r="AE4" s="105" t="n">
        <f aca="false">SUBTOTAL(109,AE$15:INDEX(AE:AE,COUNTA($B:$B)+14-COUNTA($B$1:$B$14)))</f>
        <v>-859556</v>
      </c>
      <c r="AF4" s="105" t="n">
        <f aca="false">SUBTOTAL(109,AF$15:INDEX(AF:AF,COUNTA($B:$B)+14-COUNTA($B$1:$B$14)))</f>
        <v>819900</v>
      </c>
      <c r="AG4" s="111" t="n">
        <f aca="false">SUBTOTAL(109,AG$15:INDEX(AG:AG,COUNTA($B:$B)+14-COUNTA($B$1:$B$14)))</f>
        <v>1878</v>
      </c>
      <c r="AH4" s="105" t="n">
        <f aca="false">SUBTOTAL(109,AH$15:INDEX(AH:AH,COUNTA($B:$B)+14-COUNTA($B$1:$B$14)))</f>
        <v>41534</v>
      </c>
      <c r="AI4" s="105" t="n">
        <f aca="false">SUBTOTAL(109,AI$15:INDEX(AI:AI,COUNTA($B:$B)+14-COUNTA($B$1:$B$14)))</f>
        <v>-859556</v>
      </c>
      <c r="AJ4" s="105" t="n">
        <f aca="false">SUBTOTAL(109,AJ$15:INDEX(AJ:AJ,COUNTA($B:$B)+14-COUNTA($B$1:$B$14)))</f>
        <v>819900</v>
      </c>
      <c r="AK4" s="114"/>
      <c r="AL4" s="105" t="n">
        <f aca="false">SUBTOTAL(109,AL$15:INDEX(AL:AL,COUNTA($B:$B)+14-COUNTA($B$1:$B$14)))</f>
        <v>41534</v>
      </c>
      <c r="AM4" s="105" t="n">
        <f aca="false">SUBTOTAL(109,AM$15:INDEX(AM:AM,COUNTA($B:$B)+14-COUNTA($B$1:$B$14)))</f>
        <v>2233</v>
      </c>
      <c r="AN4" s="111" t="n">
        <f aca="false">SUBTOTAL(109,AN$15:INDEX(AN:AN,COUNTA($B:$B)+14-COUNTA($B$1:$B$14)))</f>
        <v>-818022</v>
      </c>
      <c r="AO4" s="105" t="n">
        <f aca="false">SUBTOTAL(109,AO$15:INDEX(AO:AO,COUNTA($B:$B)+14-COUNTA($B$1:$B$14)))</f>
        <v>41534</v>
      </c>
      <c r="AP4" s="105" t="n">
        <f aca="false">SUBTOTAL(109,AP$15:INDEX(AP:AP,COUNTA($B:$B)+14-COUNTA($B$1:$B$14)))</f>
        <v>2233</v>
      </c>
      <c r="AQ4" s="157" t="n">
        <f aca="false">SUBTOTAL(109,AQ$15:INDEX(AQ:AQ,COUNTA($B:$B)+14-COUNTA($B$1:$B$14)))</f>
        <v>-10557</v>
      </c>
      <c r="AR4" s="159"/>
      <c r="AS4" s="159"/>
      <c r="AT4" s="159"/>
      <c r="AU4" s="105" t="n">
        <f aca="false">SUBTOTAL(109,AU$15:INDEX(AU:AU,COUNTA($B:$B)+14-COUNTA($B$1:$B$14)))</f>
        <v>0</v>
      </c>
      <c r="AV4" s="105" t="n">
        <f aca="false">SUBTOTAL(109,AV$15:INDEX(AV:AV,COUNTA($B:$B)+14-COUNTA($B$1:$B$14)))</f>
        <v>110</v>
      </c>
      <c r="AW4" s="109" t="n">
        <f aca="false">SUBTOTAL(109,AW$15:INDEX(AW:AW,COUNTA($B:$B)+14-COUNTA($B$1:$B$14)))</f>
        <v>0</v>
      </c>
      <c r="AX4" s="157" t="n">
        <f aca="false">SUBTOTAL(109,AX$15:INDEX(AX:AX,COUNTA($B:$B)+14-COUNTA($B$1:$B$14)))</f>
        <v>11006</v>
      </c>
      <c r="AY4" s="109" t="n">
        <f aca="false">SUBTOTAL(109,AY$15:INDEX(AY:AY,COUNTA($B:$B)+14-COUNTA($B$1:$B$14)))</f>
        <v>621</v>
      </c>
    </row>
    <row r="5" customFormat="false" ht="12.8" hidden="false" customHeight="false" outlineLevel="0" collapsed="false">
      <c r="A5" s="5" t="s">
        <v>126</v>
      </c>
      <c r="B5" s="69" t="s">
        <v>126</v>
      </c>
      <c r="C5" s="69" t="s">
        <v>126</v>
      </c>
      <c r="D5" s="69" t="s">
        <v>126</v>
      </c>
      <c r="E5" s="69" t="s">
        <v>126</v>
      </c>
      <c r="F5" s="73" t="s">
        <v>126</v>
      </c>
      <c r="G5" s="73" t="s">
        <v>126</v>
      </c>
      <c r="H5" s="116" t="s">
        <v>126</v>
      </c>
      <c r="I5" s="73" t="s">
        <v>126</v>
      </c>
      <c r="J5" s="118" t="s">
        <v>126</v>
      </c>
      <c r="K5" s="115" t="s">
        <v>224</v>
      </c>
      <c r="L5" s="115" t="s">
        <v>224</v>
      </c>
      <c r="M5" s="115" t="s">
        <v>224</v>
      </c>
      <c r="N5" s="115" t="s">
        <v>224</v>
      </c>
      <c r="O5" s="115" t="s">
        <v>224</v>
      </c>
      <c r="P5" s="115" t="s">
        <v>224</v>
      </c>
      <c r="Q5" s="115" t="s">
        <v>224</v>
      </c>
      <c r="R5" s="119" t="s">
        <v>225</v>
      </c>
      <c r="S5" s="118" t="s">
        <v>126</v>
      </c>
      <c r="T5" s="115" t="s">
        <v>225</v>
      </c>
      <c r="U5" s="125" t="s">
        <v>126</v>
      </c>
      <c r="V5" s="118" t="s">
        <v>126</v>
      </c>
      <c r="W5" s="115" t="s">
        <v>224</v>
      </c>
      <c r="X5" s="125" t="s">
        <v>126</v>
      </c>
      <c r="Y5" s="118" t="s">
        <v>126</v>
      </c>
      <c r="Z5" s="118" t="s">
        <v>126</v>
      </c>
      <c r="AA5" s="118" t="s">
        <v>126</v>
      </c>
      <c r="AB5" s="118" t="s">
        <v>126</v>
      </c>
      <c r="AC5" s="115" t="s">
        <v>126</v>
      </c>
      <c r="AD5" s="160" t="s">
        <v>225</v>
      </c>
      <c r="AE5" s="115" t="s">
        <v>225</v>
      </c>
      <c r="AF5" s="115" t="s">
        <v>225</v>
      </c>
      <c r="AG5" s="126" t="s">
        <v>126</v>
      </c>
      <c r="AH5" s="115" t="s">
        <v>224</v>
      </c>
      <c r="AI5" s="115" t="s">
        <v>224</v>
      </c>
      <c r="AJ5" s="115" t="s">
        <v>224</v>
      </c>
      <c r="AK5" s="125" t="s">
        <v>126</v>
      </c>
      <c r="AL5" s="115" t="s">
        <v>225</v>
      </c>
      <c r="AM5" s="115" t="s">
        <v>225</v>
      </c>
      <c r="AN5" s="126" t="s">
        <v>224</v>
      </c>
      <c r="AO5" s="115" t="s">
        <v>224</v>
      </c>
      <c r="AP5" s="115" t="s">
        <v>224</v>
      </c>
      <c r="AQ5" s="119" t="s">
        <v>126</v>
      </c>
      <c r="AR5" s="118" t="s">
        <v>126</v>
      </c>
      <c r="AS5" s="118" t="s">
        <v>126</v>
      </c>
      <c r="AT5" s="118" t="s">
        <v>126</v>
      </c>
      <c r="AU5" s="115" t="s">
        <v>225</v>
      </c>
      <c r="AV5" s="115" t="s">
        <v>225</v>
      </c>
      <c r="AW5" s="73" t="s">
        <v>126</v>
      </c>
      <c r="AX5" s="119" t="s">
        <v>126</v>
      </c>
      <c r="AY5" s="73" t="s">
        <v>126</v>
      </c>
      <c r="AZ5" s="118" t="s">
        <v>126</v>
      </c>
      <c r="BA5" s="118" t="s">
        <v>126</v>
      </c>
      <c r="BB5" s="118" t="s">
        <v>126</v>
      </c>
      <c r="BC5" s="118" t="s">
        <v>126</v>
      </c>
      <c r="BD5" s="118" t="s">
        <v>126</v>
      </c>
    </row>
    <row r="6" customFormat="false" ht="12.8" hidden="false" customHeight="false" outlineLevel="0" collapsed="false">
      <c r="A6" s="5" t="s">
        <v>128</v>
      </c>
      <c r="B6" s="69" t="s">
        <v>128</v>
      </c>
      <c r="C6" s="69" t="s">
        <v>128</v>
      </c>
      <c r="D6" s="69" t="s">
        <v>128</v>
      </c>
      <c r="E6" s="69" t="s">
        <v>128</v>
      </c>
      <c r="F6" s="73" t="s">
        <v>131</v>
      </c>
      <c r="G6" s="73" t="s">
        <v>131</v>
      </c>
      <c r="H6" s="116" t="s">
        <v>131</v>
      </c>
      <c r="I6" s="73" t="s">
        <v>131</v>
      </c>
      <c r="J6" s="118" t="s">
        <v>131</v>
      </c>
      <c r="K6" s="115" t="s">
        <v>130</v>
      </c>
      <c r="L6" s="115" t="s">
        <v>130</v>
      </c>
      <c r="M6" s="115" t="s">
        <v>130</v>
      </c>
      <c r="N6" s="115" t="s">
        <v>130</v>
      </c>
      <c r="O6" s="115" t="s">
        <v>130</v>
      </c>
      <c r="P6" s="115" t="s">
        <v>130</v>
      </c>
      <c r="Q6" s="115" t="s">
        <v>130</v>
      </c>
      <c r="R6" s="119" t="s">
        <v>129</v>
      </c>
      <c r="S6" s="118" t="s">
        <v>227</v>
      </c>
      <c r="T6" s="115" t="s">
        <v>130</v>
      </c>
      <c r="U6" s="125" t="s">
        <v>131</v>
      </c>
      <c r="V6" s="118" t="s">
        <v>227</v>
      </c>
      <c r="W6" s="115" t="s">
        <v>130</v>
      </c>
      <c r="X6" s="125" t="s">
        <v>227</v>
      </c>
      <c r="Y6" s="118" t="s">
        <v>228</v>
      </c>
      <c r="Z6" s="118" t="s">
        <v>227</v>
      </c>
      <c r="AA6" s="118" t="s">
        <v>228</v>
      </c>
      <c r="AB6" s="118" t="s">
        <v>227</v>
      </c>
      <c r="AC6" s="115" t="s">
        <v>131</v>
      </c>
      <c r="AD6" s="160" t="s">
        <v>130</v>
      </c>
      <c r="AE6" s="115" t="s">
        <v>130</v>
      </c>
      <c r="AF6" s="115" t="s">
        <v>130</v>
      </c>
      <c r="AG6" s="126" t="s">
        <v>131</v>
      </c>
      <c r="AH6" s="115" t="s">
        <v>130</v>
      </c>
      <c r="AI6" s="115" t="s">
        <v>130</v>
      </c>
      <c r="AJ6" s="115" t="s">
        <v>130</v>
      </c>
      <c r="AK6" s="125" t="s">
        <v>227</v>
      </c>
      <c r="AL6" s="115" t="s">
        <v>130</v>
      </c>
      <c r="AM6" s="115" t="s">
        <v>130</v>
      </c>
      <c r="AN6" s="126" t="s">
        <v>130</v>
      </c>
      <c r="AO6" s="115" t="s">
        <v>130</v>
      </c>
      <c r="AP6" s="115" t="s">
        <v>130</v>
      </c>
      <c r="AQ6" s="119" t="s">
        <v>131</v>
      </c>
      <c r="AR6" s="118" t="s">
        <v>228</v>
      </c>
      <c r="AS6" s="118" t="s">
        <v>227</v>
      </c>
      <c r="AT6" s="118" t="s">
        <v>227</v>
      </c>
      <c r="AU6" s="115" t="s">
        <v>130</v>
      </c>
      <c r="AV6" s="115" t="s">
        <v>130</v>
      </c>
      <c r="AW6" s="73" t="s">
        <v>131</v>
      </c>
      <c r="AX6" s="119" t="s">
        <v>131</v>
      </c>
      <c r="AY6" s="73" t="s">
        <v>131</v>
      </c>
      <c r="AZ6" s="118" t="s">
        <v>131</v>
      </c>
      <c r="BA6" s="118" t="s">
        <v>131</v>
      </c>
      <c r="BB6" s="118" t="s">
        <v>131</v>
      </c>
      <c r="BC6" s="118" t="s">
        <v>131</v>
      </c>
      <c r="BD6" s="118" t="s">
        <v>131</v>
      </c>
    </row>
    <row r="7" customFormat="false" ht="12.8" hidden="false" customHeight="false" outlineLevel="0" collapsed="false">
      <c r="A7" s="5" t="s">
        <v>132</v>
      </c>
      <c r="B7" s="69" t="s">
        <v>132</v>
      </c>
      <c r="C7" s="69" t="s">
        <v>132</v>
      </c>
      <c r="D7" s="69" t="s">
        <v>132</v>
      </c>
      <c r="E7" s="69" t="s">
        <v>132</v>
      </c>
      <c r="F7" s="73" t="s">
        <v>133</v>
      </c>
      <c r="G7" s="73" t="s">
        <v>133</v>
      </c>
      <c r="H7" s="116" t="s">
        <v>229</v>
      </c>
      <c r="I7" s="73" t="s">
        <v>133</v>
      </c>
      <c r="J7" s="118" t="s">
        <v>229</v>
      </c>
      <c r="K7" s="115" t="s">
        <v>133</v>
      </c>
      <c r="L7" s="115" t="s">
        <v>133</v>
      </c>
      <c r="M7" s="115" t="s">
        <v>133</v>
      </c>
      <c r="N7" s="115" t="s">
        <v>133</v>
      </c>
      <c r="O7" s="115" t="s">
        <v>133</v>
      </c>
      <c r="P7" s="115" t="s">
        <v>133</v>
      </c>
      <c r="Q7" s="115" t="s">
        <v>133</v>
      </c>
      <c r="R7" s="119" t="s">
        <v>133</v>
      </c>
      <c r="S7" s="118" t="s">
        <v>229</v>
      </c>
      <c r="T7" s="115" t="s">
        <v>133</v>
      </c>
      <c r="U7" s="125" t="s">
        <v>229</v>
      </c>
      <c r="V7" s="118" t="s">
        <v>229</v>
      </c>
      <c r="W7" s="115" t="s">
        <v>133</v>
      </c>
      <c r="X7" s="125" t="s">
        <v>229</v>
      </c>
      <c r="Y7" s="118" t="s">
        <v>229</v>
      </c>
      <c r="Z7" s="118" t="s">
        <v>229</v>
      </c>
      <c r="AA7" s="118" t="s">
        <v>229</v>
      </c>
      <c r="AB7" s="118" t="s">
        <v>229</v>
      </c>
      <c r="AC7" s="115" t="s">
        <v>133</v>
      </c>
      <c r="AD7" s="160" t="s">
        <v>133</v>
      </c>
      <c r="AE7" s="115" t="s">
        <v>133</v>
      </c>
      <c r="AF7" s="115" t="s">
        <v>133</v>
      </c>
      <c r="AG7" s="126" t="s">
        <v>133</v>
      </c>
      <c r="AH7" s="115" t="s">
        <v>133</v>
      </c>
      <c r="AI7" s="115" t="s">
        <v>133</v>
      </c>
      <c r="AJ7" s="115" t="s">
        <v>133</v>
      </c>
      <c r="AK7" s="125" t="s">
        <v>229</v>
      </c>
      <c r="AL7" s="115" t="s">
        <v>133</v>
      </c>
      <c r="AM7" s="115" t="s">
        <v>133</v>
      </c>
      <c r="AN7" s="126" t="s">
        <v>133</v>
      </c>
      <c r="AO7" s="115" t="s">
        <v>133</v>
      </c>
      <c r="AP7" s="115" t="s">
        <v>133</v>
      </c>
      <c r="AQ7" s="119" t="s">
        <v>133</v>
      </c>
      <c r="AR7" s="118" t="s">
        <v>229</v>
      </c>
      <c r="AS7" s="118" t="s">
        <v>229</v>
      </c>
      <c r="AT7" s="118" t="s">
        <v>229</v>
      </c>
      <c r="AU7" s="115" t="s">
        <v>133</v>
      </c>
      <c r="AV7" s="115" t="s">
        <v>133</v>
      </c>
      <c r="AW7" s="73" t="s">
        <v>133</v>
      </c>
      <c r="AX7" s="119" t="s">
        <v>133</v>
      </c>
      <c r="AY7" s="73" t="s">
        <v>133</v>
      </c>
      <c r="AZ7" s="118" t="s">
        <v>229</v>
      </c>
      <c r="BA7" s="118" t="s">
        <v>229</v>
      </c>
      <c r="BB7" s="118" t="s">
        <v>229</v>
      </c>
      <c r="BC7" s="118" t="s">
        <v>229</v>
      </c>
      <c r="BD7" s="118" t="s">
        <v>229</v>
      </c>
    </row>
    <row r="8" customFormat="false" ht="12.8" hidden="false" customHeight="false" outlineLevel="0" collapsed="false">
      <c r="F8" s="73"/>
      <c r="G8" s="73"/>
      <c r="H8" s="116"/>
      <c r="I8" s="73"/>
      <c r="J8" s="118"/>
      <c r="K8" s="161" t="s">
        <v>367</v>
      </c>
      <c r="L8" s="161" t="s">
        <v>368</v>
      </c>
      <c r="M8" s="161" t="s">
        <v>368</v>
      </c>
      <c r="N8" s="161" t="s">
        <v>368</v>
      </c>
      <c r="O8" s="161" t="s">
        <v>369</v>
      </c>
      <c r="P8" s="161" t="s">
        <v>370</v>
      </c>
      <c r="Q8" s="161" t="s">
        <v>370</v>
      </c>
      <c r="R8" s="119" t="s">
        <v>371</v>
      </c>
      <c r="T8" s="115" t="s">
        <v>371</v>
      </c>
      <c r="W8" s="115" t="s">
        <v>367</v>
      </c>
      <c r="AD8" s="160" t="s">
        <v>372</v>
      </c>
      <c r="AE8" s="115" t="s">
        <v>372</v>
      </c>
      <c r="AF8" s="115" t="s">
        <v>372</v>
      </c>
      <c r="AH8" s="115" t="s">
        <v>368</v>
      </c>
      <c r="AI8" s="115" t="s">
        <v>368</v>
      </c>
      <c r="AJ8" s="115" t="s">
        <v>368</v>
      </c>
      <c r="AK8" s="125"/>
      <c r="AL8" s="115" t="s">
        <v>373</v>
      </c>
      <c r="AM8" s="115" t="s">
        <v>373</v>
      </c>
      <c r="AN8" s="126" t="s">
        <v>369</v>
      </c>
      <c r="AO8" s="115" t="s">
        <v>370</v>
      </c>
      <c r="AP8" s="115" t="s">
        <v>370</v>
      </c>
      <c r="AR8" s="118"/>
      <c r="AS8" s="118"/>
      <c r="AT8" s="118"/>
      <c r="AU8" s="115" t="s">
        <v>374</v>
      </c>
      <c r="AV8" s="115" t="s">
        <v>374</v>
      </c>
    </row>
    <row r="9" customFormat="false" ht="12.8" hidden="false" customHeight="false" outlineLevel="0" collapsed="false">
      <c r="F9" s="73"/>
      <c r="G9" s="73"/>
      <c r="H9" s="116"/>
      <c r="I9" s="73"/>
      <c r="J9" s="118"/>
      <c r="K9" s="115"/>
      <c r="L9" s="115"/>
      <c r="M9" s="115"/>
      <c r="N9" s="115"/>
      <c r="O9" s="115"/>
      <c r="P9" s="115"/>
      <c r="Q9" s="115"/>
      <c r="R9" s="119" t="s">
        <v>375</v>
      </c>
      <c r="T9" s="115" t="s">
        <v>375</v>
      </c>
      <c r="W9" s="115"/>
      <c r="AD9" s="160" t="s">
        <v>376</v>
      </c>
      <c r="AE9" s="115" t="s">
        <v>376</v>
      </c>
      <c r="AF9" s="115" t="s">
        <v>376</v>
      </c>
      <c r="AK9" s="125"/>
      <c r="AL9" s="115" t="s">
        <v>377</v>
      </c>
      <c r="AM9" s="115" t="s">
        <v>377</v>
      </c>
      <c r="AN9" s="126"/>
      <c r="AO9" s="115"/>
      <c r="AP9" s="115"/>
      <c r="AR9" s="118"/>
      <c r="AS9" s="118"/>
      <c r="AT9" s="118"/>
      <c r="AU9" s="115" t="s">
        <v>378</v>
      </c>
      <c r="AV9" s="115" t="s">
        <v>378</v>
      </c>
    </row>
    <row r="10" customFormat="false" ht="12.8" hidden="false" customHeight="false" outlineLevel="0" collapsed="false">
      <c r="F10" s="73"/>
      <c r="G10" s="73"/>
      <c r="H10" s="116"/>
      <c r="I10" s="73"/>
      <c r="J10" s="118"/>
      <c r="K10" s="161"/>
      <c r="L10" s="161" t="s">
        <v>379</v>
      </c>
      <c r="M10" s="161" t="s">
        <v>380</v>
      </c>
      <c r="N10" s="161" t="s">
        <v>381</v>
      </c>
      <c r="O10" s="161" t="s">
        <v>243</v>
      </c>
      <c r="P10" s="161" t="s">
        <v>382</v>
      </c>
      <c r="Q10" s="161" t="s">
        <v>383</v>
      </c>
      <c r="R10" s="119"/>
      <c r="T10" s="115"/>
      <c r="W10" s="115"/>
      <c r="AD10" s="160" t="s">
        <v>379</v>
      </c>
      <c r="AE10" s="115" t="s">
        <v>380</v>
      </c>
      <c r="AF10" s="115" t="s">
        <v>381</v>
      </c>
      <c r="AH10" s="115" t="s">
        <v>379</v>
      </c>
      <c r="AI10" s="115" t="s">
        <v>380</v>
      </c>
      <c r="AJ10" s="115" t="s">
        <v>381</v>
      </c>
      <c r="AK10" s="125"/>
      <c r="AL10" s="115" t="s">
        <v>382</v>
      </c>
      <c r="AM10" s="115" t="s">
        <v>383</v>
      </c>
      <c r="AN10" s="126" t="s">
        <v>243</v>
      </c>
      <c r="AO10" s="115" t="s">
        <v>382</v>
      </c>
      <c r="AP10" s="115" t="s">
        <v>383</v>
      </c>
      <c r="AR10" s="118"/>
      <c r="AS10" s="118"/>
      <c r="AT10" s="118"/>
      <c r="AU10" s="115" t="s">
        <v>243</v>
      </c>
      <c r="AV10" s="115" t="s">
        <v>384</v>
      </c>
    </row>
    <row r="11" customFormat="false" ht="12.8" hidden="false" customHeight="false" outlineLevel="0" collapsed="false">
      <c r="F11" s="73" t="s">
        <v>247</v>
      </c>
      <c r="G11" s="73" t="s">
        <v>247</v>
      </c>
      <c r="H11" s="116" t="s">
        <v>247</v>
      </c>
      <c r="I11" s="73" t="s">
        <v>247</v>
      </c>
      <c r="J11" s="118" t="s">
        <v>247</v>
      </c>
      <c r="K11" s="115" t="s">
        <v>247</v>
      </c>
      <c r="L11" s="115" t="s">
        <v>247</v>
      </c>
      <c r="M11" s="115" t="s">
        <v>247</v>
      </c>
      <c r="N11" s="115" t="s">
        <v>247</v>
      </c>
      <c r="O11" s="115" t="s">
        <v>247</v>
      </c>
      <c r="P11" s="115" t="s">
        <v>247</v>
      </c>
      <c r="Q11" s="115" t="s">
        <v>247</v>
      </c>
      <c r="R11" s="119" t="s">
        <v>247</v>
      </c>
      <c r="S11" s="118" t="s">
        <v>247</v>
      </c>
      <c r="T11" s="115" t="s">
        <v>247</v>
      </c>
      <c r="U11" s="125" t="s">
        <v>247</v>
      </c>
      <c r="V11" s="118" t="s">
        <v>247</v>
      </c>
      <c r="W11" s="115" t="s">
        <v>247</v>
      </c>
      <c r="X11" s="125" t="s">
        <v>247</v>
      </c>
      <c r="Y11" s="118" t="s">
        <v>247</v>
      </c>
      <c r="Z11" s="118" t="s">
        <v>247</v>
      </c>
      <c r="AA11" s="118" t="s">
        <v>247</v>
      </c>
      <c r="AB11" s="118" t="s">
        <v>247</v>
      </c>
      <c r="AC11" s="115" t="s">
        <v>247</v>
      </c>
      <c r="AD11" s="160" t="s">
        <v>247</v>
      </c>
      <c r="AE11" s="115" t="s">
        <v>247</v>
      </c>
      <c r="AF11" s="115" t="s">
        <v>247</v>
      </c>
      <c r="AG11" s="126" t="s">
        <v>247</v>
      </c>
      <c r="AH11" s="115" t="s">
        <v>247</v>
      </c>
      <c r="AI11" s="115" t="s">
        <v>247</v>
      </c>
      <c r="AJ11" s="115" t="s">
        <v>247</v>
      </c>
      <c r="AK11" s="125" t="s">
        <v>247</v>
      </c>
      <c r="AL11" s="115" t="s">
        <v>247</v>
      </c>
      <c r="AM11" s="115" t="s">
        <v>247</v>
      </c>
      <c r="AN11" s="126" t="s">
        <v>247</v>
      </c>
      <c r="AO11" s="115" t="s">
        <v>247</v>
      </c>
      <c r="AP11" s="115" t="s">
        <v>247</v>
      </c>
      <c r="AQ11" s="119" t="s">
        <v>247</v>
      </c>
      <c r="AR11" s="118" t="s">
        <v>247</v>
      </c>
      <c r="AS11" s="118" t="s">
        <v>247</v>
      </c>
      <c r="AT11" s="118" t="s">
        <v>247</v>
      </c>
      <c r="AU11" s="115" t="s">
        <v>247</v>
      </c>
      <c r="AV11" s="115" t="s">
        <v>247</v>
      </c>
      <c r="AW11" s="73" t="s">
        <v>247</v>
      </c>
      <c r="AX11" s="119" t="s">
        <v>247</v>
      </c>
      <c r="AY11" s="73" t="s">
        <v>247</v>
      </c>
      <c r="AZ11" s="118" t="s">
        <v>247</v>
      </c>
      <c r="BA11" s="118" t="s">
        <v>247</v>
      </c>
      <c r="BB11" s="118" t="s">
        <v>247</v>
      </c>
      <c r="BC11" s="118" t="s">
        <v>247</v>
      </c>
      <c r="BD11" s="118" t="s">
        <v>247</v>
      </c>
    </row>
    <row r="12" customFormat="false" ht="12.8" hidden="false" customHeight="false" outlineLevel="0" collapsed="false">
      <c r="F12" s="73" t="s">
        <v>250</v>
      </c>
      <c r="G12" s="73" t="s">
        <v>250</v>
      </c>
      <c r="H12" s="116" t="s">
        <v>250</v>
      </c>
      <c r="I12" s="73" t="s">
        <v>250</v>
      </c>
      <c r="J12" s="118" t="s">
        <v>250</v>
      </c>
      <c r="K12" s="115" t="s">
        <v>250</v>
      </c>
      <c r="L12" s="115" t="s">
        <v>250</v>
      </c>
      <c r="M12" s="115" t="s">
        <v>250</v>
      </c>
      <c r="N12" s="115" t="s">
        <v>250</v>
      </c>
      <c r="O12" s="115" t="s">
        <v>250</v>
      </c>
      <c r="P12" s="115" t="s">
        <v>250</v>
      </c>
      <c r="Q12" s="115" t="s">
        <v>250</v>
      </c>
      <c r="R12" s="119" t="s">
        <v>250</v>
      </c>
      <c r="S12" s="118" t="s">
        <v>250</v>
      </c>
      <c r="T12" s="115" t="s">
        <v>250</v>
      </c>
      <c r="U12" s="125" t="s">
        <v>250</v>
      </c>
      <c r="V12" s="118" t="s">
        <v>250</v>
      </c>
      <c r="W12" s="115" t="s">
        <v>250</v>
      </c>
      <c r="X12" s="125" t="s">
        <v>250</v>
      </c>
      <c r="Y12" s="118" t="s">
        <v>250</v>
      </c>
      <c r="Z12" s="118" t="s">
        <v>250</v>
      </c>
      <c r="AA12" s="118" t="s">
        <v>250</v>
      </c>
      <c r="AB12" s="118" t="s">
        <v>250</v>
      </c>
      <c r="AC12" s="115" t="s">
        <v>250</v>
      </c>
      <c r="AD12" s="160" t="s">
        <v>250</v>
      </c>
      <c r="AE12" s="115" t="s">
        <v>250</v>
      </c>
      <c r="AF12" s="115" t="s">
        <v>250</v>
      </c>
      <c r="AG12" s="126" t="s">
        <v>250</v>
      </c>
      <c r="AH12" s="115" t="s">
        <v>250</v>
      </c>
      <c r="AI12" s="115" t="s">
        <v>250</v>
      </c>
      <c r="AJ12" s="115" t="s">
        <v>250</v>
      </c>
      <c r="AK12" s="125" t="s">
        <v>250</v>
      </c>
      <c r="AL12" s="115" t="s">
        <v>250</v>
      </c>
      <c r="AM12" s="115" t="s">
        <v>250</v>
      </c>
      <c r="AN12" s="126" t="s">
        <v>250</v>
      </c>
      <c r="AO12" s="115" t="s">
        <v>250</v>
      </c>
      <c r="AP12" s="115" t="s">
        <v>250</v>
      </c>
      <c r="AQ12" s="119" t="s">
        <v>250</v>
      </c>
      <c r="AR12" s="118" t="s">
        <v>250</v>
      </c>
      <c r="AS12" s="118" t="s">
        <v>250</v>
      </c>
      <c r="AT12" s="118" t="s">
        <v>250</v>
      </c>
      <c r="AU12" s="115" t="s">
        <v>250</v>
      </c>
      <c r="AV12" s="115" t="s">
        <v>250</v>
      </c>
      <c r="AW12" s="73" t="s">
        <v>250</v>
      </c>
      <c r="AX12" s="119" t="s">
        <v>250</v>
      </c>
      <c r="AY12" s="73" t="s">
        <v>250</v>
      </c>
      <c r="AZ12" s="118" t="s">
        <v>250</v>
      </c>
      <c r="BA12" s="118" t="s">
        <v>250</v>
      </c>
      <c r="BB12" s="118" t="s">
        <v>250</v>
      </c>
      <c r="BC12" s="118" t="s">
        <v>250</v>
      </c>
      <c r="BD12" s="118" t="s">
        <v>250</v>
      </c>
    </row>
    <row r="13" customFormat="false" ht="12.8" hidden="false" customHeight="false" outlineLevel="0" collapsed="false">
      <c r="F13" s="73"/>
      <c r="G13" s="73"/>
      <c r="H13" s="116"/>
      <c r="I13" s="73"/>
      <c r="J13" s="118"/>
      <c r="K13" s="115"/>
      <c r="L13" s="115"/>
      <c r="M13" s="115"/>
      <c r="N13" s="115"/>
      <c r="O13" s="115"/>
      <c r="P13" s="115"/>
      <c r="Q13" s="115"/>
      <c r="R13" s="119"/>
      <c r="T13" s="115"/>
      <c r="W13" s="115"/>
      <c r="AK13" s="125"/>
      <c r="AR13" s="118"/>
      <c r="AS13" s="118"/>
      <c r="AT13" s="118"/>
    </row>
    <row r="14" customFormat="false" ht="15" hidden="false" customHeight="false" outlineLevel="0" collapsed="false">
      <c r="A14" s="70" t="s">
        <v>135</v>
      </c>
      <c r="B14" s="70" t="s">
        <v>136</v>
      </c>
      <c r="C14" s="70" t="s">
        <v>252</v>
      </c>
      <c r="D14" s="70" t="s">
        <v>253</v>
      </c>
      <c r="E14" s="70" t="s">
        <v>42</v>
      </c>
      <c r="F14" s="131" t="s">
        <v>52</v>
      </c>
      <c r="G14" s="131" t="s">
        <v>97</v>
      </c>
      <c r="H14" s="129" t="s">
        <v>91</v>
      </c>
      <c r="I14" s="131" t="s">
        <v>99</v>
      </c>
      <c r="J14" s="162" t="s">
        <v>267</v>
      </c>
      <c r="K14" s="128" t="s">
        <v>385</v>
      </c>
      <c r="L14" s="128" t="s">
        <v>386</v>
      </c>
      <c r="M14" s="128" t="s">
        <v>387</v>
      </c>
      <c r="N14" s="128" t="s">
        <v>388</v>
      </c>
      <c r="O14" s="128" t="s">
        <v>389</v>
      </c>
      <c r="P14" s="128" t="s">
        <v>390</v>
      </c>
      <c r="Q14" s="128" t="s">
        <v>391</v>
      </c>
      <c r="R14" s="163" t="s">
        <v>392</v>
      </c>
      <c r="S14" s="72" t="s">
        <v>393</v>
      </c>
      <c r="T14" s="72" t="s">
        <v>394</v>
      </c>
      <c r="U14" s="164" t="s">
        <v>395</v>
      </c>
      <c r="V14" s="72" t="s">
        <v>396</v>
      </c>
      <c r="W14" s="72" t="s">
        <v>397</v>
      </c>
      <c r="X14" s="164" t="s">
        <v>398</v>
      </c>
      <c r="Y14" s="162" t="s">
        <v>399</v>
      </c>
      <c r="Z14" s="72" t="s">
        <v>400</v>
      </c>
      <c r="AA14" s="162" t="s">
        <v>401</v>
      </c>
      <c r="AB14" s="72" t="s">
        <v>402</v>
      </c>
      <c r="AC14" s="165" t="s">
        <v>403</v>
      </c>
      <c r="AD14" s="72" t="s">
        <v>404</v>
      </c>
      <c r="AE14" s="72" t="s">
        <v>300</v>
      </c>
      <c r="AF14" s="72" t="s">
        <v>405</v>
      </c>
      <c r="AG14" s="164" t="s">
        <v>406</v>
      </c>
      <c r="AH14" s="72" t="s">
        <v>407</v>
      </c>
      <c r="AI14" s="72" t="s">
        <v>408</v>
      </c>
      <c r="AJ14" s="72" t="s">
        <v>409</v>
      </c>
      <c r="AK14" s="166" t="s">
        <v>410</v>
      </c>
      <c r="AL14" s="72" t="s">
        <v>411</v>
      </c>
      <c r="AM14" s="72" t="s">
        <v>412</v>
      </c>
      <c r="AN14" s="164" t="s">
        <v>413</v>
      </c>
      <c r="AO14" s="72" t="s">
        <v>414</v>
      </c>
      <c r="AP14" s="72" t="s">
        <v>415</v>
      </c>
      <c r="AQ14" s="164" t="s">
        <v>416</v>
      </c>
      <c r="AR14" s="162" t="s">
        <v>417</v>
      </c>
      <c r="AS14" s="162" t="s">
        <v>418</v>
      </c>
      <c r="AT14" s="162" t="s">
        <v>419</v>
      </c>
      <c r="AU14" s="165" t="s">
        <v>301</v>
      </c>
      <c r="AV14" s="165" t="s">
        <v>420</v>
      </c>
      <c r="AW14" s="72" t="s">
        <v>421</v>
      </c>
      <c r="AX14" s="164" t="s">
        <v>422</v>
      </c>
      <c r="AY14" s="131" t="s">
        <v>423</v>
      </c>
      <c r="AZ14" s="162" t="s">
        <v>307</v>
      </c>
      <c r="BA14" s="162" t="s">
        <v>308</v>
      </c>
      <c r="BB14" s="162" t="s">
        <v>306</v>
      </c>
      <c r="BC14" s="162" t="s">
        <v>309</v>
      </c>
      <c r="BD14" s="162" t="s">
        <v>312</v>
      </c>
    </row>
    <row r="15" customFormat="false" ht="15" hidden="false" customHeight="false" outlineLevel="0" collapsed="false">
      <c r="A15" s="0" t="s">
        <v>140</v>
      </c>
      <c r="B15" s="0" t="s">
        <v>141</v>
      </c>
      <c r="C15" s="0" t="s">
        <v>61</v>
      </c>
      <c r="D15" s="0" t="s">
        <v>56</v>
      </c>
      <c r="E15" s="69" t="str">
        <f aca="false">B15&amp;"|"&amp;C15&amp;"|"&amp;D15</f>
        <v>_Military Lesotho [#Military] [dDOqoFnD5Be]|10-14|Female</v>
      </c>
      <c r="F15" s="124" t="str">
        <f aca="false">_xlfn.IFNA(INDEX(Cascade!$F:$F,MATCH($E15,Cascade!$E:$E,0)),"")</f>
        <v/>
      </c>
      <c r="G15" s="124" t="str">
        <f aca="false">_xlfn.IFNA(INDEX(Cascade!$H:$H,MATCH($E15,Cascade!$E:$E,0)),"")</f>
        <v/>
      </c>
      <c r="H15" s="123" t="str">
        <f aca="false">_xlfn.IFNA(INDEX(Cascade!$J:$J,MATCH($E15,Cascade!$E:$E,0)),"")</f>
        <v/>
      </c>
      <c r="I15" s="124" t="str">
        <f aca="false">_xlfn.IFNA(INDEX(Cascade!$P:$P,MATCH($E15,Cascade!$E:$E,0)),"")</f>
        <v/>
      </c>
      <c r="J15" s="123" t="str">
        <f aca="false">_xlfn.IFNA(INDEX(Cascade!$Y:$Y,MATCH($E15,Cascade!$E:$E,0)),"")</f>
        <v/>
      </c>
      <c r="K15" s="115" t="str">
        <f aca="false">_xlfn.IFNA(ROUND(INDEX(Spectrum!$N:$N,MATCH(RIGHT($B15,13)&amp;"|"&amp;$C15&amp;"|"&amp;$D15&amp;"|"&amp;K$14&amp;"|"&amp;"CY2021Q3",Spectrum!$Q:$Q,0)),0),"")</f>
        <v/>
      </c>
      <c r="L15" s="115" t="str">
        <f aca="false">_xlfn.IFNA(ROUND(INDEX(Spectrum!$N:$N,MATCH(RIGHT($B15,13)&amp;"|"&amp;$C15&amp;"|"&amp;$D15&amp;"|"&amp;L$14&amp;"|"&amp;"CY2021Q3",Spectrum!$Q:$Q,0)),0),"")</f>
        <v/>
      </c>
      <c r="M15" s="115" t="str">
        <f aca="false">_xlfn.IFNA(ROUND(INDEX(Spectrum!$N:$N,MATCH(RIGHT($B15,13)&amp;"|"&amp;$C15&amp;"|"&amp;$D15&amp;"|"&amp;M$14&amp;"|"&amp;"CY2021Q3",Spectrum!$Q:$Q,0)),0),"")</f>
        <v/>
      </c>
      <c r="N15" s="115" t="str">
        <f aca="false">_xlfn.IFNA(ROUND(INDEX(Spectrum!$N:$N,MATCH(RIGHT($B15,13)&amp;"|"&amp;$C15&amp;"|"&amp;$D15&amp;"|"&amp;N$14&amp;"|"&amp;"CY2021Q3",Spectrum!$Q:$Q,0)),0),"")</f>
        <v/>
      </c>
      <c r="O15" s="115" t="str">
        <f aca="false">_xlfn.IFNA(ROUND(INDEX(Spectrum!$N:$N,MATCH(RIGHT($B15,13)&amp;"|"&amp;$C15&amp;"|"&amp;$D15&amp;"|"&amp;O$14&amp;"|"&amp;"CY2021Q3",Spectrum!$Q:$Q,0)),0),"")</f>
        <v/>
      </c>
      <c r="P15" s="115" t="str">
        <f aca="false">_xlfn.IFNA(ROUND(INDEX(Spectrum!$N:$N,MATCH(RIGHT($B15,13)&amp;"|"&amp;$C15&amp;"|"&amp;$D15&amp;"|"&amp;P$14&amp;"|"&amp;"CY2021Q3",Spectrum!$Q:$Q,0)),0),"")</f>
        <v/>
      </c>
      <c r="Q15" s="115" t="str">
        <f aca="false">_xlfn.IFNA(ROUND(INDEX(Spectrum!$N:$N,MATCH(RIGHT($B15,13)&amp;"|"&amp;$C15&amp;"|"&amp;$D15&amp;"|"&amp;Q$14&amp;"|"&amp;"CY2021Q3",Spectrum!$Q:$Q,0)),0),"")</f>
        <v/>
      </c>
      <c r="R15" s="73"/>
      <c r="S15" s="118" t="str">
        <f aca="false">IF(SUM($R15)&lt;=0,"",0%)</f>
        <v/>
      </c>
      <c r="T15" s="115" t="str">
        <f aca="false">IF(SUM($R15)&lt;=0,"",ROUND(MIN($R15,$K15)*(1+$S15),0))</f>
        <v/>
      </c>
      <c r="U15" s="125" t="str">
        <f aca="false">IF(SUM($K15)=0,IF(SUM($R15)=0,"",1),MIN(SUM($R15)/SUM($K15),1))</f>
        <v/>
      </c>
      <c r="V15" s="118" t="str">
        <f aca="false">$U15</f>
        <v/>
      </c>
      <c r="W15" s="115" t="str">
        <f aca="false">IF(SUM($T15)=0,"",ROUND(SUM($T15)/IF(SUM($V15)=0,1,SUM($V15)),0))</f>
        <v/>
      </c>
      <c r="X15" s="125" t="n">
        <f aca="false">1</f>
        <v>1</v>
      </c>
      <c r="Y15" s="118"/>
      <c r="Z15" s="118" t="str">
        <f aca="false">IF(OR(SUM($K15)&lt;=0,SUM($L15)&lt;=0),IF(SUM($Y15)&lt;=0,"",$Y15),SUM($L15)/$K15)</f>
        <v/>
      </c>
      <c r="AA15" s="118"/>
      <c r="AB15" s="118" t="str">
        <f aca="false">IF(OR((SUM($K15)-SUM($L15))&lt;=0,SUM($M15)&lt;=0),IF(SUM($AA15)&lt;=0,"",$AA15),SUM($M15)/($K15-SUM($L15)))</f>
        <v/>
      </c>
      <c r="AC15" s="115" t="str">
        <f aca="false">IF(SUM($T15)&lt;=0,"",ROUND(SUM($T15)*$X15,0))</f>
        <v/>
      </c>
      <c r="AD15" s="115" t="str">
        <f aca="false">IF(SUM($AC15)&lt;=0,"",ROUND($AC15*SUM($Z15),0))</f>
        <v/>
      </c>
      <c r="AE15" s="115" t="str">
        <f aca="false">IF(SUM($T15)&lt;=0,"",ROUND(($AC15-$AD15)*SUM($AB15),0))</f>
        <v/>
      </c>
      <c r="AF15" s="115" t="str">
        <f aca="false">IF(SUM($AC15)&lt;=0,"",ROUND($AC15-$AD15-$AE15,0))</f>
        <v/>
      </c>
      <c r="AG15" s="126" t="str">
        <f aca="false">IF(SUM($W15)&lt;=0,"",ROUND(SUM($W15)*$X15,0))</f>
        <v/>
      </c>
      <c r="AH15" s="115" t="str">
        <f aca="false">IF(SUM($AG15)&lt;=0,"",ROUND($AG15*SUM($Z15),0))</f>
        <v/>
      </c>
      <c r="AI15" s="115" t="str">
        <f aca="false">IF(SUM($W15)&lt;=0,"",ROUND(($AG15-$AH15)*SUM($AB15),0))</f>
        <v/>
      </c>
      <c r="AJ15" s="115" t="str">
        <f aca="false">IF(SUM($AG15)&lt;=0,"",ROUND($AG15-$AH15-$AI15,0))</f>
        <v/>
      </c>
      <c r="AK15" s="125" t="n">
        <f aca="false">_xlfn.IFNA(INDEX(Cascade!$BA:$BA,MATCH($E15,Cascade!$E:$E,0)),"")</f>
        <v>0.95</v>
      </c>
      <c r="AL15" s="115" t="str">
        <f aca="false">IF(SUM($AD15)&lt;=0,"",$AD15)</f>
        <v/>
      </c>
      <c r="AM15" s="115" t="str">
        <f aca="false">IF(SUM($AE15)&lt;=0,"",ROUND($AE15*$AK15,0))</f>
        <v/>
      </c>
      <c r="AN15" s="126" t="str">
        <f aca="false">IF(AND(SUM($AH15)=0,SUM($AI15)=0),"",SUM($AH15)+SUM($AI15))</f>
        <v/>
      </c>
      <c r="AO15" s="115" t="str">
        <f aca="false">IF(SUM($AH15)&lt;=0,"",$AH15)</f>
        <v/>
      </c>
      <c r="AP15" s="115" t="str">
        <f aca="false">IF(SUM($AI15)&lt;=0,"",ROUND($AI15*$AK15,0))</f>
        <v/>
      </c>
      <c r="AQ15" s="119" t="str">
        <f aca="false">IF(SUM($T15,$AD15,$AE15)&lt;=0,"",MAX(SUM($T15,-$AD15,-$AE15),$AF15))</f>
        <v/>
      </c>
      <c r="AR15" s="167"/>
      <c r="AS15" s="167" t="str">
        <f aca="false">IF(SUM(AR15)=0,"",$AR15)</f>
        <v/>
      </c>
      <c r="AT15" s="167" t="n">
        <f aca="false">0.95</f>
        <v>0.95</v>
      </c>
      <c r="AU15" s="115" t="str">
        <f aca="false">IF(SUM($AQ15)&lt;=0,"",ROUND(SUM($AQ15)*SUM($AS15),0))</f>
        <v/>
      </c>
      <c r="AV15" s="115" t="str">
        <f aca="false">IF(SUM($AQ15)&lt;=0,"",$AQ15-$AU15)</f>
        <v/>
      </c>
      <c r="AW15" s="73" t="str">
        <f aca="false">IF(SUM($AU15)&lt;=0,"",ROUND($AU15*$AT15,0))</f>
        <v/>
      </c>
      <c r="AX15" s="119" t="str">
        <f aca="false">IF(SUM($AE15,$AD15,$AU15)&lt;=0,"",SUM($AE15,$AD15,$AU15))</f>
        <v/>
      </c>
      <c r="AY15" s="73" t="str">
        <f aca="false">_xlfn.IFNA(INDEX(Cascade!$BD:$BD,MATCH($E15,Cascade!$E:$E,0)),"")</f>
        <v/>
      </c>
      <c r="AZ15" s="118" t="str">
        <f aca="false">IFERROR(IF(SUM($AE15)&lt;=0,"",$AE15/$AY15),"")</f>
        <v/>
      </c>
      <c r="BA15" s="118" t="str">
        <f aca="false">IFERROR(IF(SUM($AU15)&lt;=0,"",$AU15/$AY15),"")</f>
        <v/>
      </c>
      <c r="BB15" s="118" t="str">
        <f aca="false">_xlfn.IFNA(INDEX(Cascade!$BL:$BL,MATCH($E15,Cascade!$E:$E,0)),"")</f>
        <v/>
      </c>
      <c r="BC15" s="118" t="str">
        <f aca="false">_xlfn.IFNA(INDEX(Cascade!$BO:$BO,MATCH($E15,Cascade!$E:$E,0)),"")</f>
        <v/>
      </c>
      <c r="BD15" s="118" t="str">
        <f aca="false">_xlfn.IFNA(INDEX(Cascade!$BR:$BR,MATCH($E15,Cascade!$E:$E,0)),"")</f>
        <v/>
      </c>
    </row>
    <row r="16" customFormat="false" ht="15" hidden="false" customHeight="false" outlineLevel="0" collapsed="false">
      <c r="A16" s="0" t="s">
        <v>140</v>
      </c>
      <c r="B16" s="0" t="s">
        <v>141</v>
      </c>
      <c r="C16" s="0" t="s">
        <v>63</v>
      </c>
      <c r="D16" s="0" t="s">
        <v>56</v>
      </c>
      <c r="E16" s="0" t="str">
        <f aca="false">B16&amp;"|"&amp;C16&amp;"|"&amp;D16</f>
        <v>_Military Lesotho [#Military] [dDOqoFnD5Be]|15-19|Female</v>
      </c>
      <c r="F16" s="73" t="str">
        <f aca="false">_xlfn.IFNA(INDEX(Cascade!$F:$F,MATCH($E16,Cascade!$E:$E,0)),"")</f>
        <v/>
      </c>
      <c r="G16" s="73" t="str">
        <f aca="false">_xlfn.IFNA(INDEX(Cascade!$H:$H,MATCH($E16,Cascade!$E:$E,0)),"")</f>
        <v/>
      </c>
      <c r="H16" s="118" t="str">
        <f aca="false">_xlfn.IFNA(INDEX(Cascade!$J:$J,MATCH($E16,Cascade!$E:$E,0)),"")</f>
        <v/>
      </c>
      <c r="I16" s="73" t="str">
        <f aca="false">_xlfn.IFNA(INDEX(Cascade!$P:$P,MATCH($E16,Cascade!$E:$E,0)),"")</f>
        <v/>
      </c>
      <c r="J16" s="118" t="str">
        <f aca="false">_xlfn.IFNA(INDEX(Cascade!$Y:$Y,MATCH($E16,Cascade!$E:$E,0)),"")</f>
        <v/>
      </c>
      <c r="K16" s="75" t="str">
        <f aca="false">_xlfn.IFNA(ROUND(INDEX(Spectrum!$N:$N,MATCH(RIGHT($B16,13)&amp;"|"&amp;$C16&amp;"|"&amp;$D16&amp;"|"&amp;K$14&amp;"|"&amp;"CY2021Q3",Spectrum!$Q:$Q,0)),0),"")</f>
        <v/>
      </c>
      <c r="L16" s="75" t="str">
        <f aca="false">_xlfn.IFNA(ROUND(INDEX(Spectrum!$N:$N,MATCH(RIGHT($B16,13)&amp;"|"&amp;$C16&amp;"|"&amp;$D16&amp;"|"&amp;L$14&amp;"|"&amp;"CY2021Q3",Spectrum!$Q:$Q,0)),0),"")</f>
        <v/>
      </c>
      <c r="M16" s="75" t="str">
        <f aca="false">_xlfn.IFNA(ROUND(INDEX(Spectrum!$N:$N,MATCH(RIGHT($B16,13)&amp;"|"&amp;$C16&amp;"|"&amp;$D16&amp;"|"&amp;M$14&amp;"|"&amp;"CY2021Q3",Spectrum!$Q:$Q,0)),0),"")</f>
        <v/>
      </c>
      <c r="N16" s="75" t="str">
        <f aca="false">_xlfn.IFNA(ROUND(INDEX(Spectrum!$N:$N,MATCH(RIGHT($B16,13)&amp;"|"&amp;$C16&amp;"|"&amp;$D16&amp;"|"&amp;N$14&amp;"|"&amp;"CY2021Q3",Spectrum!$Q:$Q,0)),0),"")</f>
        <v/>
      </c>
      <c r="O16" s="75" t="str">
        <f aca="false">_xlfn.IFNA(ROUND(INDEX(Spectrum!$N:$N,MATCH(RIGHT($B16,13)&amp;"|"&amp;$C16&amp;"|"&amp;$D16&amp;"|"&amp;O$14&amp;"|"&amp;"CY2021Q3",Spectrum!$Q:$Q,0)),0),"")</f>
        <v/>
      </c>
      <c r="P16" s="75" t="str">
        <f aca="false">_xlfn.IFNA(ROUND(INDEX(Spectrum!$N:$N,MATCH(RIGHT($B16,13)&amp;"|"&amp;$C16&amp;"|"&amp;$D16&amp;"|"&amp;P$14&amp;"|"&amp;"CY2021Q3",Spectrum!$Q:$Q,0)),0),"")</f>
        <v/>
      </c>
      <c r="Q16" s="75" t="str">
        <f aca="false">_xlfn.IFNA(ROUND(INDEX(Spectrum!$N:$N,MATCH(RIGHT($B16,13)&amp;"|"&amp;$C16&amp;"|"&amp;$D16&amp;"|"&amp;Q$14&amp;"|"&amp;"CY2021Q3",Spectrum!$Q:$Q,0)),0),"")</f>
        <v/>
      </c>
      <c r="R16" s="73"/>
      <c r="S16" s="118" t="str">
        <f aca="false">IF(SUM($R16)&lt;=0,"",0%)</f>
        <v/>
      </c>
      <c r="T16" s="75" t="str">
        <f aca="false">IF(SUM($R16)&lt;=0,"",ROUND(MIN($R16,$K16)*(1+$S16),0))</f>
        <v/>
      </c>
      <c r="U16" s="118" t="str">
        <f aca="false">IF(SUM($K16)=0,IF(SUM($R16)=0,"",1),MIN(SUM($R16)/SUM($K16),1))</f>
        <v/>
      </c>
      <c r="V16" s="118" t="str">
        <f aca="false">$U16</f>
        <v/>
      </c>
      <c r="W16" s="75" t="str">
        <f aca="false">IF(SUM($T16)=0,"",ROUND(SUM($T16)/IF(SUM($V16)=0,1,SUM($V16)),0))</f>
        <v/>
      </c>
      <c r="X16" s="118" t="n">
        <f aca="false">1</f>
        <v>1</v>
      </c>
      <c r="Y16" s="118"/>
      <c r="Z16" s="118" t="str">
        <f aca="false">IF(OR(SUM($K16)&lt;=0,SUM($L16)&lt;=0),IF(SUM($Y16)&lt;=0,"",$Y16),SUM($L16)/$K16)</f>
        <v/>
      </c>
      <c r="AA16" s="118"/>
      <c r="AB16" s="118" t="str">
        <f aca="false">IF(OR((SUM($K16)-SUM($L16))&lt;=0,SUM($M16)&lt;=0),IF(SUM($AA16)&lt;=0,"",$AA16),SUM($M16)/($K16-SUM($L16)))</f>
        <v/>
      </c>
      <c r="AC16" s="73" t="str">
        <f aca="false">IF(SUM($T16)&lt;=0,"",ROUND(SUM($T16)*$X16,0))</f>
        <v/>
      </c>
      <c r="AD16" s="75" t="str">
        <f aca="false">IF(SUM($AC16)&lt;=0,"",ROUND($AC16*SUM($Z16),0))</f>
        <v/>
      </c>
      <c r="AE16" s="75" t="str">
        <f aca="false">IF(SUM($T16)&lt;=0,"",ROUND(($AC16-$AD16)*SUM($AB16),0))</f>
        <v/>
      </c>
      <c r="AF16" s="75" t="str">
        <f aca="false">IF(SUM($AC16)&lt;=0,"",ROUND($AC16-$AD16-$AE16,0))</f>
        <v/>
      </c>
      <c r="AG16" s="73" t="str">
        <f aca="false">IF(SUM($W16)&lt;=0,"",ROUND(SUM($W16)*$X16,0))</f>
        <v/>
      </c>
      <c r="AH16" s="75" t="str">
        <f aca="false">IF(SUM($AG16)&lt;=0,"",ROUND($AG16*SUM($Z16),0))</f>
        <v/>
      </c>
      <c r="AI16" s="75" t="str">
        <f aca="false">IF(SUM($W16)&lt;=0,"",ROUND(($AG16-$AH16)*SUM($AB16),0))</f>
        <v/>
      </c>
      <c r="AJ16" s="75" t="str">
        <f aca="false">IF(SUM($AG16)&lt;=0,"",ROUND($AG16-$AH16-$AI16,0))</f>
        <v/>
      </c>
      <c r="AK16" s="118" t="n">
        <f aca="false">_xlfn.IFNA(INDEX(Cascade!$BA:$BA,MATCH($E16,Cascade!$E:$E,0)),"")</f>
        <v>0.95</v>
      </c>
      <c r="AL16" s="75" t="str">
        <f aca="false">IF(SUM($AD16)&lt;=0,"",$AD16)</f>
        <v/>
      </c>
      <c r="AM16" s="75" t="str">
        <f aca="false">IF(SUM($AE16)&lt;=0,"",ROUND($AE16*$AK16,0))</f>
        <v/>
      </c>
      <c r="AN16" s="75" t="str">
        <f aca="false">IF(AND(SUM($AH16)=0,SUM($AI16)=0),"",SUM($AH16)+SUM($AI16))</f>
        <v/>
      </c>
      <c r="AO16" s="75" t="str">
        <f aca="false">IF(SUM($AH16)&lt;=0,"",$AH16)</f>
        <v/>
      </c>
      <c r="AP16" s="75" t="str">
        <f aca="false">IF(SUM($AI16)&lt;=0,"",ROUND($AI16*$AK16,0))</f>
        <v/>
      </c>
      <c r="AQ16" s="73" t="str">
        <f aca="false">IF(SUM($T16,$AD16,$AE16)&lt;=0,"",MAX(SUM($T16,-$AD16,-$AE16),$AF16))</f>
        <v/>
      </c>
      <c r="AR16" s="118"/>
      <c r="AS16" s="118" t="str">
        <f aca="false">IF(SUM(AR16)=0,"",$AR16)</f>
        <v/>
      </c>
      <c r="AT16" s="118" t="n">
        <f aca="false">0.95</f>
        <v>0.95</v>
      </c>
      <c r="AU16" s="75" t="str">
        <f aca="false">IF(SUM($AQ16)&lt;=0,"",ROUND(SUM($AQ16)*SUM($AS16),0))</f>
        <v/>
      </c>
      <c r="AV16" s="75" t="str">
        <f aca="false">IF(SUM($AQ16)&lt;=0,"",$AQ16-$AU16)</f>
        <v/>
      </c>
      <c r="AW16" s="73" t="str">
        <f aca="false">IF(SUM($AU16)&lt;=0,"",ROUND($AU16*$AT16,0))</f>
        <v/>
      </c>
      <c r="AX16" s="73" t="str">
        <f aca="false">IF(SUM($AE16,$AD16,$AU16)&lt;=0,"",SUM($AE16,$AD16,$AU16))</f>
        <v/>
      </c>
      <c r="AY16" s="73" t="n">
        <f aca="false">_xlfn.IFNA(INDEX(Cascade!$BD:$BD,MATCH($E16,Cascade!$E:$E,0)),"")</f>
        <v>1</v>
      </c>
      <c r="AZ16" s="118" t="str">
        <f aca="false">IFERROR(IF(SUM($AE16)&lt;=0,"",$AE16/$AY16),"")</f>
        <v/>
      </c>
      <c r="BA16" s="118" t="str">
        <f aca="false">IFERROR(IF(SUM($AU16)&lt;=0,"",$AU16/$AY16),"")</f>
        <v/>
      </c>
      <c r="BB16" s="118" t="str">
        <f aca="false">_xlfn.IFNA(INDEX(Cascade!$BL:$BL,MATCH($E16,Cascade!$E:$E,0)),"")</f>
        <v/>
      </c>
      <c r="BC16" s="118" t="str">
        <f aca="false">_xlfn.IFNA(INDEX(Cascade!$BO:$BO,MATCH($E16,Cascade!$E:$E,0)),"")</f>
        <v/>
      </c>
      <c r="BD16" s="118" t="n">
        <f aca="false">_xlfn.IFNA(INDEX(Cascade!$BR:$BR,MATCH($E16,Cascade!$E:$E,0)),"")</f>
        <v>1</v>
      </c>
    </row>
    <row r="17" customFormat="false" ht="15" hidden="false" customHeight="false" outlineLevel="0" collapsed="false">
      <c r="A17" s="0" t="s">
        <v>140</v>
      </c>
      <c r="B17" s="0" t="s">
        <v>141</v>
      </c>
      <c r="C17" s="0" t="s">
        <v>66</v>
      </c>
      <c r="D17" s="0" t="s">
        <v>56</v>
      </c>
      <c r="E17" s="0" t="str">
        <f aca="false">B17&amp;"|"&amp;C17&amp;"|"&amp;D17</f>
        <v>_Military Lesotho [#Military] [dDOqoFnD5Be]|20-24|Female</v>
      </c>
      <c r="F17" s="73" t="str">
        <f aca="false">_xlfn.IFNA(INDEX(Cascade!$F:$F,MATCH($E17,Cascade!$E:$E,0)),"")</f>
        <v/>
      </c>
      <c r="G17" s="73" t="str">
        <f aca="false">_xlfn.IFNA(INDEX(Cascade!$H:$H,MATCH($E17,Cascade!$E:$E,0)),"")</f>
        <v/>
      </c>
      <c r="H17" s="118" t="str">
        <f aca="false">_xlfn.IFNA(INDEX(Cascade!$J:$J,MATCH($E17,Cascade!$E:$E,0)),"")</f>
        <v/>
      </c>
      <c r="I17" s="73" t="str">
        <f aca="false">_xlfn.IFNA(INDEX(Cascade!$P:$P,MATCH($E17,Cascade!$E:$E,0)),"")</f>
        <v/>
      </c>
      <c r="J17" s="118" t="str">
        <f aca="false">_xlfn.IFNA(INDEX(Cascade!$Y:$Y,MATCH($E17,Cascade!$E:$E,0)),"")</f>
        <v/>
      </c>
      <c r="K17" s="75" t="str">
        <f aca="false">_xlfn.IFNA(ROUND(INDEX(Spectrum!$N:$N,MATCH(RIGHT($B17,13)&amp;"|"&amp;$C17&amp;"|"&amp;$D17&amp;"|"&amp;K$14&amp;"|"&amp;"CY2021Q3",Spectrum!$Q:$Q,0)),0),"")</f>
        <v/>
      </c>
      <c r="L17" s="75" t="str">
        <f aca="false">_xlfn.IFNA(ROUND(INDEX(Spectrum!$N:$N,MATCH(RIGHT($B17,13)&amp;"|"&amp;$C17&amp;"|"&amp;$D17&amp;"|"&amp;L$14&amp;"|"&amp;"CY2021Q3",Spectrum!$Q:$Q,0)),0),"")</f>
        <v/>
      </c>
      <c r="M17" s="75" t="str">
        <f aca="false">_xlfn.IFNA(ROUND(INDEX(Spectrum!$N:$N,MATCH(RIGHT($B17,13)&amp;"|"&amp;$C17&amp;"|"&amp;$D17&amp;"|"&amp;M$14&amp;"|"&amp;"CY2021Q3",Spectrum!$Q:$Q,0)),0),"")</f>
        <v/>
      </c>
      <c r="N17" s="75" t="str">
        <f aca="false">_xlfn.IFNA(ROUND(INDEX(Spectrum!$N:$N,MATCH(RIGHT($B17,13)&amp;"|"&amp;$C17&amp;"|"&amp;$D17&amp;"|"&amp;N$14&amp;"|"&amp;"CY2021Q3",Spectrum!$Q:$Q,0)),0),"")</f>
        <v/>
      </c>
      <c r="O17" s="75" t="str">
        <f aca="false">_xlfn.IFNA(ROUND(INDEX(Spectrum!$N:$N,MATCH(RIGHT($B17,13)&amp;"|"&amp;$C17&amp;"|"&amp;$D17&amp;"|"&amp;O$14&amp;"|"&amp;"CY2021Q3",Spectrum!$Q:$Q,0)),0),"")</f>
        <v/>
      </c>
      <c r="P17" s="75" t="str">
        <f aca="false">_xlfn.IFNA(ROUND(INDEX(Spectrum!$N:$N,MATCH(RIGHT($B17,13)&amp;"|"&amp;$C17&amp;"|"&amp;$D17&amp;"|"&amp;P$14&amp;"|"&amp;"CY2021Q3",Spectrum!$Q:$Q,0)),0),"")</f>
        <v/>
      </c>
      <c r="Q17" s="75" t="str">
        <f aca="false">_xlfn.IFNA(ROUND(INDEX(Spectrum!$N:$N,MATCH(RIGHT($B17,13)&amp;"|"&amp;$C17&amp;"|"&amp;$D17&amp;"|"&amp;Q$14&amp;"|"&amp;"CY2021Q3",Spectrum!$Q:$Q,0)),0),"")</f>
        <v/>
      </c>
      <c r="R17" s="73"/>
      <c r="S17" s="118" t="str">
        <f aca="false">IF(SUM($R17)&lt;=0,"",0%)</f>
        <v/>
      </c>
      <c r="T17" s="75" t="str">
        <f aca="false">IF(SUM($R17)&lt;=0,"",ROUND(MIN($R17,$K17)*(1+$S17),0))</f>
        <v/>
      </c>
      <c r="U17" s="118" t="str">
        <f aca="false">IF(SUM($K17)=0,IF(SUM($R17)=0,"",1),MIN(SUM($R17)/SUM($K17),1))</f>
        <v/>
      </c>
      <c r="V17" s="118" t="str">
        <f aca="false">$U17</f>
        <v/>
      </c>
      <c r="W17" s="75" t="str">
        <f aca="false">IF(SUM($T17)=0,"",ROUND(SUM($T17)/IF(SUM($V17)=0,1,SUM($V17)),0))</f>
        <v/>
      </c>
      <c r="X17" s="118" t="n">
        <f aca="false">1</f>
        <v>1</v>
      </c>
      <c r="Y17" s="118" t="n">
        <v>11</v>
      </c>
      <c r="Z17" s="118" t="n">
        <f aca="false">IF(OR(SUM($K17)&lt;=0,SUM($L17)&lt;=0),IF(SUM($Y17)&lt;=0,"",$Y17),SUM($L17)/$K17)</f>
        <v>11</v>
      </c>
      <c r="AA17" s="118"/>
      <c r="AB17" s="118" t="str">
        <f aca="false">IF(OR((SUM($K17)-SUM($L17))&lt;=0,SUM($M17)&lt;=0),IF(SUM($AA17)&lt;=0,"",$AA17),SUM($M17)/($K17-SUM($L17)))</f>
        <v/>
      </c>
      <c r="AC17" s="73" t="str">
        <f aca="false">IF(SUM($T17)&lt;=0,"",ROUND(SUM($T17)*$X17,0))</f>
        <v/>
      </c>
      <c r="AD17" s="75" t="str">
        <f aca="false">IF(SUM($AC17)&lt;=0,"",ROUND($AC17*SUM($Z17),0))</f>
        <v/>
      </c>
      <c r="AE17" s="75" t="str">
        <f aca="false">IF(SUM($T17)&lt;=0,"",ROUND(($AC17-$AD17)*SUM($AB17),0))</f>
        <v/>
      </c>
      <c r="AF17" s="75" t="str">
        <f aca="false">IF(SUM($AC17)&lt;=0,"",ROUND($AC17-$AD17-$AE17,0))</f>
        <v/>
      </c>
      <c r="AG17" s="73" t="str">
        <f aca="false">IF(SUM($W17)&lt;=0,"",ROUND(SUM($W17)*$X17,0))</f>
        <v/>
      </c>
      <c r="AH17" s="75" t="str">
        <f aca="false">IF(SUM($AG17)&lt;=0,"",ROUND($AG17*SUM($Z17),0))</f>
        <v/>
      </c>
      <c r="AI17" s="75" t="str">
        <f aca="false">IF(SUM($W17)&lt;=0,"",ROUND(($AG17-$AH17)*SUM($AB17),0))</f>
        <v/>
      </c>
      <c r="AJ17" s="75" t="str">
        <f aca="false">IF(SUM($AG17)&lt;=0,"",ROUND($AG17-$AH17-$AI17,0))</f>
        <v/>
      </c>
      <c r="AK17" s="118" t="n">
        <f aca="false">_xlfn.IFNA(INDEX(Cascade!$BA:$BA,MATCH($E17,Cascade!$E:$E,0)),"")</f>
        <v>0.95</v>
      </c>
      <c r="AL17" s="75" t="str">
        <f aca="false">IF(SUM($AD17)&lt;=0,"",$AD17)</f>
        <v/>
      </c>
      <c r="AM17" s="75" t="str">
        <f aca="false">IF(SUM($AE17)&lt;=0,"",ROUND($AE17*$AK17,0))</f>
        <v/>
      </c>
      <c r="AN17" s="75" t="str">
        <f aca="false">IF(AND(SUM($AH17)=0,SUM($AI17)=0),"",SUM($AH17)+SUM($AI17))</f>
        <v/>
      </c>
      <c r="AO17" s="75" t="str">
        <f aca="false">IF(SUM($AH17)&lt;=0,"",$AH17)</f>
        <v/>
      </c>
      <c r="AP17" s="75" t="str">
        <f aca="false">IF(SUM($AI17)&lt;=0,"",ROUND($AI17*$AK17,0))</f>
        <v/>
      </c>
      <c r="AQ17" s="73" t="str">
        <f aca="false">IF(SUM($T17,$AD17,$AE17)&lt;=0,"",MAX(SUM($T17,-$AD17,-$AE17),$AF17))</f>
        <v/>
      </c>
      <c r="AR17" s="118" t="n">
        <v>17</v>
      </c>
      <c r="AS17" s="118" t="n">
        <f aca="false">IF(SUM(AR17)=0,"",$AR17)</f>
        <v>17</v>
      </c>
      <c r="AT17" s="118" t="n">
        <f aca="false">0.95</f>
        <v>0.95</v>
      </c>
      <c r="AU17" s="75" t="str">
        <f aca="false">IF(SUM($AQ17)&lt;=0,"",ROUND(SUM($AQ17)*SUM($AS17),0))</f>
        <v/>
      </c>
      <c r="AV17" s="75" t="str">
        <f aca="false">IF(SUM($AQ17)&lt;=0,"",$AQ17-$AU17)</f>
        <v/>
      </c>
      <c r="AW17" s="73" t="str">
        <f aca="false">IF(SUM($AU17)&lt;=0,"",ROUND($AU17*$AT17,0))</f>
        <v/>
      </c>
      <c r="AX17" s="73" t="str">
        <f aca="false">IF(SUM($AE17,$AD17,$AU17)&lt;=0,"",SUM($AE17,$AD17,$AU17))</f>
        <v/>
      </c>
      <c r="AY17" s="73" t="n">
        <f aca="false">_xlfn.IFNA(INDEX(Cascade!$BD:$BD,MATCH($E17,Cascade!$E:$E,0)),"")</f>
        <v>1</v>
      </c>
      <c r="AZ17" s="118" t="str">
        <f aca="false">IFERROR(IF(SUM($AE17)&lt;=0,"",$AE17/$AY17),"")</f>
        <v/>
      </c>
      <c r="BA17" s="118" t="str">
        <f aca="false">IFERROR(IF(SUM($AU17)&lt;=0,"",$AU17/$AY17),"")</f>
        <v/>
      </c>
      <c r="BB17" s="118" t="str">
        <f aca="false">_xlfn.IFNA(INDEX(Cascade!$BL:$BL,MATCH($E17,Cascade!$E:$E,0)),"")</f>
        <v/>
      </c>
      <c r="BC17" s="118" t="str">
        <f aca="false">_xlfn.IFNA(INDEX(Cascade!$BO:$BO,MATCH($E17,Cascade!$E:$E,0)),"")</f>
        <v/>
      </c>
      <c r="BD17" s="118" t="n">
        <f aca="false">_xlfn.IFNA(INDEX(Cascade!$BR:$BR,MATCH($E17,Cascade!$E:$E,0)),"")</f>
        <v>1</v>
      </c>
    </row>
    <row r="18" customFormat="false" ht="15" hidden="false" customHeight="false" outlineLevel="0" collapsed="false">
      <c r="A18" s="0" t="s">
        <v>140</v>
      </c>
      <c r="B18" s="0" t="s">
        <v>141</v>
      </c>
      <c r="C18" s="0" t="s">
        <v>69</v>
      </c>
      <c r="D18" s="0" t="s">
        <v>56</v>
      </c>
      <c r="E18" s="0" t="str">
        <f aca="false">B18&amp;"|"&amp;C18&amp;"|"&amp;D18</f>
        <v>_Military Lesotho [#Military] [dDOqoFnD5Be]|25-29|Female</v>
      </c>
      <c r="F18" s="73" t="str">
        <f aca="false">_xlfn.IFNA(INDEX(Cascade!$F:$F,MATCH($E18,Cascade!$E:$E,0)),"")</f>
        <v/>
      </c>
      <c r="G18" s="73" t="str">
        <f aca="false">_xlfn.IFNA(INDEX(Cascade!$H:$H,MATCH($E18,Cascade!$E:$E,0)),"")</f>
        <v/>
      </c>
      <c r="H18" s="118" t="str">
        <f aca="false">_xlfn.IFNA(INDEX(Cascade!$J:$J,MATCH($E18,Cascade!$E:$E,0)),"")</f>
        <v/>
      </c>
      <c r="I18" s="73" t="str">
        <f aca="false">_xlfn.IFNA(INDEX(Cascade!$P:$P,MATCH($E18,Cascade!$E:$E,0)),"")</f>
        <v/>
      </c>
      <c r="J18" s="118" t="str">
        <f aca="false">_xlfn.IFNA(INDEX(Cascade!$Y:$Y,MATCH($E18,Cascade!$E:$E,0)),"")</f>
        <v/>
      </c>
      <c r="K18" s="75" t="str">
        <f aca="false">_xlfn.IFNA(ROUND(INDEX(Spectrum!$N:$N,MATCH(RIGHT($B18,13)&amp;"|"&amp;$C18&amp;"|"&amp;$D18&amp;"|"&amp;K$14&amp;"|"&amp;"CY2021Q3",Spectrum!$Q:$Q,0)),0),"")</f>
        <v/>
      </c>
      <c r="L18" s="75" t="str">
        <f aca="false">_xlfn.IFNA(ROUND(INDEX(Spectrum!$N:$N,MATCH(RIGHT($B18,13)&amp;"|"&amp;$C18&amp;"|"&amp;$D18&amp;"|"&amp;L$14&amp;"|"&amp;"CY2021Q3",Spectrum!$Q:$Q,0)),0),"")</f>
        <v/>
      </c>
      <c r="M18" s="75" t="str">
        <f aca="false">_xlfn.IFNA(ROUND(INDEX(Spectrum!$N:$N,MATCH(RIGHT($B18,13)&amp;"|"&amp;$C18&amp;"|"&amp;$D18&amp;"|"&amp;M$14&amp;"|"&amp;"CY2021Q3",Spectrum!$Q:$Q,0)),0),"")</f>
        <v/>
      </c>
      <c r="N18" s="75" t="str">
        <f aca="false">_xlfn.IFNA(ROUND(INDEX(Spectrum!$N:$N,MATCH(RIGHT($B18,13)&amp;"|"&amp;$C18&amp;"|"&amp;$D18&amp;"|"&amp;N$14&amp;"|"&amp;"CY2021Q3",Spectrum!$Q:$Q,0)),0),"")</f>
        <v/>
      </c>
      <c r="O18" s="75" t="str">
        <f aca="false">_xlfn.IFNA(ROUND(INDEX(Spectrum!$N:$N,MATCH(RIGHT($B18,13)&amp;"|"&amp;$C18&amp;"|"&amp;$D18&amp;"|"&amp;O$14&amp;"|"&amp;"CY2021Q3",Spectrum!$Q:$Q,0)),0),"")</f>
        <v/>
      </c>
      <c r="P18" s="75" t="str">
        <f aca="false">_xlfn.IFNA(ROUND(INDEX(Spectrum!$N:$N,MATCH(RIGHT($B18,13)&amp;"|"&amp;$C18&amp;"|"&amp;$D18&amp;"|"&amp;P$14&amp;"|"&amp;"CY2021Q3",Spectrum!$Q:$Q,0)),0),"")</f>
        <v/>
      </c>
      <c r="Q18" s="75" t="str">
        <f aca="false">_xlfn.IFNA(ROUND(INDEX(Spectrum!$N:$N,MATCH(RIGHT($B18,13)&amp;"|"&amp;$C18&amp;"|"&amp;$D18&amp;"|"&amp;Q$14&amp;"|"&amp;"CY2021Q3",Spectrum!$Q:$Q,0)),0),"")</f>
        <v/>
      </c>
      <c r="R18" s="73" t="n">
        <v>45</v>
      </c>
      <c r="S18" s="118" t="n">
        <f aca="false">IF(SUM($R18)&lt;=0,"",0%)</f>
        <v>0</v>
      </c>
      <c r="T18" s="75" t="n">
        <f aca="false">IF(SUM($R18)&lt;=0,"",ROUND(MIN($R18,$K18)*(1+$S18),0))</f>
        <v>45</v>
      </c>
      <c r="U18" s="118" t="n">
        <f aca="false">IF(SUM($K18)=0,IF(SUM($R18)=0,"",1),MIN(SUM($R18)/SUM($K18),1))</f>
        <v>1</v>
      </c>
      <c r="V18" s="118" t="n">
        <f aca="false">$U18</f>
        <v>1</v>
      </c>
      <c r="W18" s="75" t="n">
        <f aca="false">IF(SUM($T18)=0,"",ROUND(SUM($T18)/IF(SUM($V18)=0,1,SUM($V18)),0))</f>
        <v>45</v>
      </c>
      <c r="X18" s="118" t="n">
        <f aca="false">1</f>
        <v>1</v>
      </c>
      <c r="Y18" s="118" t="n">
        <v>18</v>
      </c>
      <c r="Z18" s="118" t="n">
        <f aca="false">IF(OR(SUM($K18)&lt;=0,SUM($L18)&lt;=0),IF(SUM($Y18)&lt;=0,"",$Y18),SUM($L18)/$K18)</f>
        <v>18</v>
      </c>
      <c r="AA18" s="118" t="n">
        <v>7</v>
      </c>
      <c r="AB18" s="118" t="n">
        <f aca="false">IF(OR((SUM($K18)-SUM($L18))&lt;=0,SUM($M18)&lt;=0),IF(SUM($AA18)&lt;=0,"",$AA18),SUM($M18)/($K18-SUM($L18)))</f>
        <v>7</v>
      </c>
      <c r="AC18" s="73" t="n">
        <f aca="false">IF(SUM($T18)&lt;=0,"",ROUND(SUM($T18)*$X18,0))</f>
        <v>45</v>
      </c>
      <c r="AD18" s="75" t="n">
        <f aca="false">IF(SUM($AC18)&lt;=0,"",ROUND($AC18*SUM($Z18),0))</f>
        <v>810</v>
      </c>
      <c r="AE18" s="75" t="n">
        <f aca="false">IF(SUM($T18)&lt;=0,"",ROUND(($AC18-$AD18)*SUM($AB18),0))</f>
        <v>-5355</v>
      </c>
      <c r="AF18" s="75" t="n">
        <f aca="false">IF(SUM($AC18)&lt;=0,"",ROUND($AC18-$AD18-$AE18,0))</f>
        <v>4590</v>
      </c>
      <c r="AG18" s="73" t="n">
        <f aca="false">IF(SUM($W18)&lt;=0,"",ROUND(SUM($W18)*$X18,0))</f>
        <v>45</v>
      </c>
      <c r="AH18" s="75" t="n">
        <f aca="false">IF(SUM($AG18)&lt;=0,"",ROUND($AG18*SUM($Z18),0))</f>
        <v>810</v>
      </c>
      <c r="AI18" s="75" t="n">
        <f aca="false">IF(SUM($W18)&lt;=0,"",ROUND(($AG18-$AH18)*SUM($AB18),0))</f>
        <v>-5355</v>
      </c>
      <c r="AJ18" s="75" t="n">
        <f aca="false">IF(SUM($AG18)&lt;=0,"",ROUND($AG18-$AH18-$AI18,0))</f>
        <v>4590</v>
      </c>
      <c r="AK18" s="118" t="n">
        <f aca="false">_xlfn.IFNA(INDEX(Cascade!$BA:$BA,MATCH($E18,Cascade!$E:$E,0)),"")</f>
        <v>0.95</v>
      </c>
      <c r="AL18" s="75" t="n">
        <f aca="false">IF(SUM($AD18)&lt;=0,"",$AD18)</f>
        <v>810</v>
      </c>
      <c r="AM18" s="75" t="str">
        <f aca="false">IF(SUM($AE18)&lt;=0,"",ROUND($AE18*$AK18,0))</f>
        <v/>
      </c>
      <c r="AN18" s="75" t="n">
        <f aca="false">IF(AND(SUM($AH18)=0,SUM($AI18)=0),"",SUM($AH18)+SUM($AI18))</f>
        <v>-4545</v>
      </c>
      <c r="AO18" s="75" t="n">
        <f aca="false">IF(SUM($AH18)&lt;=0,"",$AH18)</f>
        <v>810</v>
      </c>
      <c r="AP18" s="75" t="str">
        <f aca="false">IF(SUM($AI18)&lt;=0,"",ROUND($AI18*$AK18,0))</f>
        <v/>
      </c>
      <c r="AQ18" s="73" t="str">
        <f aca="false">IF(SUM($T18,$AD18,$AE18)&lt;=0,"",MAX(SUM($T18,-$AD18,-$AE18),$AF18))</f>
        <v/>
      </c>
      <c r="AR18" s="118"/>
      <c r="AS18" s="118" t="str">
        <f aca="false">IF(SUM(AR18)=0,"",$AR18)</f>
        <v/>
      </c>
      <c r="AT18" s="118" t="n">
        <f aca="false">0.95</f>
        <v>0.95</v>
      </c>
      <c r="AU18" s="75" t="str">
        <f aca="false">IF(SUM($AQ18)&lt;=0,"",ROUND(SUM($AQ18)*SUM($AS18),0))</f>
        <v/>
      </c>
      <c r="AV18" s="75" t="str">
        <f aca="false">IF(SUM($AQ18)&lt;=0,"",$AQ18-$AU18)</f>
        <v/>
      </c>
      <c r="AW18" s="73" t="str">
        <f aca="false">IF(SUM($AU18)&lt;=0,"",ROUND($AU18*$AT18,0))</f>
        <v/>
      </c>
      <c r="AX18" s="73" t="str">
        <f aca="false">IF(SUM($AE18,$AD18,$AU18)&lt;=0,"",SUM($AE18,$AD18,$AU18))</f>
        <v/>
      </c>
      <c r="AY18" s="73" t="str">
        <f aca="false">_xlfn.IFNA(INDEX(Cascade!$BD:$BD,MATCH($E18,Cascade!$E:$E,0)),"")</f>
        <v/>
      </c>
      <c r="AZ18" s="118" t="str">
        <f aca="false">IFERROR(IF(SUM($AE18)&lt;=0,"",$AE18/$AY18),"")</f>
        <v/>
      </c>
      <c r="BA18" s="118" t="str">
        <f aca="false">IFERROR(IF(SUM($AU18)&lt;=0,"",$AU18/$AY18),"")</f>
        <v/>
      </c>
      <c r="BB18" s="118" t="str">
        <f aca="false">_xlfn.IFNA(INDEX(Cascade!$BL:$BL,MATCH($E18,Cascade!$E:$E,0)),"")</f>
        <v/>
      </c>
      <c r="BC18" s="118" t="str">
        <f aca="false">_xlfn.IFNA(INDEX(Cascade!$BO:$BO,MATCH($E18,Cascade!$E:$E,0)),"")</f>
        <v/>
      </c>
      <c r="BD18" s="118" t="str">
        <f aca="false">_xlfn.IFNA(INDEX(Cascade!$BR:$BR,MATCH($E18,Cascade!$E:$E,0)),"")</f>
        <v/>
      </c>
    </row>
    <row r="19" customFormat="false" ht="15" hidden="false" customHeight="false" outlineLevel="0" collapsed="false">
      <c r="A19" s="0" t="s">
        <v>140</v>
      </c>
      <c r="B19" s="0" t="s">
        <v>141</v>
      </c>
      <c r="C19" s="0" t="s">
        <v>72</v>
      </c>
      <c r="D19" s="0" t="s">
        <v>56</v>
      </c>
      <c r="E19" s="0" t="str">
        <f aca="false">B19&amp;"|"&amp;C19&amp;"|"&amp;D19</f>
        <v>_Military Lesotho [#Military] [dDOqoFnD5Be]|30-34|Female</v>
      </c>
      <c r="F19" s="73" t="str">
        <f aca="false">_xlfn.IFNA(INDEX(Cascade!$F:$F,MATCH($E19,Cascade!$E:$E,0)),"")</f>
        <v/>
      </c>
      <c r="G19" s="73" t="str">
        <f aca="false">_xlfn.IFNA(INDEX(Cascade!$H:$H,MATCH($E19,Cascade!$E:$E,0)),"")</f>
        <v/>
      </c>
      <c r="H19" s="118" t="str">
        <f aca="false">_xlfn.IFNA(INDEX(Cascade!$J:$J,MATCH($E19,Cascade!$E:$E,0)),"")</f>
        <v/>
      </c>
      <c r="I19" s="73" t="str">
        <f aca="false">_xlfn.IFNA(INDEX(Cascade!$P:$P,MATCH($E19,Cascade!$E:$E,0)),"")</f>
        <v/>
      </c>
      <c r="J19" s="118" t="str">
        <f aca="false">_xlfn.IFNA(INDEX(Cascade!$Y:$Y,MATCH($E19,Cascade!$E:$E,0)),"")</f>
        <v/>
      </c>
      <c r="K19" s="75" t="str">
        <f aca="false">_xlfn.IFNA(ROUND(INDEX(Spectrum!$N:$N,MATCH(RIGHT($B19,13)&amp;"|"&amp;$C19&amp;"|"&amp;$D19&amp;"|"&amp;K$14&amp;"|"&amp;"CY2021Q3",Spectrum!$Q:$Q,0)),0),"")</f>
        <v/>
      </c>
      <c r="L19" s="75" t="str">
        <f aca="false">_xlfn.IFNA(ROUND(INDEX(Spectrum!$N:$N,MATCH(RIGHT($B19,13)&amp;"|"&amp;$C19&amp;"|"&amp;$D19&amp;"|"&amp;L$14&amp;"|"&amp;"CY2021Q3",Spectrum!$Q:$Q,0)),0),"")</f>
        <v/>
      </c>
      <c r="M19" s="75" t="str">
        <f aca="false">_xlfn.IFNA(ROUND(INDEX(Spectrum!$N:$N,MATCH(RIGHT($B19,13)&amp;"|"&amp;$C19&amp;"|"&amp;$D19&amp;"|"&amp;M$14&amp;"|"&amp;"CY2021Q3",Spectrum!$Q:$Q,0)),0),"")</f>
        <v/>
      </c>
      <c r="N19" s="75" t="str">
        <f aca="false">_xlfn.IFNA(ROUND(INDEX(Spectrum!$N:$N,MATCH(RIGHT($B19,13)&amp;"|"&amp;$C19&amp;"|"&amp;$D19&amp;"|"&amp;N$14&amp;"|"&amp;"CY2021Q3",Spectrum!$Q:$Q,0)),0),"")</f>
        <v/>
      </c>
      <c r="O19" s="75" t="str">
        <f aca="false">_xlfn.IFNA(ROUND(INDEX(Spectrum!$N:$N,MATCH(RIGHT($B19,13)&amp;"|"&amp;$C19&amp;"|"&amp;$D19&amp;"|"&amp;O$14&amp;"|"&amp;"CY2021Q3",Spectrum!$Q:$Q,0)),0),"")</f>
        <v/>
      </c>
      <c r="P19" s="75" t="str">
        <f aca="false">_xlfn.IFNA(ROUND(INDEX(Spectrum!$N:$N,MATCH(RIGHT($B19,13)&amp;"|"&amp;$C19&amp;"|"&amp;$D19&amp;"|"&amp;P$14&amp;"|"&amp;"CY2021Q3",Spectrum!$Q:$Q,0)),0),"")</f>
        <v/>
      </c>
      <c r="Q19" s="75" t="str">
        <f aca="false">_xlfn.IFNA(ROUND(INDEX(Spectrum!$N:$N,MATCH(RIGHT($B19,13)&amp;"|"&amp;$C19&amp;"|"&amp;$D19&amp;"|"&amp;Q$14&amp;"|"&amp;"CY2021Q3",Spectrum!$Q:$Q,0)),0),"")</f>
        <v/>
      </c>
      <c r="R19" s="73" t="n">
        <v>22</v>
      </c>
      <c r="S19" s="118" t="n">
        <f aca="false">IF(SUM($R19)&lt;=0,"",0%)</f>
        <v>0</v>
      </c>
      <c r="T19" s="75" t="n">
        <f aca="false">IF(SUM($R19)&lt;=0,"",ROUND(MIN($R19,$K19)*(1+$S19),0))</f>
        <v>22</v>
      </c>
      <c r="U19" s="118" t="n">
        <f aca="false">IF(SUM($K19)=0,IF(SUM($R19)=0,"",1),MIN(SUM($R19)/SUM($K19),1))</f>
        <v>1</v>
      </c>
      <c r="V19" s="118" t="n">
        <f aca="false">$U19</f>
        <v>1</v>
      </c>
      <c r="W19" s="75" t="n">
        <f aca="false">IF(SUM($T19)=0,"",ROUND(SUM($T19)/IF(SUM($V19)=0,1,SUM($V19)),0))</f>
        <v>22</v>
      </c>
      <c r="X19" s="118" t="n">
        <f aca="false">1</f>
        <v>1</v>
      </c>
      <c r="Y19" s="118" t="n">
        <v>32</v>
      </c>
      <c r="Z19" s="118" t="n">
        <f aca="false">IF(OR(SUM($K19)&lt;=0,SUM($L19)&lt;=0),IF(SUM($Y19)&lt;=0,"",$Y19),SUM($L19)/$K19)</f>
        <v>32</v>
      </c>
      <c r="AA19" s="118" t="n">
        <v>41</v>
      </c>
      <c r="AB19" s="118" t="n">
        <f aca="false">IF(OR((SUM($K19)-SUM($L19))&lt;=0,SUM($M19)&lt;=0),IF(SUM($AA19)&lt;=0,"",$AA19),SUM($M19)/($K19-SUM($L19)))</f>
        <v>41</v>
      </c>
      <c r="AC19" s="73" t="n">
        <f aca="false">IF(SUM($T19)&lt;=0,"",ROUND(SUM($T19)*$X19,0))</f>
        <v>22</v>
      </c>
      <c r="AD19" s="75" t="n">
        <f aca="false">IF(SUM($AC19)&lt;=0,"",ROUND($AC19*SUM($Z19),0))</f>
        <v>704</v>
      </c>
      <c r="AE19" s="75" t="n">
        <f aca="false">IF(SUM($T19)&lt;=0,"",ROUND(($AC19-$AD19)*SUM($AB19),0))</f>
        <v>-27962</v>
      </c>
      <c r="AF19" s="75" t="n">
        <f aca="false">IF(SUM($AC19)&lt;=0,"",ROUND($AC19-$AD19-$AE19,0))</f>
        <v>27280</v>
      </c>
      <c r="AG19" s="73" t="n">
        <f aca="false">IF(SUM($W19)&lt;=0,"",ROUND(SUM($W19)*$X19,0))</f>
        <v>22</v>
      </c>
      <c r="AH19" s="75" t="n">
        <f aca="false">IF(SUM($AG19)&lt;=0,"",ROUND($AG19*SUM($Z19),0))</f>
        <v>704</v>
      </c>
      <c r="AI19" s="75" t="n">
        <f aca="false">IF(SUM($W19)&lt;=0,"",ROUND(($AG19-$AH19)*SUM($AB19),0))</f>
        <v>-27962</v>
      </c>
      <c r="AJ19" s="75" t="n">
        <f aca="false">IF(SUM($AG19)&lt;=0,"",ROUND($AG19-$AH19-$AI19,0))</f>
        <v>27280</v>
      </c>
      <c r="AK19" s="118" t="n">
        <f aca="false">_xlfn.IFNA(INDEX(Cascade!$BA:$BA,MATCH($E19,Cascade!$E:$E,0)),"")</f>
        <v>0.95</v>
      </c>
      <c r="AL19" s="75" t="n">
        <f aca="false">IF(SUM($AD19)&lt;=0,"",$AD19)</f>
        <v>704</v>
      </c>
      <c r="AM19" s="75" t="str">
        <f aca="false">IF(SUM($AE19)&lt;=0,"",ROUND($AE19*$AK19,0))</f>
        <v/>
      </c>
      <c r="AN19" s="75" t="n">
        <f aca="false">IF(AND(SUM($AH19)=0,SUM($AI19)=0),"",SUM($AH19)+SUM($AI19))</f>
        <v>-27258</v>
      </c>
      <c r="AO19" s="75" t="n">
        <f aca="false">IF(SUM($AH19)&lt;=0,"",$AH19)</f>
        <v>704</v>
      </c>
      <c r="AP19" s="75" t="str">
        <f aca="false">IF(SUM($AI19)&lt;=0,"",ROUND($AI19*$AK19,0))</f>
        <v/>
      </c>
      <c r="AQ19" s="73" t="str">
        <f aca="false">IF(SUM($T19,$AD19,$AE19)&lt;=0,"",MAX(SUM($T19,-$AD19,-$AE19),$AF19))</f>
        <v/>
      </c>
      <c r="AR19" s="118"/>
      <c r="AS19" s="118" t="str">
        <f aca="false">IF(SUM(AR19)=0,"",$AR19)</f>
        <v/>
      </c>
      <c r="AT19" s="118" t="n">
        <f aca="false">0.95</f>
        <v>0.95</v>
      </c>
      <c r="AU19" s="75" t="str">
        <f aca="false">IF(SUM($AQ19)&lt;=0,"",ROUND(SUM($AQ19)*SUM($AS19),0))</f>
        <v/>
      </c>
      <c r="AV19" s="75" t="str">
        <f aca="false">IF(SUM($AQ19)&lt;=0,"",$AQ19-$AU19)</f>
        <v/>
      </c>
      <c r="AW19" s="73" t="str">
        <f aca="false">IF(SUM($AU19)&lt;=0,"",ROUND($AU19*$AT19,0))</f>
        <v/>
      </c>
      <c r="AX19" s="73" t="str">
        <f aca="false">IF(SUM($AE19,$AD19,$AU19)&lt;=0,"",SUM($AE19,$AD19,$AU19))</f>
        <v/>
      </c>
      <c r="AY19" s="73" t="str">
        <f aca="false">_xlfn.IFNA(INDEX(Cascade!$BD:$BD,MATCH($E19,Cascade!$E:$E,0)),"")</f>
        <v/>
      </c>
      <c r="AZ19" s="118" t="str">
        <f aca="false">IFERROR(IF(SUM($AE19)&lt;=0,"",$AE19/$AY19),"")</f>
        <v/>
      </c>
      <c r="BA19" s="118" t="str">
        <f aca="false">IFERROR(IF(SUM($AU19)&lt;=0,"",$AU19/$AY19),"")</f>
        <v/>
      </c>
      <c r="BB19" s="118" t="str">
        <f aca="false">_xlfn.IFNA(INDEX(Cascade!$BL:$BL,MATCH($E19,Cascade!$E:$E,0)),"")</f>
        <v/>
      </c>
      <c r="BC19" s="118" t="str">
        <f aca="false">_xlfn.IFNA(INDEX(Cascade!$BO:$BO,MATCH($E19,Cascade!$E:$E,0)),"")</f>
        <v/>
      </c>
      <c r="BD19" s="118" t="str">
        <f aca="false">_xlfn.IFNA(INDEX(Cascade!$BR:$BR,MATCH($E19,Cascade!$E:$E,0)),"")</f>
        <v/>
      </c>
    </row>
    <row r="20" customFormat="false" ht="15" hidden="false" customHeight="false" outlineLevel="0" collapsed="false">
      <c r="A20" s="0" t="s">
        <v>140</v>
      </c>
      <c r="B20" s="0" t="s">
        <v>141</v>
      </c>
      <c r="C20" s="0" t="s">
        <v>75</v>
      </c>
      <c r="D20" s="0" t="s">
        <v>56</v>
      </c>
      <c r="E20" s="0" t="str">
        <f aca="false">B20&amp;"|"&amp;C20&amp;"|"&amp;D20</f>
        <v>_Military Lesotho [#Military] [dDOqoFnD5Be]|35-39|Female</v>
      </c>
      <c r="F20" s="73" t="str">
        <f aca="false">_xlfn.IFNA(INDEX(Cascade!$F:$F,MATCH($E20,Cascade!$E:$E,0)),"")</f>
        <v/>
      </c>
      <c r="G20" s="73" t="str">
        <f aca="false">_xlfn.IFNA(INDEX(Cascade!$H:$H,MATCH($E20,Cascade!$E:$E,0)),"")</f>
        <v/>
      </c>
      <c r="H20" s="118" t="str">
        <f aca="false">_xlfn.IFNA(INDEX(Cascade!$J:$J,MATCH($E20,Cascade!$E:$E,0)),"")</f>
        <v/>
      </c>
      <c r="I20" s="73" t="str">
        <f aca="false">_xlfn.IFNA(INDEX(Cascade!$P:$P,MATCH($E20,Cascade!$E:$E,0)),"")</f>
        <v/>
      </c>
      <c r="J20" s="118" t="str">
        <f aca="false">_xlfn.IFNA(INDEX(Cascade!$Y:$Y,MATCH($E20,Cascade!$E:$E,0)),"")</f>
        <v/>
      </c>
      <c r="K20" s="75" t="str">
        <f aca="false">_xlfn.IFNA(ROUND(INDEX(Spectrum!$N:$N,MATCH(RIGHT($B20,13)&amp;"|"&amp;$C20&amp;"|"&amp;$D20&amp;"|"&amp;K$14&amp;"|"&amp;"CY2021Q3",Spectrum!$Q:$Q,0)),0),"")</f>
        <v/>
      </c>
      <c r="L20" s="75" t="str">
        <f aca="false">_xlfn.IFNA(ROUND(INDEX(Spectrum!$N:$N,MATCH(RIGHT($B20,13)&amp;"|"&amp;$C20&amp;"|"&amp;$D20&amp;"|"&amp;L$14&amp;"|"&amp;"CY2021Q3",Spectrum!$Q:$Q,0)),0),"")</f>
        <v/>
      </c>
      <c r="M20" s="75" t="str">
        <f aca="false">_xlfn.IFNA(ROUND(INDEX(Spectrum!$N:$N,MATCH(RIGHT($B20,13)&amp;"|"&amp;$C20&amp;"|"&amp;$D20&amp;"|"&amp;M$14&amp;"|"&amp;"CY2021Q3",Spectrum!$Q:$Q,0)),0),"")</f>
        <v/>
      </c>
      <c r="N20" s="75" t="str">
        <f aca="false">_xlfn.IFNA(ROUND(INDEX(Spectrum!$N:$N,MATCH(RIGHT($B20,13)&amp;"|"&amp;$C20&amp;"|"&amp;$D20&amp;"|"&amp;N$14&amp;"|"&amp;"CY2021Q3",Spectrum!$Q:$Q,0)),0),"")</f>
        <v/>
      </c>
      <c r="O20" s="75" t="str">
        <f aca="false">_xlfn.IFNA(ROUND(INDEX(Spectrum!$N:$N,MATCH(RIGHT($B20,13)&amp;"|"&amp;$C20&amp;"|"&amp;$D20&amp;"|"&amp;O$14&amp;"|"&amp;"CY2021Q3",Spectrum!$Q:$Q,0)),0),"")</f>
        <v/>
      </c>
      <c r="P20" s="75" t="str">
        <f aca="false">_xlfn.IFNA(ROUND(INDEX(Spectrum!$N:$N,MATCH(RIGHT($B20,13)&amp;"|"&amp;$C20&amp;"|"&amp;$D20&amp;"|"&amp;P$14&amp;"|"&amp;"CY2021Q3",Spectrum!$Q:$Q,0)),0),"")</f>
        <v/>
      </c>
      <c r="Q20" s="75" t="str">
        <f aca="false">_xlfn.IFNA(ROUND(INDEX(Spectrum!$N:$N,MATCH(RIGHT($B20,13)&amp;"|"&amp;$C20&amp;"|"&amp;$D20&amp;"|"&amp;Q$14&amp;"|"&amp;"CY2021Q3",Spectrum!$Q:$Q,0)),0),"")</f>
        <v/>
      </c>
      <c r="R20" s="73" t="n">
        <v>24</v>
      </c>
      <c r="S20" s="118" t="n">
        <f aca="false">IF(SUM($R20)&lt;=0,"",0%)</f>
        <v>0</v>
      </c>
      <c r="T20" s="75" t="n">
        <f aca="false">IF(SUM($R20)&lt;=0,"",ROUND(MIN($R20,$K20)*(1+$S20),0))</f>
        <v>24</v>
      </c>
      <c r="U20" s="118" t="n">
        <f aca="false">IF(SUM($K20)=0,IF(SUM($R20)=0,"",1),MIN(SUM($R20)/SUM($K20),1))</f>
        <v>1</v>
      </c>
      <c r="V20" s="118" t="n">
        <f aca="false">$U20</f>
        <v>1</v>
      </c>
      <c r="W20" s="75" t="n">
        <f aca="false">IF(SUM($T20)=0,"",ROUND(SUM($T20)/IF(SUM($V20)=0,1,SUM($V20)),0))</f>
        <v>24</v>
      </c>
      <c r="X20" s="118" t="n">
        <f aca="false">1</f>
        <v>1</v>
      </c>
      <c r="Y20" s="118" t="n">
        <v>29</v>
      </c>
      <c r="Z20" s="118" t="n">
        <f aca="false">IF(OR(SUM($K20)&lt;=0,SUM($L20)&lt;=0),IF(SUM($Y20)&lt;=0,"",$Y20),SUM($L20)/$K20)</f>
        <v>29</v>
      </c>
      <c r="AA20" s="118"/>
      <c r="AB20" s="118" t="str">
        <f aca="false">IF(OR((SUM($K20)-SUM($L20))&lt;=0,SUM($M20)&lt;=0),IF(SUM($AA20)&lt;=0,"",$AA20),SUM($M20)/($K20-SUM($L20)))</f>
        <v/>
      </c>
      <c r="AC20" s="73" t="n">
        <f aca="false">IF(SUM($T20)&lt;=0,"",ROUND(SUM($T20)*$X20,0))</f>
        <v>24</v>
      </c>
      <c r="AD20" s="75" t="n">
        <f aca="false">IF(SUM($AC20)&lt;=0,"",ROUND($AC20*SUM($Z20),0))</f>
        <v>696</v>
      </c>
      <c r="AE20" s="75" t="n">
        <f aca="false">IF(SUM($T20)&lt;=0,"",ROUND(($AC20-$AD20)*SUM($AB20),0))</f>
        <v>-0</v>
      </c>
      <c r="AF20" s="75" t="n">
        <f aca="false">IF(SUM($AC20)&lt;=0,"",ROUND($AC20-$AD20-$AE20,0))</f>
        <v>-672</v>
      </c>
      <c r="AG20" s="73" t="n">
        <f aca="false">IF(SUM($W20)&lt;=0,"",ROUND(SUM($W20)*$X20,0))</f>
        <v>24</v>
      </c>
      <c r="AH20" s="75" t="n">
        <f aca="false">IF(SUM($AG20)&lt;=0,"",ROUND($AG20*SUM($Z20),0))</f>
        <v>696</v>
      </c>
      <c r="AI20" s="75" t="n">
        <f aca="false">IF(SUM($W20)&lt;=0,"",ROUND(($AG20-$AH20)*SUM($AB20),0))</f>
        <v>-0</v>
      </c>
      <c r="AJ20" s="75" t="n">
        <f aca="false">IF(SUM($AG20)&lt;=0,"",ROUND($AG20-$AH20-$AI20,0))</f>
        <v>-672</v>
      </c>
      <c r="AK20" s="118" t="n">
        <f aca="false">_xlfn.IFNA(INDEX(Cascade!$BA:$BA,MATCH($E20,Cascade!$E:$E,0)),"")</f>
        <v>0.95</v>
      </c>
      <c r="AL20" s="75" t="n">
        <f aca="false">IF(SUM($AD20)&lt;=0,"",$AD20)</f>
        <v>696</v>
      </c>
      <c r="AM20" s="75" t="str">
        <f aca="false">IF(SUM($AE20)&lt;=0,"",ROUND($AE20*$AK20,0))</f>
        <v/>
      </c>
      <c r="AN20" s="75" t="n">
        <f aca="false">IF(AND(SUM($AH20)=0,SUM($AI20)=0),"",SUM($AH20)+SUM($AI20))</f>
        <v>696</v>
      </c>
      <c r="AO20" s="75" t="n">
        <f aca="false">IF(SUM($AH20)&lt;=0,"",$AH20)</f>
        <v>696</v>
      </c>
      <c r="AP20" s="75" t="str">
        <f aca="false">IF(SUM($AI20)&lt;=0,"",ROUND($AI20*$AK20,0))</f>
        <v/>
      </c>
      <c r="AQ20" s="73" t="n">
        <f aca="false">IF(SUM($T20,$AD20,$AE20)&lt;=0,"",MAX(SUM($T20,-$AD20,-$AE20),$AF20))</f>
        <v>-672</v>
      </c>
      <c r="AR20" s="118"/>
      <c r="AS20" s="118" t="str">
        <f aca="false">IF(SUM(AR20)=0,"",$AR20)</f>
        <v/>
      </c>
      <c r="AT20" s="118" t="n">
        <f aca="false">0.95</f>
        <v>0.95</v>
      </c>
      <c r="AU20" s="75" t="str">
        <f aca="false">IF(SUM($AQ20)&lt;=0,"",ROUND(SUM($AQ20)*SUM($AS20),0))</f>
        <v/>
      </c>
      <c r="AV20" s="75" t="str">
        <f aca="false">IF(SUM($AQ20)&lt;=0,"",$AQ20-$AU20)</f>
        <v/>
      </c>
      <c r="AW20" s="73" t="str">
        <f aca="false">IF(SUM($AU20)&lt;=0,"",ROUND($AU20*$AT20,0))</f>
        <v/>
      </c>
      <c r="AX20" s="73" t="n">
        <f aca="false">IF(SUM($AE20,$AD20,$AU20)&lt;=0,"",SUM($AE20,$AD20,$AU20))</f>
        <v>696</v>
      </c>
      <c r="AY20" s="73" t="str">
        <f aca="false">_xlfn.IFNA(INDEX(Cascade!$BD:$BD,MATCH($E20,Cascade!$E:$E,0)),"")</f>
        <v/>
      </c>
      <c r="AZ20" s="118" t="str">
        <f aca="false">IFERROR(IF(SUM($AE20)&lt;=0,"",$AE20/$AY20),"")</f>
        <v/>
      </c>
      <c r="BA20" s="118" t="str">
        <f aca="false">IFERROR(IF(SUM($AU20)&lt;=0,"",$AU20/$AY20),"")</f>
        <v/>
      </c>
      <c r="BB20" s="118" t="str">
        <f aca="false">_xlfn.IFNA(INDEX(Cascade!$BL:$BL,MATCH($E20,Cascade!$E:$E,0)),"")</f>
        <v/>
      </c>
      <c r="BC20" s="118" t="str">
        <f aca="false">_xlfn.IFNA(INDEX(Cascade!$BO:$BO,MATCH($E20,Cascade!$E:$E,0)),"")</f>
        <v/>
      </c>
      <c r="BD20" s="118" t="str">
        <f aca="false">_xlfn.IFNA(INDEX(Cascade!$BR:$BR,MATCH($E20,Cascade!$E:$E,0)),"")</f>
        <v/>
      </c>
    </row>
    <row r="21" customFormat="false" ht="15" hidden="false" customHeight="false" outlineLevel="0" collapsed="false">
      <c r="A21" s="0" t="s">
        <v>140</v>
      </c>
      <c r="B21" s="0" t="s">
        <v>141</v>
      </c>
      <c r="C21" s="0" t="s">
        <v>77</v>
      </c>
      <c r="D21" s="0" t="s">
        <v>56</v>
      </c>
      <c r="E21" s="0" t="str">
        <f aca="false">B21&amp;"|"&amp;C21&amp;"|"&amp;D21</f>
        <v>_Military Lesotho [#Military] [dDOqoFnD5Be]|40-44|Female</v>
      </c>
      <c r="F21" s="73" t="str">
        <f aca="false">_xlfn.IFNA(INDEX(Cascade!$F:$F,MATCH($E21,Cascade!$E:$E,0)),"")</f>
        <v/>
      </c>
      <c r="G21" s="73" t="str">
        <f aca="false">_xlfn.IFNA(INDEX(Cascade!$H:$H,MATCH($E21,Cascade!$E:$E,0)),"")</f>
        <v/>
      </c>
      <c r="H21" s="118" t="str">
        <f aca="false">_xlfn.IFNA(INDEX(Cascade!$J:$J,MATCH($E21,Cascade!$E:$E,0)),"")</f>
        <v/>
      </c>
      <c r="I21" s="73" t="str">
        <f aca="false">_xlfn.IFNA(INDEX(Cascade!$P:$P,MATCH($E21,Cascade!$E:$E,0)),"")</f>
        <v/>
      </c>
      <c r="J21" s="118" t="str">
        <f aca="false">_xlfn.IFNA(INDEX(Cascade!$Y:$Y,MATCH($E21,Cascade!$E:$E,0)),"")</f>
        <v/>
      </c>
      <c r="K21" s="75" t="str">
        <f aca="false">_xlfn.IFNA(ROUND(INDEX(Spectrum!$N:$N,MATCH(RIGHT($B21,13)&amp;"|"&amp;$C21&amp;"|"&amp;$D21&amp;"|"&amp;K$14&amp;"|"&amp;"CY2021Q3",Spectrum!$Q:$Q,0)),0),"")</f>
        <v/>
      </c>
      <c r="L21" s="75" t="str">
        <f aca="false">_xlfn.IFNA(ROUND(INDEX(Spectrum!$N:$N,MATCH(RIGHT($B21,13)&amp;"|"&amp;$C21&amp;"|"&amp;$D21&amp;"|"&amp;L$14&amp;"|"&amp;"CY2021Q3",Spectrum!$Q:$Q,0)),0),"")</f>
        <v/>
      </c>
      <c r="M21" s="75" t="str">
        <f aca="false">_xlfn.IFNA(ROUND(INDEX(Spectrum!$N:$N,MATCH(RIGHT($B21,13)&amp;"|"&amp;$C21&amp;"|"&amp;$D21&amp;"|"&amp;M$14&amp;"|"&amp;"CY2021Q3",Spectrum!$Q:$Q,0)),0),"")</f>
        <v/>
      </c>
      <c r="N21" s="75" t="str">
        <f aca="false">_xlfn.IFNA(ROUND(INDEX(Spectrum!$N:$N,MATCH(RIGHT($B21,13)&amp;"|"&amp;$C21&amp;"|"&amp;$D21&amp;"|"&amp;N$14&amp;"|"&amp;"CY2021Q3",Spectrum!$Q:$Q,0)),0),"")</f>
        <v/>
      </c>
      <c r="O21" s="75" t="str">
        <f aca="false">_xlfn.IFNA(ROUND(INDEX(Spectrum!$N:$N,MATCH(RIGHT($B21,13)&amp;"|"&amp;$C21&amp;"|"&amp;$D21&amp;"|"&amp;O$14&amp;"|"&amp;"CY2021Q3",Spectrum!$Q:$Q,0)),0),"")</f>
        <v/>
      </c>
      <c r="P21" s="75" t="str">
        <f aca="false">_xlfn.IFNA(ROUND(INDEX(Spectrum!$N:$N,MATCH(RIGHT($B21,13)&amp;"|"&amp;$C21&amp;"|"&amp;$D21&amp;"|"&amp;P$14&amp;"|"&amp;"CY2021Q3",Spectrum!$Q:$Q,0)),0),"")</f>
        <v/>
      </c>
      <c r="Q21" s="75" t="str">
        <f aca="false">_xlfn.IFNA(ROUND(INDEX(Spectrum!$N:$N,MATCH(RIGHT($B21,13)&amp;"|"&amp;$C21&amp;"|"&amp;$D21&amp;"|"&amp;Q$14&amp;"|"&amp;"CY2021Q3",Spectrum!$Q:$Q,0)),0),"")</f>
        <v/>
      </c>
      <c r="R21" s="73"/>
      <c r="S21" s="118" t="str">
        <f aca="false">IF(SUM($R21)&lt;=0,"",0%)</f>
        <v/>
      </c>
      <c r="T21" s="75" t="str">
        <f aca="false">IF(SUM($R21)&lt;=0,"",ROUND(MIN($R21,$K21)*(1+$S21),0))</f>
        <v/>
      </c>
      <c r="U21" s="118" t="str">
        <f aca="false">IF(SUM($K21)=0,IF(SUM($R21)=0,"",1),MIN(SUM($R21)/SUM($K21),1))</f>
        <v/>
      </c>
      <c r="V21" s="118" t="str">
        <f aca="false">$U21</f>
        <v/>
      </c>
      <c r="W21" s="75" t="str">
        <f aca="false">IF(SUM($T21)=0,"",ROUND(SUM($T21)/IF(SUM($V21)=0,1,SUM($V21)),0))</f>
        <v/>
      </c>
      <c r="X21" s="118" t="n">
        <f aca="false">1</f>
        <v>1</v>
      </c>
      <c r="Y21" s="118"/>
      <c r="Z21" s="118" t="str">
        <f aca="false">IF(OR(SUM($K21)&lt;=0,SUM($L21)&lt;=0),IF(SUM($Y21)&lt;=0,"",$Y21),SUM($L21)/$K21)</f>
        <v/>
      </c>
      <c r="AA21" s="118"/>
      <c r="AB21" s="118" t="str">
        <f aca="false">IF(OR((SUM($K21)-SUM($L21))&lt;=0,SUM($M21)&lt;=0),IF(SUM($AA21)&lt;=0,"",$AA21),SUM($M21)/($K21-SUM($L21)))</f>
        <v/>
      </c>
      <c r="AC21" s="73" t="str">
        <f aca="false">IF(SUM($T21)&lt;=0,"",ROUND(SUM($T21)*$X21,0))</f>
        <v/>
      </c>
      <c r="AD21" s="75" t="str">
        <f aca="false">IF(SUM($AC21)&lt;=0,"",ROUND($AC21*SUM($Z21),0))</f>
        <v/>
      </c>
      <c r="AE21" s="75" t="str">
        <f aca="false">IF(SUM($T21)&lt;=0,"",ROUND(($AC21-$AD21)*SUM($AB21),0))</f>
        <v/>
      </c>
      <c r="AF21" s="75" t="str">
        <f aca="false">IF(SUM($AC21)&lt;=0,"",ROUND($AC21-$AD21-$AE21,0))</f>
        <v/>
      </c>
      <c r="AG21" s="73" t="str">
        <f aca="false">IF(SUM($W21)&lt;=0,"",ROUND(SUM($W21)*$X21,0))</f>
        <v/>
      </c>
      <c r="AH21" s="75" t="str">
        <f aca="false">IF(SUM($AG21)&lt;=0,"",ROUND($AG21*SUM($Z21),0))</f>
        <v/>
      </c>
      <c r="AI21" s="75" t="str">
        <f aca="false">IF(SUM($W21)&lt;=0,"",ROUND(($AG21-$AH21)*SUM($AB21),0))</f>
        <v/>
      </c>
      <c r="AJ21" s="75" t="str">
        <f aca="false">IF(SUM($AG21)&lt;=0,"",ROUND($AG21-$AH21-$AI21,0))</f>
        <v/>
      </c>
      <c r="AK21" s="118" t="n">
        <f aca="false">_xlfn.IFNA(INDEX(Cascade!$BA:$BA,MATCH($E21,Cascade!$E:$E,0)),"")</f>
        <v>0.95</v>
      </c>
      <c r="AL21" s="75" t="str">
        <f aca="false">IF(SUM($AD21)&lt;=0,"",$AD21)</f>
        <v/>
      </c>
      <c r="AM21" s="75" t="str">
        <f aca="false">IF(SUM($AE21)&lt;=0,"",ROUND($AE21*$AK21,0))</f>
        <v/>
      </c>
      <c r="AN21" s="75" t="str">
        <f aca="false">IF(AND(SUM($AH21)=0,SUM($AI21)=0),"",SUM($AH21)+SUM($AI21))</f>
        <v/>
      </c>
      <c r="AO21" s="75" t="str">
        <f aca="false">IF(SUM($AH21)&lt;=0,"",$AH21)</f>
        <v/>
      </c>
      <c r="AP21" s="75" t="str">
        <f aca="false">IF(SUM($AI21)&lt;=0,"",ROUND($AI21*$AK21,0))</f>
        <v/>
      </c>
      <c r="AQ21" s="73" t="str">
        <f aca="false">IF(SUM($T21,$AD21,$AE21)&lt;=0,"",MAX(SUM($T21,-$AD21,-$AE21),$AF21))</f>
        <v/>
      </c>
      <c r="AR21" s="118"/>
      <c r="AS21" s="118" t="str">
        <f aca="false">IF(SUM(AR21)=0,"",$AR21)</f>
        <v/>
      </c>
      <c r="AT21" s="118" t="n">
        <f aca="false">0.95</f>
        <v>0.95</v>
      </c>
      <c r="AU21" s="75" t="str">
        <f aca="false">IF(SUM($AQ21)&lt;=0,"",ROUND(SUM($AQ21)*SUM($AS21),0))</f>
        <v/>
      </c>
      <c r="AV21" s="75" t="str">
        <f aca="false">IF(SUM($AQ21)&lt;=0,"",$AQ21-$AU21)</f>
        <v/>
      </c>
      <c r="AW21" s="73" t="str">
        <f aca="false">IF(SUM($AU21)&lt;=0,"",ROUND($AU21*$AT21,0))</f>
        <v/>
      </c>
      <c r="AX21" s="73" t="str">
        <f aca="false">IF(SUM($AE21,$AD21,$AU21)&lt;=0,"",SUM($AE21,$AD21,$AU21))</f>
        <v/>
      </c>
      <c r="AY21" s="73" t="str">
        <f aca="false">_xlfn.IFNA(INDEX(Cascade!$BD:$BD,MATCH($E21,Cascade!$E:$E,0)),"")</f>
        <v/>
      </c>
      <c r="AZ21" s="118" t="str">
        <f aca="false">IFERROR(IF(SUM($AE21)&lt;=0,"",$AE21/$AY21),"")</f>
        <v/>
      </c>
      <c r="BA21" s="118" t="str">
        <f aca="false">IFERROR(IF(SUM($AU21)&lt;=0,"",$AU21/$AY21),"")</f>
        <v/>
      </c>
      <c r="BB21" s="118" t="str">
        <f aca="false">_xlfn.IFNA(INDEX(Cascade!$BL:$BL,MATCH($E21,Cascade!$E:$E,0)),"")</f>
        <v/>
      </c>
      <c r="BC21" s="118" t="str">
        <f aca="false">_xlfn.IFNA(INDEX(Cascade!$BO:$BO,MATCH($E21,Cascade!$E:$E,0)),"")</f>
        <v/>
      </c>
      <c r="BD21" s="118" t="str">
        <f aca="false">_xlfn.IFNA(INDEX(Cascade!$BR:$BR,MATCH($E21,Cascade!$E:$E,0)),"")</f>
        <v/>
      </c>
    </row>
    <row r="22" customFormat="false" ht="15" hidden="false" customHeight="false" outlineLevel="0" collapsed="false">
      <c r="A22" s="0" t="s">
        <v>140</v>
      </c>
      <c r="B22" s="0" t="s">
        <v>141</v>
      </c>
      <c r="C22" s="0" t="s">
        <v>80</v>
      </c>
      <c r="D22" s="0" t="s">
        <v>56</v>
      </c>
      <c r="E22" s="0" t="str">
        <f aca="false">B22&amp;"|"&amp;C22&amp;"|"&amp;D22</f>
        <v>_Military Lesotho [#Military] [dDOqoFnD5Be]|45-49|Female</v>
      </c>
      <c r="F22" s="73" t="str">
        <f aca="false">_xlfn.IFNA(INDEX(Cascade!$F:$F,MATCH($E22,Cascade!$E:$E,0)),"")</f>
        <v/>
      </c>
      <c r="G22" s="73" t="str">
        <f aca="false">_xlfn.IFNA(INDEX(Cascade!$H:$H,MATCH($E22,Cascade!$E:$E,0)),"")</f>
        <v/>
      </c>
      <c r="H22" s="118" t="str">
        <f aca="false">_xlfn.IFNA(INDEX(Cascade!$J:$J,MATCH($E22,Cascade!$E:$E,0)),"")</f>
        <v/>
      </c>
      <c r="I22" s="73" t="str">
        <f aca="false">_xlfn.IFNA(INDEX(Cascade!$P:$P,MATCH($E22,Cascade!$E:$E,0)),"")</f>
        <v/>
      </c>
      <c r="J22" s="118" t="str">
        <f aca="false">_xlfn.IFNA(INDEX(Cascade!$Y:$Y,MATCH($E22,Cascade!$E:$E,0)),"")</f>
        <v/>
      </c>
      <c r="K22" s="75" t="str">
        <f aca="false">_xlfn.IFNA(ROUND(INDEX(Spectrum!$N:$N,MATCH(RIGHT($B22,13)&amp;"|"&amp;$C22&amp;"|"&amp;$D22&amp;"|"&amp;K$14&amp;"|"&amp;"CY2021Q3",Spectrum!$Q:$Q,0)),0),"")</f>
        <v/>
      </c>
      <c r="L22" s="75" t="str">
        <f aca="false">_xlfn.IFNA(ROUND(INDEX(Spectrum!$N:$N,MATCH(RIGHT($B22,13)&amp;"|"&amp;$C22&amp;"|"&amp;$D22&amp;"|"&amp;L$14&amp;"|"&amp;"CY2021Q3",Spectrum!$Q:$Q,0)),0),"")</f>
        <v/>
      </c>
      <c r="M22" s="75" t="str">
        <f aca="false">_xlfn.IFNA(ROUND(INDEX(Spectrum!$N:$N,MATCH(RIGHT($B22,13)&amp;"|"&amp;$C22&amp;"|"&amp;$D22&amp;"|"&amp;M$14&amp;"|"&amp;"CY2021Q3",Spectrum!$Q:$Q,0)),0),"")</f>
        <v/>
      </c>
      <c r="N22" s="75" t="str">
        <f aca="false">_xlfn.IFNA(ROUND(INDEX(Spectrum!$N:$N,MATCH(RIGHT($B22,13)&amp;"|"&amp;$C22&amp;"|"&amp;$D22&amp;"|"&amp;N$14&amp;"|"&amp;"CY2021Q3",Spectrum!$Q:$Q,0)),0),"")</f>
        <v/>
      </c>
      <c r="O22" s="75" t="str">
        <f aca="false">_xlfn.IFNA(ROUND(INDEX(Spectrum!$N:$N,MATCH(RIGHT($B22,13)&amp;"|"&amp;$C22&amp;"|"&amp;$D22&amp;"|"&amp;O$14&amp;"|"&amp;"CY2021Q3",Spectrum!$Q:$Q,0)),0),"")</f>
        <v/>
      </c>
      <c r="P22" s="75" t="str">
        <f aca="false">_xlfn.IFNA(ROUND(INDEX(Spectrum!$N:$N,MATCH(RIGHT($B22,13)&amp;"|"&amp;$C22&amp;"|"&amp;$D22&amp;"|"&amp;P$14&amp;"|"&amp;"CY2021Q3",Spectrum!$Q:$Q,0)),0),"")</f>
        <v/>
      </c>
      <c r="Q22" s="75" t="str">
        <f aca="false">_xlfn.IFNA(ROUND(INDEX(Spectrum!$N:$N,MATCH(RIGHT($B22,13)&amp;"|"&amp;$C22&amp;"|"&amp;$D22&amp;"|"&amp;Q$14&amp;"|"&amp;"CY2021Q3",Spectrum!$Q:$Q,0)),0),"")</f>
        <v/>
      </c>
      <c r="R22" s="73"/>
      <c r="S22" s="118" t="str">
        <f aca="false">IF(SUM($R22)&lt;=0,"",0%)</f>
        <v/>
      </c>
      <c r="T22" s="75" t="str">
        <f aca="false">IF(SUM($R22)&lt;=0,"",ROUND(MIN($R22,$K22)*(1+$S22),0))</f>
        <v/>
      </c>
      <c r="U22" s="118" t="str">
        <f aca="false">IF(SUM($K22)=0,IF(SUM($R22)=0,"",1),MIN(SUM($R22)/SUM($K22),1))</f>
        <v/>
      </c>
      <c r="V22" s="118" t="str">
        <f aca="false">$U22</f>
        <v/>
      </c>
      <c r="W22" s="75" t="str">
        <f aca="false">IF(SUM($T22)=0,"",ROUND(SUM($T22)/IF(SUM($V22)=0,1,SUM($V22)),0))</f>
        <v/>
      </c>
      <c r="X22" s="118" t="n">
        <f aca="false">1</f>
        <v>1</v>
      </c>
      <c r="Y22" s="118"/>
      <c r="Z22" s="118" t="str">
        <f aca="false">IF(OR(SUM($K22)&lt;=0,SUM($L22)&lt;=0),IF(SUM($Y22)&lt;=0,"",$Y22),SUM($L22)/$K22)</f>
        <v/>
      </c>
      <c r="AA22" s="118"/>
      <c r="AB22" s="118" t="str">
        <f aca="false">IF(OR((SUM($K22)-SUM($L22))&lt;=0,SUM($M22)&lt;=0),IF(SUM($AA22)&lt;=0,"",$AA22),SUM($M22)/($K22-SUM($L22)))</f>
        <v/>
      </c>
      <c r="AC22" s="73" t="str">
        <f aca="false">IF(SUM($T22)&lt;=0,"",ROUND(SUM($T22)*$X22,0))</f>
        <v/>
      </c>
      <c r="AD22" s="75" t="str">
        <f aca="false">IF(SUM($AC22)&lt;=0,"",ROUND($AC22*SUM($Z22),0))</f>
        <v/>
      </c>
      <c r="AE22" s="75" t="str">
        <f aca="false">IF(SUM($T22)&lt;=0,"",ROUND(($AC22-$AD22)*SUM($AB22),0))</f>
        <v/>
      </c>
      <c r="AF22" s="75" t="str">
        <f aca="false">IF(SUM($AC22)&lt;=0,"",ROUND($AC22-$AD22-$AE22,0))</f>
        <v/>
      </c>
      <c r="AG22" s="73" t="str">
        <f aca="false">IF(SUM($W22)&lt;=0,"",ROUND(SUM($W22)*$X22,0))</f>
        <v/>
      </c>
      <c r="AH22" s="75" t="str">
        <f aca="false">IF(SUM($AG22)&lt;=0,"",ROUND($AG22*SUM($Z22),0))</f>
        <v/>
      </c>
      <c r="AI22" s="75" t="str">
        <f aca="false">IF(SUM($W22)&lt;=0,"",ROUND(($AG22-$AH22)*SUM($AB22),0))</f>
        <v/>
      </c>
      <c r="AJ22" s="75" t="str">
        <f aca="false">IF(SUM($AG22)&lt;=0,"",ROUND($AG22-$AH22-$AI22,0))</f>
        <v/>
      </c>
      <c r="AK22" s="118" t="n">
        <f aca="false">_xlfn.IFNA(INDEX(Cascade!$BA:$BA,MATCH($E22,Cascade!$E:$E,0)),"")</f>
        <v>0.95</v>
      </c>
      <c r="AL22" s="75" t="str">
        <f aca="false">IF(SUM($AD22)&lt;=0,"",$AD22)</f>
        <v/>
      </c>
      <c r="AM22" s="75" t="str">
        <f aca="false">IF(SUM($AE22)&lt;=0,"",ROUND($AE22*$AK22,0))</f>
        <v/>
      </c>
      <c r="AN22" s="75" t="str">
        <f aca="false">IF(AND(SUM($AH22)=0,SUM($AI22)=0),"",SUM($AH22)+SUM($AI22))</f>
        <v/>
      </c>
      <c r="AO22" s="75" t="str">
        <f aca="false">IF(SUM($AH22)&lt;=0,"",$AH22)</f>
        <v/>
      </c>
      <c r="AP22" s="75" t="str">
        <f aca="false">IF(SUM($AI22)&lt;=0,"",ROUND($AI22*$AK22,0))</f>
        <v/>
      </c>
      <c r="AQ22" s="73" t="str">
        <f aca="false">IF(SUM($T22,$AD22,$AE22)&lt;=0,"",MAX(SUM($T22,-$AD22,-$AE22),$AF22))</f>
        <v/>
      </c>
      <c r="AR22" s="118"/>
      <c r="AS22" s="118" t="str">
        <f aca="false">IF(SUM(AR22)=0,"",$AR22)</f>
        <v/>
      </c>
      <c r="AT22" s="118" t="n">
        <f aca="false">0.95</f>
        <v>0.95</v>
      </c>
      <c r="AU22" s="75" t="str">
        <f aca="false">IF(SUM($AQ22)&lt;=0,"",ROUND(SUM($AQ22)*SUM($AS22),0))</f>
        <v/>
      </c>
      <c r="AV22" s="75" t="str">
        <f aca="false">IF(SUM($AQ22)&lt;=0,"",$AQ22-$AU22)</f>
        <v/>
      </c>
      <c r="AW22" s="73" t="str">
        <f aca="false">IF(SUM($AU22)&lt;=0,"",ROUND($AU22*$AT22,0))</f>
        <v/>
      </c>
      <c r="AX22" s="73" t="str">
        <f aca="false">IF(SUM($AE22,$AD22,$AU22)&lt;=0,"",SUM($AE22,$AD22,$AU22))</f>
        <v/>
      </c>
      <c r="AY22" s="73" t="str">
        <f aca="false">_xlfn.IFNA(INDEX(Cascade!$BD:$BD,MATCH($E22,Cascade!$E:$E,0)),"")</f>
        <v/>
      </c>
      <c r="AZ22" s="118" t="str">
        <f aca="false">IFERROR(IF(SUM($AE22)&lt;=0,"",$AE22/$AY22),"")</f>
        <v/>
      </c>
      <c r="BA22" s="118" t="str">
        <f aca="false">IFERROR(IF(SUM($AU22)&lt;=0,"",$AU22/$AY22),"")</f>
        <v/>
      </c>
      <c r="BB22" s="118" t="str">
        <f aca="false">_xlfn.IFNA(INDEX(Cascade!$BL:$BL,MATCH($E22,Cascade!$E:$E,0)),"")</f>
        <v/>
      </c>
      <c r="BC22" s="118" t="str">
        <f aca="false">_xlfn.IFNA(INDEX(Cascade!$BO:$BO,MATCH($E22,Cascade!$E:$E,0)),"")</f>
        <v/>
      </c>
      <c r="BD22" s="118" t="str">
        <f aca="false">_xlfn.IFNA(INDEX(Cascade!$BR:$BR,MATCH($E22,Cascade!$E:$E,0)),"")</f>
        <v/>
      </c>
    </row>
    <row r="23" customFormat="false" ht="15" hidden="false" customHeight="false" outlineLevel="0" collapsed="false">
      <c r="A23" s="0" t="s">
        <v>140</v>
      </c>
      <c r="B23" s="0" t="s">
        <v>141</v>
      </c>
      <c r="C23" s="0" t="s">
        <v>86</v>
      </c>
      <c r="D23" s="0" t="s">
        <v>56</v>
      </c>
      <c r="E23" s="0" t="str">
        <f aca="false">B23&amp;"|"&amp;C23&amp;"|"&amp;D23</f>
        <v>_Military Lesotho [#Military] [dDOqoFnD5Be]|50+|Female</v>
      </c>
      <c r="F23" s="73" t="str">
        <f aca="false">_xlfn.IFNA(INDEX(Cascade!$F:$F,MATCH($E23,Cascade!$E:$E,0)),"")</f>
        <v/>
      </c>
      <c r="G23" s="73" t="str">
        <f aca="false">_xlfn.IFNA(INDEX(Cascade!$H:$H,MATCH($E23,Cascade!$E:$E,0)),"")</f>
        <v/>
      </c>
      <c r="H23" s="118" t="str">
        <f aca="false">_xlfn.IFNA(INDEX(Cascade!$J:$J,MATCH($E23,Cascade!$E:$E,0)),"")</f>
        <v/>
      </c>
      <c r="I23" s="73" t="str">
        <f aca="false">_xlfn.IFNA(INDEX(Cascade!$P:$P,MATCH($E23,Cascade!$E:$E,0)),"")</f>
        <v/>
      </c>
      <c r="J23" s="118" t="str">
        <f aca="false">_xlfn.IFNA(INDEX(Cascade!$Y:$Y,MATCH($E23,Cascade!$E:$E,0)),"")</f>
        <v/>
      </c>
      <c r="K23" s="75" t="str">
        <f aca="false">_xlfn.IFNA(ROUND(INDEX(Spectrum!$N:$N,MATCH(RIGHT($B23,13)&amp;"|"&amp;$C23&amp;"|"&amp;$D23&amp;"|"&amp;K$14&amp;"|"&amp;"CY2021Q3",Spectrum!$Q:$Q,0)),0),"")</f>
        <v/>
      </c>
      <c r="L23" s="75" t="str">
        <f aca="false">_xlfn.IFNA(ROUND(INDEX(Spectrum!$N:$N,MATCH(RIGHT($B23,13)&amp;"|"&amp;$C23&amp;"|"&amp;$D23&amp;"|"&amp;L$14&amp;"|"&amp;"CY2021Q3",Spectrum!$Q:$Q,0)),0),"")</f>
        <v/>
      </c>
      <c r="M23" s="75" t="str">
        <f aca="false">_xlfn.IFNA(ROUND(INDEX(Spectrum!$N:$N,MATCH(RIGHT($B23,13)&amp;"|"&amp;$C23&amp;"|"&amp;$D23&amp;"|"&amp;M$14&amp;"|"&amp;"CY2021Q3",Spectrum!$Q:$Q,0)),0),"")</f>
        <v/>
      </c>
      <c r="N23" s="75" t="str">
        <f aca="false">_xlfn.IFNA(ROUND(INDEX(Spectrum!$N:$N,MATCH(RIGHT($B23,13)&amp;"|"&amp;$C23&amp;"|"&amp;$D23&amp;"|"&amp;N$14&amp;"|"&amp;"CY2021Q3",Spectrum!$Q:$Q,0)),0),"")</f>
        <v/>
      </c>
      <c r="O23" s="75" t="str">
        <f aca="false">_xlfn.IFNA(ROUND(INDEX(Spectrum!$N:$N,MATCH(RIGHT($B23,13)&amp;"|"&amp;$C23&amp;"|"&amp;$D23&amp;"|"&amp;O$14&amp;"|"&amp;"CY2021Q3",Spectrum!$Q:$Q,0)),0),"")</f>
        <v/>
      </c>
      <c r="P23" s="75" t="str">
        <f aca="false">_xlfn.IFNA(ROUND(INDEX(Spectrum!$N:$N,MATCH(RIGHT($B23,13)&amp;"|"&amp;$C23&amp;"|"&amp;$D23&amp;"|"&amp;P$14&amp;"|"&amp;"CY2021Q3",Spectrum!$Q:$Q,0)),0),"")</f>
        <v/>
      </c>
      <c r="Q23" s="75" t="str">
        <f aca="false">_xlfn.IFNA(ROUND(INDEX(Spectrum!$N:$N,MATCH(RIGHT($B23,13)&amp;"|"&amp;$C23&amp;"|"&amp;$D23&amp;"|"&amp;Q$14&amp;"|"&amp;"CY2021Q3",Spectrum!$Q:$Q,0)),0),"")</f>
        <v/>
      </c>
      <c r="R23" s="73"/>
      <c r="S23" s="118" t="str">
        <f aca="false">IF(SUM($R23)&lt;=0,"",0%)</f>
        <v/>
      </c>
      <c r="T23" s="75" t="str">
        <f aca="false">IF(SUM($R23)&lt;=0,"",ROUND(MIN($R23,$K23)*(1+$S23),0))</f>
        <v/>
      </c>
      <c r="U23" s="118" t="str">
        <f aca="false">IF(SUM($K23)=0,IF(SUM($R23)=0,"",1),MIN(SUM($R23)/SUM($K23),1))</f>
        <v/>
      </c>
      <c r="V23" s="118" t="str">
        <f aca="false">$U23</f>
        <v/>
      </c>
      <c r="W23" s="75" t="str">
        <f aca="false">IF(SUM($T23)=0,"",ROUND(SUM($T23)/IF(SUM($V23)=0,1,SUM($V23)),0))</f>
        <v/>
      </c>
      <c r="X23" s="118" t="n">
        <f aca="false">1</f>
        <v>1</v>
      </c>
      <c r="Y23" s="118"/>
      <c r="Z23" s="118" t="str">
        <f aca="false">IF(OR(SUM($K23)&lt;=0,SUM($L23)&lt;=0),IF(SUM($Y23)&lt;=0,"",$Y23),SUM($L23)/$K23)</f>
        <v/>
      </c>
      <c r="AA23" s="118"/>
      <c r="AB23" s="118" t="str">
        <f aca="false">IF(OR((SUM($K23)-SUM($L23))&lt;=0,SUM($M23)&lt;=0),IF(SUM($AA23)&lt;=0,"",$AA23),SUM($M23)/($K23-SUM($L23)))</f>
        <v/>
      </c>
      <c r="AC23" s="73" t="str">
        <f aca="false">IF(SUM($T23)&lt;=0,"",ROUND(SUM($T23)*$X23,0))</f>
        <v/>
      </c>
      <c r="AD23" s="75" t="str">
        <f aca="false">IF(SUM($AC23)&lt;=0,"",ROUND($AC23*SUM($Z23),0))</f>
        <v/>
      </c>
      <c r="AE23" s="75" t="str">
        <f aca="false">IF(SUM($T23)&lt;=0,"",ROUND(($AC23-$AD23)*SUM($AB23),0))</f>
        <v/>
      </c>
      <c r="AF23" s="75" t="str">
        <f aca="false">IF(SUM($AC23)&lt;=0,"",ROUND($AC23-$AD23-$AE23,0))</f>
        <v/>
      </c>
      <c r="AG23" s="73" t="str">
        <f aca="false">IF(SUM($W23)&lt;=0,"",ROUND(SUM($W23)*$X23,0))</f>
        <v/>
      </c>
      <c r="AH23" s="75" t="str">
        <f aca="false">IF(SUM($AG23)&lt;=0,"",ROUND($AG23*SUM($Z23),0))</f>
        <v/>
      </c>
      <c r="AI23" s="75" t="str">
        <f aca="false">IF(SUM($W23)&lt;=0,"",ROUND(($AG23-$AH23)*SUM($AB23),0))</f>
        <v/>
      </c>
      <c r="AJ23" s="75" t="str">
        <f aca="false">IF(SUM($AG23)&lt;=0,"",ROUND($AG23-$AH23-$AI23,0))</f>
        <v/>
      </c>
      <c r="AK23" s="118" t="n">
        <f aca="false">_xlfn.IFNA(INDEX(Cascade!$BA:$BA,MATCH($E23,Cascade!$E:$E,0)),"")</f>
        <v>0.95</v>
      </c>
      <c r="AL23" s="75" t="str">
        <f aca="false">IF(SUM($AD23)&lt;=0,"",$AD23)</f>
        <v/>
      </c>
      <c r="AM23" s="75" t="str">
        <f aca="false">IF(SUM($AE23)&lt;=0,"",ROUND($AE23*$AK23,0))</f>
        <v/>
      </c>
      <c r="AN23" s="75" t="str">
        <f aca="false">IF(AND(SUM($AH23)=0,SUM($AI23)=0),"",SUM($AH23)+SUM($AI23))</f>
        <v/>
      </c>
      <c r="AO23" s="75" t="str">
        <f aca="false">IF(SUM($AH23)&lt;=0,"",$AH23)</f>
        <v/>
      </c>
      <c r="AP23" s="75" t="str">
        <f aca="false">IF(SUM($AI23)&lt;=0,"",ROUND($AI23*$AK23,0))</f>
        <v/>
      </c>
      <c r="AQ23" s="73" t="str">
        <f aca="false">IF(SUM($T23,$AD23,$AE23)&lt;=0,"",MAX(SUM($T23,-$AD23,-$AE23),$AF23))</f>
        <v/>
      </c>
      <c r="AR23" s="118"/>
      <c r="AS23" s="118" t="str">
        <f aca="false">IF(SUM(AR23)=0,"",$AR23)</f>
        <v/>
      </c>
      <c r="AT23" s="118" t="n">
        <f aca="false">0.95</f>
        <v>0.95</v>
      </c>
      <c r="AU23" s="75" t="str">
        <f aca="false">IF(SUM($AQ23)&lt;=0,"",ROUND(SUM($AQ23)*SUM($AS23),0))</f>
        <v/>
      </c>
      <c r="AV23" s="75" t="str">
        <f aca="false">IF(SUM($AQ23)&lt;=0,"",$AQ23-$AU23)</f>
        <v/>
      </c>
      <c r="AW23" s="73" t="str">
        <f aca="false">IF(SUM($AU23)&lt;=0,"",ROUND($AU23*$AT23,0))</f>
        <v/>
      </c>
      <c r="AX23" s="73" t="str">
        <f aca="false">IF(SUM($AE23,$AD23,$AU23)&lt;=0,"",SUM($AE23,$AD23,$AU23))</f>
        <v/>
      </c>
      <c r="AY23" s="73" t="n">
        <f aca="false">_xlfn.IFNA(INDEX(Cascade!$BD:$BD,MATCH($E23,Cascade!$E:$E,0)),"")</f>
        <v>1</v>
      </c>
      <c r="AZ23" s="118" t="str">
        <f aca="false">IFERROR(IF(SUM($AE23)&lt;=0,"",$AE23/$AY23),"")</f>
        <v/>
      </c>
      <c r="BA23" s="118" t="str">
        <f aca="false">IFERROR(IF(SUM($AU23)&lt;=0,"",$AU23/$AY23),"")</f>
        <v/>
      </c>
      <c r="BB23" s="118" t="str">
        <f aca="false">_xlfn.IFNA(INDEX(Cascade!$BL:$BL,MATCH($E23,Cascade!$E:$E,0)),"")</f>
        <v/>
      </c>
      <c r="BC23" s="118" t="n">
        <f aca="false">_xlfn.IFNA(INDEX(Cascade!$BO:$BO,MATCH($E23,Cascade!$E:$E,0)),"")</f>
        <v>1634</v>
      </c>
      <c r="BD23" s="118" t="n">
        <f aca="false">_xlfn.IFNA(INDEX(Cascade!$BR:$BR,MATCH($E23,Cascade!$E:$E,0)),"")</f>
        <v>-1633</v>
      </c>
    </row>
    <row r="24" customFormat="false" ht="15" hidden="false" customHeight="false" outlineLevel="0" collapsed="false">
      <c r="A24" s="0" t="s">
        <v>142</v>
      </c>
      <c r="B24" s="0" t="s">
        <v>109</v>
      </c>
      <c r="C24" s="0" t="s">
        <v>61</v>
      </c>
      <c r="D24" s="0" t="s">
        <v>56</v>
      </c>
      <c r="E24" s="0" t="str">
        <f aca="false">B24&amp;"|"&amp;C24&amp;"|"&amp;D24</f>
        <v>Berea [#SNU] [#DREAMS] [wpg5evyl1OL]|10-14|Female</v>
      </c>
      <c r="F24" s="73" t="n">
        <f aca="false">_xlfn.IFNA(INDEX(Cascade!$F:$F,MATCH($E24,Cascade!$E:$E,0)),"")</f>
        <v>13166</v>
      </c>
      <c r="G24" s="73" t="n">
        <f aca="false">_xlfn.IFNA(INDEX(Cascade!$H:$H,MATCH($E24,Cascade!$E:$E,0)),"")</f>
        <v>298</v>
      </c>
      <c r="H24" s="118" t="n">
        <f aca="false">_xlfn.IFNA(INDEX(Cascade!$J:$J,MATCH($E24,Cascade!$E:$E,0)),"")</f>
        <v>0.0226008</v>
      </c>
      <c r="I24" s="73" t="n">
        <f aca="false">_xlfn.IFNA(INDEX(Cascade!$P:$P,MATCH($E24,Cascade!$E:$E,0)),"")</f>
        <v>243</v>
      </c>
      <c r="J24" s="118" t="n">
        <f aca="false">_xlfn.IFNA(INDEX(Cascade!$Y:$Y,MATCH($E24,Cascade!$E:$E,0)),"")</f>
        <v>0.815436241610738</v>
      </c>
      <c r="K24" s="75" t="str">
        <f aca="false">_xlfn.IFNA(ROUND(INDEX(Spectrum!$N:$N,MATCH(RIGHT($B24,13)&amp;"|"&amp;$C24&amp;"|"&amp;$D24&amp;"|"&amp;K$14&amp;"|"&amp;"CY2021Q3",Spectrum!$Q:$Q,0)),0),"")</f>
        <v/>
      </c>
      <c r="L24" s="75" t="str">
        <f aca="false">_xlfn.IFNA(ROUND(INDEX(Spectrum!$N:$N,MATCH(RIGHT($B24,13)&amp;"|"&amp;$C24&amp;"|"&amp;$D24&amp;"|"&amp;L$14&amp;"|"&amp;"CY2021Q3",Spectrum!$Q:$Q,0)),0),"")</f>
        <v/>
      </c>
      <c r="M24" s="75" t="str">
        <f aca="false">_xlfn.IFNA(ROUND(INDEX(Spectrum!$N:$N,MATCH(RIGHT($B24,13)&amp;"|"&amp;$C24&amp;"|"&amp;$D24&amp;"|"&amp;M$14&amp;"|"&amp;"CY2021Q3",Spectrum!$Q:$Q,0)),0),"")</f>
        <v/>
      </c>
      <c r="N24" s="75" t="str">
        <f aca="false">_xlfn.IFNA(ROUND(INDEX(Spectrum!$N:$N,MATCH(RIGHT($B24,13)&amp;"|"&amp;$C24&amp;"|"&amp;$D24&amp;"|"&amp;N$14&amp;"|"&amp;"CY2021Q3",Spectrum!$Q:$Q,0)),0),"")</f>
        <v/>
      </c>
      <c r="O24" s="75" t="str">
        <f aca="false">_xlfn.IFNA(ROUND(INDEX(Spectrum!$N:$N,MATCH(RIGHT($B24,13)&amp;"|"&amp;$C24&amp;"|"&amp;$D24&amp;"|"&amp;O$14&amp;"|"&amp;"CY2021Q3",Spectrum!$Q:$Q,0)),0),"")</f>
        <v/>
      </c>
      <c r="P24" s="75" t="str">
        <f aca="false">_xlfn.IFNA(ROUND(INDEX(Spectrum!$N:$N,MATCH(RIGHT($B24,13)&amp;"|"&amp;$C24&amp;"|"&amp;$D24&amp;"|"&amp;P$14&amp;"|"&amp;"CY2021Q3",Spectrum!$Q:$Q,0)),0),"")</f>
        <v/>
      </c>
      <c r="Q24" s="75" t="str">
        <f aca="false">_xlfn.IFNA(ROUND(INDEX(Spectrum!$N:$N,MATCH(RIGHT($B24,13)&amp;"|"&amp;$C24&amp;"|"&amp;$D24&amp;"|"&amp;Q$14&amp;"|"&amp;"CY2021Q3",Spectrum!$Q:$Q,0)),0),"")</f>
        <v/>
      </c>
      <c r="R24" s="73" t="n">
        <v>26</v>
      </c>
      <c r="S24" s="118" t="n">
        <f aca="false">IF(SUM($R24)&lt;=0,"",0%)</f>
        <v>0</v>
      </c>
      <c r="T24" s="75" t="n">
        <f aca="false">IF(SUM($R24)&lt;=0,"",ROUND(MIN($R24,$K24)*(1+$S24),0))</f>
        <v>26</v>
      </c>
      <c r="U24" s="118" t="n">
        <f aca="false">IF(SUM($K24)=0,IF(SUM($R24)=0,"",1),MIN(SUM($R24)/SUM($K24),1))</f>
        <v>1</v>
      </c>
      <c r="V24" s="118" t="n">
        <f aca="false">$U24</f>
        <v>1</v>
      </c>
      <c r="W24" s="75" t="n">
        <f aca="false">IF(SUM($T24)=0,"",ROUND(SUM($T24)/IF(SUM($V24)=0,1,SUM($V24)),0))</f>
        <v>26</v>
      </c>
      <c r="X24" s="118" t="n">
        <f aca="false">1</f>
        <v>1</v>
      </c>
      <c r="Y24" s="118"/>
      <c r="Z24" s="118" t="str">
        <f aca="false">IF(OR(SUM($K24)&lt;=0,SUM($L24)&lt;=0),IF(SUM($Y24)&lt;=0,"",$Y24),SUM($L24)/$K24)</f>
        <v/>
      </c>
      <c r="AA24" s="118"/>
      <c r="AB24" s="118" t="str">
        <f aca="false">IF(OR((SUM($K24)-SUM($L24))&lt;=0,SUM($M24)&lt;=0),IF(SUM($AA24)&lt;=0,"",$AA24),SUM($M24)/($K24-SUM($L24)))</f>
        <v/>
      </c>
      <c r="AC24" s="73" t="n">
        <f aca="false">IF(SUM($T24)&lt;=0,"",ROUND(SUM($T24)*$X24,0))</f>
        <v>26</v>
      </c>
      <c r="AD24" s="75" t="n">
        <f aca="false">IF(SUM($AC24)&lt;=0,"",ROUND($AC24*SUM($Z24),0))</f>
        <v>0</v>
      </c>
      <c r="AE24" s="75" t="n">
        <f aca="false">IF(SUM($T24)&lt;=0,"",ROUND(($AC24-$AD24)*SUM($AB24),0))</f>
        <v>0</v>
      </c>
      <c r="AF24" s="75" t="n">
        <f aca="false">IF(SUM($AC24)&lt;=0,"",ROUND($AC24-$AD24-$AE24,0))</f>
        <v>26</v>
      </c>
      <c r="AG24" s="73" t="n">
        <f aca="false">IF(SUM($W24)&lt;=0,"",ROUND(SUM($W24)*$X24,0))</f>
        <v>26</v>
      </c>
      <c r="AH24" s="75" t="n">
        <f aca="false">IF(SUM($AG24)&lt;=0,"",ROUND($AG24*SUM($Z24),0))</f>
        <v>0</v>
      </c>
      <c r="AI24" s="75" t="n">
        <f aca="false">IF(SUM($W24)&lt;=0,"",ROUND(($AG24-$AH24)*SUM($AB24),0))</f>
        <v>0</v>
      </c>
      <c r="AJ24" s="75" t="n">
        <f aca="false">IF(SUM($AG24)&lt;=0,"",ROUND($AG24-$AH24-$AI24,0))</f>
        <v>26</v>
      </c>
      <c r="AK24" s="118" t="n">
        <f aca="false">_xlfn.IFNA(INDEX(Cascade!$BA:$BA,MATCH($E24,Cascade!$E:$E,0)),"")</f>
        <v>0.95</v>
      </c>
      <c r="AL24" s="75" t="str">
        <f aca="false">IF(SUM($AD24)&lt;=0,"",$AD24)</f>
        <v/>
      </c>
      <c r="AM24" s="75" t="str">
        <f aca="false">IF(SUM($AE24)&lt;=0,"",ROUND($AE24*$AK24,0))</f>
        <v/>
      </c>
      <c r="AN24" s="75" t="str">
        <f aca="false">IF(AND(SUM($AH24)=0,SUM($AI24)=0),"",SUM($AH24)+SUM($AI24))</f>
        <v/>
      </c>
      <c r="AO24" s="75" t="str">
        <f aca="false">IF(SUM($AH24)&lt;=0,"",$AH24)</f>
        <v/>
      </c>
      <c r="AP24" s="75" t="str">
        <f aca="false">IF(SUM($AI24)&lt;=0,"",ROUND($AI24*$AK24,0))</f>
        <v/>
      </c>
      <c r="AQ24" s="73" t="n">
        <f aca="false">IF(SUM($T24,$AD24,$AE24)&lt;=0,"",MAX(SUM($T24,-$AD24,-$AE24),$AF24))</f>
        <v>26</v>
      </c>
      <c r="AR24" s="118"/>
      <c r="AS24" s="118" t="str">
        <f aca="false">IF(SUM(AR24)=0,"",$AR24)</f>
        <v/>
      </c>
      <c r="AT24" s="118" t="n">
        <f aca="false">0.95</f>
        <v>0.95</v>
      </c>
      <c r="AU24" s="75" t="n">
        <f aca="false">IF(SUM($AQ24)&lt;=0,"",ROUND(SUM($AQ24)*SUM($AS24),0))</f>
        <v>0</v>
      </c>
      <c r="AV24" s="75" t="n">
        <f aca="false">IF(SUM($AQ24)&lt;=0,"",$AQ24-$AU24)</f>
        <v>26</v>
      </c>
      <c r="AW24" s="73" t="str">
        <f aca="false">IF(SUM($AU24)&lt;=0,"",ROUND($AU24*$AT24,0))</f>
        <v/>
      </c>
      <c r="AX24" s="73" t="str">
        <f aca="false">IF(SUM($AE24,$AD24,$AU24)&lt;=0,"",SUM($AE24,$AD24,$AU24))</f>
        <v/>
      </c>
      <c r="AY24" s="73" t="n">
        <f aca="false">_xlfn.IFNA(INDEX(Cascade!$BD:$BD,MATCH($E24,Cascade!$E:$E,0)),"")</f>
        <v>1</v>
      </c>
      <c r="AZ24" s="118" t="str">
        <f aca="false">IFERROR(IF(SUM($AE24)&lt;=0,"",$AE24/$AY24),"")</f>
        <v/>
      </c>
      <c r="BA24" s="118" t="str">
        <f aca="false">IFERROR(IF(SUM($AU24)&lt;=0,"",$AU24/$AY24),"")</f>
        <v/>
      </c>
      <c r="BB24" s="118" t="n">
        <f aca="false">_xlfn.IFNA(INDEX(Cascade!$BL:$BL,MATCH($E24,Cascade!$E:$E,0)),"")</f>
        <v>1</v>
      </c>
      <c r="BC24" s="118" t="str">
        <f aca="false">_xlfn.IFNA(INDEX(Cascade!$BO:$BO,MATCH($E24,Cascade!$E:$E,0)),"")</f>
        <v/>
      </c>
      <c r="BD24" s="118" t="str">
        <f aca="false">_xlfn.IFNA(INDEX(Cascade!$BR:$BR,MATCH($E24,Cascade!$E:$E,0)),"")</f>
        <v/>
      </c>
    </row>
    <row r="25" customFormat="false" ht="15" hidden="false" customHeight="false" outlineLevel="0" collapsed="false">
      <c r="A25" s="0" t="s">
        <v>142</v>
      </c>
      <c r="B25" s="0" t="s">
        <v>109</v>
      </c>
      <c r="C25" s="0" t="s">
        <v>63</v>
      </c>
      <c r="D25" s="0" t="s">
        <v>56</v>
      </c>
      <c r="E25" s="0" t="str">
        <f aca="false">B25&amp;"|"&amp;C25&amp;"|"&amp;D25</f>
        <v>Berea [#SNU] [#DREAMS] [wpg5evyl1OL]|15-19|Female</v>
      </c>
      <c r="F25" s="73" t="n">
        <f aca="false">_xlfn.IFNA(INDEX(Cascade!$F:$F,MATCH($E25,Cascade!$E:$E,0)),"")</f>
        <v>12445</v>
      </c>
      <c r="G25" s="73" t="n">
        <f aca="false">_xlfn.IFNA(INDEX(Cascade!$H:$H,MATCH($E25,Cascade!$E:$E,0)),"")</f>
        <v>522</v>
      </c>
      <c r="H25" s="118" t="n">
        <f aca="false">_xlfn.IFNA(INDEX(Cascade!$J:$J,MATCH($E25,Cascade!$E:$E,0)),"")</f>
        <v>0.0419618</v>
      </c>
      <c r="I25" s="73" t="n">
        <f aca="false">_xlfn.IFNA(INDEX(Cascade!$P:$P,MATCH($E25,Cascade!$E:$E,0)),"")</f>
        <v>384</v>
      </c>
      <c r="J25" s="118" t="n">
        <f aca="false">_xlfn.IFNA(INDEX(Cascade!$Y:$Y,MATCH($E25,Cascade!$E:$E,0)),"")</f>
        <v>0.735632183908046</v>
      </c>
      <c r="K25" s="75" t="str">
        <f aca="false">_xlfn.IFNA(ROUND(INDEX(Spectrum!$N:$N,MATCH(RIGHT($B25,13)&amp;"|"&amp;$C25&amp;"|"&amp;$D25&amp;"|"&amp;K$14&amp;"|"&amp;"CY2021Q3",Spectrum!$Q:$Q,0)),0),"")</f>
        <v/>
      </c>
      <c r="L25" s="75" t="str">
        <f aca="false">_xlfn.IFNA(ROUND(INDEX(Spectrum!$N:$N,MATCH(RIGHT($B25,13)&amp;"|"&amp;$C25&amp;"|"&amp;$D25&amp;"|"&amp;L$14&amp;"|"&amp;"CY2021Q3",Spectrum!$Q:$Q,0)),0),"")</f>
        <v/>
      </c>
      <c r="M25" s="75" t="str">
        <f aca="false">_xlfn.IFNA(ROUND(INDEX(Spectrum!$N:$N,MATCH(RIGHT($B25,13)&amp;"|"&amp;$C25&amp;"|"&amp;$D25&amp;"|"&amp;M$14&amp;"|"&amp;"CY2021Q3",Spectrum!$Q:$Q,0)),0),"")</f>
        <v/>
      </c>
      <c r="N25" s="75" t="str">
        <f aca="false">_xlfn.IFNA(ROUND(INDEX(Spectrum!$N:$N,MATCH(RIGHT($B25,13)&amp;"|"&amp;$C25&amp;"|"&amp;$D25&amp;"|"&amp;N$14&amp;"|"&amp;"CY2021Q3",Spectrum!$Q:$Q,0)),0),"")</f>
        <v/>
      </c>
      <c r="O25" s="75" t="str">
        <f aca="false">_xlfn.IFNA(ROUND(INDEX(Spectrum!$N:$N,MATCH(RIGHT($B25,13)&amp;"|"&amp;$C25&amp;"|"&amp;$D25&amp;"|"&amp;O$14&amp;"|"&amp;"CY2021Q3",Spectrum!$Q:$Q,0)),0),"")</f>
        <v/>
      </c>
      <c r="P25" s="75" t="str">
        <f aca="false">_xlfn.IFNA(ROUND(INDEX(Spectrum!$N:$N,MATCH(RIGHT($B25,13)&amp;"|"&amp;$C25&amp;"|"&amp;$D25&amp;"|"&amp;P$14&amp;"|"&amp;"CY2021Q3",Spectrum!$Q:$Q,0)),0),"")</f>
        <v/>
      </c>
      <c r="Q25" s="75" t="str">
        <f aca="false">_xlfn.IFNA(ROUND(INDEX(Spectrum!$N:$N,MATCH(RIGHT($B25,13)&amp;"|"&amp;$C25&amp;"|"&amp;$D25&amp;"|"&amp;Q$14&amp;"|"&amp;"CY2021Q3",Spectrum!$Q:$Q,0)),0),"")</f>
        <v/>
      </c>
      <c r="R25" s="73" t="n">
        <v>39</v>
      </c>
      <c r="S25" s="118" t="n">
        <f aca="false">IF(SUM($R25)&lt;=0,"",0%)</f>
        <v>0</v>
      </c>
      <c r="T25" s="75" t="n">
        <f aca="false">IF(SUM($R25)&lt;=0,"",ROUND(MIN($R25,$K25)*(1+$S25),0))</f>
        <v>39</v>
      </c>
      <c r="U25" s="118" t="n">
        <f aca="false">IF(SUM($K25)=0,IF(SUM($R25)=0,"",1),MIN(SUM($R25)/SUM($K25),1))</f>
        <v>1</v>
      </c>
      <c r="V25" s="118" t="n">
        <f aca="false">$U25</f>
        <v>1</v>
      </c>
      <c r="W25" s="75" t="n">
        <f aca="false">IF(SUM($T25)=0,"",ROUND(SUM($T25)/IF(SUM($V25)=0,1,SUM($V25)),0))</f>
        <v>39</v>
      </c>
      <c r="X25" s="118" t="n">
        <f aca="false">1</f>
        <v>1</v>
      </c>
      <c r="Y25" s="118" t="n">
        <v>15</v>
      </c>
      <c r="Z25" s="118" t="n">
        <f aca="false">IF(OR(SUM($K25)&lt;=0,SUM($L25)&lt;=0),IF(SUM($Y25)&lt;=0,"",$Y25),SUM($L25)/$K25)</f>
        <v>15</v>
      </c>
      <c r="AA25" s="118" t="n">
        <v>11</v>
      </c>
      <c r="AB25" s="118" t="n">
        <f aca="false">IF(OR((SUM($K25)-SUM($L25))&lt;=0,SUM($M25)&lt;=0),IF(SUM($AA25)&lt;=0,"",$AA25),SUM($M25)/($K25-SUM($L25)))</f>
        <v>11</v>
      </c>
      <c r="AC25" s="73" t="n">
        <f aca="false">IF(SUM($T25)&lt;=0,"",ROUND(SUM($T25)*$X25,0))</f>
        <v>39</v>
      </c>
      <c r="AD25" s="75" t="n">
        <f aca="false">IF(SUM($AC25)&lt;=0,"",ROUND($AC25*SUM($Z25),0))</f>
        <v>585</v>
      </c>
      <c r="AE25" s="75" t="n">
        <f aca="false">IF(SUM($T25)&lt;=0,"",ROUND(($AC25-$AD25)*SUM($AB25),0))</f>
        <v>-6006</v>
      </c>
      <c r="AF25" s="75" t="n">
        <f aca="false">IF(SUM($AC25)&lt;=0,"",ROUND($AC25-$AD25-$AE25,0))</f>
        <v>5460</v>
      </c>
      <c r="AG25" s="73" t="n">
        <f aca="false">IF(SUM($W25)&lt;=0,"",ROUND(SUM($W25)*$X25,0))</f>
        <v>39</v>
      </c>
      <c r="AH25" s="75" t="n">
        <f aca="false">IF(SUM($AG25)&lt;=0,"",ROUND($AG25*SUM($Z25),0))</f>
        <v>585</v>
      </c>
      <c r="AI25" s="75" t="n">
        <f aca="false">IF(SUM($W25)&lt;=0,"",ROUND(($AG25-$AH25)*SUM($AB25),0))</f>
        <v>-6006</v>
      </c>
      <c r="AJ25" s="75" t="n">
        <f aca="false">IF(SUM($AG25)&lt;=0,"",ROUND($AG25-$AH25-$AI25,0))</f>
        <v>5460</v>
      </c>
      <c r="AK25" s="118" t="n">
        <f aca="false">_xlfn.IFNA(INDEX(Cascade!$BA:$BA,MATCH($E25,Cascade!$E:$E,0)),"")</f>
        <v>0.95</v>
      </c>
      <c r="AL25" s="75" t="n">
        <f aca="false">IF(SUM($AD25)&lt;=0,"",$AD25)</f>
        <v>585</v>
      </c>
      <c r="AM25" s="75" t="str">
        <f aca="false">IF(SUM($AE25)&lt;=0,"",ROUND($AE25*$AK25,0))</f>
        <v/>
      </c>
      <c r="AN25" s="75" t="n">
        <f aca="false">IF(AND(SUM($AH25)=0,SUM($AI25)=0),"",SUM($AH25)+SUM($AI25))</f>
        <v>-5421</v>
      </c>
      <c r="AO25" s="75" t="n">
        <f aca="false">IF(SUM($AH25)&lt;=0,"",$AH25)</f>
        <v>585</v>
      </c>
      <c r="AP25" s="75" t="str">
        <f aca="false">IF(SUM($AI25)&lt;=0,"",ROUND($AI25*$AK25,0))</f>
        <v/>
      </c>
      <c r="AQ25" s="73" t="str">
        <f aca="false">IF(SUM($T25,$AD25,$AE25)&lt;=0,"",MAX(SUM($T25,-$AD25,-$AE25),$AF25))</f>
        <v/>
      </c>
      <c r="AR25" s="118" t="n">
        <v>31</v>
      </c>
      <c r="AS25" s="118" t="n">
        <f aca="false">IF(SUM(AR25)=0,"",$AR25)</f>
        <v>31</v>
      </c>
      <c r="AT25" s="118" t="n">
        <f aca="false">0.95</f>
        <v>0.95</v>
      </c>
      <c r="AU25" s="75" t="str">
        <f aca="false">IF(SUM($AQ25)&lt;=0,"",ROUND(SUM($AQ25)*SUM($AS25),0))</f>
        <v/>
      </c>
      <c r="AV25" s="75" t="str">
        <f aca="false">IF(SUM($AQ25)&lt;=0,"",$AQ25-$AU25)</f>
        <v/>
      </c>
      <c r="AW25" s="73" t="str">
        <f aca="false">IF(SUM($AU25)&lt;=0,"",ROUND($AU25*$AT25,0))</f>
        <v/>
      </c>
      <c r="AX25" s="73" t="str">
        <f aca="false">IF(SUM($AE25,$AD25,$AU25)&lt;=0,"",SUM($AE25,$AD25,$AU25))</f>
        <v/>
      </c>
      <c r="AY25" s="73" t="n">
        <f aca="false">_xlfn.IFNA(INDEX(Cascade!$BD:$BD,MATCH($E25,Cascade!$E:$E,0)),"")</f>
        <v>1</v>
      </c>
      <c r="AZ25" s="118" t="str">
        <f aca="false">IFERROR(IF(SUM($AE25)&lt;=0,"",$AE25/$AY25),"")</f>
        <v/>
      </c>
      <c r="BA25" s="118" t="str">
        <f aca="false">IFERROR(IF(SUM($AU25)&lt;=0,"",$AU25/$AY25),"")</f>
        <v/>
      </c>
      <c r="BB25" s="118" t="n">
        <f aca="false">_xlfn.IFNA(INDEX(Cascade!$BL:$BL,MATCH($E25,Cascade!$E:$E,0)),"")</f>
        <v>1</v>
      </c>
      <c r="BC25" s="118" t="str">
        <f aca="false">_xlfn.IFNA(INDEX(Cascade!$BO:$BO,MATCH($E25,Cascade!$E:$E,0)),"")</f>
        <v/>
      </c>
      <c r="BD25" s="118" t="n">
        <f aca="false">_xlfn.IFNA(INDEX(Cascade!$BR:$BR,MATCH($E25,Cascade!$E:$E,0)),"")</f>
        <v>6006</v>
      </c>
    </row>
    <row r="26" customFormat="false" ht="15" hidden="false" customHeight="false" outlineLevel="0" collapsed="false">
      <c r="A26" s="0" t="s">
        <v>142</v>
      </c>
      <c r="B26" s="0" t="s">
        <v>109</v>
      </c>
      <c r="C26" s="0" t="s">
        <v>66</v>
      </c>
      <c r="D26" s="0" t="s">
        <v>56</v>
      </c>
      <c r="E26" s="0" t="str">
        <f aca="false">B26&amp;"|"&amp;C26&amp;"|"&amp;D26</f>
        <v>Berea [#SNU] [#DREAMS] [wpg5evyl1OL]|20-24|Female</v>
      </c>
      <c r="F26" s="73" t="n">
        <f aca="false">_xlfn.IFNA(INDEX(Cascade!$F:$F,MATCH($E26,Cascade!$E:$E,0)),"")</f>
        <v>11987</v>
      </c>
      <c r="G26" s="73" t="n">
        <f aca="false">_xlfn.IFNA(INDEX(Cascade!$H:$H,MATCH($E26,Cascade!$E:$E,0)),"")</f>
        <v>1425</v>
      </c>
      <c r="H26" s="118" t="n">
        <f aca="false">_xlfn.IFNA(INDEX(Cascade!$J:$J,MATCH($E26,Cascade!$E:$E,0)),"")</f>
        <v>0.1188492</v>
      </c>
      <c r="I26" s="73" t="n">
        <f aca="false">_xlfn.IFNA(INDEX(Cascade!$P:$P,MATCH($E26,Cascade!$E:$E,0)),"")</f>
        <v>959</v>
      </c>
      <c r="J26" s="118" t="n">
        <f aca="false">_xlfn.IFNA(INDEX(Cascade!$Y:$Y,MATCH($E26,Cascade!$E:$E,0)),"")</f>
        <v>0.672982456140351</v>
      </c>
      <c r="K26" s="75" t="str">
        <f aca="false">_xlfn.IFNA(ROUND(INDEX(Spectrum!$N:$N,MATCH(RIGHT($B26,13)&amp;"|"&amp;$C26&amp;"|"&amp;$D26&amp;"|"&amp;K$14&amp;"|"&amp;"CY2021Q3",Spectrum!$Q:$Q,0)),0),"")</f>
        <v/>
      </c>
      <c r="L26" s="75" t="str">
        <f aca="false">_xlfn.IFNA(ROUND(INDEX(Spectrum!$N:$N,MATCH(RIGHT($B26,13)&amp;"|"&amp;$C26&amp;"|"&amp;$D26&amp;"|"&amp;L$14&amp;"|"&amp;"CY2021Q3",Spectrum!$Q:$Q,0)),0),"")</f>
        <v/>
      </c>
      <c r="M26" s="75" t="str">
        <f aca="false">_xlfn.IFNA(ROUND(INDEX(Spectrum!$N:$N,MATCH(RIGHT($B26,13)&amp;"|"&amp;$C26&amp;"|"&amp;$D26&amp;"|"&amp;M$14&amp;"|"&amp;"CY2021Q3",Spectrum!$Q:$Q,0)),0),"")</f>
        <v/>
      </c>
      <c r="N26" s="75" t="str">
        <f aca="false">_xlfn.IFNA(ROUND(INDEX(Spectrum!$N:$N,MATCH(RIGHT($B26,13)&amp;"|"&amp;$C26&amp;"|"&amp;$D26&amp;"|"&amp;N$14&amp;"|"&amp;"CY2021Q3",Spectrum!$Q:$Q,0)),0),"")</f>
        <v/>
      </c>
      <c r="O26" s="75" t="str">
        <f aca="false">_xlfn.IFNA(ROUND(INDEX(Spectrum!$N:$N,MATCH(RIGHT($B26,13)&amp;"|"&amp;$C26&amp;"|"&amp;$D26&amp;"|"&amp;O$14&amp;"|"&amp;"CY2021Q3",Spectrum!$Q:$Q,0)),0),"")</f>
        <v/>
      </c>
      <c r="P26" s="75" t="str">
        <f aca="false">_xlfn.IFNA(ROUND(INDEX(Spectrum!$N:$N,MATCH(RIGHT($B26,13)&amp;"|"&amp;$C26&amp;"|"&amp;$D26&amp;"|"&amp;P$14&amp;"|"&amp;"CY2021Q3",Spectrum!$Q:$Q,0)),0),"")</f>
        <v/>
      </c>
      <c r="Q26" s="75" t="str">
        <f aca="false">_xlfn.IFNA(ROUND(INDEX(Spectrum!$N:$N,MATCH(RIGHT($B26,13)&amp;"|"&amp;$C26&amp;"|"&amp;$D26&amp;"|"&amp;Q$14&amp;"|"&amp;"CY2021Q3",Spectrum!$Q:$Q,0)),0),"")</f>
        <v/>
      </c>
      <c r="R26" s="73" t="n">
        <v>26</v>
      </c>
      <c r="S26" s="118" t="n">
        <f aca="false">IF(SUM($R26)&lt;=0,"",0%)</f>
        <v>0</v>
      </c>
      <c r="T26" s="75" t="n">
        <f aca="false">IF(SUM($R26)&lt;=0,"",ROUND(MIN($R26,$K26)*(1+$S26),0))</f>
        <v>26</v>
      </c>
      <c r="U26" s="118" t="n">
        <f aca="false">IF(SUM($K26)=0,IF(SUM($R26)=0,"",1),MIN(SUM($R26)/SUM($K26),1))</f>
        <v>1</v>
      </c>
      <c r="V26" s="118" t="n">
        <f aca="false">$U26</f>
        <v>1</v>
      </c>
      <c r="W26" s="75" t="n">
        <f aca="false">IF(SUM($T26)=0,"",ROUND(SUM($T26)/IF(SUM($V26)=0,1,SUM($V26)),0))</f>
        <v>26</v>
      </c>
      <c r="X26" s="118" t="n">
        <f aca="false">1</f>
        <v>1</v>
      </c>
      <c r="Y26" s="118" t="n">
        <v>5</v>
      </c>
      <c r="Z26" s="118" t="n">
        <f aca="false">IF(OR(SUM($K26)&lt;=0,SUM($L26)&lt;=0),IF(SUM($Y26)&lt;=0,"",$Y26),SUM($L26)/$K26)</f>
        <v>5</v>
      </c>
      <c r="AA26" s="118" t="n">
        <v>18</v>
      </c>
      <c r="AB26" s="118" t="n">
        <f aca="false">IF(OR((SUM($K26)-SUM($L26))&lt;=0,SUM($M26)&lt;=0),IF(SUM($AA26)&lt;=0,"",$AA26),SUM($M26)/($K26-SUM($L26)))</f>
        <v>18</v>
      </c>
      <c r="AC26" s="73" t="n">
        <f aca="false">IF(SUM($T26)&lt;=0,"",ROUND(SUM($T26)*$X26,0))</f>
        <v>26</v>
      </c>
      <c r="AD26" s="75" t="n">
        <f aca="false">IF(SUM($AC26)&lt;=0,"",ROUND($AC26*SUM($Z26),0))</f>
        <v>130</v>
      </c>
      <c r="AE26" s="75" t="n">
        <f aca="false">IF(SUM($T26)&lt;=0,"",ROUND(($AC26-$AD26)*SUM($AB26),0))</f>
        <v>-1872</v>
      </c>
      <c r="AF26" s="75" t="n">
        <f aca="false">IF(SUM($AC26)&lt;=0,"",ROUND($AC26-$AD26-$AE26,0))</f>
        <v>1768</v>
      </c>
      <c r="AG26" s="73" t="n">
        <f aca="false">IF(SUM($W26)&lt;=0,"",ROUND(SUM($W26)*$X26,0))</f>
        <v>26</v>
      </c>
      <c r="AH26" s="75" t="n">
        <f aca="false">IF(SUM($AG26)&lt;=0,"",ROUND($AG26*SUM($Z26),0))</f>
        <v>130</v>
      </c>
      <c r="AI26" s="75" t="n">
        <f aca="false">IF(SUM($W26)&lt;=0,"",ROUND(($AG26-$AH26)*SUM($AB26),0))</f>
        <v>-1872</v>
      </c>
      <c r="AJ26" s="75" t="n">
        <f aca="false">IF(SUM($AG26)&lt;=0,"",ROUND($AG26-$AH26-$AI26,0))</f>
        <v>1768</v>
      </c>
      <c r="AK26" s="118" t="n">
        <f aca="false">_xlfn.IFNA(INDEX(Cascade!$BA:$BA,MATCH($E26,Cascade!$E:$E,0)),"")</f>
        <v>0.95</v>
      </c>
      <c r="AL26" s="75" t="n">
        <f aca="false">IF(SUM($AD26)&lt;=0,"",$AD26)</f>
        <v>130</v>
      </c>
      <c r="AM26" s="75" t="str">
        <f aca="false">IF(SUM($AE26)&lt;=0,"",ROUND($AE26*$AK26,0))</f>
        <v/>
      </c>
      <c r="AN26" s="75" t="n">
        <f aca="false">IF(AND(SUM($AH26)=0,SUM($AI26)=0),"",SUM($AH26)+SUM($AI26))</f>
        <v>-1742</v>
      </c>
      <c r="AO26" s="75" t="n">
        <f aca="false">IF(SUM($AH26)&lt;=0,"",$AH26)</f>
        <v>130</v>
      </c>
      <c r="AP26" s="75" t="str">
        <f aca="false">IF(SUM($AI26)&lt;=0,"",ROUND($AI26*$AK26,0))</f>
        <v/>
      </c>
      <c r="AQ26" s="73" t="str">
        <f aca="false">IF(SUM($T26,$AD26,$AE26)&lt;=0,"",MAX(SUM($T26,-$AD26,-$AE26),$AF26))</f>
        <v/>
      </c>
      <c r="AR26" s="118" t="n">
        <v>47</v>
      </c>
      <c r="AS26" s="118" t="n">
        <f aca="false">IF(SUM(AR26)=0,"",$AR26)</f>
        <v>47</v>
      </c>
      <c r="AT26" s="118" t="n">
        <f aca="false">0.95</f>
        <v>0.95</v>
      </c>
      <c r="AU26" s="75" t="str">
        <f aca="false">IF(SUM($AQ26)&lt;=0,"",ROUND(SUM($AQ26)*SUM($AS26),0))</f>
        <v/>
      </c>
      <c r="AV26" s="75" t="str">
        <f aca="false">IF(SUM($AQ26)&lt;=0,"",$AQ26-$AU26)</f>
        <v/>
      </c>
      <c r="AW26" s="73" t="str">
        <f aca="false">IF(SUM($AU26)&lt;=0,"",ROUND($AU26*$AT26,0))</f>
        <v/>
      </c>
      <c r="AX26" s="73" t="str">
        <f aca="false">IF(SUM($AE26,$AD26,$AU26)&lt;=0,"",SUM($AE26,$AD26,$AU26))</f>
        <v/>
      </c>
      <c r="AY26" s="73" t="n">
        <f aca="false">_xlfn.IFNA(INDEX(Cascade!$BD:$BD,MATCH($E26,Cascade!$E:$E,0)),"")</f>
        <v>4</v>
      </c>
      <c r="AZ26" s="118" t="str">
        <f aca="false">IFERROR(IF(SUM($AE26)&lt;=0,"",$AE26/$AY26),"")</f>
        <v/>
      </c>
      <c r="BA26" s="118" t="str">
        <f aca="false">IFERROR(IF(SUM($AU26)&lt;=0,"",$AU26/$AY26),"")</f>
        <v/>
      </c>
      <c r="BB26" s="118" t="n">
        <f aca="false">_xlfn.IFNA(INDEX(Cascade!$BL:$BL,MATCH($E26,Cascade!$E:$E,0)),"")</f>
        <v>0.25</v>
      </c>
      <c r="BC26" s="118" t="n">
        <f aca="false">_xlfn.IFNA(INDEX(Cascade!$BO:$BO,MATCH($E26,Cascade!$E:$E,0)),"")</f>
        <v>-784</v>
      </c>
      <c r="BD26" s="118" t="n">
        <f aca="false">_xlfn.IFNA(INDEX(Cascade!$BR:$BR,MATCH($E26,Cascade!$E:$E,0)),"")</f>
        <v>1252.75</v>
      </c>
    </row>
    <row r="27" customFormat="false" ht="15" hidden="false" customHeight="false" outlineLevel="0" collapsed="false">
      <c r="A27" s="0" t="s">
        <v>142</v>
      </c>
      <c r="B27" s="0" t="s">
        <v>109</v>
      </c>
      <c r="C27" s="0" t="s">
        <v>69</v>
      </c>
      <c r="D27" s="0" t="s">
        <v>56</v>
      </c>
      <c r="E27" s="0" t="str">
        <f aca="false">B27&amp;"|"&amp;C27&amp;"|"&amp;D27</f>
        <v>Berea [#SNU] [#DREAMS] [wpg5evyl1OL]|25-29|Female</v>
      </c>
      <c r="F27" s="73" t="n">
        <f aca="false">_xlfn.IFNA(INDEX(Cascade!$F:$F,MATCH($E27,Cascade!$E:$E,0)),"")</f>
        <v>12375</v>
      </c>
      <c r="G27" s="73" t="n">
        <f aca="false">_xlfn.IFNA(INDEX(Cascade!$H:$H,MATCH($E27,Cascade!$E:$E,0)),"")</f>
        <v>2713</v>
      </c>
      <c r="H27" s="118" t="n">
        <f aca="false">_xlfn.IFNA(INDEX(Cascade!$J:$J,MATCH($E27,Cascade!$E:$E,0)),"")</f>
        <v>0.2192363</v>
      </c>
      <c r="I27" s="73" t="n">
        <f aca="false">_xlfn.IFNA(INDEX(Cascade!$P:$P,MATCH($E27,Cascade!$E:$E,0)),"")</f>
        <v>1847</v>
      </c>
      <c r="J27" s="118" t="n">
        <f aca="false">_xlfn.IFNA(INDEX(Cascade!$Y:$Y,MATCH($E27,Cascade!$E:$E,0)),"")</f>
        <v>0.680796166605234</v>
      </c>
      <c r="K27" s="75" t="str">
        <f aca="false">_xlfn.IFNA(ROUND(INDEX(Spectrum!$N:$N,MATCH(RIGHT($B27,13)&amp;"|"&amp;$C27&amp;"|"&amp;$D27&amp;"|"&amp;K$14&amp;"|"&amp;"CY2021Q3",Spectrum!$Q:$Q,0)),0),"")</f>
        <v/>
      </c>
      <c r="L27" s="75" t="str">
        <f aca="false">_xlfn.IFNA(ROUND(INDEX(Spectrum!$N:$N,MATCH(RIGHT($B27,13)&amp;"|"&amp;$C27&amp;"|"&amp;$D27&amp;"|"&amp;L$14&amp;"|"&amp;"CY2021Q3",Spectrum!$Q:$Q,0)),0),"")</f>
        <v/>
      </c>
      <c r="M27" s="75" t="str">
        <f aca="false">_xlfn.IFNA(ROUND(INDEX(Spectrum!$N:$N,MATCH(RIGHT($B27,13)&amp;"|"&amp;$C27&amp;"|"&amp;$D27&amp;"|"&amp;M$14&amp;"|"&amp;"CY2021Q3",Spectrum!$Q:$Q,0)),0),"")</f>
        <v/>
      </c>
      <c r="N27" s="75" t="str">
        <f aca="false">_xlfn.IFNA(ROUND(INDEX(Spectrum!$N:$N,MATCH(RIGHT($B27,13)&amp;"|"&amp;$C27&amp;"|"&amp;$D27&amp;"|"&amp;N$14&amp;"|"&amp;"CY2021Q3",Spectrum!$Q:$Q,0)),0),"")</f>
        <v/>
      </c>
      <c r="O27" s="75" t="str">
        <f aca="false">_xlfn.IFNA(ROUND(INDEX(Spectrum!$N:$N,MATCH(RIGHT($B27,13)&amp;"|"&amp;$C27&amp;"|"&amp;$D27&amp;"|"&amp;O$14&amp;"|"&amp;"CY2021Q3",Spectrum!$Q:$Q,0)),0),"")</f>
        <v/>
      </c>
      <c r="P27" s="75" t="str">
        <f aca="false">_xlfn.IFNA(ROUND(INDEX(Spectrum!$N:$N,MATCH(RIGHT($B27,13)&amp;"|"&amp;$C27&amp;"|"&amp;$D27&amp;"|"&amp;P$14&amp;"|"&amp;"CY2021Q3",Spectrum!$Q:$Q,0)),0),"")</f>
        <v/>
      </c>
      <c r="Q27" s="75" t="str">
        <f aca="false">_xlfn.IFNA(ROUND(INDEX(Spectrum!$N:$N,MATCH(RIGHT($B27,13)&amp;"|"&amp;$C27&amp;"|"&amp;$D27&amp;"|"&amp;Q$14&amp;"|"&amp;"CY2021Q3",Spectrum!$Q:$Q,0)),0),"")</f>
        <v/>
      </c>
      <c r="R27" s="73" t="n">
        <v>43</v>
      </c>
      <c r="S27" s="118" t="n">
        <f aca="false">IF(SUM($R27)&lt;=0,"",0%)</f>
        <v>0</v>
      </c>
      <c r="T27" s="75" t="n">
        <f aca="false">IF(SUM($R27)&lt;=0,"",ROUND(MIN($R27,$K27)*(1+$S27),0))</f>
        <v>43</v>
      </c>
      <c r="U27" s="118" t="n">
        <f aca="false">IF(SUM($K27)=0,IF(SUM($R27)=0,"",1),MIN(SUM($R27)/SUM($K27),1))</f>
        <v>1</v>
      </c>
      <c r="V27" s="118" t="n">
        <f aca="false">$U27</f>
        <v>1</v>
      </c>
      <c r="W27" s="75" t="n">
        <f aca="false">IF(SUM($T27)=0,"",ROUND(SUM($T27)/IF(SUM($V27)=0,1,SUM($V27)),0))</f>
        <v>43</v>
      </c>
      <c r="X27" s="118" t="n">
        <f aca="false">1</f>
        <v>1</v>
      </c>
      <c r="Y27" s="118" t="n">
        <v>34</v>
      </c>
      <c r="Z27" s="118" t="n">
        <f aca="false">IF(OR(SUM($K27)&lt;=0,SUM($L27)&lt;=0),IF(SUM($Y27)&lt;=0,"",$Y27),SUM($L27)/$K27)</f>
        <v>34</v>
      </c>
      <c r="AA27" s="118" t="n">
        <v>36</v>
      </c>
      <c r="AB27" s="118" t="n">
        <f aca="false">IF(OR((SUM($K27)-SUM($L27))&lt;=0,SUM($M27)&lt;=0),IF(SUM($AA27)&lt;=0,"",$AA27),SUM($M27)/($K27-SUM($L27)))</f>
        <v>36</v>
      </c>
      <c r="AC27" s="73" t="n">
        <f aca="false">IF(SUM($T27)&lt;=0,"",ROUND(SUM($T27)*$X27,0))</f>
        <v>43</v>
      </c>
      <c r="AD27" s="75" t="n">
        <f aca="false">IF(SUM($AC27)&lt;=0,"",ROUND($AC27*SUM($Z27),0))</f>
        <v>1462</v>
      </c>
      <c r="AE27" s="75" t="n">
        <f aca="false">IF(SUM($T27)&lt;=0,"",ROUND(($AC27-$AD27)*SUM($AB27),0))</f>
        <v>-51084</v>
      </c>
      <c r="AF27" s="75" t="n">
        <f aca="false">IF(SUM($AC27)&lt;=0,"",ROUND($AC27-$AD27-$AE27,0))</f>
        <v>49665</v>
      </c>
      <c r="AG27" s="73" t="n">
        <f aca="false">IF(SUM($W27)&lt;=0,"",ROUND(SUM($W27)*$X27,0))</f>
        <v>43</v>
      </c>
      <c r="AH27" s="75" t="n">
        <f aca="false">IF(SUM($AG27)&lt;=0,"",ROUND($AG27*SUM($Z27),0))</f>
        <v>1462</v>
      </c>
      <c r="AI27" s="75" t="n">
        <f aca="false">IF(SUM($W27)&lt;=0,"",ROUND(($AG27-$AH27)*SUM($AB27),0))</f>
        <v>-51084</v>
      </c>
      <c r="AJ27" s="75" t="n">
        <f aca="false">IF(SUM($AG27)&lt;=0,"",ROUND($AG27-$AH27-$AI27,0))</f>
        <v>49665</v>
      </c>
      <c r="AK27" s="118" t="n">
        <f aca="false">_xlfn.IFNA(INDEX(Cascade!$BA:$BA,MATCH($E27,Cascade!$E:$E,0)),"")</f>
        <v>0.95</v>
      </c>
      <c r="AL27" s="75" t="n">
        <f aca="false">IF(SUM($AD27)&lt;=0,"",$AD27)</f>
        <v>1462</v>
      </c>
      <c r="AM27" s="75" t="str">
        <f aca="false">IF(SUM($AE27)&lt;=0,"",ROUND($AE27*$AK27,0))</f>
        <v/>
      </c>
      <c r="AN27" s="75" t="n">
        <f aca="false">IF(AND(SUM($AH27)=0,SUM($AI27)=0),"",SUM($AH27)+SUM($AI27))</f>
        <v>-49622</v>
      </c>
      <c r="AO27" s="75" t="n">
        <f aca="false">IF(SUM($AH27)&lt;=0,"",$AH27)</f>
        <v>1462</v>
      </c>
      <c r="AP27" s="75" t="str">
        <f aca="false">IF(SUM($AI27)&lt;=0,"",ROUND($AI27*$AK27,0))</f>
        <v/>
      </c>
      <c r="AQ27" s="73" t="str">
        <f aca="false">IF(SUM($T27,$AD27,$AE27)&lt;=0,"",MAX(SUM($T27,-$AD27,-$AE27),$AF27))</f>
        <v/>
      </c>
      <c r="AR27" s="118"/>
      <c r="AS27" s="118" t="str">
        <f aca="false">IF(SUM(AR27)=0,"",$AR27)</f>
        <v/>
      </c>
      <c r="AT27" s="118" t="n">
        <f aca="false">0.95</f>
        <v>0.95</v>
      </c>
      <c r="AU27" s="75" t="str">
        <f aca="false">IF(SUM($AQ27)&lt;=0,"",ROUND(SUM($AQ27)*SUM($AS27),0))</f>
        <v/>
      </c>
      <c r="AV27" s="75" t="str">
        <f aca="false">IF(SUM($AQ27)&lt;=0,"",$AQ27-$AU27)</f>
        <v/>
      </c>
      <c r="AW27" s="73" t="str">
        <f aca="false">IF(SUM($AU27)&lt;=0,"",ROUND($AU27*$AT27,0))</f>
        <v/>
      </c>
      <c r="AX27" s="73" t="str">
        <f aca="false">IF(SUM($AE27,$AD27,$AU27)&lt;=0,"",SUM($AE27,$AD27,$AU27))</f>
        <v/>
      </c>
      <c r="AY27" s="73" t="n">
        <f aca="false">_xlfn.IFNA(INDEX(Cascade!$BD:$BD,MATCH($E27,Cascade!$E:$E,0)),"")</f>
        <v>1</v>
      </c>
      <c r="AZ27" s="118" t="str">
        <f aca="false">IFERROR(IF(SUM($AE27)&lt;=0,"",$AE27/$AY27),"")</f>
        <v/>
      </c>
      <c r="BA27" s="118" t="str">
        <f aca="false">IFERROR(IF(SUM($AU27)&lt;=0,"",$AU27/$AY27),"")</f>
        <v/>
      </c>
      <c r="BB27" s="118" t="str">
        <f aca="false">_xlfn.IFNA(INDEX(Cascade!$BL:$BL,MATCH($E27,Cascade!$E:$E,0)),"")</f>
        <v/>
      </c>
      <c r="BC27" s="118" t="n">
        <f aca="false">_xlfn.IFNA(INDEX(Cascade!$BO:$BO,MATCH($E27,Cascade!$E:$E,0)),"")</f>
        <v>-16660</v>
      </c>
      <c r="BD27" s="118" t="n">
        <f aca="false">_xlfn.IFNA(INDEX(Cascade!$BR:$BR,MATCH($E27,Cascade!$E:$E,0)),"")</f>
        <v>67745</v>
      </c>
    </row>
    <row r="28" customFormat="false" ht="15" hidden="false" customHeight="false" outlineLevel="0" collapsed="false">
      <c r="A28" s="0" t="s">
        <v>142</v>
      </c>
      <c r="B28" s="0" t="s">
        <v>109</v>
      </c>
      <c r="C28" s="0" t="s">
        <v>72</v>
      </c>
      <c r="D28" s="0" t="s">
        <v>56</v>
      </c>
      <c r="E28" s="0" t="str">
        <f aca="false">B28&amp;"|"&amp;C28&amp;"|"&amp;D28</f>
        <v>Berea [#SNU] [#DREAMS] [wpg5evyl1OL]|30-34|Female</v>
      </c>
      <c r="F28" s="73" t="n">
        <f aca="false">_xlfn.IFNA(INDEX(Cascade!$F:$F,MATCH($E28,Cascade!$E:$E,0)),"")</f>
        <v>12104</v>
      </c>
      <c r="G28" s="73" t="n">
        <f aca="false">_xlfn.IFNA(INDEX(Cascade!$H:$H,MATCH($E28,Cascade!$E:$E,0)),"")</f>
        <v>3878</v>
      </c>
      <c r="H28" s="118" t="n">
        <f aca="false">_xlfn.IFNA(INDEX(Cascade!$J:$J,MATCH($E28,Cascade!$E:$E,0)),"")</f>
        <v>0.3203534</v>
      </c>
      <c r="I28" s="73" t="n">
        <f aca="false">_xlfn.IFNA(INDEX(Cascade!$P:$P,MATCH($E28,Cascade!$E:$E,0)),"")</f>
        <v>2548</v>
      </c>
      <c r="J28" s="118" t="n">
        <f aca="false">_xlfn.IFNA(INDEX(Cascade!$Y:$Y,MATCH($E28,Cascade!$E:$E,0)),"")</f>
        <v>0.657039711191336</v>
      </c>
      <c r="K28" s="75" t="str">
        <f aca="false">_xlfn.IFNA(ROUND(INDEX(Spectrum!$N:$N,MATCH(RIGHT($B28,13)&amp;"|"&amp;$C28&amp;"|"&amp;$D28&amp;"|"&amp;K$14&amp;"|"&amp;"CY2021Q3",Spectrum!$Q:$Q,0)),0),"")</f>
        <v/>
      </c>
      <c r="L28" s="75" t="str">
        <f aca="false">_xlfn.IFNA(ROUND(INDEX(Spectrum!$N:$N,MATCH(RIGHT($B28,13)&amp;"|"&amp;$C28&amp;"|"&amp;$D28&amp;"|"&amp;L$14&amp;"|"&amp;"CY2021Q3",Spectrum!$Q:$Q,0)),0),"")</f>
        <v/>
      </c>
      <c r="M28" s="75" t="str">
        <f aca="false">_xlfn.IFNA(ROUND(INDEX(Spectrum!$N:$N,MATCH(RIGHT($B28,13)&amp;"|"&amp;$C28&amp;"|"&amp;$D28&amp;"|"&amp;M$14&amp;"|"&amp;"CY2021Q3",Spectrum!$Q:$Q,0)),0),"")</f>
        <v/>
      </c>
      <c r="N28" s="75" t="str">
        <f aca="false">_xlfn.IFNA(ROUND(INDEX(Spectrum!$N:$N,MATCH(RIGHT($B28,13)&amp;"|"&amp;$C28&amp;"|"&amp;$D28&amp;"|"&amp;N$14&amp;"|"&amp;"CY2021Q3",Spectrum!$Q:$Q,0)),0),"")</f>
        <v/>
      </c>
      <c r="O28" s="75" t="str">
        <f aca="false">_xlfn.IFNA(ROUND(INDEX(Spectrum!$N:$N,MATCH(RIGHT($B28,13)&amp;"|"&amp;$C28&amp;"|"&amp;$D28&amp;"|"&amp;O$14&amp;"|"&amp;"CY2021Q3",Spectrum!$Q:$Q,0)),0),"")</f>
        <v/>
      </c>
      <c r="P28" s="75" t="str">
        <f aca="false">_xlfn.IFNA(ROUND(INDEX(Spectrum!$N:$N,MATCH(RIGHT($B28,13)&amp;"|"&amp;$C28&amp;"|"&amp;$D28&amp;"|"&amp;P$14&amp;"|"&amp;"CY2021Q3",Spectrum!$Q:$Q,0)),0),"")</f>
        <v/>
      </c>
      <c r="Q28" s="75" t="str">
        <f aca="false">_xlfn.IFNA(ROUND(INDEX(Spectrum!$N:$N,MATCH(RIGHT($B28,13)&amp;"|"&amp;$C28&amp;"|"&amp;$D28&amp;"|"&amp;Q$14&amp;"|"&amp;"CY2021Q3",Spectrum!$Q:$Q,0)),0),"")</f>
        <v/>
      </c>
      <c r="R28" s="73" t="n">
        <v>37</v>
      </c>
      <c r="S28" s="118" t="n">
        <f aca="false">IF(SUM($R28)&lt;=0,"",0%)</f>
        <v>0</v>
      </c>
      <c r="T28" s="75" t="n">
        <f aca="false">IF(SUM($R28)&lt;=0,"",ROUND(MIN($R28,$K28)*(1+$S28),0))</f>
        <v>37</v>
      </c>
      <c r="U28" s="118" t="n">
        <f aca="false">IF(SUM($K28)=0,IF(SUM($R28)=0,"",1),MIN(SUM($R28)/SUM($K28),1))</f>
        <v>1</v>
      </c>
      <c r="V28" s="118" t="n">
        <f aca="false">$U28</f>
        <v>1</v>
      </c>
      <c r="W28" s="75" t="n">
        <f aca="false">IF(SUM($T28)=0,"",ROUND(SUM($T28)/IF(SUM($V28)=0,1,SUM($V28)),0))</f>
        <v>37</v>
      </c>
      <c r="X28" s="118" t="n">
        <f aca="false">1</f>
        <v>1</v>
      </c>
      <c r="Y28" s="118" t="n">
        <v>7</v>
      </c>
      <c r="Z28" s="118" t="n">
        <f aca="false">IF(OR(SUM($K28)&lt;=0,SUM($L28)&lt;=0),IF(SUM($Y28)&lt;=0,"",$Y28),SUM($L28)/$K28)</f>
        <v>7</v>
      </c>
      <c r="AA28" s="118" t="n">
        <v>48</v>
      </c>
      <c r="AB28" s="118" t="n">
        <f aca="false">IF(OR((SUM($K28)-SUM($L28))&lt;=0,SUM($M28)&lt;=0),IF(SUM($AA28)&lt;=0,"",$AA28),SUM($M28)/($K28-SUM($L28)))</f>
        <v>48</v>
      </c>
      <c r="AC28" s="73" t="n">
        <f aca="false">IF(SUM($T28)&lt;=0,"",ROUND(SUM($T28)*$X28,0))</f>
        <v>37</v>
      </c>
      <c r="AD28" s="75" t="n">
        <f aca="false">IF(SUM($AC28)&lt;=0,"",ROUND($AC28*SUM($Z28),0))</f>
        <v>259</v>
      </c>
      <c r="AE28" s="75" t="n">
        <f aca="false">IF(SUM($T28)&lt;=0,"",ROUND(($AC28-$AD28)*SUM($AB28),0))</f>
        <v>-10656</v>
      </c>
      <c r="AF28" s="75" t="n">
        <f aca="false">IF(SUM($AC28)&lt;=0,"",ROUND($AC28-$AD28-$AE28,0))</f>
        <v>10434</v>
      </c>
      <c r="AG28" s="73" t="n">
        <f aca="false">IF(SUM($W28)&lt;=0,"",ROUND(SUM($W28)*$X28,0))</f>
        <v>37</v>
      </c>
      <c r="AH28" s="75" t="n">
        <f aca="false">IF(SUM($AG28)&lt;=0,"",ROUND($AG28*SUM($Z28),0))</f>
        <v>259</v>
      </c>
      <c r="AI28" s="75" t="n">
        <f aca="false">IF(SUM($W28)&lt;=0,"",ROUND(($AG28-$AH28)*SUM($AB28),0))</f>
        <v>-10656</v>
      </c>
      <c r="AJ28" s="75" t="n">
        <f aca="false">IF(SUM($AG28)&lt;=0,"",ROUND($AG28-$AH28-$AI28,0))</f>
        <v>10434</v>
      </c>
      <c r="AK28" s="118" t="n">
        <f aca="false">_xlfn.IFNA(INDEX(Cascade!$BA:$BA,MATCH($E28,Cascade!$E:$E,0)),"")</f>
        <v>0.95</v>
      </c>
      <c r="AL28" s="75" t="n">
        <f aca="false">IF(SUM($AD28)&lt;=0,"",$AD28)</f>
        <v>259</v>
      </c>
      <c r="AM28" s="75" t="str">
        <f aca="false">IF(SUM($AE28)&lt;=0,"",ROUND($AE28*$AK28,0))</f>
        <v/>
      </c>
      <c r="AN28" s="75" t="n">
        <f aca="false">IF(AND(SUM($AH28)=0,SUM($AI28)=0),"",SUM($AH28)+SUM($AI28))</f>
        <v>-10397</v>
      </c>
      <c r="AO28" s="75" t="n">
        <f aca="false">IF(SUM($AH28)&lt;=0,"",$AH28)</f>
        <v>259</v>
      </c>
      <c r="AP28" s="75" t="str">
        <f aca="false">IF(SUM($AI28)&lt;=0,"",ROUND($AI28*$AK28,0))</f>
        <v/>
      </c>
      <c r="AQ28" s="73" t="str">
        <f aca="false">IF(SUM($T28,$AD28,$AE28)&lt;=0,"",MAX(SUM($T28,-$AD28,-$AE28),$AF28))</f>
        <v/>
      </c>
      <c r="AR28" s="118" t="n">
        <v>2</v>
      </c>
      <c r="AS28" s="118" t="n">
        <f aca="false">IF(SUM(AR28)=0,"",$AR28)</f>
        <v>2</v>
      </c>
      <c r="AT28" s="118" t="n">
        <f aca="false">0.95</f>
        <v>0.95</v>
      </c>
      <c r="AU28" s="75" t="str">
        <f aca="false">IF(SUM($AQ28)&lt;=0,"",ROUND(SUM($AQ28)*SUM($AS28),0))</f>
        <v/>
      </c>
      <c r="AV28" s="75" t="str">
        <f aca="false">IF(SUM($AQ28)&lt;=0,"",$AQ28-$AU28)</f>
        <v/>
      </c>
      <c r="AW28" s="73" t="str">
        <f aca="false">IF(SUM($AU28)&lt;=0,"",ROUND($AU28*$AT28,0))</f>
        <v/>
      </c>
      <c r="AX28" s="73" t="str">
        <f aca="false">IF(SUM($AE28,$AD28,$AU28)&lt;=0,"",SUM($AE28,$AD28,$AU28))</f>
        <v/>
      </c>
      <c r="AY28" s="73" t="n">
        <f aca="false">_xlfn.IFNA(INDEX(Cascade!$BD:$BD,MATCH($E28,Cascade!$E:$E,0)),"")</f>
        <v>18</v>
      </c>
      <c r="AZ28" s="118" t="str">
        <f aca="false">IFERROR(IF(SUM($AE28)&lt;=0,"",$AE28/$AY28),"")</f>
        <v/>
      </c>
      <c r="BA28" s="118" t="str">
        <f aca="false">IFERROR(IF(SUM($AU28)&lt;=0,"",$AU28/$AY28),"")</f>
        <v/>
      </c>
      <c r="BB28" s="118" t="n">
        <f aca="false">_xlfn.IFNA(INDEX(Cascade!$BL:$BL,MATCH($E28,Cascade!$E:$E,0)),"")</f>
        <v>0.277777777777778</v>
      </c>
      <c r="BC28" s="118" t="n">
        <f aca="false">_xlfn.IFNA(INDEX(Cascade!$BO:$BO,MATCH($E28,Cascade!$E:$E,0)),"")</f>
        <v>-1184</v>
      </c>
      <c r="BD28" s="118" t="n">
        <f aca="false">_xlfn.IFNA(INDEX(Cascade!$BR:$BR,MATCH($E28,Cascade!$E:$E,0)),"")</f>
        <v>1776.72222222222</v>
      </c>
    </row>
    <row r="29" customFormat="false" ht="15" hidden="false" customHeight="false" outlineLevel="0" collapsed="false">
      <c r="A29" s="0" t="s">
        <v>142</v>
      </c>
      <c r="B29" s="0" t="s">
        <v>109</v>
      </c>
      <c r="C29" s="0" t="s">
        <v>75</v>
      </c>
      <c r="D29" s="0" t="s">
        <v>56</v>
      </c>
      <c r="E29" s="0" t="str">
        <f aca="false">B29&amp;"|"&amp;C29&amp;"|"&amp;D29</f>
        <v>Berea [#SNU] [#DREAMS] [wpg5evyl1OL]|35-39|Female</v>
      </c>
      <c r="F29" s="73" t="n">
        <f aca="false">_xlfn.IFNA(INDEX(Cascade!$F:$F,MATCH($E29,Cascade!$E:$E,0)),"")</f>
        <v>9083</v>
      </c>
      <c r="G29" s="73" t="n">
        <f aca="false">_xlfn.IFNA(INDEX(Cascade!$H:$H,MATCH($E29,Cascade!$E:$E,0)),"")</f>
        <v>3790</v>
      </c>
      <c r="H29" s="118" t="n">
        <f aca="false">_xlfn.IFNA(INDEX(Cascade!$J:$J,MATCH($E29,Cascade!$E:$E,0)),"")</f>
        <v>0.4172957</v>
      </c>
      <c r="I29" s="73" t="n">
        <f aca="false">_xlfn.IFNA(INDEX(Cascade!$P:$P,MATCH($E29,Cascade!$E:$E,0)),"")</f>
        <v>2972</v>
      </c>
      <c r="J29" s="118" t="n">
        <f aca="false">_xlfn.IFNA(INDEX(Cascade!$Y:$Y,MATCH($E29,Cascade!$E:$E,0)),"")</f>
        <v>0.784168865435356</v>
      </c>
      <c r="K29" s="75" t="str">
        <f aca="false">_xlfn.IFNA(ROUND(INDEX(Spectrum!$N:$N,MATCH(RIGHT($B29,13)&amp;"|"&amp;$C29&amp;"|"&amp;$D29&amp;"|"&amp;K$14&amp;"|"&amp;"CY2021Q3",Spectrum!$Q:$Q,0)),0),"")</f>
        <v/>
      </c>
      <c r="L29" s="75" t="str">
        <f aca="false">_xlfn.IFNA(ROUND(INDEX(Spectrum!$N:$N,MATCH(RIGHT($B29,13)&amp;"|"&amp;$C29&amp;"|"&amp;$D29&amp;"|"&amp;L$14&amp;"|"&amp;"CY2021Q3",Spectrum!$Q:$Q,0)),0),"")</f>
        <v/>
      </c>
      <c r="M29" s="75" t="str">
        <f aca="false">_xlfn.IFNA(ROUND(INDEX(Spectrum!$N:$N,MATCH(RIGHT($B29,13)&amp;"|"&amp;$C29&amp;"|"&amp;$D29&amp;"|"&amp;M$14&amp;"|"&amp;"CY2021Q3",Spectrum!$Q:$Q,0)),0),"")</f>
        <v/>
      </c>
      <c r="N29" s="75" t="str">
        <f aca="false">_xlfn.IFNA(ROUND(INDEX(Spectrum!$N:$N,MATCH(RIGHT($B29,13)&amp;"|"&amp;$C29&amp;"|"&amp;$D29&amp;"|"&amp;N$14&amp;"|"&amp;"CY2021Q3",Spectrum!$Q:$Q,0)),0),"")</f>
        <v/>
      </c>
      <c r="O29" s="75" t="str">
        <f aca="false">_xlfn.IFNA(ROUND(INDEX(Spectrum!$N:$N,MATCH(RIGHT($B29,13)&amp;"|"&amp;$C29&amp;"|"&amp;$D29&amp;"|"&amp;O$14&amp;"|"&amp;"CY2021Q3",Spectrum!$Q:$Q,0)),0),"")</f>
        <v/>
      </c>
      <c r="P29" s="75" t="str">
        <f aca="false">_xlfn.IFNA(ROUND(INDEX(Spectrum!$N:$N,MATCH(RIGHT($B29,13)&amp;"|"&amp;$C29&amp;"|"&amp;$D29&amp;"|"&amp;P$14&amp;"|"&amp;"CY2021Q3",Spectrum!$Q:$Q,0)),0),"")</f>
        <v/>
      </c>
      <c r="Q29" s="75" t="str">
        <f aca="false">_xlfn.IFNA(ROUND(INDEX(Spectrum!$N:$N,MATCH(RIGHT($B29,13)&amp;"|"&amp;$C29&amp;"|"&amp;$D29&amp;"|"&amp;Q$14&amp;"|"&amp;"CY2021Q3",Spectrum!$Q:$Q,0)),0),"")</f>
        <v/>
      </c>
      <c r="R29" s="73" t="n">
        <v>33</v>
      </c>
      <c r="S29" s="118" t="n">
        <f aca="false">IF(SUM($R29)&lt;=0,"",0%)</f>
        <v>0</v>
      </c>
      <c r="T29" s="75" t="n">
        <f aca="false">IF(SUM($R29)&lt;=0,"",ROUND(MIN($R29,$K29)*(1+$S29),0))</f>
        <v>33</v>
      </c>
      <c r="U29" s="118" t="n">
        <f aca="false">IF(SUM($K29)=0,IF(SUM($R29)=0,"",1),MIN(SUM($R29)/SUM($K29),1))</f>
        <v>1</v>
      </c>
      <c r="V29" s="118" t="n">
        <f aca="false">$U29</f>
        <v>1</v>
      </c>
      <c r="W29" s="75" t="n">
        <f aca="false">IF(SUM($T29)=0,"",ROUND(SUM($T29)/IF(SUM($V29)=0,1,SUM($V29)),0))</f>
        <v>33</v>
      </c>
      <c r="X29" s="118" t="n">
        <f aca="false">1</f>
        <v>1</v>
      </c>
      <c r="Y29" s="118" t="n">
        <v>3</v>
      </c>
      <c r="Z29" s="118" t="n">
        <f aca="false">IF(OR(SUM($K29)&lt;=0,SUM($L29)&lt;=0),IF(SUM($Y29)&lt;=0,"",$Y29),SUM($L29)/$K29)</f>
        <v>3</v>
      </c>
      <c r="AA29" s="118" t="n">
        <v>50</v>
      </c>
      <c r="AB29" s="118" t="n">
        <f aca="false">IF(OR((SUM($K29)-SUM($L29))&lt;=0,SUM($M29)&lt;=0),IF(SUM($AA29)&lt;=0,"",$AA29),SUM($M29)/($K29-SUM($L29)))</f>
        <v>50</v>
      </c>
      <c r="AC29" s="73" t="n">
        <f aca="false">IF(SUM($T29)&lt;=0,"",ROUND(SUM($T29)*$X29,0))</f>
        <v>33</v>
      </c>
      <c r="AD29" s="75" t="n">
        <f aca="false">IF(SUM($AC29)&lt;=0,"",ROUND($AC29*SUM($Z29),0))</f>
        <v>99</v>
      </c>
      <c r="AE29" s="75" t="n">
        <f aca="false">IF(SUM($T29)&lt;=0,"",ROUND(($AC29-$AD29)*SUM($AB29),0))</f>
        <v>-3300</v>
      </c>
      <c r="AF29" s="75" t="n">
        <f aca="false">IF(SUM($AC29)&lt;=0,"",ROUND($AC29-$AD29-$AE29,0))</f>
        <v>3234</v>
      </c>
      <c r="AG29" s="73" t="n">
        <f aca="false">IF(SUM($W29)&lt;=0,"",ROUND(SUM($W29)*$X29,0))</f>
        <v>33</v>
      </c>
      <c r="AH29" s="75" t="n">
        <f aca="false">IF(SUM($AG29)&lt;=0,"",ROUND($AG29*SUM($Z29),0))</f>
        <v>99</v>
      </c>
      <c r="AI29" s="75" t="n">
        <f aca="false">IF(SUM($W29)&lt;=0,"",ROUND(($AG29-$AH29)*SUM($AB29),0))</f>
        <v>-3300</v>
      </c>
      <c r="AJ29" s="75" t="n">
        <f aca="false">IF(SUM($AG29)&lt;=0,"",ROUND($AG29-$AH29-$AI29,0))</f>
        <v>3234</v>
      </c>
      <c r="AK29" s="118" t="n">
        <f aca="false">_xlfn.IFNA(INDEX(Cascade!$BA:$BA,MATCH($E29,Cascade!$E:$E,0)),"")</f>
        <v>0.95</v>
      </c>
      <c r="AL29" s="75" t="n">
        <f aca="false">IF(SUM($AD29)&lt;=0,"",$AD29)</f>
        <v>99</v>
      </c>
      <c r="AM29" s="75" t="str">
        <f aca="false">IF(SUM($AE29)&lt;=0,"",ROUND($AE29*$AK29,0))</f>
        <v/>
      </c>
      <c r="AN29" s="75" t="n">
        <f aca="false">IF(AND(SUM($AH29)=0,SUM($AI29)=0),"",SUM($AH29)+SUM($AI29))</f>
        <v>-3201</v>
      </c>
      <c r="AO29" s="75" t="n">
        <f aca="false">IF(SUM($AH29)&lt;=0,"",$AH29)</f>
        <v>99</v>
      </c>
      <c r="AP29" s="75" t="str">
        <f aca="false">IF(SUM($AI29)&lt;=0,"",ROUND($AI29*$AK29,0))</f>
        <v/>
      </c>
      <c r="AQ29" s="73" t="str">
        <f aca="false">IF(SUM($T29,$AD29,$AE29)&lt;=0,"",MAX(SUM($T29,-$AD29,-$AE29),$AF29))</f>
        <v/>
      </c>
      <c r="AR29" s="118"/>
      <c r="AS29" s="118" t="str">
        <f aca="false">IF(SUM(AR29)=0,"",$AR29)</f>
        <v/>
      </c>
      <c r="AT29" s="118" t="n">
        <f aca="false">0.95</f>
        <v>0.95</v>
      </c>
      <c r="AU29" s="75" t="str">
        <f aca="false">IF(SUM($AQ29)&lt;=0,"",ROUND(SUM($AQ29)*SUM($AS29),0))</f>
        <v/>
      </c>
      <c r="AV29" s="75" t="str">
        <f aca="false">IF(SUM($AQ29)&lt;=0,"",$AQ29-$AU29)</f>
        <v/>
      </c>
      <c r="AW29" s="73" t="str">
        <f aca="false">IF(SUM($AU29)&lt;=0,"",ROUND($AU29*$AT29,0))</f>
        <v/>
      </c>
      <c r="AX29" s="73" t="str">
        <f aca="false">IF(SUM($AE29,$AD29,$AU29)&lt;=0,"",SUM($AE29,$AD29,$AU29))</f>
        <v/>
      </c>
      <c r="AY29" s="73" t="n">
        <f aca="false">_xlfn.IFNA(INDEX(Cascade!$BD:$BD,MATCH($E29,Cascade!$E:$E,0)),"")</f>
        <v>7</v>
      </c>
      <c r="AZ29" s="118" t="str">
        <f aca="false">IFERROR(IF(SUM($AE29)&lt;=0,"",$AE29/$AY29),"")</f>
        <v/>
      </c>
      <c r="BA29" s="118" t="str">
        <f aca="false">IFERROR(IF(SUM($AU29)&lt;=0,"",$AU29/$AY29),"")</f>
        <v/>
      </c>
      <c r="BB29" s="118" t="n">
        <f aca="false">_xlfn.IFNA(INDEX(Cascade!$BL:$BL,MATCH($E29,Cascade!$E:$E,0)),"")</f>
        <v>0.571428571428571</v>
      </c>
      <c r="BC29" s="118" t="n">
        <f aca="false">_xlfn.IFNA(INDEX(Cascade!$BO:$BO,MATCH($E29,Cascade!$E:$E,0)),"")</f>
        <v>-1933.71428571429</v>
      </c>
      <c r="BD29" s="118" t="n">
        <f aca="false">_xlfn.IFNA(INDEX(Cascade!$BR:$BR,MATCH($E29,Cascade!$E:$E,0)),"")</f>
        <v>2405.57142857143</v>
      </c>
    </row>
    <row r="30" customFormat="false" ht="15" hidden="false" customHeight="false" outlineLevel="0" collapsed="false">
      <c r="A30" s="0" t="s">
        <v>142</v>
      </c>
      <c r="B30" s="0" t="s">
        <v>109</v>
      </c>
      <c r="C30" s="0" t="s">
        <v>77</v>
      </c>
      <c r="D30" s="0" t="s">
        <v>56</v>
      </c>
      <c r="E30" s="0" t="str">
        <f aca="false">B30&amp;"|"&amp;C30&amp;"|"&amp;D30</f>
        <v>Berea [#SNU] [#DREAMS] [wpg5evyl1OL]|40-44|Female</v>
      </c>
      <c r="F30" s="73" t="n">
        <f aca="false">_xlfn.IFNA(INDEX(Cascade!$F:$F,MATCH($E30,Cascade!$E:$E,0)),"")</f>
        <v>6597</v>
      </c>
      <c r="G30" s="73" t="n">
        <f aca="false">_xlfn.IFNA(INDEX(Cascade!$H:$H,MATCH($E30,Cascade!$E:$E,0)),"")</f>
        <v>3070</v>
      </c>
      <c r="H30" s="118" t="n">
        <f aca="false">_xlfn.IFNA(INDEX(Cascade!$J:$J,MATCH($E30,Cascade!$E:$E,0)),"")</f>
        <v>0.4653609</v>
      </c>
      <c r="I30" s="73" t="n">
        <f aca="false">_xlfn.IFNA(INDEX(Cascade!$P:$P,MATCH($E30,Cascade!$E:$E,0)),"")</f>
        <v>2898</v>
      </c>
      <c r="J30" s="118" t="n">
        <f aca="false">_xlfn.IFNA(INDEX(Cascade!$Y:$Y,MATCH($E30,Cascade!$E:$E,0)),"")</f>
        <v>0.943973941368078</v>
      </c>
      <c r="K30" s="75" t="str">
        <f aca="false">_xlfn.IFNA(ROUND(INDEX(Spectrum!$N:$N,MATCH(RIGHT($B30,13)&amp;"|"&amp;$C30&amp;"|"&amp;$D30&amp;"|"&amp;K$14&amp;"|"&amp;"CY2021Q3",Spectrum!$Q:$Q,0)),0),"")</f>
        <v/>
      </c>
      <c r="L30" s="75" t="str">
        <f aca="false">_xlfn.IFNA(ROUND(INDEX(Spectrum!$N:$N,MATCH(RIGHT($B30,13)&amp;"|"&amp;$C30&amp;"|"&amp;$D30&amp;"|"&amp;L$14&amp;"|"&amp;"CY2021Q3",Spectrum!$Q:$Q,0)),0),"")</f>
        <v/>
      </c>
      <c r="M30" s="75" t="str">
        <f aca="false">_xlfn.IFNA(ROUND(INDEX(Spectrum!$N:$N,MATCH(RIGHT($B30,13)&amp;"|"&amp;$C30&amp;"|"&amp;$D30&amp;"|"&amp;M$14&amp;"|"&amp;"CY2021Q3",Spectrum!$Q:$Q,0)),0),"")</f>
        <v/>
      </c>
      <c r="N30" s="75" t="str">
        <f aca="false">_xlfn.IFNA(ROUND(INDEX(Spectrum!$N:$N,MATCH(RIGHT($B30,13)&amp;"|"&amp;$C30&amp;"|"&amp;$D30&amp;"|"&amp;N$14&amp;"|"&amp;"CY2021Q3",Spectrum!$Q:$Q,0)),0),"")</f>
        <v/>
      </c>
      <c r="O30" s="75" t="str">
        <f aca="false">_xlfn.IFNA(ROUND(INDEX(Spectrum!$N:$N,MATCH(RIGHT($B30,13)&amp;"|"&amp;$C30&amp;"|"&amp;$D30&amp;"|"&amp;O$14&amp;"|"&amp;"CY2021Q3",Spectrum!$Q:$Q,0)),0),"")</f>
        <v/>
      </c>
      <c r="P30" s="75" t="str">
        <f aca="false">_xlfn.IFNA(ROUND(INDEX(Spectrum!$N:$N,MATCH(RIGHT($B30,13)&amp;"|"&amp;$C30&amp;"|"&amp;$D30&amp;"|"&amp;P$14&amp;"|"&amp;"CY2021Q3",Spectrum!$Q:$Q,0)),0),"")</f>
        <v/>
      </c>
      <c r="Q30" s="75" t="str">
        <f aca="false">_xlfn.IFNA(ROUND(INDEX(Spectrum!$N:$N,MATCH(RIGHT($B30,13)&amp;"|"&amp;$C30&amp;"|"&amp;$D30&amp;"|"&amp;Q$14&amp;"|"&amp;"CY2021Q3",Spectrum!$Q:$Q,0)),0),"")</f>
        <v/>
      </c>
      <c r="R30" s="73" t="n">
        <v>47</v>
      </c>
      <c r="S30" s="118" t="n">
        <f aca="false">IF(SUM($R30)&lt;=0,"",0%)</f>
        <v>0</v>
      </c>
      <c r="T30" s="75" t="n">
        <f aca="false">IF(SUM($R30)&lt;=0,"",ROUND(MIN($R30,$K30)*(1+$S30),0))</f>
        <v>47</v>
      </c>
      <c r="U30" s="118" t="n">
        <f aca="false">IF(SUM($K30)=0,IF(SUM($R30)=0,"",1),MIN(SUM($R30)/SUM($K30),1))</f>
        <v>1</v>
      </c>
      <c r="V30" s="118" t="n">
        <f aca="false">$U30</f>
        <v>1</v>
      </c>
      <c r="W30" s="75" t="n">
        <f aca="false">IF(SUM($T30)=0,"",ROUND(SUM($T30)/IF(SUM($V30)=0,1,SUM($V30)),0))</f>
        <v>47</v>
      </c>
      <c r="X30" s="118" t="n">
        <f aca="false">1</f>
        <v>1</v>
      </c>
      <c r="Y30" s="118" t="n">
        <v>0</v>
      </c>
      <c r="Z30" s="118" t="str">
        <f aca="false">IF(OR(SUM($K30)&lt;=0,SUM($L30)&lt;=0),IF(SUM($Y30)&lt;=0,"",$Y30),SUM($L30)/$K30)</f>
        <v/>
      </c>
      <c r="AA30" s="118" t="n">
        <v>50</v>
      </c>
      <c r="AB30" s="118" t="n">
        <f aca="false">IF(OR((SUM($K30)-SUM($L30))&lt;=0,SUM($M30)&lt;=0),IF(SUM($AA30)&lt;=0,"",$AA30),SUM($M30)/($K30-SUM($L30)))</f>
        <v>50</v>
      </c>
      <c r="AC30" s="73" t="n">
        <f aca="false">IF(SUM($T30)&lt;=0,"",ROUND(SUM($T30)*$X30,0))</f>
        <v>47</v>
      </c>
      <c r="AD30" s="75" t="n">
        <f aca="false">IF(SUM($AC30)&lt;=0,"",ROUND($AC30*SUM($Z30),0))</f>
        <v>0</v>
      </c>
      <c r="AE30" s="75" t="n">
        <f aca="false">IF(SUM($T30)&lt;=0,"",ROUND(($AC30-$AD30)*SUM($AB30),0))</f>
        <v>2350</v>
      </c>
      <c r="AF30" s="75" t="n">
        <f aca="false">IF(SUM($AC30)&lt;=0,"",ROUND($AC30-$AD30-$AE30,0))</f>
        <v>-2303</v>
      </c>
      <c r="AG30" s="73" t="n">
        <f aca="false">IF(SUM($W30)&lt;=0,"",ROUND(SUM($W30)*$X30,0))</f>
        <v>47</v>
      </c>
      <c r="AH30" s="75" t="n">
        <f aca="false">IF(SUM($AG30)&lt;=0,"",ROUND($AG30*SUM($Z30),0))</f>
        <v>0</v>
      </c>
      <c r="AI30" s="75" t="n">
        <f aca="false">IF(SUM($W30)&lt;=0,"",ROUND(($AG30-$AH30)*SUM($AB30),0))</f>
        <v>2350</v>
      </c>
      <c r="AJ30" s="75" t="n">
        <f aca="false">IF(SUM($AG30)&lt;=0,"",ROUND($AG30-$AH30-$AI30,0))</f>
        <v>-2303</v>
      </c>
      <c r="AK30" s="118" t="n">
        <f aca="false">_xlfn.IFNA(INDEX(Cascade!$BA:$BA,MATCH($E30,Cascade!$E:$E,0)),"")</f>
        <v>0.95</v>
      </c>
      <c r="AL30" s="75" t="str">
        <f aca="false">IF(SUM($AD30)&lt;=0,"",$AD30)</f>
        <v/>
      </c>
      <c r="AM30" s="75" t="n">
        <f aca="false">IF(SUM($AE30)&lt;=0,"",ROUND($AE30*$AK30,0))</f>
        <v>2233</v>
      </c>
      <c r="AN30" s="75" t="n">
        <f aca="false">IF(AND(SUM($AH30)=0,SUM($AI30)=0),"",SUM($AH30)+SUM($AI30))</f>
        <v>2350</v>
      </c>
      <c r="AO30" s="75" t="str">
        <f aca="false">IF(SUM($AH30)&lt;=0,"",$AH30)</f>
        <v/>
      </c>
      <c r="AP30" s="75" t="n">
        <f aca="false">IF(SUM($AI30)&lt;=0,"",ROUND($AI30*$AK30,0))</f>
        <v>2233</v>
      </c>
      <c r="AQ30" s="73" t="n">
        <f aca="false">IF(SUM($T30,$AD30,$AE30)&lt;=0,"",MAX(SUM($T30,-$AD30,-$AE30),$AF30))</f>
        <v>-2303</v>
      </c>
      <c r="AR30" s="118" t="n">
        <v>9</v>
      </c>
      <c r="AS30" s="118" t="n">
        <f aca="false">IF(SUM(AR30)=0,"",$AR30)</f>
        <v>9</v>
      </c>
      <c r="AT30" s="118" t="n">
        <f aca="false">0.95</f>
        <v>0.95</v>
      </c>
      <c r="AU30" s="75" t="str">
        <f aca="false">IF(SUM($AQ30)&lt;=0,"",ROUND(SUM($AQ30)*SUM($AS30),0))</f>
        <v/>
      </c>
      <c r="AV30" s="75" t="str">
        <f aca="false">IF(SUM($AQ30)&lt;=0,"",$AQ30-$AU30)</f>
        <v/>
      </c>
      <c r="AW30" s="73" t="str">
        <f aca="false">IF(SUM($AU30)&lt;=0,"",ROUND($AU30*$AT30,0))</f>
        <v/>
      </c>
      <c r="AX30" s="73" t="n">
        <f aca="false">IF(SUM($AE30,$AD30,$AU30)&lt;=0,"",SUM($AE30,$AD30,$AU30))</f>
        <v>2350</v>
      </c>
      <c r="AY30" s="73" t="str">
        <f aca="false">_xlfn.IFNA(INDEX(Cascade!$BD:$BD,MATCH($E30,Cascade!$E:$E,0)),"")</f>
        <v/>
      </c>
      <c r="AZ30" s="118" t="str">
        <f aca="false">IFERROR(IF(SUM($AE30)&lt;=0,"",$AE30/$AY30),"")</f>
        <v/>
      </c>
      <c r="BA30" s="118" t="str">
        <f aca="false">IFERROR(IF(SUM($AU30)&lt;=0,"",$AU30/$AY30),"")</f>
        <v/>
      </c>
      <c r="BB30" s="118" t="str">
        <f aca="false">_xlfn.IFNA(INDEX(Cascade!$BL:$BL,MATCH($E30,Cascade!$E:$E,0)),"")</f>
        <v/>
      </c>
      <c r="BC30" s="118" t="str">
        <f aca="false">_xlfn.IFNA(INDEX(Cascade!$BO:$BO,MATCH($E30,Cascade!$E:$E,0)),"")</f>
        <v/>
      </c>
      <c r="BD30" s="118" t="str">
        <f aca="false">_xlfn.IFNA(INDEX(Cascade!$BR:$BR,MATCH($E30,Cascade!$E:$E,0)),"")</f>
        <v/>
      </c>
    </row>
    <row r="31" customFormat="false" ht="15" hidden="false" customHeight="false" outlineLevel="0" collapsed="false">
      <c r="A31" s="0" t="s">
        <v>142</v>
      </c>
      <c r="B31" s="0" t="s">
        <v>109</v>
      </c>
      <c r="C31" s="0" t="s">
        <v>80</v>
      </c>
      <c r="D31" s="0" t="s">
        <v>56</v>
      </c>
      <c r="E31" s="0" t="str">
        <f aca="false">B31&amp;"|"&amp;C31&amp;"|"&amp;D31</f>
        <v>Berea [#SNU] [#DREAMS] [wpg5evyl1OL]|45-49|Female</v>
      </c>
      <c r="F31" s="73" t="n">
        <f aca="false">_xlfn.IFNA(INDEX(Cascade!$F:$F,MATCH($E31,Cascade!$E:$E,0)),"")</f>
        <v>5601</v>
      </c>
      <c r="G31" s="73" t="n">
        <f aca="false">_xlfn.IFNA(INDEX(Cascade!$H:$H,MATCH($E31,Cascade!$E:$E,0)),"")</f>
        <v>2363</v>
      </c>
      <c r="H31" s="118" t="n">
        <f aca="false">_xlfn.IFNA(INDEX(Cascade!$J:$J,MATCH($E31,Cascade!$E:$E,0)),"")</f>
        <v>0.421911</v>
      </c>
      <c r="I31" s="73" t="n">
        <f aca="false">_xlfn.IFNA(INDEX(Cascade!$P:$P,MATCH($E31,Cascade!$E:$E,0)),"")</f>
        <v>2251</v>
      </c>
      <c r="J31" s="118" t="n">
        <f aca="false">_xlfn.IFNA(INDEX(Cascade!$Y:$Y,MATCH($E31,Cascade!$E:$E,0)),"")</f>
        <v>0.952602623783326</v>
      </c>
      <c r="K31" s="75" t="str">
        <f aca="false">_xlfn.IFNA(ROUND(INDEX(Spectrum!$N:$N,MATCH(RIGHT($B31,13)&amp;"|"&amp;$C31&amp;"|"&amp;$D31&amp;"|"&amp;K$14&amp;"|"&amp;"CY2021Q3",Spectrum!$Q:$Q,0)),0),"")</f>
        <v/>
      </c>
      <c r="L31" s="75" t="str">
        <f aca="false">_xlfn.IFNA(ROUND(INDEX(Spectrum!$N:$N,MATCH(RIGHT($B31,13)&amp;"|"&amp;$C31&amp;"|"&amp;$D31&amp;"|"&amp;L$14&amp;"|"&amp;"CY2021Q3",Spectrum!$Q:$Q,0)),0),"")</f>
        <v/>
      </c>
      <c r="M31" s="75" t="str">
        <f aca="false">_xlfn.IFNA(ROUND(INDEX(Spectrum!$N:$N,MATCH(RIGHT($B31,13)&amp;"|"&amp;$C31&amp;"|"&amp;$D31&amp;"|"&amp;M$14&amp;"|"&amp;"CY2021Q3",Spectrum!$Q:$Q,0)),0),"")</f>
        <v/>
      </c>
      <c r="N31" s="75" t="str">
        <f aca="false">_xlfn.IFNA(ROUND(INDEX(Spectrum!$N:$N,MATCH(RIGHT($B31,13)&amp;"|"&amp;$C31&amp;"|"&amp;$D31&amp;"|"&amp;N$14&amp;"|"&amp;"CY2021Q3",Spectrum!$Q:$Q,0)),0),"")</f>
        <v/>
      </c>
      <c r="O31" s="75" t="str">
        <f aca="false">_xlfn.IFNA(ROUND(INDEX(Spectrum!$N:$N,MATCH(RIGHT($B31,13)&amp;"|"&amp;$C31&amp;"|"&amp;$D31&amp;"|"&amp;O$14&amp;"|"&amp;"CY2021Q3",Spectrum!$Q:$Q,0)),0),"")</f>
        <v/>
      </c>
      <c r="P31" s="75" t="str">
        <f aca="false">_xlfn.IFNA(ROUND(INDEX(Spectrum!$N:$N,MATCH(RIGHT($B31,13)&amp;"|"&amp;$C31&amp;"|"&amp;$D31&amp;"|"&amp;P$14&amp;"|"&amp;"CY2021Q3",Spectrum!$Q:$Q,0)),0),"")</f>
        <v/>
      </c>
      <c r="Q31" s="75" t="str">
        <f aca="false">_xlfn.IFNA(ROUND(INDEX(Spectrum!$N:$N,MATCH(RIGHT($B31,13)&amp;"|"&amp;$C31&amp;"|"&amp;$D31&amp;"|"&amp;Q$14&amp;"|"&amp;"CY2021Q3",Spectrum!$Q:$Q,0)),0),"")</f>
        <v/>
      </c>
      <c r="R31" s="73" t="n">
        <v>0</v>
      </c>
      <c r="S31" s="118" t="str">
        <f aca="false">IF(SUM($R31)&lt;=0,"",0%)</f>
        <v/>
      </c>
      <c r="T31" s="75" t="str">
        <f aca="false">IF(SUM($R31)&lt;=0,"",ROUND(MIN($R31,$K31)*(1+$S31),0))</f>
        <v/>
      </c>
      <c r="U31" s="118" t="str">
        <f aca="false">IF(SUM($K31)=0,IF(SUM($R31)=0,"",1),MIN(SUM($R31)/SUM($K31),1))</f>
        <v/>
      </c>
      <c r="V31" s="118" t="str">
        <f aca="false">$U31</f>
        <v/>
      </c>
      <c r="W31" s="75" t="str">
        <f aca="false">IF(SUM($T31)=0,"",ROUND(SUM($T31)/IF(SUM($V31)=0,1,SUM($V31)),0))</f>
        <v/>
      </c>
      <c r="X31" s="118" t="n">
        <f aca="false">1</f>
        <v>1</v>
      </c>
      <c r="Y31" s="118" t="n">
        <v>15</v>
      </c>
      <c r="Z31" s="118" t="n">
        <f aca="false">IF(OR(SUM($K31)&lt;=0,SUM($L31)&lt;=0),IF(SUM($Y31)&lt;=0,"",$Y31),SUM($L31)/$K31)</f>
        <v>15</v>
      </c>
      <c r="AA31" s="118"/>
      <c r="AB31" s="118" t="str">
        <f aca="false">IF(OR((SUM($K31)-SUM($L31))&lt;=0,SUM($M31)&lt;=0),IF(SUM($AA31)&lt;=0,"",$AA31),SUM($M31)/($K31-SUM($L31)))</f>
        <v/>
      </c>
      <c r="AC31" s="73" t="str">
        <f aca="false">IF(SUM($T31)&lt;=0,"",ROUND(SUM($T31)*$X31,0))</f>
        <v/>
      </c>
      <c r="AD31" s="75" t="str">
        <f aca="false">IF(SUM($AC31)&lt;=0,"",ROUND($AC31*SUM($Z31),0))</f>
        <v/>
      </c>
      <c r="AE31" s="75" t="str">
        <f aca="false">IF(SUM($T31)&lt;=0,"",ROUND(($AC31-$AD31)*SUM($AB31),0))</f>
        <v/>
      </c>
      <c r="AF31" s="75" t="str">
        <f aca="false">IF(SUM($AC31)&lt;=0,"",ROUND($AC31-$AD31-$AE31,0))</f>
        <v/>
      </c>
      <c r="AG31" s="73" t="str">
        <f aca="false">IF(SUM($W31)&lt;=0,"",ROUND(SUM($W31)*$X31,0))</f>
        <v/>
      </c>
      <c r="AH31" s="75" t="str">
        <f aca="false">IF(SUM($AG31)&lt;=0,"",ROUND($AG31*SUM($Z31),0))</f>
        <v/>
      </c>
      <c r="AI31" s="75" t="str">
        <f aca="false">IF(SUM($W31)&lt;=0,"",ROUND(($AG31-$AH31)*SUM($AB31),0))</f>
        <v/>
      </c>
      <c r="AJ31" s="75" t="str">
        <f aca="false">IF(SUM($AG31)&lt;=0,"",ROUND($AG31-$AH31-$AI31,0))</f>
        <v/>
      </c>
      <c r="AK31" s="118" t="n">
        <f aca="false">_xlfn.IFNA(INDEX(Cascade!$BA:$BA,MATCH($E31,Cascade!$E:$E,0)),"")</f>
        <v>0.95</v>
      </c>
      <c r="AL31" s="75" t="str">
        <f aca="false">IF(SUM($AD31)&lt;=0,"",$AD31)</f>
        <v/>
      </c>
      <c r="AM31" s="75" t="str">
        <f aca="false">IF(SUM($AE31)&lt;=0,"",ROUND($AE31*$AK31,0))</f>
        <v/>
      </c>
      <c r="AN31" s="75" t="str">
        <f aca="false">IF(AND(SUM($AH31)=0,SUM($AI31)=0),"",SUM($AH31)+SUM($AI31))</f>
        <v/>
      </c>
      <c r="AO31" s="75" t="str">
        <f aca="false">IF(SUM($AH31)&lt;=0,"",$AH31)</f>
        <v/>
      </c>
      <c r="AP31" s="75" t="str">
        <f aca="false">IF(SUM($AI31)&lt;=0,"",ROUND($AI31*$AK31,0))</f>
        <v/>
      </c>
      <c r="AQ31" s="73" t="str">
        <f aca="false">IF(SUM($T31,$AD31,$AE31)&lt;=0,"",MAX(SUM($T31,-$AD31,-$AE31),$AF31))</f>
        <v/>
      </c>
      <c r="AR31" s="118"/>
      <c r="AS31" s="118" t="str">
        <f aca="false">IF(SUM(AR31)=0,"",$AR31)</f>
        <v/>
      </c>
      <c r="AT31" s="118" t="n">
        <f aca="false">0.95</f>
        <v>0.95</v>
      </c>
      <c r="AU31" s="75" t="str">
        <f aca="false">IF(SUM($AQ31)&lt;=0,"",ROUND(SUM($AQ31)*SUM($AS31),0))</f>
        <v/>
      </c>
      <c r="AV31" s="75" t="str">
        <f aca="false">IF(SUM($AQ31)&lt;=0,"",$AQ31-$AU31)</f>
        <v/>
      </c>
      <c r="AW31" s="73" t="str">
        <f aca="false">IF(SUM($AU31)&lt;=0,"",ROUND($AU31*$AT31,0))</f>
        <v/>
      </c>
      <c r="AX31" s="73" t="str">
        <f aca="false">IF(SUM($AE31,$AD31,$AU31)&lt;=0,"",SUM($AE31,$AD31,$AU31))</f>
        <v/>
      </c>
      <c r="AY31" s="73" t="str">
        <f aca="false">_xlfn.IFNA(INDEX(Cascade!$BD:$BD,MATCH($E31,Cascade!$E:$E,0)),"")</f>
        <v/>
      </c>
      <c r="AZ31" s="118" t="str">
        <f aca="false">IFERROR(IF(SUM($AE31)&lt;=0,"",$AE31/$AY31),"")</f>
        <v/>
      </c>
      <c r="BA31" s="118" t="str">
        <f aca="false">IFERROR(IF(SUM($AU31)&lt;=0,"",$AU31/$AY31),"")</f>
        <v/>
      </c>
      <c r="BB31" s="118" t="str">
        <f aca="false">_xlfn.IFNA(INDEX(Cascade!$BL:$BL,MATCH($E31,Cascade!$E:$E,0)),"")</f>
        <v/>
      </c>
      <c r="BC31" s="118" t="str">
        <f aca="false">_xlfn.IFNA(INDEX(Cascade!$BO:$BO,MATCH($E31,Cascade!$E:$E,0)),"")</f>
        <v/>
      </c>
      <c r="BD31" s="118" t="str">
        <f aca="false">_xlfn.IFNA(INDEX(Cascade!$BR:$BR,MATCH($E31,Cascade!$E:$E,0)),"")</f>
        <v/>
      </c>
    </row>
    <row r="32" customFormat="false" ht="15" hidden="false" customHeight="false" outlineLevel="0" collapsed="false">
      <c r="A32" s="0" t="s">
        <v>142</v>
      </c>
      <c r="B32" s="0" t="s">
        <v>109</v>
      </c>
      <c r="C32" s="0" t="s">
        <v>86</v>
      </c>
      <c r="D32" s="0" t="s">
        <v>56</v>
      </c>
      <c r="E32" s="0" t="str">
        <f aca="false">B32&amp;"|"&amp;C32&amp;"|"&amp;D32</f>
        <v>Berea [#SNU] [#DREAMS] [wpg5evyl1OL]|50+|Female</v>
      </c>
      <c r="F32" s="73" t="n">
        <f aca="false">_xlfn.IFNA(INDEX(Cascade!$F:$F,MATCH($E32,Cascade!$E:$E,0)),"")</f>
        <v>26039</v>
      </c>
      <c r="G32" s="73" t="n">
        <f aca="false">_xlfn.IFNA(INDEX(Cascade!$H:$H,MATCH($E32,Cascade!$E:$E,0)),"")</f>
        <v>6500</v>
      </c>
      <c r="H32" s="118" t="n">
        <f aca="false">_xlfn.IFNA(INDEX(Cascade!$J:$J,MATCH($E32,Cascade!$E:$E,0)),"")</f>
        <v>0.2496345</v>
      </c>
      <c r="I32" s="73" t="n">
        <f aca="false">_xlfn.IFNA(INDEX(Cascade!$P:$P,MATCH($E32,Cascade!$E:$E,0)),"")</f>
        <v>4756</v>
      </c>
      <c r="J32" s="118" t="n">
        <f aca="false">_xlfn.IFNA(INDEX(Cascade!$Y:$Y,MATCH($E32,Cascade!$E:$E,0)),"")</f>
        <v>0.731692307692308</v>
      </c>
      <c r="K32" s="75" t="str">
        <f aca="false">_xlfn.IFNA(ROUND(INDEX(Spectrum!$N:$N,MATCH(RIGHT($B32,13)&amp;"|"&amp;$C32&amp;"|"&amp;$D32&amp;"|"&amp;K$14&amp;"|"&amp;"CY2021Q3",Spectrum!$Q:$Q,0)),0),"")</f>
        <v/>
      </c>
      <c r="L32" s="75" t="str">
        <f aca="false">_xlfn.IFNA(ROUND(INDEX(Spectrum!$N:$N,MATCH(RIGHT($B32,13)&amp;"|"&amp;$C32&amp;"|"&amp;$D32&amp;"|"&amp;L$14&amp;"|"&amp;"CY2021Q3",Spectrum!$Q:$Q,0)),0),"")</f>
        <v/>
      </c>
      <c r="M32" s="75" t="str">
        <f aca="false">_xlfn.IFNA(ROUND(INDEX(Spectrum!$N:$N,MATCH(RIGHT($B32,13)&amp;"|"&amp;$C32&amp;"|"&amp;$D32&amp;"|"&amp;M$14&amp;"|"&amp;"CY2021Q3",Spectrum!$Q:$Q,0)),0),"")</f>
        <v/>
      </c>
      <c r="N32" s="75" t="str">
        <f aca="false">_xlfn.IFNA(ROUND(INDEX(Spectrum!$N:$N,MATCH(RIGHT($B32,13)&amp;"|"&amp;$C32&amp;"|"&amp;$D32&amp;"|"&amp;N$14&amp;"|"&amp;"CY2021Q3",Spectrum!$Q:$Q,0)),0),"")</f>
        <v/>
      </c>
      <c r="O32" s="75" t="str">
        <f aca="false">_xlfn.IFNA(ROUND(INDEX(Spectrum!$N:$N,MATCH(RIGHT($B32,13)&amp;"|"&amp;$C32&amp;"|"&amp;$D32&amp;"|"&amp;O$14&amp;"|"&amp;"CY2021Q3",Spectrum!$Q:$Q,0)),0),"")</f>
        <v/>
      </c>
      <c r="P32" s="75" t="str">
        <f aca="false">_xlfn.IFNA(ROUND(INDEX(Spectrum!$N:$N,MATCH(RIGHT($B32,13)&amp;"|"&amp;$C32&amp;"|"&amp;$D32&amp;"|"&amp;P$14&amp;"|"&amp;"CY2021Q3",Spectrum!$Q:$Q,0)),0),"")</f>
        <v/>
      </c>
      <c r="Q32" s="75" t="str">
        <f aca="false">_xlfn.IFNA(ROUND(INDEX(Spectrum!$N:$N,MATCH(RIGHT($B32,13)&amp;"|"&amp;$C32&amp;"|"&amp;$D32&amp;"|"&amp;Q$14&amp;"|"&amp;"CY2021Q3",Spectrum!$Q:$Q,0)),0),"")</f>
        <v/>
      </c>
      <c r="R32" s="73"/>
      <c r="S32" s="118" t="str">
        <f aca="false">IF(SUM($R32)&lt;=0,"",0%)</f>
        <v/>
      </c>
      <c r="T32" s="75" t="str">
        <f aca="false">IF(SUM($R32)&lt;=0,"",ROUND(MIN($R32,$K32)*(1+$S32),0))</f>
        <v/>
      </c>
      <c r="U32" s="118" t="str">
        <f aca="false">IF(SUM($K32)=0,IF(SUM($R32)=0,"",1),MIN(SUM($R32)/SUM($K32),1))</f>
        <v/>
      </c>
      <c r="V32" s="118" t="str">
        <f aca="false">$U32</f>
        <v/>
      </c>
      <c r="W32" s="75" t="str">
        <f aca="false">IF(SUM($T32)=0,"",ROUND(SUM($T32)/IF(SUM($V32)=0,1,SUM($V32)),0))</f>
        <v/>
      </c>
      <c r="X32" s="118" t="n">
        <f aca="false">1</f>
        <v>1</v>
      </c>
      <c r="Y32" s="118"/>
      <c r="Z32" s="118" t="str">
        <f aca="false">IF(OR(SUM($K32)&lt;=0,SUM($L32)&lt;=0),IF(SUM($Y32)&lt;=0,"",$Y32),SUM($L32)/$K32)</f>
        <v/>
      </c>
      <c r="AA32" s="118"/>
      <c r="AB32" s="118" t="str">
        <f aca="false">IF(OR((SUM($K32)-SUM($L32))&lt;=0,SUM($M32)&lt;=0),IF(SUM($AA32)&lt;=0,"",$AA32),SUM($M32)/($K32-SUM($L32)))</f>
        <v/>
      </c>
      <c r="AC32" s="73" t="str">
        <f aca="false">IF(SUM($T32)&lt;=0,"",ROUND(SUM($T32)*$X32,0))</f>
        <v/>
      </c>
      <c r="AD32" s="75" t="str">
        <f aca="false">IF(SUM($AC32)&lt;=0,"",ROUND($AC32*SUM($Z32),0))</f>
        <v/>
      </c>
      <c r="AE32" s="75" t="str">
        <f aca="false">IF(SUM($T32)&lt;=0,"",ROUND(($AC32-$AD32)*SUM($AB32),0))</f>
        <v/>
      </c>
      <c r="AF32" s="75" t="str">
        <f aca="false">IF(SUM($AC32)&lt;=0,"",ROUND($AC32-$AD32-$AE32,0))</f>
        <v/>
      </c>
      <c r="AG32" s="73" t="str">
        <f aca="false">IF(SUM($W32)&lt;=0,"",ROUND(SUM($W32)*$X32,0))</f>
        <v/>
      </c>
      <c r="AH32" s="75" t="str">
        <f aca="false">IF(SUM($AG32)&lt;=0,"",ROUND($AG32*SUM($Z32),0))</f>
        <v/>
      </c>
      <c r="AI32" s="75" t="str">
        <f aca="false">IF(SUM($W32)&lt;=0,"",ROUND(($AG32-$AH32)*SUM($AB32),0))</f>
        <v/>
      </c>
      <c r="AJ32" s="75" t="str">
        <f aca="false">IF(SUM($AG32)&lt;=0,"",ROUND($AG32-$AH32-$AI32,0))</f>
        <v/>
      </c>
      <c r="AK32" s="118" t="n">
        <f aca="false">_xlfn.IFNA(INDEX(Cascade!$BA:$BA,MATCH($E32,Cascade!$E:$E,0)),"")</f>
        <v>0.95</v>
      </c>
      <c r="AL32" s="75" t="str">
        <f aca="false">IF(SUM($AD32)&lt;=0,"",$AD32)</f>
        <v/>
      </c>
      <c r="AM32" s="75" t="str">
        <f aca="false">IF(SUM($AE32)&lt;=0,"",ROUND($AE32*$AK32,0))</f>
        <v/>
      </c>
      <c r="AN32" s="75" t="str">
        <f aca="false">IF(AND(SUM($AH32)=0,SUM($AI32)=0),"",SUM($AH32)+SUM($AI32))</f>
        <v/>
      </c>
      <c r="AO32" s="75" t="str">
        <f aca="false">IF(SUM($AH32)&lt;=0,"",$AH32)</f>
        <v/>
      </c>
      <c r="AP32" s="75" t="str">
        <f aca="false">IF(SUM($AI32)&lt;=0,"",ROUND($AI32*$AK32,0))</f>
        <v/>
      </c>
      <c r="AQ32" s="73" t="str">
        <f aca="false">IF(SUM($T32,$AD32,$AE32)&lt;=0,"",MAX(SUM($T32,-$AD32,-$AE32),$AF32))</f>
        <v/>
      </c>
      <c r="AR32" s="118"/>
      <c r="AS32" s="118" t="str">
        <f aca="false">IF(SUM(AR32)=0,"",$AR32)</f>
        <v/>
      </c>
      <c r="AT32" s="118" t="n">
        <f aca="false">0.95</f>
        <v>0.95</v>
      </c>
      <c r="AU32" s="75" t="str">
        <f aca="false">IF(SUM($AQ32)&lt;=0,"",ROUND(SUM($AQ32)*SUM($AS32),0))</f>
        <v/>
      </c>
      <c r="AV32" s="75" t="str">
        <f aca="false">IF(SUM($AQ32)&lt;=0,"",$AQ32-$AU32)</f>
        <v/>
      </c>
      <c r="AW32" s="73" t="str">
        <f aca="false">IF(SUM($AU32)&lt;=0,"",ROUND($AU32*$AT32,0))</f>
        <v/>
      </c>
      <c r="AX32" s="73" t="str">
        <f aca="false">IF(SUM($AE32,$AD32,$AU32)&lt;=0,"",SUM($AE32,$AD32,$AU32))</f>
        <v/>
      </c>
      <c r="AY32" s="73" t="str">
        <f aca="false">_xlfn.IFNA(INDEX(Cascade!$BD:$BD,MATCH($E32,Cascade!$E:$E,0)),"")</f>
        <v/>
      </c>
      <c r="AZ32" s="118" t="str">
        <f aca="false">IFERROR(IF(SUM($AE32)&lt;=0,"",$AE32/$AY32),"")</f>
        <v/>
      </c>
      <c r="BA32" s="118" t="str">
        <f aca="false">IFERROR(IF(SUM($AU32)&lt;=0,"",$AU32/$AY32),"")</f>
        <v/>
      </c>
      <c r="BB32" s="118" t="str">
        <f aca="false">_xlfn.IFNA(INDEX(Cascade!$BL:$BL,MATCH($E32,Cascade!$E:$E,0)),"")</f>
        <v/>
      </c>
      <c r="BC32" s="118" t="str">
        <f aca="false">_xlfn.IFNA(INDEX(Cascade!$BO:$BO,MATCH($E32,Cascade!$E:$E,0)),"")</f>
        <v/>
      </c>
      <c r="BD32" s="118" t="str">
        <f aca="false">_xlfn.IFNA(INDEX(Cascade!$BR:$BR,MATCH($E32,Cascade!$E:$E,0)),"")</f>
        <v/>
      </c>
    </row>
    <row r="33" customFormat="false" ht="15" hidden="false" customHeight="false" outlineLevel="0" collapsed="false">
      <c r="A33" s="0" t="s">
        <v>143</v>
      </c>
      <c r="B33" s="0" t="s">
        <v>115</v>
      </c>
      <c r="C33" s="0" t="s">
        <v>61</v>
      </c>
      <c r="D33" s="0" t="s">
        <v>56</v>
      </c>
      <c r="E33" s="0" t="str">
        <f aca="false">B33&amp;"|"&amp;C33&amp;"|"&amp;D33</f>
        <v>Butha Buthe [#SNU] [mvPRqBFtVC0]|10-14|Female</v>
      </c>
      <c r="F33" s="73" t="n">
        <f aca="false">_xlfn.IFNA(INDEX(Cascade!$F:$F,MATCH($E33,Cascade!$E:$E,0)),"")</f>
        <v>6499</v>
      </c>
      <c r="G33" s="73" t="n">
        <f aca="false">_xlfn.IFNA(INDEX(Cascade!$H:$H,MATCH($E33,Cascade!$E:$E,0)),"")</f>
        <v>122</v>
      </c>
      <c r="H33" s="118" t="n">
        <f aca="false">_xlfn.IFNA(INDEX(Cascade!$J:$J,MATCH($E33,Cascade!$E:$E,0)),"")</f>
        <v>0.018798</v>
      </c>
      <c r="I33" s="73" t="n">
        <f aca="false">_xlfn.IFNA(INDEX(Cascade!$P:$P,MATCH($E33,Cascade!$E:$E,0)),"")</f>
        <v>105</v>
      </c>
      <c r="J33" s="118" t="n">
        <f aca="false">_xlfn.IFNA(INDEX(Cascade!$Y:$Y,MATCH($E33,Cascade!$E:$E,0)),"")</f>
        <v>0.860655737704918</v>
      </c>
      <c r="K33" s="75" t="str">
        <f aca="false">_xlfn.IFNA(ROUND(INDEX(Spectrum!$N:$N,MATCH(RIGHT($B33,13)&amp;"|"&amp;$C33&amp;"|"&amp;$D33&amp;"|"&amp;K$14&amp;"|"&amp;"CY2021Q3",Spectrum!$Q:$Q,0)),0),"")</f>
        <v/>
      </c>
      <c r="L33" s="75" t="str">
        <f aca="false">_xlfn.IFNA(ROUND(INDEX(Spectrum!$N:$N,MATCH(RIGHT($B33,13)&amp;"|"&amp;$C33&amp;"|"&amp;$D33&amp;"|"&amp;L$14&amp;"|"&amp;"CY2021Q3",Spectrum!$Q:$Q,0)),0),"")</f>
        <v/>
      </c>
      <c r="M33" s="75" t="str">
        <f aca="false">_xlfn.IFNA(ROUND(INDEX(Spectrum!$N:$N,MATCH(RIGHT($B33,13)&amp;"|"&amp;$C33&amp;"|"&amp;$D33&amp;"|"&amp;M$14&amp;"|"&amp;"CY2021Q3",Spectrum!$Q:$Q,0)),0),"")</f>
        <v/>
      </c>
      <c r="N33" s="75" t="str">
        <f aca="false">_xlfn.IFNA(ROUND(INDEX(Spectrum!$N:$N,MATCH(RIGHT($B33,13)&amp;"|"&amp;$C33&amp;"|"&amp;$D33&amp;"|"&amp;N$14&amp;"|"&amp;"CY2021Q3",Spectrum!$Q:$Q,0)),0),"")</f>
        <v/>
      </c>
      <c r="O33" s="75" t="str">
        <f aca="false">_xlfn.IFNA(ROUND(INDEX(Spectrum!$N:$N,MATCH(RIGHT($B33,13)&amp;"|"&amp;$C33&amp;"|"&amp;$D33&amp;"|"&amp;O$14&amp;"|"&amp;"CY2021Q3",Spectrum!$Q:$Q,0)),0),"")</f>
        <v/>
      </c>
      <c r="P33" s="75" t="str">
        <f aca="false">_xlfn.IFNA(ROUND(INDEX(Spectrum!$N:$N,MATCH(RIGHT($B33,13)&amp;"|"&amp;$C33&amp;"|"&amp;$D33&amp;"|"&amp;P$14&amp;"|"&amp;"CY2021Q3",Spectrum!$Q:$Q,0)),0),"")</f>
        <v/>
      </c>
      <c r="Q33" s="75" t="str">
        <f aca="false">_xlfn.IFNA(ROUND(INDEX(Spectrum!$N:$N,MATCH(RIGHT($B33,13)&amp;"|"&amp;$C33&amp;"|"&amp;$D33&amp;"|"&amp;Q$14&amp;"|"&amp;"CY2021Q3",Spectrum!$Q:$Q,0)),0),"")</f>
        <v/>
      </c>
      <c r="R33" s="73"/>
      <c r="S33" s="118" t="str">
        <f aca="false">IF(SUM($R33)&lt;=0,"",0%)</f>
        <v/>
      </c>
      <c r="T33" s="75" t="str">
        <f aca="false">IF(SUM($R33)&lt;=0,"",ROUND(MIN($R33,$K33)*(1+$S33),0))</f>
        <v/>
      </c>
      <c r="U33" s="118" t="str">
        <f aca="false">IF(SUM($K33)=0,IF(SUM($R33)=0,"",1),MIN(SUM($R33)/SUM($K33),1))</f>
        <v/>
      </c>
      <c r="V33" s="118" t="str">
        <f aca="false">$U33</f>
        <v/>
      </c>
      <c r="W33" s="75" t="str">
        <f aca="false">IF(SUM($T33)=0,"",ROUND(SUM($T33)/IF(SUM($V33)=0,1,SUM($V33)),0))</f>
        <v/>
      </c>
      <c r="X33" s="118" t="n">
        <f aca="false">1</f>
        <v>1</v>
      </c>
      <c r="Y33" s="118"/>
      <c r="Z33" s="118" t="str">
        <f aca="false">IF(OR(SUM($K33)&lt;=0,SUM($L33)&lt;=0),IF(SUM($Y33)&lt;=0,"",$Y33),SUM($L33)/$K33)</f>
        <v/>
      </c>
      <c r="AA33" s="118"/>
      <c r="AB33" s="118" t="str">
        <f aca="false">IF(OR((SUM($K33)-SUM($L33))&lt;=0,SUM($M33)&lt;=0),IF(SUM($AA33)&lt;=0,"",$AA33),SUM($M33)/($K33-SUM($L33)))</f>
        <v/>
      </c>
      <c r="AC33" s="73" t="str">
        <f aca="false">IF(SUM($T33)&lt;=0,"",ROUND(SUM($T33)*$X33,0))</f>
        <v/>
      </c>
      <c r="AD33" s="75" t="str">
        <f aca="false">IF(SUM($AC33)&lt;=0,"",ROUND($AC33*SUM($Z33),0))</f>
        <v/>
      </c>
      <c r="AE33" s="75" t="str">
        <f aca="false">IF(SUM($T33)&lt;=0,"",ROUND(($AC33-$AD33)*SUM($AB33),0))</f>
        <v/>
      </c>
      <c r="AF33" s="75" t="str">
        <f aca="false">IF(SUM($AC33)&lt;=0,"",ROUND($AC33-$AD33-$AE33,0))</f>
        <v/>
      </c>
      <c r="AG33" s="73" t="str">
        <f aca="false">IF(SUM($W33)&lt;=0,"",ROUND(SUM($W33)*$X33,0))</f>
        <v/>
      </c>
      <c r="AH33" s="75" t="str">
        <f aca="false">IF(SUM($AG33)&lt;=0,"",ROUND($AG33*SUM($Z33),0))</f>
        <v/>
      </c>
      <c r="AI33" s="75" t="str">
        <f aca="false">IF(SUM($W33)&lt;=0,"",ROUND(($AG33-$AH33)*SUM($AB33),0))</f>
        <v/>
      </c>
      <c r="AJ33" s="75" t="str">
        <f aca="false">IF(SUM($AG33)&lt;=0,"",ROUND($AG33-$AH33-$AI33,0))</f>
        <v/>
      </c>
      <c r="AK33" s="118" t="n">
        <f aca="false">_xlfn.IFNA(INDEX(Cascade!$BA:$BA,MATCH($E33,Cascade!$E:$E,0)),"")</f>
        <v>0.95</v>
      </c>
      <c r="AL33" s="75" t="str">
        <f aca="false">IF(SUM($AD33)&lt;=0,"",$AD33)</f>
        <v/>
      </c>
      <c r="AM33" s="75" t="str">
        <f aca="false">IF(SUM($AE33)&lt;=0,"",ROUND($AE33*$AK33,0))</f>
        <v/>
      </c>
      <c r="AN33" s="75" t="str">
        <f aca="false">IF(AND(SUM($AH33)=0,SUM($AI33)=0),"",SUM($AH33)+SUM($AI33))</f>
        <v/>
      </c>
      <c r="AO33" s="75" t="str">
        <f aca="false">IF(SUM($AH33)&lt;=0,"",$AH33)</f>
        <v/>
      </c>
      <c r="AP33" s="75" t="str">
        <f aca="false">IF(SUM($AI33)&lt;=0,"",ROUND($AI33*$AK33,0))</f>
        <v/>
      </c>
      <c r="AQ33" s="73" t="str">
        <f aca="false">IF(SUM($T33,$AD33,$AE33)&lt;=0,"",MAX(SUM($T33,-$AD33,-$AE33),$AF33))</f>
        <v/>
      </c>
      <c r="AR33" s="118"/>
      <c r="AS33" s="118" t="str">
        <f aca="false">IF(SUM(AR33)=0,"",$AR33)</f>
        <v/>
      </c>
      <c r="AT33" s="118" t="n">
        <f aca="false">0.95</f>
        <v>0.95</v>
      </c>
      <c r="AU33" s="75" t="str">
        <f aca="false">IF(SUM($AQ33)&lt;=0,"",ROUND(SUM($AQ33)*SUM($AS33),0))</f>
        <v/>
      </c>
      <c r="AV33" s="75" t="str">
        <f aca="false">IF(SUM($AQ33)&lt;=0,"",$AQ33-$AU33)</f>
        <v/>
      </c>
      <c r="AW33" s="73" t="str">
        <f aca="false">IF(SUM($AU33)&lt;=0,"",ROUND($AU33*$AT33,0))</f>
        <v/>
      </c>
      <c r="AX33" s="73" t="str">
        <f aca="false">IF(SUM($AE33,$AD33,$AU33)&lt;=0,"",SUM($AE33,$AD33,$AU33))</f>
        <v/>
      </c>
      <c r="AY33" s="73" t="n">
        <f aca="false">_xlfn.IFNA(INDEX(Cascade!$BD:$BD,MATCH($E33,Cascade!$E:$E,0)),"")</f>
        <v>3</v>
      </c>
      <c r="AZ33" s="118" t="str">
        <f aca="false">IFERROR(IF(SUM($AE33)&lt;=0,"",$AE33/$AY33),"")</f>
        <v/>
      </c>
      <c r="BA33" s="118" t="str">
        <f aca="false">IFERROR(IF(SUM($AU33)&lt;=0,"",$AU33/$AY33),"")</f>
        <v/>
      </c>
      <c r="BB33" s="118" t="n">
        <f aca="false">_xlfn.IFNA(INDEX(Cascade!$BL:$BL,MATCH($E33,Cascade!$E:$E,0)),"")</f>
        <v>0.666666666666667</v>
      </c>
      <c r="BC33" s="118" t="str">
        <f aca="false">_xlfn.IFNA(INDEX(Cascade!$BO:$BO,MATCH($E33,Cascade!$E:$E,0)),"")</f>
        <v/>
      </c>
      <c r="BD33" s="118" t="n">
        <f aca="false">_xlfn.IFNA(INDEX(Cascade!$BR:$BR,MATCH($E33,Cascade!$E:$E,0)),"")</f>
        <v>0.333333333333333</v>
      </c>
    </row>
    <row r="34" customFormat="false" ht="15" hidden="false" customHeight="false" outlineLevel="0" collapsed="false">
      <c r="A34" s="0" t="s">
        <v>143</v>
      </c>
      <c r="B34" s="0" t="s">
        <v>115</v>
      </c>
      <c r="C34" s="0" t="s">
        <v>63</v>
      </c>
      <c r="D34" s="0" t="s">
        <v>56</v>
      </c>
      <c r="E34" s="0" t="str">
        <f aca="false">B34&amp;"|"&amp;C34&amp;"|"&amp;D34</f>
        <v>Butha Buthe [#SNU] [mvPRqBFtVC0]|15-19|Female</v>
      </c>
      <c r="F34" s="73" t="n">
        <f aca="false">_xlfn.IFNA(INDEX(Cascade!$F:$F,MATCH($E34,Cascade!$E:$E,0)),"")</f>
        <v>5631</v>
      </c>
      <c r="G34" s="73" t="n">
        <f aca="false">_xlfn.IFNA(INDEX(Cascade!$H:$H,MATCH($E34,Cascade!$E:$E,0)),"")</f>
        <v>208</v>
      </c>
      <c r="H34" s="118" t="n">
        <f aca="false">_xlfn.IFNA(INDEX(Cascade!$J:$J,MATCH($E34,Cascade!$E:$E,0)),"")</f>
        <v>0.0368598</v>
      </c>
      <c r="I34" s="73" t="n">
        <f aca="false">_xlfn.IFNA(INDEX(Cascade!$P:$P,MATCH($E34,Cascade!$E:$E,0)),"")</f>
        <v>158</v>
      </c>
      <c r="J34" s="118" t="n">
        <f aca="false">_xlfn.IFNA(INDEX(Cascade!$Y:$Y,MATCH($E34,Cascade!$E:$E,0)),"")</f>
        <v>0.759615384615385</v>
      </c>
      <c r="K34" s="75" t="str">
        <f aca="false">_xlfn.IFNA(ROUND(INDEX(Spectrum!$N:$N,MATCH(RIGHT($B34,13)&amp;"|"&amp;$C34&amp;"|"&amp;$D34&amp;"|"&amp;K$14&amp;"|"&amp;"CY2021Q3",Spectrum!$Q:$Q,0)),0),"")</f>
        <v/>
      </c>
      <c r="L34" s="75" t="str">
        <f aca="false">_xlfn.IFNA(ROUND(INDEX(Spectrum!$N:$N,MATCH(RIGHT($B34,13)&amp;"|"&amp;$C34&amp;"|"&amp;$D34&amp;"|"&amp;L$14&amp;"|"&amp;"CY2021Q3",Spectrum!$Q:$Q,0)),0),"")</f>
        <v/>
      </c>
      <c r="M34" s="75" t="str">
        <f aca="false">_xlfn.IFNA(ROUND(INDEX(Spectrum!$N:$N,MATCH(RIGHT($B34,13)&amp;"|"&amp;$C34&amp;"|"&amp;$D34&amp;"|"&amp;M$14&amp;"|"&amp;"CY2021Q3",Spectrum!$Q:$Q,0)),0),"")</f>
        <v/>
      </c>
      <c r="N34" s="75" t="str">
        <f aca="false">_xlfn.IFNA(ROUND(INDEX(Spectrum!$N:$N,MATCH(RIGHT($B34,13)&amp;"|"&amp;$C34&amp;"|"&amp;$D34&amp;"|"&amp;N$14&amp;"|"&amp;"CY2021Q3",Spectrum!$Q:$Q,0)),0),"")</f>
        <v/>
      </c>
      <c r="O34" s="75" t="str">
        <f aca="false">_xlfn.IFNA(ROUND(INDEX(Spectrum!$N:$N,MATCH(RIGHT($B34,13)&amp;"|"&amp;$C34&amp;"|"&amp;$D34&amp;"|"&amp;O$14&amp;"|"&amp;"CY2021Q3",Spectrum!$Q:$Q,0)),0),"")</f>
        <v/>
      </c>
      <c r="P34" s="75" t="str">
        <f aca="false">_xlfn.IFNA(ROUND(INDEX(Spectrum!$N:$N,MATCH(RIGHT($B34,13)&amp;"|"&amp;$C34&amp;"|"&amp;$D34&amp;"|"&amp;P$14&amp;"|"&amp;"CY2021Q3",Spectrum!$Q:$Q,0)),0),"")</f>
        <v/>
      </c>
      <c r="Q34" s="75" t="str">
        <f aca="false">_xlfn.IFNA(ROUND(INDEX(Spectrum!$N:$N,MATCH(RIGHT($B34,13)&amp;"|"&amp;$C34&amp;"|"&amp;$D34&amp;"|"&amp;Q$14&amp;"|"&amp;"CY2021Q3",Spectrum!$Q:$Q,0)),0),"")</f>
        <v/>
      </c>
      <c r="R34" s="73" t="n">
        <v>47</v>
      </c>
      <c r="S34" s="118" t="n">
        <f aca="false">IF(SUM($R34)&lt;=0,"",0%)</f>
        <v>0</v>
      </c>
      <c r="T34" s="75" t="n">
        <f aca="false">IF(SUM($R34)&lt;=0,"",ROUND(MIN($R34,$K34)*(1+$S34),0))</f>
        <v>47</v>
      </c>
      <c r="U34" s="118" t="n">
        <f aca="false">IF(SUM($K34)=0,IF(SUM($R34)=0,"",1),MIN(SUM($R34)/SUM($K34),1))</f>
        <v>1</v>
      </c>
      <c r="V34" s="118" t="n">
        <f aca="false">$U34</f>
        <v>1</v>
      </c>
      <c r="W34" s="75" t="n">
        <f aca="false">IF(SUM($T34)=0,"",ROUND(SUM($T34)/IF(SUM($V34)=0,1,SUM($V34)),0))</f>
        <v>47</v>
      </c>
      <c r="X34" s="118" t="n">
        <f aca="false">1</f>
        <v>1</v>
      </c>
      <c r="Y34" s="118" t="n">
        <v>22</v>
      </c>
      <c r="Z34" s="118" t="n">
        <f aca="false">IF(OR(SUM($K34)&lt;=0,SUM($L34)&lt;=0),IF(SUM($Y34)&lt;=0,"",$Y34),SUM($L34)/$K34)</f>
        <v>22</v>
      </c>
      <c r="AA34" s="118" t="n">
        <v>3</v>
      </c>
      <c r="AB34" s="118" t="n">
        <f aca="false">IF(OR((SUM($K34)-SUM($L34))&lt;=0,SUM($M34)&lt;=0),IF(SUM($AA34)&lt;=0,"",$AA34),SUM($M34)/($K34-SUM($L34)))</f>
        <v>3</v>
      </c>
      <c r="AC34" s="73" t="n">
        <f aca="false">IF(SUM($T34)&lt;=0,"",ROUND(SUM($T34)*$X34,0))</f>
        <v>47</v>
      </c>
      <c r="AD34" s="75" t="n">
        <f aca="false">IF(SUM($AC34)&lt;=0,"",ROUND($AC34*SUM($Z34),0))</f>
        <v>1034</v>
      </c>
      <c r="AE34" s="75" t="n">
        <f aca="false">IF(SUM($T34)&lt;=0,"",ROUND(($AC34-$AD34)*SUM($AB34),0))</f>
        <v>-2961</v>
      </c>
      <c r="AF34" s="75" t="n">
        <f aca="false">IF(SUM($AC34)&lt;=0,"",ROUND($AC34-$AD34-$AE34,0))</f>
        <v>1974</v>
      </c>
      <c r="AG34" s="73" t="n">
        <f aca="false">IF(SUM($W34)&lt;=0,"",ROUND(SUM($W34)*$X34,0))</f>
        <v>47</v>
      </c>
      <c r="AH34" s="75" t="n">
        <f aca="false">IF(SUM($AG34)&lt;=0,"",ROUND($AG34*SUM($Z34),0))</f>
        <v>1034</v>
      </c>
      <c r="AI34" s="75" t="n">
        <f aca="false">IF(SUM($W34)&lt;=0,"",ROUND(($AG34-$AH34)*SUM($AB34),0))</f>
        <v>-2961</v>
      </c>
      <c r="AJ34" s="75" t="n">
        <f aca="false">IF(SUM($AG34)&lt;=0,"",ROUND($AG34-$AH34-$AI34,0))</f>
        <v>1974</v>
      </c>
      <c r="AK34" s="118" t="n">
        <f aca="false">_xlfn.IFNA(INDEX(Cascade!$BA:$BA,MATCH($E34,Cascade!$E:$E,0)),"")</f>
        <v>0.95</v>
      </c>
      <c r="AL34" s="75" t="n">
        <f aca="false">IF(SUM($AD34)&lt;=0,"",$AD34)</f>
        <v>1034</v>
      </c>
      <c r="AM34" s="75" t="str">
        <f aca="false">IF(SUM($AE34)&lt;=0,"",ROUND($AE34*$AK34,0))</f>
        <v/>
      </c>
      <c r="AN34" s="75" t="n">
        <f aca="false">IF(AND(SUM($AH34)=0,SUM($AI34)=0),"",SUM($AH34)+SUM($AI34))</f>
        <v>-1927</v>
      </c>
      <c r="AO34" s="75" t="n">
        <f aca="false">IF(SUM($AH34)&lt;=0,"",$AH34)</f>
        <v>1034</v>
      </c>
      <c r="AP34" s="75" t="str">
        <f aca="false">IF(SUM($AI34)&lt;=0,"",ROUND($AI34*$AK34,0))</f>
        <v/>
      </c>
      <c r="AQ34" s="73" t="str">
        <f aca="false">IF(SUM($T34,$AD34,$AE34)&lt;=0,"",MAX(SUM($T34,-$AD34,-$AE34),$AF34))</f>
        <v/>
      </c>
      <c r="AR34" s="118"/>
      <c r="AS34" s="118" t="str">
        <f aca="false">IF(SUM(AR34)=0,"",$AR34)</f>
        <v/>
      </c>
      <c r="AT34" s="118" t="n">
        <f aca="false">0.95</f>
        <v>0.95</v>
      </c>
      <c r="AU34" s="75" t="str">
        <f aca="false">IF(SUM($AQ34)&lt;=0,"",ROUND(SUM($AQ34)*SUM($AS34),0))</f>
        <v/>
      </c>
      <c r="AV34" s="75" t="str">
        <f aca="false">IF(SUM($AQ34)&lt;=0,"",$AQ34-$AU34)</f>
        <v/>
      </c>
      <c r="AW34" s="73" t="str">
        <f aca="false">IF(SUM($AU34)&lt;=0,"",ROUND($AU34*$AT34,0))</f>
        <v/>
      </c>
      <c r="AX34" s="73" t="str">
        <f aca="false">IF(SUM($AE34,$AD34,$AU34)&lt;=0,"",SUM($AE34,$AD34,$AU34))</f>
        <v/>
      </c>
      <c r="AY34" s="73" t="n">
        <f aca="false">_xlfn.IFNA(INDEX(Cascade!$BD:$BD,MATCH($E34,Cascade!$E:$E,0)),"")</f>
        <v>6</v>
      </c>
      <c r="AZ34" s="118" t="str">
        <f aca="false">IFERROR(IF(SUM($AE34)&lt;=0,"",$AE34/$AY34),"")</f>
        <v/>
      </c>
      <c r="BA34" s="118" t="str">
        <f aca="false">IFERROR(IF(SUM($AU34)&lt;=0,"",$AU34/$AY34),"")</f>
        <v/>
      </c>
      <c r="BB34" s="118" t="n">
        <f aca="false">_xlfn.IFNA(INDEX(Cascade!$BL:$BL,MATCH($E34,Cascade!$E:$E,0)),"")</f>
        <v>0.5</v>
      </c>
      <c r="BC34" s="118" t="str">
        <f aca="false">_xlfn.IFNA(INDEX(Cascade!$BO:$BO,MATCH($E34,Cascade!$E:$E,0)),"")</f>
        <v/>
      </c>
      <c r="BD34" s="118" t="n">
        <f aca="false">_xlfn.IFNA(INDEX(Cascade!$BR:$BR,MATCH($E34,Cascade!$E:$E,0)),"")</f>
        <v>494</v>
      </c>
    </row>
    <row r="35" customFormat="false" ht="15" hidden="false" customHeight="false" outlineLevel="0" collapsed="false">
      <c r="A35" s="0" t="s">
        <v>143</v>
      </c>
      <c r="B35" s="0" t="s">
        <v>115</v>
      </c>
      <c r="C35" s="0" t="s">
        <v>66</v>
      </c>
      <c r="D35" s="0" t="s">
        <v>56</v>
      </c>
      <c r="E35" s="0" t="str">
        <f aca="false">B35&amp;"|"&amp;C35&amp;"|"&amp;D35</f>
        <v>Butha Buthe [#SNU] [mvPRqBFtVC0]|20-24|Female</v>
      </c>
      <c r="F35" s="73" t="n">
        <f aca="false">_xlfn.IFNA(INDEX(Cascade!$F:$F,MATCH($E35,Cascade!$E:$E,0)),"")</f>
        <v>5471</v>
      </c>
      <c r="G35" s="73" t="n">
        <f aca="false">_xlfn.IFNA(INDEX(Cascade!$H:$H,MATCH($E35,Cascade!$E:$E,0)),"")</f>
        <v>550</v>
      </c>
      <c r="H35" s="118" t="n">
        <f aca="false">_xlfn.IFNA(INDEX(Cascade!$J:$J,MATCH($E35,Cascade!$E:$E,0)),"")</f>
        <v>0.1004954</v>
      </c>
      <c r="I35" s="73" t="n">
        <f aca="false">_xlfn.IFNA(INDEX(Cascade!$P:$P,MATCH($E35,Cascade!$E:$E,0)),"")</f>
        <v>370</v>
      </c>
      <c r="J35" s="118" t="n">
        <f aca="false">_xlfn.IFNA(INDEX(Cascade!$Y:$Y,MATCH($E35,Cascade!$E:$E,0)),"")</f>
        <v>0.672727272727273</v>
      </c>
      <c r="K35" s="75" t="str">
        <f aca="false">_xlfn.IFNA(ROUND(INDEX(Spectrum!$N:$N,MATCH(RIGHT($B35,13)&amp;"|"&amp;$C35&amp;"|"&amp;$D35&amp;"|"&amp;K$14&amp;"|"&amp;"CY2021Q3",Spectrum!$Q:$Q,0)),0),"")</f>
        <v/>
      </c>
      <c r="L35" s="75" t="str">
        <f aca="false">_xlfn.IFNA(ROUND(INDEX(Spectrum!$N:$N,MATCH(RIGHT($B35,13)&amp;"|"&amp;$C35&amp;"|"&amp;$D35&amp;"|"&amp;L$14&amp;"|"&amp;"CY2021Q3",Spectrum!$Q:$Q,0)),0),"")</f>
        <v/>
      </c>
      <c r="M35" s="75" t="str">
        <f aca="false">_xlfn.IFNA(ROUND(INDEX(Spectrum!$N:$N,MATCH(RIGHT($B35,13)&amp;"|"&amp;$C35&amp;"|"&amp;$D35&amp;"|"&amp;M$14&amp;"|"&amp;"CY2021Q3",Spectrum!$Q:$Q,0)),0),"")</f>
        <v/>
      </c>
      <c r="N35" s="75" t="str">
        <f aca="false">_xlfn.IFNA(ROUND(INDEX(Spectrum!$N:$N,MATCH(RIGHT($B35,13)&amp;"|"&amp;$C35&amp;"|"&amp;$D35&amp;"|"&amp;N$14&amp;"|"&amp;"CY2021Q3",Spectrum!$Q:$Q,0)),0),"")</f>
        <v/>
      </c>
      <c r="O35" s="75" t="str">
        <f aca="false">_xlfn.IFNA(ROUND(INDEX(Spectrum!$N:$N,MATCH(RIGHT($B35,13)&amp;"|"&amp;$C35&amp;"|"&amp;$D35&amp;"|"&amp;O$14&amp;"|"&amp;"CY2021Q3",Spectrum!$Q:$Q,0)),0),"")</f>
        <v/>
      </c>
      <c r="P35" s="75" t="str">
        <f aca="false">_xlfn.IFNA(ROUND(INDEX(Spectrum!$N:$N,MATCH(RIGHT($B35,13)&amp;"|"&amp;$C35&amp;"|"&amp;$D35&amp;"|"&amp;P$14&amp;"|"&amp;"CY2021Q3",Spectrum!$Q:$Q,0)),0),"")</f>
        <v/>
      </c>
      <c r="Q35" s="75" t="str">
        <f aca="false">_xlfn.IFNA(ROUND(INDEX(Spectrum!$N:$N,MATCH(RIGHT($B35,13)&amp;"|"&amp;$C35&amp;"|"&amp;$D35&amp;"|"&amp;Q$14&amp;"|"&amp;"CY2021Q3",Spectrum!$Q:$Q,0)),0),"")</f>
        <v/>
      </c>
      <c r="R35" s="73" t="n">
        <v>10</v>
      </c>
      <c r="S35" s="118" t="n">
        <f aca="false">IF(SUM($R35)&lt;=0,"",0%)</f>
        <v>0</v>
      </c>
      <c r="T35" s="75" t="n">
        <f aca="false">IF(SUM($R35)&lt;=0,"",ROUND(MIN($R35,$K35)*(1+$S35),0))</f>
        <v>10</v>
      </c>
      <c r="U35" s="118" t="n">
        <f aca="false">IF(SUM($K35)=0,IF(SUM($R35)=0,"",1),MIN(SUM($R35)/SUM($K35),1))</f>
        <v>1</v>
      </c>
      <c r="V35" s="118" t="n">
        <f aca="false">$U35</f>
        <v>1</v>
      </c>
      <c r="W35" s="75" t="n">
        <f aca="false">IF(SUM($T35)=0,"",ROUND(SUM($T35)/IF(SUM($V35)=0,1,SUM($V35)),0))</f>
        <v>10</v>
      </c>
      <c r="X35" s="118" t="n">
        <f aca="false">1</f>
        <v>1</v>
      </c>
      <c r="Y35" s="118" t="n">
        <v>37</v>
      </c>
      <c r="Z35" s="118" t="n">
        <f aca="false">IF(OR(SUM($K35)&lt;=0,SUM($L35)&lt;=0),IF(SUM($Y35)&lt;=0,"",$Y35),SUM($L35)/$K35)</f>
        <v>37</v>
      </c>
      <c r="AA35" s="118" t="n">
        <v>13</v>
      </c>
      <c r="AB35" s="118" t="n">
        <f aca="false">IF(OR((SUM($K35)-SUM($L35))&lt;=0,SUM($M35)&lt;=0),IF(SUM($AA35)&lt;=0,"",$AA35),SUM($M35)/($K35-SUM($L35)))</f>
        <v>13</v>
      </c>
      <c r="AC35" s="73" t="n">
        <f aca="false">IF(SUM($T35)&lt;=0,"",ROUND(SUM($T35)*$X35,0))</f>
        <v>10</v>
      </c>
      <c r="AD35" s="75" t="n">
        <f aca="false">IF(SUM($AC35)&lt;=0,"",ROUND($AC35*SUM($Z35),0))</f>
        <v>370</v>
      </c>
      <c r="AE35" s="75" t="n">
        <f aca="false">IF(SUM($T35)&lt;=0,"",ROUND(($AC35-$AD35)*SUM($AB35),0))</f>
        <v>-4680</v>
      </c>
      <c r="AF35" s="75" t="n">
        <f aca="false">IF(SUM($AC35)&lt;=0,"",ROUND($AC35-$AD35-$AE35,0))</f>
        <v>4320</v>
      </c>
      <c r="AG35" s="73" t="n">
        <f aca="false">IF(SUM($W35)&lt;=0,"",ROUND(SUM($W35)*$X35,0))</f>
        <v>10</v>
      </c>
      <c r="AH35" s="75" t="n">
        <f aca="false">IF(SUM($AG35)&lt;=0,"",ROUND($AG35*SUM($Z35),0))</f>
        <v>370</v>
      </c>
      <c r="AI35" s="75" t="n">
        <f aca="false">IF(SUM($W35)&lt;=0,"",ROUND(($AG35-$AH35)*SUM($AB35),0))</f>
        <v>-4680</v>
      </c>
      <c r="AJ35" s="75" t="n">
        <f aca="false">IF(SUM($AG35)&lt;=0,"",ROUND($AG35-$AH35-$AI35,0))</f>
        <v>4320</v>
      </c>
      <c r="AK35" s="118" t="n">
        <f aca="false">_xlfn.IFNA(INDEX(Cascade!$BA:$BA,MATCH($E35,Cascade!$E:$E,0)),"")</f>
        <v>0.95</v>
      </c>
      <c r="AL35" s="75" t="n">
        <f aca="false">IF(SUM($AD35)&lt;=0,"",$AD35)</f>
        <v>370</v>
      </c>
      <c r="AM35" s="75" t="str">
        <f aca="false">IF(SUM($AE35)&lt;=0,"",ROUND($AE35*$AK35,0))</f>
        <v/>
      </c>
      <c r="AN35" s="75" t="n">
        <f aca="false">IF(AND(SUM($AH35)=0,SUM($AI35)=0),"",SUM($AH35)+SUM($AI35))</f>
        <v>-4310</v>
      </c>
      <c r="AO35" s="75" t="n">
        <f aca="false">IF(SUM($AH35)&lt;=0,"",$AH35)</f>
        <v>370</v>
      </c>
      <c r="AP35" s="75" t="str">
        <f aca="false">IF(SUM($AI35)&lt;=0,"",ROUND($AI35*$AK35,0))</f>
        <v/>
      </c>
      <c r="AQ35" s="73" t="str">
        <f aca="false">IF(SUM($T35,$AD35,$AE35)&lt;=0,"",MAX(SUM($T35,-$AD35,-$AE35),$AF35))</f>
        <v/>
      </c>
      <c r="AR35" s="118"/>
      <c r="AS35" s="118" t="str">
        <f aca="false">IF(SUM(AR35)=0,"",$AR35)</f>
        <v/>
      </c>
      <c r="AT35" s="118" t="n">
        <f aca="false">0.95</f>
        <v>0.95</v>
      </c>
      <c r="AU35" s="75" t="str">
        <f aca="false">IF(SUM($AQ35)&lt;=0,"",ROUND(SUM($AQ35)*SUM($AS35),0))</f>
        <v/>
      </c>
      <c r="AV35" s="75" t="str">
        <f aca="false">IF(SUM($AQ35)&lt;=0,"",$AQ35-$AU35)</f>
        <v/>
      </c>
      <c r="AW35" s="73" t="str">
        <f aca="false">IF(SUM($AU35)&lt;=0,"",ROUND($AU35*$AT35,0))</f>
        <v/>
      </c>
      <c r="AX35" s="73" t="str">
        <f aca="false">IF(SUM($AE35,$AD35,$AU35)&lt;=0,"",SUM($AE35,$AD35,$AU35))</f>
        <v/>
      </c>
      <c r="AY35" s="73" t="n">
        <f aca="false">_xlfn.IFNA(INDEX(Cascade!$BD:$BD,MATCH($E35,Cascade!$E:$E,0)),"")</f>
        <v>15</v>
      </c>
      <c r="AZ35" s="118" t="str">
        <f aca="false">IFERROR(IF(SUM($AE35)&lt;=0,"",$AE35/$AY35),"")</f>
        <v/>
      </c>
      <c r="BA35" s="118" t="str">
        <f aca="false">IFERROR(IF(SUM($AU35)&lt;=0,"",$AU35/$AY35),"")</f>
        <v/>
      </c>
      <c r="BB35" s="118" t="n">
        <f aca="false">_xlfn.IFNA(INDEX(Cascade!$BL:$BL,MATCH($E35,Cascade!$E:$E,0)),"")</f>
        <v>0.333333333333333</v>
      </c>
      <c r="BC35" s="118" t="n">
        <f aca="false">_xlfn.IFNA(INDEX(Cascade!$BO:$BO,MATCH($E35,Cascade!$E:$E,0)),"")</f>
        <v>7.73333333333333</v>
      </c>
      <c r="BD35" s="118" t="n">
        <f aca="false">_xlfn.IFNA(INDEX(Cascade!$BR:$BR,MATCH($E35,Cascade!$E:$E,0)),"")</f>
        <v>304.933333333333</v>
      </c>
    </row>
    <row r="36" customFormat="false" ht="15" hidden="false" customHeight="false" outlineLevel="0" collapsed="false">
      <c r="A36" s="0" t="s">
        <v>143</v>
      </c>
      <c r="B36" s="0" t="s">
        <v>115</v>
      </c>
      <c r="C36" s="0" t="s">
        <v>69</v>
      </c>
      <c r="D36" s="0" t="s">
        <v>56</v>
      </c>
      <c r="E36" s="0" t="str">
        <f aca="false">B36&amp;"|"&amp;C36&amp;"|"&amp;D36</f>
        <v>Butha Buthe [#SNU] [mvPRqBFtVC0]|25-29|Female</v>
      </c>
      <c r="F36" s="73" t="n">
        <f aca="false">_xlfn.IFNA(INDEX(Cascade!$F:$F,MATCH($E36,Cascade!$E:$E,0)),"")</f>
        <v>5563</v>
      </c>
      <c r="G36" s="73" t="n">
        <f aca="false">_xlfn.IFNA(INDEX(Cascade!$H:$H,MATCH($E36,Cascade!$E:$E,0)),"")</f>
        <v>1040</v>
      </c>
      <c r="H36" s="118" t="n">
        <f aca="false">_xlfn.IFNA(INDEX(Cascade!$J:$J,MATCH($E36,Cascade!$E:$E,0)),"")</f>
        <v>0.1869784</v>
      </c>
      <c r="I36" s="73" t="n">
        <f aca="false">_xlfn.IFNA(INDEX(Cascade!$P:$P,MATCH($E36,Cascade!$E:$E,0)),"")</f>
        <v>703</v>
      </c>
      <c r="J36" s="118" t="n">
        <f aca="false">_xlfn.IFNA(INDEX(Cascade!$Y:$Y,MATCH($E36,Cascade!$E:$E,0)),"")</f>
        <v>0.675961538461539</v>
      </c>
      <c r="K36" s="75" t="str">
        <f aca="false">_xlfn.IFNA(ROUND(INDEX(Spectrum!$N:$N,MATCH(RIGHT($B36,13)&amp;"|"&amp;$C36&amp;"|"&amp;$D36&amp;"|"&amp;K$14&amp;"|"&amp;"CY2021Q3",Spectrum!$Q:$Q,0)),0),"")</f>
        <v/>
      </c>
      <c r="L36" s="75" t="str">
        <f aca="false">_xlfn.IFNA(ROUND(INDEX(Spectrum!$N:$N,MATCH(RIGHT($B36,13)&amp;"|"&amp;$C36&amp;"|"&amp;$D36&amp;"|"&amp;L$14&amp;"|"&amp;"CY2021Q3",Spectrum!$Q:$Q,0)),0),"")</f>
        <v/>
      </c>
      <c r="M36" s="75" t="str">
        <f aca="false">_xlfn.IFNA(ROUND(INDEX(Spectrum!$N:$N,MATCH(RIGHT($B36,13)&amp;"|"&amp;$C36&amp;"|"&amp;$D36&amp;"|"&amp;M$14&amp;"|"&amp;"CY2021Q3",Spectrum!$Q:$Q,0)),0),"")</f>
        <v/>
      </c>
      <c r="N36" s="75" t="str">
        <f aca="false">_xlfn.IFNA(ROUND(INDEX(Spectrum!$N:$N,MATCH(RIGHT($B36,13)&amp;"|"&amp;$C36&amp;"|"&amp;$D36&amp;"|"&amp;N$14&amp;"|"&amp;"CY2021Q3",Spectrum!$Q:$Q,0)),0),"")</f>
        <v/>
      </c>
      <c r="O36" s="75" t="str">
        <f aca="false">_xlfn.IFNA(ROUND(INDEX(Spectrum!$N:$N,MATCH(RIGHT($B36,13)&amp;"|"&amp;$C36&amp;"|"&amp;$D36&amp;"|"&amp;O$14&amp;"|"&amp;"CY2021Q3",Spectrum!$Q:$Q,0)),0),"")</f>
        <v/>
      </c>
      <c r="P36" s="75" t="str">
        <f aca="false">_xlfn.IFNA(ROUND(INDEX(Spectrum!$N:$N,MATCH(RIGHT($B36,13)&amp;"|"&amp;$C36&amp;"|"&amp;$D36&amp;"|"&amp;P$14&amp;"|"&amp;"CY2021Q3",Spectrum!$Q:$Q,0)),0),"")</f>
        <v/>
      </c>
      <c r="Q36" s="75" t="str">
        <f aca="false">_xlfn.IFNA(ROUND(INDEX(Spectrum!$N:$N,MATCH(RIGHT($B36,13)&amp;"|"&amp;$C36&amp;"|"&amp;$D36&amp;"|"&amp;Q$14&amp;"|"&amp;"CY2021Q3",Spectrum!$Q:$Q,0)),0),"")</f>
        <v/>
      </c>
      <c r="R36" s="73" t="n">
        <v>25</v>
      </c>
      <c r="S36" s="118" t="n">
        <f aca="false">IF(SUM($R36)&lt;=0,"",0%)</f>
        <v>0</v>
      </c>
      <c r="T36" s="75" t="n">
        <f aca="false">IF(SUM($R36)&lt;=0,"",ROUND(MIN($R36,$K36)*(1+$S36),0))</f>
        <v>25</v>
      </c>
      <c r="U36" s="118" t="n">
        <f aca="false">IF(SUM($K36)=0,IF(SUM($R36)=0,"",1),MIN(SUM($R36)/SUM($K36),1))</f>
        <v>1</v>
      </c>
      <c r="V36" s="118" t="n">
        <f aca="false">$U36</f>
        <v>1</v>
      </c>
      <c r="W36" s="75" t="n">
        <f aca="false">IF(SUM($T36)=0,"",ROUND(SUM($T36)/IF(SUM($V36)=0,1,SUM($V36)),0))</f>
        <v>25</v>
      </c>
      <c r="X36" s="118" t="n">
        <f aca="false">1</f>
        <v>1</v>
      </c>
      <c r="Y36" s="118" t="n">
        <v>28</v>
      </c>
      <c r="Z36" s="118" t="n">
        <f aca="false">IF(OR(SUM($K36)&lt;=0,SUM($L36)&lt;=0),IF(SUM($Y36)&lt;=0,"",$Y36),SUM($L36)/$K36)</f>
        <v>28</v>
      </c>
      <c r="AA36" s="118" t="n">
        <v>41</v>
      </c>
      <c r="AB36" s="118" t="n">
        <f aca="false">IF(OR((SUM($K36)-SUM($L36))&lt;=0,SUM($M36)&lt;=0),IF(SUM($AA36)&lt;=0,"",$AA36),SUM($M36)/($K36-SUM($L36)))</f>
        <v>41</v>
      </c>
      <c r="AC36" s="73" t="n">
        <f aca="false">IF(SUM($T36)&lt;=0,"",ROUND(SUM($T36)*$X36,0))</f>
        <v>25</v>
      </c>
      <c r="AD36" s="75" t="n">
        <f aca="false">IF(SUM($AC36)&lt;=0,"",ROUND($AC36*SUM($Z36),0))</f>
        <v>700</v>
      </c>
      <c r="AE36" s="75" t="n">
        <f aca="false">IF(SUM($T36)&lt;=0,"",ROUND(($AC36-$AD36)*SUM($AB36),0))</f>
        <v>-27675</v>
      </c>
      <c r="AF36" s="75" t="n">
        <f aca="false">IF(SUM($AC36)&lt;=0,"",ROUND($AC36-$AD36-$AE36,0))</f>
        <v>27000</v>
      </c>
      <c r="AG36" s="73" t="n">
        <f aca="false">IF(SUM($W36)&lt;=0,"",ROUND(SUM($W36)*$X36,0))</f>
        <v>25</v>
      </c>
      <c r="AH36" s="75" t="n">
        <f aca="false">IF(SUM($AG36)&lt;=0,"",ROUND($AG36*SUM($Z36),0))</f>
        <v>700</v>
      </c>
      <c r="AI36" s="75" t="n">
        <f aca="false">IF(SUM($W36)&lt;=0,"",ROUND(($AG36-$AH36)*SUM($AB36),0))</f>
        <v>-27675</v>
      </c>
      <c r="AJ36" s="75" t="n">
        <f aca="false">IF(SUM($AG36)&lt;=0,"",ROUND($AG36-$AH36-$AI36,0))</f>
        <v>27000</v>
      </c>
      <c r="AK36" s="118" t="n">
        <f aca="false">_xlfn.IFNA(INDEX(Cascade!$BA:$BA,MATCH($E36,Cascade!$E:$E,0)),"")</f>
        <v>0.95</v>
      </c>
      <c r="AL36" s="75" t="n">
        <f aca="false">IF(SUM($AD36)&lt;=0,"",$AD36)</f>
        <v>700</v>
      </c>
      <c r="AM36" s="75" t="str">
        <f aca="false">IF(SUM($AE36)&lt;=0,"",ROUND($AE36*$AK36,0))</f>
        <v/>
      </c>
      <c r="AN36" s="75" t="n">
        <f aca="false">IF(AND(SUM($AH36)=0,SUM($AI36)=0),"",SUM($AH36)+SUM($AI36))</f>
        <v>-26975</v>
      </c>
      <c r="AO36" s="75" t="n">
        <f aca="false">IF(SUM($AH36)&lt;=0,"",$AH36)</f>
        <v>700</v>
      </c>
      <c r="AP36" s="75" t="str">
        <f aca="false">IF(SUM($AI36)&lt;=0,"",ROUND($AI36*$AK36,0))</f>
        <v/>
      </c>
      <c r="AQ36" s="73" t="str">
        <f aca="false">IF(SUM($T36,$AD36,$AE36)&lt;=0,"",MAX(SUM($T36,-$AD36,-$AE36),$AF36))</f>
        <v/>
      </c>
      <c r="AR36" s="118"/>
      <c r="AS36" s="118" t="str">
        <f aca="false">IF(SUM(AR36)=0,"",$AR36)</f>
        <v/>
      </c>
      <c r="AT36" s="118" t="n">
        <f aca="false">0.95</f>
        <v>0.95</v>
      </c>
      <c r="AU36" s="75" t="str">
        <f aca="false">IF(SUM($AQ36)&lt;=0,"",ROUND(SUM($AQ36)*SUM($AS36),0))</f>
        <v/>
      </c>
      <c r="AV36" s="75" t="str">
        <f aca="false">IF(SUM($AQ36)&lt;=0,"",$AQ36-$AU36)</f>
        <v/>
      </c>
      <c r="AW36" s="73" t="str">
        <f aca="false">IF(SUM($AU36)&lt;=0,"",ROUND($AU36*$AT36,0))</f>
        <v/>
      </c>
      <c r="AX36" s="73" t="str">
        <f aca="false">IF(SUM($AE36,$AD36,$AU36)&lt;=0,"",SUM($AE36,$AD36,$AU36))</f>
        <v/>
      </c>
      <c r="AY36" s="73" t="n">
        <f aca="false">_xlfn.IFNA(INDEX(Cascade!$BD:$BD,MATCH($E36,Cascade!$E:$E,0)),"")</f>
        <v>8</v>
      </c>
      <c r="AZ36" s="118" t="str">
        <f aca="false">IFERROR(IF(SUM($AE36)&lt;=0,"",$AE36/$AY36),"")</f>
        <v/>
      </c>
      <c r="BA36" s="118" t="str">
        <f aca="false">IFERROR(IF(SUM($AU36)&lt;=0,"",$AU36/$AY36),"")</f>
        <v/>
      </c>
      <c r="BB36" s="118" t="n">
        <f aca="false">_xlfn.IFNA(INDEX(Cascade!$BL:$BL,MATCH($E36,Cascade!$E:$E,0)),"")</f>
        <v>0.25</v>
      </c>
      <c r="BC36" s="118" t="n">
        <f aca="false">_xlfn.IFNA(INDEX(Cascade!$BO:$BO,MATCH($E36,Cascade!$E:$E,0)),"")</f>
        <v>-1512.5</v>
      </c>
      <c r="BD36" s="118" t="n">
        <f aca="false">_xlfn.IFNA(INDEX(Cascade!$BR:$BR,MATCH($E36,Cascade!$E:$E,0)),"")</f>
        <v>4972.625</v>
      </c>
    </row>
    <row r="37" customFormat="false" ht="15" hidden="false" customHeight="false" outlineLevel="0" collapsed="false">
      <c r="A37" s="0" t="s">
        <v>143</v>
      </c>
      <c r="B37" s="0" t="s">
        <v>115</v>
      </c>
      <c r="C37" s="0" t="s">
        <v>72</v>
      </c>
      <c r="D37" s="0" t="s">
        <v>56</v>
      </c>
      <c r="E37" s="0" t="str">
        <f aca="false">B37&amp;"|"&amp;C37&amp;"|"&amp;D37</f>
        <v>Butha Buthe [#SNU] [mvPRqBFtVC0]|30-34|Female</v>
      </c>
      <c r="F37" s="73" t="n">
        <f aca="false">_xlfn.IFNA(INDEX(Cascade!$F:$F,MATCH($E37,Cascade!$E:$E,0)),"")</f>
        <v>5271</v>
      </c>
      <c r="G37" s="73" t="n">
        <f aca="false">_xlfn.IFNA(INDEX(Cascade!$H:$H,MATCH($E37,Cascade!$E:$E,0)),"")</f>
        <v>1477</v>
      </c>
      <c r="H37" s="118" t="n">
        <f aca="false">_xlfn.IFNA(INDEX(Cascade!$J:$J,MATCH($E37,Cascade!$E:$E,0)),"")</f>
        <v>0.280281</v>
      </c>
      <c r="I37" s="73" t="n">
        <f aca="false">_xlfn.IFNA(INDEX(Cascade!$P:$P,MATCH($E37,Cascade!$E:$E,0)),"")</f>
        <v>966</v>
      </c>
      <c r="J37" s="118" t="n">
        <f aca="false">_xlfn.IFNA(INDEX(Cascade!$Y:$Y,MATCH($E37,Cascade!$E:$E,0)),"")</f>
        <v>0.654028436018957</v>
      </c>
      <c r="K37" s="75" t="str">
        <f aca="false">_xlfn.IFNA(ROUND(INDEX(Spectrum!$N:$N,MATCH(RIGHT($B37,13)&amp;"|"&amp;$C37&amp;"|"&amp;$D37&amp;"|"&amp;K$14&amp;"|"&amp;"CY2021Q3",Spectrum!$Q:$Q,0)),0),"")</f>
        <v/>
      </c>
      <c r="L37" s="75" t="str">
        <f aca="false">_xlfn.IFNA(ROUND(INDEX(Spectrum!$N:$N,MATCH(RIGHT($B37,13)&amp;"|"&amp;$C37&amp;"|"&amp;$D37&amp;"|"&amp;L$14&amp;"|"&amp;"CY2021Q3",Spectrum!$Q:$Q,0)),0),"")</f>
        <v/>
      </c>
      <c r="M37" s="75" t="str">
        <f aca="false">_xlfn.IFNA(ROUND(INDEX(Spectrum!$N:$N,MATCH(RIGHT($B37,13)&amp;"|"&amp;$C37&amp;"|"&amp;$D37&amp;"|"&amp;M$14&amp;"|"&amp;"CY2021Q3",Spectrum!$Q:$Q,0)),0),"")</f>
        <v/>
      </c>
      <c r="N37" s="75" t="str">
        <f aca="false">_xlfn.IFNA(ROUND(INDEX(Spectrum!$N:$N,MATCH(RIGHT($B37,13)&amp;"|"&amp;$C37&amp;"|"&amp;$D37&amp;"|"&amp;N$14&amp;"|"&amp;"CY2021Q3",Spectrum!$Q:$Q,0)),0),"")</f>
        <v/>
      </c>
      <c r="O37" s="75" t="str">
        <f aca="false">_xlfn.IFNA(ROUND(INDEX(Spectrum!$N:$N,MATCH(RIGHT($B37,13)&amp;"|"&amp;$C37&amp;"|"&amp;$D37&amp;"|"&amp;O$14&amp;"|"&amp;"CY2021Q3",Spectrum!$Q:$Q,0)),0),"")</f>
        <v/>
      </c>
      <c r="P37" s="75" t="str">
        <f aca="false">_xlfn.IFNA(ROUND(INDEX(Spectrum!$N:$N,MATCH(RIGHT($B37,13)&amp;"|"&amp;$C37&amp;"|"&amp;$D37&amp;"|"&amp;P$14&amp;"|"&amp;"CY2021Q3",Spectrum!$Q:$Q,0)),0),"")</f>
        <v/>
      </c>
      <c r="Q37" s="75" t="str">
        <f aca="false">_xlfn.IFNA(ROUND(INDEX(Spectrum!$N:$N,MATCH(RIGHT($B37,13)&amp;"|"&amp;$C37&amp;"|"&amp;$D37&amp;"|"&amp;Q$14&amp;"|"&amp;"CY2021Q3",Spectrum!$Q:$Q,0)),0),"")</f>
        <v/>
      </c>
      <c r="R37" s="73" t="n">
        <v>15</v>
      </c>
      <c r="S37" s="118" t="n">
        <f aca="false">IF(SUM($R37)&lt;=0,"",0%)</f>
        <v>0</v>
      </c>
      <c r="T37" s="75" t="n">
        <f aca="false">IF(SUM($R37)&lt;=0,"",ROUND(MIN($R37,$K37)*(1+$S37),0))</f>
        <v>15</v>
      </c>
      <c r="U37" s="118" t="n">
        <f aca="false">IF(SUM($K37)=0,IF(SUM($R37)=0,"",1),MIN(SUM($R37)/SUM($K37),1))</f>
        <v>1</v>
      </c>
      <c r="V37" s="118" t="n">
        <f aca="false">$U37</f>
        <v>1</v>
      </c>
      <c r="W37" s="75" t="n">
        <f aca="false">IF(SUM($T37)=0,"",ROUND(SUM($T37)/IF(SUM($V37)=0,1,SUM($V37)),0))</f>
        <v>15</v>
      </c>
      <c r="X37" s="118" t="n">
        <f aca="false">1</f>
        <v>1</v>
      </c>
      <c r="Y37" s="118" t="n">
        <v>30</v>
      </c>
      <c r="Z37" s="118" t="n">
        <f aca="false">IF(OR(SUM($K37)&lt;=0,SUM($L37)&lt;=0),IF(SUM($Y37)&lt;=0,"",$Y37),SUM($L37)/$K37)</f>
        <v>30</v>
      </c>
      <c r="AA37" s="118" t="n">
        <v>13</v>
      </c>
      <c r="AB37" s="118" t="n">
        <f aca="false">IF(OR((SUM($K37)-SUM($L37))&lt;=0,SUM($M37)&lt;=0),IF(SUM($AA37)&lt;=0,"",$AA37),SUM($M37)/($K37-SUM($L37)))</f>
        <v>13</v>
      </c>
      <c r="AC37" s="73" t="n">
        <f aca="false">IF(SUM($T37)&lt;=0,"",ROUND(SUM($T37)*$X37,0))</f>
        <v>15</v>
      </c>
      <c r="AD37" s="75" t="n">
        <f aca="false">IF(SUM($AC37)&lt;=0,"",ROUND($AC37*SUM($Z37),0))</f>
        <v>450</v>
      </c>
      <c r="AE37" s="75" t="n">
        <f aca="false">IF(SUM($T37)&lt;=0,"",ROUND(($AC37-$AD37)*SUM($AB37),0))</f>
        <v>-5655</v>
      </c>
      <c r="AF37" s="75" t="n">
        <f aca="false">IF(SUM($AC37)&lt;=0,"",ROUND($AC37-$AD37-$AE37,0))</f>
        <v>5220</v>
      </c>
      <c r="AG37" s="73" t="n">
        <f aca="false">IF(SUM($W37)&lt;=0,"",ROUND(SUM($W37)*$X37,0))</f>
        <v>15</v>
      </c>
      <c r="AH37" s="75" t="n">
        <f aca="false">IF(SUM($AG37)&lt;=0,"",ROUND($AG37*SUM($Z37),0))</f>
        <v>450</v>
      </c>
      <c r="AI37" s="75" t="n">
        <f aca="false">IF(SUM($W37)&lt;=0,"",ROUND(($AG37-$AH37)*SUM($AB37),0))</f>
        <v>-5655</v>
      </c>
      <c r="AJ37" s="75" t="n">
        <f aca="false">IF(SUM($AG37)&lt;=0,"",ROUND($AG37-$AH37-$AI37,0))</f>
        <v>5220</v>
      </c>
      <c r="AK37" s="118" t="n">
        <f aca="false">_xlfn.IFNA(INDEX(Cascade!$BA:$BA,MATCH($E37,Cascade!$E:$E,0)),"")</f>
        <v>0.95</v>
      </c>
      <c r="AL37" s="75" t="n">
        <f aca="false">IF(SUM($AD37)&lt;=0,"",$AD37)</f>
        <v>450</v>
      </c>
      <c r="AM37" s="75" t="str">
        <f aca="false">IF(SUM($AE37)&lt;=0,"",ROUND($AE37*$AK37,0))</f>
        <v/>
      </c>
      <c r="AN37" s="75" t="n">
        <f aca="false">IF(AND(SUM($AH37)=0,SUM($AI37)=0),"",SUM($AH37)+SUM($AI37))</f>
        <v>-5205</v>
      </c>
      <c r="AO37" s="75" t="n">
        <f aca="false">IF(SUM($AH37)&lt;=0,"",$AH37)</f>
        <v>450</v>
      </c>
      <c r="AP37" s="75" t="str">
        <f aca="false">IF(SUM($AI37)&lt;=0,"",ROUND($AI37*$AK37,0))</f>
        <v/>
      </c>
      <c r="AQ37" s="73" t="str">
        <f aca="false">IF(SUM($T37,$AD37,$AE37)&lt;=0,"",MAX(SUM($T37,-$AD37,-$AE37),$AF37))</f>
        <v/>
      </c>
      <c r="AR37" s="118"/>
      <c r="AS37" s="118" t="str">
        <f aca="false">IF(SUM(AR37)=0,"",$AR37)</f>
        <v/>
      </c>
      <c r="AT37" s="118" t="n">
        <f aca="false">0.95</f>
        <v>0.95</v>
      </c>
      <c r="AU37" s="75" t="str">
        <f aca="false">IF(SUM($AQ37)&lt;=0,"",ROUND(SUM($AQ37)*SUM($AS37),0))</f>
        <v/>
      </c>
      <c r="AV37" s="75" t="str">
        <f aca="false">IF(SUM($AQ37)&lt;=0,"",$AQ37-$AU37)</f>
        <v/>
      </c>
      <c r="AW37" s="73" t="str">
        <f aca="false">IF(SUM($AU37)&lt;=0,"",ROUND($AU37*$AT37,0))</f>
        <v/>
      </c>
      <c r="AX37" s="73" t="str">
        <f aca="false">IF(SUM($AE37,$AD37,$AU37)&lt;=0,"",SUM($AE37,$AD37,$AU37))</f>
        <v/>
      </c>
      <c r="AY37" s="73" t="n">
        <f aca="false">_xlfn.IFNA(INDEX(Cascade!$BD:$BD,MATCH($E37,Cascade!$E:$E,0)),"")</f>
        <v>17</v>
      </c>
      <c r="AZ37" s="118" t="str">
        <f aca="false">IFERROR(IF(SUM($AE37)&lt;=0,"",$AE37/$AY37),"")</f>
        <v/>
      </c>
      <c r="BA37" s="118" t="str">
        <f aca="false">IFERROR(IF(SUM($AU37)&lt;=0,"",$AU37/$AY37),"")</f>
        <v/>
      </c>
      <c r="BB37" s="118" t="n">
        <f aca="false">_xlfn.IFNA(INDEX(Cascade!$BL:$BL,MATCH($E37,Cascade!$E:$E,0)),"")</f>
        <v>0.294117647058823</v>
      </c>
      <c r="BC37" s="118" t="n">
        <f aca="false">_xlfn.IFNA(INDEX(Cascade!$BO:$BO,MATCH($E37,Cascade!$E:$E,0)),"")</f>
        <v>-444.705882352941</v>
      </c>
      <c r="BD37" s="118" t="n">
        <f aca="false">_xlfn.IFNA(INDEX(Cascade!$BR:$BR,MATCH($E37,Cascade!$E:$E,0)),"")</f>
        <v>778.058823529412</v>
      </c>
    </row>
    <row r="38" customFormat="false" ht="15" hidden="false" customHeight="false" outlineLevel="0" collapsed="false">
      <c r="A38" s="0" t="s">
        <v>143</v>
      </c>
      <c r="B38" s="0" t="s">
        <v>115</v>
      </c>
      <c r="C38" s="0" t="s">
        <v>75</v>
      </c>
      <c r="D38" s="0" t="s">
        <v>56</v>
      </c>
      <c r="E38" s="0" t="str">
        <f aca="false">B38&amp;"|"&amp;C38&amp;"|"&amp;D38</f>
        <v>Butha Buthe [#SNU] [mvPRqBFtVC0]|35-39|Female</v>
      </c>
      <c r="F38" s="73" t="n">
        <f aca="false">_xlfn.IFNA(INDEX(Cascade!$F:$F,MATCH($E38,Cascade!$E:$E,0)),"")</f>
        <v>3873</v>
      </c>
      <c r="G38" s="73" t="n">
        <f aca="false">_xlfn.IFNA(INDEX(Cascade!$H:$H,MATCH($E38,Cascade!$E:$E,0)),"")</f>
        <v>1429</v>
      </c>
      <c r="H38" s="118" t="n">
        <f aca="false">_xlfn.IFNA(INDEX(Cascade!$J:$J,MATCH($E38,Cascade!$E:$E,0)),"")</f>
        <v>0.3690977</v>
      </c>
      <c r="I38" s="73" t="n">
        <f aca="false">_xlfn.IFNA(INDEX(Cascade!$P:$P,MATCH($E38,Cascade!$E:$E,0)),"")</f>
        <v>1104</v>
      </c>
      <c r="J38" s="118" t="n">
        <f aca="false">_xlfn.IFNA(INDEX(Cascade!$Y:$Y,MATCH($E38,Cascade!$E:$E,0)),"")</f>
        <v>0.772568229531141</v>
      </c>
      <c r="K38" s="75" t="str">
        <f aca="false">_xlfn.IFNA(ROUND(INDEX(Spectrum!$N:$N,MATCH(RIGHT($B38,13)&amp;"|"&amp;$C38&amp;"|"&amp;$D38&amp;"|"&amp;K$14&amp;"|"&amp;"CY2021Q3",Spectrum!$Q:$Q,0)),0),"")</f>
        <v/>
      </c>
      <c r="L38" s="75" t="str">
        <f aca="false">_xlfn.IFNA(ROUND(INDEX(Spectrum!$N:$N,MATCH(RIGHT($B38,13)&amp;"|"&amp;$C38&amp;"|"&amp;$D38&amp;"|"&amp;L$14&amp;"|"&amp;"CY2021Q3",Spectrum!$Q:$Q,0)),0),"")</f>
        <v/>
      </c>
      <c r="M38" s="75" t="str">
        <f aca="false">_xlfn.IFNA(ROUND(INDEX(Spectrum!$N:$N,MATCH(RIGHT($B38,13)&amp;"|"&amp;$C38&amp;"|"&amp;$D38&amp;"|"&amp;M$14&amp;"|"&amp;"CY2021Q3",Spectrum!$Q:$Q,0)),0),"")</f>
        <v/>
      </c>
      <c r="N38" s="75" t="str">
        <f aca="false">_xlfn.IFNA(ROUND(INDEX(Spectrum!$N:$N,MATCH(RIGHT($B38,13)&amp;"|"&amp;$C38&amp;"|"&amp;$D38&amp;"|"&amp;N$14&amp;"|"&amp;"CY2021Q3",Spectrum!$Q:$Q,0)),0),"")</f>
        <v/>
      </c>
      <c r="O38" s="75" t="str">
        <f aca="false">_xlfn.IFNA(ROUND(INDEX(Spectrum!$N:$N,MATCH(RIGHT($B38,13)&amp;"|"&amp;$C38&amp;"|"&amp;$D38&amp;"|"&amp;O$14&amp;"|"&amp;"CY2021Q3",Spectrum!$Q:$Q,0)),0),"")</f>
        <v/>
      </c>
      <c r="P38" s="75" t="str">
        <f aca="false">_xlfn.IFNA(ROUND(INDEX(Spectrum!$N:$N,MATCH(RIGHT($B38,13)&amp;"|"&amp;$C38&amp;"|"&amp;$D38&amp;"|"&amp;P$14&amp;"|"&amp;"CY2021Q3",Spectrum!$Q:$Q,0)),0),"")</f>
        <v/>
      </c>
      <c r="Q38" s="75" t="str">
        <f aca="false">_xlfn.IFNA(ROUND(INDEX(Spectrum!$N:$N,MATCH(RIGHT($B38,13)&amp;"|"&amp;$C38&amp;"|"&amp;$D38&amp;"|"&amp;Q$14&amp;"|"&amp;"CY2021Q3",Spectrum!$Q:$Q,0)),0),"")</f>
        <v/>
      </c>
      <c r="R38" s="73" t="n">
        <v>19</v>
      </c>
      <c r="S38" s="118" t="n">
        <f aca="false">IF(SUM($R38)&lt;=0,"",0%)</f>
        <v>0</v>
      </c>
      <c r="T38" s="75" t="n">
        <f aca="false">IF(SUM($R38)&lt;=0,"",ROUND(MIN($R38,$K38)*(1+$S38),0))</f>
        <v>19</v>
      </c>
      <c r="U38" s="118" t="n">
        <f aca="false">IF(SUM($K38)=0,IF(SUM($R38)=0,"",1),MIN(SUM($R38)/SUM($K38),1))</f>
        <v>1</v>
      </c>
      <c r="V38" s="118" t="n">
        <f aca="false">$U38</f>
        <v>1</v>
      </c>
      <c r="W38" s="75" t="n">
        <f aca="false">IF(SUM($T38)=0,"",ROUND(SUM($T38)/IF(SUM($V38)=0,1,SUM($V38)),0))</f>
        <v>19</v>
      </c>
      <c r="X38" s="118" t="n">
        <f aca="false">1</f>
        <v>1</v>
      </c>
      <c r="Y38" s="118" t="n">
        <v>41</v>
      </c>
      <c r="Z38" s="118" t="n">
        <f aca="false">IF(OR(SUM($K38)&lt;=0,SUM($L38)&lt;=0),IF(SUM($Y38)&lt;=0,"",$Y38),SUM($L38)/$K38)</f>
        <v>41</v>
      </c>
      <c r="AA38" s="118" t="n">
        <v>22</v>
      </c>
      <c r="AB38" s="118" t="n">
        <f aca="false">IF(OR((SUM($K38)-SUM($L38))&lt;=0,SUM($M38)&lt;=0),IF(SUM($AA38)&lt;=0,"",$AA38),SUM($M38)/($K38-SUM($L38)))</f>
        <v>22</v>
      </c>
      <c r="AC38" s="73" t="n">
        <f aca="false">IF(SUM($T38)&lt;=0,"",ROUND(SUM($T38)*$X38,0))</f>
        <v>19</v>
      </c>
      <c r="AD38" s="75" t="n">
        <f aca="false">IF(SUM($AC38)&lt;=0,"",ROUND($AC38*SUM($Z38),0))</f>
        <v>779</v>
      </c>
      <c r="AE38" s="75" t="n">
        <f aca="false">IF(SUM($T38)&lt;=0,"",ROUND(($AC38-$AD38)*SUM($AB38),0))</f>
        <v>-16720</v>
      </c>
      <c r="AF38" s="75" t="n">
        <f aca="false">IF(SUM($AC38)&lt;=0,"",ROUND($AC38-$AD38-$AE38,0))</f>
        <v>15960</v>
      </c>
      <c r="AG38" s="73" t="n">
        <f aca="false">IF(SUM($W38)&lt;=0,"",ROUND(SUM($W38)*$X38,0))</f>
        <v>19</v>
      </c>
      <c r="AH38" s="75" t="n">
        <f aca="false">IF(SUM($AG38)&lt;=0,"",ROUND($AG38*SUM($Z38),0))</f>
        <v>779</v>
      </c>
      <c r="AI38" s="75" t="n">
        <f aca="false">IF(SUM($W38)&lt;=0,"",ROUND(($AG38-$AH38)*SUM($AB38),0))</f>
        <v>-16720</v>
      </c>
      <c r="AJ38" s="75" t="n">
        <f aca="false">IF(SUM($AG38)&lt;=0,"",ROUND($AG38-$AH38-$AI38,0))</f>
        <v>15960</v>
      </c>
      <c r="AK38" s="118" t="n">
        <f aca="false">_xlfn.IFNA(INDEX(Cascade!$BA:$BA,MATCH($E38,Cascade!$E:$E,0)),"")</f>
        <v>0.95</v>
      </c>
      <c r="AL38" s="75" t="n">
        <f aca="false">IF(SUM($AD38)&lt;=0,"",$AD38)</f>
        <v>779</v>
      </c>
      <c r="AM38" s="75" t="str">
        <f aca="false">IF(SUM($AE38)&lt;=0,"",ROUND($AE38*$AK38,0))</f>
        <v/>
      </c>
      <c r="AN38" s="75" t="n">
        <f aca="false">IF(AND(SUM($AH38)=0,SUM($AI38)=0),"",SUM($AH38)+SUM($AI38))</f>
        <v>-15941</v>
      </c>
      <c r="AO38" s="75" t="n">
        <f aca="false">IF(SUM($AH38)&lt;=0,"",$AH38)</f>
        <v>779</v>
      </c>
      <c r="AP38" s="75" t="str">
        <f aca="false">IF(SUM($AI38)&lt;=0,"",ROUND($AI38*$AK38,0))</f>
        <v/>
      </c>
      <c r="AQ38" s="73" t="str">
        <f aca="false">IF(SUM($T38,$AD38,$AE38)&lt;=0,"",MAX(SUM($T38,-$AD38,-$AE38),$AF38))</f>
        <v/>
      </c>
      <c r="AR38" s="118"/>
      <c r="AS38" s="118" t="str">
        <f aca="false">IF(SUM(AR38)=0,"",$AR38)</f>
        <v/>
      </c>
      <c r="AT38" s="118" t="n">
        <f aca="false">0.95</f>
        <v>0.95</v>
      </c>
      <c r="AU38" s="75" t="str">
        <f aca="false">IF(SUM($AQ38)&lt;=0,"",ROUND(SUM($AQ38)*SUM($AS38),0))</f>
        <v/>
      </c>
      <c r="AV38" s="75" t="str">
        <f aca="false">IF(SUM($AQ38)&lt;=0,"",$AQ38-$AU38)</f>
        <v/>
      </c>
      <c r="AW38" s="73" t="str">
        <f aca="false">IF(SUM($AU38)&lt;=0,"",ROUND($AU38*$AT38,0))</f>
        <v/>
      </c>
      <c r="AX38" s="73" t="str">
        <f aca="false">IF(SUM($AE38,$AD38,$AU38)&lt;=0,"",SUM($AE38,$AD38,$AU38))</f>
        <v/>
      </c>
      <c r="AY38" s="73" t="n">
        <f aca="false">_xlfn.IFNA(INDEX(Cascade!$BD:$BD,MATCH($E38,Cascade!$E:$E,0)),"")</f>
        <v>6</v>
      </c>
      <c r="AZ38" s="118" t="str">
        <f aca="false">IFERROR(IF(SUM($AE38)&lt;=0,"",$AE38/$AY38),"")</f>
        <v/>
      </c>
      <c r="BA38" s="118" t="str">
        <f aca="false">IFERROR(IF(SUM($AU38)&lt;=0,"",$AU38/$AY38),"")</f>
        <v/>
      </c>
      <c r="BB38" s="118" t="n">
        <f aca="false">_xlfn.IFNA(INDEX(Cascade!$BL:$BL,MATCH($E38,Cascade!$E:$E,0)),"")</f>
        <v>0.5</v>
      </c>
      <c r="BC38" s="118" t="n">
        <f aca="false">_xlfn.IFNA(INDEX(Cascade!$BO:$BO,MATCH($E38,Cascade!$E:$E,0)),"")</f>
        <v>-988</v>
      </c>
      <c r="BD38" s="118" t="n">
        <f aca="false">_xlfn.IFNA(INDEX(Cascade!$BR:$BR,MATCH($E38,Cascade!$E:$E,0)),"")</f>
        <v>3775.16666666667</v>
      </c>
    </row>
    <row r="39" customFormat="false" ht="15" hidden="false" customHeight="false" outlineLevel="0" collapsed="false">
      <c r="A39" s="0" t="s">
        <v>143</v>
      </c>
      <c r="B39" s="0" t="s">
        <v>115</v>
      </c>
      <c r="C39" s="0" t="s">
        <v>77</v>
      </c>
      <c r="D39" s="0" t="s">
        <v>56</v>
      </c>
      <c r="E39" s="0" t="str">
        <f aca="false">B39&amp;"|"&amp;C39&amp;"|"&amp;D39</f>
        <v>Butha Buthe [#SNU] [mvPRqBFtVC0]|40-44|Female</v>
      </c>
      <c r="F39" s="73" t="n">
        <f aca="false">_xlfn.IFNA(INDEX(Cascade!$F:$F,MATCH($E39,Cascade!$E:$E,0)),"")</f>
        <v>2771</v>
      </c>
      <c r="G39" s="73" t="n">
        <f aca="false">_xlfn.IFNA(INDEX(Cascade!$H:$H,MATCH($E39,Cascade!$E:$E,0)),"")</f>
        <v>1146</v>
      </c>
      <c r="H39" s="118" t="n">
        <f aca="false">_xlfn.IFNA(INDEX(Cascade!$J:$J,MATCH($E39,Cascade!$E:$E,0)),"")</f>
        <v>0.4136882</v>
      </c>
      <c r="I39" s="73" t="n">
        <f aca="false">_xlfn.IFNA(INDEX(Cascade!$P:$P,MATCH($E39,Cascade!$E:$E,0)),"")</f>
        <v>1075</v>
      </c>
      <c r="J39" s="118" t="n">
        <f aca="false">_xlfn.IFNA(INDEX(Cascade!$Y:$Y,MATCH($E39,Cascade!$E:$E,0)),"")</f>
        <v>0.93804537521815</v>
      </c>
      <c r="K39" s="75" t="str">
        <f aca="false">_xlfn.IFNA(ROUND(INDEX(Spectrum!$N:$N,MATCH(RIGHT($B39,13)&amp;"|"&amp;$C39&amp;"|"&amp;$D39&amp;"|"&amp;K$14&amp;"|"&amp;"CY2021Q3",Spectrum!$Q:$Q,0)),0),"")</f>
        <v/>
      </c>
      <c r="L39" s="75" t="str">
        <f aca="false">_xlfn.IFNA(ROUND(INDEX(Spectrum!$N:$N,MATCH(RIGHT($B39,13)&amp;"|"&amp;$C39&amp;"|"&amp;$D39&amp;"|"&amp;L$14&amp;"|"&amp;"CY2021Q3",Spectrum!$Q:$Q,0)),0),"")</f>
        <v/>
      </c>
      <c r="M39" s="75" t="str">
        <f aca="false">_xlfn.IFNA(ROUND(INDEX(Spectrum!$N:$N,MATCH(RIGHT($B39,13)&amp;"|"&amp;$C39&amp;"|"&amp;$D39&amp;"|"&amp;M$14&amp;"|"&amp;"CY2021Q3",Spectrum!$Q:$Q,0)),0),"")</f>
        <v/>
      </c>
      <c r="N39" s="75" t="str">
        <f aca="false">_xlfn.IFNA(ROUND(INDEX(Spectrum!$N:$N,MATCH(RIGHT($B39,13)&amp;"|"&amp;$C39&amp;"|"&amp;$D39&amp;"|"&amp;N$14&amp;"|"&amp;"CY2021Q3",Spectrum!$Q:$Q,0)),0),"")</f>
        <v/>
      </c>
      <c r="O39" s="75" t="str">
        <f aca="false">_xlfn.IFNA(ROUND(INDEX(Spectrum!$N:$N,MATCH(RIGHT($B39,13)&amp;"|"&amp;$C39&amp;"|"&amp;$D39&amp;"|"&amp;O$14&amp;"|"&amp;"CY2021Q3",Spectrum!$Q:$Q,0)),0),"")</f>
        <v/>
      </c>
      <c r="P39" s="75" t="str">
        <f aca="false">_xlfn.IFNA(ROUND(INDEX(Spectrum!$N:$N,MATCH(RIGHT($B39,13)&amp;"|"&amp;$C39&amp;"|"&amp;$D39&amp;"|"&amp;P$14&amp;"|"&amp;"CY2021Q3",Spectrum!$Q:$Q,0)),0),"")</f>
        <v/>
      </c>
      <c r="Q39" s="75" t="str">
        <f aca="false">_xlfn.IFNA(ROUND(INDEX(Spectrum!$N:$N,MATCH(RIGHT($B39,13)&amp;"|"&amp;$C39&amp;"|"&amp;$D39&amp;"|"&amp;Q$14&amp;"|"&amp;"CY2021Q3",Spectrum!$Q:$Q,0)),0),"")</f>
        <v/>
      </c>
      <c r="R39" s="73" t="n">
        <v>48</v>
      </c>
      <c r="S39" s="118" t="n">
        <f aca="false">IF(SUM($R39)&lt;=0,"",0%)</f>
        <v>0</v>
      </c>
      <c r="T39" s="75" t="n">
        <f aca="false">IF(SUM($R39)&lt;=0,"",ROUND(MIN($R39,$K39)*(1+$S39),0))</f>
        <v>48</v>
      </c>
      <c r="U39" s="118" t="n">
        <f aca="false">IF(SUM($K39)=0,IF(SUM($R39)=0,"",1),MIN(SUM($R39)/SUM($K39),1))</f>
        <v>1</v>
      </c>
      <c r="V39" s="118" t="n">
        <f aca="false">$U39</f>
        <v>1</v>
      </c>
      <c r="W39" s="75" t="n">
        <f aca="false">IF(SUM($T39)=0,"",ROUND(SUM($T39)/IF(SUM($V39)=0,1,SUM($V39)),0))</f>
        <v>48</v>
      </c>
      <c r="X39" s="118" t="n">
        <f aca="false">1</f>
        <v>1</v>
      </c>
      <c r="Y39" s="118" t="n">
        <v>6</v>
      </c>
      <c r="Z39" s="118" t="n">
        <f aca="false">IF(OR(SUM($K39)&lt;=0,SUM($L39)&lt;=0),IF(SUM($Y39)&lt;=0,"",$Y39),SUM($L39)/$K39)</f>
        <v>6</v>
      </c>
      <c r="AA39" s="118" t="n">
        <v>28</v>
      </c>
      <c r="AB39" s="118" t="n">
        <f aca="false">IF(OR((SUM($K39)-SUM($L39))&lt;=0,SUM($M39)&lt;=0),IF(SUM($AA39)&lt;=0,"",$AA39),SUM($M39)/($K39-SUM($L39)))</f>
        <v>28</v>
      </c>
      <c r="AC39" s="73" t="n">
        <f aca="false">IF(SUM($T39)&lt;=0,"",ROUND(SUM($T39)*$X39,0))</f>
        <v>48</v>
      </c>
      <c r="AD39" s="75" t="n">
        <f aca="false">IF(SUM($AC39)&lt;=0,"",ROUND($AC39*SUM($Z39),0))</f>
        <v>288</v>
      </c>
      <c r="AE39" s="75" t="n">
        <f aca="false">IF(SUM($T39)&lt;=0,"",ROUND(($AC39-$AD39)*SUM($AB39),0))</f>
        <v>-6720</v>
      </c>
      <c r="AF39" s="75" t="n">
        <f aca="false">IF(SUM($AC39)&lt;=0,"",ROUND($AC39-$AD39-$AE39,0))</f>
        <v>6480</v>
      </c>
      <c r="AG39" s="73" t="n">
        <f aca="false">IF(SUM($W39)&lt;=0,"",ROUND(SUM($W39)*$X39,0))</f>
        <v>48</v>
      </c>
      <c r="AH39" s="75" t="n">
        <f aca="false">IF(SUM($AG39)&lt;=0,"",ROUND($AG39*SUM($Z39),0))</f>
        <v>288</v>
      </c>
      <c r="AI39" s="75" t="n">
        <f aca="false">IF(SUM($W39)&lt;=0,"",ROUND(($AG39-$AH39)*SUM($AB39),0))</f>
        <v>-6720</v>
      </c>
      <c r="AJ39" s="75" t="n">
        <f aca="false">IF(SUM($AG39)&lt;=0,"",ROUND($AG39-$AH39-$AI39,0))</f>
        <v>6480</v>
      </c>
      <c r="AK39" s="118" t="n">
        <f aca="false">_xlfn.IFNA(INDEX(Cascade!$BA:$BA,MATCH($E39,Cascade!$E:$E,0)),"")</f>
        <v>0.95</v>
      </c>
      <c r="AL39" s="75" t="n">
        <f aca="false">IF(SUM($AD39)&lt;=0,"",$AD39)</f>
        <v>288</v>
      </c>
      <c r="AM39" s="75" t="str">
        <f aca="false">IF(SUM($AE39)&lt;=0,"",ROUND($AE39*$AK39,0))</f>
        <v/>
      </c>
      <c r="AN39" s="75" t="n">
        <f aca="false">IF(AND(SUM($AH39)=0,SUM($AI39)=0),"",SUM($AH39)+SUM($AI39))</f>
        <v>-6432</v>
      </c>
      <c r="AO39" s="75" t="n">
        <f aca="false">IF(SUM($AH39)&lt;=0,"",$AH39)</f>
        <v>288</v>
      </c>
      <c r="AP39" s="75" t="str">
        <f aca="false">IF(SUM($AI39)&lt;=0,"",ROUND($AI39*$AK39,0))</f>
        <v/>
      </c>
      <c r="AQ39" s="73" t="str">
        <f aca="false">IF(SUM($T39,$AD39,$AE39)&lt;=0,"",MAX(SUM($T39,-$AD39,-$AE39),$AF39))</f>
        <v/>
      </c>
      <c r="AR39" s="118"/>
      <c r="AS39" s="118" t="str">
        <f aca="false">IF(SUM(AR39)=0,"",$AR39)</f>
        <v/>
      </c>
      <c r="AT39" s="118" t="n">
        <f aca="false">0.95</f>
        <v>0.95</v>
      </c>
      <c r="AU39" s="75" t="str">
        <f aca="false">IF(SUM($AQ39)&lt;=0,"",ROUND(SUM($AQ39)*SUM($AS39),0))</f>
        <v/>
      </c>
      <c r="AV39" s="75" t="str">
        <f aca="false">IF(SUM($AQ39)&lt;=0,"",$AQ39-$AU39)</f>
        <v/>
      </c>
      <c r="AW39" s="73" t="str">
        <f aca="false">IF(SUM($AU39)&lt;=0,"",ROUND($AU39*$AT39,0))</f>
        <v/>
      </c>
      <c r="AX39" s="73" t="str">
        <f aca="false">IF(SUM($AE39,$AD39,$AU39)&lt;=0,"",SUM($AE39,$AD39,$AU39))</f>
        <v/>
      </c>
      <c r="AY39" s="73" t="n">
        <f aca="false">_xlfn.IFNA(INDEX(Cascade!$BD:$BD,MATCH($E39,Cascade!$E:$E,0)),"")</f>
        <v>1</v>
      </c>
      <c r="AZ39" s="118" t="str">
        <f aca="false">IFERROR(IF(SUM($AE39)&lt;=0,"",$AE39/$AY39),"")</f>
        <v/>
      </c>
      <c r="BA39" s="118" t="str">
        <f aca="false">IFERROR(IF(SUM($AU39)&lt;=0,"",$AU39/$AY39),"")</f>
        <v/>
      </c>
      <c r="BB39" s="118" t="n">
        <f aca="false">_xlfn.IFNA(INDEX(Cascade!$BL:$BL,MATCH($E39,Cascade!$E:$E,0)),"")</f>
        <v>1</v>
      </c>
      <c r="BC39" s="118" t="n">
        <f aca="false">_xlfn.IFNA(INDEX(Cascade!$BO:$BO,MATCH($E39,Cascade!$E:$E,0)),"")</f>
        <v>-8960</v>
      </c>
      <c r="BD39" s="118" t="n">
        <f aca="false">_xlfn.IFNA(INDEX(Cascade!$BR:$BR,MATCH($E39,Cascade!$E:$E,0)),"")</f>
        <v>15680</v>
      </c>
    </row>
    <row r="40" customFormat="false" ht="15" hidden="false" customHeight="false" outlineLevel="0" collapsed="false">
      <c r="A40" s="0" t="s">
        <v>143</v>
      </c>
      <c r="B40" s="0" t="s">
        <v>115</v>
      </c>
      <c r="C40" s="0" t="s">
        <v>80</v>
      </c>
      <c r="D40" s="0" t="s">
        <v>56</v>
      </c>
      <c r="E40" s="0" t="str">
        <f aca="false">B40&amp;"|"&amp;C40&amp;"|"&amp;D40</f>
        <v>Butha Buthe [#SNU] [mvPRqBFtVC0]|45-49|Female</v>
      </c>
      <c r="F40" s="73" t="n">
        <f aca="false">_xlfn.IFNA(INDEX(Cascade!$F:$F,MATCH($E40,Cascade!$E:$E,0)),"")</f>
        <v>2189</v>
      </c>
      <c r="G40" s="73" t="n">
        <f aca="false">_xlfn.IFNA(INDEX(Cascade!$H:$H,MATCH($E40,Cascade!$E:$E,0)),"")</f>
        <v>857</v>
      </c>
      <c r="H40" s="118" t="n">
        <f aca="false">_xlfn.IFNA(INDEX(Cascade!$J:$J,MATCH($E40,Cascade!$E:$E,0)),"")</f>
        <v>0.3916664</v>
      </c>
      <c r="I40" s="73" t="n">
        <f aca="false">_xlfn.IFNA(INDEX(Cascade!$P:$P,MATCH($E40,Cascade!$E:$E,0)),"")</f>
        <v>847</v>
      </c>
      <c r="J40" s="118" t="n">
        <f aca="false">_xlfn.IFNA(INDEX(Cascade!$Y:$Y,MATCH($E40,Cascade!$E:$E,0)),"")</f>
        <v>0.988331388564761</v>
      </c>
      <c r="K40" s="75" t="str">
        <f aca="false">_xlfn.IFNA(ROUND(INDEX(Spectrum!$N:$N,MATCH(RIGHT($B40,13)&amp;"|"&amp;$C40&amp;"|"&amp;$D40&amp;"|"&amp;K$14&amp;"|"&amp;"CY2021Q3",Spectrum!$Q:$Q,0)),0),"")</f>
        <v/>
      </c>
      <c r="L40" s="75" t="str">
        <f aca="false">_xlfn.IFNA(ROUND(INDEX(Spectrum!$N:$N,MATCH(RIGHT($B40,13)&amp;"|"&amp;$C40&amp;"|"&amp;$D40&amp;"|"&amp;L$14&amp;"|"&amp;"CY2021Q3",Spectrum!$Q:$Q,0)),0),"")</f>
        <v/>
      </c>
      <c r="M40" s="75" t="str">
        <f aca="false">_xlfn.IFNA(ROUND(INDEX(Spectrum!$N:$N,MATCH(RIGHT($B40,13)&amp;"|"&amp;$C40&amp;"|"&amp;$D40&amp;"|"&amp;M$14&amp;"|"&amp;"CY2021Q3",Spectrum!$Q:$Q,0)),0),"")</f>
        <v/>
      </c>
      <c r="N40" s="75" t="str">
        <f aca="false">_xlfn.IFNA(ROUND(INDEX(Spectrum!$N:$N,MATCH(RIGHT($B40,13)&amp;"|"&amp;$C40&amp;"|"&amp;$D40&amp;"|"&amp;N$14&amp;"|"&amp;"CY2021Q3",Spectrum!$Q:$Q,0)),0),"")</f>
        <v/>
      </c>
      <c r="O40" s="75" t="str">
        <f aca="false">_xlfn.IFNA(ROUND(INDEX(Spectrum!$N:$N,MATCH(RIGHT($B40,13)&amp;"|"&amp;$C40&amp;"|"&amp;$D40&amp;"|"&amp;O$14&amp;"|"&amp;"CY2021Q3",Spectrum!$Q:$Q,0)),0),"")</f>
        <v/>
      </c>
      <c r="P40" s="75" t="str">
        <f aca="false">_xlfn.IFNA(ROUND(INDEX(Spectrum!$N:$N,MATCH(RIGHT($B40,13)&amp;"|"&amp;$C40&amp;"|"&amp;$D40&amp;"|"&amp;P$14&amp;"|"&amp;"CY2021Q3",Spectrum!$Q:$Q,0)),0),"")</f>
        <v/>
      </c>
      <c r="Q40" s="75" t="str">
        <f aca="false">_xlfn.IFNA(ROUND(INDEX(Spectrum!$N:$N,MATCH(RIGHT($B40,13)&amp;"|"&amp;$C40&amp;"|"&amp;$D40&amp;"|"&amp;Q$14&amp;"|"&amp;"CY2021Q3",Spectrum!$Q:$Q,0)),0),"")</f>
        <v/>
      </c>
      <c r="R40" s="73" t="n">
        <v>16</v>
      </c>
      <c r="S40" s="118" t="n">
        <f aca="false">IF(SUM($R40)&lt;=0,"",0%)</f>
        <v>0</v>
      </c>
      <c r="T40" s="75" t="n">
        <f aca="false">IF(SUM($R40)&lt;=0,"",ROUND(MIN($R40,$K40)*(1+$S40),0))</f>
        <v>16</v>
      </c>
      <c r="U40" s="118" t="n">
        <f aca="false">IF(SUM($K40)=0,IF(SUM($R40)=0,"",1),MIN(SUM($R40)/SUM($K40),1))</f>
        <v>1</v>
      </c>
      <c r="V40" s="118" t="n">
        <f aca="false">$U40</f>
        <v>1</v>
      </c>
      <c r="W40" s="75" t="n">
        <f aca="false">IF(SUM($T40)=0,"",ROUND(SUM($T40)/IF(SUM($V40)=0,1,SUM($V40)),0))</f>
        <v>16</v>
      </c>
      <c r="X40" s="118" t="n">
        <f aca="false">1</f>
        <v>1</v>
      </c>
      <c r="Y40" s="118" t="n">
        <v>27</v>
      </c>
      <c r="Z40" s="118" t="n">
        <f aca="false">IF(OR(SUM($K40)&lt;=0,SUM($L40)&lt;=0),IF(SUM($Y40)&lt;=0,"",$Y40),SUM($L40)/$K40)</f>
        <v>27</v>
      </c>
      <c r="AA40" s="118"/>
      <c r="AB40" s="118" t="str">
        <f aca="false">IF(OR((SUM($K40)-SUM($L40))&lt;=0,SUM($M40)&lt;=0),IF(SUM($AA40)&lt;=0,"",$AA40),SUM($M40)/($K40-SUM($L40)))</f>
        <v/>
      </c>
      <c r="AC40" s="73" t="n">
        <f aca="false">IF(SUM($T40)&lt;=0,"",ROUND(SUM($T40)*$X40,0))</f>
        <v>16</v>
      </c>
      <c r="AD40" s="75" t="n">
        <f aca="false">IF(SUM($AC40)&lt;=0,"",ROUND($AC40*SUM($Z40),0))</f>
        <v>432</v>
      </c>
      <c r="AE40" s="75" t="n">
        <f aca="false">IF(SUM($T40)&lt;=0,"",ROUND(($AC40-$AD40)*SUM($AB40),0))</f>
        <v>-0</v>
      </c>
      <c r="AF40" s="75" t="n">
        <f aca="false">IF(SUM($AC40)&lt;=0,"",ROUND($AC40-$AD40-$AE40,0))</f>
        <v>-416</v>
      </c>
      <c r="AG40" s="73" t="n">
        <f aca="false">IF(SUM($W40)&lt;=0,"",ROUND(SUM($W40)*$X40,0))</f>
        <v>16</v>
      </c>
      <c r="AH40" s="75" t="n">
        <f aca="false">IF(SUM($AG40)&lt;=0,"",ROUND($AG40*SUM($Z40),0))</f>
        <v>432</v>
      </c>
      <c r="AI40" s="75" t="n">
        <f aca="false">IF(SUM($W40)&lt;=0,"",ROUND(($AG40-$AH40)*SUM($AB40),0))</f>
        <v>-0</v>
      </c>
      <c r="AJ40" s="75" t="n">
        <f aca="false">IF(SUM($AG40)&lt;=0,"",ROUND($AG40-$AH40-$AI40,0))</f>
        <v>-416</v>
      </c>
      <c r="AK40" s="118" t="n">
        <f aca="false">_xlfn.IFNA(INDEX(Cascade!$BA:$BA,MATCH($E40,Cascade!$E:$E,0)),"")</f>
        <v>0.95</v>
      </c>
      <c r="AL40" s="75" t="n">
        <f aca="false">IF(SUM($AD40)&lt;=0,"",$AD40)</f>
        <v>432</v>
      </c>
      <c r="AM40" s="75" t="str">
        <f aca="false">IF(SUM($AE40)&lt;=0,"",ROUND($AE40*$AK40,0))</f>
        <v/>
      </c>
      <c r="AN40" s="75" t="n">
        <f aca="false">IF(AND(SUM($AH40)=0,SUM($AI40)=0),"",SUM($AH40)+SUM($AI40))</f>
        <v>432</v>
      </c>
      <c r="AO40" s="75" t="n">
        <f aca="false">IF(SUM($AH40)&lt;=0,"",$AH40)</f>
        <v>432</v>
      </c>
      <c r="AP40" s="75" t="str">
        <f aca="false">IF(SUM($AI40)&lt;=0,"",ROUND($AI40*$AK40,0))</f>
        <v/>
      </c>
      <c r="AQ40" s="73" t="n">
        <f aca="false">IF(SUM($T40,$AD40,$AE40)&lt;=0,"",MAX(SUM($T40,-$AD40,-$AE40),$AF40))</f>
        <v>-416</v>
      </c>
      <c r="AR40" s="118"/>
      <c r="AS40" s="118" t="str">
        <f aca="false">IF(SUM(AR40)=0,"",$AR40)</f>
        <v/>
      </c>
      <c r="AT40" s="118" t="n">
        <f aca="false">0.95</f>
        <v>0.95</v>
      </c>
      <c r="AU40" s="75" t="str">
        <f aca="false">IF(SUM($AQ40)&lt;=0,"",ROUND(SUM($AQ40)*SUM($AS40),0))</f>
        <v/>
      </c>
      <c r="AV40" s="75" t="str">
        <f aca="false">IF(SUM($AQ40)&lt;=0,"",$AQ40-$AU40)</f>
        <v/>
      </c>
      <c r="AW40" s="73" t="str">
        <f aca="false">IF(SUM($AU40)&lt;=0,"",ROUND($AU40*$AT40,0))</f>
        <v/>
      </c>
      <c r="AX40" s="73" t="n">
        <f aca="false">IF(SUM($AE40,$AD40,$AU40)&lt;=0,"",SUM($AE40,$AD40,$AU40))</f>
        <v>432</v>
      </c>
      <c r="AY40" s="73" t="n">
        <f aca="false">_xlfn.IFNA(INDEX(Cascade!$BD:$BD,MATCH($E40,Cascade!$E:$E,0)),"")</f>
        <v>1</v>
      </c>
      <c r="AZ40" s="118" t="str">
        <f aca="false">IFERROR(IF(SUM($AE40)&lt;=0,"",$AE40/$AY40),"")</f>
        <v/>
      </c>
      <c r="BA40" s="118" t="str">
        <f aca="false">IFERROR(IF(SUM($AU40)&lt;=0,"",$AU40/$AY40),"")</f>
        <v/>
      </c>
      <c r="BB40" s="118" t="n">
        <f aca="false">_xlfn.IFNA(INDEX(Cascade!$BL:$BL,MATCH($E40,Cascade!$E:$E,0)),"")</f>
        <v>1</v>
      </c>
      <c r="BC40" s="118" t="str">
        <f aca="false">_xlfn.IFNA(INDEX(Cascade!$BO:$BO,MATCH($E40,Cascade!$E:$E,0)),"")</f>
        <v/>
      </c>
      <c r="BD40" s="118" t="str">
        <f aca="false">_xlfn.IFNA(INDEX(Cascade!$BR:$BR,MATCH($E40,Cascade!$E:$E,0)),"")</f>
        <v/>
      </c>
    </row>
    <row r="41" customFormat="false" ht="15" hidden="false" customHeight="false" outlineLevel="0" collapsed="false">
      <c r="A41" s="0" t="s">
        <v>143</v>
      </c>
      <c r="B41" s="0" t="s">
        <v>115</v>
      </c>
      <c r="C41" s="0" t="s">
        <v>86</v>
      </c>
      <c r="D41" s="0" t="s">
        <v>56</v>
      </c>
      <c r="E41" s="0" t="str">
        <f aca="false">B41&amp;"|"&amp;C41&amp;"|"&amp;D41</f>
        <v>Butha Buthe [#SNU] [mvPRqBFtVC0]|50+|Female</v>
      </c>
      <c r="F41" s="73" t="n">
        <f aca="false">_xlfn.IFNA(INDEX(Cascade!$F:$F,MATCH($E41,Cascade!$E:$E,0)),"")</f>
        <v>11901</v>
      </c>
      <c r="G41" s="73" t="n">
        <f aca="false">_xlfn.IFNA(INDEX(Cascade!$H:$H,MATCH($E41,Cascade!$E:$E,0)),"")</f>
        <v>2412</v>
      </c>
      <c r="H41" s="118" t="n">
        <f aca="false">_xlfn.IFNA(INDEX(Cascade!$J:$J,MATCH($E41,Cascade!$E:$E,0)),"")</f>
        <v>0.2026606</v>
      </c>
      <c r="I41" s="73" t="n">
        <f aca="false">_xlfn.IFNA(INDEX(Cascade!$P:$P,MATCH($E41,Cascade!$E:$E,0)),"")</f>
        <v>1915</v>
      </c>
      <c r="J41" s="118" t="n">
        <f aca="false">_xlfn.IFNA(INDEX(Cascade!$Y:$Y,MATCH($E41,Cascade!$E:$E,0)),"")</f>
        <v>0.793946932006633</v>
      </c>
      <c r="K41" s="75" t="str">
        <f aca="false">_xlfn.IFNA(ROUND(INDEX(Spectrum!$N:$N,MATCH(RIGHT($B41,13)&amp;"|"&amp;$C41&amp;"|"&amp;$D41&amp;"|"&amp;K$14&amp;"|"&amp;"CY2021Q3",Spectrum!$Q:$Q,0)),0),"")</f>
        <v/>
      </c>
      <c r="L41" s="75" t="str">
        <f aca="false">_xlfn.IFNA(ROUND(INDEX(Spectrum!$N:$N,MATCH(RIGHT($B41,13)&amp;"|"&amp;$C41&amp;"|"&amp;$D41&amp;"|"&amp;L$14&amp;"|"&amp;"CY2021Q3",Spectrum!$Q:$Q,0)),0),"")</f>
        <v/>
      </c>
      <c r="M41" s="75" t="str">
        <f aca="false">_xlfn.IFNA(ROUND(INDEX(Spectrum!$N:$N,MATCH(RIGHT($B41,13)&amp;"|"&amp;$C41&amp;"|"&amp;$D41&amp;"|"&amp;M$14&amp;"|"&amp;"CY2021Q3",Spectrum!$Q:$Q,0)),0),"")</f>
        <v/>
      </c>
      <c r="N41" s="75" t="str">
        <f aca="false">_xlfn.IFNA(ROUND(INDEX(Spectrum!$N:$N,MATCH(RIGHT($B41,13)&amp;"|"&amp;$C41&amp;"|"&amp;$D41&amp;"|"&amp;N$14&amp;"|"&amp;"CY2021Q3",Spectrum!$Q:$Q,0)),0),"")</f>
        <v/>
      </c>
      <c r="O41" s="75" t="str">
        <f aca="false">_xlfn.IFNA(ROUND(INDEX(Spectrum!$N:$N,MATCH(RIGHT($B41,13)&amp;"|"&amp;$C41&amp;"|"&amp;$D41&amp;"|"&amp;O$14&amp;"|"&amp;"CY2021Q3",Spectrum!$Q:$Q,0)),0),"")</f>
        <v/>
      </c>
      <c r="P41" s="75" t="str">
        <f aca="false">_xlfn.IFNA(ROUND(INDEX(Spectrum!$N:$N,MATCH(RIGHT($B41,13)&amp;"|"&amp;$C41&amp;"|"&amp;$D41&amp;"|"&amp;P$14&amp;"|"&amp;"CY2021Q3",Spectrum!$Q:$Q,0)),0),"")</f>
        <v/>
      </c>
      <c r="Q41" s="75" t="str">
        <f aca="false">_xlfn.IFNA(ROUND(INDEX(Spectrum!$N:$N,MATCH(RIGHT($B41,13)&amp;"|"&amp;$C41&amp;"|"&amp;$D41&amp;"|"&amp;Q$14&amp;"|"&amp;"CY2021Q3",Spectrum!$Q:$Q,0)),0),"")</f>
        <v/>
      </c>
      <c r="R41" s="73"/>
      <c r="S41" s="118" t="str">
        <f aca="false">IF(SUM($R41)&lt;=0,"",0%)</f>
        <v/>
      </c>
      <c r="T41" s="75" t="str">
        <f aca="false">IF(SUM($R41)&lt;=0,"",ROUND(MIN($R41,$K41)*(1+$S41),0))</f>
        <v/>
      </c>
      <c r="U41" s="118" t="str">
        <f aca="false">IF(SUM($K41)=0,IF(SUM($R41)=0,"",1),MIN(SUM($R41)/SUM($K41),1))</f>
        <v/>
      </c>
      <c r="V41" s="118" t="str">
        <f aca="false">$U41</f>
        <v/>
      </c>
      <c r="W41" s="75" t="str">
        <f aca="false">IF(SUM($T41)=0,"",ROUND(SUM($T41)/IF(SUM($V41)=0,1,SUM($V41)),0))</f>
        <v/>
      </c>
      <c r="X41" s="118" t="n">
        <f aca="false">1</f>
        <v>1</v>
      </c>
      <c r="Y41" s="118"/>
      <c r="Z41" s="118" t="str">
        <f aca="false">IF(OR(SUM($K41)&lt;=0,SUM($L41)&lt;=0),IF(SUM($Y41)&lt;=0,"",$Y41),SUM($L41)/$K41)</f>
        <v/>
      </c>
      <c r="AA41" s="118"/>
      <c r="AB41" s="118" t="str">
        <f aca="false">IF(OR((SUM($K41)-SUM($L41))&lt;=0,SUM($M41)&lt;=0),IF(SUM($AA41)&lt;=0,"",$AA41),SUM($M41)/($K41-SUM($L41)))</f>
        <v/>
      </c>
      <c r="AC41" s="73" t="str">
        <f aca="false">IF(SUM($T41)&lt;=0,"",ROUND(SUM($T41)*$X41,0))</f>
        <v/>
      </c>
      <c r="AD41" s="75" t="str">
        <f aca="false">IF(SUM($AC41)&lt;=0,"",ROUND($AC41*SUM($Z41),0))</f>
        <v/>
      </c>
      <c r="AE41" s="75" t="str">
        <f aca="false">IF(SUM($T41)&lt;=0,"",ROUND(($AC41-$AD41)*SUM($AB41),0))</f>
        <v/>
      </c>
      <c r="AF41" s="75" t="str">
        <f aca="false">IF(SUM($AC41)&lt;=0,"",ROUND($AC41-$AD41-$AE41,0))</f>
        <v/>
      </c>
      <c r="AG41" s="73" t="str">
        <f aca="false">IF(SUM($W41)&lt;=0,"",ROUND(SUM($W41)*$X41,0))</f>
        <v/>
      </c>
      <c r="AH41" s="75" t="str">
        <f aca="false">IF(SUM($AG41)&lt;=0,"",ROUND($AG41*SUM($Z41),0))</f>
        <v/>
      </c>
      <c r="AI41" s="75" t="str">
        <f aca="false">IF(SUM($W41)&lt;=0,"",ROUND(($AG41-$AH41)*SUM($AB41),0))</f>
        <v/>
      </c>
      <c r="AJ41" s="75" t="str">
        <f aca="false">IF(SUM($AG41)&lt;=0,"",ROUND($AG41-$AH41-$AI41,0))</f>
        <v/>
      </c>
      <c r="AK41" s="118" t="n">
        <f aca="false">_xlfn.IFNA(INDEX(Cascade!$BA:$BA,MATCH($E41,Cascade!$E:$E,0)),"")</f>
        <v>0.95</v>
      </c>
      <c r="AL41" s="75" t="str">
        <f aca="false">IF(SUM($AD41)&lt;=0,"",$AD41)</f>
        <v/>
      </c>
      <c r="AM41" s="75" t="str">
        <f aca="false">IF(SUM($AE41)&lt;=0,"",ROUND($AE41*$AK41,0))</f>
        <v/>
      </c>
      <c r="AN41" s="75" t="str">
        <f aca="false">IF(AND(SUM($AH41)=0,SUM($AI41)=0),"",SUM($AH41)+SUM($AI41))</f>
        <v/>
      </c>
      <c r="AO41" s="75" t="str">
        <f aca="false">IF(SUM($AH41)&lt;=0,"",$AH41)</f>
        <v/>
      </c>
      <c r="AP41" s="75" t="str">
        <f aca="false">IF(SUM($AI41)&lt;=0,"",ROUND($AI41*$AK41,0))</f>
        <v/>
      </c>
      <c r="AQ41" s="73" t="str">
        <f aca="false">IF(SUM($T41,$AD41,$AE41)&lt;=0,"",MAX(SUM($T41,-$AD41,-$AE41),$AF41))</f>
        <v/>
      </c>
      <c r="AR41" s="118"/>
      <c r="AS41" s="118" t="str">
        <f aca="false">IF(SUM(AR41)=0,"",$AR41)</f>
        <v/>
      </c>
      <c r="AT41" s="118" t="n">
        <f aca="false">0.95</f>
        <v>0.95</v>
      </c>
      <c r="AU41" s="75" t="str">
        <f aca="false">IF(SUM($AQ41)&lt;=0,"",ROUND(SUM($AQ41)*SUM($AS41),0))</f>
        <v/>
      </c>
      <c r="AV41" s="75" t="str">
        <f aca="false">IF(SUM($AQ41)&lt;=0,"",$AQ41-$AU41)</f>
        <v/>
      </c>
      <c r="AW41" s="73" t="str">
        <f aca="false">IF(SUM($AU41)&lt;=0,"",ROUND($AU41*$AT41,0))</f>
        <v/>
      </c>
      <c r="AX41" s="73" t="str">
        <f aca="false">IF(SUM($AE41,$AD41,$AU41)&lt;=0,"",SUM($AE41,$AD41,$AU41))</f>
        <v/>
      </c>
      <c r="AY41" s="73" t="n">
        <f aca="false">_xlfn.IFNA(INDEX(Cascade!$BD:$BD,MATCH($E41,Cascade!$E:$E,0)),"")</f>
        <v>6</v>
      </c>
      <c r="AZ41" s="118" t="str">
        <f aca="false">IFERROR(IF(SUM($AE41)&lt;=0,"",$AE41/$AY41),"")</f>
        <v/>
      </c>
      <c r="BA41" s="118" t="str">
        <f aca="false">IFERROR(IF(SUM($AU41)&lt;=0,"",$AU41/$AY41),"")</f>
        <v/>
      </c>
      <c r="BB41" s="118" t="n">
        <f aca="false">_xlfn.IFNA(INDEX(Cascade!$BL:$BL,MATCH($E41,Cascade!$E:$E,0)),"")</f>
        <v>0.5</v>
      </c>
      <c r="BC41" s="118" t="n">
        <f aca="false">_xlfn.IFNA(INDEX(Cascade!$BO:$BO,MATCH($E41,Cascade!$E:$E,0)),"")</f>
        <v>72</v>
      </c>
      <c r="BD41" s="118" t="n">
        <f aca="false">_xlfn.IFNA(INDEX(Cascade!$BR:$BR,MATCH($E41,Cascade!$E:$E,0)),"")</f>
        <v>-71.5</v>
      </c>
    </row>
    <row r="42" customFormat="false" ht="15" hidden="false" customHeight="false" outlineLevel="0" collapsed="false">
      <c r="A42" s="0" t="s">
        <v>144</v>
      </c>
      <c r="B42" s="0" t="s">
        <v>103</v>
      </c>
      <c r="C42" s="0" t="s">
        <v>61</v>
      </c>
      <c r="D42" s="0" t="s">
        <v>56</v>
      </c>
      <c r="E42" s="0" t="str">
        <f aca="false">B42&amp;"|"&amp;C42&amp;"|"&amp;D42</f>
        <v>Leribe [#SNU] [FjSmRywOWUp]|10-14|Female</v>
      </c>
      <c r="F42" s="73" t="n">
        <f aca="false">_xlfn.IFNA(INDEX(Cascade!$F:$F,MATCH($E42,Cascade!$E:$E,0)),"")</f>
        <v>17911</v>
      </c>
      <c r="G42" s="73" t="n">
        <f aca="false">_xlfn.IFNA(INDEX(Cascade!$H:$H,MATCH($E42,Cascade!$E:$E,0)),"")</f>
        <v>404</v>
      </c>
      <c r="H42" s="118" t="n">
        <f aca="false">_xlfn.IFNA(INDEX(Cascade!$J:$J,MATCH($E42,Cascade!$E:$E,0)),"")</f>
        <v>0.0225337</v>
      </c>
      <c r="I42" s="73" t="n">
        <f aca="false">_xlfn.IFNA(INDEX(Cascade!$P:$P,MATCH($E42,Cascade!$E:$E,0)),"")</f>
        <v>329</v>
      </c>
      <c r="J42" s="118" t="n">
        <f aca="false">_xlfn.IFNA(INDEX(Cascade!$Y:$Y,MATCH($E42,Cascade!$E:$E,0)),"")</f>
        <v>0.814356435643564</v>
      </c>
      <c r="K42" s="75" t="str">
        <f aca="false">_xlfn.IFNA(ROUND(INDEX(Spectrum!$N:$N,MATCH(RIGHT($B42,13)&amp;"|"&amp;$C42&amp;"|"&amp;$D42&amp;"|"&amp;K$14&amp;"|"&amp;"CY2021Q3",Spectrum!$Q:$Q,0)),0),"")</f>
        <v/>
      </c>
      <c r="L42" s="75" t="str">
        <f aca="false">_xlfn.IFNA(ROUND(INDEX(Spectrum!$N:$N,MATCH(RIGHT($B42,13)&amp;"|"&amp;$C42&amp;"|"&amp;$D42&amp;"|"&amp;L$14&amp;"|"&amp;"CY2021Q3",Spectrum!$Q:$Q,0)),0),"")</f>
        <v/>
      </c>
      <c r="M42" s="75" t="str">
        <f aca="false">_xlfn.IFNA(ROUND(INDEX(Spectrum!$N:$N,MATCH(RIGHT($B42,13)&amp;"|"&amp;$C42&amp;"|"&amp;$D42&amp;"|"&amp;M$14&amp;"|"&amp;"CY2021Q3",Spectrum!$Q:$Q,0)),0),"")</f>
        <v/>
      </c>
      <c r="N42" s="75" t="str">
        <f aca="false">_xlfn.IFNA(ROUND(INDEX(Spectrum!$N:$N,MATCH(RIGHT($B42,13)&amp;"|"&amp;$C42&amp;"|"&amp;$D42&amp;"|"&amp;N$14&amp;"|"&amp;"CY2021Q3",Spectrum!$Q:$Q,0)),0),"")</f>
        <v/>
      </c>
      <c r="O42" s="75" t="str">
        <f aca="false">_xlfn.IFNA(ROUND(INDEX(Spectrum!$N:$N,MATCH(RIGHT($B42,13)&amp;"|"&amp;$C42&amp;"|"&amp;$D42&amp;"|"&amp;O$14&amp;"|"&amp;"CY2021Q3",Spectrum!$Q:$Q,0)),0),"")</f>
        <v/>
      </c>
      <c r="P42" s="75" t="str">
        <f aca="false">_xlfn.IFNA(ROUND(INDEX(Spectrum!$N:$N,MATCH(RIGHT($B42,13)&amp;"|"&amp;$C42&amp;"|"&amp;$D42&amp;"|"&amp;P$14&amp;"|"&amp;"CY2021Q3",Spectrum!$Q:$Q,0)),0),"")</f>
        <v/>
      </c>
      <c r="Q42" s="75" t="str">
        <f aca="false">_xlfn.IFNA(ROUND(INDEX(Spectrum!$N:$N,MATCH(RIGHT($B42,13)&amp;"|"&amp;$C42&amp;"|"&amp;$D42&amp;"|"&amp;Q$14&amp;"|"&amp;"CY2021Q3",Spectrum!$Q:$Q,0)),0),"")</f>
        <v/>
      </c>
      <c r="R42" s="73" t="n">
        <v>1</v>
      </c>
      <c r="S42" s="118" t="n">
        <f aca="false">IF(SUM($R42)&lt;=0,"",0%)</f>
        <v>0</v>
      </c>
      <c r="T42" s="75" t="n">
        <f aca="false">IF(SUM($R42)&lt;=0,"",ROUND(MIN($R42,$K42)*(1+$S42),0))</f>
        <v>1</v>
      </c>
      <c r="U42" s="118" t="n">
        <f aca="false">IF(SUM($K42)=0,IF(SUM($R42)=0,"",1),MIN(SUM($R42)/SUM($K42),1))</f>
        <v>1</v>
      </c>
      <c r="V42" s="118" t="n">
        <f aca="false">$U42</f>
        <v>1</v>
      </c>
      <c r="W42" s="75" t="n">
        <f aca="false">IF(SUM($T42)=0,"",ROUND(SUM($T42)/IF(SUM($V42)=0,1,SUM($V42)),0))</f>
        <v>1</v>
      </c>
      <c r="X42" s="118" t="n">
        <f aca="false">1</f>
        <v>1</v>
      </c>
      <c r="Y42" s="118"/>
      <c r="Z42" s="118" t="str">
        <f aca="false">IF(OR(SUM($K42)&lt;=0,SUM($L42)&lt;=0),IF(SUM($Y42)&lt;=0,"",$Y42),SUM($L42)/$K42)</f>
        <v/>
      </c>
      <c r="AA42" s="118"/>
      <c r="AB42" s="118" t="str">
        <f aca="false">IF(OR((SUM($K42)-SUM($L42))&lt;=0,SUM($M42)&lt;=0),IF(SUM($AA42)&lt;=0,"",$AA42),SUM($M42)/($K42-SUM($L42)))</f>
        <v/>
      </c>
      <c r="AC42" s="73" t="n">
        <f aca="false">IF(SUM($T42)&lt;=0,"",ROUND(SUM($T42)*$X42,0))</f>
        <v>1</v>
      </c>
      <c r="AD42" s="75" t="n">
        <f aca="false">IF(SUM($AC42)&lt;=0,"",ROUND($AC42*SUM($Z42),0))</f>
        <v>0</v>
      </c>
      <c r="AE42" s="75" t="n">
        <f aca="false">IF(SUM($T42)&lt;=0,"",ROUND(($AC42-$AD42)*SUM($AB42),0))</f>
        <v>0</v>
      </c>
      <c r="AF42" s="75" t="n">
        <f aca="false">IF(SUM($AC42)&lt;=0,"",ROUND($AC42-$AD42-$AE42,0))</f>
        <v>1</v>
      </c>
      <c r="AG42" s="73" t="n">
        <f aca="false">IF(SUM($W42)&lt;=0,"",ROUND(SUM($W42)*$X42,0))</f>
        <v>1</v>
      </c>
      <c r="AH42" s="75" t="n">
        <f aca="false">IF(SUM($AG42)&lt;=0,"",ROUND($AG42*SUM($Z42),0))</f>
        <v>0</v>
      </c>
      <c r="AI42" s="75" t="n">
        <f aca="false">IF(SUM($W42)&lt;=0,"",ROUND(($AG42-$AH42)*SUM($AB42),0))</f>
        <v>0</v>
      </c>
      <c r="AJ42" s="75" t="n">
        <f aca="false">IF(SUM($AG42)&lt;=0,"",ROUND($AG42-$AH42-$AI42,0))</f>
        <v>1</v>
      </c>
      <c r="AK42" s="118" t="n">
        <f aca="false">_xlfn.IFNA(INDEX(Cascade!$BA:$BA,MATCH($E42,Cascade!$E:$E,0)),"")</f>
        <v>0.95</v>
      </c>
      <c r="AL42" s="75" t="str">
        <f aca="false">IF(SUM($AD42)&lt;=0,"",$AD42)</f>
        <v/>
      </c>
      <c r="AM42" s="75" t="str">
        <f aca="false">IF(SUM($AE42)&lt;=0,"",ROUND($AE42*$AK42,0))</f>
        <v/>
      </c>
      <c r="AN42" s="75" t="str">
        <f aca="false">IF(AND(SUM($AH42)=0,SUM($AI42)=0),"",SUM($AH42)+SUM($AI42))</f>
        <v/>
      </c>
      <c r="AO42" s="75" t="str">
        <f aca="false">IF(SUM($AH42)&lt;=0,"",$AH42)</f>
        <v/>
      </c>
      <c r="AP42" s="75" t="str">
        <f aca="false">IF(SUM($AI42)&lt;=0,"",ROUND($AI42*$AK42,0))</f>
        <v/>
      </c>
      <c r="AQ42" s="73" t="n">
        <f aca="false">IF(SUM($T42,$AD42,$AE42)&lt;=0,"",MAX(SUM($T42,-$AD42,-$AE42),$AF42))</f>
        <v>1</v>
      </c>
      <c r="AR42" s="118"/>
      <c r="AS42" s="118" t="str">
        <f aca="false">IF(SUM(AR42)=0,"",$AR42)</f>
        <v/>
      </c>
      <c r="AT42" s="118" t="n">
        <f aca="false">0.95</f>
        <v>0.95</v>
      </c>
      <c r="AU42" s="75" t="n">
        <f aca="false">IF(SUM($AQ42)&lt;=0,"",ROUND(SUM($AQ42)*SUM($AS42),0))</f>
        <v>0</v>
      </c>
      <c r="AV42" s="75" t="n">
        <f aca="false">IF(SUM($AQ42)&lt;=0,"",$AQ42-$AU42)</f>
        <v>1</v>
      </c>
      <c r="AW42" s="73" t="str">
        <f aca="false">IF(SUM($AU42)&lt;=0,"",ROUND($AU42*$AT42,0))</f>
        <v/>
      </c>
      <c r="AX42" s="73" t="str">
        <f aca="false">IF(SUM($AE42,$AD42,$AU42)&lt;=0,"",SUM($AE42,$AD42,$AU42))</f>
        <v/>
      </c>
      <c r="AY42" s="73" t="n">
        <f aca="false">_xlfn.IFNA(INDEX(Cascade!$BD:$BD,MATCH($E42,Cascade!$E:$E,0)),"")</f>
        <v>5</v>
      </c>
      <c r="AZ42" s="118" t="str">
        <f aca="false">IFERROR(IF(SUM($AE42)&lt;=0,"",$AE42/$AY42),"")</f>
        <v/>
      </c>
      <c r="BA42" s="118" t="str">
        <f aca="false">IFERROR(IF(SUM($AU42)&lt;=0,"",$AU42/$AY42),"")</f>
        <v/>
      </c>
      <c r="BB42" s="118" t="n">
        <f aca="false">_xlfn.IFNA(INDEX(Cascade!$BL:$BL,MATCH($E42,Cascade!$E:$E,0)),"")</f>
        <v>0.8</v>
      </c>
      <c r="BC42" s="118" t="n">
        <f aca="false">_xlfn.IFNA(INDEX(Cascade!$BO:$BO,MATCH($E42,Cascade!$E:$E,0)),"")</f>
        <v>-2066.4</v>
      </c>
      <c r="BD42" s="118" t="n">
        <f aca="false">_xlfn.IFNA(INDEX(Cascade!$BR:$BR,MATCH($E42,Cascade!$E:$E,0)),"")</f>
        <v>2066.6</v>
      </c>
    </row>
    <row r="43" customFormat="false" ht="15" hidden="false" customHeight="false" outlineLevel="0" collapsed="false">
      <c r="A43" s="0" t="s">
        <v>144</v>
      </c>
      <c r="B43" s="0" t="s">
        <v>103</v>
      </c>
      <c r="C43" s="0" t="s">
        <v>63</v>
      </c>
      <c r="D43" s="0" t="s">
        <v>56</v>
      </c>
      <c r="E43" s="0" t="str">
        <f aca="false">B43&amp;"|"&amp;C43&amp;"|"&amp;D43</f>
        <v>Leribe [#SNU] [FjSmRywOWUp]|15-19|Female</v>
      </c>
      <c r="F43" s="73" t="n">
        <f aca="false">_xlfn.IFNA(INDEX(Cascade!$F:$F,MATCH($E43,Cascade!$E:$E,0)),"")</f>
        <v>16611</v>
      </c>
      <c r="G43" s="73" t="n">
        <f aca="false">_xlfn.IFNA(INDEX(Cascade!$H:$H,MATCH($E43,Cascade!$E:$E,0)),"")</f>
        <v>689</v>
      </c>
      <c r="H43" s="118" t="n">
        <f aca="false">_xlfn.IFNA(INDEX(Cascade!$J:$J,MATCH($E43,Cascade!$E:$E,0)),"")</f>
        <v>0.0414761</v>
      </c>
      <c r="I43" s="73" t="n">
        <f aca="false">_xlfn.IFNA(INDEX(Cascade!$P:$P,MATCH($E43,Cascade!$E:$E,0)),"")</f>
        <v>516</v>
      </c>
      <c r="J43" s="118" t="n">
        <f aca="false">_xlfn.IFNA(INDEX(Cascade!$Y:$Y,MATCH($E43,Cascade!$E:$E,0)),"")</f>
        <v>0.748911465892598</v>
      </c>
      <c r="K43" s="75" t="str">
        <f aca="false">_xlfn.IFNA(ROUND(INDEX(Spectrum!$N:$N,MATCH(RIGHT($B43,13)&amp;"|"&amp;$C43&amp;"|"&amp;$D43&amp;"|"&amp;K$14&amp;"|"&amp;"CY2021Q3",Spectrum!$Q:$Q,0)),0),"")</f>
        <v/>
      </c>
      <c r="L43" s="75" t="str">
        <f aca="false">_xlfn.IFNA(ROUND(INDEX(Spectrum!$N:$N,MATCH(RIGHT($B43,13)&amp;"|"&amp;$C43&amp;"|"&amp;$D43&amp;"|"&amp;L$14&amp;"|"&amp;"CY2021Q3",Spectrum!$Q:$Q,0)),0),"")</f>
        <v/>
      </c>
      <c r="M43" s="75" t="str">
        <f aca="false">_xlfn.IFNA(ROUND(INDEX(Spectrum!$N:$N,MATCH(RIGHT($B43,13)&amp;"|"&amp;$C43&amp;"|"&amp;$D43&amp;"|"&amp;M$14&amp;"|"&amp;"CY2021Q3",Spectrum!$Q:$Q,0)),0),"")</f>
        <v/>
      </c>
      <c r="N43" s="75" t="str">
        <f aca="false">_xlfn.IFNA(ROUND(INDEX(Spectrum!$N:$N,MATCH(RIGHT($B43,13)&amp;"|"&amp;$C43&amp;"|"&amp;$D43&amp;"|"&amp;N$14&amp;"|"&amp;"CY2021Q3",Spectrum!$Q:$Q,0)),0),"")</f>
        <v/>
      </c>
      <c r="O43" s="75" t="str">
        <f aca="false">_xlfn.IFNA(ROUND(INDEX(Spectrum!$N:$N,MATCH(RIGHT($B43,13)&amp;"|"&amp;$C43&amp;"|"&amp;$D43&amp;"|"&amp;O$14&amp;"|"&amp;"CY2021Q3",Spectrum!$Q:$Q,0)),0),"")</f>
        <v/>
      </c>
      <c r="P43" s="75" t="str">
        <f aca="false">_xlfn.IFNA(ROUND(INDEX(Spectrum!$N:$N,MATCH(RIGHT($B43,13)&amp;"|"&amp;$C43&amp;"|"&amp;$D43&amp;"|"&amp;P$14&amp;"|"&amp;"CY2021Q3",Spectrum!$Q:$Q,0)),0),"")</f>
        <v/>
      </c>
      <c r="Q43" s="75" t="str">
        <f aca="false">_xlfn.IFNA(ROUND(INDEX(Spectrum!$N:$N,MATCH(RIGHT($B43,13)&amp;"|"&amp;$C43&amp;"|"&amp;$D43&amp;"|"&amp;Q$14&amp;"|"&amp;"CY2021Q3",Spectrum!$Q:$Q,0)),0),"")</f>
        <v/>
      </c>
      <c r="R43" s="73" t="n">
        <v>31</v>
      </c>
      <c r="S43" s="118" t="n">
        <f aca="false">IF(SUM($R43)&lt;=0,"",0%)</f>
        <v>0</v>
      </c>
      <c r="T43" s="75" t="n">
        <f aca="false">IF(SUM($R43)&lt;=0,"",ROUND(MIN($R43,$K43)*(1+$S43),0))</f>
        <v>31</v>
      </c>
      <c r="U43" s="118" t="n">
        <f aca="false">IF(SUM($K43)=0,IF(SUM($R43)=0,"",1),MIN(SUM($R43)/SUM($K43),1))</f>
        <v>1</v>
      </c>
      <c r="V43" s="118" t="n">
        <f aca="false">$U43</f>
        <v>1</v>
      </c>
      <c r="W43" s="75" t="n">
        <f aca="false">IF(SUM($T43)=0,"",ROUND(SUM($T43)/IF(SUM($V43)=0,1,SUM($V43)),0))</f>
        <v>31</v>
      </c>
      <c r="X43" s="118" t="n">
        <f aca="false">1</f>
        <v>1</v>
      </c>
      <c r="Y43" s="118" t="n">
        <v>39</v>
      </c>
      <c r="Z43" s="118" t="n">
        <f aca="false">IF(OR(SUM($K43)&lt;=0,SUM($L43)&lt;=0),IF(SUM($Y43)&lt;=0,"",$Y43),SUM($L43)/$K43)</f>
        <v>39</v>
      </c>
      <c r="AA43" s="118" t="n">
        <v>1</v>
      </c>
      <c r="AB43" s="118" t="n">
        <f aca="false">IF(OR((SUM($K43)-SUM($L43))&lt;=0,SUM($M43)&lt;=0),IF(SUM($AA43)&lt;=0,"",$AA43),SUM($M43)/($K43-SUM($L43)))</f>
        <v>1</v>
      </c>
      <c r="AC43" s="73" t="n">
        <f aca="false">IF(SUM($T43)&lt;=0,"",ROUND(SUM($T43)*$X43,0))</f>
        <v>31</v>
      </c>
      <c r="AD43" s="75" t="n">
        <f aca="false">IF(SUM($AC43)&lt;=0,"",ROUND($AC43*SUM($Z43),0))</f>
        <v>1209</v>
      </c>
      <c r="AE43" s="75" t="n">
        <f aca="false">IF(SUM($T43)&lt;=0,"",ROUND(($AC43-$AD43)*SUM($AB43),0))</f>
        <v>-1178</v>
      </c>
      <c r="AF43" s="75" t="n">
        <f aca="false">IF(SUM($AC43)&lt;=0,"",ROUND($AC43-$AD43-$AE43,0))</f>
        <v>0</v>
      </c>
      <c r="AG43" s="73" t="n">
        <f aca="false">IF(SUM($W43)&lt;=0,"",ROUND(SUM($W43)*$X43,0))</f>
        <v>31</v>
      </c>
      <c r="AH43" s="75" t="n">
        <f aca="false">IF(SUM($AG43)&lt;=0,"",ROUND($AG43*SUM($Z43),0))</f>
        <v>1209</v>
      </c>
      <c r="AI43" s="75" t="n">
        <f aca="false">IF(SUM($W43)&lt;=0,"",ROUND(($AG43-$AH43)*SUM($AB43),0))</f>
        <v>-1178</v>
      </c>
      <c r="AJ43" s="75" t="n">
        <f aca="false">IF(SUM($AG43)&lt;=0,"",ROUND($AG43-$AH43-$AI43,0))</f>
        <v>0</v>
      </c>
      <c r="AK43" s="118" t="n">
        <f aca="false">_xlfn.IFNA(INDEX(Cascade!$BA:$BA,MATCH($E43,Cascade!$E:$E,0)),"")</f>
        <v>0.95</v>
      </c>
      <c r="AL43" s="75" t="n">
        <f aca="false">IF(SUM($AD43)&lt;=0,"",$AD43)</f>
        <v>1209</v>
      </c>
      <c r="AM43" s="75" t="str">
        <f aca="false">IF(SUM($AE43)&lt;=0,"",ROUND($AE43*$AK43,0))</f>
        <v/>
      </c>
      <c r="AN43" s="75" t="n">
        <f aca="false">IF(AND(SUM($AH43)=0,SUM($AI43)=0),"",SUM($AH43)+SUM($AI43))</f>
        <v>31</v>
      </c>
      <c r="AO43" s="75" t="n">
        <f aca="false">IF(SUM($AH43)&lt;=0,"",$AH43)</f>
        <v>1209</v>
      </c>
      <c r="AP43" s="75" t="str">
        <f aca="false">IF(SUM($AI43)&lt;=0,"",ROUND($AI43*$AK43,0))</f>
        <v/>
      </c>
      <c r="AQ43" s="73" t="n">
        <f aca="false">IF(SUM($T43,$AD43,$AE43)&lt;=0,"",MAX(SUM($T43,-$AD43,-$AE43),$AF43))</f>
        <v>0</v>
      </c>
      <c r="AR43" s="118"/>
      <c r="AS43" s="118" t="str">
        <f aca="false">IF(SUM(AR43)=0,"",$AR43)</f>
        <v/>
      </c>
      <c r="AT43" s="118" t="n">
        <f aca="false">0.95</f>
        <v>0.95</v>
      </c>
      <c r="AU43" s="75" t="str">
        <f aca="false">IF(SUM($AQ43)&lt;=0,"",ROUND(SUM($AQ43)*SUM($AS43),0))</f>
        <v/>
      </c>
      <c r="AV43" s="75" t="str">
        <f aca="false">IF(SUM($AQ43)&lt;=0,"",$AQ43-$AU43)</f>
        <v/>
      </c>
      <c r="AW43" s="73" t="str">
        <f aca="false">IF(SUM($AU43)&lt;=0,"",ROUND($AU43*$AT43,0))</f>
        <v/>
      </c>
      <c r="AX43" s="73" t="n">
        <f aca="false">IF(SUM($AE43,$AD43,$AU43)&lt;=0,"",SUM($AE43,$AD43,$AU43))</f>
        <v>31</v>
      </c>
      <c r="AY43" s="73" t="n">
        <f aca="false">_xlfn.IFNA(INDEX(Cascade!$BD:$BD,MATCH($E43,Cascade!$E:$E,0)),"")</f>
        <v>2</v>
      </c>
      <c r="AZ43" s="118" t="str">
        <f aca="false">IFERROR(IF(SUM($AE43)&lt;=0,"",$AE43/$AY43),"")</f>
        <v/>
      </c>
      <c r="BA43" s="118" t="str">
        <f aca="false">IFERROR(IF(SUM($AU43)&lt;=0,"",$AU43/$AY43),"")</f>
        <v/>
      </c>
      <c r="BB43" s="118" t="n">
        <f aca="false">_xlfn.IFNA(INDEX(Cascade!$BL:$BL,MATCH($E43,Cascade!$E:$E,0)),"")</f>
        <v>0.5</v>
      </c>
      <c r="BC43" s="118" t="n">
        <f aca="false">_xlfn.IFNA(INDEX(Cascade!$BO:$BO,MATCH($E43,Cascade!$E:$E,0)),"")</f>
        <v>-5659.5</v>
      </c>
      <c r="BD43" s="118" t="n">
        <f aca="false">_xlfn.IFNA(INDEX(Cascade!$BR:$BR,MATCH($E43,Cascade!$E:$E,0)),"")</f>
        <v>6249</v>
      </c>
    </row>
    <row r="44" customFormat="false" ht="15" hidden="false" customHeight="false" outlineLevel="0" collapsed="false">
      <c r="A44" s="0" t="s">
        <v>144</v>
      </c>
      <c r="B44" s="0" t="s">
        <v>103</v>
      </c>
      <c r="C44" s="0" t="s">
        <v>66</v>
      </c>
      <c r="D44" s="0" t="s">
        <v>56</v>
      </c>
      <c r="E44" s="0" t="str">
        <f aca="false">B44&amp;"|"&amp;C44&amp;"|"&amp;D44</f>
        <v>Leribe [#SNU] [FjSmRywOWUp]|20-24|Female</v>
      </c>
      <c r="F44" s="73" t="n">
        <f aca="false">_xlfn.IFNA(INDEX(Cascade!$F:$F,MATCH($E44,Cascade!$E:$E,0)),"")</f>
        <v>16902</v>
      </c>
      <c r="G44" s="73" t="n">
        <f aca="false">_xlfn.IFNA(INDEX(Cascade!$H:$H,MATCH($E44,Cascade!$E:$E,0)),"")</f>
        <v>1905</v>
      </c>
      <c r="H44" s="118" t="n">
        <f aca="false">_xlfn.IFNA(INDEX(Cascade!$J:$J,MATCH($E44,Cascade!$E:$E,0)),"")</f>
        <v>0.1126852</v>
      </c>
      <c r="I44" s="73" t="n">
        <f aca="false">_xlfn.IFNA(INDEX(Cascade!$P:$P,MATCH($E44,Cascade!$E:$E,0)),"")</f>
        <v>1304</v>
      </c>
      <c r="J44" s="118" t="n">
        <f aca="false">_xlfn.IFNA(INDEX(Cascade!$Y:$Y,MATCH($E44,Cascade!$E:$E,0)),"")</f>
        <v>0.684514435695538</v>
      </c>
      <c r="K44" s="75" t="str">
        <f aca="false">_xlfn.IFNA(ROUND(INDEX(Spectrum!$N:$N,MATCH(RIGHT($B44,13)&amp;"|"&amp;$C44&amp;"|"&amp;$D44&amp;"|"&amp;K$14&amp;"|"&amp;"CY2021Q3",Spectrum!$Q:$Q,0)),0),"")</f>
        <v/>
      </c>
      <c r="L44" s="75" t="str">
        <f aca="false">_xlfn.IFNA(ROUND(INDEX(Spectrum!$N:$N,MATCH(RIGHT($B44,13)&amp;"|"&amp;$C44&amp;"|"&amp;$D44&amp;"|"&amp;L$14&amp;"|"&amp;"CY2021Q3",Spectrum!$Q:$Q,0)),0),"")</f>
        <v/>
      </c>
      <c r="M44" s="75" t="str">
        <f aca="false">_xlfn.IFNA(ROUND(INDEX(Spectrum!$N:$N,MATCH(RIGHT($B44,13)&amp;"|"&amp;$C44&amp;"|"&amp;$D44&amp;"|"&amp;M$14&amp;"|"&amp;"CY2021Q3",Spectrum!$Q:$Q,0)),0),"")</f>
        <v/>
      </c>
      <c r="N44" s="75" t="str">
        <f aca="false">_xlfn.IFNA(ROUND(INDEX(Spectrum!$N:$N,MATCH(RIGHT($B44,13)&amp;"|"&amp;$C44&amp;"|"&amp;$D44&amp;"|"&amp;N$14&amp;"|"&amp;"CY2021Q3",Spectrum!$Q:$Q,0)),0),"")</f>
        <v/>
      </c>
      <c r="O44" s="75" t="str">
        <f aca="false">_xlfn.IFNA(ROUND(INDEX(Spectrum!$N:$N,MATCH(RIGHT($B44,13)&amp;"|"&amp;$C44&amp;"|"&amp;$D44&amp;"|"&amp;O$14&amp;"|"&amp;"CY2021Q3",Spectrum!$Q:$Q,0)),0),"")</f>
        <v/>
      </c>
      <c r="P44" s="75" t="str">
        <f aca="false">_xlfn.IFNA(ROUND(INDEX(Spectrum!$N:$N,MATCH(RIGHT($B44,13)&amp;"|"&amp;$C44&amp;"|"&amp;$D44&amp;"|"&amp;P$14&amp;"|"&amp;"CY2021Q3",Spectrum!$Q:$Q,0)),0),"")</f>
        <v/>
      </c>
      <c r="Q44" s="75" t="str">
        <f aca="false">_xlfn.IFNA(ROUND(INDEX(Spectrum!$N:$N,MATCH(RIGHT($B44,13)&amp;"|"&amp;$C44&amp;"|"&amp;$D44&amp;"|"&amp;Q$14&amp;"|"&amp;"CY2021Q3",Spectrum!$Q:$Q,0)),0),"")</f>
        <v/>
      </c>
      <c r="R44" s="73" t="n">
        <v>4</v>
      </c>
      <c r="S44" s="118" t="n">
        <f aca="false">IF(SUM($R44)&lt;=0,"",0%)</f>
        <v>0</v>
      </c>
      <c r="T44" s="75" t="n">
        <f aca="false">IF(SUM($R44)&lt;=0,"",ROUND(MIN($R44,$K44)*(1+$S44),0))</f>
        <v>4</v>
      </c>
      <c r="U44" s="118" t="n">
        <f aca="false">IF(SUM($K44)=0,IF(SUM($R44)=0,"",1),MIN(SUM($R44)/SUM($K44),1))</f>
        <v>1</v>
      </c>
      <c r="V44" s="118" t="n">
        <f aca="false">$U44</f>
        <v>1</v>
      </c>
      <c r="W44" s="75" t="n">
        <f aca="false">IF(SUM($T44)=0,"",ROUND(SUM($T44)/IF(SUM($V44)=0,1,SUM($V44)),0))</f>
        <v>4</v>
      </c>
      <c r="X44" s="118" t="n">
        <f aca="false">1</f>
        <v>1</v>
      </c>
      <c r="Y44" s="118" t="n">
        <v>2</v>
      </c>
      <c r="Z44" s="118" t="n">
        <f aca="false">IF(OR(SUM($K44)&lt;=0,SUM($L44)&lt;=0),IF(SUM($Y44)&lt;=0,"",$Y44),SUM($L44)/$K44)</f>
        <v>2</v>
      </c>
      <c r="AA44" s="118" t="n">
        <v>5</v>
      </c>
      <c r="AB44" s="118" t="n">
        <f aca="false">IF(OR((SUM($K44)-SUM($L44))&lt;=0,SUM($M44)&lt;=0),IF(SUM($AA44)&lt;=0,"",$AA44),SUM($M44)/($K44-SUM($L44)))</f>
        <v>5</v>
      </c>
      <c r="AC44" s="73" t="n">
        <f aca="false">IF(SUM($T44)&lt;=0,"",ROUND(SUM($T44)*$X44,0))</f>
        <v>4</v>
      </c>
      <c r="AD44" s="75" t="n">
        <f aca="false">IF(SUM($AC44)&lt;=0,"",ROUND($AC44*SUM($Z44),0))</f>
        <v>8</v>
      </c>
      <c r="AE44" s="75" t="n">
        <f aca="false">IF(SUM($T44)&lt;=0,"",ROUND(($AC44-$AD44)*SUM($AB44),0))</f>
        <v>-20</v>
      </c>
      <c r="AF44" s="75" t="n">
        <f aca="false">IF(SUM($AC44)&lt;=0,"",ROUND($AC44-$AD44-$AE44,0))</f>
        <v>16</v>
      </c>
      <c r="AG44" s="73" t="n">
        <f aca="false">IF(SUM($W44)&lt;=0,"",ROUND(SUM($W44)*$X44,0))</f>
        <v>4</v>
      </c>
      <c r="AH44" s="75" t="n">
        <f aca="false">IF(SUM($AG44)&lt;=0,"",ROUND($AG44*SUM($Z44),0))</f>
        <v>8</v>
      </c>
      <c r="AI44" s="75" t="n">
        <f aca="false">IF(SUM($W44)&lt;=0,"",ROUND(($AG44-$AH44)*SUM($AB44),0))</f>
        <v>-20</v>
      </c>
      <c r="AJ44" s="75" t="n">
        <f aca="false">IF(SUM($AG44)&lt;=0,"",ROUND($AG44-$AH44-$AI44,0))</f>
        <v>16</v>
      </c>
      <c r="AK44" s="118" t="n">
        <f aca="false">_xlfn.IFNA(INDEX(Cascade!$BA:$BA,MATCH($E44,Cascade!$E:$E,0)),"")</f>
        <v>0.95</v>
      </c>
      <c r="AL44" s="75" t="n">
        <f aca="false">IF(SUM($AD44)&lt;=0,"",$AD44)</f>
        <v>8</v>
      </c>
      <c r="AM44" s="75" t="str">
        <f aca="false">IF(SUM($AE44)&lt;=0,"",ROUND($AE44*$AK44,0))</f>
        <v/>
      </c>
      <c r="AN44" s="75" t="n">
        <f aca="false">IF(AND(SUM($AH44)=0,SUM($AI44)=0),"",SUM($AH44)+SUM($AI44))</f>
        <v>-12</v>
      </c>
      <c r="AO44" s="75" t="n">
        <f aca="false">IF(SUM($AH44)&lt;=0,"",$AH44)</f>
        <v>8</v>
      </c>
      <c r="AP44" s="75" t="str">
        <f aca="false">IF(SUM($AI44)&lt;=0,"",ROUND($AI44*$AK44,0))</f>
        <v/>
      </c>
      <c r="AQ44" s="73" t="str">
        <f aca="false">IF(SUM($T44,$AD44,$AE44)&lt;=0,"",MAX(SUM($T44,-$AD44,-$AE44),$AF44))</f>
        <v/>
      </c>
      <c r="AR44" s="118" t="n">
        <v>41</v>
      </c>
      <c r="AS44" s="118" t="n">
        <f aca="false">IF(SUM(AR44)=0,"",$AR44)</f>
        <v>41</v>
      </c>
      <c r="AT44" s="118" t="n">
        <f aca="false">0.95</f>
        <v>0.95</v>
      </c>
      <c r="AU44" s="75" t="str">
        <f aca="false">IF(SUM($AQ44)&lt;=0,"",ROUND(SUM($AQ44)*SUM($AS44),0))</f>
        <v/>
      </c>
      <c r="AV44" s="75" t="str">
        <f aca="false">IF(SUM($AQ44)&lt;=0,"",$AQ44-$AU44)</f>
        <v/>
      </c>
      <c r="AW44" s="73" t="str">
        <f aca="false">IF(SUM($AU44)&lt;=0,"",ROUND($AU44*$AT44,0))</f>
        <v/>
      </c>
      <c r="AX44" s="73" t="str">
        <f aca="false">IF(SUM($AE44,$AD44,$AU44)&lt;=0,"",SUM($AE44,$AD44,$AU44))</f>
        <v/>
      </c>
      <c r="AY44" s="73" t="n">
        <f aca="false">_xlfn.IFNA(INDEX(Cascade!$BD:$BD,MATCH($E44,Cascade!$E:$E,0)),"")</f>
        <v>17</v>
      </c>
      <c r="AZ44" s="118" t="str">
        <f aca="false">IFERROR(IF(SUM($AE44)&lt;=0,"",$AE44/$AY44),"")</f>
        <v/>
      </c>
      <c r="BA44" s="118" t="str">
        <f aca="false">IFERROR(IF(SUM($AU44)&lt;=0,"",$AU44/$AY44),"")</f>
        <v/>
      </c>
      <c r="BB44" s="118" t="n">
        <f aca="false">_xlfn.IFNA(INDEX(Cascade!$BL:$BL,MATCH($E44,Cascade!$E:$E,0)),"")</f>
        <v>0.294117647058823</v>
      </c>
      <c r="BC44" s="118" t="str">
        <f aca="false">_xlfn.IFNA(INDEX(Cascade!$BO:$BO,MATCH($E44,Cascade!$E:$E,0)),"")</f>
        <v/>
      </c>
      <c r="BD44" s="118" t="n">
        <f aca="false">_xlfn.IFNA(INDEX(Cascade!$BR:$BR,MATCH($E44,Cascade!$E:$E,0)),"")</f>
        <v>1.88235294117647</v>
      </c>
    </row>
    <row r="45" customFormat="false" ht="15" hidden="false" customHeight="false" outlineLevel="0" collapsed="false">
      <c r="A45" s="0" t="s">
        <v>144</v>
      </c>
      <c r="B45" s="0" t="s">
        <v>103</v>
      </c>
      <c r="C45" s="0" t="s">
        <v>69</v>
      </c>
      <c r="D45" s="0" t="s">
        <v>56</v>
      </c>
      <c r="E45" s="0" t="str">
        <f aca="false">B45&amp;"|"&amp;C45&amp;"|"&amp;D45</f>
        <v>Leribe [#SNU] [FjSmRywOWUp]|25-29|Female</v>
      </c>
      <c r="F45" s="73" t="n">
        <f aca="false">_xlfn.IFNA(INDEX(Cascade!$F:$F,MATCH($E45,Cascade!$E:$E,0)),"")</f>
        <v>17366</v>
      </c>
      <c r="G45" s="73" t="n">
        <f aca="false">_xlfn.IFNA(INDEX(Cascade!$H:$H,MATCH($E45,Cascade!$E:$E,0)),"")</f>
        <v>3689</v>
      </c>
      <c r="H45" s="118" t="n">
        <f aca="false">_xlfn.IFNA(INDEX(Cascade!$J:$J,MATCH($E45,Cascade!$E:$E,0)),"")</f>
        <v>0.2124353</v>
      </c>
      <c r="I45" s="73" t="n">
        <f aca="false">_xlfn.IFNA(INDEX(Cascade!$P:$P,MATCH($E45,Cascade!$E:$E,0)),"")</f>
        <v>2561</v>
      </c>
      <c r="J45" s="118" t="n">
        <f aca="false">_xlfn.IFNA(INDEX(Cascade!$Y:$Y,MATCH($E45,Cascade!$E:$E,0)),"")</f>
        <v>0.694226077527785</v>
      </c>
      <c r="K45" s="75" t="str">
        <f aca="false">_xlfn.IFNA(ROUND(INDEX(Spectrum!$N:$N,MATCH(RIGHT($B45,13)&amp;"|"&amp;$C45&amp;"|"&amp;$D45&amp;"|"&amp;K$14&amp;"|"&amp;"CY2021Q3",Spectrum!$Q:$Q,0)),0),"")</f>
        <v/>
      </c>
      <c r="L45" s="75" t="str">
        <f aca="false">_xlfn.IFNA(ROUND(INDEX(Spectrum!$N:$N,MATCH(RIGHT($B45,13)&amp;"|"&amp;$C45&amp;"|"&amp;$D45&amp;"|"&amp;L$14&amp;"|"&amp;"CY2021Q3",Spectrum!$Q:$Q,0)),0),"")</f>
        <v/>
      </c>
      <c r="M45" s="75" t="str">
        <f aca="false">_xlfn.IFNA(ROUND(INDEX(Spectrum!$N:$N,MATCH(RIGHT($B45,13)&amp;"|"&amp;$C45&amp;"|"&amp;$D45&amp;"|"&amp;M$14&amp;"|"&amp;"CY2021Q3",Spectrum!$Q:$Q,0)),0),"")</f>
        <v/>
      </c>
      <c r="N45" s="75" t="str">
        <f aca="false">_xlfn.IFNA(ROUND(INDEX(Spectrum!$N:$N,MATCH(RIGHT($B45,13)&amp;"|"&amp;$C45&amp;"|"&amp;$D45&amp;"|"&amp;N$14&amp;"|"&amp;"CY2021Q3",Spectrum!$Q:$Q,0)),0),"")</f>
        <v/>
      </c>
      <c r="O45" s="75" t="str">
        <f aca="false">_xlfn.IFNA(ROUND(INDEX(Spectrum!$N:$N,MATCH(RIGHT($B45,13)&amp;"|"&amp;$C45&amp;"|"&amp;$D45&amp;"|"&amp;O$14&amp;"|"&amp;"CY2021Q3",Spectrum!$Q:$Q,0)),0),"")</f>
        <v/>
      </c>
      <c r="P45" s="75" t="str">
        <f aca="false">_xlfn.IFNA(ROUND(INDEX(Spectrum!$N:$N,MATCH(RIGHT($B45,13)&amp;"|"&amp;$C45&amp;"|"&amp;$D45&amp;"|"&amp;P$14&amp;"|"&amp;"CY2021Q3",Spectrum!$Q:$Q,0)),0),"")</f>
        <v/>
      </c>
      <c r="Q45" s="75" t="str">
        <f aca="false">_xlfn.IFNA(ROUND(INDEX(Spectrum!$N:$N,MATCH(RIGHT($B45,13)&amp;"|"&amp;$C45&amp;"|"&amp;$D45&amp;"|"&amp;Q$14&amp;"|"&amp;"CY2021Q3",Spectrum!$Q:$Q,0)),0),"")</f>
        <v/>
      </c>
      <c r="R45" s="73" t="n">
        <v>36</v>
      </c>
      <c r="S45" s="118" t="n">
        <f aca="false">IF(SUM($R45)&lt;=0,"",0%)</f>
        <v>0</v>
      </c>
      <c r="T45" s="75" t="n">
        <f aca="false">IF(SUM($R45)&lt;=0,"",ROUND(MIN($R45,$K45)*(1+$S45),0))</f>
        <v>36</v>
      </c>
      <c r="U45" s="118" t="n">
        <f aca="false">IF(SUM($K45)=0,IF(SUM($R45)=0,"",1),MIN(SUM($R45)/SUM($K45),1))</f>
        <v>1</v>
      </c>
      <c r="V45" s="118" t="n">
        <f aca="false">$U45</f>
        <v>1</v>
      </c>
      <c r="W45" s="75" t="n">
        <f aca="false">IF(SUM($T45)=0,"",ROUND(SUM($T45)/IF(SUM($V45)=0,1,SUM($V45)),0))</f>
        <v>36</v>
      </c>
      <c r="X45" s="118" t="n">
        <f aca="false">1</f>
        <v>1</v>
      </c>
      <c r="Y45" s="118" t="n">
        <v>23</v>
      </c>
      <c r="Z45" s="118" t="n">
        <f aca="false">IF(OR(SUM($K45)&lt;=0,SUM($L45)&lt;=0),IF(SUM($Y45)&lt;=0,"",$Y45),SUM($L45)/$K45)</f>
        <v>23</v>
      </c>
      <c r="AA45" s="118" t="n">
        <v>26</v>
      </c>
      <c r="AB45" s="118" t="n">
        <f aca="false">IF(OR((SUM($K45)-SUM($L45))&lt;=0,SUM($M45)&lt;=0),IF(SUM($AA45)&lt;=0,"",$AA45),SUM($M45)/($K45-SUM($L45)))</f>
        <v>26</v>
      </c>
      <c r="AC45" s="73" t="n">
        <f aca="false">IF(SUM($T45)&lt;=0,"",ROUND(SUM($T45)*$X45,0))</f>
        <v>36</v>
      </c>
      <c r="AD45" s="75" t="n">
        <f aca="false">IF(SUM($AC45)&lt;=0,"",ROUND($AC45*SUM($Z45),0))</f>
        <v>828</v>
      </c>
      <c r="AE45" s="75" t="n">
        <f aca="false">IF(SUM($T45)&lt;=0,"",ROUND(($AC45-$AD45)*SUM($AB45),0))</f>
        <v>-20592</v>
      </c>
      <c r="AF45" s="75" t="n">
        <f aca="false">IF(SUM($AC45)&lt;=0,"",ROUND($AC45-$AD45-$AE45,0))</f>
        <v>19800</v>
      </c>
      <c r="AG45" s="73" t="n">
        <f aca="false">IF(SUM($W45)&lt;=0,"",ROUND(SUM($W45)*$X45,0))</f>
        <v>36</v>
      </c>
      <c r="AH45" s="75" t="n">
        <f aca="false">IF(SUM($AG45)&lt;=0,"",ROUND($AG45*SUM($Z45),0))</f>
        <v>828</v>
      </c>
      <c r="AI45" s="75" t="n">
        <f aca="false">IF(SUM($W45)&lt;=0,"",ROUND(($AG45-$AH45)*SUM($AB45),0))</f>
        <v>-20592</v>
      </c>
      <c r="AJ45" s="75" t="n">
        <f aca="false">IF(SUM($AG45)&lt;=0,"",ROUND($AG45-$AH45-$AI45,0))</f>
        <v>19800</v>
      </c>
      <c r="AK45" s="118" t="n">
        <f aca="false">_xlfn.IFNA(INDEX(Cascade!$BA:$BA,MATCH($E45,Cascade!$E:$E,0)),"")</f>
        <v>0.95</v>
      </c>
      <c r="AL45" s="75" t="n">
        <f aca="false">IF(SUM($AD45)&lt;=0,"",$AD45)</f>
        <v>828</v>
      </c>
      <c r="AM45" s="75" t="str">
        <f aca="false">IF(SUM($AE45)&lt;=0,"",ROUND($AE45*$AK45,0))</f>
        <v/>
      </c>
      <c r="AN45" s="75" t="n">
        <f aca="false">IF(AND(SUM($AH45)=0,SUM($AI45)=0),"",SUM($AH45)+SUM($AI45))</f>
        <v>-19764</v>
      </c>
      <c r="AO45" s="75" t="n">
        <f aca="false">IF(SUM($AH45)&lt;=0,"",$AH45)</f>
        <v>828</v>
      </c>
      <c r="AP45" s="75" t="str">
        <f aca="false">IF(SUM($AI45)&lt;=0,"",ROUND($AI45*$AK45,0))</f>
        <v/>
      </c>
      <c r="AQ45" s="73" t="str">
        <f aca="false">IF(SUM($T45,$AD45,$AE45)&lt;=0,"",MAX(SUM($T45,-$AD45,-$AE45),$AF45))</f>
        <v/>
      </c>
      <c r="AR45" s="118" t="n">
        <v>40</v>
      </c>
      <c r="AS45" s="118" t="n">
        <f aca="false">IF(SUM(AR45)=0,"",$AR45)</f>
        <v>40</v>
      </c>
      <c r="AT45" s="118" t="n">
        <f aca="false">0.95</f>
        <v>0.95</v>
      </c>
      <c r="AU45" s="75" t="str">
        <f aca="false">IF(SUM($AQ45)&lt;=0,"",ROUND(SUM($AQ45)*SUM($AS45),0))</f>
        <v/>
      </c>
      <c r="AV45" s="75" t="str">
        <f aca="false">IF(SUM($AQ45)&lt;=0,"",$AQ45-$AU45)</f>
        <v/>
      </c>
      <c r="AW45" s="73" t="str">
        <f aca="false">IF(SUM($AU45)&lt;=0,"",ROUND($AU45*$AT45,0))</f>
        <v/>
      </c>
      <c r="AX45" s="73" t="str">
        <f aca="false">IF(SUM($AE45,$AD45,$AU45)&lt;=0,"",SUM($AE45,$AD45,$AU45))</f>
        <v/>
      </c>
      <c r="AY45" s="73" t="n">
        <f aca="false">_xlfn.IFNA(INDEX(Cascade!$BD:$BD,MATCH($E45,Cascade!$E:$E,0)),"")</f>
        <v>6</v>
      </c>
      <c r="AZ45" s="118" t="str">
        <f aca="false">IFERROR(IF(SUM($AE45)&lt;=0,"",$AE45/$AY45),"")</f>
        <v/>
      </c>
      <c r="BA45" s="118" t="str">
        <f aca="false">IFERROR(IF(SUM($AU45)&lt;=0,"",$AU45/$AY45),"")</f>
        <v/>
      </c>
      <c r="BB45" s="118" t="n">
        <f aca="false">_xlfn.IFNA(INDEX(Cascade!$BL:$BL,MATCH($E45,Cascade!$E:$E,0)),"")</f>
        <v>0.333333333333333</v>
      </c>
      <c r="BC45" s="118" t="n">
        <f aca="false">_xlfn.IFNA(INDEX(Cascade!$BO:$BO,MATCH($E45,Cascade!$E:$E,0)),"")</f>
        <v>-2000.83333333333</v>
      </c>
      <c r="BD45" s="118" t="n">
        <f aca="false">_xlfn.IFNA(INDEX(Cascade!$BR:$BR,MATCH($E45,Cascade!$E:$E,0)),"")</f>
        <v>5433.5</v>
      </c>
    </row>
    <row r="46" customFormat="false" ht="15" hidden="false" customHeight="false" outlineLevel="0" collapsed="false">
      <c r="A46" s="0" t="s">
        <v>144</v>
      </c>
      <c r="B46" s="0" t="s">
        <v>103</v>
      </c>
      <c r="C46" s="0" t="s">
        <v>72</v>
      </c>
      <c r="D46" s="0" t="s">
        <v>56</v>
      </c>
      <c r="E46" s="0" t="str">
        <f aca="false">B46&amp;"|"&amp;C46&amp;"|"&amp;D46</f>
        <v>Leribe [#SNU] [FjSmRywOWUp]|30-34|Female</v>
      </c>
      <c r="F46" s="73" t="n">
        <f aca="false">_xlfn.IFNA(INDEX(Cascade!$F:$F,MATCH($E46,Cascade!$E:$E,0)),"")</f>
        <v>16090</v>
      </c>
      <c r="G46" s="73" t="n">
        <f aca="false">_xlfn.IFNA(INDEX(Cascade!$H:$H,MATCH($E46,Cascade!$E:$E,0)),"")</f>
        <v>5198</v>
      </c>
      <c r="H46" s="118" t="n">
        <f aca="false">_xlfn.IFNA(INDEX(Cascade!$J:$J,MATCH($E46,Cascade!$E:$E,0)),"")</f>
        <v>0.3230409</v>
      </c>
      <c r="I46" s="73" t="n">
        <f aca="false">_xlfn.IFNA(INDEX(Cascade!$P:$P,MATCH($E46,Cascade!$E:$E,0)),"")</f>
        <v>3512</v>
      </c>
      <c r="J46" s="118" t="n">
        <f aca="false">_xlfn.IFNA(INDEX(Cascade!$Y:$Y,MATCH($E46,Cascade!$E:$E,0)),"")</f>
        <v>0.675644478645633</v>
      </c>
      <c r="K46" s="75" t="str">
        <f aca="false">_xlfn.IFNA(ROUND(INDEX(Spectrum!$N:$N,MATCH(RIGHT($B46,13)&amp;"|"&amp;$C46&amp;"|"&amp;$D46&amp;"|"&amp;K$14&amp;"|"&amp;"CY2021Q3",Spectrum!$Q:$Q,0)),0),"")</f>
        <v/>
      </c>
      <c r="L46" s="75" t="str">
        <f aca="false">_xlfn.IFNA(ROUND(INDEX(Spectrum!$N:$N,MATCH(RIGHT($B46,13)&amp;"|"&amp;$C46&amp;"|"&amp;$D46&amp;"|"&amp;L$14&amp;"|"&amp;"CY2021Q3",Spectrum!$Q:$Q,0)),0),"")</f>
        <v/>
      </c>
      <c r="M46" s="75" t="str">
        <f aca="false">_xlfn.IFNA(ROUND(INDEX(Spectrum!$N:$N,MATCH(RIGHT($B46,13)&amp;"|"&amp;$C46&amp;"|"&amp;$D46&amp;"|"&amp;M$14&amp;"|"&amp;"CY2021Q3",Spectrum!$Q:$Q,0)),0),"")</f>
        <v/>
      </c>
      <c r="N46" s="75" t="str">
        <f aca="false">_xlfn.IFNA(ROUND(INDEX(Spectrum!$N:$N,MATCH(RIGHT($B46,13)&amp;"|"&amp;$C46&amp;"|"&amp;$D46&amp;"|"&amp;N$14&amp;"|"&amp;"CY2021Q3",Spectrum!$Q:$Q,0)),0),"")</f>
        <v/>
      </c>
      <c r="O46" s="75" t="str">
        <f aca="false">_xlfn.IFNA(ROUND(INDEX(Spectrum!$N:$N,MATCH(RIGHT($B46,13)&amp;"|"&amp;$C46&amp;"|"&amp;$D46&amp;"|"&amp;O$14&amp;"|"&amp;"CY2021Q3",Spectrum!$Q:$Q,0)),0),"")</f>
        <v/>
      </c>
      <c r="P46" s="75" t="str">
        <f aca="false">_xlfn.IFNA(ROUND(INDEX(Spectrum!$N:$N,MATCH(RIGHT($B46,13)&amp;"|"&amp;$C46&amp;"|"&amp;$D46&amp;"|"&amp;P$14&amp;"|"&amp;"CY2021Q3",Spectrum!$Q:$Q,0)),0),"")</f>
        <v/>
      </c>
      <c r="Q46" s="75" t="str">
        <f aca="false">_xlfn.IFNA(ROUND(INDEX(Spectrum!$N:$N,MATCH(RIGHT($B46,13)&amp;"|"&amp;$C46&amp;"|"&amp;$D46&amp;"|"&amp;Q$14&amp;"|"&amp;"CY2021Q3",Spectrum!$Q:$Q,0)),0),"")</f>
        <v/>
      </c>
      <c r="R46" s="73" t="n">
        <v>23</v>
      </c>
      <c r="S46" s="118" t="n">
        <f aca="false">IF(SUM($R46)&lt;=0,"",0%)</f>
        <v>0</v>
      </c>
      <c r="T46" s="75" t="n">
        <f aca="false">IF(SUM($R46)&lt;=0,"",ROUND(MIN($R46,$K46)*(1+$S46),0))</f>
        <v>23</v>
      </c>
      <c r="U46" s="118" t="n">
        <f aca="false">IF(SUM($K46)=0,IF(SUM($R46)=0,"",1),MIN(SUM($R46)/SUM($K46),1))</f>
        <v>1</v>
      </c>
      <c r="V46" s="118" t="n">
        <f aca="false">$U46</f>
        <v>1</v>
      </c>
      <c r="W46" s="75" t="n">
        <f aca="false">IF(SUM($T46)=0,"",ROUND(SUM($T46)/IF(SUM($V46)=0,1,SUM($V46)),0))</f>
        <v>23</v>
      </c>
      <c r="X46" s="118" t="n">
        <f aca="false">1</f>
        <v>1</v>
      </c>
      <c r="Y46" s="118" t="n">
        <v>50</v>
      </c>
      <c r="Z46" s="118" t="n">
        <f aca="false">IF(OR(SUM($K46)&lt;=0,SUM($L46)&lt;=0),IF(SUM($Y46)&lt;=0,"",$Y46),SUM($L46)/$K46)</f>
        <v>50</v>
      </c>
      <c r="AA46" s="118" t="n">
        <v>29</v>
      </c>
      <c r="AB46" s="118" t="n">
        <f aca="false">IF(OR((SUM($K46)-SUM($L46))&lt;=0,SUM($M46)&lt;=0),IF(SUM($AA46)&lt;=0,"",$AA46),SUM($M46)/($K46-SUM($L46)))</f>
        <v>29</v>
      </c>
      <c r="AC46" s="73" t="n">
        <f aca="false">IF(SUM($T46)&lt;=0,"",ROUND(SUM($T46)*$X46,0))</f>
        <v>23</v>
      </c>
      <c r="AD46" s="75" t="n">
        <f aca="false">IF(SUM($AC46)&lt;=0,"",ROUND($AC46*SUM($Z46),0))</f>
        <v>1150</v>
      </c>
      <c r="AE46" s="75" t="n">
        <f aca="false">IF(SUM($T46)&lt;=0,"",ROUND(($AC46-$AD46)*SUM($AB46),0))</f>
        <v>-32683</v>
      </c>
      <c r="AF46" s="75" t="n">
        <f aca="false">IF(SUM($AC46)&lt;=0,"",ROUND($AC46-$AD46-$AE46,0))</f>
        <v>31556</v>
      </c>
      <c r="AG46" s="73" t="n">
        <f aca="false">IF(SUM($W46)&lt;=0,"",ROUND(SUM($W46)*$X46,0))</f>
        <v>23</v>
      </c>
      <c r="AH46" s="75" t="n">
        <f aca="false">IF(SUM($AG46)&lt;=0,"",ROUND($AG46*SUM($Z46),0))</f>
        <v>1150</v>
      </c>
      <c r="AI46" s="75" t="n">
        <f aca="false">IF(SUM($W46)&lt;=0,"",ROUND(($AG46-$AH46)*SUM($AB46),0))</f>
        <v>-32683</v>
      </c>
      <c r="AJ46" s="75" t="n">
        <f aca="false">IF(SUM($AG46)&lt;=0,"",ROUND($AG46-$AH46-$AI46,0))</f>
        <v>31556</v>
      </c>
      <c r="AK46" s="118" t="n">
        <f aca="false">_xlfn.IFNA(INDEX(Cascade!$BA:$BA,MATCH($E46,Cascade!$E:$E,0)),"")</f>
        <v>0.95</v>
      </c>
      <c r="AL46" s="75" t="n">
        <f aca="false">IF(SUM($AD46)&lt;=0,"",$AD46)</f>
        <v>1150</v>
      </c>
      <c r="AM46" s="75" t="str">
        <f aca="false">IF(SUM($AE46)&lt;=0,"",ROUND($AE46*$AK46,0))</f>
        <v/>
      </c>
      <c r="AN46" s="75" t="n">
        <f aca="false">IF(AND(SUM($AH46)=0,SUM($AI46)=0),"",SUM($AH46)+SUM($AI46))</f>
        <v>-31533</v>
      </c>
      <c r="AO46" s="75" t="n">
        <f aca="false">IF(SUM($AH46)&lt;=0,"",$AH46)</f>
        <v>1150</v>
      </c>
      <c r="AP46" s="75" t="str">
        <f aca="false">IF(SUM($AI46)&lt;=0,"",ROUND($AI46*$AK46,0))</f>
        <v/>
      </c>
      <c r="AQ46" s="73" t="str">
        <f aca="false">IF(SUM($T46,$AD46,$AE46)&lt;=0,"",MAX(SUM($T46,-$AD46,-$AE46),$AF46))</f>
        <v/>
      </c>
      <c r="AR46" s="118"/>
      <c r="AS46" s="118" t="str">
        <f aca="false">IF(SUM(AR46)=0,"",$AR46)</f>
        <v/>
      </c>
      <c r="AT46" s="118" t="n">
        <f aca="false">0.95</f>
        <v>0.95</v>
      </c>
      <c r="AU46" s="75" t="str">
        <f aca="false">IF(SUM($AQ46)&lt;=0,"",ROUND(SUM($AQ46)*SUM($AS46),0))</f>
        <v/>
      </c>
      <c r="AV46" s="75" t="str">
        <f aca="false">IF(SUM($AQ46)&lt;=0,"",$AQ46-$AU46)</f>
        <v/>
      </c>
      <c r="AW46" s="73" t="str">
        <f aca="false">IF(SUM($AU46)&lt;=0,"",ROUND($AU46*$AT46,0))</f>
        <v/>
      </c>
      <c r="AX46" s="73" t="str">
        <f aca="false">IF(SUM($AE46,$AD46,$AU46)&lt;=0,"",SUM($AE46,$AD46,$AU46))</f>
        <v/>
      </c>
      <c r="AY46" s="73" t="n">
        <f aca="false">_xlfn.IFNA(INDEX(Cascade!$BD:$BD,MATCH($E46,Cascade!$E:$E,0)),"")</f>
        <v>18</v>
      </c>
      <c r="AZ46" s="118" t="str">
        <f aca="false">IFERROR(IF(SUM($AE46)&lt;=0,"",$AE46/$AY46),"")</f>
        <v/>
      </c>
      <c r="BA46" s="118" t="str">
        <f aca="false">IFERROR(IF(SUM($AU46)&lt;=0,"",$AU46/$AY46),"")</f>
        <v/>
      </c>
      <c r="BB46" s="118" t="n">
        <f aca="false">_xlfn.IFNA(INDEX(Cascade!$BL:$BL,MATCH($E46,Cascade!$E:$E,0)),"")</f>
        <v>0.277777777777778</v>
      </c>
      <c r="BC46" s="118" t="n">
        <f aca="false">_xlfn.IFNA(INDEX(Cascade!$BO:$BO,MATCH($E46,Cascade!$E:$E,0)),"")</f>
        <v>-16</v>
      </c>
      <c r="BD46" s="118" t="n">
        <f aca="false">_xlfn.IFNA(INDEX(Cascade!$BR:$BR,MATCH($E46,Cascade!$E:$E,0)),"")</f>
        <v>1832.44444444444</v>
      </c>
    </row>
    <row r="47" customFormat="false" ht="15" hidden="false" customHeight="false" outlineLevel="0" collapsed="false">
      <c r="A47" s="0" t="s">
        <v>144</v>
      </c>
      <c r="B47" s="0" t="s">
        <v>103</v>
      </c>
      <c r="C47" s="0" t="s">
        <v>75</v>
      </c>
      <c r="D47" s="0" t="s">
        <v>56</v>
      </c>
      <c r="E47" s="0" t="str">
        <f aca="false">B47&amp;"|"&amp;C47&amp;"|"&amp;D47</f>
        <v>Leribe [#SNU] [FjSmRywOWUp]|35-39|Female</v>
      </c>
      <c r="F47" s="73" t="n">
        <f aca="false">_xlfn.IFNA(INDEX(Cascade!$F:$F,MATCH($E47,Cascade!$E:$E,0)),"")</f>
        <v>12025</v>
      </c>
      <c r="G47" s="73" t="n">
        <f aca="false">_xlfn.IFNA(INDEX(Cascade!$H:$H,MATCH($E47,Cascade!$E:$E,0)),"")</f>
        <v>4971</v>
      </c>
      <c r="H47" s="118" t="n">
        <f aca="false">_xlfn.IFNA(INDEX(Cascade!$J:$J,MATCH($E47,Cascade!$E:$E,0)),"")</f>
        <v>0.4133909</v>
      </c>
      <c r="I47" s="73" t="n">
        <f aca="false">_xlfn.IFNA(INDEX(Cascade!$P:$P,MATCH($E47,Cascade!$E:$E,0)),"")</f>
        <v>3941</v>
      </c>
      <c r="J47" s="118" t="n">
        <f aca="false">_xlfn.IFNA(INDEX(Cascade!$Y:$Y,MATCH($E47,Cascade!$E:$E,0)),"")</f>
        <v>0.792798229732448</v>
      </c>
      <c r="K47" s="75" t="str">
        <f aca="false">_xlfn.IFNA(ROUND(INDEX(Spectrum!$N:$N,MATCH(RIGHT($B47,13)&amp;"|"&amp;$C47&amp;"|"&amp;$D47&amp;"|"&amp;K$14&amp;"|"&amp;"CY2021Q3",Spectrum!$Q:$Q,0)),0),"")</f>
        <v/>
      </c>
      <c r="L47" s="75" t="str">
        <f aca="false">_xlfn.IFNA(ROUND(INDEX(Spectrum!$N:$N,MATCH(RIGHT($B47,13)&amp;"|"&amp;$C47&amp;"|"&amp;$D47&amp;"|"&amp;L$14&amp;"|"&amp;"CY2021Q3",Spectrum!$Q:$Q,0)),0),"")</f>
        <v/>
      </c>
      <c r="M47" s="75" t="str">
        <f aca="false">_xlfn.IFNA(ROUND(INDEX(Spectrum!$N:$N,MATCH(RIGHT($B47,13)&amp;"|"&amp;$C47&amp;"|"&amp;$D47&amp;"|"&amp;M$14&amp;"|"&amp;"CY2021Q3",Spectrum!$Q:$Q,0)),0),"")</f>
        <v/>
      </c>
      <c r="N47" s="75" t="str">
        <f aca="false">_xlfn.IFNA(ROUND(INDEX(Spectrum!$N:$N,MATCH(RIGHT($B47,13)&amp;"|"&amp;$C47&amp;"|"&amp;$D47&amp;"|"&amp;N$14&amp;"|"&amp;"CY2021Q3",Spectrum!$Q:$Q,0)),0),"")</f>
        <v/>
      </c>
      <c r="O47" s="75" t="str">
        <f aca="false">_xlfn.IFNA(ROUND(INDEX(Spectrum!$N:$N,MATCH(RIGHT($B47,13)&amp;"|"&amp;$C47&amp;"|"&amp;$D47&amp;"|"&amp;O$14&amp;"|"&amp;"CY2021Q3",Spectrum!$Q:$Q,0)),0),"")</f>
        <v/>
      </c>
      <c r="P47" s="75" t="str">
        <f aca="false">_xlfn.IFNA(ROUND(INDEX(Spectrum!$N:$N,MATCH(RIGHT($B47,13)&amp;"|"&amp;$C47&amp;"|"&amp;$D47&amp;"|"&amp;P$14&amp;"|"&amp;"CY2021Q3",Spectrum!$Q:$Q,0)),0),"")</f>
        <v/>
      </c>
      <c r="Q47" s="75" t="str">
        <f aca="false">_xlfn.IFNA(ROUND(INDEX(Spectrum!$N:$N,MATCH(RIGHT($B47,13)&amp;"|"&amp;$C47&amp;"|"&amp;$D47&amp;"|"&amp;Q$14&amp;"|"&amp;"CY2021Q3",Spectrum!$Q:$Q,0)),0),"")</f>
        <v/>
      </c>
      <c r="R47" s="73" t="n">
        <v>30</v>
      </c>
      <c r="S47" s="118" t="n">
        <f aca="false">IF(SUM($R47)&lt;=0,"",0%)</f>
        <v>0</v>
      </c>
      <c r="T47" s="75" t="n">
        <f aca="false">IF(SUM($R47)&lt;=0,"",ROUND(MIN($R47,$K47)*(1+$S47),0))</f>
        <v>30</v>
      </c>
      <c r="U47" s="118" t="n">
        <f aca="false">IF(SUM($K47)=0,IF(SUM($R47)=0,"",1),MIN(SUM($R47)/SUM($K47),1))</f>
        <v>1</v>
      </c>
      <c r="V47" s="118" t="n">
        <f aca="false">$U47</f>
        <v>1</v>
      </c>
      <c r="W47" s="75" t="n">
        <f aca="false">IF(SUM($T47)=0,"",ROUND(SUM($T47)/IF(SUM($V47)=0,1,SUM($V47)),0))</f>
        <v>30</v>
      </c>
      <c r="X47" s="118" t="n">
        <f aca="false">1</f>
        <v>1</v>
      </c>
      <c r="Y47" s="118" t="n">
        <v>16</v>
      </c>
      <c r="Z47" s="118" t="n">
        <f aca="false">IF(OR(SUM($K47)&lt;=0,SUM($L47)&lt;=0),IF(SUM($Y47)&lt;=0,"",$Y47),SUM($L47)/$K47)</f>
        <v>16</v>
      </c>
      <c r="AA47" s="118" t="n">
        <v>13</v>
      </c>
      <c r="AB47" s="118" t="n">
        <f aca="false">IF(OR((SUM($K47)-SUM($L47))&lt;=0,SUM($M47)&lt;=0),IF(SUM($AA47)&lt;=0,"",$AA47),SUM($M47)/($K47-SUM($L47)))</f>
        <v>13</v>
      </c>
      <c r="AC47" s="73" t="n">
        <f aca="false">IF(SUM($T47)&lt;=0,"",ROUND(SUM($T47)*$X47,0))</f>
        <v>30</v>
      </c>
      <c r="AD47" s="75" t="n">
        <f aca="false">IF(SUM($AC47)&lt;=0,"",ROUND($AC47*SUM($Z47),0))</f>
        <v>480</v>
      </c>
      <c r="AE47" s="75" t="n">
        <f aca="false">IF(SUM($T47)&lt;=0,"",ROUND(($AC47-$AD47)*SUM($AB47),0))</f>
        <v>-5850</v>
      </c>
      <c r="AF47" s="75" t="n">
        <f aca="false">IF(SUM($AC47)&lt;=0,"",ROUND($AC47-$AD47-$AE47,0))</f>
        <v>5400</v>
      </c>
      <c r="AG47" s="73" t="n">
        <f aca="false">IF(SUM($W47)&lt;=0,"",ROUND(SUM($W47)*$X47,0))</f>
        <v>30</v>
      </c>
      <c r="AH47" s="75" t="n">
        <f aca="false">IF(SUM($AG47)&lt;=0,"",ROUND($AG47*SUM($Z47),0))</f>
        <v>480</v>
      </c>
      <c r="AI47" s="75" t="n">
        <f aca="false">IF(SUM($W47)&lt;=0,"",ROUND(($AG47-$AH47)*SUM($AB47),0))</f>
        <v>-5850</v>
      </c>
      <c r="AJ47" s="75" t="n">
        <f aca="false">IF(SUM($AG47)&lt;=0,"",ROUND($AG47-$AH47-$AI47,0))</f>
        <v>5400</v>
      </c>
      <c r="AK47" s="118" t="n">
        <f aca="false">_xlfn.IFNA(INDEX(Cascade!$BA:$BA,MATCH($E47,Cascade!$E:$E,0)),"")</f>
        <v>0.95</v>
      </c>
      <c r="AL47" s="75" t="n">
        <f aca="false">IF(SUM($AD47)&lt;=0,"",$AD47)</f>
        <v>480</v>
      </c>
      <c r="AM47" s="75" t="str">
        <f aca="false">IF(SUM($AE47)&lt;=0,"",ROUND($AE47*$AK47,0))</f>
        <v/>
      </c>
      <c r="AN47" s="75" t="n">
        <f aca="false">IF(AND(SUM($AH47)=0,SUM($AI47)=0),"",SUM($AH47)+SUM($AI47))</f>
        <v>-5370</v>
      </c>
      <c r="AO47" s="75" t="n">
        <f aca="false">IF(SUM($AH47)&lt;=0,"",$AH47)</f>
        <v>480</v>
      </c>
      <c r="AP47" s="75" t="str">
        <f aca="false">IF(SUM($AI47)&lt;=0,"",ROUND($AI47*$AK47,0))</f>
        <v/>
      </c>
      <c r="AQ47" s="73" t="str">
        <f aca="false">IF(SUM($T47,$AD47,$AE47)&lt;=0,"",MAX(SUM($T47,-$AD47,-$AE47),$AF47))</f>
        <v/>
      </c>
      <c r="AR47" s="118"/>
      <c r="AS47" s="118" t="str">
        <f aca="false">IF(SUM(AR47)=0,"",$AR47)</f>
        <v/>
      </c>
      <c r="AT47" s="118" t="n">
        <f aca="false">0.95</f>
        <v>0.95</v>
      </c>
      <c r="AU47" s="75" t="str">
        <f aca="false">IF(SUM($AQ47)&lt;=0,"",ROUND(SUM($AQ47)*SUM($AS47),0))</f>
        <v/>
      </c>
      <c r="AV47" s="75" t="str">
        <f aca="false">IF(SUM($AQ47)&lt;=0,"",$AQ47-$AU47)</f>
        <v/>
      </c>
      <c r="AW47" s="73" t="str">
        <f aca="false">IF(SUM($AU47)&lt;=0,"",ROUND($AU47*$AT47,0))</f>
        <v/>
      </c>
      <c r="AX47" s="73" t="str">
        <f aca="false">IF(SUM($AE47,$AD47,$AU47)&lt;=0,"",SUM($AE47,$AD47,$AU47))</f>
        <v/>
      </c>
      <c r="AY47" s="73" t="n">
        <f aca="false">_xlfn.IFNA(INDEX(Cascade!$BD:$BD,MATCH($E47,Cascade!$E:$E,0)),"")</f>
        <v>2</v>
      </c>
      <c r="AZ47" s="118" t="str">
        <f aca="false">IFERROR(IF(SUM($AE47)&lt;=0,"",$AE47/$AY47),"")</f>
        <v/>
      </c>
      <c r="BA47" s="118" t="str">
        <f aca="false">IFERROR(IF(SUM($AU47)&lt;=0,"",$AU47/$AY47),"")</f>
        <v/>
      </c>
      <c r="BB47" s="118" t="n">
        <f aca="false">_xlfn.IFNA(INDEX(Cascade!$BL:$BL,MATCH($E47,Cascade!$E:$E,0)),"")</f>
        <v>0.5</v>
      </c>
      <c r="BC47" s="118" t="n">
        <f aca="false">_xlfn.IFNA(INDEX(Cascade!$BO:$BO,MATCH($E47,Cascade!$E:$E,0)),"")</f>
        <v>-1230</v>
      </c>
      <c r="BD47" s="118" t="n">
        <f aca="false">_xlfn.IFNA(INDEX(Cascade!$BR:$BR,MATCH($E47,Cascade!$E:$E,0)),"")</f>
        <v>4155.5</v>
      </c>
    </row>
    <row r="48" customFormat="false" ht="15" hidden="false" customHeight="false" outlineLevel="0" collapsed="false">
      <c r="A48" s="0" t="s">
        <v>144</v>
      </c>
      <c r="B48" s="0" t="s">
        <v>103</v>
      </c>
      <c r="C48" s="0" t="s">
        <v>77</v>
      </c>
      <c r="D48" s="0" t="s">
        <v>56</v>
      </c>
      <c r="E48" s="0" t="str">
        <f aca="false">B48&amp;"|"&amp;C48&amp;"|"&amp;D48</f>
        <v>Leribe [#SNU] [FjSmRywOWUp]|40-44|Female</v>
      </c>
      <c r="F48" s="73" t="n">
        <f aca="false">_xlfn.IFNA(INDEX(Cascade!$F:$F,MATCH($E48,Cascade!$E:$E,0)),"")</f>
        <v>8664</v>
      </c>
      <c r="G48" s="73" t="n">
        <f aca="false">_xlfn.IFNA(INDEX(Cascade!$H:$H,MATCH($E48,Cascade!$E:$E,0)),"")</f>
        <v>3984</v>
      </c>
      <c r="H48" s="118" t="n">
        <f aca="false">_xlfn.IFNA(INDEX(Cascade!$J:$J,MATCH($E48,Cascade!$E:$E,0)),"")</f>
        <v>0.4597975</v>
      </c>
      <c r="I48" s="73" t="n">
        <f aca="false">_xlfn.IFNA(INDEX(Cascade!$P:$P,MATCH($E48,Cascade!$E:$E,0)),"")</f>
        <v>3768</v>
      </c>
      <c r="J48" s="118" t="n">
        <f aca="false">_xlfn.IFNA(INDEX(Cascade!$Y:$Y,MATCH($E48,Cascade!$E:$E,0)),"")</f>
        <v>0.94578313253012</v>
      </c>
      <c r="K48" s="75" t="str">
        <f aca="false">_xlfn.IFNA(ROUND(INDEX(Spectrum!$N:$N,MATCH(RIGHT($B48,13)&amp;"|"&amp;$C48&amp;"|"&amp;$D48&amp;"|"&amp;K$14&amp;"|"&amp;"CY2021Q3",Spectrum!$Q:$Q,0)),0),"")</f>
        <v/>
      </c>
      <c r="L48" s="75" t="str">
        <f aca="false">_xlfn.IFNA(ROUND(INDEX(Spectrum!$N:$N,MATCH(RIGHT($B48,13)&amp;"|"&amp;$C48&amp;"|"&amp;$D48&amp;"|"&amp;L$14&amp;"|"&amp;"CY2021Q3",Spectrum!$Q:$Q,0)),0),"")</f>
        <v/>
      </c>
      <c r="M48" s="75" t="str">
        <f aca="false">_xlfn.IFNA(ROUND(INDEX(Spectrum!$N:$N,MATCH(RIGHT($B48,13)&amp;"|"&amp;$C48&amp;"|"&amp;$D48&amp;"|"&amp;M$14&amp;"|"&amp;"CY2021Q3",Spectrum!$Q:$Q,0)),0),"")</f>
        <v/>
      </c>
      <c r="N48" s="75" t="str">
        <f aca="false">_xlfn.IFNA(ROUND(INDEX(Spectrum!$N:$N,MATCH(RIGHT($B48,13)&amp;"|"&amp;$C48&amp;"|"&amp;$D48&amp;"|"&amp;N$14&amp;"|"&amp;"CY2021Q3",Spectrum!$Q:$Q,0)),0),"")</f>
        <v/>
      </c>
      <c r="O48" s="75" t="str">
        <f aca="false">_xlfn.IFNA(ROUND(INDEX(Spectrum!$N:$N,MATCH(RIGHT($B48,13)&amp;"|"&amp;$C48&amp;"|"&amp;$D48&amp;"|"&amp;O$14&amp;"|"&amp;"CY2021Q3",Spectrum!$Q:$Q,0)),0),"")</f>
        <v/>
      </c>
      <c r="P48" s="75" t="str">
        <f aca="false">_xlfn.IFNA(ROUND(INDEX(Spectrum!$N:$N,MATCH(RIGHT($B48,13)&amp;"|"&amp;$C48&amp;"|"&amp;$D48&amp;"|"&amp;P$14&amp;"|"&amp;"CY2021Q3",Spectrum!$Q:$Q,0)),0),"")</f>
        <v/>
      </c>
      <c r="Q48" s="75" t="str">
        <f aca="false">_xlfn.IFNA(ROUND(INDEX(Spectrum!$N:$N,MATCH(RIGHT($B48,13)&amp;"|"&amp;$C48&amp;"|"&amp;$D48&amp;"|"&amp;Q$14&amp;"|"&amp;"CY2021Q3",Spectrum!$Q:$Q,0)),0),"")</f>
        <v/>
      </c>
      <c r="R48" s="73" t="n">
        <v>5</v>
      </c>
      <c r="S48" s="118" t="n">
        <f aca="false">IF(SUM($R48)&lt;=0,"",0%)</f>
        <v>0</v>
      </c>
      <c r="T48" s="75" t="n">
        <f aca="false">IF(SUM($R48)&lt;=0,"",ROUND(MIN($R48,$K48)*(1+$S48),0))</f>
        <v>5</v>
      </c>
      <c r="U48" s="118" t="n">
        <f aca="false">IF(SUM($K48)=0,IF(SUM($R48)=0,"",1),MIN(SUM($R48)/SUM($K48),1))</f>
        <v>1</v>
      </c>
      <c r="V48" s="118" t="n">
        <f aca="false">$U48</f>
        <v>1</v>
      </c>
      <c r="W48" s="75" t="n">
        <f aca="false">IF(SUM($T48)=0,"",ROUND(SUM($T48)/IF(SUM($V48)=0,1,SUM($V48)),0))</f>
        <v>5</v>
      </c>
      <c r="X48" s="118" t="n">
        <f aca="false">1</f>
        <v>1</v>
      </c>
      <c r="Y48" s="118" t="n">
        <v>10</v>
      </c>
      <c r="Z48" s="118" t="n">
        <f aca="false">IF(OR(SUM($K48)&lt;=0,SUM($L48)&lt;=0),IF(SUM($Y48)&lt;=0,"",$Y48),SUM($L48)/$K48)</f>
        <v>10</v>
      </c>
      <c r="AA48" s="118" t="n">
        <v>2</v>
      </c>
      <c r="AB48" s="118" t="n">
        <f aca="false">IF(OR((SUM($K48)-SUM($L48))&lt;=0,SUM($M48)&lt;=0),IF(SUM($AA48)&lt;=0,"",$AA48),SUM($M48)/($K48-SUM($L48)))</f>
        <v>2</v>
      </c>
      <c r="AC48" s="73" t="n">
        <f aca="false">IF(SUM($T48)&lt;=0,"",ROUND(SUM($T48)*$X48,0))</f>
        <v>5</v>
      </c>
      <c r="AD48" s="75" t="n">
        <f aca="false">IF(SUM($AC48)&lt;=0,"",ROUND($AC48*SUM($Z48),0))</f>
        <v>50</v>
      </c>
      <c r="AE48" s="75" t="n">
        <f aca="false">IF(SUM($T48)&lt;=0,"",ROUND(($AC48-$AD48)*SUM($AB48),0))</f>
        <v>-90</v>
      </c>
      <c r="AF48" s="75" t="n">
        <f aca="false">IF(SUM($AC48)&lt;=0,"",ROUND($AC48-$AD48-$AE48,0))</f>
        <v>45</v>
      </c>
      <c r="AG48" s="73" t="n">
        <f aca="false">IF(SUM($W48)&lt;=0,"",ROUND(SUM($W48)*$X48,0))</f>
        <v>5</v>
      </c>
      <c r="AH48" s="75" t="n">
        <f aca="false">IF(SUM($AG48)&lt;=0,"",ROUND($AG48*SUM($Z48),0))</f>
        <v>50</v>
      </c>
      <c r="AI48" s="75" t="n">
        <f aca="false">IF(SUM($W48)&lt;=0,"",ROUND(($AG48-$AH48)*SUM($AB48),0))</f>
        <v>-90</v>
      </c>
      <c r="AJ48" s="75" t="n">
        <f aca="false">IF(SUM($AG48)&lt;=0,"",ROUND($AG48-$AH48-$AI48,0))</f>
        <v>45</v>
      </c>
      <c r="AK48" s="118" t="n">
        <f aca="false">_xlfn.IFNA(INDEX(Cascade!$BA:$BA,MATCH($E48,Cascade!$E:$E,0)),"")</f>
        <v>0.95</v>
      </c>
      <c r="AL48" s="75" t="n">
        <f aca="false">IF(SUM($AD48)&lt;=0,"",$AD48)</f>
        <v>50</v>
      </c>
      <c r="AM48" s="75" t="str">
        <f aca="false">IF(SUM($AE48)&lt;=0,"",ROUND($AE48*$AK48,0))</f>
        <v/>
      </c>
      <c r="AN48" s="75" t="n">
        <f aca="false">IF(AND(SUM($AH48)=0,SUM($AI48)=0),"",SUM($AH48)+SUM($AI48))</f>
        <v>-40</v>
      </c>
      <c r="AO48" s="75" t="n">
        <f aca="false">IF(SUM($AH48)&lt;=0,"",$AH48)</f>
        <v>50</v>
      </c>
      <c r="AP48" s="75" t="str">
        <f aca="false">IF(SUM($AI48)&lt;=0,"",ROUND($AI48*$AK48,0))</f>
        <v/>
      </c>
      <c r="AQ48" s="73" t="str">
        <f aca="false">IF(SUM($T48,$AD48,$AE48)&lt;=0,"",MAX(SUM($T48,-$AD48,-$AE48),$AF48))</f>
        <v/>
      </c>
      <c r="AR48" s="118"/>
      <c r="AS48" s="118" t="str">
        <f aca="false">IF(SUM(AR48)=0,"",$AR48)</f>
        <v/>
      </c>
      <c r="AT48" s="118" t="n">
        <f aca="false">0.95</f>
        <v>0.95</v>
      </c>
      <c r="AU48" s="75" t="str">
        <f aca="false">IF(SUM($AQ48)&lt;=0,"",ROUND(SUM($AQ48)*SUM($AS48),0))</f>
        <v/>
      </c>
      <c r="AV48" s="75" t="str">
        <f aca="false">IF(SUM($AQ48)&lt;=0,"",$AQ48-$AU48)</f>
        <v/>
      </c>
      <c r="AW48" s="73" t="str">
        <f aca="false">IF(SUM($AU48)&lt;=0,"",ROUND($AU48*$AT48,0))</f>
        <v/>
      </c>
      <c r="AX48" s="73" t="str">
        <f aca="false">IF(SUM($AE48,$AD48,$AU48)&lt;=0,"",SUM($AE48,$AD48,$AU48))</f>
        <v/>
      </c>
      <c r="AY48" s="73" t="str">
        <f aca="false">_xlfn.IFNA(INDEX(Cascade!$BD:$BD,MATCH($E48,Cascade!$E:$E,0)),"")</f>
        <v/>
      </c>
      <c r="AZ48" s="118" t="str">
        <f aca="false">IFERROR(IF(SUM($AE48)&lt;=0,"",$AE48/$AY48),"")</f>
        <v/>
      </c>
      <c r="BA48" s="118" t="str">
        <f aca="false">IFERROR(IF(SUM($AU48)&lt;=0,"",$AU48/$AY48),"")</f>
        <v/>
      </c>
      <c r="BB48" s="118" t="str">
        <f aca="false">_xlfn.IFNA(INDEX(Cascade!$BL:$BL,MATCH($E48,Cascade!$E:$E,0)),"")</f>
        <v/>
      </c>
      <c r="BC48" s="118" t="str">
        <f aca="false">_xlfn.IFNA(INDEX(Cascade!$BO:$BO,MATCH($E48,Cascade!$E:$E,0)),"")</f>
        <v/>
      </c>
      <c r="BD48" s="118" t="str">
        <f aca="false">_xlfn.IFNA(INDEX(Cascade!$BR:$BR,MATCH($E48,Cascade!$E:$E,0)),"")</f>
        <v/>
      </c>
    </row>
    <row r="49" customFormat="false" ht="15" hidden="false" customHeight="false" outlineLevel="0" collapsed="false">
      <c r="A49" s="0" t="s">
        <v>144</v>
      </c>
      <c r="B49" s="0" t="s">
        <v>103</v>
      </c>
      <c r="C49" s="0" t="s">
        <v>80</v>
      </c>
      <c r="D49" s="0" t="s">
        <v>56</v>
      </c>
      <c r="E49" s="0" t="str">
        <f aca="false">B49&amp;"|"&amp;C49&amp;"|"&amp;D49</f>
        <v>Leribe [#SNU] [FjSmRywOWUp]|45-49|Female</v>
      </c>
      <c r="F49" s="73" t="n">
        <f aca="false">_xlfn.IFNA(INDEX(Cascade!$F:$F,MATCH($E49,Cascade!$E:$E,0)),"")</f>
        <v>6819</v>
      </c>
      <c r="G49" s="73" t="n">
        <f aca="false">_xlfn.IFNA(INDEX(Cascade!$H:$H,MATCH($E49,Cascade!$E:$E,0)),"")</f>
        <v>2981</v>
      </c>
      <c r="H49" s="118" t="n">
        <f aca="false">_xlfn.IFNA(INDEX(Cascade!$J:$J,MATCH($E49,Cascade!$E:$E,0)),"")</f>
        <v>0.4371742</v>
      </c>
      <c r="I49" s="73" t="n">
        <f aca="false">_xlfn.IFNA(INDEX(Cascade!$P:$P,MATCH($E49,Cascade!$E:$E,0)),"")</f>
        <v>2882</v>
      </c>
      <c r="J49" s="118" t="n">
        <f aca="false">_xlfn.IFNA(INDEX(Cascade!$Y:$Y,MATCH($E49,Cascade!$E:$E,0)),"")</f>
        <v>0.966789667896679</v>
      </c>
      <c r="K49" s="75" t="str">
        <f aca="false">_xlfn.IFNA(ROUND(INDEX(Spectrum!$N:$N,MATCH(RIGHT($B49,13)&amp;"|"&amp;$C49&amp;"|"&amp;$D49&amp;"|"&amp;K$14&amp;"|"&amp;"CY2021Q3",Spectrum!$Q:$Q,0)),0),"")</f>
        <v/>
      </c>
      <c r="L49" s="75" t="str">
        <f aca="false">_xlfn.IFNA(ROUND(INDEX(Spectrum!$N:$N,MATCH(RIGHT($B49,13)&amp;"|"&amp;$C49&amp;"|"&amp;$D49&amp;"|"&amp;L$14&amp;"|"&amp;"CY2021Q3",Spectrum!$Q:$Q,0)),0),"")</f>
        <v/>
      </c>
      <c r="M49" s="75" t="str">
        <f aca="false">_xlfn.IFNA(ROUND(INDEX(Spectrum!$N:$N,MATCH(RIGHT($B49,13)&amp;"|"&amp;$C49&amp;"|"&amp;$D49&amp;"|"&amp;M$14&amp;"|"&amp;"CY2021Q3",Spectrum!$Q:$Q,0)),0),"")</f>
        <v/>
      </c>
      <c r="N49" s="75" t="str">
        <f aca="false">_xlfn.IFNA(ROUND(INDEX(Spectrum!$N:$N,MATCH(RIGHT($B49,13)&amp;"|"&amp;$C49&amp;"|"&amp;$D49&amp;"|"&amp;N$14&amp;"|"&amp;"CY2021Q3",Spectrum!$Q:$Q,0)),0),"")</f>
        <v/>
      </c>
      <c r="O49" s="75" t="str">
        <f aca="false">_xlfn.IFNA(ROUND(INDEX(Spectrum!$N:$N,MATCH(RIGHT($B49,13)&amp;"|"&amp;$C49&amp;"|"&amp;$D49&amp;"|"&amp;O$14&amp;"|"&amp;"CY2021Q3",Spectrum!$Q:$Q,0)),0),"")</f>
        <v/>
      </c>
      <c r="P49" s="75" t="str">
        <f aca="false">_xlfn.IFNA(ROUND(INDEX(Spectrum!$N:$N,MATCH(RIGHT($B49,13)&amp;"|"&amp;$C49&amp;"|"&amp;$D49&amp;"|"&amp;P$14&amp;"|"&amp;"CY2021Q3",Spectrum!$Q:$Q,0)),0),"")</f>
        <v/>
      </c>
      <c r="Q49" s="75" t="str">
        <f aca="false">_xlfn.IFNA(ROUND(INDEX(Spectrum!$N:$N,MATCH(RIGHT($B49,13)&amp;"|"&amp;$C49&amp;"|"&amp;$D49&amp;"|"&amp;Q$14&amp;"|"&amp;"CY2021Q3",Spectrum!$Q:$Q,0)),0),"")</f>
        <v/>
      </c>
      <c r="R49" s="73" t="n">
        <v>1</v>
      </c>
      <c r="S49" s="118" t="n">
        <f aca="false">IF(SUM($R49)&lt;=0,"",0%)</f>
        <v>0</v>
      </c>
      <c r="T49" s="75" t="n">
        <f aca="false">IF(SUM($R49)&lt;=0,"",ROUND(MIN($R49,$K49)*(1+$S49),0))</f>
        <v>1</v>
      </c>
      <c r="U49" s="118" t="n">
        <f aca="false">IF(SUM($K49)=0,IF(SUM($R49)=0,"",1),MIN(SUM($R49)/SUM($K49),1))</f>
        <v>1</v>
      </c>
      <c r="V49" s="118" t="n">
        <f aca="false">$U49</f>
        <v>1</v>
      </c>
      <c r="W49" s="75" t="n">
        <f aca="false">IF(SUM($T49)=0,"",ROUND(SUM($T49)/IF(SUM($V49)=0,1,SUM($V49)),0))</f>
        <v>1</v>
      </c>
      <c r="X49" s="118" t="n">
        <f aca="false">1</f>
        <v>1</v>
      </c>
      <c r="Y49" s="118" t="n">
        <v>18</v>
      </c>
      <c r="Z49" s="118" t="n">
        <f aca="false">IF(OR(SUM($K49)&lt;=0,SUM($L49)&lt;=0),IF(SUM($Y49)&lt;=0,"",$Y49),SUM($L49)/$K49)</f>
        <v>18</v>
      </c>
      <c r="AA49" s="118"/>
      <c r="AB49" s="118" t="str">
        <f aca="false">IF(OR((SUM($K49)-SUM($L49))&lt;=0,SUM($M49)&lt;=0),IF(SUM($AA49)&lt;=0,"",$AA49),SUM($M49)/($K49-SUM($L49)))</f>
        <v/>
      </c>
      <c r="AC49" s="73" t="n">
        <f aca="false">IF(SUM($T49)&lt;=0,"",ROUND(SUM($T49)*$X49,0))</f>
        <v>1</v>
      </c>
      <c r="AD49" s="75" t="n">
        <f aca="false">IF(SUM($AC49)&lt;=0,"",ROUND($AC49*SUM($Z49),0))</f>
        <v>18</v>
      </c>
      <c r="AE49" s="75" t="n">
        <f aca="false">IF(SUM($T49)&lt;=0,"",ROUND(($AC49-$AD49)*SUM($AB49),0))</f>
        <v>-0</v>
      </c>
      <c r="AF49" s="75" t="n">
        <f aca="false">IF(SUM($AC49)&lt;=0,"",ROUND($AC49-$AD49-$AE49,0))</f>
        <v>-17</v>
      </c>
      <c r="AG49" s="73" t="n">
        <f aca="false">IF(SUM($W49)&lt;=0,"",ROUND(SUM($W49)*$X49,0))</f>
        <v>1</v>
      </c>
      <c r="AH49" s="75" t="n">
        <f aca="false">IF(SUM($AG49)&lt;=0,"",ROUND($AG49*SUM($Z49),0))</f>
        <v>18</v>
      </c>
      <c r="AI49" s="75" t="n">
        <f aca="false">IF(SUM($W49)&lt;=0,"",ROUND(($AG49-$AH49)*SUM($AB49),0))</f>
        <v>-0</v>
      </c>
      <c r="AJ49" s="75" t="n">
        <f aca="false">IF(SUM($AG49)&lt;=0,"",ROUND($AG49-$AH49-$AI49,0))</f>
        <v>-17</v>
      </c>
      <c r="AK49" s="118" t="n">
        <f aca="false">_xlfn.IFNA(INDEX(Cascade!$BA:$BA,MATCH($E49,Cascade!$E:$E,0)),"")</f>
        <v>0.95</v>
      </c>
      <c r="AL49" s="75" t="n">
        <f aca="false">IF(SUM($AD49)&lt;=0,"",$AD49)</f>
        <v>18</v>
      </c>
      <c r="AM49" s="75" t="str">
        <f aca="false">IF(SUM($AE49)&lt;=0,"",ROUND($AE49*$AK49,0))</f>
        <v/>
      </c>
      <c r="AN49" s="75" t="n">
        <f aca="false">IF(AND(SUM($AH49)=0,SUM($AI49)=0),"",SUM($AH49)+SUM($AI49))</f>
        <v>18</v>
      </c>
      <c r="AO49" s="75" t="n">
        <f aca="false">IF(SUM($AH49)&lt;=0,"",$AH49)</f>
        <v>18</v>
      </c>
      <c r="AP49" s="75" t="str">
        <f aca="false">IF(SUM($AI49)&lt;=0,"",ROUND($AI49*$AK49,0))</f>
        <v/>
      </c>
      <c r="AQ49" s="73" t="n">
        <f aca="false">IF(SUM($T49,$AD49,$AE49)&lt;=0,"",MAX(SUM($T49,-$AD49,-$AE49),$AF49))</f>
        <v>-17</v>
      </c>
      <c r="AR49" s="118"/>
      <c r="AS49" s="118" t="str">
        <f aca="false">IF(SUM(AR49)=0,"",$AR49)</f>
        <v/>
      </c>
      <c r="AT49" s="118" t="n">
        <f aca="false">0.95</f>
        <v>0.95</v>
      </c>
      <c r="AU49" s="75" t="str">
        <f aca="false">IF(SUM($AQ49)&lt;=0,"",ROUND(SUM($AQ49)*SUM($AS49),0))</f>
        <v/>
      </c>
      <c r="AV49" s="75" t="str">
        <f aca="false">IF(SUM($AQ49)&lt;=0,"",$AQ49-$AU49)</f>
        <v/>
      </c>
      <c r="AW49" s="73" t="str">
        <f aca="false">IF(SUM($AU49)&lt;=0,"",ROUND($AU49*$AT49,0))</f>
        <v/>
      </c>
      <c r="AX49" s="73" t="n">
        <f aca="false">IF(SUM($AE49,$AD49,$AU49)&lt;=0,"",SUM($AE49,$AD49,$AU49))</f>
        <v>18</v>
      </c>
      <c r="AY49" s="73" t="n">
        <f aca="false">_xlfn.IFNA(INDEX(Cascade!$BD:$BD,MATCH($E49,Cascade!$E:$E,0)),"")</f>
        <v>1</v>
      </c>
      <c r="AZ49" s="118" t="str">
        <f aca="false">IFERROR(IF(SUM($AE49)&lt;=0,"",$AE49/$AY49),"")</f>
        <v/>
      </c>
      <c r="BA49" s="118" t="str">
        <f aca="false">IFERROR(IF(SUM($AU49)&lt;=0,"",$AU49/$AY49),"")</f>
        <v/>
      </c>
      <c r="BB49" s="118" t="n">
        <f aca="false">_xlfn.IFNA(INDEX(Cascade!$BL:$BL,MATCH($E49,Cascade!$E:$E,0)),"")</f>
        <v>1</v>
      </c>
      <c r="BC49" s="118" t="n">
        <f aca="false">_xlfn.IFNA(INDEX(Cascade!$BO:$BO,MATCH($E49,Cascade!$E:$E,0)),"")</f>
        <v>-3780</v>
      </c>
      <c r="BD49" s="118" t="n">
        <f aca="false">_xlfn.IFNA(INDEX(Cascade!$BR:$BR,MATCH($E49,Cascade!$E:$E,0)),"")</f>
        <v>3780</v>
      </c>
    </row>
    <row r="50" customFormat="false" ht="15" hidden="false" customHeight="false" outlineLevel="0" collapsed="false">
      <c r="A50" s="0" t="s">
        <v>144</v>
      </c>
      <c r="B50" s="0" t="s">
        <v>103</v>
      </c>
      <c r="C50" s="0" t="s">
        <v>86</v>
      </c>
      <c r="D50" s="0" t="s">
        <v>56</v>
      </c>
      <c r="E50" s="0" t="str">
        <f aca="false">B50&amp;"|"&amp;C50&amp;"|"&amp;D50</f>
        <v>Leribe [#SNU] [FjSmRywOWUp]|50+|Female</v>
      </c>
      <c r="F50" s="73" t="n">
        <f aca="false">_xlfn.IFNA(INDEX(Cascade!$F:$F,MATCH($E50,Cascade!$E:$E,0)),"")</f>
        <v>32480</v>
      </c>
      <c r="G50" s="73" t="n">
        <f aca="false">_xlfn.IFNA(INDEX(Cascade!$H:$H,MATCH($E50,Cascade!$E:$E,0)),"")</f>
        <v>8010</v>
      </c>
      <c r="H50" s="118" t="n">
        <f aca="false">_xlfn.IFNA(INDEX(Cascade!$J:$J,MATCH($E50,Cascade!$E:$E,0)),"")</f>
        <v>0.2466007</v>
      </c>
      <c r="I50" s="73" t="n">
        <f aca="false">_xlfn.IFNA(INDEX(Cascade!$P:$P,MATCH($E50,Cascade!$E:$E,0)),"")</f>
        <v>6068</v>
      </c>
      <c r="J50" s="118" t="n">
        <f aca="false">_xlfn.IFNA(INDEX(Cascade!$Y:$Y,MATCH($E50,Cascade!$E:$E,0)),"")</f>
        <v>0.757553058676654</v>
      </c>
      <c r="K50" s="75" t="str">
        <f aca="false">_xlfn.IFNA(ROUND(INDEX(Spectrum!$N:$N,MATCH(RIGHT($B50,13)&amp;"|"&amp;$C50&amp;"|"&amp;$D50&amp;"|"&amp;K$14&amp;"|"&amp;"CY2021Q3",Spectrum!$Q:$Q,0)),0),"")</f>
        <v/>
      </c>
      <c r="L50" s="75" t="str">
        <f aca="false">_xlfn.IFNA(ROUND(INDEX(Spectrum!$N:$N,MATCH(RIGHT($B50,13)&amp;"|"&amp;$C50&amp;"|"&amp;$D50&amp;"|"&amp;L$14&amp;"|"&amp;"CY2021Q3",Spectrum!$Q:$Q,0)),0),"")</f>
        <v/>
      </c>
      <c r="M50" s="75" t="str">
        <f aca="false">_xlfn.IFNA(ROUND(INDEX(Spectrum!$N:$N,MATCH(RIGHT($B50,13)&amp;"|"&amp;$C50&amp;"|"&amp;$D50&amp;"|"&amp;M$14&amp;"|"&amp;"CY2021Q3",Spectrum!$Q:$Q,0)),0),"")</f>
        <v/>
      </c>
      <c r="N50" s="75" t="str">
        <f aca="false">_xlfn.IFNA(ROUND(INDEX(Spectrum!$N:$N,MATCH(RIGHT($B50,13)&amp;"|"&amp;$C50&amp;"|"&amp;$D50&amp;"|"&amp;N$14&amp;"|"&amp;"CY2021Q3",Spectrum!$Q:$Q,0)),0),"")</f>
        <v/>
      </c>
      <c r="O50" s="75" t="str">
        <f aca="false">_xlfn.IFNA(ROUND(INDEX(Spectrum!$N:$N,MATCH(RIGHT($B50,13)&amp;"|"&amp;$C50&amp;"|"&amp;$D50&amp;"|"&amp;O$14&amp;"|"&amp;"CY2021Q3",Spectrum!$Q:$Q,0)),0),"")</f>
        <v/>
      </c>
      <c r="P50" s="75" t="str">
        <f aca="false">_xlfn.IFNA(ROUND(INDEX(Spectrum!$N:$N,MATCH(RIGHT($B50,13)&amp;"|"&amp;$C50&amp;"|"&amp;$D50&amp;"|"&amp;P$14&amp;"|"&amp;"CY2021Q3",Spectrum!$Q:$Q,0)),0),"")</f>
        <v/>
      </c>
      <c r="Q50" s="75" t="str">
        <f aca="false">_xlfn.IFNA(ROUND(INDEX(Spectrum!$N:$N,MATCH(RIGHT($B50,13)&amp;"|"&amp;$C50&amp;"|"&amp;$D50&amp;"|"&amp;Q$14&amp;"|"&amp;"CY2021Q3",Spectrum!$Q:$Q,0)),0),"")</f>
        <v/>
      </c>
      <c r="R50" s="73"/>
      <c r="S50" s="118" t="str">
        <f aca="false">IF(SUM($R50)&lt;=0,"",0%)</f>
        <v/>
      </c>
      <c r="T50" s="75" t="str">
        <f aca="false">IF(SUM($R50)&lt;=0,"",ROUND(MIN($R50,$K50)*(1+$S50),0))</f>
        <v/>
      </c>
      <c r="U50" s="118" t="str">
        <f aca="false">IF(SUM($K50)=0,IF(SUM($R50)=0,"",1),MIN(SUM($R50)/SUM($K50),1))</f>
        <v/>
      </c>
      <c r="V50" s="118" t="str">
        <f aca="false">$U50</f>
        <v/>
      </c>
      <c r="W50" s="75" t="str">
        <f aca="false">IF(SUM($T50)=0,"",ROUND(SUM($T50)/IF(SUM($V50)=0,1,SUM($V50)),0))</f>
        <v/>
      </c>
      <c r="X50" s="118" t="n">
        <f aca="false">1</f>
        <v>1</v>
      </c>
      <c r="Y50" s="118" t="n">
        <v>34</v>
      </c>
      <c r="Z50" s="118" t="n">
        <f aca="false">IF(OR(SUM($K50)&lt;=0,SUM($L50)&lt;=0),IF(SUM($Y50)&lt;=0,"",$Y50),SUM($L50)/$K50)</f>
        <v>34</v>
      </c>
      <c r="AA50" s="118" t="n">
        <v>45</v>
      </c>
      <c r="AB50" s="118" t="n">
        <f aca="false">IF(OR((SUM($K50)-SUM($L50))&lt;=0,SUM($M50)&lt;=0),IF(SUM($AA50)&lt;=0,"",$AA50),SUM($M50)/($K50-SUM($L50)))</f>
        <v>45</v>
      </c>
      <c r="AC50" s="73" t="str">
        <f aca="false">IF(SUM($T50)&lt;=0,"",ROUND(SUM($T50)*$X50,0))</f>
        <v/>
      </c>
      <c r="AD50" s="75" t="str">
        <f aca="false">IF(SUM($AC50)&lt;=0,"",ROUND($AC50*SUM($Z50),0))</f>
        <v/>
      </c>
      <c r="AE50" s="75" t="str">
        <f aca="false">IF(SUM($T50)&lt;=0,"",ROUND(($AC50-$AD50)*SUM($AB50),0))</f>
        <v/>
      </c>
      <c r="AF50" s="75" t="str">
        <f aca="false">IF(SUM($AC50)&lt;=0,"",ROUND($AC50-$AD50-$AE50,0))</f>
        <v/>
      </c>
      <c r="AG50" s="73" t="str">
        <f aca="false">IF(SUM($W50)&lt;=0,"",ROUND(SUM($W50)*$X50,0))</f>
        <v/>
      </c>
      <c r="AH50" s="75" t="str">
        <f aca="false">IF(SUM($AG50)&lt;=0,"",ROUND($AG50*SUM($Z50),0))</f>
        <v/>
      </c>
      <c r="AI50" s="75" t="str">
        <f aca="false">IF(SUM($W50)&lt;=0,"",ROUND(($AG50-$AH50)*SUM($AB50),0))</f>
        <v/>
      </c>
      <c r="AJ50" s="75" t="str">
        <f aca="false">IF(SUM($AG50)&lt;=0,"",ROUND($AG50-$AH50-$AI50,0))</f>
        <v/>
      </c>
      <c r="AK50" s="118" t="n">
        <f aca="false">_xlfn.IFNA(INDEX(Cascade!$BA:$BA,MATCH($E50,Cascade!$E:$E,0)),"")</f>
        <v>0.95</v>
      </c>
      <c r="AL50" s="75" t="str">
        <f aca="false">IF(SUM($AD50)&lt;=0,"",$AD50)</f>
        <v/>
      </c>
      <c r="AM50" s="75" t="str">
        <f aca="false">IF(SUM($AE50)&lt;=0,"",ROUND($AE50*$AK50,0))</f>
        <v/>
      </c>
      <c r="AN50" s="75" t="str">
        <f aca="false">IF(AND(SUM($AH50)=0,SUM($AI50)=0),"",SUM($AH50)+SUM($AI50))</f>
        <v/>
      </c>
      <c r="AO50" s="75" t="str">
        <f aca="false">IF(SUM($AH50)&lt;=0,"",$AH50)</f>
        <v/>
      </c>
      <c r="AP50" s="75" t="str">
        <f aca="false">IF(SUM($AI50)&lt;=0,"",ROUND($AI50*$AK50,0))</f>
        <v/>
      </c>
      <c r="AQ50" s="73" t="str">
        <f aca="false">IF(SUM($T50,$AD50,$AE50)&lt;=0,"",MAX(SUM($T50,-$AD50,-$AE50),$AF50))</f>
        <v/>
      </c>
      <c r="AR50" s="118"/>
      <c r="AS50" s="118" t="str">
        <f aca="false">IF(SUM(AR50)=0,"",$AR50)</f>
        <v/>
      </c>
      <c r="AT50" s="118" t="n">
        <f aca="false">0.95</f>
        <v>0.95</v>
      </c>
      <c r="AU50" s="75" t="str">
        <f aca="false">IF(SUM($AQ50)&lt;=0,"",ROUND(SUM($AQ50)*SUM($AS50),0))</f>
        <v/>
      </c>
      <c r="AV50" s="75" t="str">
        <f aca="false">IF(SUM($AQ50)&lt;=0,"",$AQ50-$AU50)</f>
        <v/>
      </c>
      <c r="AW50" s="73" t="str">
        <f aca="false">IF(SUM($AU50)&lt;=0,"",ROUND($AU50*$AT50,0))</f>
        <v/>
      </c>
      <c r="AX50" s="73" t="str">
        <f aca="false">IF(SUM($AE50,$AD50,$AU50)&lt;=0,"",SUM($AE50,$AD50,$AU50))</f>
        <v/>
      </c>
      <c r="AY50" s="73" t="n">
        <f aca="false">_xlfn.IFNA(INDEX(Cascade!$BD:$BD,MATCH($E50,Cascade!$E:$E,0)),"")</f>
        <v>7</v>
      </c>
      <c r="AZ50" s="118" t="str">
        <f aca="false">IFERROR(IF(SUM($AE50)&lt;=0,"",$AE50/$AY50),"")</f>
        <v/>
      </c>
      <c r="BA50" s="118" t="str">
        <f aca="false">IFERROR(IF(SUM($AU50)&lt;=0,"",$AU50/$AY50),"")</f>
        <v/>
      </c>
      <c r="BB50" s="118" t="n">
        <f aca="false">_xlfn.IFNA(INDEX(Cascade!$BL:$BL,MATCH($E50,Cascade!$E:$E,0)),"")</f>
        <v>0.571428571428571</v>
      </c>
      <c r="BC50" s="118" t="n">
        <f aca="false">_xlfn.IFNA(INDEX(Cascade!$BO:$BO,MATCH($E50,Cascade!$E:$E,0)),"")</f>
        <v>-276.428571428571</v>
      </c>
      <c r="BD50" s="118" t="n">
        <f aca="false">_xlfn.IFNA(INDEX(Cascade!$BR:$BR,MATCH($E50,Cascade!$E:$E,0)),"")</f>
        <v>276.857142857143</v>
      </c>
    </row>
    <row r="51" customFormat="false" ht="15" hidden="false" customHeight="false" outlineLevel="0" collapsed="false">
      <c r="A51" s="0" t="s">
        <v>145</v>
      </c>
      <c r="B51" s="0" t="s">
        <v>107</v>
      </c>
      <c r="C51" s="0" t="s">
        <v>61</v>
      </c>
      <c r="D51" s="0" t="s">
        <v>56</v>
      </c>
      <c r="E51" s="0" t="str">
        <f aca="false">B51&amp;"|"&amp;C51&amp;"|"&amp;D51</f>
        <v>Mafeteng [#SNU] [#DREAMS] [DiFv5WXIHM5]|10-14|Female</v>
      </c>
      <c r="F51" s="73" t="n">
        <f aca="false">_xlfn.IFNA(INDEX(Cascade!$F:$F,MATCH($E51,Cascade!$E:$E,0)),"")</f>
        <v>9021</v>
      </c>
      <c r="G51" s="73" t="n">
        <f aca="false">_xlfn.IFNA(INDEX(Cascade!$H:$H,MATCH($E51,Cascade!$E:$E,0)),"")</f>
        <v>247</v>
      </c>
      <c r="H51" s="118" t="n">
        <f aca="false">_xlfn.IFNA(INDEX(Cascade!$J:$J,MATCH($E51,Cascade!$E:$E,0)),"")</f>
        <v>0.027385</v>
      </c>
      <c r="I51" s="73" t="n">
        <f aca="false">_xlfn.IFNA(INDEX(Cascade!$P:$P,MATCH($E51,Cascade!$E:$E,0)),"")</f>
        <v>200</v>
      </c>
      <c r="J51" s="118" t="n">
        <f aca="false">_xlfn.IFNA(INDEX(Cascade!$Y:$Y,MATCH($E51,Cascade!$E:$E,0)),"")</f>
        <v>0.809716599190283</v>
      </c>
      <c r="K51" s="75" t="str">
        <f aca="false">_xlfn.IFNA(ROUND(INDEX(Spectrum!$N:$N,MATCH(RIGHT($B51,13)&amp;"|"&amp;$C51&amp;"|"&amp;$D51&amp;"|"&amp;K$14&amp;"|"&amp;"CY2021Q3",Spectrum!$Q:$Q,0)),0),"")</f>
        <v/>
      </c>
      <c r="L51" s="75" t="str">
        <f aca="false">_xlfn.IFNA(ROUND(INDEX(Spectrum!$N:$N,MATCH(RIGHT($B51,13)&amp;"|"&amp;$C51&amp;"|"&amp;$D51&amp;"|"&amp;L$14&amp;"|"&amp;"CY2021Q3",Spectrum!$Q:$Q,0)),0),"")</f>
        <v/>
      </c>
      <c r="M51" s="75" t="str">
        <f aca="false">_xlfn.IFNA(ROUND(INDEX(Spectrum!$N:$N,MATCH(RIGHT($B51,13)&amp;"|"&amp;$C51&amp;"|"&amp;$D51&amp;"|"&amp;M$14&amp;"|"&amp;"CY2021Q3",Spectrum!$Q:$Q,0)),0),"")</f>
        <v/>
      </c>
      <c r="N51" s="75" t="str">
        <f aca="false">_xlfn.IFNA(ROUND(INDEX(Spectrum!$N:$N,MATCH(RIGHT($B51,13)&amp;"|"&amp;$C51&amp;"|"&amp;$D51&amp;"|"&amp;N$14&amp;"|"&amp;"CY2021Q3",Spectrum!$Q:$Q,0)),0),"")</f>
        <v/>
      </c>
      <c r="O51" s="75" t="str">
        <f aca="false">_xlfn.IFNA(ROUND(INDEX(Spectrum!$N:$N,MATCH(RIGHT($B51,13)&amp;"|"&amp;$C51&amp;"|"&amp;$D51&amp;"|"&amp;O$14&amp;"|"&amp;"CY2021Q3",Spectrum!$Q:$Q,0)),0),"")</f>
        <v/>
      </c>
      <c r="P51" s="75" t="str">
        <f aca="false">_xlfn.IFNA(ROUND(INDEX(Spectrum!$N:$N,MATCH(RIGHT($B51,13)&amp;"|"&amp;$C51&amp;"|"&amp;$D51&amp;"|"&amp;P$14&amp;"|"&amp;"CY2021Q3",Spectrum!$Q:$Q,0)),0),"")</f>
        <v/>
      </c>
      <c r="Q51" s="75" t="str">
        <f aca="false">_xlfn.IFNA(ROUND(INDEX(Spectrum!$N:$N,MATCH(RIGHT($B51,13)&amp;"|"&amp;$C51&amp;"|"&amp;$D51&amp;"|"&amp;Q$14&amp;"|"&amp;"CY2021Q3",Spectrum!$Q:$Q,0)),0),"")</f>
        <v/>
      </c>
      <c r="R51" s="73" t="n">
        <v>24</v>
      </c>
      <c r="S51" s="118" t="n">
        <f aca="false">IF(SUM($R51)&lt;=0,"",0%)</f>
        <v>0</v>
      </c>
      <c r="T51" s="75" t="n">
        <f aca="false">IF(SUM($R51)&lt;=0,"",ROUND(MIN($R51,$K51)*(1+$S51),0))</f>
        <v>24</v>
      </c>
      <c r="U51" s="118" t="n">
        <f aca="false">IF(SUM($K51)=0,IF(SUM($R51)=0,"",1),MIN(SUM($R51)/SUM($K51),1))</f>
        <v>1</v>
      </c>
      <c r="V51" s="118" t="n">
        <f aca="false">$U51</f>
        <v>1</v>
      </c>
      <c r="W51" s="75" t="n">
        <f aca="false">IF(SUM($T51)=0,"",ROUND(SUM($T51)/IF(SUM($V51)=0,1,SUM($V51)),0))</f>
        <v>24</v>
      </c>
      <c r="X51" s="118" t="n">
        <f aca="false">1</f>
        <v>1</v>
      </c>
      <c r="Y51" s="118"/>
      <c r="Z51" s="118" t="str">
        <f aca="false">IF(OR(SUM($K51)&lt;=0,SUM($L51)&lt;=0),IF(SUM($Y51)&lt;=0,"",$Y51),SUM($L51)/$K51)</f>
        <v/>
      </c>
      <c r="AA51" s="118"/>
      <c r="AB51" s="118" t="str">
        <f aca="false">IF(OR((SUM($K51)-SUM($L51))&lt;=0,SUM($M51)&lt;=0),IF(SUM($AA51)&lt;=0,"",$AA51),SUM($M51)/($K51-SUM($L51)))</f>
        <v/>
      </c>
      <c r="AC51" s="73" t="n">
        <f aca="false">IF(SUM($T51)&lt;=0,"",ROUND(SUM($T51)*$X51,0))</f>
        <v>24</v>
      </c>
      <c r="AD51" s="75" t="n">
        <f aca="false">IF(SUM($AC51)&lt;=0,"",ROUND($AC51*SUM($Z51),0))</f>
        <v>0</v>
      </c>
      <c r="AE51" s="75" t="n">
        <f aca="false">IF(SUM($T51)&lt;=0,"",ROUND(($AC51-$AD51)*SUM($AB51),0))</f>
        <v>0</v>
      </c>
      <c r="AF51" s="75" t="n">
        <f aca="false">IF(SUM($AC51)&lt;=0,"",ROUND($AC51-$AD51-$AE51,0))</f>
        <v>24</v>
      </c>
      <c r="AG51" s="73" t="n">
        <f aca="false">IF(SUM($W51)&lt;=0,"",ROUND(SUM($W51)*$X51,0))</f>
        <v>24</v>
      </c>
      <c r="AH51" s="75" t="n">
        <f aca="false">IF(SUM($AG51)&lt;=0,"",ROUND($AG51*SUM($Z51),0))</f>
        <v>0</v>
      </c>
      <c r="AI51" s="75" t="n">
        <f aca="false">IF(SUM($W51)&lt;=0,"",ROUND(($AG51-$AH51)*SUM($AB51),0))</f>
        <v>0</v>
      </c>
      <c r="AJ51" s="75" t="n">
        <f aca="false">IF(SUM($AG51)&lt;=0,"",ROUND($AG51-$AH51-$AI51,0))</f>
        <v>24</v>
      </c>
      <c r="AK51" s="118" t="n">
        <f aca="false">_xlfn.IFNA(INDEX(Cascade!$BA:$BA,MATCH($E51,Cascade!$E:$E,0)),"")</f>
        <v>0.95</v>
      </c>
      <c r="AL51" s="75" t="str">
        <f aca="false">IF(SUM($AD51)&lt;=0,"",$AD51)</f>
        <v/>
      </c>
      <c r="AM51" s="75" t="str">
        <f aca="false">IF(SUM($AE51)&lt;=0,"",ROUND($AE51*$AK51,0))</f>
        <v/>
      </c>
      <c r="AN51" s="75" t="str">
        <f aca="false">IF(AND(SUM($AH51)=0,SUM($AI51)=0),"",SUM($AH51)+SUM($AI51))</f>
        <v/>
      </c>
      <c r="AO51" s="75" t="str">
        <f aca="false">IF(SUM($AH51)&lt;=0,"",$AH51)</f>
        <v/>
      </c>
      <c r="AP51" s="75" t="str">
        <f aca="false">IF(SUM($AI51)&lt;=0,"",ROUND($AI51*$AK51,0))</f>
        <v/>
      </c>
      <c r="AQ51" s="73" t="n">
        <f aca="false">IF(SUM($T51,$AD51,$AE51)&lt;=0,"",MAX(SUM($T51,-$AD51,-$AE51),$AF51))</f>
        <v>24</v>
      </c>
      <c r="AR51" s="118"/>
      <c r="AS51" s="118" t="str">
        <f aca="false">IF(SUM(AR51)=0,"",$AR51)</f>
        <v/>
      </c>
      <c r="AT51" s="118" t="n">
        <f aca="false">0.95</f>
        <v>0.95</v>
      </c>
      <c r="AU51" s="75" t="n">
        <f aca="false">IF(SUM($AQ51)&lt;=0,"",ROUND(SUM($AQ51)*SUM($AS51),0))</f>
        <v>0</v>
      </c>
      <c r="AV51" s="75" t="n">
        <f aca="false">IF(SUM($AQ51)&lt;=0,"",$AQ51-$AU51)</f>
        <v>24</v>
      </c>
      <c r="AW51" s="73" t="str">
        <f aca="false">IF(SUM($AU51)&lt;=0,"",ROUND($AU51*$AT51,0))</f>
        <v/>
      </c>
      <c r="AX51" s="73" t="str">
        <f aca="false">IF(SUM($AE51,$AD51,$AU51)&lt;=0,"",SUM($AE51,$AD51,$AU51))</f>
        <v/>
      </c>
      <c r="AY51" s="73" t="n">
        <f aca="false">_xlfn.IFNA(INDEX(Cascade!$BD:$BD,MATCH($E51,Cascade!$E:$E,0)),"")</f>
        <v>6</v>
      </c>
      <c r="AZ51" s="118" t="str">
        <f aca="false">IFERROR(IF(SUM($AE51)&lt;=0,"",$AE51/$AY51),"")</f>
        <v/>
      </c>
      <c r="BA51" s="118" t="str">
        <f aca="false">IFERROR(IF(SUM($AU51)&lt;=0,"",$AU51/$AY51),"")</f>
        <v/>
      </c>
      <c r="BB51" s="118" t="n">
        <f aca="false">_xlfn.IFNA(INDEX(Cascade!$BL:$BL,MATCH($E51,Cascade!$E:$E,0)),"")</f>
        <v>0.833333333333333</v>
      </c>
      <c r="BC51" s="118" t="str">
        <f aca="false">_xlfn.IFNA(INDEX(Cascade!$BO:$BO,MATCH($E51,Cascade!$E:$E,0)),"")</f>
        <v/>
      </c>
      <c r="BD51" s="118" t="n">
        <f aca="false">_xlfn.IFNA(INDEX(Cascade!$BR:$BR,MATCH($E51,Cascade!$E:$E,0)),"")</f>
        <v>0.166666666666667</v>
      </c>
    </row>
    <row r="52" customFormat="false" ht="15" hidden="false" customHeight="false" outlineLevel="0" collapsed="false">
      <c r="A52" s="0" t="s">
        <v>145</v>
      </c>
      <c r="B52" s="0" t="s">
        <v>107</v>
      </c>
      <c r="C52" s="0" t="s">
        <v>63</v>
      </c>
      <c r="D52" s="0" t="s">
        <v>56</v>
      </c>
      <c r="E52" s="0" t="str">
        <f aca="false">B52&amp;"|"&amp;C52&amp;"|"&amp;D52</f>
        <v>Mafeteng [#SNU] [#DREAMS] [DiFv5WXIHM5]|15-19|Female</v>
      </c>
      <c r="F52" s="73" t="n">
        <f aca="false">_xlfn.IFNA(INDEX(Cascade!$F:$F,MATCH($E52,Cascade!$E:$E,0)),"")</f>
        <v>8017</v>
      </c>
      <c r="G52" s="73" t="n">
        <f aca="false">_xlfn.IFNA(INDEX(Cascade!$H:$H,MATCH($E52,Cascade!$E:$E,0)),"")</f>
        <v>419</v>
      </c>
      <c r="H52" s="118" t="n">
        <f aca="false">_xlfn.IFNA(INDEX(Cascade!$J:$J,MATCH($E52,Cascade!$E:$E,0)),"")</f>
        <v>0.0522428</v>
      </c>
      <c r="I52" s="73" t="n">
        <f aca="false">_xlfn.IFNA(INDEX(Cascade!$P:$P,MATCH($E52,Cascade!$E:$E,0)),"")</f>
        <v>309</v>
      </c>
      <c r="J52" s="118" t="n">
        <f aca="false">_xlfn.IFNA(INDEX(Cascade!$Y:$Y,MATCH($E52,Cascade!$E:$E,0)),"")</f>
        <v>0.737470167064439</v>
      </c>
      <c r="K52" s="75" t="str">
        <f aca="false">_xlfn.IFNA(ROUND(INDEX(Spectrum!$N:$N,MATCH(RIGHT($B52,13)&amp;"|"&amp;$C52&amp;"|"&amp;$D52&amp;"|"&amp;K$14&amp;"|"&amp;"CY2021Q3",Spectrum!$Q:$Q,0)),0),"")</f>
        <v/>
      </c>
      <c r="L52" s="75" t="str">
        <f aca="false">_xlfn.IFNA(ROUND(INDEX(Spectrum!$N:$N,MATCH(RIGHT($B52,13)&amp;"|"&amp;$C52&amp;"|"&amp;$D52&amp;"|"&amp;L$14&amp;"|"&amp;"CY2021Q3",Spectrum!$Q:$Q,0)),0),"")</f>
        <v/>
      </c>
      <c r="M52" s="75" t="str">
        <f aca="false">_xlfn.IFNA(ROUND(INDEX(Spectrum!$N:$N,MATCH(RIGHT($B52,13)&amp;"|"&amp;$C52&amp;"|"&amp;$D52&amp;"|"&amp;M$14&amp;"|"&amp;"CY2021Q3",Spectrum!$Q:$Q,0)),0),"")</f>
        <v/>
      </c>
      <c r="N52" s="75" t="str">
        <f aca="false">_xlfn.IFNA(ROUND(INDEX(Spectrum!$N:$N,MATCH(RIGHT($B52,13)&amp;"|"&amp;$C52&amp;"|"&amp;$D52&amp;"|"&amp;N$14&amp;"|"&amp;"CY2021Q3",Spectrum!$Q:$Q,0)),0),"")</f>
        <v/>
      </c>
      <c r="O52" s="75" t="str">
        <f aca="false">_xlfn.IFNA(ROUND(INDEX(Spectrum!$N:$N,MATCH(RIGHT($B52,13)&amp;"|"&amp;$C52&amp;"|"&amp;$D52&amp;"|"&amp;O$14&amp;"|"&amp;"CY2021Q3",Spectrum!$Q:$Q,0)),0),"")</f>
        <v/>
      </c>
      <c r="P52" s="75" t="str">
        <f aca="false">_xlfn.IFNA(ROUND(INDEX(Spectrum!$N:$N,MATCH(RIGHT($B52,13)&amp;"|"&amp;$C52&amp;"|"&amp;$D52&amp;"|"&amp;P$14&amp;"|"&amp;"CY2021Q3",Spectrum!$Q:$Q,0)),0),"")</f>
        <v/>
      </c>
      <c r="Q52" s="75" t="str">
        <f aca="false">_xlfn.IFNA(ROUND(INDEX(Spectrum!$N:$N,MATCH(RIGHT($B52,13)&amp;"|"&amp;$C52&amp;"|"&amp;$D52&amp;"|"&amp;Q$14&amp;"|"&amp;"CY2021Q3",Spectrum!$Q:$Q,0)),0),"")</f>
        <v/>
      </c>
      <c r="R52" s="73" t="n">
        <v>13</v>
      </c>
      <c r="S52" s="118" t="n">
        <f aca="false">IF(SUM($R52)&lt;=0,"",0%)</f>
        <v>0</v>
      </c>
      <c r="T52" s="75" t="n">
        <f aca="false">IF(SUM($R52)&lt;=0,"",ROUND(MIN($R52,$K52)*(1+$S52),0))</f>
        <v>13</v>
      </c>
      <c r="U52" s="118" t="n">
        <f aca="false">IF(SUM($K52)=0,IF(SUM($R52)=0,"",1),MIN(SUM($R52)/SUM($K52),1))</f>
        <v>1</v>
      </c>
      <c r="V52" s="118" t="n">
        <f aca="false">$U52</f>
        <v>1</v>
      </c>
      <c r="W52" s="75" t="n">
        <f aca="false">IF(SUM($T52)=0,"",ROUND(SUM($T52)/IF(SUM($V52)=0,1,SUM($V52)),0))</f>
        <v>13</v>
      </c>
      <c r="X52" s="118" t="n">
        <f aca="false">1</f>
        <v>1</v>
      </c>
      <c r="Y52" s="118" t="n">
        <v>26</v>
      </c>
      <c r="Z52" s="118" t="n">
        <f aca="false">IF(OR(SUM($K52)&lt;=0,SUM($L52)&lt;=0),IF(SUM($Y52)&lt;=0,"",$Y52),SUM($L52)/$K52)</f>
        <v>26</v>
      </c>
      <c r="AA52" s="118" t="n">
        <v>8</v>
      </c>
      <c r="AB52" s="118" t="n">
        <f aca="false">IF(OR((SUM($K52)-SUM($L52))&lt;=0,SUM($M52)&lt;=0),IF(SUM($AA52)&lt;=0,"",$AA52),SUM($M52)/($K52-SUM($L52)))</f>
        <v>8</v>
      </c>
      <c r="AC52" s="73" t="n">
        <f aca="false">IF(SUM($T52)&lt;=0,"",ROUND(SUM($T52)*$X52,0))</f>
        <v>13</v>
      </c>
      <c r="AD52" s="75" t="n">
        <f aca="false">IF(SUM($AC52)&lt;=0,"",ROUND($AC52*SUM($Z52),0))</f>
        <v>338</v>
      </c>
      <c r="AE52" s="75" t="n">
        <f aca="false">IF(SUM($T52)&lt;=0,"",ROUND(($AC52-$AD52)*SUM($AB52),0))</f>
        <v>-2600</v>
      </c>
      <c r="AF52" s="75" t="n">
        <f aca="false">IF(SUM($AC52)&lt;=0,"",ROUND($AC52-$AD52-$AE52,0))</f>
        <v>2275</v>
      </c>
      <c r="AG52" s="73" t="n">
        <f aca="false">IF(SUM($W52)&lt;=0,"",ROUND(SUM($W52)*$X52,0))</f>
        <v>13</v>
      </c>
      <c r="AH52" s="75" t="n">
        <f aca="false">IF(SUM($AG52)&lt;=0,"",ROUND($AG52*SUM($Z52),0))</f>
        <v>338</v>
      </c>
      <c r="AI52" s="75" t="n">
        <f aca="false">IF(SUM($W52)&lt;=0,"",ROUND(($AG52-$AH52)*SUM($AB52),0))</f>
        <v>-2600</v>
      </c>
      <c r="AJ52" s="75" t="n">
        <f aca="false">IF(SUM($AG52)&lt;=0,"",ROUND($AG52-$AH52-$AI52,0))</f>
        <v>2275</v>
      </c>
      <c r="AK52" s="118" t="n">
        <f aca="false">_xlfn.IFNA(INDEX(Cascade!$BA:$BA,MATCH($E52,Cascade!$E:$E,0)),"")</f>
        <v>0.95</v>
      </c>
      <c r="AL52" s="75" t="n">
        <f aca="false">IF(SUM($AD52)&lt;=0,"",$AD52)</f>
        <v>338</v>
      </c>
      <c r="AM52" s="75" t="str">
        <f aca="false">IF(SUM($AE52)&lt;=0,"",ROUND($AE52*$AK52,0))</f>
        <v/>
      </c>
      <c r="AN52" s="75" t="n">
        <f aca="false">IF(AND(SUM($AH52)=0,SUM($AI52)=0),"",SUM($AH52)+SUM($AI52))</f>
        <v>-2262</v>
      </c>
      <c r="AO52" s="75" t="n">
        <f aca="false">IF(SUM($AH52)&lt;=0,"",$AH52)</f>
        <v>338</v>
      </c>
      <c r="AP52" s="75" t="str">
        <f aca="false">IF(SUM($AI52)&lt;=0,"",ROUND($AI52*$AK52,0))</f>
        <v/>
      </c>
      <c r="AQ52" s="73" t="str">
        <f aca="false">IF(SUM($T52,$AD52,$AE52)&lt;=0,"",MAX(SUM($T52,-$AD52,-$AE52),$AF52))</f>
        <v/>
      </c>
      <c r="AR52" s="118"/>
      <c r="AS52" s="118" t="str">
        <f aca="false">IF(SUM(AR52)=0,"",$AR52)</f>
        <v/>
      </c>
      <c r="AT52" s="118" t="n">
        <f aca="false">0.95</f>
        <v>0.95</v>
      </c>
      <c r="AU52" s="75" t="str">
        <f aca="false">IF(SUM($AQ52)&lt;=0,"",ROUND(SUM($AQ52)*SUM($AS52),0))</f>
        <v/>
      </c>
      <c r="AV52" s="75" t="str">
        <f aca="false">IF(SUM($AQ52)&lt;=0,"",$AQ52-$AU52)</f>
        <v/>
      </c>
      <c r="AW52" s="73" t="str">
        <f aca="false">IF(SUM($AU52)&lt;=0,"",ROUND($AU52*$AT52,0))</f>
        <v/>
      </c>
      <c r="AX52" s="73" t="str">
        <f aca="false">IF(SUM($AE52,$AD52,$AU52)&lt;=0,"",SUM($AE52,$AD52,$AU52))</f>
        <v/>
      </c>
      <c r="AY52" s="73" t="n">
        <f aca="false">_xlfn.IFNA(INDEX(Cascade!$BD:$BD,MATCH($E52,Cascade!$E:$E,0)),"")</f>
        <v>12</v>
      </c>
      <c r="AZ52" s="118" t="str">
        <f aca="false">IFERROR(IF(SUM($AE52)&lt;=0,"",$AE52/$AY52),"")</f>
        <v/>
      </c>
      <c r="BA52" s="118" t="str">
        <f aca="false">IFERROR(IF(SUM($AU52)&lt;=0,"",$AU52/$AY52),"")</f>
        <v/>
      </c>
      <c r="BB52" s="118" t="n">
        <f aca="false">_xlfn.IFNA(INDEX(Cascade!$BL:$BL,MATCH($E52,Cascade!$E:$E,0)),"")</f>
        <v>0.5</v>
      </c>
      <c r="BC52" s="118" t="str">
        <f aca="false">_xlfn.IFNA(INDEX(Cascade!$BO:$BO,MATCH($E52,Cascade!$E:$E,0)),"")</f>
        <v/>
      </c>
      <c r="BD52" s="118" t="n">
        <f aca="false">_xlfn.IFNA(INDEX(Cascade!$BR:$BR,MATCH($E52,Cascade!$E:$E,0)),"")</f>
        <v>217.166666666667</v>
      </c>
    </row>
    <row r="53" customFormat="false" ht="15" hidden="false" customHeight="false" outlineLevel="0" collapsed="false">
      <c r="A53" s="0" t="s">
        <v>145</v>
      </c>
      <c r="B53" s="0" t="s">
        <v>107</v>
      </c>
      <c r="C53" s="0" t="s">
        <v>66</v>
      </c>
      <c r="D53" s="0" t="s">
        <v>56</v>
      </c>
      <c r="E53" s="0" t="str">
        <f aca="false">B53&amp;"|"&amp;C53&amp;"|"&amp;D53</f>
        <v>Mafeteng [#SNU] [#DREAMS] [DiFv5WXIHM5]|20-24|Female</v>
      </c>
      <c r="F53" s="73" t="n">
        <f aca="false">_xlfn.IFNA(INDEX(Cascade!$F:$F,MATCH($E53,Cascade!$E:$E,0)),"")</f>
        <v>6938</v>
      </c>
      <c r="G53" s="73" t="n">
        <f aca="false">_xlfn.IFNA(INDEX(Cascade!$H:$H,MATCH($E53,Cascade!$E:$E,0)),"")</f>
        <v>1051</v>
      </c>
      <c r="H53" s="118" t="n">
        <f aca="false">_xlfn.IFNA(INDEX(Cascade!$J:$J,MATCH($E53,Cascade!$E:$E,0)),"")</f>
        <v>0.1514763</v>
      </c>
      <c r="I53" s="73" t="n">
        <f aca="false">_xlfn.IFNA(INDEX(Cascade!$P:$P,MATCH($E53,Cascade!$E:$E,0)),"")</f>
        <v>692</v>
      </c>
      <c r="J53" s="118" t="n">
        <f aca="false">_xlfn.IFNA(INDEX(Cascade!$Y:$Y,MATCH($E53,Cascade!$E:$E,0)),"")</f>
        <v>0.658420551855376</v>
      </c>
      <c r="K53" s="75" t="str">
        <f aca="false">_xlfn.IFNA(ROUND(INDEX(Spectrum!$N:$N,MATCH(RIGHT($B53,13)&amp;"|"&amp;$C53&amp;"|"&amp;$D53&amp;"|"&amp;K$14&amp;"|"&amp;"CY2021Q3",Spectrum!$Q:$Q,0)),0),"")</f>
        <v/>
      </c>
      <c r="L53" s="75" t="str">
        <f aca="false">_xlfn.IFNA(ROUND(INDEX(Spectrum!$N:$N,MATCH(RIGHT($B53,13)&amp;"|"&amp;$C53&amp;"|"&amp;$D53&amp;"|"&amp;L$14&amp;"|"&amp;"CY2021Q3",Spectrum!$Q:$Q,0)),0),"")</f>
        <v/>
      </c>
      <c r="M53" s="75" t="str">
        <f aca="false">_xlfn.IFNA(ROUND(INDEX(Spectrum!$N:$N,MATCH(RIGHT($B53,13)&amp;"|"&amp;$C53&amp;"|"&amp;$D53&amp;"|"&amp;M$14&amp;"|"&amp;"CY2021Q3",Spectrum!$Q:$Q,0)),0),"")</f>
        <v/>
      </c>
      <c r="N53" s="75" t="str">
        <f aca="false">_xlfn.IFNA(ROUND(INDEX(Spectrum!$N:$N,MATCH(RIGHT($B53,13)&amp;"|"&amp;$C53&amp;"|"&amp;$D53&amp;"|"&amp;N$14&amp;"|"&amp;"CY2021Q3",Spectrum!$Q:$Q,0)),0),"")</f>
        <v/>
      </c>
      <c r="O53" s="75" t="str">
        <f aca="false">_xlfn.IFNA(ROUND(INDEX(Spectrum!$N:$N,MATCH(RIGHT($B53,13)&amp;"|"&amp;$C53&amp;"|"&amp;$D53&amp;"|"&amp;O$14&amp;"|"&amp;"CY2021Q3",Spectrum!$Q:$Q,0)),0),"")</f>
        <v/>
      </c>
      <c r="P53" s="75" t="str">
        <f aca="false">_xlfn.IFNA(ROUND(INDEX(Spectrum!$N:$N,MATCH(RIGHT($B53,13)&amp;"|"&amp;$C53&amp;"|"&amp;$D53&amp;"|"&amp;P$14&amp;"|"&amp;"CY2021Q3",Spectrum!$Q:$Q,0)),0),"")</f>
        <v/>
      </c>
      <c r="Q53" s="75" t="str">
        <f aca="false">_xlfn.IFNA(ROUND(INDEX(Spectrum!$N:$N,MATCH(RIGHT($B53,13)&amp;"|"&amp;$C53&amp;"|"&amp;$D53&amp;"|"&amp;Q$14&amp;"|"&amp;"CY2021Q3",Spectrum!$Q:$Q,0)),0),"")</f>
        <v/>
      </c>
      <c r="R53" s="73" t="n">
        <v>41</v>
      </c>
      <c r="S53" s="118" t="n">
        <f aca="false">IF(SUM($R53)&lt;=0,"",0%)</f>
        <v>0</v>
      </c>
      <c r="T53" s="75" t="n">
        <f aca="false">IF(SUM($R53)&lt;=0,"",ROUND(MIN($R53,$K53)*(1+$S53),0))</f>
        <v>41</v>
      </c>
      <c r="U53" s="118" t="n">
        <f aca="false">IF(SUM($K53)=0,IF(SUM($R53)=0,"",1),MIN(SUM($R53)/SUM($K53),1))</f>
        <v>1</v>
      </c>
      <c r="V53" s="118" t="n">
        <f aca="false">$U53</f>
        <v>1</v>
      </c>
      <c r="W53" s="75" t="n">
        <f aca="false">IF(SUM($T53)=0,"",ROUND(SUM($T53)/IF(SUM($V53)=0,1,SUM($V53)),0))</f>
        <v>41</v>
      </c>
      <c r="X53" s="118" t="n">
        <f aca="false">1</f>
        <v>1</v>
      </c>
      <c r="Y53" s="118" t="n">
        <v>20</v>
      </c>
      <c r="Z53" s="118" t="n">
        <f aca="false">IF(OR(SUM($K53)&lt;=0,SUM($L53)&lt;=0),IF(SUM($Y53)&lt;=0,"",$Y53),SUM($L53)/$K53)</f>
        <v>20</v>
      </c>
      <c r="AA53" s="118" t="n">
        <v>32</v>
      </c>
      <c r="AB53" s="118" t="n">
        <f aca="false">IF(OR((SUM($K53)-SUM($L53))&lt;=0,SUM($M53)&lt;=0),IF(SUM($AA53)&lt;=0,"",$AA53),SUM($M53)/($K53-SUM($L53)))</f>
        <v>32</v>
      </c>
      <c r="AC53" s="73" t="n">
        <f aca="false">IF(SUM($T53)&lt;=0,"",ROUND(SUM($T53)*$X53,0))</f>
        <v>41</v>
      </c>
      <c r="AD53" s="75" t="n">
        <f aca="false">IF(SUM($AC53)&lt;=0,"",ROUND($AC53*SUM($Z53),0))</f>
        <v>820</v>
      </c>
      <c r="AE53" s="75" t="n">
        <f aca="false">IF(SUM($T53)&lt;=0,"",ROUND(($AC53-$AD53)*SUM($AB53),0))</f>
        <v>-24928</v>
      </c>
      <c r="AF53" s="75" t="n">
        <f aca="false">IF(SUM($AC53)&lt;=0,"",ROUND($AC53-$AD53-$AE53,0))</f>
        <v>24149</v>
      </c>
      <c r="AG53" s="73" t="n">
        <f aca="false">IF(SUM($W53)&lt;=0,"",ROUND(SUM($W53)*$X53,0))</f>
        <v>41</v>
      </c>
      <c r="AH53" s="75" t="n">
        <f aca="false">IF(SUM($AG53)&lt;=0,"",ROUND($AG53*SUM($Z53),0))</f>
        <v>820</v>
      </c>
      <c r="AI53" s="75" t="n">
        <f aca="false">IF(SUM($W53)&lt;=0,"",ROUND(($AG53-$AH53)*SUM($AB53),0))</f>
        <v>-24928</v>
      </c>
      <c r="AJ53" s="75" t="n">
        <f aca="false">IF(SUM($AG53)&lt;=0,"",ROUND($AG53-$AH53-$AI53,0))</f>
        <v>24149</v>
      </c>
      <c r="AK53" s="118" t="n">
        <f aca="false">_xlfn.IFNA(INDEX(Cascade!$BA:$BA,MATCH($E53,Cascade!$E:$E,0)),"")</f>
        <v>0.95</v>
      </c>
      <c r="AL53" s="75" t="n">
        <f aca="false">IF(SUM($AD53)&lt;=0,"",$AD53)</f>
        <v>820</v>
      </c>
      <c r="AM53" s="75" t="str">
        <f aca="false">IF(SUM($AE53)&lt;=0,"",ROUND($AE53*$AK53,0))</f>
        <v/>
      </c>
      <c r="AN53" s="75" t="n">
        <f aca="false">IF(AND(SUM($AH53)=0,SUM($AI53)=0),"",SUM($AH53)+SUM($AI53))</f>
        <v>-24108</v>
      </c>
      <c r="AO53" s="75" t="n">
        <f aca="false">IF(SUM($AH53)&lt;=0,"",$AH53)</f>
        <v>820</v>
      </c>
      <c r="AP53" s="75" t="str">
        <f aca="false">IF(SUM($AI53)&lt;=0,"",ROUND($AI53*$AK53,0))</f>
        <v/>
      </c>
      <c r="AQ53" s="73" t="str">
        <f aca="false">IF(SUM($T53,$AD53,$AE53)&lt;=0,"",MAX(SUM($T53,-$AD53,-$AE53),$AF53))</f>
        <v/>
      </c>
      <c r="AR53" s="118"/>
      <c r="AS53" s="118" t="str">
        <f aca="false">IF(SUM(AR53)=0,"",$AR53)</f>
        <v/>
      </c>
      <c r="AT53" s="118" t="n">
        <f aca="false">0.95</f>
        <v>0.95</v>
      </c>
      <c r="AU53" s="75" t="str">
        <f aca="false">IF(SUM($AQ53)&lt;=0,"",ROUND(SUM($AQ53)*SUM($AS53),0))</f>
        <v/>
      </c>
      <c r="AV53" s="75" t="str">
        <f aca="false">IF(SUM($AQ53)&lt;=0,"",$AQ53-$AU53)</f>
        <v/>
      </c>
      <c r="AW53" s="73" t="str">
        <f aca="false">IF(SUM($AU53)&lt;=0,"",ROUND($AU53*$AT53,0))</f>
        <v/>
      </c>
      <c r="AX53" s="73" t="str">
        <f aca="false">IF(SUM($AE53,$AD53,$AU53)&lt;=0,"",SUM($AE53,$AD53,$AU53))</f>
        <v/>
      </c>
      <c r="AY53" s="73" t="n">
        <f aca="false">_xlfn.IFNA(INDEX(Cascade!$BD:$BD,MATCH($E53,Cascade!$E:$E,0)),"")</f>
        <v>18</v>
      </c>
      <c r="AZ53" s="118" t="str">
        <f aca="false">IFERROR(IF(SUM($AE53)&lt;=0,"",$AE53/$AY53),"")</f>
        <v/>
      </c>
      <c r="BA53" s="118" t="str">
        <f aca="false">IFERROR(IF(SUM($AU53)&lt;=0,"",$AU53/$AY53),"")</f>
        <v/>
      </c>
      <c r="BB53" s="118" t="n">
        <f aca="false">_xlfn.IFNA(INDEX(Cascade!$BL:$BL,MATCH($E53,Cascade!$E:$E,0)),"")</f>
        <v>0.277777777777778</v>
      </c>
      <c r="BC53" s="118" t="n">
        <f aca="false">_xlfn.IFNA(INDEX(Cascade!$BO:$BO,MATCH($E53,Cascade!$E:$E,0)),"")</f>
        <v>-1371.22222222222</v>
      </c>
      <c r="BD53" s="118" t="n">
        <f aca="false">_xlfn.IFNA(INDEX(Cascade!$BR:$BR,MATCH($E53,Cascade!$E:$E,0)),"")</f>
        <v>2756.83333333333</v>
      </c>
    </row>
    <row r="54" customFormat="false" ht="15" hidden="false" customHeight="false" outlineLevel="0" collapsed="false">
      <c r="A54" s="0" t="s">
        <v>145</v>
      </c>
      <c r="B54" s="0" t="s">
        <v>107</v>
      </c>
      <c r="C54" s="0" t="s">
        <v>69</v>
      </c>
      <c r="D54" s="0" t="s">
        <v>56</v>
      </c>
      <c r="E54" s="0" t="str">
        <f aca="false">B54&amp;"|"&amp;C54&amp;"|"&amp;D54</f>
        <v>Mafeteng [#SNU] [#DREAMS] [DiFv5WXIHM5]|25-29|Female</v>
      </c>
      <c r="F54" s="73" t="n">
        <f aca="false">_xlfn.IFNA(INDEX(Cascade!$F:$F,MATCH($E54,Cascade!$E:$E,0)),"")</f>
        <v>7388</v>
      </c>
      <c r="G54" s="73" t="n">
        <f aca="false">_xlfn.IFNA(INDEX(Cascade!$H:$H,MATCH($E54,Cascade!$E:$E,0)),"")</f>
        <v>1901</v>
      </c>
      <c r="H54" s="118" t="n">
        <f aca="false">_xlfn.IFNA(INDEX(Cascade!$J:$J,MATCH($E54,Cascade!$E:$E,0)),"")</f>
        <v>0.2573216</v>
      </c>
      <c r="I54" s="73" t="n">
        <f aca="false">_xlfn.IFNA(INDEX(Cascade!$P:$P,MATCH($E54,Cascade!$E:$E,0)),"")</f>
        <v>1216</v>
      </c>
      <c r="J54" s="118" t="n">
        <f aca="false">_xlfn.IFNA(INDEX(Cascade!$Y:$Y,MATCH($E54,Cascade!$E:$E,0)),"")</f>
        <v>0.639663335086796</v>
      </c>
      <c r="K54" s="75" t="str">
        <f aca="false">_xlfn.IFNA(ROUND(INDEX(Spectrum!$N:$N,MATCH(RIGHT($B54,13)&amp;"|"&amp;$C54&amp;"|"&amp;$D54&amp;"|"&amp;K$14&amp;"|"&amp;"CY2021Q3",Spectrum!$Q:$Q,0)),0),"")</f>
        <v/>
      </c>
      <c r="L54" s="75" t="str">
        <f aca="false">_xlfn.IFNA(ROUND(INDEX(Spectrum!$N:$N,MATCH(RIGHT($B54,13)&amp;"|"&amp;$C54&amp;"|"&amp;$D54&amp;"|"&amp;L$14&amp;"|"&amp;"CY2021Q3",Spectrum!$Q:$Q,0)),0),"")</f>
        <v/>
      </c>
      <c r="M54" s="75" t="str">
        <f aca="false">_xlfn.IFNA(ROUND(INDEX(Spectrum!$N:$N,MATCH(RIGHT($B54,13)&amp;"|"&amp;$C54&amp;"|"&amp;$D54&amp;"|"&amp;M$14&amp;"|"&amp;"CY2021Q3",Spectrum!$Q:$Q,0)),0),"")</f>
        <v/>
      </c>
      <c r="N54" s="75" t="str">
        <f aca="false">_xlfn.IFNA(ROUND(INDEX(Spectrum!$N:$N,MATCH(RIGHT($B54,13)&amp;"|"&amp;$C54&amp;"|"&amp;$D54&amp;"|"&amp;N$14&amp;"|"&amp;"CY2021Q3",Spectrum!$Q:$Q,0)),0),"")</f>
        <v/>
      </c>
      <c r="O54" s="75" t="str">
        <f aca="false">_xlfn.IFNA(ROUND(INDEX(Spectrum!$N:$N,MATCH(RIGHT($B54,13)&amp;"|"&amp;$C54&amp;"|"&amp;$D54&amp;"|"&amp;O$14&amp;"|"&amp;"CY2021Q3",Spectrum!$Q:$Q,0)),0),"")</f>
        <v/>
      </c>
      <c r="P54" s="75" t="str">
        <f aca="false">_xlfn.IFNA(ROUND(INDEX(Spectrum!$N:$N,MATCH(RIGHT($B54,13)&amp;"|"&amp;$C54&amp;"|"&amp;$D54&amp;"|"&amp;P$14&amp;"|"&amp;"CY2021Q3",Spectrum!$Q:$Q,0)),0),"")</f>
        <v/>
      </c>
      <c r="Q54" s="75" t="str">
        <f aca="false">_xlfn.IFNA(ROUND(INDEX(Spectrum!$N:$N,MATCH(RIGHT($B54,13)&amp;"|"&amp;$C54&amp;"|"&amp;$D54&amp;"|"&amp;Q$14&amp;"|"&amp;"CY2021Q3",Spectrum!$Q:$Q,0)),0),"")</f>
        <v/>
      </c>
      <c r="R54" s="73" t="n">
        <v>15</v>
      </c>
      <c r="S54" s="118" t="n">
        <f aca="false">IF(SUM($R54)&lt;=0,"",0%)</f>
        <v>0</v>
      </c>
      <c r="T54" s="75" t="n">
        <f aca="false">IF(SUM($R54)&lt;=0,"",ROUND(MIN($R54,$K54)*(1+$S54),0))</f>
        <v>15</v>
      </c>
      <c r="U54" s="118" t="n">
        <f aca="false">IF(SUM($K54)=0,IF(SUM($R54)=0,"",1),MIN(SUM($R54)/SUM($K54),1))</f>
        <v>1</v>
      </c>
      <c r="V54" s="118" t="n">
        <f aca="false">$U54</f>
        <v>1</v>
      </c>
      <c r="W54" s="75" t="n">
        <f aca="false">IF(SUM($T54)=0,"",ROUND(SUM($T54)/IF(SUM($V54)=0,1,SUM($V54)),0))</f>
        <v>15</v>
      </c>
      <c r="X54" s="118" t="n">
        <f aca="false">1</f>
        <v>1</v>
      </c>
      <c r="Y54" s="118" t="n">
        <v>37</v>
      </c>
      <c r="Z54" s="118" t="n">
        <f aca="false">IF(OR(SUM($K54)&lt;=0,SUM($L54)&lt;=0),IF(SUM($Y54)&lt;=0,"",$Y54),SUM($L54)/$K54)</f>
        <v>37</v>
      </c>
      <c r="AA54" s="118" t="n">
        <v>31</v>
      </c>
      <c r="AB54" s="118" t="n">
        <f aca="false">IF(OR((SUM($K54)-SUM($L54))&lt;=0,SUM($M54)&lt;=0),IF(SUM($AA54)&lt;=0,"",$AA54),SUM($M54)/($K54-SUM($L54)))</f>
        <v>31</v>
      </c>
      <c r="AC54" s="73" t="n">
        <f aca="false">IF(SUM($T54)&lt;=0,"",ROUND(SUM($T54)*$X54,0))</f>
        <v>15</v>
      </c>
      <c r="AD54" s="75" t="n">
        <f aca="false">IF(SUM($AC54)&lt;=0,"",ROUND($AC54*SUM($Z54),0))</f>
        <v>555</v>
      </c>
      <c r="AE54" s="75" t="n">
        <f aca="false">IF(SUM($T54)&lt;=0,"",ROUND(($AC54-$AD54)*SUM($AB54),0))</f>
        <v>-16740</v>
      </c>
      <c r="AF54" s="75" t="n">
        <f aca="false">IF(SUM($AC54)&lt;=0,"",ROUND($AC54-$AD54-$AE54,0))</f>
        <v>16200</v>
      </c>
      <c r="AG54" s="73" t="n">
        <f aca="false">IF(SUM($W54)&lt;=0,"",ROUND(SUM($W54)*$X54,0))</f>
        <v>15</v>
      </c>
      <c r="AH54" s="75" t="n">
        <f aca="false">IF(SUM($AG54)&lt;=0,"",ROUND($AG54*SUM($Z54),0))</f>
        <v>555</v>
      </c>
      <c r="AI54" s="75" t="n">
        <f aca="false">IF(SUM($W54)&lt;=0,"",ROUND(($AG54-$AH54)*SUM($AB54),0))</f>
        <v>-16740</v>
      </c>
      <c r="AJ54" s="75" t="n">
        <f aca="false">IF(SUM($AG54)&lt;=0,"",ROUND($AG54-$AH54-$AI54,0))</f>
        <v>16200</v>
      </c>
      <c r="AK54" s="118" t="n">
        <f aca="false">_xlfn.IFNA(INDEX(Cascade!$BA:$BA,MATCH($E54,Cascade!$E:$E,0)),"")</f>
        <v>0.95</v>
      </c>
      <c r="AL54" s="75" t="n">
        <f aca="false">IF(SUM($AD54)&lt;=0,"",$AD54)</f>
        <v>555</v>
      </c>
      <c r="AM54" s="75" t="str">
        <f aca="false">IF(SUM($AE54)&lt;=0,"",ROUND($AE54*$AK54,0))</f>
        <v/>
      </c>
      <c r="AN54" s="75" t="n">
        <f aca="false">IF(AND(SUM($AH54)=0,SUM($AI54)=0),"",SUM($AH54)+SUM($AI54))</f>
        <v>-16185</v>
      </c>
      <c r="AO54" s="75" t="n">
        <f aca="false">IF(SUM($AH54)&lt;=0,"",$AH54)</f>
        <v>555</v>
      </c>
      <c r="AP54" s="75" t="str">
        <f aca="false">IF(SUM($AI54)&lt;=0,"",ROUND($AI54*$AK54,0))</f>
        <v/>
      </c>
      <c r="AQ54" s="73" t="str">
        <f aca="false">IF(SUM($T54,$AD54,$AE54)&lt;=0,"",MAX(SUM($T54,-$AD54,-$AE54),$AF54))</f>
        <v/>
      </c>
      <c r="AR54" s="118"/>
      <c r="AS54" s="118" t="str">
        <f aca="false">IF(SUM(AR54)=0,"",$AR54)</f>
        <v/>
      </c>
      <c r="AT54" s="118" t="n">
        <f aca="false">0.95</f>
        <v>0.95</v>
      </c>
      <c r="AU54" s="75" t="str">
        <f aca="false">IF(SUM($AQ54)&lt;=0,"",ROUND(SUM($AQ54)*SUM($AS54),0))</f>
        <v/>
      </c>
      <c r="AV54" s="75" t="str">
        <f aca="false">IF(SUM($AQ54)&lt;=0,"",$AQ54-$AU54)</f>
        <v/>
      </c>
      <c r="AW54" s="73" t="str">
        <f aca="false">IF(SUM($AU54)&lt;=0,"",ROUND($AU54*$AT54,0))</f>
        <v/>
      </c>
      <c r="AX54" s="73" t="str">
        <f aca="false">IF(SUM($AE54,$AD54,$AU54)&lt;=0,"",SUM($AE54,$AD54,$AU54))</f>
        <v/>
      </c>
      <c r="AY54" s="73" t="n">
        <f aca="false">_xlfn.IFNA(INDEX(Cascade!$BD:$BD,MATCH($E54,Cascade!$E:$E,0)),"")</f>
        <v>13</v>
      </c>
      <c r="AZ54" s="118" t="str">
        <f aca="false">IFERROR(IF(SUM($AE54)&lt;=0,"",$AE54/$AY54),"")</f>
        <v/>
      </c>
      <c r="BA54" s="118" t="str">
        <f aca="false">IFERROR(IF(SUM($AU54)&lt;=0,"",$AU54/$AY54),"")</f>
        <v/>
      </c>
      <c r="BB54" s="118" t="n">
        <f aca="false">_xlfn.IFNA(INDEX(Cascade!$BL:$BL,MATCH($E54,Cascade!$E:$E,0)),"")</f>
        <v>0.307692307692308</v>
      </c>
      <c r="BC54" s="118" t="n">
        <f aca="false">_xlfn.IFNA(INDEX(Cascade!$BO:$BO,MATCH($E54,Cascade!$E:$E,0)),"")</f>
        <v>-1800.61538461538</v>
      </c>
      <c r="BD54" s="118" t="n">
        <f aca="false">_xlfn.IFNA(INDEX(Cascade!$BR:$BR,MATCH($E54,Cascade!$E:$E,0)),"")</f>
        <v>3089</v>
      </c>
    </row>
    <row r="55" customFormat="false" ht="15" hidden="false" customHeight="false" outlineLevel="0" collapsed="false">
      <c r="A55" s="0" t="s">
        <v>145</v>
      </c>
      <c r="B55" s="0" t="s">
        <v>107</v>
      </c>
      <c r="C55" s="0" t="s">
        <v>72</v>
      </c>
      <c r="D55" s="0" t="s">
        <v>56</v>
      </c>
      <c r="E55" s="0" t="str">
        <f aca="false">B55&amp;"|"&amp;C55&amp;"|"&amp;D55</f>
        <v>Mafeteng [#SNU] [#DREAMS] [DiFv5WXIHM5]|30-34|Female</v>
      </c>
      <c r="F55" s="73" t="n">
        <f aca="false">_xlfn.IFNA(INDEX(Cascade!$F:$F,MATCH($E55,Cascade!$E:$E,0)),"")</f>
        <v>7116</v>
      </c>
      <c r="G55" s="73" t="n">
        <f aca="false">_xlfn.IFNA(INDEX(Cascade!$H:$H,MATCH($E55,Cascade!$E:$E,0)),"")</f>
        <v>2649</v>
      </c>
      <c r="H55" s="118" t="n">
        <f aca="false">_xlfn.IFNA(INDEX(Cascade!$J:$J,MATCH($E55,Cascade!$E:$E,0)),"")</f>
        <v>0.3721924</v>
      </c>
      <c r="I55" s="73" t="n">
        <f aca="false">_xlfn.IFNA(INDEX(Cascade!$P:$P,MATCH($E55,Cascade!$E:$E,0)),"")</f>
        <v>1620</v>
      </c>
      <c r="J55" s="118" t="n">
        <f aca="false">_xlfn.IFNA(INDEX(Cascade!$Y:$Y,MATCH($E55,Cascade!$E:$E,0)),"")</f>
        <v>0.611551528878822</v>
      </c>
      <c r="K55" s="75" t="str">
        <f aca="false">_xlfn.IFNA(ROUND(INDEX(Spectrum!$N:$N,MATCH(RIGHT($B55,13)&amp;"|"&amp;$C55&amp;"|"&amp;$D55&amp;"|"&amp;K$14&amp;"|"&amp;"CY2021Q3",Spectrum!$Q:$Q,0)),0),"")</f>
        <v/>
      </c>
      <c r="L55" s="75" t="str">
        <f aca="false">_xlfn.IFNA(ROUND(INDEX(Spectrum!$N:$N,MATCH(RIGHT($B55,13)&amp;"|"&amp;$C55&amp;"|"&amp;$D55&amp;"|"&amp;L$14&amp;"|"&amp;"CY2021Q3",Spectrum!$Q:$Q,0)),0),"")</f>
        <v/>
      </c>
      <c r="M55" s="75" t="str">
        <f aca="false">_xlfn.IFNA(ROUND(INDEX(Spectrum!$N:$N,MATCH(RIGHT($B55,13)&amp;"|"&amp;$C55&amp;"|"&amp;$D55&amp;"|"&amp;M$14&amp;"|"&amp;"CY2021Q3",Spectrum!$Q:$Q,0)),0),"")</f>
        <v/>
      </c>
      <c r="N55" s="75" t="str">
        <f aca="false">_xlfn.IFNA(ROUND(INDEX(Spectrum!$N:$N,MATCH(RIGHT($B55,13)&amp;"|"&amp;$C55&amp;"|"&amp;$D55&amp;"|"&amp;N$14&amp;"|"&amp;"CY2021Q3",Spectrum!$Q:$Q,0)),0),"")</f>
        <v/>
      </c>
      <c r="O55" s="75" t="str">
        <f aca="false">_xlfn.IFNA(ROUND(INDEX(Spectrum!$N:$N,MATCH(RIGHT($B55,13)&amp;"|"&amp;$C55&amp;"|"&amp;$D55&amp;"|"&amp;O$14&amp;"|"&amp;"CY2021Q3",Spectrum!$Q:$Q,0)),0),"")</f>
        <v/>
      </c>
      <c r="P55" s="75" t="str">
        <f aca="false">_xlfn.IFNA(ROUND(INDEX(Spectrum!$N:$N,MATCH(RIGHT($B55,13)&amp;"|"&amp;$C55&amp;"|"&amp;$D55&amp;"|"&amp;P$14&amp;"|"&amp;"CY2021Q3",Spectrum!$Q:$Q,0)),0),"")</f>
        <v/>
      </c>
      <c r="Q55" s="75" t="str">
        <f aca="false">_xlfn.IFNA(ROUND(INDEX(Spectrum!$N:$N,MATCH(RIGHT($B55,13)&amp;"|"&amp;$C55&amp;"|"&amp;$D55&amp;"|"&amp;Q$14&amp;"|"&amp;"CY2021Q3",Spectrum!$Q:$Q,0)),0),"")</f>
        <v/>
      </c>
      <c r="R55" s="73" t="n">
        <v>3</v>
      </c>
      <c r="S55" s="118" t="n">
        <f aca="false">IF(SUM($R55)&lt;=0,"",0%)</f>
        <v>0</v>
      </c>
      <c r="T55" s="75" t="n">
        <f aca="false">IF(SUM($R55)&lt;=0,"",ROUND(MIN($R55,$K55)*(1+$S55),0))</f>
        <v>3</v>
      </c>
      <c r="U55" s="118" t="n">
        <f aca="false">IF(SUM($K55)=0,IF(SUM($R55)=0,"",1),MIN(SUM($R55)/SUM($K55),1))</f>
        <v>1</v>
      </c>
      <c r="V55" s="118" t="n">
        <f aca="false">$U55</f>
        <v>1</v>
      </c>
      <c r="W55" s="75" t="n">
        <f aca="false">IF(SUM($T55)=0,"",ROUND(SUM($T55)/IF(SUM($V55)=0,1,SUM($V55)),0))</f>
        <v>3</v>
      </c>
      <c r="X55" s="118" t="n">
        <f aca="false">1</f>
        <v>1</v>
      </c>
      <c r="Y55" s="118" t="n">
        <v>9</v>
      </c>
      <c r="Z55" s="118" t="n">
        <f aca="false">IF(OR(SUM($K55)&lt;=0,SUM($L55)&lt;=0),IF(SUM($Y55)&lt;=0,"",$Y55),SUM($L55)/$K55)</f>
        <v>9</v>
      </c>
      <c r="AA55" s="118" t="n">
        <v>15</v>
      </c>
      <c r="AB55" s="118" t="n">
        <f aca="false">IF(OR((SUM($K55)-SUM($L55))&lt;=0,SUM($M55)&lt;=0),IF(SUM($AA55)&lt;=0,"",$AA55),SUM($M55)/($K55-SUM($L55)))</f>
        <v>15</v>
      </c>
      <c r="AC55" s="73" t="n">
        <f aca="false">IF(SUM($T55)&lt;=0,"",ROUND(SUM($T55)*$X55,0))</f>
        <v>3</v>
      </c>
      <c r="AD55" s="75" t="n">
        <f aca="false">IF(SUM($AC55)&lt;=0,"",ROUND($AC55*SUM($Z55),0))</f>
        <v>27</v>
      </c>
      <c r="AE55" s="75" t="n">
        <f aca="false">IF(SUM($T55)&lt;=0,"",ROUND(($AC55-$AD55)*SUM($AB55),0))</f>
        <v>-360</v>
      </c>
      <c r="AF55" s="75" t="n">
        <f aca="false">IF(SUM($AC55)&lt;=0,"",ROUND($AC55-$AD55-$AE55,0))</f>
        <v>336</v>
      </c>
      <c r="AG55" s="73" t="n">
        <f aca="false">IF(SUM($W55)&lt;=0,"",ROUND(SUM($W55)*$X55,0))</f>
        <v>3</v>
      </c>
      <c r="AH55" s="75" t="n">
        <f aca="false">IF(SUM($AG55)&lt;=0,"",ROUND($AG55*SUM($Z55),0))</f>
        <v>27</v>
      </c>
      <c r="AI55" s="75" t="n">
        <f aca="false">IF(SUM($W55)&lt;=0,"",ROUND(($AG55-$AH55)*SUM($AB55),0))</f>
        <v>-360</v>
      </c>
      <c r="AJ55" s="75" t="n">
        <f aca="false">IF(SUM($AG55)&lt;=0,"",ROUND($AG55-$AH55-$AI55,0))</f>
        <v>336</v>
      </c>
      <c r="AK55" s="118" t="n">
        <f aca="false">_xlfn.IFNA(INDEX(Cascade!$BA:$BA,MATCH($E55,Cascade!$E:$E,0)),"")</f>
        <v>0.95</v>
      </c>
      <c r="AL55" s="75" t="n">
        <f aca="false">IF(SUM($AD55)&lt;=0,"",$AD55)</f>
        <v>27</v>
      </c>
      <c r="AM55" s="75" t="str">
        <f aca="false">IF(SUM($AE55)&lt;=0,"",ROUND($AE55*$AK55,0))</f>
        <v/>
      </c>
      <c r="AN55" s="75" t="n">
        <f aca="false">IF(AND(SUM($AH55)=0,SUM($AI55)=0),"",SUM($AH55)+SUM($AI55))</f>
        <v>-333</v>
      </c>
      <c r="AO55" s="75" t="n">
        <f aca="false">IF(SUM($AH55)&lt;=0,"",$AH55)</f>
        <v>27</v>
      </c>
      <c r="AP55" s="75" t="str">
        <f aca="false">IF(SUM($AI55)&lt;=0,"",ROUND($AI55*$AK55,0))</f>
        <v/>
      </c>
      <c r="AQ55" s="73" t="str">
        <f aca="false">IF(SUM($T55,$AD55,$AE55)&lt;=0,"",MAX(SUM($T55,-$AD55,-$AE55),$AF55))</f>
        <v/>
      </c>
      <c r="AR55" s="118"/>
      <c r="AS55" s="118" t="str">
        <f aca="false">IF(SUM(AR55)=0,"",$AR55)</f>
        <v/>
      </c>
      <c r="AT55" s="118" t="n">
        <f aca="false">0.95</f>
        <v>0.95</v>
      </c>
      <c r="AU55" s="75" t="str">
        <f aca="false">IF(SUM($AQ55)&lt;=0,"",ROUND(SUM($AQ55)*SUM($AS55),0))</f>
        <v/>
      </c>
      <c r="AV55" s="75" t="str">
        <f aca="false">IF(SUM($AQ55)&lt;=0,"",$AQ55-$AU55)</f>
        <v/>
      </c>
      <c r="AW55" s="73" t="str">
        <f aca="false">IF(SUM($AU55)&lt;=0,"",ROUND($AU55*$AT55,0))</f>
        <v/>
      </c>
      <c r="AX55" s="73" t="str">
        <f aca="false">IF(SUM($AE55,$AD55,$AU55)&lt;=0,"",SUM($AE55,$AD55,$AU55))</f>
        <v/>
      </c>
      <c r="AY55" s="73" t="n">
        <f aca="false">_xlfn.IFNA(INDEX(Cascade!$BD:$BD,MATCH($E55,Cascade!$E:$E,0)),"")</f>
        <v>24</v>
      </c>
      <c r="AZ55" s="118" t="str">
        <f aca="false">IFERROR(IF(SUM($AE55)&lt;=0,"",$AE55/$AY55),"")</f>
        <v/>
      </c>
      <c r="BA55" s="118" t="str">
        <f aca="false">IFERROR(IF(SUM($AU55)&lt;=0,"",$AU55/$AY55),"")</f>
        <v/>
      </c>
      <c r="BB55" s="118" t="n">
        <f aca="false">_xlfn.IFNA(INDEX(Cascade!$BL:$BL,MATCH($E55,Cascade!$E:$E,0)),"")</f>
        <v>0.291666666666667</v>
      </c>
      <c r="BC55" s="118" t="n">
        <f aca="false">_xlfn.IFNA(INDEX(Cascade!$BO:$BO,MATCH($E55,Cascade!$E:$E,0)),"")</f>
        <v>-216</v>
      </c>
      <c r="BD55" s="118" t="n">
        <f aca="false">_xlfn.IFNA(INDEX(Cascade!$BR:$BR,MATCH($E55,Cascade!$E:$E,0)),"")</f>
        <v>231.708333333333</v>
      </c>
    </row>
    <row r="56" customFormat="false" ht="15" hidden="false" customHeight="false" outlineLevel="0" collapsed="false">
      <c r="A56" s="0" t="s">
        <v>145</v>
      </c>
      <c r="B56" s="0" t="s">
        <v>107</v>
      </c>
      <c r="C56" s="0" t="s">
        <v>75</v>
      </c>
      <c r="D56" s="0" t="s">
        <v>56</v>
      </c>
      <c r="E56" s="0" t="str">
        <f aca="false">B56&amp;"|"&amp;C56&amp;"|"&amp;D56</f>
        <v>Mafeteng [#SNU] [#DREAMS] [DiFv5WXIHM5]|35-39|Female</v>
      </c>
      <c r="F56" s="73" t="n">
        <f aca="false">_xlfn.IFNA(INDEX(Cascade!$F:$F,MATCH($E56,Cascade!$E:$E,0)),"")</f>
        <v>5321</v>
      </c>
      <c r="G56" s="73" t="n">
        <f aca="false">_xlfn.IFNA(INDEX(Cascade!$H:$H,MATCH($E56,Cascade!$E:$E,0)),"")</f>
        <v>2524</v>
      </c>
      <c r="H56" s="118" t="n">
        <f aca="false">_xlfn.IFNA(INDEX(Cascade!$J:$J,MATCH($E56,Cascade!$E:$E,0)),"")</f>
        <v>0.4742205</v>
      </c>
      <c r="I56" s="73" t="n">
        <f aca="false">_xlfn.IFNA(INDEX(Cascade!$P:$P,MATCH($E56,Cascade!$E:$E,0)),"")</f>
        <v>1841</v>
      </c>
      <c r="J56" s="118" t="n">
        <f aca="false">_xlfn.IFNA(INDEX(Cascade!$Y:$Y,MATCH($E56,Cascade!$E:$E,0)),"")</f>
        <v>0.729397781299525</v>
      </c>
      <c r="K56" s="75" t="str">
        <f aca="false">_xlfn.IFNA(ROUND(INDEX(Spectrum!$N:$N,MATCH(RIGHT($B56,13)&amp;"|"&amp;$C56&amp;"|"&amp;$D56&amp;"|"&amp;K$14&amp;"|"&amp;"CY2021Q3",Spectrum!$Q:$Q,0)),0),"")</f>
        <v/>
      </c>
      <c r="L56" s="75" t="str">
        <f aca="false">_xlfn.IFNA(ROUND(INDEX(Spectrum!$N:$N,MATCH(RIGHT($B56,13)&amp;"|"&amp;$C56&amp;"|"&amp;$D56&amp;"|"&amp;L$14&amp;"|"&amp;"CY2021Q3",Spectrum!$Q:$Q,0)),0),"")</f>
        <v/>
      </c>
      <c r="M56" s="75" t="str">
        <f aca="false">_xlfn.IFNA(ROUND(INDEX(Spectrum!$N:$N,MATCH(RIGHT($B56,13)&amp;"|"&amp;$C56&amp;"|"&amp;$D56&amp;"|"&amp;M$14&amp;"|"&amp;"CY2021Q3",Spectrum!$Q:$Q,0)),0),"")</f>
        <v/>
      </c>
      <c r="N56" s="75" t="str">
        <f aca="false">_xlfn.IFNA(ROUND(INDEX(Spectrum!$N:$N,MATCH(RIGHT($B56,13)&amp;"|"&amp;$C56&amp;"|"&amp;$D56&amp;"|"&amp;N$14&amp;"|"&amp;"CY2021Q3",Spectrum!$Q:$Q,0)),0),"")</f>
        <v/>
      </c>
      <c r="O56" s="75" t="str">
        <f aca="false">_xlfn.IFNA(ROUND(INDEX(Spectrum!$N:$N,MATCH(RIGHT($B56,13)&amp;"|"&amp;$C56&amp;"|"&amp;$D56&amp;"|"&amp;O$14&amp;"|"&amp;"CY2021Q3",Spectrum!$Q:$Q,0)),0),"")</f>
        <v/>
      </c>
      <c r="P56" s="75" t="str">
        <f aca="false">_xlfn.IFNA(ROUND(INDEX(Spectrum!$N:$N,MATCH(RIGHT($B56,13)&amp;"|"&amp;$C56&amp;"|"&amp;$D56&amp;"|"&amp;P$14&amp;"|"&amp;"CY2021Q3",Spectrum!$Q:$Q,0)),0),"")</f>
        <v/>
      </c>
      <c r="Q56" s="75" t="str">
        <f aca="false">_xlfn.IFNA(ROUND(INDEX(Spectrum!$N:$N,MATCH(RIGHT($B56,13)&amp;"|"&amp;$C56&amp;"|"&amp;$D56&amp;"|"&amp;Q$14&amp;"|"&amp;"CY2021Q3",Spectrum!$Q:$Q,0)),0),"")</f>
        <v/>
      </c>
      <c r="R56" s="73" t="n">
        <v>45</v>
      </c>
      <c r="S56" s="118" t="n">
        <f aca="false">IF(SUM($R56)&lt;=0,"",0%)</f>
        <v>0</v>
      </c>
      <c r="T56" s="75" t="n">
        <f aca="false">IF(SUM($R56)&lt;=0,"",ROUND(MIN($R56,$K56)*(1+$S56),0))</f>
        <v>45</v>
      </c>
      <c r="U56" s="118" t="n">
        <f aca="false">IF(SUM($K56)=0,IF(SUM($R56)=0,"",1),MIN(SUM($R56)/SUM($K56),1))</f>
        <v>1</v>
      </c>
      <c r="V56" s="118" t="n">
        <f aca="false">$U56</f>
        <v>1</v>
      </c>
      <c r="W56" s="75" t="n">
        <f aca="false">IF(SUM($T56)=0,"",ROUND(SUM($T56)/IF(SUM($V56)=0,1,SUM($V56)),0))</f>
        <v>45</v>
      </c>
      <c r="X56" s="118" t="n">
        <f aca="false">1</f>
        <v>1</v>
      </c>
      <c r="Y56" s="118" t="n">
        <v>46</v>
      </c>
      <c r="Z56" s="118" t="n">
        <f aca="false">IF(OR(SUM($K56)&lt;=0,SUM($L56)&lt;=0),IF(SUM($Y56)&lt;=0,"",$Y56),SUM($L56)/$K56)</f>
        <v>46</v>
      </c>
      <c r="AA56" s="118" t="n">
        <v>37</v>
      </c>
      <c r="AB56" s="118" t="n">
        <f aca="false">IF(OR((SUM($K56)-SUM($L56))&lt;=0,SUM($M56)&lt;=0),IF(SUM($AA56)&lt;=0,"",$AA56),SUM($M56)/($K56-SUM($L56)))</f>
        <v>37</v>
      </c>
      <c r="AC56" s="73" t="n">
        <f aca="false">IF(SUM($T56)&lt;=0,"",ROUND(SUM($T56)*$X56,0))</f>
        <v>45</v>
      </c>
      <c r="AD56" s="75" t="n">
        <f aca="false">IF(SUM($AC56)&lt;=0,"",ROUND($AC56*SUM($Z56),0))</f>
        <v>2070</v>
      </c>
      <c r="AE56" s="75" t="n">
        <f aca="false">IF(SUM($T56)&lt;=0,"",ROUND(($AC56-$AD56)*SUM($AB56),0))</f>
        <v>-74925</v>
      </c>
      <c r="AF56" s="75" t="n">
        <f aca="false">IF(SUM($AC56)&lt;=0,"",ROUND($AC56-$AD56-$AE56,0))</f>
        <v>72900</v>
      </c>
      <c r="AG56" s="73" t="n">
        <f aca="false">IF(SUM($W56)&lt;=0,"",ROUND(SUM($W56)*$X56,0))</f>
        <v>45</v>
      </c>
      <c r="AH56" s="75" t="n">
        <f aca="false">IF(SUM($AG56)&lt;=0,"",ROUND($AG56*SUM($Z56),0))</f>
        <v>2070</v>
      </c>
      <c r="AI56" s="75" t="n">
        <f aca="false">IF(SUM($W56)&lt;=0,"",ROUND(($AG56-$AH56)*SUM($AB56),0))</f>
        <v>-74925</v>
      </c>
      <c r="AJ56" s="75" t="n">
        <f aca="false">IF(SUM($AG56)&lt;=0,"",ROUND($AG56-$AH56-$AI56,0))</f>
        <v>72900</v>
      </c>
      <c r="AK56" s="118" t="n">
        <f aca="false">_xlfn.IFNA(INDEX(Cascade!$BA:$BA,MATCH($E56,Cascade!$E:$E,0)),"")</f>
        <v>0.95</v>
      </c>
      <c r="AL56" s="75" t="n">
        <f aca="false">IF(SUM($AD56)&lt;=0,"",$AD56)</f>
        <v>2070</v>
      </c>
      <c r="AM56" s="75" t="str">
        <f aca="false">IF(SUM($AE56)&lt;=0,"",ROUND($AE56*$AK56,0))</f>
        <v/>
      </c>
      <c r="AN56" s="75" t="n">
        <f aca="false">IF(AND(SUM($AH56)=0,SUM($AI56)=0),"",SUM($AH56)+SUM($AI56))</f>
        <v>-72855</v>
      </c>
      <c r="AO56" s="75" t="n">
        <f aca="false">IF(SUM($AH56)&lt;=0,"",$AH56)</f>
        <v>2070</v>
      </c>
      <c r="AP56" s="75" t="str">
        <f aca="false">IF(SUM($AI56)&lt;=0,"",ROUND($AI56*$AK56,0))</f>
        <v/>
      </c>
      <c r="AQ56" s="73" t="str">
        <f aca="false">IF(SUM($T56,$AD56,$AE56)&lt;=0,"",MAX(SUM($T56,-$AD56,-$AE56),$AF56))</f>
        <v/>
      </c>
      <c r="AR56" s="118"/>
      <c r="AS56" s="118" t="str">
        <f aca="false">IF(SUM(AR56)=0,"",$AR56)</f>
        <v/>
      </c>
      <c r="AT56" s="118" t="n">
        <f aca="false">0.95</f>
        <v>0.95</v>
      </c>
      <c r="AU56" s="75" t="str">
        <f aca="false">IF(SUM($AQ56)&lt;=0,"",ROUND(SUM($AQ56)*SUM($AS56),0))</f>
        <v/>
      </c>
      <c r="AV56" s="75" t="str">
        <f aca="false">IF(SUM($AQ56)&lt;=0,"",$AQ56-$AU56)</f>
        <v/>
      </c>
      <c r="AW56" s="73" t="str">
        <f aca="false">IF(SUM($AU56)&lt;=0,"",ROUND($AU56*$AT56,0))</f>
        <v/>
      </c>
      <c r="AX56" s="73" t="str">
        <f aca="false">IF(SUM($AE56,$AD56,$AU56)&lt;=0,"",SUM($AE56,$AD56,$AU56))</f>
        <v/>
      </c>
      <c r="AY56" s="73" t="str">
        <f aca="false">_xlfn.IFNA(INDEX(Cascade!$BD:$BD,MATCH($E56,Cascade!$E:$E,0)),"")</f>
        <v/>
      </c>
      <c r="AZ56" s="118" t="str">
        <f aca="false">IFERROR(IF(SUM($AE56)&lt;=0,"",$AE56/$AY56),"")</f>
        <v/>
      </c>
      <c r="BA56" s="118" t="str">
        <f aca="false">IFERROR(IF(SUM($AU56)&lt;=0,"",$AU56/$AY56),"")</f>
        <v/>
      </c>
      <c r="BB56" s="118" t="str">
        <f aca="false">_xlfn.IFNA(INDEX(Cascade!$BL:$BL,MATCH($E56,Cascade!$E:$E,0)),"")</f>
        <v/>
      </c>
      <c r="BC56" s="118" t="str">
        <f aca="false">_xlfn.IFNA(INDEX(Cascade!$BO:$BO,MATCH($E56,Cascade!$E:$E,0)),"")</f>
        <v/>
      </c>
      <c r="BD56" s="118" t="str">
        <f aca="false">_xlfn.IFNA(INDEX(Cascade!$BR:$BR,MATCH($E56,Cascade!$E:$E,0)),"")</f>
        <v/>
      </c>
    </row>
    <row r="57" customFormat="false" ht="15" hidden="false" customHeight="false" outlineLevel="0" collapsed="false">
      <c r="A57" s="0" t="s">
        <v>145</v>
      </c>
      <c r="B57" s="0" t="s">
        <v>107</v>
      </c>
      <c r="C57" s="0" t="s">
        <v>77</v>
      </c>
      <c r="D57" s="0" t="s">
        <v>56</v>
      </c>
      <c r="E57" s="0" t="str">
        <f aca="false">B57&amp;"|"&amp;C57&amp;"|"&amp;D57</f>
        <v>Mafeteng [#SNU] [#DREAMS] [DiFv5WXIHM5]|40-44|Female</v>
      </c>
      <c r="F57" s="73" t="n">
        <f aca="false">_xlfn.IFNA(INDEX(Cascade!$F:$F,MATCH($E57,Cascade!$E:$E,0)),"")</f>
        <v>3948</v>
      </c>
      <c r="G57" s="73" t="n">
        <f aca="false">_xlfn.IFNA(INDEX(Cascade!$H:$H,MATCH($E57,Cascade!$E:$E,0)),"")</f>
        <v>2045</v>
      </c>
      <c r="H57" s="118" t="n">
        <f aca="false">_xlfn.IFNA(INDEX(Cascade!$J:$J,MATCH($E57,Cascade!$E:$E,0)),"")</f>
        <v>0.5179833</v>
      </c>
      <c r="I57" s="73" t="n">
        <f aca="false">_xlfn.IFNA(INDEX(Cascade!$P:$P,MATCH($E57,Cascade!$E:$E,0)),"")</f>
        <v>1818</v>
      </c>
      <c r="J57" s="118" t="n">
        <f aca="false">_xlfn.IFNA(INDEX(Cascade!$Y:$Y,MATCH($E57,Cascade!$E:$E,0)),"")</f>
        <v>0.888997555012225</v>
      </c>
      <c r="K57" s="75" t="str">
        <f aca="false">_xlfn.IFNA(ROUND(INDEX(Spectrum!$N:$N,MATCH(RIGHT($B57,13)&amp;"|"&amp;$C57&amp;"|"&amp;$D57&amp;"|"&amp;K$14&amp;"|"&amp;"CY2021Q3",Spectrum!$Q:$Q,0)),0),"")</f>
        <v/>
      </c>
      <c r="L57" s="75" t="str">
        <f aca="false">_xlfn.IFNA(ROUND(INDEX(Spectrum!$N:$N,MATCH(RIGHT($B57,13)&amp;"|"&amp;$C57&amp;"|"&amp;$D57&amp;"|"&amp;L$14&amp;"|"&amp;"CY2021Q3",Spectrum!$Q:$Q,0)),0),"")</f>
        <v/>
      </c>
      <c r="M57" s="75" t="str">
        <f aca="false">_xlfn.IFNA(ROUND(INDEX(Spectrum!$N:$N,MATCH(RIGHT($B57,13)&amp;"|"&amp;$C57&amp;"|"&amp;$D57&amp;"|"&amp;M$14&amp;"|"&amp;"CY2021Q3",Spectrum!$Q:$Q,0)),0),"")</f>
        <v/>
      </c>
      <c r="N57" s="75" t="str">
        <f aca="false">_xlfn.IFNA(ROUND(INDEX(Spectrum!$N:$N,MATCH(RIGHT($B57,13)&amp;"|"&amp;$C57&amp;"|"&amp;$D57&amp;"|"&amp;N$14&amp;"|"&amp;"CY2021Q3",Spectrum!$Q:$Q,0)),0),"")</f>
        <v/>
      </c>
      <c r="O57" s="75" t="str">
        <f aca="false">_xlfn.IFNA(ROUND(INDEX(Spectrum!$N:$N,MATCH(RIGHT($B57,13)&amp;"|"&amp;$C57&amp;"|"&amp;$D57&amp;"|"&amp;O$14&amp;"|"&amp;"CY2021Q3",Spectrum!$Q:$Q,0)),0),"")</f>
        <v/>
      </c>
      <c r="P57" s="75" t="str">
        <f aca="false">_xlfn.IFNA(ROUND(INDEX(Spectrum!$N:$N,MATCH(RIGHT($B57,13)&amp;"|"&amp;$C57&amp;"|"&amp;$D57&amp;"|"&amp;P$14&amp;"|"&amp;"CY2021Q3",Spectrum!$Q:$Q,0)),0),"")</f>
        <v/>
      </c>
      <c r="Q57" s="75" t="str">
        <f aca="false">_xlfn.IFNA(ROUND(INDEX(Spectrum!$N:$N,MATCH(RIGHT($B57,13)&amp;"|"&amp;$C57&amp;"|"&amp;$D57&amp;"|"&amp;Q$14&amp;"|"&amp;"CY2021Q3",Spectrum!$Q:$Q,0)),0),"")</f>
        <v/>
      </c>
      <c r="R57" s="73" t="n">
        <v>28</v>
      </c>
      <c r="S57" s="118" t="n">
        <f aca="false">IF(SUM($R57)&lt;=0,"",0%)</f>
        <v>0</v>
      </c>
      <c r="T57" s="75" t="n">
        <f aca="false">IF(SUM($R57)&lt;=0,"",ROUND(MIN($R57,$K57)*(1+$S57),0))</f>
        <v>28</v>
      </c>
      <c r="U57" s="118" t="n">
        <f aca="false">IF(SUM($K57)=0,IF(SUM($R57)=0,"",1),MIN(SUM($R57)/SUM($K57),1))</f>
        <v>1</v>
      </c>
      <c r="V57" s="118" t="n">
        <f aca="false">$U57</f>
        <v>1</v>
      </c>
      <c r="W57" s="75" t="n">
        <f aca="false">IF(SUM($T57)=0,"",ROUND(SUM($T57)/IF(SUM($V57)=0,1,SUM($V57)),0))</f>
        <v>28</v>
      </c>
      <c r="X57" s="118" t="n">
        <f aca="false">1</f>
        <v>1</v>
      </c>
      <c r="Y57" s="118" t="n">
        <v>9</v>
      </c>
      <c r="Z57" s="118" t="n">
        <f aca="false">IF(OR(SUM($K57)&lt;=0,SUM($L57)&lt;=0),IF(SUM($Y57)&lt;=0,"",$Y57),SUM($L57)/$K57)</f>
        <v>9</v>
      </c>
      <c r="AA57" s="118" t="n">
        <v>25</v>
      </c>
      <c r="AB57" s="118" t="n">
        <f aca="false">IF(OR((SUM($K57)-SUM($L57))&lt;=0,SUM($M57)&lt;=0),IF(SUM($AA57)&lt;=0,"",$AA57),SUM($M57)/($K57-SUM($L57)))</f>
        <v>25</v>
      </c>
      <c r="AC57" s="73" t="n">
        <f aca="false">IF(SUM($T57)&lt;=0,"",ROUND(SUM($T57)*$X57,0))</f>
        <v>28</v>
      </c>
      <c r="AD57" s="75" t="n">
        <f aca="false">IF(SUM($AC57)&lt;=0,"",ROUND($AC57*SUM($Z57),0))</f>
        <v>252</v>
      </c>
      <c r="AE57" s="75" t="n">
        <f aca="false">IF(SUM($T57)&lt;=0,"",ROUND(($AC57-$AD57)*SUM($AB57),0))</f>
        <v>-5600</v>
      </c>
      <c r="AF57" s="75" t="n">
        <f aca="false">IF(SUM($AC57)&lt;=0,"",ROUND($AC57-$AD57-$AE57,0))</f>
        <v>5376</v>
      </c>
      <c r="AG57" s="73" t="n">
        <f aca="false">IF(SUM($W57)&lt;=0,"",ROUND(SUM($W57)*$X57,0))</f>
        <v>28</v>
      </c>
      <c r="AH57" s="75" t="n">
        <f aca="false">IF(SUM($AG57)&lt;=0,"",ROUND($AG57*SUM($Z57),0))</f>
        <v>252</v>
      </c>
      <c r="AI57" s="75" t="n">
        <f aca="false">IF(SUM($W57)&lt;=0,"",ROUND(($AG57-$AH57)*SUM($AB57),0))</f>
        <v>-5600</v>
      </c>
      <c r="AJ57" s="75" t="n">
        <f aca="false">IF(SUM($AG57)&lt;=0,"",ROUND($AG57-$AH57-$AI57,0))</f>
        <v>5376</v>
      </c>
      <c r="AK57" s="118" t="n">
        <f aca="false">_xlfn.IFNA(INDEX(Cascade!$BA:$BA,MATCH($E57,Cascade!$E:$E,0)),"")</f>
        <v>0.95</v>
      </c>
      <c r="AL57" s="75" t="n">
        <f aca="false">IF(SUM($AD57)&lt;=0,"",$AD57)</f>
        <v>252</v>
      </c>
      <c r="AM57" s="75" t="str">
        <f aca="false">IF(SUM($AE57)&lt;=0,"",ROUND($AE57*$AK57,0))</f>
        <v/>
      </c>
      <c r="AN57" s="75" t="n">
        <f aca="false">IF(AND(SUM($AH57)=0,SUM($AI57)=0),"",SUM($AH57)+SUM($AI57))</f>
        <v>-5348</v>
      </c>
      <c r="AO57" s="75" t="n">
        <f aca="false">IF(SUM($AH57)&lt;=0,"",$AH57)</f>
        <v>252</v>
      </c>
      <c r="AP57" s="75" t="str">
        <f aca="false">IF(SUM($AI57)&lt;=0,"",ROUND($AI57*$AK57,0))</f>
        <v/>
      </c>
      <c r="AQ57" s="73" t="str">
        <f aca="false">IF(SUM($T57,$AD57,$AE57)&lt;=0,"",MAX(SUM($T57,-$AD57,-$AE57),$AF57))</f>
        <v/>
      </c>
      <c r="AR57" s="118"/>
      <c r="AS57" s="118" t="str">
        <f aca="false">IF(SUM(AR57)=0,"",$AR57)</f>
        <v/>
      </c>
      <c r="AT57" s="118" t="n">
        <f aca="false">0.95</f>
        <v>0.95</v>
      </c>
      <c r="AU57" s="75" t="str">
        <f aca="false">IF(SUM($AQ57)&lt;=0,"",ROUND(SUM($AQ57)*SUM($AS57),0))</f>
        <v/>
      </c>
      <c r="AV57" s="75" t="str">
        <f aca="false">IF(SUM($AQ57)&lt;=0,"",$AQ57-$AU57)</f>
        <v/>
      </c>
      <c r="AW57" s="73" t="str">
        <f aca="false">IF(SUM($AU57)&lt;=0,"",ROUND($AU57*$AT57,0))</f>
        <v/>
      </c>
      <c r="AX57" s="73" t="str">
        <f aca="false">IF(SUM($AE57,$AD57,$AU57)&lt;=0,"",SUM($AE57,$AD57,$AU57))</f>
        <v/>
      </c>
      <c r="AY57" s="73" t="n">
        <f aca="false">_xlfn.IFNA(INDEX(Cascade!$BD:$BD,MATCH($E57,Cascade!$E:$E,0)),"")</f>
        <v>1</v>
      </c>
      <c r="AZ57" s="118" t="str">
        <f aca="false">IFERROR(IF(SUM($AE57)&lt;=0,"",$AE57/$AY57),"")</f>
        <v/>
      </c>
      <c r="BA57" s="118" t="str">
        <f aca="false">IFERROR(IF(SUM($AU57)&lt;=0,"",$AU57/$AY57),"")</f>
        <v/>
      </c>
      <c r="BB57" s="118" t="n">
        <f aca="false">_xlfn.IFNA(INDEX(Cascade!$BL:$BL,MATCH($E57,Cascade!$E:$E,0)),"")</f>
        <v>1</v>
      </c>
      <c r="BC57" s="118" t="str">
        <f aca="false">_xlfn.IFNA(INDEX(Cascade!$BO:$BO,MATCH($E57,Cascade!$E:$E,0)),"")</f>
        <v/>
      </c>
      <c r="BD57" s="118" t="n">
        <f aca="false">_xlfn.IFNA(INDEX(Cascade!$BR:$BR,MATCH($E57,Cascade!$E:$E,0)),"")</f>
        <v>5600</v>
      </c>
    </row>
    <row r="58" customFormat="false" ht="15" hidden="false" customHeight="false" outlineLevel="0" collapsed="false">
      <c r="A58" s="0" t="s">
        <v>145</v>
      </c>
      <c r="B58" s="0" t="s">
        <v>107</v>
      </c>
      <c r="C58" s="0" t="s">
        <v>80</v>
      </c>
      <c r="D58" s="0" t="s">
        <v>56</v>
      </c>
      <c r="E58" s="0" t="str">
        <f aca="false">B58&amp;"|"&amp;C58&amp;"|"&amp;D58</f>
        <v>Mafeteng [#SNU] [#DREAMS] [DiFv5WXIHM5]|45-49|Female</v>
      </c>
      <c r="F58" s="73" t="n">
        <f aca="false">_xlfn.IFNA(INDEX(Cascade!$F:$F,MATCH($E58,Cascade!$E:$E,0)),"")</f>
        <v>3077</v>
      </c>
      <c r="G58" s="73" t="n">
        <f aca="false">_xlfn.IFNA(INDEX(Cascade!$H:$H,MATCH($E58,Cascade!$E:$E,0)),"")</f>
        <v>1575</v>
      </c>
      <c r="H58" s="118" t="n">
        <f aca="false">_xlfn.IFNA(INDEX(Cascade!$J:$J,MATCH($E58,Cascade!$E:$E,0)),"")</f>
        <v>0.5118428</v>
      </c>
      <c r="I58" s="73" t="n">
        <f aca="false">_xlfn.IFNA(INDEX(Cascade!$P:$P,MATCH($E58,Cascade!$E:$E,0)),"")</f>
        <v>1470</v>
      </c>
      <c r="J58" s="118" t="n">
        <f aca="false">_xlfn.IFNA(INDEX(Cascade!$Y:$Y,MATCH($E58,Cascade!$E:$E,0)),"")</f>
        <v>0.933333333333333</v>
      </c>
      <c r="K58" s="75" t="str">
        <f aca="false">_xlfn.IFNA(ROUND(INDEX(Spectrum!$N:$N,MATCH(RIGHT($B58,13)&amp;"|"&amp;$C58&amp;"|"&amp;$D58&amp;"|"&amp;K$14&amp;"|"&amp;"CY2021Q3",Spectrum!$Q:$Q,0)),0),"")</f>
        <v/>
      </c>
      <c r="L58" s="75" t="str">
        <f aca="false">_xlfn.IFNA(ROUND(INDEX(Spectrum!$N:$N,MATCH(RIGHT($B58,13)&amp;"|"&amp;$C58&amp;"|"&amp;$D58&amp;"|"&amp;L$14&amp;"|"&amp;"CY2021Q3",Spectrum!$Q:$Q,0)),0),"")</f>
        <v/>
      </c>
      <c r="M58" s="75" t="str">
        <f aca="false">_xlfn.IFNA(ROUND(INDEX(Spectrum!$N:$N,MATCH(RIGHT($B58,13)&amp;"|"&amp;$C58&amp;"|"&amp;$D58&amp;"|"&amp;M$14&amp;"|"&amp;"CY2021Q3",Spectrum!$Q:$Q,0)),0),"")</f>
        <v/>
      </c>
      <c r="N58" s="75" t="str">
        <f aca="false">_xlfn.IFNA(ROUND(INDEX(Spectrum!$N:$N,MATCH(RIGHT($B58,13)&amp;"|"&amp;$C58&amp;"|"&amp;$D58&amp;"|"&amp;N$14&amp;"|"&amp;"CY2021Q3",Spectrum!$Q:$Q,0)),0),"")</f>
        <v/>
      </c>
      <c r="O58" s="75" t="str">
        <f aca="false">_xlfn.IFNA(ROUND(INDEX(Spectrum!$N:$N,MATCH(RIGHT($B58,13)&amp;"|"&amp;$C58&amp;"|"&amp;$D58&amp;"|"&amp;O$14&amp;"|"&amp;"CY2021Q3",Spectrum!$Q:$Q,0)),0),"")</f>
        <v/>
      </c>
      <c r="P58" s="75" t="str">
        <f aca="false">_xlfn.IFNA(ROUND(INDEX(Spectrum!$N:$N,MATCH(RIGHT($B58,13)&amp;"|"&amp;$C58&amp;"|"&amp;$D58&amp;"|"&amp;P$14&amp;"|"&amp;"CY2021Q3",Spectrum!$Q:$Q,0)),0),"")</f>
        <v/>
      </c>
      <c r="Q58" s="75" t="str">
        <f aca="false">_xlfn.IFNA(ROUND(INDEX(Spectrum!$N:$N,MATCH(RIGHT($B58,13)&amp;"|"&amp;$C58&amp;"|"&amp;$D58&amp;"|"&amp;Q$14&amp;"|"&amp;"CY2021Q3",Spectrum!$Q:$Q,0)),0),"")</f>
        <v/>
      </c>
      <c r="R58" s="73" t="n">
        <v>49</v>
      </c>
      <c r="S58" s="118" t="n">
        <f aca="false">IF(SUM($R58)&lt;=0,"",0%)</f>
        <v>0</v>
      </c>
      <c r="T58" s="75" t="n">
        <f aca="false">IF(SUM($R58)&lt;=0,"",ROUND(MIN($R58,$K58)*(1+$S58),0))</f>
        <v>49</v>
      </c>
      <c r="U58" s="118" t="n">
        <f aca="false">IF(SUM($K58)=0,IF(SUM($R58)=0,"",1),MIN(SUM($R58)/SUM($K58),1))</f>
        <v>1</v>
      </c>
      <c r="V58" s="118" t="n">
        <f aca="false">$U58</f>
        <v>1</v>
      </c>
      <c r="W58" s="75" t="n">
        <f aca="false">IF(SUM($T58)=0,"",ROUND(SUM($T58)/IF(SUM($V58)=0,1,SUM($V58)),0))</f>
        <v>49</v>
      </c>
      <c r="X58" s="118" t="n">
        <f aca="false">1</f>
        <v>1</v>
      </c>
      <c r="Y58" s="118" t="n">
        <v>43</v>
      </c>
      <c r="Z58" s="118" t="n">
        <f aca="false">IF(OR(SUM($K58)&lt;=0,SUM($L58)&lt;=0),IF(SUM($Y58)&lt;=0,"",$Y58),SUM($L58)/$K58)</f>
        <v>43</v>
      </c>
      <c r="AA58" s="118"/>
      <c r="AB58" s="118" t="str">
        <f aca="false">IF(OR((SUM($K58)-SUM($L58))&lt;=0,SUM($M58)&lt;=0),IF(SUM($AA58)&lt;=0,"",$AA58),SUM($M58)/($K58-SUM($L58)))</f>
        <v/>
      </c>
      <c r="AC58" s="73" t="n">
        <f aca="false">IF(SUM($T58)&lt;=0,"",ROUND(SUM($T58)*$X58,0))</f>
        <v>49</v>
      </c>
      <c r="AD58" s="75" t="n">
        <f aca="false">IF(SUM($AC58)&lt;=0,"",ROUND($AC58*SUM($Z58),0))</f>
        <v>2107</v>
      </c>
      <c r="AE58" s="75" t="n">
        <f aca="false">IF(SUM($T58)&lt;=0,"",ROUND(($AC58-$AD58)*SUM($AB58),0))</f>
        <v>-0</v>
      </c>
      <c r="AF58" s="75" t="n">
        <f aca="false">IF(SUM($AC58)&lt;=0,"",ROUND($AC58-$AD58-$AE58,0))</f>
        <v>-2058</v>
      </c>
      <c r="AG58" s="73" t="n">
        <f aca="false">IF(SUM($W58)&lt;=0,"",ROUND(SUM($W58)*$X58,0))</f>
        <v>49</v>
      </c>
      <c r="AH58" s="75" t="n">
        <f aca="false">IF(SUM($AG58)&lt;=0,"",ROUND($AG58*SUM($Z58),0))</f>
        <v>2107</v>
      </c>
      <c r="AI58" s="75" t="n">
        <f aca="false">IF(SUM($W58)&lt;=0,"",ROUND(($AG58-$AH58)*SUM($AB58),0))</f>
        <v>-0</v>
      </c>
      <c r="AJ58" s="75" t="n">
        <f aca="false">IF(SUM($AG58)&lt;=0,"",ROUND($AG58-$AH58-$AI58,0))</f>
        <v>-2058</v>
      </c>
      <c r="AK58" s="118" t="n">
        <f aca="false">_xlfn.IFNA(INDEX(Cascade!$BA:$BA,MATCH($E58,Cascade!$E:$E,0)),"")</f>
        <v>0.95</v>
      </c>
      <c r="AL58" s="75" t="n">
        <f aca="false">IF(SUM($AD58)&lt;=0,"",$AD58)</f>
        <v>2107</v>
      </c>
      <c r="AM58" s="75" t="str">
        <f aca="false">IF(SUM($AE58)&lt;=0,"",ROUND($AE58*$AK58,0))</f>
        <v/>
      </c>
      <c r="AN58" s="75" t="n">
        <f aca="false">IF(AND(SUM($AH58)=0,SUM($AI58)=0),"",SUM($AH58)+SUM($AI58))</f>
        <v>2107</v>
      </c>
      <c r="AO58" s="75" t="n">
        <f aca="false">IF(SUM($AH58)&lt;=0,"",$AH58)</f>
        <v>2107</v>
      </c>
      <c r="AP58" s="75" t="str">
        <f aca="false">IF(SUM($AI58)&lt;=0,"",ROUND($AI58*$AK58,0))</f>
        <v/>
      </c>
      <c r="AQ58" s="73" t="n">
        <f aca="false">IF(SUM($T58,$AD58,$AE58)&lt;=0,"",MAX(SUM($T58,-$AD58,-$AE58),$AF58))</f>
        <v>-2058</v>
      </c>
      <c r="AR58" s="118"/>
      <c r="AS58" s="118" t="str">
        <f aca="false">IF(SUM(AR58)=0,"",$AR58)</f>
        <v/>
      </c>
      <c r="AT58" s="118" t="n">
        <f aca="false">0.95</f>
        <v>0.95</v>
      </c>
      <c r="AU58" s="75" t="str">
        <f aca="false">IF(SUM($AQ58)&lt;=0,"",ROUND(SUM($AQ58)*SUM($AS58),0))</f>
        <v/>
      </c>
      <c r="AV58" s="75" t="str">
        <f aca="false">IF(SUM($AQ58)&lt;=0,"",$AQ58-$AU58)</f>
        <v/>
      </c>
      <c r="AW58" s="73" t="str">
        <f aca="false">IF(SUM($AU58)&lt;=0,"",ROUND($AU58*$AT58,0))</f>
        <v/>
      </c>
      <c r="AX58" s="73" t="n">
        <f aca="false">IF(SUM($AE58,$AD58,$AU58)&lt;=0,"",SUM($AE58,$AD58,$AU58))</f>
        <v>2107</v>
      </c>
      <c r="AY58" s="73" t="n">
        <f aca="false">_xlfn.IFNA(INDEX(Cascade!$BD:$BD,MATCH($E58,Cascade!$E:$E,0)),"")</f>
        <v>1</v>
      </c>
      <c r="AZ58" s="118" t="str">
        <f aca="false">IFERROR(IF(SUM($AE58)&lt;=0,"",$AE58/$AY58),"")</f>
        <v/>
      </c>
      <c r="BA58" s="118" t="str">
        <f aca="false">IFERROR(IF(SUM($AU58)&lt;=0,"",$AU58/$AY58),"")</f>
        <v/>
      </c>
      <c r="BB58" s="118" t="n">
        <f aca="false">_xlfn.IFNA(INDEX(Cascade!$BL:$BL,MATCH($E58,Cascade!$E:$E,0)),"")</f>
        <v>1</v>
      </c>
      <c r="BC58" s="118" t="n">
        <f aca="false">_xlfn.IFNA(INDEX(Cascade!$BO:$BO,MATCH($E58,Cascade!$E:$E,0)),"")</f>
        <v>-9594</v>
      </c>
      <c r="BD58" s="118" t="n">
        <f aca="false">_xlfn.IFNA(INDEX(Cascade!$BR:$BR,MATCH($E58,Cascade!$E:$E,0)),"")</f>
        <v>9594</v>
      </c>
    </row>
    <row r="59" customFormat="false" ht="15" hidden="false" customHeight="false" outlineLevel="0" collapsed="false">
      <c r="A59" s="0" t="s">
        <v>145</v>
      </c>
      <c r="B59" s="0" t="s">
        <v>107</v>
      </c>
      <c r="C59" s="0" t="s">
        <v>86</v>
      </c>
      <c r="D59" s="0" t="s">
        <v>56</v>
      </c>
      <c r="E59" s="0" t="str">
        <f aca="false">B59&amp;"|"&amp;C59&amp;"|"&amp;D59</f>
        <v>Mafeteng [#SNU] [#DREAMS] [DiFv5WXIHM5]|50+|Female</v>
      </c>
      <c r="F59" s="73" t="n">
        <f aca="false">_xlfn.IFNA(INDEX(Cascade!$F:$F,MATCH($E59,Cascade!$E:$E,0)),"")</f>
        <v>19112</v>
      </c>
      <c r="G59" s="73" t="n">
        <f aca="false">_xlfn.IFNA(INDEX(Cascade!$H:$H,MATCH($E59,Cascade!$E:$E,0)),"")</f>
        <v>5066</v>
      </c>
      <c r="H59" s="118" t="n">
        <f aca="false">_xlfn.IFNA(INDEX(Cascade!$J:$J,MATCH($E59,Cascade!$E:$E,0)),"")</f>
        <v>0.2650757</v>
      </c>
      <c r="I59" s="73" t="n">
        <f aca="false">_xlfn.IFNA(INDEX(Cascade!$P:$P,MATCH($E59,Cascade!$E:$E,0)),"")</f>
        <v>3809</v>
      </c>
      <c r="J59" s="118" t="n">
        <f aca="false">_xlfn.IFNA(INDEX(Cascade!$Y:$Y,MATCH($E59,Cascade!$E:$E,0)),"")</f>
        <v>0.751875246742993</v>
      </c>
      <c r="K59" s="75" t="str">
        <f aca="false">_xlfn.IFNA(ROUND(INDEX(Spectrum!$N:$N,MATCH(RIGHT($B59,13)&amp;"|"&amp;$C59&amp;"|"&amp;$D59&amp;"|"&amp;K$14&amp;"|"&amp;"CY2021Q3",Spectrum!$Q:$Q,0)),0),"")</f>
        <v/>
      </c>
      <c r="L59" s="75" t="str">
        <f aca="false">_xlfn.IFNA(ROUND(INDEX(Spectrum!$N:$N,MATCH(RIGHT($B59,13)&amp;"|"&amp;$C59&amp;"|"&amp;$D59&amp;"|"&amp;L$14&amp;"|"&amp;"CY2021Q3",Spectrum!$Q:$Q,0)),0),"")</f>
        <v/>
      </c>
      <c r="M59" s="75" t="str">
        <f aca="false">_xlfn.IFNA(ROUND(INDEX(Spectrum!$N:$N,MATCH(RIGHT($B59,13)&amp;"|"&amp;$C59&amp;"|"&amp;$D59&amp;"|"&amp;M$14&amp;"|"&amp;"CY2021Q3",Spectrum!$Q:$Q,0)),0),"")</f>
        <v/>
      </c>
      <c r="N59" s="75" t="str">
        <f aca="false">_xlfn.IFNA(ROUND(INDEX(Spectrum!$N:$N,MATCH(RIGHT($B59,13)&amp;"|"&amp;$C59&amp;"|"&amp;$D59&amp;"|"&amp;N$14&amp;"|"&amp;"CY2021Q3",Spectrum!$Q:$Q,0)),0),"")</f>
        <v/>
      </c>
      <c r="O59" s="75" t="str">
        <f aca="false">_xlfn.IFNA(ROUND(INDEX(Spectrum!$N:$N,MATCH(RIGHT($B59,13)&amp;"|"&amp;$C59&amp;"|"&amp;$D59&amp;"|"&amp;O$14&amp;"|"&amp;"CY2021Q3",Spectrum!$Q:$Q,0)),0),"")</f>
        <v/>
      </c>
      <c r="P59" s="75" t="str">
        <f aca="false">_xlfn.IFNA(ROUND(INDEX(Spectrum!$N:$N,MATCH(RIGHT($B59,13)&amp;"|"&amp;$C59&amp;"|"&amp;$D59&amp;"|"&amp;P$14&amp;"|"&amp;"CY2021Q3",Spectrum!$Q:$Q,0)),0),"")</f>
        <v/>
      </c>
      <c r="Q59" s="75" t="str">
        <f aca="false">_xlfn.IFNA(ROUND(INDEX(Spectrum!$N:$N,MATCH(RIGHT($B59,13)&amp;"|"&amp;$C59&amp;"|"&amp;$D59&amp;"|"&amp;Q$14&amp;"|"&amp;"CY2021Q3",Spectrum!$Q:$Q,0)),0),"")</f>
        <v/>
      </c>
      <c r="R59" s="73"/>
      <c r="S59" s="118" t="str">
        <f aca="false">IF(SUM($R59)&lt;=0,"",0%)</f>
        <v/>
      </c>
      <c r="T59" s="75" t="str">
        <f aca="false">IF(SUM($R59)&lt;=0,"",ROUND(MIN($R59,$K59)*(1+$S59),0))</f>
        <v/>
      </c>
      <c r="U59" s="118" t="str">
        <f aca="false">IF(SUM($K59)=0,IF(SUM($R59)=0,"",1),MIN(SUM($R59)/SUM($K59),1))</f>
        <v/>
      </c>
      <c r="V59" s="118" t="str">
        <f aca="false">$U59</f>
        <v/>
      </c>
      <c r="W59" s="75" t="str">
        <f aca="false">IF(SUM($T59)=0,"",ROUND(SUM($T59)/IF(SUM($V59)=0,1,SUM($V59)),0))</f>
        <v/>
      </c>
      <c r="X59" s="118" t="n">
        <f aca="false">1</f>
        <v>1</v>
      </c>
      <c r="Y59" s="118"/>
      <c r="Z59" s="118" t="str">
        <f aca="false">IF(OR(SUM($K59)&lt;=0,SUM($L59)&lt;=0),IF(SUM($Y59)&lt;=0,"",$Y59),SUM($L59)/$K59)</f>
        <v/>
      </c>
      <c r="AA59" s="118"/>
      <c r="AB59" s="118" t="str">
        <f aca="false">IF(OR((SUM($K59)-SUM($L59))&lt;=0,SUM($M59)&lt;=0),IF(SUM($AA59)&lt;=0,"",$AA59),SUM($M59)/($K59-SUM($L59)))</f>
        <v/>
      </c>
      <c r="AC59" s="73" t="str">
        <f aca="false">IF(SUM($T59)&lt;=0,"",ROUND(SUM($T59)*$X59,0))</f>
        <v/>
      </c>
      <c r="AD59" s="75" t="str">
        <f aca="false">IF(SUM($AC59)&lt;=0,"",ROUND($AC59*SUM($Z59),0))</f>
        <v/>
      </c>
      <c r="AE59" s="75" t="str">
        <f aca="false">IF(SUM($T59)&lt;=0,"",ROUND(($AC59-$AD59)*SUM($AB59),0))</f>
        <v/>
      </c>
      <c r="AF59" s="75" t="str">
        <f aca="false">IF(SUM($AC59)&lt;=0,"",ROUND($AC59-$AD59-$AE59,0))</f>
        <v/>
      </c>
      <c r="AG59" s="73" t="str">
        <f aca="false">IF(SUM($W59)&lt;=0,"",ROUND(SUM($W59)*$X59,0))</f>
        <v/>
      </c>
      <c r="AH59" s="75" t="str">
        <f aca="false">IF(SUM($AG59)&lt;=0,"",ROUND($AG59*SUM($Z59),0))</f>
        <v/>
      </c>
      <c r="AI59" s="75" t="str">
        <f aca="false">IF(SUM($W59)&lt;=0,"",ROUND(($AG59-$AH59)*SUM($AB59),0))</f>
        <v/>
      </c>
      <c r="AJ59" s="75" t="str">
        <f aca="false">IF(SUM($AG59)&lt;=0,"",ROUND($AG59-$AH59-$AI59,0))</f>
        <v/>
      </c>
      <c r="AK59" s="118" t="n">
        <f aca="false">_xlfn.IFNA(INDEX(Cascade!$BA:$BA,MATCH($E59,Cascade!$E:$E,0)),"")</f>
        <v>0.95</v>
      </c>
      <c r="AL59" s="75" t="str">
        <f aca="false">IF(SUM($AD59)&lt;=0,"",$AD59)</f>
        <v/>
      </c>
      <c r="AM59" s="75" t="str">
        <f aca="false">IF(SUM($AE59)&lt;=0,"",ROUND($AE59*$AK59,0))</f>
        <v/>
      </c>
      <c r="AN59" s="75" t="str">
        <f aca="false">IF(AND(SUM($AH59)=0,SUM($AI59)=0),"",SUM($AH59)+SUM($AI59))</f>
        <v/>
      </c>
      <c r="AO59" s="75" t="str">
        <f aca="false">IF(SUM($AH59)&lt;=0,"",$AH59)</f>
        <v/>
      </c>
      <c r="AP59" s="75" t="str">
        <f aca="false">IF(SUM($AI59)&lt;=0,"",ROUND($AI59*$AK59,0))</f>
        <v/>
      </c>
      <c r="AQ59" s="73" t="str">
        <f aca="false">IF(SUM($T59,$AD59,$AE59)&lt;=0,"",MAX(SUM($T59,-$AD59,-$AE59),$AF59))</f>
        <v/>
      </c>
      <c r="AR59" s="118"/>
      <c r="AS59" s="118" t="str">
        <f aca="false">IF(SUM(AR59)=0,"",$AR59)</f>
        <v/>
      </c>
      <c r="AT59" s="118" t="n">
        <f aca="false">0.95</f>
        <v>0.95</v>
      </c>
      <c r="AU59" s="75" t="str">
        <f aca="false">IF(SUM($AQ59)&lt;=0,"",ROUND(SUM($AQ59)*SUM($AS59),0))</f>
        <v/>
      </c>
      <c r="AV59" s="75" t="str">
        <f aca="false">IF(SUM($AQ59)&lt;=0,"",$AQ59-$AU59)</f>
        <v/>
      </c>
      <c r="AW59" s="73" t="str">
        <f aca="false">IF(SUM($AU59)&lt;=0,"",ROUND($AU59*$AT59,0))</f>
        <v/>
      </c>
      <c r="AX59" s="73" t="str">
        <f aca="false">IF(SUM($AE59,$AD59,$AU59)&lt;=0,"",SUM($AE59,$AD59,$AU59))</f>
        <v/>
      </c>
      <c r="AY59" s="73" t="n">
        <f aca="false">_xlfn.IFNA(INDEX(Cascade!$BD:$BD,MATCH($E59,Cascade!$E:$E,0)),"")</f>
        <v>4</v>
      </c>
      <c r="AZ59" s="118" t="str">
        <f aca="false">IFERROR(IF(SUM($AE59)&lt;=0,"",$AE59/$AY59),"")</f>
        <v/>
      </c>
      <c r="BA59" s="118" t="str">
        <f aca="false">IFERROR(IF(SUM($AU59)&lt;=0,"",$AU59/$AY59),"")</f>
        <v/>
      </c>
      <c r="BB59" s="118" t="n">
        <f aca="false">_xlfn.IFNA(INDEX(Cascade!$BL:$BL,MATCH($E59,Cascade!$E:$E,0)),"")</f>
        <v>0.5</v>
      </c>
      <c r="BC59" s="118" t="str">
        <f aca="false">_xlfn.IFNA(INDEX(Cascade!$BO:$BO,MATCH($E59,Cascade!$E:$E,0)),"")</f>
        <v/>
      </c>
      <c r="BD59" s="118" t="n">
        <f aca="false">_xlfn.IFNA(INDEX(Cascade!$BR:$BR,MATCH($E59,Cascade!$E:$E,0)),"")</f>
        <v>0.5</v>
      </c>
    </row>
    <row r="60" customFormat="false" ht="15" hidden="false" customHeight="false" outlineLevel="0" collapsed="false">
      <c r="A60" s="0" t="s">
        <v>146</v>
      </c>
      <c r="B60" s="0" t="s">
        <v>45</v>
      </c>
      <c r="C60" s="0" t="s">
        <v>61</v>
      </c>
      <c r="D60" s="0" t="s">
        <v>56</v>
      </c>
      <c r="E60" s="0" t="str">
        <f aca="false">B60&amp;"|"&amp;C60&amp;"|"&amp;D60</f>
        <v>Maseru [#SNU] [#DREAMS] [tKOXiaNhAyJ]|10-14|Female</v>
      </c>
      <c r="F60" s="73" t="n">
        <f aca="false">_xlfn.IFNA(INDEX(Cascade!$F:$F,MATCH($E60,Cascade!$E:$E,0)),"")</f>
        <v>25419</v>
      </c>
      <c r="G60" s="73" t="n">
        <f aca="false">_xlfn.IFNA(INDEX(Cascade!$H:$H,MATCH($E60,Cascade!$E:$E,0)),"")</f>
        <v>708</v>
      </c>
      <c r="H60" s="118" t="n">
        <f aca="false">_xlfn.IFNA(INDEX(Cascade!$J:$J,MATCH($E60,Cascade!$E:$E,0)),"")</f>
        <v>0.0278633</v>
      </c>
      <c r="I60" s="73" t="n">
        <f aca="false">_xlfn.IFNA(INDEX(Cascade!$P:$P,MATCH($E60,Cascade!$E:$E,0)),"")</f>
        <v>527</v>
      </c>
      <c r="J60" s="118" t="n">
        <f aca="false">_xlfn.IFNA(INDEX(Cascade!$Y:$Y,MATCH($E60,Cascade!$E:$E,0)),"")</f>
        <v>0.744350282485876</v>
      </c>
      <c r="K60" s="75" t="str">
        <f aca="false">_xlfn.IFNA(ROUND(INDEX(Spectrum!$N:$N,MATCH(RIGHT($B60,13)&amp;"|"&amp;$C60&amp;"|"&amp;$D60&amp;"|"&amp;K$14&amp;"|"&amp;"CY2021Q3",Spectrum!$Q:$Q,0)),0),"")</f>
        <v/>
      </c>
      <c r="L60" s="75" t="str">
        <f aca="false">_xlfn.IFNA(ROUND(INDEX(Spectrum!$N:$N,MATCH(RIGHT($B60,13)&amp;"|"&amp;$C60&amp;"|"&amp;$D60&amp;"|"&amp;L$14&amp;"|"&amp;"CY2021Q3",Spectrum!$Q:$Q,0)),0),"")</f>
        <v/>
      </c>
      <c r="M60" s="75" t="str">
        <f aca="false">_xlfn.IFNA(ROUND(INDEX(Spectrum!$N:$N,MATCH(RIGHT($B60,13)&amp;"|"&amp;$C60&amp;"|"&amp;$D60&amp;"|"&amp;M$14&amp;"|"&amp;"CY2021Q3",Spectrum!$Q:$Q,0)),0),"")</f>
        <v/>
      </c>
      <c r="N60" s="75" t="str">
        <f aca="false">_xlfn.IFNA(ROUND(INDEX(Spectrum!$N:$N,MATCH(RIGHT($B60,13)&amp;"|"&amp;$C60&amp;"|"&amp;$D60&amp;"|"&amp;N$14&amp;"|"&amp;"CY2021Q3",Spectrum!$Q:$Q,0)),0),"")</f>
        <v/>
      </c>
      <c r="O60" s="75" t="str">
        <f aca="false">_xlfn.IFNA(ROUND(INDEX(Spectrum!$N:$N,MATCH(RIGHT($B60,13)&amp;"|"&amp;$C60&amp;"|"&amp;$D60&amp;"|"&amp;O$14&amp;"|"&amp;"CY2021Q3",Spectrum!$Q:$Q,0)),0),"")</f>
        <v/>
      </c>
      <c r="P60" s="75" t="str">
        <f aca="false">_xlfn.IFNA(ROUND(INDEX(Spectrum!$N:$N,MATCH(RIGHT($B60,13)&amp;"|"&amp;$C60&amp;"|"&amp;$D60&amp;"|"&amp;P$14&amp;"|"&amp;"CY2021Q3",Spectrum!$Q:$Q,0)),0),"")</f>
        <v/>
      </c>
      <c r="Q60" s="75" t="str">
        <f aca="false">_xlfn.IFNA(ROUND(INDEX(Spectrum!$N:$N,MATCH(RIGHT($B60,13)&amp;"|"&amp;$C60&amp;"|"&amp;$D60&amp;"|"&amp;Q$14&amp;"|"&amp;"CY2021Q3",Spectrum!$Q:$Q,0)),0),"")</f>
        <v/>
      </c>
      <c r="R60" s="73"/>
      <c r="S60" s="118" t="str">
        <f aca="false">IF(SUM($R60)&lt;=0,"",0%)</f>
        <v/>
      </c>
      <c r="T60" s="75" t="str">
        <f aca="false">IF(SUM($R60)&lt;=0,"",ROUND(MIN($R60,$K60)*(1+$S60),0))</f>
        <v/>
      </c>
      <c r="U60" s="118" t="str">
        <f aca="false">IF(SUM($K60)=0,IF(SUM($R60)=0,"",1),MIN(SUM($R60)/SUM($K60),1))</f>
        <v/>
      </c>
      <c r="V60" s="118" t="str">
        <f aca="false">$U60</f>
        <v/>
      </c>
      <c r="W60" s="75" t="str">
        <f aca="false">IF(SUM($T60)=0,"",ROUND(SUM($T60)/IF(SUM($V60)=0,1,SUM($V60)),0))</f>
        <v/>
      </c>
      <c r="X60" s="118" t="n">
        <f aca="false">1</f>
        <v>1</v>
      </c>
      <c r="Y60" s="118"/>
      <c r="Z60" s="118" t="str">
        <f aca="false">IF(OR(SUM($K60)&lt;=0,SUM($L60)&lt;=0),IF(SUM($Y60)&lt;=0,"",$Y60),SUM($L60)/$K60)</f>
        <v/>
      </c>
      <c r="AA60" s="118"/>
      <c r="AB60" s="118" t="str">
        <f aca="false">IF(OR((SUM($K60)-SUM($L60))&lt;=0,SUM($M60)&lt;=0),IF(SUM($AA60)&lt;=0,"",$AA60),SUM($M60)/($K60-SUM($L60)))</f>
        <v/>
      </c>
      <c r="AC60" s="73" t="str">
        <f aca="false">IF(SUM($T60)&lt;=0,"",ROUND(SUM($T60)*$X60,0))</f>
        <v/>
      </c>
      <c r="AD60" s="75" t="str">
        <f aca="false">IF(SUM($AC60)&lt;=0,"",ROUND($AC60*SUM($Z60),0))</f>
        <v/>
      </c>
      <c r="AE60" s="75" t="str">
        <f aca="false">IF(SUM($T60)&lt;=0,"",ROUND(($AC60-$AD60)*SUM($AB60),0))</f>
        <v/>
      </c>
      <c r="AF60" s="75" t="str">
        <f aca="false">IF(SUM($AC60)&lt;=0,"",ROUND($AC60-$AD60-$AE60,0))</f>
        <v/>
      </c>
      <c r="AG60" s="73" t="str">
        <f aca="false">IF(SUM($W60)&lt;=0,"",ROUND(SUM($W60)*$X60,0))</f>
        <v/>
      </c>
      <c r="AH60" s="75" t="str">
        <f aca="false">IF(SUM($AG60)&lt;=0,"",ROUND($AG60*SUM($Z60),0))</f>
        <v/>
      </c>
      <c r="AI60" s="75" t="str">
        <f aca="false">IF(SUM($W60)&lt;=0,"",ROUND(($AG60-$AH60)*SUM($AB60),0))</f>
        <v/>
      </c>
      <c r="AJ60" s="75" t="str">
        <f aca="false">IF(SUM($AG60)&lt;=0,"",ROUND($AG60-$AH60-$AI60,0))</f>
        <v/>
      </c>
      <c r="AK60" s="118" t="n">
        <f aca="false">_xlfn.IFNA(INDEX(Cascade!$BA:$BA,MATCH($E60,Cascade!$E:$E,0)),"")</f>
        <v>0.95</v>
      </c>
      <c r="AL60" s="75" t="str">
        <f aca="false">IF(SUM($AD60)&lt;=0,"",$AD60)</f>
        <v/>
      </c>
      <c r="AM60" s="75" t="str">
        <f aca="false">IF(SUM($AE60)&lt;=0,"",ROUND($AE60*$AK60,0))</f>
        <v/>
      </c>
      <c r="AN60" s="75" t="str">
        <f aca="false">IF(AND(SUM($AH60)=0,SUM($AI60)=0),"",SUM($AH60)+SUM($AI60))</f>
        <v/>
      </c>
      <c r="AO60" s="75" t="str">
        <f aca="false">IF(SUM($AH60)&lt;=0,"",$AH60)</f>
        <v/>
      </c>
      <c r="AP60" s="75" t="str">
        <f aca="false">IF(SUM($AI60)&lt;=0,"",ROUND($AI60*$AK60,0))</f>
        <v/>
      </c>
      <c r="AQ60" s="73" t="str">
        <f aca="false">IF(SUM($T60,$AD60,$AE60)&lt;=0,"",MAX(SUM($T60,-$AD60,-$AE60),$AF60))</f>
        <v/>
      </c>
      <c r="AR60" s="118"/>
      <c r="AS60" s="118" t="str">
        <f aca="false">IF(SUM(AR60)=0,"",$AR60)</f>
        <v/>
      </c>
      <c r="AT60" s="118" t="n">
        <f aca="false">0.95</f>
        <v>0.95</v>
      </c>
      <c r="AU60" s="75" t="str">
        <f aca="false">IF(SUM($AQ60)&lt;=0,"",ROUND(SUM($AQ60)*SUM($AS60),0))</f>
        <v/>
      </c>
      <c r="AV60" s="75" t="str">
        <f aca="false">IF(SUM($AQ60)&lt;=0,"",$AQ60-$AU60)</f>
        <v/>
      </c>
      <c r="AW60" s="73" t="str">
        <f aca="false">IF(SUM($AU60)&lt;=0,"",ROUND($AU60*$AT60,0))</f>
        <v/>
      </c>
      <c r="AX60" s="73" t="str">
        <f aca="false">IF(SUM($AE60,$AD60,$AU60)&lt;=0,"",SUM($AE60,$AD60,$AU60))</f>
        <v/>
      </c>
      <c r="AY60" s="73" t="n">
        <f aca="false">_xlfn.IFNA(INDEX(Cascade!$BD:$BD,MATCH($E60,Cascade!$E:$E,0)),"")</f>
        <v>5</v>
      </c>
      <c r="AZ60" s="118" t="str">
        <f aca="false">IFERROR(IF(SUM($AE60)&lt;=0,"",$AE60/$AY60),"")</f>
        <v/>
      </c>
      <c r="BA60" s="118" t="str">
        <f aca="false">IFERROR(IF(SUM($AU60)&lt;=0,"",$AU60/$AY60),"")</f>
        <v/>
      </c>
      <c r="BB60" s="118" t="n">
        <f aca="false">_xlfn.IFNA(INDEX(Cascade!$BL:$BL,MATCH($E60,Cascade!$E:$E,0)),"")</f>
        <v>0.6</v>
      </c>
      <c r="BC60" s="118" t="n">
        <f aca="false">_xlfn.IFNA(INDEX(Cascade!$BO:$BO,MATCH($E60,Cascade!$E:$E,0)),"")</f>
        <v>-1518</v>
      </c>
      <c r="BD60" s="118" t="n">
        <f aca="false">_xlfn.IFNA(INDEX(Cascade!$BR:$BR,MATCH($E60,Cascade!$E:$E,0)),"")</f>
        <v>1518.4</v>
      </c>
    </row>
    <row r="61" customFormat="false" ht="15" hidden="false" customHeight="false" outlineLevel="0" collapsed="false">
      <c r="A61" s="0" t="s">
        <v>146</v>
      </c>
      <c r="B61" s="0" t="s">
        <v>45</v>
      </c>
      <c r="C61" s="0" t="s">
        <v>63</v>
      </c>
      <c r="D61" s="0" t="s">
        <v>56</v>
      </c>
      <c r="E61" s="0" t="str">
        <f aca="false">B61&amp;"|"&amp;C61&amp;"|"&amp;D61</f>
        <v>Maseru [#SNU] [#DREAMS] [tKOXiaNhAyJ]|15-19|Female</v>
      </c>
      <c r="F61" s="73" t="n">
        <f aca="false">_xlfn.IFNA(INDEX(Cascade!$F:$F,MATCH($E61,Cascade!$E:$E,0)),"")</f>
        <v>25532</v>
      </c>
      <c r="G61" s="73" t="n">
        <f aca="false">_xlfn.IFNA(INDEX(Cascade!$H:$H,MATCH($E61,Cascade!$E:$E,0)),"")</f>
        <v>1223</v>
      </c>
      <c r="H61" s="118" t="n">
        <f aca="false">_xlfn.IFNA(INDEX(Cascade!$J:$J,MATCH($E61,Cascade!$E:$E,0)),"")</f>
        <v>0.0479061</v>
      </c>
      <c r="I61" s="73" t="n">
        <f aca="false">_xlfn.IFNA(INDEX(Cascade!$P:$P,MATCH($E61,Cascade!$E:$E,0)),"")</f>
        <v>829</v>
      </c>
      <c r="J61" s="118" t="n">
        <f aca="false">_xlfn.IFNA(INDEX(Cascade!$Y:$Y,MATCH($E61,Cascade!$E:$E,0)),"")</f>
        <v>0.6778413736713</v>
      </c>
      <c r="K61" s="75" t="str">
        <f aca="false">_xlfn.IFNA(ROUND(INDEX(Spectrum!$N:$N,MATCH(RIGHT($B61,13)&amp;"|"&amp;$C61&amp;"|"&amp;$D61&amp;"|"&amp;K$14&amp;"|"&amp;"CY2021Q3",Spectrum!$Q:$Q,0)),0),"")</f>
        <v/>
      </c>
      <c r="L61" s="75" t="str">
        <f aca="false">_xlfn.IFNA(ROUND(INDEX(Spectrum!$N:$N,MATCH(RIGHT($B61,13)&amp;"|"&amp;$C61&amp;"|"&amp;$D61&amp;"|"&amp;L$14&amp;"|"&amp;"CY2021Q3",Spectrum!$Q:$Q,0)),0),"")</f>
        <v/>
      </c>
      <c r="M61" s="75" t="str">
        <f aca="false">_xlfn.IFNA(ROUND(INDEX(Spectrum!$N:$N,MATCH(RIGHT($B61,13)&amp;"|"&amp;$C61&amp;"|"&amp;$D61&amp;"|"&amp;M$14&amp;"|"&amp;"CY2021Q3",Spectrum!$Q:$Q,0)),0),"")</f>
        <v/>
      </c>
      <c r="N61" s="75" t="str">
        <f aca="false">_xlfn.IFNA(ROUND(INDEX(Spectrum!$N:$N,MATCH(RIGHT($B61,13)&amp;"|"&amp;$C61&amp;"|"&amp;$D61&amp;"|"&amp;N$14&amp;"|"&amp;"CY2021Q3",Spectrum!$Q:$Q,0)),0),"")</f>
        <v/>
      </c>
      <c r="O61" s="75" t="str">
        <f aca="false">_xlfn.IFNA(ROUND(INDEX(Spectrum!$N:$N,MATCH(RIGHT($B61,13)&amp;"|"&amp;$C61&amp;"|"&amp;$D61&amp;"|"&amp;O$14&amp;"|"&amp;"CY2021Q3",Spectrum!$Q:$Q,0)),0),"")</f>
        <v/>
      </c>
      <c r="P61" s="75" t="str">
        <f aca="false">_xlfn.IFNA(ROUND(INDEX(Spectrum!$N:$N,MATCH(RIGHT($B61,13)&amp;"|"&amp;$C61&amp;"|"&amp;$D61&amp;"|"&amp;P$14&amp;"|"&amp;"CY2021Q3",Spectrum!$Q:$Q,0)),0),"")</f>
        <v/>
      </c>
      <c r="Q61" s="75" t="str">
        <f aca="false">_xlfn.IFNA(ROUND(INDEX(Spectrum!$N:$N,MATCH(RIGHT($B61,13)&amp;"|"&amp;$C61&amp;"|"&amp;$D61&amp;"|"&amp;Q$14&amp;"|"&amp;"CY2021Q3",Spectrum!$Q:$Q,0)),0),"")</f>
        <v/>
      </c>
      <c r="R61" s="73" t="n">
        <v>17</v>
      </c>
      <c r="S61" s="118" t="n">
        <f aca="false">IF(SUM($R61)&lt;=0,"",0%)</f>
        <v>0</v>
      </c>
      <c r="T61" s="75" t="n">
        <f aca="false">IF(SUM($R61)&lt;=0,"",ROUND(MIN($R61,$K61)*(1+$S61),0))</f>
        <v>17</v>
      </c>
      <c r="U61" s="118" t="n">
        <f aca="false">IF(SUM($K61)=0,IF(SUM($R61)=0,"",1),MIN(SUM($R61)/SUM($K61),1))</f>
        <v>1</v>
      </c>
      <c r="V61" s="118" t="n">
        <f aca="false">$U61</f>
        <v>1</v>
      </c>
      <c r="W61" s="75" t="n">
        <f aca="false">IF(SUM($T61)=0,"",ROUND(SUM($T61)/IF(SUM($V61)=0,1,SUM($V61)),0))</f>
        <v>17</v>
      </c>
      <c r="X61" s="118" t="n">
        <f aca="false">1</f>
        <v>1</v>
      </c>
      <c r="Y61" s="118" t="n">
        <v>13</v>
      </c>
      <c r="Z61" s="118" t="n">
        <f aca="false">IF(OR(SUM($K61)&lt;=0,SUM($L61)&lt;=0),IF(SUM($Y61)&lt;=0,"",$Y61),SUM($L61)/$K61)</f>
        <v>13</v>
      </c>
      <c r="AA61" s="118" t="n">
        <v>19</v>
      </c>
      <c r="AB61" s="118" t="n">
        <f aca="false">IF(OR((SUM($K61)-SUM($L61))&lt;=0,SUM($M61)&lt;=0),IF(SUM($AA61)&lt;=0,"",$AA61),SUM($M61)/($K61-SUM($L61)))</f>
        <v>19</v>
      </c>
      <c r="AC61" s="73" t="n">
        <f aca="false">IF(SUM($T61)&lt;=0,"",ROUND(SUM($T61)*$X61,0))</f>
        <v>17</v>
      </c>
      <c r="AD61" s="75" t="n">
        <f aca="false">IF(SUM($AC61)&lt;=0,"",ROUND($AC61*SUM($Z61),0))</f>
        <v>221</v>
      </c>
      <c r="AE61" s="75" t="n">
        <f aca="false">IF(SUM($T61)&lt;=0,"",ROUND(($AC61-$AD61)*SUM($AB61),0))</f>
        <v>-3876</v>
      </c>
      <c r="AF61" s="75" t="n">
        <f aca="false">IF(SUM($AC61)&lt;=0,"",ROUND($AC61-$AD61-$AE61,0))</f>
        <v>3672</v>
      </c>
      <c r="AG61" s="73" t="n">
        <f aca="false">IF(SUM($W61)&lt;=0,"",ROUND(SUM($W61)*$X61,0))</f>
        <v>17</v>
      </c>
      <c r="AH61" s="75" t="n">
        <f aca="false">IF(SUM($AG61)&lt;=0,"",ROUND($AG61*SUM($Z61),0))</f>
        <v>221</v>
      </c>
      <c r="AI61" s="75" t="n">
        <f aca="false">IF(SUM($W61)&lt;=0,"",ROUND(($AG61-$AH61)*SUM($AB61),0))</f>
        <v>-3876</v>
      </c>
      <c r="AJ61" s="75" t="n">
        <f aca="false">IF(SUM($AG61)&lt;=0,"",ROUND($AG61-$AH61-$AI61,0))</f>
        <v>3672</v>
      </c>
      <c r="AK61" s="118" t="n">
        <f aca="false">_xlfn.IFNA(INDEX(Cascade!$BA:$BA,MATCH($E61,Cascade!$E:$E,0)),"")</f>
        <v>0.95</v>
      </c>
      <c r="AL61" s="75" t="n">
        <f aca="false">IF(SUM($AD61)&lt;=0,"",$AD61)</f>
        <v>221</v>
      </c>
      <c r="AM61" s="75" t="str">
        <f aca="false">IF(SUM($AE61)&lt;=0,"",ROUND($AE61*$AK61,0))</f>
        <v/>
      </c>
      <c r="AN61" s="75" t="n">
        <f aca="false">IF(AND(SUM($AH61)=0,SUM($AI61)=0),"",SUM($AH61)+SUM($AI61))</f>
        <v>-3655</v>
      </c>
      <c r="AO61" s="75" t="n">
        <f aca="false">IF(SUM($AH61)&lt;=0,"",$AH61)</f>
        <v>221</v>
      </c>
      <c r="AP61" s="75" t="str">
        <f aca="false">IF(SUM($AI61)&lt;=0,"",ROUND($AI61*$AK61,0))</f>
        <v/>
      </c>
      <c r="AQ61" s="73" t="str">
        <f aca="false">IF(SUM($T61,$AD61,$AE61)&lt;=0,"",MAX(SUM($T61,-$AD61,-$AE61),$AF61))</f>
        <v/>
      </c>
      <c r="AR61" s="118"/>
      <c r="AS61" s="118" t="str">
        <f aca="false">IF(SUM(AR61)=0,"",$AR61)</f>
        <v/>
      </c>
      <c r="AT61" s="118" t="n">
        <f aca="false">0.95</f>
        <v>0.95</v>
      </c>
      <c r="AU61" s="75" t="str">
        <f aca="false">IF(SUM($AQ61)&lt;=0,"",ROUND(SUM($AQ61)*SUM($AS61),0))</f>
        <v/>
      </c>
      <c r="AV61" s="75" t="str">
        <f aca="false">IF(SUM($AQ61)&lt;=0,"",$AQ61-$AU61)</f>
        <v/>
      </c>
      <c r="AW61" s="73" t="str">
        <f aca="false">IF(SUM($AU61)&lt;=0,"",ROUND($AU61*$AT61,0))</f>
        <v/>
      </c>
      <c r="AX61" s="73" t="str">
        <f aca="false">IF(SUM($AE61,$AD61,$AU61)&lt;=0,"",SUM($AE61,$AD61,$AU61))</f>
        <v/>
      </c>
      <c r="AY61" s="73" t="n">
        <f aca="false">_xlfn.IFNA(INDEX(Cascade!$BD:$BD,MATCH($E61,Cascade!$E:$E,0)),"")</f>
        <v>14</v>
      </c>
      <c r="AZ61" s="118" t="str">
        <f aca="false">IFERROR(IF(SUM($AE61)&lt;=0,"",$AE61/$AY61),"")</f>
        <v/>
      </c>
      <c r="BA61" s="118" t="str">
        <f aca="false">IFERROR(IF(SUM($AU61)&lt;=0,"",$AU61/$AY61),"")</f>
        <v/>
      </c>
      <c r="BB61" s="118" t="n">
        <f aca="false">_xlfn.IFNA(INDEX(Cascade!$BL:$BL,MATCH($E61,Cascade!$E:$E,0)),"")</f>
        <v>0.285714285714286</v>
      </c>
      <c r="BC61" s="118" t="n">
        <f aca="false">_xlfn.IFNA(INDEX(Cascade!$BO:$BO,MATCH($E61,Cascade!$E:$E,0)),"")</f>
        <v>-153.214285714286</v>
      </c>
      <c r="BD61" s="118" t="n">
        <f aca="false">_xlfn.IFNA(INDEX(Cascade!$BR:$BR,MATCH($E61,Cascade!$E:$E,0)),"")</f>
        <v>430.785714285714</v>
      </c>
    </row>
    <row r="62" customFormat="false" ht="15" hidden="false" customHeight="false" outlineLevel="0" collapsed="false">
      <c r="A62" s="0" t="s">
        <v>146</v>
      </c>
      <c r="B62" s="0" t="s">
        <v>45</v>
      </c>
      <c r="C62" s="0" t="s">
        <v>66</v>
      </c>
      <c r="D62" s="0" t="s">
        <v>56</v>
      </c>
      <c r="E62" s="0" t="str">
        <f aca="false">B62&amp;"|"&amp;C62&amp;"|"&amp;D62</f>
        <v>Maseru [#SNU] [#DREAMS] [tKOXiaNhAyJ]|20-24|Female</v>
      </c>
      <c r="F62" s="73" t="n">
        <f aca="false">_xlfn.IFNA(INDEX(Cascade!$F:$F,MATCH($E62,Cascade!$E:$E,0)),"")</f>
        <v>30327</v>
      </c>
      <c r="G62" s="73" t="n">
        <f aca="false">_xlfn.IFNA(INDEX(Cascade!$H:$H,MATCH($E62,Cascade!$E:$E,0)),"")</f>
        <v>3721</v>
      </c>
      <c r="H62" s="118" t="n">
        <f aca="false">_xlfn.IFNA(INDEX(Cascade!$J:$J,MATCH($E62,Cascade!$E:$E,0)),"")</f>
        <v>0.1226802</v>
      </c>
      <c r="I62" s="73" t="n">
        <f aca="false">_xlfn.IFNA(INDEX(Cascade!$P:$P,MATCH($E62,Cascade!$E:$E,0)),"")</f>
        <v>2330</v>
      </c>
      <c r="J62" s="118" t="n">
        <f aca="false">_xlfn.IFNA(INDEX(Cascade!$Y:$Y,MATCH($E62,Cascade!$E:$E,0)),"")</f>
        <v>0.626175759204515</v>
      </c>
      <c r="K62" s="75" t="str">
        <f aca="false">_xlfn.IFNA(ROUND(INDEX(Spectrum!$N:$N,MATCH(RIGHT($B62,13)&amp;"|"&amp;$C62&amp;"|"&amp;$D62&amp;"|"&amp;K$14&amp;"|"&amp;"CY2021Q3",Spectrum!$Q:$Q,0)),0),"")</f>
        <v/>
      </c>
      <c r="L62" s="75" t="str">
        <f aca="false">_xlfn.IFNA(ROUND(INDEX(Spectrum!$N:$N,MATCH(RIGHT($B62,13)&amp;"|"&amp;$C62&amp;"|"&amp;$D62&amp;"|"&amp;L$14&amp;"|"&amp;"CY2021Q3",Spectrum!$Q:$Q,0)),0),"")</f>
        <v/>
      </c>
      <c r="M62" s="75" t="str">
        <f aca="false">_xlfn.IFNA(ROUND(INDEX(Spectrum!$N:$N,MATCH(RIGHT($B62,13)&amp;"|"&amp;$C62&amp;"|"&amp;$D62&amp;"|"&amp;M$14&amp;"|"&amp;"CY2021Q3",Spectrum!$Q:$Q,0)),0),"")</f>
        <v/>
      </c>
      <c r="N62" s="75" t="str">
        <f aca="false">_xlfn.IFNA(ROUND(INDEX(Spectrum!$N:$N,MATCH(RIGHT($B62,13)&amp;"|"&amp;$C62&amp;"|"&amp;$D62&amp;"|"&amp;N$14&amp;"|"&amp;"CY2021Q3",Spectrum!$Q:$Q,0)),0),"")</f>
        <v/>
      </c>
      <c r="O62" s="75" t="str">
        <f aca="false">_xlfn.IFNA(ROUND(INDEX(Spectrum!$N:$N,MATCH(RIGHT($B62,13)&amp;"|"&amp;$C62&amp;"|"&amp;$D62&amp;"|"&amp;O$14&amp;"|"&amp;"CY2021Q3",Spectrum!$Q:$Q,0)),0),"")</f>
        <v/>
      </c>
      <c r="P62" s="75" t="str">
        <f aca="false">_xlfn.IFNA(ROUND(INDEX(Spectrum!$N:$N,MATCH(RIGHT($B62,13)&amp;"|"&amp;$C62&amp;"|"&amp;$D62&amp;"|"&amp;P$14&amp;"|"&amp;"CY2021Q3",Spectrum!$Q:$Q,0)),0),"")</f>
        <v/>
      </c>
      <c r="Q62" s="75" t="str">
        <f aca="false">_xlfn.IFNA(ROUND(INDEX(Spectrum!$N:$N,MATCH(RIGHT($B62,13)&amp;"|"&amp;$C62&amp;"|"&amp;$D62&amp;"|"&amp;Q$14&amp;"|"&amp;"CY2021Q3",Spectrum!$Q:$Q,0)),0),"")</f>
        <v/>
      </c>
      <c r="R62" s="73" t="n">
        <v>6</v>
      </c>
      <c r="S62" s="118" t="n">
        <f aca="false">IF(SUM($R62)&lt;=0,"",0%)</f>
        <v>0</v>
      </c>
      <c r="T62" s="75" t="n">
        <f aca="false">IF(SUM($R62)&lt;=0,"",ROUND(MIN($R62,$K62)*(1+$S62),0))</f>
        <v>6</v>
      </c>
      <c r="U62" s="118" t="n">
        <f aca="false">IF(SUM($K62)=0,IF(SUM($R62)=0,"",1),MIN(SUM($R62)/SUM($K62),1))</f>
        <v>1</v>
      </c>
      <c r="V62" s="118" t="n">
        <f aca="false">$U62</f>
        <v>1</v>
      </c>
      <c r="W62" s="75" t="n">
        <f aca="false">IF(SUM($T62)=0,"",ROUND(SUM($T62)/IF(SUM($V62)=0,1,SUM($V62)),0))</f>
        <v>6</v>
      </c>
      <c r="X62" s="118" t="n">
        <f aca="false">1</f>
        <v>1</v>
      </c>
      <c r="Y62" s="118" t="n">
        <v>24</v>
      </c>
      <c r="Z62" s="118" t="n">
        <f aca="false">IF(OR(SUM($K62)&lt;=0,SUM($L62)&lt;=0),IF(SUM($Y62)&lt;=0,"",$Y62),SUM($L62)/$K62)</f>
        <v>24</v>
      </c>
      <c r="AA62" s="118" t="n">
        <v>3</v>
      </c>
      <c r="AB62" s="118" t="n">
        <f aca="false">IF(OR((SUM($K62)-SUM($L62))&lt;=0,SUM($M62)&lt;=0),IF(SUM($AA62)&lt;=0,"",$AA62),SUM($M62)/($K62-SUM($L62)))</f>
        <v>3</v>
      </c>
      <c r="AC62" s="73" t="n">
        <f aca="false">IF(SUM($T62)&lt;=0,"",ROUND(SUM($T62)*$X62,0))</f>
        <v>6</v>
      </c>
      <c r="AD62" s="75" t="n">
        <f aca="false">IF(SUM($AC62)&lt;=0,"",ROUND($AC62*SUM($Z62),0))</f>
        <v>144</v>
      </c>
      <c r="AE62" s="75" t="n">
        <f aca="false">IF(SUM($T62)&lt;=0,"",ROUND(($AC62-$AD62)*SUM($AB62),0))</f>
        <v>-414</v>
      </c>
      <c r="AF62" s="75" t="n">
        <f aca="false">IF(SUM($AC62)&lt;=0,"",ROUND($AC62-$AD62-$AE62,0))</f>
        <v>276</v>
      </c>
      <c r="AG62" s="73" t="n">
        <f aca="false">IF(SUM($W62)&lt;=0,"",ROUND(SUM($W62)*$X62,0))</f>
        <v>6</v>
      </c>
      <c r="AH62" s="75" t="n">
        <f aca="false">IF(SUM($AG62)&lt;=0,"",ROUND($AG62*SUM($Z62),0))</f>
        <v>144</v>
      </c>
      <c r="AI62" s="75" t="n">
        <f aca="false">IF(SUM($W62)&lt;=0,"",ROUND(($AG62-$AH62)*SUM($AB62),0))</f>
        <v>-414</v>
      </c>
      <c r="AJ62" s="75" t="n">
        <f aca="false">IF(SUM($AG62)&lt;=0,"",ROUND($AG62-$AH62-$AI62,0))</f>
        <v>276</v>
      </c>
      <c r="AK62" s="118" t="n">
        <f aca="false">_xlfn.IFNA(INDEX(Cascade!$BA:$BA,MATCH($E62,Cascade!$E:$E,0)),"")</f>
        <v>0.95</v>
      </c>
      <c r="AL62" s="75" t="n">
        <f aca="false">IF(SUM($AD62)&lt;=0,"",$AD62)</f>
        <v>144</v>
      </c>
      <c r="AM62" s="75" t="str">
        <f aca="false">IF(SUM($AE62)&lt;=0,"",ROUND($AE62*$AK62,0))</f>
        <v/>
      </c>
      <c r="AN62" s="75" t="n">
        <f aca="false">IF(AND(SUM($AH62)=0,SUM($AI62)=0),"",SUM($AH62)+SUM($AI62))</f>
        <v>-270</v>
      </c>
      <c r="AO62" s="75" t="n">
        <f aca="false">IF(SUM($AH62)&lt;=0,"",$AH62)</f>
        <v>144</v>
      </c>
      <c r="AP62" s="75" t="str">
        <f aca="false">IF(SUM($AI62)&lt;=0,"",ROUND($AI62*$AK62,0))</f>
        <v/>
      </c>
      <c r="AQ62" s="73" t="str">
        <f aca="false">IF(SUM($T62,$AD62,$AE62)&lt;=0,"",MAX(SUM($T62,-$AD62,-$AE62),$AF62))</f>
        <v/>
      </c>
      <c r="AR62" s="118" t="n">
        <v>1</v>
      </c>
      <c r="AS62" s="118" t="n">
        <f aca="false">IF(SUM(AR62)=0,"",$AR62)</f>
        <v>1</v>
      </c>
      <c r="AT62" s="118" t="n">
        <f aca="false">0.95</f>
        <v>0.95</v>
      </c>
      <c r="AU62" s="75" t="str">
        <f aca="false">IF(SUM($AQ62)&lt;=0,"",ROUND(SUM($AQ62)*SUM($AS62),0))</f>
        <v/>
      </c>
      <c r="AV62" s="75" t="str">
        <f aca="false">IF(SUM($AQ62)&lt;=0,"",$AQ62-$AU62)</f>
        <v/>
      </c>
      <c r="AW62" s="73" t="str">
        <f aca="false">IF(SUM($AU62)&lt;=0,"",ROUND($AU62*$AT62,0))</f>
        <v/>
      </c>
      <c r="AX62" s="73" t="str">
        <f aca="false">IF(SUM($AE62,$AD62,$AU62)&lt;=0,"",SUM($AE62,$AD62,$AU62))</f>
        <v/>
      </c>
      <c r="AY62" s="73" t="n">
        <f aca="false">_xlfn.IFNA(INDEX(Cascade!$BD:$BD,MATCH($E62,Cascade!$E:$E,0)),"")</f>
        <v>9</v>
      </c>
      <c r="AZ62" s="118" t="str">
        <f aca="false">IFERROR(IF(SUM($AE62)&lt;=0,"",$AE62/$AY62),"")</f>
        <v/>
      </c>
      <c r="BA62" s="118" t="str">
        <f aca="false">IFERROR(IF(SUM($AU62)&lt;=0,"",$AU62/$AY62),"")</f>
        <v/>
      </c>
      <c r="BB62" s="118" t="n">
        <f aca="false">_xlfn.IFNA(INDEX(Cascade!$BL:$BL,MATCH($E62,Cascade!$E:$E,0)),"")</f>
        <v>0.333333333333333</v>
      </c>
      <c r="BC62" s="118" t="str">
        <f aca="false">_xlfn.IFNA(INDEX(Cascade!$BO:$BO,MATCH($E62,Cascade!$E:$E,0)),"")</f>
        <v/>
      </c>
      <c r="BD62" s="118" t="n">
        <f aca="false">_xlfn.IFNA(INDEX(Cascade!$BR:$BR,MATCH($E62,Cascade!$E:$E,0)),"")</f>
        <v>46.6666666666667</v>
      </c>
    </row>
    <row r="63" customFormat="false" ht="15" hidden="false" customHeight="false" outlineLevel="0" collapsed="false">
      <c r="A63" s="0" t="s">
        <v>146</v>
      </c>
      <c r="B63" s="0" t="s">
        <v>45</v>
      </c>
      <c r="C63" s="0" t="s">
        <v>69</v>
      </c>
      <c r="D63" s="0" t="s">
        <v>56</v>
      </c>
      <c r="E63" s="0" t="str">
        <f aca="false">B63&amp;"|"&amp;C63&amp;"|"&amp;D63</f>
        <v>Maseru [#SNU] [#DREAMS] [tKOXiaNhAyJ]|25-29|Female</v>
      </c>
      <c r="F63" s="73" t="n">
        <f aca="false">_xlfn.IFNA(INDEX(Cascade!$F:$F,MATCH($E63,Cascade!$E:$E,0)),"")</f>
        <v>30088</v>
      </c>
      <c r="G63" s="73" t="n">
        <f aca="false">_xlfn.IFNA(INDEX(Cascade!$H:$H,MATCH($E63,Cascade!$E:$E,0)),"")</f>
        <v>7438</v>
      </c>
      <c r="H63" s="118" t="n">
        <f aca="false">_xlfn.IFNA(INDEX(Cascade!$J:$J,MATCH($E63,Cascade!$E:$E,0)),"")</f>
        <v>0.247224</v>
      </c>
      <c r="I63" s="73" t="n">
        <f aca="false">_xlfn.IFNA(INDEX(Cascade!$P:$P,MATCH($E63,Cascade!$E:$E,0)),"")</f>
        <v>4964</v>
      </c>
      <c r="J63" s="118" t="n">
        <f aca="false">_xlfn.IFNA(INDEX(Cascade!$Y:$Y,MATCH($E63,Cascade!$E:$E,0)),"")</f>
        <v>0.667383705297123</v>
      </c>
      <c r="K63" s="75" t="str">
        <f aca="false">_xlfn.IFNA(ROUND(INDEX(Spectrum!$N:$N,MATCH(RIGHT($B63,13)&amp;"|"&amp;$C63&amp;"|"&amp;$D63&amp;"|"&amp;K$14&amp;"|"&amp;"CY2021Q3",Spectrum!$Q:$Q,0)),0),"")</f>
        <v/>
      </c>
      <c r="L63" s="75" t="str">
        <f aca="false">_xlfn.IFNA(ROUND(INDEX(Spectrum!$N:$N,MATCH(RIGHT($B63,13)&amp;"|"&amp;$C63&amp;"|"&amp;$D63&amp;"|"&amp;L$14&amp;"|"&amp;"CY2021Q3",Spectrum!$Q:$Q,0)),0),"")</f>
        <v/>
      </c>
      <c r="M63" s="75" t="str">
        <f aca="false">_xlfn.IFNA(ROUND(INDEX(Spectrum!$N:$N,MATCH(RIGHT($B63,13)&amp;"|"&amp;$C63&amp;"|"&amp;$D63&amp;"|"&amp;M$14&amp;"|"&amp;"CY2021Q3",Spectrum!$Q:$Q,0)),0),"")</f>
        <v/>
      </c>
      <c r="N63" s="75" t="str">
        <f aca="false">_xlfn.IFNA(ROUND(INDEX(Spectrum!$N:$N,MATCH(RIGHT($B63,13)&amp;"|"&amp;$C63&amp;"|"&amp;$D63&amp;"|"&amp;N$14&amp;"|"&amp;"CY2021Q3",Spectrum!$Q:$Q,0)),0),"")</f>
        <v/>
      </c>
      <c r="O63" s="75" t="str">
        <f aca="false">_xlfn.IFNA(ROUND(INDEX(Spectrum!$N:$N,MATCH(RIGHT($B63,13)&amp;"|"&amp;$C63&amp;"|"&amp;$D63&amp;"|"&amp;O$14&amp;"|"&amp;"CY2021Q3",Spectrum!$Q:$Q,0)),0),"")</f>
        <v/>
      </c>
      <c r="P63" s="75" t="str">
        <f aca="false">_xlfn.IFNA(ROUND(INDEX(Spectrum!$N:$N,MATCH(RIGHT($B63,13)&amp;"|"&amp;$C63&amp;"|"&amp;$D63&amp;"|"&amp;P$14&amp;"|"&amp;"CY2021Q3",Spectrum!$Q:$Q,0)),0),"")</f>
        <v/>
      </c>
      <c r="Q63" s="75" t="str">
        <f aca="false">_xlfn.IFNA(ROUND(INDEX(Spectrum!$N:$N,MATCH(RIGHT($B63,13)&amp;"|"&amp;$C63&amp;"|"&amp;$D63&amp;"|"&amp;Q$14&amp;"|"&amp;"CY2021Q3",Spectrum!$Q:$Q,0)),0),"")</f>
        <v/>
      </c>
      <c r="R63" s="73" t="n">
        <v>37</v>
      </c>
      <c r="S63" s="118" t="n">
        <f aca="false">IF(SUM($R63)&lt;=0,"",0%)</f>
        <v>0</v>
      </c>
      <c r="T63" s="75" t="n">
        <f aca="false">IF(SUM($R63)&lt;=0,"",ROUND(MIN($R63,$K63)*(1+$S63),0))</f>
        <v>37</v>
      </c>
      <c r="U63" s="118" t="n">
        <f aca="false">IF(SUM($K63)=0,IF(SUM($R63)=0,"",1),MIN(SUM($R63)/SUM($K63),1))</f>
        <v>1</v>
      </c>
      <c r="V63" s="118" t="n">
        <f aca="false">$U63</f>
        <v>1</v>
      </c>
      <c r="W63" s="75" t="n">
        <f aca="false">IF(SUM($T63)=0,"",ROUND(SUM($T63)/IF(SUM($V63)=0,1,SUM($V63)),0))</f>
        <v>37</v>
      </c>
      <c r="X63" s="118" t="n">
        <f aca="false">1</f>
        <v>1</v>
      </c>
      <c r="Y63" s="118" t="n">
        <v>41</v>
      </c>
      <c r="Z63" s="118" t="n">
        <f aca="false">IF(OR(SUM($K63)&lt;=0,SUM($L63)&lt;=0),IF(SUM($Y63)&lt;=0,"",$Y63),SUM($L63)/$K63)</f>
        <v>41</v>
      </c>
      <c r="AA63" s="118" t="n">
        <v>43</v>
      </c>
      <c r="AB63" s="118" t="n">
        <f aca="false">IF(OR((SUM($K63)-SUM($L63))&lt;=0,SUM($M63)&lt;=0),IF(SUM($AA63)&lt;=0,"",$AA63),SUM($M63)/($K63-SUM($L63)))</f>
        <v>43</v>
      </c>
      <c r="AC63" s="73" t="n">
        <f aca="false">IF(SUM($T63)&lt;=0,"",ROUND(SUM($T63)*$X63,0))</f>
        <v>37</v>
      </c>
      <c r="AD63" s="75" t="n">
        <f aca="false">IF(SUM($AC63)&lt;=0,"",ROUND($AC63*SUM($Z63),0))</f>
        <v>1517</v>
      </c>
      <c r="AE63" s="75" t="n">
        <f aca="false">IF(SUM($T63)&lt;=0,"",ROUND(($AC63-$AD63)*SUM($AB63),0))</f>
        <v>-63640</v>
      </c>
      <c r="AF63" s="75" t="n">
        <f aca="false">IF(SUM($AC63)&lt;=0,"",ROUND($AC63-$AD63-$AE63,0))</f>
        <v>62160</v>
      </c>
      <c r="AG63" s="73" t="n">
        <f aca="false">IF(SUM($W63)&lt;=0,"",ROUND(SUM($W63)*$X63,0))</f>
        <v>37</v>
      </c>
      <c r="AH63" s="75" t="n">
        <f aca="false">IF(SUM($AG63)&lt;=0,"",ROUND($AG63*SUM($Z63),0))</f>
        <v>1517</v>
      </c>
      <c r="AI63" s="75" t="n">
        <f aca="false">IF(SUM($W63)&lt;=0,"",ROUND(($AG63-$AH63)*SUM($AB63),0))</f>
        <v>-63640</v>
      </c>
      <c r="AJ63" s="75" t="n">
        <f aca="false">IF(SUM($AG63)&lt;=0,"",ROUND($AG63-$AH63-$AI63,0))</f>
        <v>62160</v>
      </c>
      <c r="AK63" s="118" t="n">
        <f aca="false">_xlfn.IFNA(INDEX(Cascade!$BA:$BA,MATCH($E63,Cascade!$E:$E,0)),"")</f>
        <v>0.95</v>
      </c>
      <c r="AL63" s="75" t="n">
        <f aca="false">IF(SUM($AD63)&lt;=0,"",$AD63)</f>
        <v>1517</v>
      </c>
      <c r="AM63" s="75" t="str">
        <f aca="false">IF(SUM($AE63)&lt;=0,"",ROUND($AE63*$AK63,0))</f>
        <v/>
      </c>
      <c r="AN63" s="75" t="n">
        <f aca="false">IF(AND(SUM($AH63)=0,SUM($AI63)=0),"",SUM($AH63)+SUM($AI63))</f>
        <v>-62123</v>
      </c>
      <c r="AO63" s="75" t="n">
        <f aca="false">IF(SUM($AH63)&lt;=0,"",$AH63)</f>
        <v>1517</v>
      </c>
      <c r="AP63" s="75" t="str">
        <f aca="false">IF(SUM($AI63)&lt;=0,"",ROUND($AI63*$AK63,0))</f>
        <v/>
      </c>
      <c r="AQ63" s="73" t="str">
        <f aca="false">IF(SUM($T63,$AD63,$AE63)&lt;=0,"",MAX(SUM($T63,-$AD63,-$AE63),$AF63))</f>
        <v/>
      </c>
      <c r="AR63" s="118" t="n">
        <v>26</v>
      </c>
      <c r="AS63" s="118" t="n">
        <f aca="false">IF(SUM(AR63)=0,"",$AR63)</f>
        <v>26</v>
      </c>
      <c r="AT63" s="118" t="n">
        <f aca="false">0.95</f>
        <v>0.95</v>
      </c>
      <c r="AU63" s="75" t="str">
        <f aca="false">IF(SUM($AQ63)&lt;=0,"",ROUND(SUM($AQ63)*SUM($AS63),0))</f>
        <v/>
      </c>
      <c r="AV63" s="75" t="str">
        <f aca="false">IF(SUM($AQ63)&lt;=0,"",$AQ63-$AU63)</f>
        <v/>
      </c>
      <c r="AW63" s="73" t="str">
        <f aca="false">IF(SUM($AU63)&lt;=0,"",ROUND($AU63*$AT63,0))</f>
        <v/>
      </c>
      <c r="AX63" s="73" t="str">
        <f aca="false">IF(SUM($AE63,$AD63,$AU63)&lt;=0,"",SUM($AE63,$AD63,$AU63))</f>
        <v/>
      </c>
      <c r="AY63" s="73" t="n">
        <f aca="false">_xlfn.IFNA(INDEX(Cascade!$BD:$BD,MATCH($E63,Cascade!$E:$E,0)),"")</f>
        <v>2</v>
      </c>
      <c r="AZ63" s="118" t="str">
        <f aca="false">IFERROR(IF(SUM($AE63)&lt;=0,"",$AE63/$AY63),"")</f>
        <v/>
      </c>
      <c r="BA63" s="118" t="str">
        <f aca="false">IFERROR(IF(SUM($AU63)&lt;=0,"",$AU63/$AY63),"")</f>
        <v/>
      </c>
      <c r="BB63" s="118" t="n">
        <f aca="false">_xlfn.IFNA(INDEX(Cascade!$BL:$BL,MATCH($E63,Cascade!$E:$E,0)),"")</f>
        <v>0.5</v>
      </c>
      <c r="BC63" s="118" t="n">
        <f aca="false">_xlfn.IFNA(INDEX(Cascade!$BO:$BO,MATCH($E63,Cascade!$E:$E,0)),"")</f>
        <v>-1260</v>
      </c>
      <c r="BD63" s="118" t="n">
        <f aca="false">_xlfn.IFNA(INDEX(Cascade!$BR:$BR,MATCH($E63,Cascade!$E:$E,0)),"")</f>
        <v>33080.5</v>
      </c>
    </row>
    <row r="64" customFormat="false" ht="15" hidden="false" customHeight="false" outlineLevel="0" collapsed="false">
      <c r="A64" s="0" t="s">
        <v>146</v>
      </c>
      <c r="B64" s="0" t="s">
        <v>45</v>
      </c>
      <c r="C64" s="0" t="s">
        <v>72</v>
      </c>
      <c r="D64" s="0" t="s">
        <v>56</v>
      </c>
      <c r="E64" s="0" t="str">
        <f aca="false">B64&amp;"|"&amp;C64&amp;"|"&amp;D64</f>
        <v>Maseru [#SNU] [#DREAMS] [tKOXiaNhAyJ]|30-34|Female</v>
      </c>
      <c r="F64" s="73" t="n">
        <f aca="false">_xlfn.IFNA(INDEX(Cascade!$F:$F,MATCH($E64,Cascade!$E:$E,0)),"")</f>
        <v>27821</v>
      </c>
      <c r="G64" s="73" t="n">
        <f aca="false">_xlfn.IFNA(INDEX(Cascade!$H:$H,MATCH($E64,Cascade!$E:$E,0)),"")</f>
        <v>10212</v>
      </c>
      <c r="H64" s="118" t="n">
        <f aca="false">_xlfn.IFNA(INDEX(Cascade!$J:$J,MATCH($E64,Cascade!$E:$E,0)),"")</f>
        <v>0.3670507</v>
      </c>
      <c r="I64" s="73" t="n">
        <f aca="false">_xlfn.IFNA(INDEX(Cascade!$P:$P,MATCH($E64,Cascade!$E:$E,0)),"")</f>
        <v>6856</v>
      </c>
      <c r="J64" s="118" t="n">
        <f aca="false">_xlfn.IFNA(INDEX(Cascade!$Y:$Y,MATCH($E64,Cascade!$E:$E,0)),"")</f>
        <v>0.671367019193106</v>
      </c>
      <c r="K64" s="75" t="str">
        <f aca="false">_xlfn.IFNA(ROUND(INDEX(Spectrum!$N:$N,MATCH(RIGHT($B64,13)&amp;"|"&amp;$C64&amp;"|"&amp;$D64&amp;"|"&amp;K$14&amp;"|"&amp;"CY2021Q3",Spectrum!$Q:$Q,0)),0),"")</f>
        <v/>
      </c>
      <c r="L64" s="75" t="str">
        <f aca="false">_xlfn.IFNA(ROUND(INDEX(Spectrum!$N:$N,MATCH(RIGHT($B64,13)&amp;"|"&amp;$C64&amp;"|"&amp;$D64&amp;"|"&amp;L$14&amp;"|"&amp;"CY2021Q3",Spectrum!$Q:$Q,0)),0),"")</f>
        <v/>
      </c>
      <c r="M64" s="75" t="str">
        <f aca="false">_xlfn.IFNA(ROUND(INDEX(Spectrum!$N:$N,MATCH(RIGHT($B64,13)&amp;"|"&amp;$C64&amp;"|"&amp;$D64&amp;"|"&amp;M$14&amp;"|"&amp;"CY2021Q3",Spectrum!$Q:$Q,0)),0),"")</f>
        <v/>
      </c>
      <c r="N64" s="75" t="str">
        <f aca="false">_xlfn.IFNA(ROUND(INDEX(Spectrum!$N:$N,MATCH(RIGHT($B64,13)&amp;"|"&amp;$C64&amp;"|"&amp;$D64&amp;"|"&amp;N$14&amp;"|"&amp;"CY2021Q3",Spectrum!$Q:$Q,0)),0),"")</f>
        <v/>
      </c>
      <c r="O64" s="75" t="str">
        <f aca="false">_xlfn.IFNA(ROUND(INDEX(Spectrum!$N:$N,MATCH(RIGHT($B64,13)&amp;"|"&amp;$C64&amp;"|"&amp;$D64&amp;"|"&amp;O$14&amp;"|"&amp;"CY2021Q3",Spectrum!$Q:$Q,0)),0),"")</f>
        <v/>
      </c>
      <c r="P64" s="75" t="str">
        <f aca="false">_xlfn.IFNA(ROUND(INDEX(Spectrum!$N:$N,MATCH(RIGHT($B64,13)&amp;"|"&amp;$C64&amp;"|"&amp;$D64&amp;"|"&amp;P$14&amp;"|"&amp;"CY2021Q3",Spectrum!$Q:$Q,0)),0),"")</f>
        <v/>
      </c>
      <c r="Q64" s="75" t="str">
        <f aca="false">_xlfn.IFNA(ROUND(INDEX(Spectrum!$N:$N,MATCH(RIGHT($B64,13)&amp;"|"&amp;$C64&amp;"|"&amp;$D64&amp;"|"&amp;Q$14&amp;"|"&amp;"CY2021Q3",Spectrum!$Q:$Q,0)),0),"")</f>
        <v/>
      </c>
      <c r="R64" s="73" t="n">
        <v>37</v>
      </c>
      <c r="S64" s="118" t="n">
        <f aca="false">IF(SUM($R64)&lt;=0,"",0%)</f>
        <v>0</v>
      </c>
      <c r="T64" s="75" t="n">
        <f aca="false">IF(SUM($R64)&lt;=0,"",ROUND(MIN($R64,$K64)*(1+$S64),0))</f>
        <v>37</v>
      </c>
      <c r="U64" s="118" t="n">
        <f aca="false">IF(SUM($K64)=0,IF(SUM($R64)=0,"",1),MIN(SUM($R64)/SUM($K64),1))</f>
        <v>1</v>
      </c>
      <c r="V64" s="118" t="n">
        <f aca="false">$U64</f>
        <v>1</v>
      </c>
      <c r="W64" s="75" t="n">
        <f aca="false">IF(SUM($T64)=0,"",ROUND(SUM($T64)/IF(SUM($V64)=0,1,SUM($V64)),0))</f>
        <v>37</v>
      </c>
      <c r="X64" s="118" t="n">
        <f aca="false">1</f>
        <v>1</v>
      </c>
      <c r="Y64" s="118" t="n">
        <v>24</v>
      </c>
      <c r="Z64" s="118" t="n">
        <f aca="false">IF(OR(SUM($K64)&lt;=0,SUM($L64)&lt;=0),IF(SUM($Y64)&lt;=0,"",$Y64),SUM($L64)/$K64)</f>
        <v>24</v>
      </c>
      <c r="AA64" s="118" t="n">
        <v>30</v>
      </c>
      <c r="AB64" s="118" t="n">
        <f aca="false">IF(OR((SUM($K64)-SUM($L64))&lt;=0,SUM($M64)&lt;=0),IF(SUM($AA64)&lt;=0,"",$AA64),SUM($M64)/($K64-SUM($L64)))</f>
        <v>30</v>
      </c>
      <c r="AC64" s="73" t="n">
        <f aca="false">IF(SUM($T64)&lt;=0,"",ROUND(SUM($T64)*$X64,0))</f>
        <v>37</v>
      </c>
      <c r="AD64" s="75" t="n">
        <f aca="false">IF(SUM($AC64)&lt;=0,"",ROUND($AC64*SUM($Z64),0))</f>
        <v>888</v>
      </c>
      <c r="AE64" s="75" t="n">
        <f aca="false">IF(SUM($T64)&lt;=0,"",ROUND(($AC64-$AD64)*SUM($AB64),0))</f>
        <v>-25530</v>
      </c>
      <c r="AF64" s="75" t="n">
        <f aca="false">IF(SUM($AC64)&lt;=0,"",ROUND($AC64-$AD64-$AE64,0))</f>
        <v>24679</v>
      </c>
      <c r="AG64" s="73" t="n">
        <f aca="false">IF(SUM($W64)&lt;=0,"",ROUND(SUM($W64)*$X64,0))</f>
        <v>37</v>
      </c>
      <c r="AH64" s="75" t="n">
        <f aca="false">IF(SUM($AG64)&lt;=0,"",ROUND($AG64*SUM($Z64),0))</f>
        <v>888</v>
      </c>
      <c r="AI64" s="75" t="n">
        <f aca="false">IF(SUM($W64)&lt;=0,"",ROUND(($AG64-$AH64)*SUM($AB64),0))</f>
        <v>-25530</v>
      </c>
      <c r="AJ64" s="75" t="n">
        <f aca="false">IF(SUM($AG64)&lt;=0,"",ROUND($AG64-$AH64-$AI64,0))</f>
        <v>24679</v>
      </c>
      <c r="AK64" s="118" t="n">
        <f aca="false">_xlfn.IFNA(INDEX(Cascade!$BA:$BA,MATCH($E64,Cascade!$E:$E,0)),"")</f>
        <v>0.95</v>
      </c>
      <c r="AL64" s="75" t="n">
        <f aca="false">IF(SUM($AD64)&lt;=0,"",$AD64)</f>
        <v>888</v>
      </c>
      <c r="AM64" s="75" t="str">
        <f aca="false">IF(SUM($AE64)&lt;=0,"",ROUND($AE64*$AK64,0))</f>
        <v/>
      </c>
      <c r="AN64" s="75" t="n">
        <f aca="false">IF(AND(SUM($AH64)=0,SUM($AI64)=0),"",SUM($AH64)+SUM($AI64))</f>
        <v>-24642</v>
      </c>
      <c r="AO64" s="75" t="n">
        <f aca="false">IF(SUM($AH64)&lt;=0,"",$AH64)</f>
        <v>888</v>
      </c>
      <c r="AP64" s="75" t="str">
        <f aca="false">IF(SUM($AI64)&lt;=0,"",ROUND($AI64*$AK64,0))</f>
        <v/>
      </c>
      <c r="AQ64" s="73" t="str">
        <f aca="false">IF(SUM($T64,$AD64,$AE64)&lt;=0,"",MAX(SUM($T64,-$AD64,-$AE64),$AF64))</f>
        <v/>
      </c>
      <c r="AR64" s="118" t="n">
        <v>34</v>
      </c>
      <c r="AS64" s="118" t="n">
        <f aca="false">IF(SUM(AR64)=0,"",$AR64)</f>
        <v>34</v>
      </c>
      <c r="AT64" s="118" t="n">
        <f aca="false">0.95</f>
        <v>0.95</v>
      </c>
      <c r="AU64" s="75" t="str">
        <f aca="false">IF(SUM($AQ64)&lt;=0,"",ROUND(SUM($AQ64)*SUM($AS64),0))</f>
        <v/>
      </c>
      <c r="AV64" s="75" t="str">
        <f aca="false">IF(SUM($AQ64)&lt;=0,"",$AQ64-$AU64)</f>
        <v/>
      </c>
      <c r="AW64" s="73" t="str">
        <f aca="false">IF(SUM($AU64)&lt;=0,"",ROUND($AU64*$AT64,0))</f>
        <v/>
      </c>
      <c r="AX64" s="73" t="str">
        <f aca="false">IF(SUM($AE64,$AD64,$AU64)&lt;=0,"",SUM($AE64,$AD64,$AU64))</f>
        <v/>
      </c>
      <c r="AY64" s="73" t="n">
        <f aca="false">_xlfn.IFNA(INDEX(Cascade!$BD:$BD,MATCH($E64,Cascade!$E:$E,0)),"")</f>
        <v>12</v>
      </c>
      <c r="AZ64" s="118" t="str">
        <f aca="false">IFERROR(IF(SUM($AE64)&lt;=0,"",$AE64/$AY64),"")</f>
        <v/>
      </c>
      <c r="BA64" s="118" t="str">
        <f aca="false">IFERROR(IF(SUM($AU64)&lt;=0,"",$AU64/$AY64),"")</f>
        <v/>
      </c>
      <c r="BB64" s="118" t="n">
        <f aca="false">_xlfn.IFNA(INDEX(Cascade!$BL:$BL,MATCH($E64,Cascade!$E:$E,0)),"")</f>
        <v>0.333333333333333</v>
      </c>
      <c r="BC64" s="118" t="n">
        <f aca="false">_xlfn.IFNA(INDEX(Cascade!$BO:$BO,MATCH($E64,Cascade!$E:$E,0)),"")</f>
        <v>-135</v>
      </c>
      <c r="BD64" s="118" t="n">
        <f aca="false">_xlfn.IFNA(INDEX(Cascade!$BR:$BR,MATCH($E64,Cascade!$E:$E,0)),"")</f>
        <v>2263.16666666667</v>
      </c>
    </row>
    <row r="65" customFormat="false" ht="15" hidden="false" customHeight="false" outlineLevel="0" collapsed="false">
      <c r="A65" s="0" t="s">
        <v>146</v>
      </c>
      <c r="B65" s="0" t="s">
        <v>45</v>
      </c>
      <c r="C65" s="0" t="s">
        <v>75</v>
      </c>
      <c r="D65" s="0" t="s">
        <v>56</v>
      </c>
      <c r="E65" s="0" t="str">
        <f aca="false">B65&amp;"|"&amp;C65&amp;"|"&amp;D65</f>
        <v>Maseru [#SNU] [#DREAMS] [tKOXiaNhAyJ]|35-39|Female</v>
      </c>
      <c r="F65" s="73" t="n">
        <f aca="false">_xlfn.IFNA(INDEX(Cascade!$F:$F,MATCH($E65,Cascade!$E:$E,0)),"")</f>
        <v>21708</v>
      </c>
      <c r="G65" s="73" t="n">
        <f aca="false">_xlfn.IFNA(INDEX(Cascade!$H:$H,MATCH($E65,Cascade!$E:$E,0)),"")</f>
        <v>9645</v>
      </c>
      <c r="H65" s="118" t="n">
        <f aca="false">_xlfn.IFNA(INDEX(Cascade!$J:$J,MATCH($E65,Cascade!$E:$E,0)),"")</f>
        <v>0.4443014</v>
      </c>
      <c r="I65" s="73" t="n">
        <f aca="false">_xlfn.IFNA(INDEX(Cascade!$P:$P,MATCH($E65,Cascade!$E:$E,0)),"")</f>
        <v>7850</v>
      </c>
      <c r="J65" s="118" t="n">
        <f aca="false">_xlfn.IFNA(INDEX(Cascade!$Y:$Y,MATCH($E65,Cascade!$E:$E,0)),"")</f>
        <v>0.813893208916537</v>
      </c>
      <c r="K65" s="75" t="str">
        <f aca="false">_xlfn.IFNA(ROUND(INDEX(Spectrum!$N:$N,MATCH(RIGHT($B65,13)&amp;"|"&amp;$C65&amp;"|"&amp;$D65&amp;"|"&amp;K$14&amp;"|"&amp;"CY2021Q3",Spectrum!$Q:$Q,0)),0),"")</f>
        <v/>
      </c>
      <c r="L65" s="75" t="str">
        <f aca="false">_xlfn.IFNA(ROUND(INDEX(Spectrum!$N:$N,MATCH(RIGHT($B65,13)&amp;"|"&amp;$C65&amp;"|"&amp;$D65&amp;"|"&amp;L$14&amp;"|"&amp;"CY2021Q3",Spectrum!$Q:$Q,0)),0),"")</f>
        <v/>
      </c>
      <c r="M65" s="75" t="str">
        <f aca="false">_xlfn.IFNA(ROUND(INDEX(Spectrum!$N:$N,MATCH(RIGHT($B65,13)&amp;"|"&amp;$C65&amp;"|"&amp;$D65&amp;"|"&amp;M$14&amp;"|"&amp;"CY2021Q3",Spectrum!$Q:$Q,0)),0),"")</f>
        <v/>
      </c>
      <c r="N65" s="75" t="str">
        <f aca="false">_xlfn.IFNA(ROUND(INDEX(Spectrum!$N:$N,MATCH(RIGHT($B65,13)&amp;"|"&amp;$C65&amp;"|"&amp;$D65&amp;"|"&amp;N$14&amp;"|"&amp;"CY2021Q3",Spectrum!$Q:$Q,0)),0),"")</f>
        <v/>
      </c>
      <c r="O65" s="75" t="str">
        <f aca="false">_xlfn.IFNA(ROUND(INDEX(Spectrum!$N:$N,MATCH(RIGHT($B65,13)&amp;"|"&amp;$C65&amp;"|"&amp;$D65&amp;"|"&amp;O$14&amp;"|"&amp;"CY2021Q3",Spectrum!$Q:$Q,0)),0),"")</f>
        <v/>
      </c>
      <c r="P65" s="75" t="str">
        <f aca="false">_xlfn.IFNA(ROUND(INDEX(Spectrum!$N:$N,MATCH(RIGHT($B65,13)&amp;"|"&amp;$C65&amp;"|"&amp;$D65&amp;"|"&amp;P$14&amp;"|"&amp;"CY2021Q3",Spectrum!$Q:$Q,0)),0),"")</f>
        <v/>
      </c>
      <c r="Q65" s="75" t="str">
        <f aca="false">_xlfn.IFNA(ROUND(INDEX(Spectrum!$N:$N,MATCH(RIGHT($B65,13)&amp;"|"&amp;$C65&amp;"|"&amp;$D65&amp;"|"&amp;Q$14&amp;"|"&amp;"CY2021Q3",Spectrum!$Q:$Q,0)),0),"")</f>
        <v/>
      </c>
      <c r="R65" s="73" t="n">
        <v>37</v>
      </c>
      <c r="S65" s="118" t="n">
        <f aca="false">IF(SUM($R65)&lt;=0,"",0%)</f>
        <v>0</v>
      </c>
      <c r="T65" s="75" t="n">
        <f aca="false">IF(SUM($R65)&lt;=0,"",ROUND(MIN($R65,$K65)*(1+$S65),0))</f>
        <v>37</v>
      </c>
      <c r="U65" s="118" t="n">
        <f aca="false">IF(SUM($K65)=0,IF(SUM($R65)=0,"",1),MIN(SUM($R65)/SUM($K65),1))</f>
        <v>1</v>
      </c>
      <c r="V65" s="118" t="n">
        <f aca="false">$U65</f>
        <v>1</v>
      </c>
      <c r="W65" s="75" t="n">
        <f aca="false">IF(SUM($T65)=0,"",ROUND(SUM($T65)/IF(SUM($V65)=0,1,SUM($V65)),0))</f>
        <v>37</v>
      </c>
      <c r="X65" s="118" t="n">
        <f aca="false">1</f>
        <v>1</v>
      </c>
      <c r="Y65" s="118" t="n">
        <v>7</v>
      </c>
      <c r="Z65" s="118" t="n">
        <f aca="false">IF(OR(SUM($K65)&lt;=0,SUM($L65)&lt;=0),IF(SUM($Y65)&lt;=0,"",$Y65),SUM($L65)/$K65)</f>
        <v>7</v>
      </c>
      <c r="AA65" s="118" t="n">
        <v>42</v>
      </c>
      <c r="AB65" s="118" t="n">
        <f aca="false">IF(OR((SUM($K65)-SUM($L65))&lt;=0,SUM($M65)&lt;=0),IF(SUM($AA65)&lt;=0,"",$AA65),SUM($M65)/($K65-SUM($L65)))</f>
        <v>42</v>
      </c>
      <c r="AC65" s="73" t="n">
        <f aca="false">IF(SUM($T65)&lt;=0,"",ROUND(SUM($T65)*$X65,0))</f>
        <v>37</v>
      </c>
      <c r="AD65" s="75" t="n">
        <f aca="false">IF(SUM($AC65)&lt;=0,"",ROUND($AC65*SUM($Z65),0))</f>
        <v>259</v>
      </c>
      <c r="AE65" s="75" t="n">
        <f aca="false">IF(SUM($T65)&lt;=0,"",ROUND(($AC65-$AD65)*SUM($AB65),0))</f>
        <v>-9324</v>
      </c>
      <c r="AF65" s="75" t="n">
        <f aca="false">IF(SUM($AC65)&lt;=0,"",ROUND($AC65-$AD65-$AE65,0))</f>
        <v>9102</v>
      </c>
      <c r="AG65" s="73" t="n">
        <f aca="false">IF(SUM($W65)&lt;=0,"",ROUND(SUM($W65)*$X65,0))</f>
        <v>37</v>
      </c>
      <c r="AH65" s="75" t="n">
        <f aca="false">IF(SUM($AG65)&lt;=0,"",ROUND($AG65*SUM($Z65),0))</f>
        <v>259</v>
      </c>
      <c r="AI65" s="75" t="n">
        <f aca="false">IF(SUM($W65)&lt;=0,"",ROUND(($AG65-$AH65)*SUM($AB65),0))</f>
        <v>-9324</v>
      </c>
      <c r="AJ65" s="75" t="n">
        <f aca="false">IF(SUM($AG65)&lt;=0,"",ROUND($AG65-$AH65-$AI65,0))</f>
        <v>9102</v>
      </c>
      <c r="AK65" s="118" t="n">
        <f aca="false">_xlfn.IFNA(INDEX(Cascade!$BA:$BA,MATCH($E65,Cascade!$E:$E,0)),"")</f>
        <v>0.95</v>
      </c>
      <c r="AL65" s="75" t="n">
        <f aca="false">IF(SUM($AD65)&lt;=0,"",$AD65)</f>
        <v>259</v>
      </c>
      <c r="AM65" s="75" t="str">
        <f aca="false">IF(SUM($AE65)&lt;=0,"",ROUND($AE65*$AK65,0))</f>
        <v/>
      </c>
      <c r="AN65" s="75" t="n">
        <f aca="false">IF(AND(SUM($AH65)=0,SUM($AI65)=0),"",SUM($AH65)+SUM($AI65))</f>
        <v>-9065</v>
      </c>
      <c r="AO65" s="75" t="n">
        <f aca="false">IF(SUM($AH65)&lt;=0,"",$AH65)</f>
        <v>259</v>
      </c>
      <c r="AP65" s="75" t="str">
        <f aca="false">IF(SUM($AI65)&lt;=0,"",ROUND($AI65*$AK65,0))</f>
        <v/>
      </c>
      <c r="AQ65" s="73" t="str">
        <f aca="false">IF(SUM($T65,$AD65,$AE65)&lt;=0,"",MAX(SUM($T65,-$AD65,-$AE65),$AF65))</f>
        <v/>
      </c>
      <c r="AR65" s="118"/>
      <c r="AS65" s="118" t="str">
        <f aca="false">IF(SUM(AR65)=0,"",$AR65)</f>
        <v/>
      </c>
      <c r="AT65" s="118" t="n">
        <f aca="false">0.95</f>
        <v>0.95</v>
      </c>
      <c r="AU65" s="75" t="str">
        <f aca="false">IF(SUM($AQ65)&lt;=0,"",ROUND(SUM($AQ65)*SUM($AS65),0))</f>
        <v/>
      </c>
      <c r="AV65" s="75" t="str">
        <f aca="false">IF(SUM($AQ65)&lt;=0,"",$AQ65-$AU65)</f>
        <v/>
      </c>
      <c r="AW65" s="73" t="str">
        <f aca="false">IF(SUM($AU65)&lt;=0,"",ROUND($AU65*$AT65,0))</f>
        <v/>
      </c>
      <c r="AX65" s="73" t="str">
        <f aca="false">IF(SUM($AE65,$AD65,$AU65)&lt;=0,"",SUM($AE65,$AD65,$AU65))</f>
        <v/>
      </c>
      <c r="AY65" s="73" t="n">
        <f aca="false">_xlfn.IFNA(INDEX(Cascade!$BD:$BD,MATCH($E65,Cascade!$E:$E,0)),"")</f>
        <v>2</v>
      </c>
      <c r="AZ65" s="118" t="str">
        <f aca="false">IFERROR(IF(SUM($AE65)&lt;=0,"",$AE65/$AY65),"")</f>
        <v/>
      </c>
      <c r="BA65" s="118" t="str">
        <f aca="false">IFERROR(IF(SUM($AU65)&lt;=0,"",$AU65/$AY65),"")</f>
        <v/>
      </c>
      <c r="BB65" s="118" t="n">
        <f aca="false">_xlfn.IFNA(INDEX(Cascade!$BL:$BL,MATCH($E65,Cascade!$E:$E,0)),"")</f>
        <v>1</v>
      </c>
      <c r="BC65" s="118" t="str">
        <f aca="false">_xlfn.IFNA(INDEX(Cascade!$BO:$BO,MATCH($E65,Cascade!$E:$E,0)),"")</f>
        <v/>
      </c>
      <c r="BD65" s="118" t="n">
        <f aca="false">_xlfn.IFNA(INDEX(Cascade!$BR:$BR,MATCH($E65,Cascade!$E:$E,0)),"")</f>
        <v>4662</v>
      </c>
    </row>
    <row r="66" customFormat="false" ht="15" hidden="false" customHeight="false" outlineLevel="0" collapsed="false">
      <c r="A66" s="0" t="s">
        <v>146</v>
      </c>
      <c r="B66" s="0" t="s">
        <v>45</v>
      </c>
      <c r="C66" s="0" t="s">
        <v>77</v>
      </c>
      <c r="D66" s="0" t="s">
        <v>56</v>
      </c>
      <c r="E66" s="0" t="str">
        <f aca="false">B66&amp;"|"&amp;C66&amp;"|"&amp;D66</f>
        <v>Maseru [#SNU] [#DREAMS] [tKOXiaNhAyJ]|40-44|Female</v>
      </c>
      <c r="F66" s="73" t="n">
        <f aca="false">_xlfn.IFNA(INDEX(Cascade!$F:$F,MATCH($E66,Cascade!$E:$E,0)),"")</f>
        <v>14856</v>
      </c>
      <c r="G66" s="73" t="n">
        <f aca="false">_xlfn.IFNA(INDEX(Cascade!$H:$H,MATCH($E66,Cascade!$E:$E,0)),"")</f>
        <v>7616</v>
      </c>
      <c r="H66" s="118" t="n">
        <f aca="false">_xlfn.IFNA(INDEX(Cascade!$J:$J,MATCH($E66,Cascade!$E:$E,0)),"")</f>
        <v>0.5126672</v>
      </c>
      <c r="I66" s="73" t="n">
        <f aca="false">_xlfn.IFNA(INDEX(Cascade!$P:$P,MATCH($E66,Cascade!$E:$E,0)),"")</f>
        <v>7397</v>
      </c>
      <c r="J66" s="118" t="n">
        <f aca="false">_xlfn.IFNA(INDEX(Cascade!$Y:$Y,MATCH($E66,Cascade!$E:$E,0)),"")</f>
        <v>0.97124474789916</v>
      </c>
      <c r="K66" s="75" t="str">
        <f aca="false">_xlfn.IFNA(ROUND(INDEX(Spectrum!$N:$N,MATCH(RIGHT($B66,13)&amp;"|"&amp;$C66&amp;"|"&amp;$D66&amp;"|"&amp;K$14&amp;"|"&amp;"CY2021Q3",Spectrum!$Q:$Q,0)),0),"")</f>
        <v/>
      </c>
      <c r="L66" s="75" t="str">
        <f aca="false">_xlfn.IFNA(ROUND(INDEX(Spectrum!$N:$N,MATCH(RIGHT($B66,13)&amp;"|"&amp;$C66&amp;"|"&amp;$D66&amp;"|"&amp;L$14&amp;"|"&amp;"CY2021Q3",Spectrum!$Q:$Q,0)),0),"")</f>
        <v/>
      </c>
      <c r="M66" s="75" t="str">
        <f aca="false">_xlfn.IFNA(ROUND(INDEX(Spectrum!$N:$N,MATCH(RIGHT($B66,13)&amp;"|"&amp;$C66&amp;"|"&amp;$D66&amp;"|"&amp;M$14&amp;"|"&amp;"CY2021Q3",Spectrum!$Q:$Q,0)),0),"")</f>
        <v/>
      </c>
      <c r="N66" s="75" t="str">
        <f aca="false">_xlfn.IFNA(ROUND(INDEX(Spectrum!$N:$N,MATCH(RIGHT($B66,13)&amp;"|"&amp;$C66&amp;"|"&amp;$D66&amp;"|"&amp;N$14&amp;"|"&amp;"CY2021Q3",Spectrum!$Q:$Q,0)),0),"")</f>
        <v/>
      </c>
      <c r="O66" s="75" t="str">
        <f aca="false">_xlfn.IFNA(ROUND(INDEX(Spectrum!$N:$N,MATCH(RIGHT($B66,13)&amp;"|"&amp;$C66&amp;"|"&amp;$D66&amp;"|"&amp;O$14&amp;"|"&amp;"CY2021Q3",Spectrum!$Q:$Q,0)),0),"")</f>
        <v/>
      </c>
      <c r="P66" s="75" t="str">
        <f aca="false">_xlfn.IFNA(ROUND(INDEX(Spectrum!$N:$N,MATCH(RIGHT($B66,13)&amp;"|"&amp;$C66&amp;"|"&amp;$D66&amp;"|"&amp;P$14&amp;"|"&amp;"CY2021Q3",Spectrum!$Q:$Q,0)),0),"")</f>
        <v/>
      </c>
      <c r="Q66" s="75" t="str">
        <f aca="false">_xlfn.IFNA(ROUND(INDEX(Spectrum!$N:$N,MATCH(RIGHT($B66,13)&amp;"|"&amp;$C66&amp;"|"&amp;$D66&amp;"|"&amp;Q$14&amp;"|"&amp;"CY2021Q3",Spectrum!$Q:$Q,0)),0),"")</f>
        <v/>
      </c>
      <c r="R66" s="73" t="n">
        <v>16</v>
      </c>
      <c r="S66" s="118" t="n">
        <f aca="false">IF(SUM($R66)&lt;=0,"",0%)</f>
        <v>0</v>
      </c>
      <c r="T66" s="75" t="n">
        <f aca="false">IF(SUM($R66)&lt;=0,"",ROUND(MIN($R66,$K66)*(1+$S66),0))</f>
        <v>16</v>
      </c>
      <c r="U66" s="118" t="n">
        <f aca="false">IF(SUM($K66)=0,IF(SUM($R66)=0,"",1),MIN(SUM($R66)/SUM($K66),1))</f>
        <v>1</v>
      </c>
      <c r="V66" s="118" t="n">
        <f aca="false">$U66</f>
        <v>1</v>
      </c>
      <c r="W66" s="75" t="n">
        <f aca="false">IF(SUM($T66)=0,"",ROUND(SUM($T66)/IF(SUM($V66)=0,1,SUM($V66)),0))</f>
        <v>16</v>
      </c>
      <c r="X66" s="118" t="n">
        <f aca="false">1</f>
        <v>1</v>
      </c>
      <c r="Y66" s="118" t="n">
        <v>20</v>
      </c>
      <c r="Z66" s="118" t="n">
        <f aca="false">IF(OR(SUM($K66)&lt;=0,SUM($L66)&lt;=0),IF(SUM($Y66)&lt;=0,"",$Y66),SUM($L66)/$K66)</f>
        <v>20</v>
      </c>
      <c r="AA66" s="118" t="n">
        <v>13</v>
      </c>
      <c r="AB66" s="118" t="n">
        <f aca="false">IF(OR((SUM($K66)-SUM($L66))&lt;=0,SUM($M66)&lt;=0),IF(SUM($AA66)&lt;=0,"",$AA66),SUM($M66)/($K66-SUM($L66)))</f>
        <v>13</v>
      </c>
      <c r="AC66" s="73" t="n">
        <f aca="false">IF(SUM($T66)&lt;=0,"",ROUND(SUM($T66)*$X66,0))</f>
        <v>16</v>
      </c>
      <c r="AD66" s="75" t="n">
        <f aca="false">IF(SUM($AC66)&lt;=0,"",ROUND($AC66*SUM($Z66),0))</f>
        <v>320</v>
      </c>
      <c r="AE66" s="75" t="n">
        <f aca="false">IF(SUM($T66)&lt;=0,"",ROUND(($AC66-$AD66)*SUM($AB66),0))</f>
        <v>-3952</v>
      </c>
      <c r="AF66" s="75" t="n">
        <f aca="false">IF(SUM($AC66)&lt;=0,"",ROUND($AC66-$AD66-$AE66,0))</f>
        <v>3648</v>
      </c>
      <c r="AG66" s="73" t="n">
        <f aca="false">IF(SUM($W66)&lt;=0,"",ROUND(SUM($W66)*$X66,0))</f>
        <v>16</v>
      </c>
      <c r="AH66" s="75" t="n">
        <f aca="false">IF(SUM($AG66)&lt;=0,"",ROUND($AG66*SUM($Z66),0))</f>
        <v>320</v>
      </c>
      <c r="AI66" s="75" t="n">
        <f aca="false">IF(SUM($W66)&lt;=0,"",ROUND(($AG66-$AH66)*SUM($AB66),0))</f>
        <v>-3952</v>
      </c>
      <c r="AJ66" s="75" t="n">
        <f aca="false">IF(SUM($AG66)&lt;=0,"",ROUND($AG66-$AH66-$AI66,0))</f>
        <v>3648</v>
      </c>
      <c r="AK66" s="118" t="n">
        <f aca="false">_xlfn.IFNA(INDEX(Cascade!$BA:$BA,MATCH($E66,Cascade!$E:$E,0)),"")</f>
        <v>0.95</v>
      </c>
      <c r="AL66" s="75" t="n">
        <f aca="false">IF(SUM($AD66)&lt;=0,"",$AD66)</f>
        <v>320</v>
      </c>
      <c r="AM66" s="75" t="str">
        <f aca="false">IF(SUM($AE66)&lt;=0,"",ROUND($AE66*$AK66,0))</f>
        <v/>
      </c>
      <c r="AN66" s="75" t="n">
        <f aca="false">IF(AND(SUM($AH66)=0,SUM($AI66)=0),"",SUM($AH66)+SUM($AI66))</f>
        <v>-3632</v>
      </c>
      <c r="AO66" s="75" t="n">
        <f aca="false">IF(SUM($AH66)&lt;=0,"",$AH66)</f>
        <v>320</v>
      </c>
      <c r="AP66" s="75" t="str">
        <f aca="false">IF(SUM($AI66)&lt;=0,"",ROUND($AI66*$AK66,0))</f>
        <v/>
      </c>
      <c r="AQ66" s="73" t="str">
        <f aca="false">IF(SUM($T66,$AD66,$AE66)&lt;=0,"",MAX(SUM($T66,-$AD66,-$AE66),$AF66))</f>
        <v/>
      </c>
      <c r="AR66" s="118"/>
      <c r="AS66" s="118" t="str">
        <f aca="false">IF(SUM(AR66)=0,"",$AR66)</f>
        <v/>
      </c>
      <c r="AT66" s="118" t="n">
        <f aca="false">0.95</f>
        <v>0.95</v>
      </c>
      <c r="AU66" s="75" t="str">
        <f aca="false">IF(SUM($AQ66)&lt;=0,"",ROUND(SUM($AQ66)*SUM($AS66),0))</f>
        <v/>
      </c>
      <c r="AV66" s="75" t="str">
        <f aca="false">IF(SUM($AQ66)&lt;=0,"",$AQ66-$AU66)</f>
        <v/>
      </c>
      <c r="AW66" s="73" t="str">
        <f aca="false">IF(SUM($AU66)&lt;=0,"",ROUND($AU66*$AT66,0))</f>
        <v/>
      </c>
      <c r="AX66" s="73" t="str">
        <f aca="false">IF(SUM($AE66,$AD66,$AU66)&lt;=0,"",SUM($AE66,$AD66,$AU66))</f>
        <v/>
      </c>
      <c r="AY66" s="73" t="str">
        <f aca="false">_xlfn.IFNA(INDEX(Cascade!$BD:$BD,MATCH($E66,Cascade!$E:$E,0)),"")</f>
        <v/>
      </c>
      <c r="AZ66" s="118" t="str">
        <f aca="false">IFERROR(IF(SUM($AE66)&lt;=0,"",$AE66/$AY66),"")</f>
        <v/>
      </c>
      <c r="BA66" s="118" t="str">
        <f aca="false">IFERROR(IF(SUM($AU66)&lt;=0,"",$AU66/$AY66),"")</f>
        <v/>
      </c>
      <c r="BB66" s="118" t="str">
        <f aca="false">_xlfn.IFNA(INDEX(Cascade!$BL:$BL,MATCH($E66,Cascade!$E:$E,0)),"")</f>
        <v/>
      </c>
      <c r="BC66" s="118" t="str">
        <f aca="false">_xlfn.IFNA(INDEX(Cascade!$BO:$BO,MATCH($E66,Cascade!$E:$E,0)),"")</f>
        <v/>
      </c>
      <c r="BD66" s="118" t="str">
        <f aca="false">_xlfn.IFNA(INDEX(Cascade!$BR:$BR,MATCH($E66,Cascade!$E:$E,0)),"")</f>
        <v/>
      </c>
    </row>
    <row r="67" customFormat="false" ht="15" hidden="false" customHeight="false" outlineLevel="0" collapsed="false">
      <c r="A67" s="0" t="s">
        <v>146</v>
      </c>
      <c r="B67" s="0" t="s">
        <v>45</v>
      </c>
      <c r="C67" s="0" t="s">
        <v>80</v>
      </c>
      <c r="D67" s="0" t="s">
        <v>56</v>
      </c>
      <c r="E67" s="0" t="str">
        <f aca="false">B67&amp;"|"&amp;C67&amp;"|"&amp;D67</f>
        <v>Maseru [#SNU] [#DREAMS] [tKOXiaNhAyJ]|45-49|Female</v>
      </c>
      <c r="F67" s="73" t="n">
        <f aca="false">_xlfn.IFNA(INDEX(Cascade!$F:$F,MATCH($E67,Cascade!$E:$E,0)),"")</f>
        <v>10843</v>
      </c>
      <c r="G67" s="73" t="n">
        <f aca="false">_xlfn.IFNA(INDEX(Cascade!$H:$H,MATCH($E67,Cascade!$E:$E,0)),"")</f>
        <v>5384</v>
      </c>
      <c r="H67" s="118" t="n">
        <f aca="false">_xlfn.IFNA(INDEX(Cascade!$J:$J,MATCH($E67,Cascade!$E:$E,0)),"")</f>
        <v>0.4965834</v>
      </c>
      <c r="I67" s="73" t="n">
        <f aca="false">_xlfn.IFNA(INDEX(Cascade!$P:$P,MATCH($E67,Cascade!$E:$E,0)),"")</f>
        <v>5215</v>
      </c>
      <c r="J67" s="118" t="n">
        <f aca="false">_xlfn.IFNA(INDEX(Cascade!$Y:$Y,MATCH($E67,Cascade!$E:$E,0)),"")</f>
        <v>0.968610698365528</v>
      </c>
      <c r="K67" s="75" t="str">
        <f aca="false">_xlfn.IFNA(ROUND(INDEX(Spectrum!$N:$N,MATCH(RIGHT($B67,13)&amp;"|"&amp;$C67&amp;"|"&amp;$D67&amp;"|"&amp;K$14&amp;"|"&amp;"CY2021Q3",Spectrum!$Q:$Q,0)),0),"")</f>
        <v/>
      </c>
      <c r="L67" s="75" t="str">
        <f aca="false">_xlfn.IFNA(ROUND(INDEX(Spectrum!$N:$N,MATCH(RIGHT($B67,13)&amp;"|"&amp;$C67&amp;"|"&amp;$D67&amp;"|"&amp;L$14&amp;"|"&amp;"CY2021Q3",Spectrum!$Q:$Q,0)),0),"")</f>
        <v/>
      </c>
      <c r="M67" s="75" t="str">
        <f aca="false">_xlfn.IFNA(ROUND(INDEX(Spectrum!$N:$N,MATCH(RIGHT($B67,13)&amp;"|"&amp;$C67&amp;"|"&amp;$D67&amp;"|"&amp;M$14&amp;"|"&amp;"CY2021Q3",Spectrum!$Q:$Q,0)),0),"")</f>
        <v/>
      </c>
      <c r="N67" s="75" t="str">
        <f aca="false">_xlfn.IFNA(ROUND(INDEX(Spectrum!$N:$N,MATCH(RIGHT($B67,13)&amp;"|"&amp;$C67&amp;"|"&amp;$D67&amp;"|"&amp;N$14&amp;"|"&amp;"CY2021Q3",Spectrum!$Q:$Q,0)),0),"")</f>
        <v/>
      </c>
      <c r="O67" s="75" t="str">
        <f aca="false">_xlfn.IFNA(ROUND(INDEX(Spectrum!$N:$N,MATCH(RIGHT($B67,13)&amp;"|"&amp;$C67&amp;"|"&amp;$D67&amp;"|"&amp;O$14&amp;"|"&amp;"CY2021Q3",Spectrum!$Q:$Q,0)),0),"")</f>
        <v/>
      </c>
      <c r="P67" s="75" t="str">
        <f aca="false">_xlfn.IFNA(ROUND(INDEX(Spectrum!$N:$N,MATCH(RIGHT($B67,13)&amp;"|"&amp;$C67&amp;"|"&amp;$D67&amp;"|"&amp;P$14&amp;"|"&amp;"CY2021Q3",Spectrum!$Q:$Q,0)),0),"")</f>
        <v/>
      </c>
      <c r="Q67" s="75" t="str">
        <f aca="false">_xlfn.IFNA(ROUND(INDEX(Spectrum!$N:$N,MATCH(RIGHT($B67,13)&amp;"|"&amp;$C67&amp;"|"&amp;$D67&amp;"|"&amp;Q$14&amp;"|"&amp;"CY2021Q3",Spectrum!$Q:$Q,0)),0),"")</f>
        <v/>
      </c>
      <c r="R67" s="73" t="n">
        <v>32</v>
      </c>
      <c r="S67" s="118" t="n">
        <f aca="false">IF(SUM($R67)&lt;=0,"",0%)</f>
        <v>0</v>
      </c>
      <c r="T67" s="75" t="n">
        <f aca="false">IF(SUM($R67)&lt;=0,"",ROUND(MIN($R67,$K67)*(1+$S67),0))</f>
        <v>32</v>
      </c>
      <c r="U67" s="118" t="n">
        <f aca="false">IF(SUM($K67)=0,IF(SUM($R67)=0,"",1),MIN(SUM($R67)/SUM($K67),1))</f>
        <v>1</v>
      </c>
      <c r="V67" s="118" t="n">
        <f aca="false">$U67</f>
        <v>1</v>
      </c>
      <c r="W67" s="75" t="n">
        <f aca="false">IF(SUM($T67)=0,"",ROUND(SUM($T67)/IF(SUM($V67)=0,1,SUM($V67)),0))</f>
        <v>32</v>
      </c>
      <c r="X67" s="118" t="n">
        <f aca="false">1</f>
        <v>1</v>
      </c>
      <c r="Y67" s="118" t="n">
        <v>50</v>
      </c>
      <c r="Z67" s="118" t="n">
        <f aca="false">IF(OR(SUM($K67)&lt;=0,SUM($L67)&lt;=0),IF(SUM($Y67)&lt;=0,"",$Y67),SUM($L67)/$K67)</f>
        <v>50</v>
      </c>
      <c r="AA67" s="118"/>
      <c r="AB67" s="118" t="str">
        <f aca="false">IF(OR((SUM($K67)-SUM($L67))&lt;=0,SUM($M67)&lt;=0),IF(SUM($AA67)&lt;=0,"",$AA67),SUM($M67)/($K67-SUM($L67)))</f>
        <v/>
      </c>
      <c r="AC67" s="73" t="n">
        <f aca="false">IF(SUM($T67)&lt;=0,"",ROUND(SUM($T67)*$X67,0))</f>
        <v>32</v>
      </c>
      <c r="AD67" s="75" t="n">
        <f aca="false">IF(SUM($AC67)&lt;=0,"",ROUND($AC67*SUM($Z67),0))</f>
        <v>1600</v>
      </c>
      <c r="AE67" s="75" t="n">
        <f aca="false">IF(SUM($T67)&lt;=0,"",ROUND(($AC67-$AD67)*SUM($AB67),0))</f>
        <v>-0</v>
      </c>
      <c r="AF67" s="75" t="n">
        <f aca="false">IF(SUM($AC67)&lt;=0,"",ROUND($AC67-$AD67-$AE67,0))</f>
        <v>-1568</v>
      </c>
      <c r="AG67" s="73" t="n">
        <f aca="false">IF(SUM($W67)&lt;=0,"",ROUND(SUM($W67)*$X67,0))</f>
        <v>32</v>
      </c>
      <c r="AH67" s="75" t="n">
        <f aca="false">IF(SUM($AG67)&lt;=0,"",ROUND($AG67*SUM($Z67),0))</f>
        <v>1600</v>
      </c>
      <c r="AI67" s="75" t="n">
        <f aca="false">IF(SUM($W67)&lt;=0,"",ROUND(($AG67-$AH67)*SUM($AB67),0))</f>
        <v>-0</v>
      </c>
      <c r="AJ67" s="75" t="n">
        <f aca="false">IF(SUM($AG67)&lt;=0,"",ROUND($AG67-$AH67-$AI67,0))</f>
        <v>-1568</v>
      </c>
      <c r="AK67" s="118" t="n">
        <f aca="false">_xlfn.IFNA(INDEX(Cascade!$BA:$BA,MATCH($E67,Cascade!$E:$E,0)),"")</f>
        <v>0.95</v>
      </c>
      <c r="AL67" s="75" t="n">
        <f aca="false">IF(SUM($AD67)&lt;=0,"",$AD67)</f>
        <v>1600</v>
      </c>
      <c r="AM67" s="75" t="str">
        <f aca="false">IF(SUM($AE67)&lt;=0,"",ROUND($AE67*$AK67,0))</f>
        <v/>
      </c>
      <c r="AN67" s="75" t="n">
        <f aca="false">IF(AND(SUM($AH67)=0,SUM($AI67)=0),"",SUM($AH67)+SUM($AI67))</f>
        <v>1600</v>
      </c>
      <c r="AO67" s="75" t="n">
        <f aca="false">IF(SUM($AH67)&lt;=0,"",$AH67)</f>
        <v>1600</v>
      </c>
      <c r="AP67" s="75" t="str">
        <f aca="false">IF(SUM($AI67)&lt;=0,"",ROUND($AI67*$AK67,0))</f>
        <v/>
      </c>
      <c r="AQ67" s="73" t="n">
        <f aca="false">IF(SUM($T67,$AD67,$AE67)&lt;=0,"",MAX(SUM($T67,-$AD67,-$AE67),$AF67))</f>
        <v>-1568</v>
      </c>
      <c r="AR67" s="118"/>
      <c r="AS67" s="118" t="str">
        <f aca="false">IF(SUM(AR67)=0,"",$AR67)</f>
        <v/>
      </c>
      <c r="AT67" s="118" t="n">
        <f aca="false">0.95</f>
        <v>0.95</v>
      </c>
      <c r="AU67" s="75" t="str">
        <f aca="false">IF(SUM($AQ67)&lt;=0,"",ROUND(SUM($AQ67)*SUM($AS67),0))</f>
        <v/>
      </c>
      <c r="AV67" s="75" t="str">
        <f aca="false">IF(SUM($AQ67)&lt;=0,"",$AQ67-$AU67)</f>
        <v/>
      </c>
      <c r="AW67" s="73" t="str">
        <f aca="false">IF(SUM($AU67)&lt;=0,"",ROUND($AU67*$AT67,0))</f>
        <v/>
      </c>
      <c r="AX67" s="73" t="n">
        <f aca="false">IF(SUM($AE67,$AD67,$AU67)&lt;=0,"",SUM($AE67,$AD67,$AU67))</f>
        <v>1600</v>
      </c>
      <c r="AY67" s="73" t="str">
        <f aca="false">_xlfn.IFNA(INDEX(Cascade!$BD:$BD,MATCH($E67,Cascade!$E:$E,0)),"")</f>
        <v/>
      </c>
      <c r="AZ67" s="118" t="str">
        <f aca="false">IFERROR(IF(SUM($AE67)&lt;=0,"",$AE67/$AY67),"")</f>
        <v/>
      </c>
      <c r="BA67" s="118" t="str">
        <f aca="false">IFERROR(IF(SUM($AU67)&lt;=0,"",$AU67/$AY67),"")</f>
        <v/>
      </c>
      <c r="BB67" s="118" t="str">
        <f aca="false">_xlfn.IFNA(INDEX(Cascade!$BL:$BL,MATCH($E67,Cascade!$E:$E,0)),"")</f>
        <v/>
      </c>
      <c r="BC67" s="118" t="str">
        <f aca="false">_xlfn.IFNA(INDEX(Cascade!$BO:$BO,MATCH($E67,Cascade!$E:$E,0)),"")</f>
        <v/>
      </c>
      <c r="BD67" s="118" t="str">
        <f aca="false">_xlfn.IFNA(INDEX(Cascade!$BR:$BR,MATCH($E67,Cascade!$E:$E,0)),"")</f>
        <v/>
      </c>
    </row>
    <row r="68" customFormat="false" ht="15" hidden="false" customHeight="false" outlineLevel="0" collapsed="false">
      <c r="A68" s="0" t="s">
        <v>146</v>
      </c>
      <c r="B68" s="0" t="s">
        <v>45</v>
      </c>
      <c r="C68" s="0" t="s">
        <v>86</v>
      </c>
      <c r="D68" s="0" t="s">
        <v>56</v>
      </c>
      <c r="E68" s="0" t="str">
        <f aca="false">B68&amp;"|"&amp;C68&amp;"|"&amp;D68</f>
        <v>Maseru [#SNU] [#DREAMS] [tKOXiaNhAyJ]|50+|Female</v>
      </c>
      <c r="F68" s="73" t="n">
        <f aca="false">_xlfn.IFNA(INDEX(Cascade!$F:$F,MATCH($E68,Cascade!$E:$E,0)),"")</f>
        <v>44656</v>
      </c>
      <c r="G68" s="73" t="n">
        <f aca="false">_xlfn.IFNA(INDEX(Cascade!$H:$H,MATCH($E68,Cascade!$E:$E,0)),"")</f>
        <v>12963</v>
      </c>
      <c r="H68" s="118" t="n">
        <f aca="false">_xlfn.IFNA(INDEX(Cascade!$J:$J,MATCH($E68,Cascade!$E:$E,0)),"")</f>
        <v>0.290296</v>
      </c>
      <c r="I68" s="73" t="n">
        <f aca="false">_xlfn.IFNA(INDEX(Cascade!$P:$P,MATCH($E68,Cascade!$E:$E,0)),"")</f>
        <v>9750</v>
      </c>
      <c r="J68" s="118" t="n">
        <f aca="false">_xlfn.IFNA(INDEX(Cascade!$Y:$Y,MATCH($E68,Cascade!$E:$E,0)),"")</f>
        <v>0.752140708169405</v>
      </c>
      <c r="K68" s="75" t="str">
        <f aca="false">_xlfn.IFNA(ROUND(INDEX(Spectrum!$N:$N,MATCH(RIGHT($B68,13)&amp;"|"&amp;$C68&amp;"|"&amp;$D68&amp;"|"&amp;K$14&amp;"|"&amp;"CY2021Q3",Spectrum!$Q:$Q,0)),0),"")</f>
        <v/>
      </c>
      <c r="L68" s="75" t="str">
        <f aca="false">_xlfn.IFNA(ROUND(INDEX(Spectrum!$N:$N,MATCH(RIGHT($B68,13)&amp;"|"&amp;$C68&amp;"|"&amp;$D68&amp;"|"&amp;L$14&amp;"|"&amp;"CY2021Q3",Spectrum!$Q:$Q,0)),0),"")</f>
        <v/>
      </c>
      <c r="M68" s="75" t="str">
        <f aca="false">_xlfn.IFNA(ROUND(INDEX(Spectrum!$N:$N,MATCH(RIGHT($B68,13)&amp;"|"&amp;$C68&amp;"|"&amp;$D68&amp;"|"&amp;M$14&amp;"|"&amp;"CY2021Q3",Spectrum!$Q:$Q,0)),0),"")</f>
        <v/>
      </c>
      <c r="N68" s="75" t="str">
        <f aca="false">_xlfn.IFNA(ROUND(INDEX(Spectrum!$N:$N,MATCH(RIGHT($B68,13)&amp;"|"&amp;$C68&amp;"|"&amp;$D68&amp;"|"&amp;N$14&amp;"|"&amp;"CY2021Q3",Spectrum!$Q:$Q,0)),0),"")</f>
        <v/>
      </c>
      <c r="O68" s="75" t="str">
        <f aca="false">_xlfn.IFNA(ROUND(INDEX(Spectrum!$N:$N,MATCH(RIGHT($B68,13)&amp;"|"&amp;$C68&amp;"|"&amp;$D68&amp;"|"&amp;O$14&amp;"|"&amp;"CY2021Q3",Spectrum!$Q:$Q,0)),0),"")</f>
        <v/>
      </c>
      <c r="P68" s="75" t="str">
        <f aca="false">_xlfn.IFNA(ROUND(INDEX(Spectrum!$N:$N,MATCH(RIGHT($B68,13)&amp;"|"&amp;$C68&amp;"|"&amp;$D68&amp;"|"&amp;P$14&amp;"|"&amp;"CY2021Q3",Spectrum!$Q:$Q,0)),0),"")</f>
        <v/>
      </c>
      <c r="Q68" s="75" t="str">
        <f aca="false">_xlfn.IFNA(ROUND(INDEX(Spectrum!$N:$N,MATCH(RIGHT($B68,13)&amp;"|"&amp;$C68&amp;"|"&amp;$D68&amp;"|"&amp;Q$14&amp;"|"&amp;"CY2021Q3",Spectrum!$Q:$Q,0)),0),"")</f>
        <v/>
      </c>
      <c r="R68" s="73"/>
      <c r="S68" s="118" t="str">
        <f aca="false">IF(SUM($R68)&lt;=0,"",0%)</f>
        <v/>
      </c>
      <c r="T68" s="75" t="str">
        <f aca="false">IF(SUM($R68)&lt;=0,"",ROUND(MIN($R68,$K68)*(1+$S68),0))</f>
        <v/>
      </c>
      <c r="U68" s="118" t="str">
        <f aca="false">IF(SUM($K68)=0,IF(SUM($R68)=0,"",1),MIN(SUM($R68)/SUM($K68),1))</f>
        <v/>
      </c>
      <c r="V68" s="118" t="str">
        <f aca="false">$U68</f>
        <v/>
      </c>
      <c r="W68" s="75" t="str">
        <f aca="false">IF(SUM($T68)=0,"",ROUND(SUM($T68)/IF(SUM($V68)=0,1,SUM($V68)),0))</f>
        <v/>
      </c>
      <c r="X68" s="118" t="n">
        <f aca="false">1</f>
        <v>1</v>
      </c>
      <c r="Y68" s="118"/>
      <c r="Z68" s="118" t="str">
        <f aca="false">IF(OR(SUM($K68)&lt;=0,SUM($L68)&lt;=0),IF(SUM($Y68)&lt;=0,"",$Y68),SUM($L68)/$K68)</f>
        <v/>
      </c>
      <c r="AA68" s="118"/>
      <c r="AB68" s="118" t="str">
        <f aca="false">IF(OR((SUM($K68)-SUM($L68))&lt;=0,SUM($M68)&lt;=0),IF(SUM($AA68)&lt;=0,"",$AA68),SUM($M68)/($K68-SUM($L68)))</f>
        <v/>
      </c>
      <c r="AC68" s="73" t="str">
        <f aca="false">IF(SUM($T68)&lt;=0,"",ROUND(SUM($T68)*$X68,0))</f>
        <v/>
      </c>
      <c r="AD68" s="75" t="str">
        <f aca="false">IF(SUM($AC68)&lt;=0,"",ROUND($AC68*SUM($Z68),0))</f>
        <v/>
      </c>
      <c r="AE68" s="75" t="str">
        <f aca="false">IF(SUM($T68)&lt;=0,"",ROUND(($AC68-$AD68)*SUM($AB68),0))</f>
        <v/>
      </c>
      <c r="AF68" s="75" t="str">
        <f aca="false">IF(SUM($AC68)&lt;=0,"",ROUND($AC68-$AD68-$AE68,0))</f>
        <v/>
      </c>
      <c r="AG68" s="73" t="str">
        <f aca="false">IF(SUM($W68)&lt;=0,"",ROUND(SUM($W68)*$X68,0))</f>
        <v/>
      </c>
      <c r="AH68" s="75" t="str">
        <f aca="false">IF(SUM($AG68)&lt;=0,"",ROUND($AG68*SUM($Z68),0))</f>
        <v/>
      </c>
      <c r="AI68" s="75" t="str">
        <f aca="false">IF(SUM($W68)&lt;=0,"",ROUND(($AG68-$AH68)*SUM($AB68),0))</f>
        <v/>
      </c>
      <c r="AJ68" s="75" t="str">
        <f aca="false">IF(SUM($AG68)&lt;=0,"",ROUND($AG68-$AH68-$AI68,0))</f>
        <v/>
      </c>
      <c r="AK68" s="118" t="n">
        <f aca="false">_xlfn.IFNA(INDEX(Cascade!$BA:$BA,MATCH($E68,Cascade!$E:$E,0)),"")</f>
        <v>0.95</v>
      </c>
      <c r="AL68" s="75" t="str">
        <f aca="false">IF(SUM($AD68)&lt;=0,"",$AD68)</f>
        <v/>
      </c>
      <c r="AM68" s="75" t="str">
        <f aca="false">IF(SUM($AE68)&lt;=0,"",ROUND($AE68*$AK68,0))</f>
        <v/>
      </c>
      <c r="AN68" s="75" t="str">
        <f aca="false">IF(AND(SUM($AH68)=0,SUM($AI68)=0),"",SUM($AH68)+SUM($AI68))</f>
        <v/>
      </c>
      <c r="AO68" s="75" t="str">
        <f aca="false">IF(SUM($AH68)&lt;=0,"",$AH68)</f>
        <v/>
      </c>
      <c r="AP68" s="75" t="str">
        <f aca="false">IF(SUM($AI68)&lt;=0,"",ROUND($AI68*$AK68,0))</f>
        <v/>
      </c>
      <c r="AQ68" s="73" t="str">
        <f aca="false">IF(SUM($T68,$AD68,$AE68)&lt;=0,"",MAX(SUM($T68,-$AD68,-$AE68),$AF68))</f>
        <v/>
      </c>
      <c r="AR68" s="118"/>
      <c r="AS68" s="118" t="str">
        <f aca="false">IF(SUM(AR68)=0,"",$AR68)</f>
        <v/>
      </c>
      <c r="AT68" s="118" t="n">
        <f aca="false">0.95</f>
        <v>0.95</v>
      </c>
      <c r="AU68" s="75" t="str">
        <f aca="false">IF(SUM($AQ68)&lt;=0,"",ROUND(SUM($AQ68)*SUM($AS68),0))</f>
        <v/>
      </c>
      <c r="AV68" s="75" t="str">
        <f aca="false">IF(SUM($AQ68)&lt;=0,"",$AQ68-$AU68)</f>
        <v/>
      </c>
      <c r="AW68" s="73" t="str">
        <f aca="false">IF(SUM($AU68)&lt;=0,"",ROUND($AU68*$AT68,0))</f>
        <v/>
      </c>
      <c r="AX68" s="73" t="str">
        <f aca="false">IF(SUM($AE68,$AD68,$AU68)&lt;=0,"",SUM($AE68,$AD68,$AU68))</f>
        <v/>
      </c>
      <c r="AY68" s="73" t="n">
        <f aca="false">_xlfn.IFNA(INDEX(Cascade!$BD:$BD,MATCH($E68,Cascade!$E:$E,0)),"")</f>
        <v>9</v>
      </c>
      <c r="AZ68" s="118" t="str">
        <f aca="false">IFERROR(IF(SUM($AE68)&lt;=0,"",$AE68/$AY68),"")</f>
        <v/>
      </c>
      <c r="BA68" s="118" t="str">
        <f aca="false">IFERROR(IF(SUM($AU68)&lt;=0,"",$AU68/$AY68),"")</f>
        <v/>
      </c>
      <c r="BB68" s="118" t="n">
        <f aca="false">_xlfn.IFNA(INDEX(Cascade!$BL:$BL,MATCH($E68,Cascade!$E:$E,0)),"")</f>
        <v>0.555555555555556</v>
      </c>
      <c r="BC68" s="118" t="n">
        <f aca="false">_xlfn.IFNA(INDEX(Cascade!$BO:$BO,MATCH($E68,Cascade!$E:$E,0)),"")</f>
        <v>-198.444444444444</v>
      </c>
      <c r="BD68" s="118" t="n">
        <f aca="false">_xlfn.IFNA(INDEX(Cascade!$BR:$BR,MATCH($E68,Cascade!$E:$E,0)),"")</f>
        <v>198.888888888889</v>
      </c>
    </row>
    <row r="69" customFormat="false" ht="15" hidden="false" customHeight="false" outlineLevel="0" collapsed="false">
      <c r="A69" s="0" t="s">
        <v>147</v>
      </c>
      <c r="B69" s="0" t="s">
        <v>105</v>
      </c>
      <c r="C69" s="0" t="s">
        <v>61</v>
      </c>
      <c r="D69" s="0" t="s">
        <v>56</v>
      </c>
      <c r="E69" s="0" t="str">
        <f aca="false">B69&amp;"|"&amp;C69&amp;"|"&amp;D69</f>
        <v>Mohale's Hoek [#SNU] [#DREAMS] [YGI7vISD2kJ]|10-14|Female</v>
      </c>
      <c r="F69" s="73" t="n">
        <f aca="false">_xlfn.IFNA(INDEX(Cascade!$F:$F,MATCH($E69,Cascade!$E:$E,0)),"")</f>
        <v>8928</v>
      </c>
      <c r="G69" s="73" t="n">
        <f aca="false">_xlfn.IFNA(INDEX(Cascade!$H:$H,MATCH($E69,Cascade!$E:$E,0)),"")</f>
        <v>261</v>
      </c>
      <c r="H69" s="118" t="n">
        <f aca="false">_xlfn.IFNA(INDEX(Cascade!$J:$J,MATCH($E69,Cascade!$E:$E,0)),"")</f>
        <v>0.029204</v>
      </c>
      <c r="I69" s="73" t="n">
        <f aca="false">_xlfn.IFNA(INDEX(Cascade!$P:$P,MATCH($E69,Cascade!$E:$E,0)),"")</f>
        <v>196</v>
      </c>
      <c r="J69" s="118" t="n">
        <f aca="false">_xlfn.IFNA(INDEX(Cascade!$Y:$Y,MATCH($E69,Cascade!$E:$E,0)),"")</f>
        <v>0.75095785440613</v>
      </c>
      <c r="K69" s="75" t="str">
        <f aca="false">_xlfn.IFNA(ROUND(INDEX(Spectrum!$N:$N,MATCH(RIGHT($B69,13)&amp;"|"&amp;$C69&amp;"|"&amp;$D69&amp;"|"&amp;K$14&amp;"|"&amp;"CY2021Q3",Spectrum!$Q:$Q,0)),0),"")</f>
        <v/>
      </c>
      <c r="L69" s="75" t="str">
        <f aca="false">_xlfn.IFNA(ROUND(INDEX(Spectrum!$N:$N,MATCH(RIGHT($B69,13)&amp;"|"&amp;$C69&amp;"|"&amp;$D69&amp;"|"&amp;L$14&amp;"|"&amp;"CY2021Q3",Spectrum!$Q:$Q,0)),0),"")</f>
        <v/>
      </c>
      <c r="M69" s="75" t="str">
        <f aca="false">_xlfn.IFNA(ROUND(INDEX(Spectrum!$N:$N,MATCH(RIGHT($B69,13)&amp;"|"&amp;$C69&amp;"|"&amp;$D69&amp;"|"&amp;M$14&amp;"|"&amp;"CY2021Q3",Spectrum!$Q:$Q,0)),0),"")</f>
        <v/>
      </c>
      <c r="N69" s="75" t="str">
        <f aca="false">_xlfn.IFNA(ROUND(INDEX(Spectrum!$N:$N,MATCH(RIGHT($B69,13)&amp;"|"&amp;$C69&amp;"|"&amp;$D69&amp;"|"&amp;N$14&amp;"|"&amp;"CY2021Q3",Spectrum!$Q:$Q,0)),0),"")</f>
        <v/>
      </c>
      <c r="O69" s="75" t="str">
        <f aca="false">_xlfn.IFNA(ROUND(INDEX(Spectrum!$N:$N,MATCH(RIGHT($B69,13)&amp;"|"&amp;$C69&amp;"|"&amp;$D69&amp;"|"&amp;O$14&amp;"|"&amp;"CY2021Q3",Spectrum!$Q:$Q,0)),0),"")</f>
        <v/>
      </c>
      <c r="P69" s="75" t="str">
        <f aca="false">_xlfn.IFNA(ROUND(INDEX(Spectrum!$N:$N,MATCH(RIGHT($B69,13)&amp;"|"&amp;$C69&amp;"|"&amp;$D69&amp;"|"&amp;P$14&amp;"|"&amp;"CY2021Q3",Spectrum!$Q:$Q,0)),0),"")</f>
        <v/>
      </c>
      <c r="Q69" s="75" t="str">
        <f aca="false">_xlfn.IFNA(ROUND(INDEX(Spectrum!$N:$N,MATCH(RIGHT($B69,13)&amp;"|"&amp;$C69&amp;"|"&amp;$D69&amp;"|"&amp;Q$14&amp;"|"&amp;"CY2021Q3",Spectrum!$Q:$Q,0)),0),"")</f>
        <v/>
      </c>
      <c r="R69" s="73" t="n">
        <v>48</v>
      </c>
      <c r="S69" s="118" t="n">
        <f aca="false">IF(SUM($R69)&lt;=0,"",0%)</f>
        <v>0</v>
      </c>
      <c r="T69" s="75" t="n">
        <f aca="false">IF(SUM($R69)&lt;=0,"",ROUND(MIN($R69,$K69)*(1+$S69),0))</f>
        <v>48</v>
      </c>
      <c r="U69" s="118" t="n">
        <f aca="false">IF(SUM($K69)=0,IF(SUM($R69)=0,"",1),MIN(SUM($R69)/SUM($K69),1))</f>
        <v>1</v>
      </c>
      <c r="V69" s="118" t="n">
        <f aca="false">$U69</f>
        <v>1</v>
      </c>
      <c r="W69" s="75" t="n">
        <f aca="false">IF(SUM($T69)=0,"",ROUND(SUM($T69)/IF(SUM($V69)=0,1,SUM($V69)),0))</f>
        <v>48</v>
      </c>
      <c r="X69" s="118" t="n">
        <f aca="false">1</f>
        <v>1</v>
      </c>
      <c r="Y69" s="118" t="n">
        <v>35</v>
      </c>
      <c r="Z69" s="118" t="n">
        <f aca="false">IF(OR(SUM($K69)&lt;=0,SUM($L69)&lt;=0),IF(SUM($Y69)&lt;=0,"",$Y69),SUM($L69)/$K69)</f>
        <v>35</v>
      </c>
      <c r="AA69" s="118"/>
      <c r="AB69" s="118" t="str">
        <f aca="false">IF(OR((SUM($K69)-SUM($L69))&lt;=0,SUM($M69)&lt;=0),IF(SUM($AA69)&lt;=0,"",$AA69),SUM($M69)/($K69-SUM($L69)))</f>
        <v/>
      </c>
      <c r="AC69" s="73" t="n">
        <f aca="false">IF(SUM($T69)&lt;=0,"",ROUND(SUM($T69)*$X69,0))</f>
        <v>48</v>
      </c>
      <c r="AD69" s="75" t="n">
        <f aca="false">IF(SUM($AC69)&lt;=0,"",ROUND($AC69*SUM($Z69),0))</f>
        <v>1680</v>
      </c>
      <c r="AE69" s="75" t="n">
        <f aca="false">IF(SUM($T69)&lt;=0,"",ROUND(($AC69-$AD69)*SUM($AB69),0))</f>
        <v>-0</v>
      </c>
      <c r="AF69" s="75" t="n">
        <f aca="false">IF(SUM($AC69)&lt;=0,"",ROUND($AC69-$AD69-$AE69,0))</f>
        <v>-1632</v>
      </c>
      <c r="AG69" s="73" t="n">
        <f aca="false">IF(SUM($W69)&lt;=0,"",ROUND(SUM($W69)*$X69,0))</f>
        <v>48</v>
      </c>
      <c r="AH69" s="75" t="n">
        <f aca="false">IF(SUM($AG69)&lt;=0,"",ROUND($AG69*SUM($Z69),0))</f>
        <v>1680</v>
      </c>
      <c r="AI69" s="75" t="n">
        <f aca="false">IF(SUM($W69)&lt;=0,"",ROUND(($AG69-$AH69)*SUM($AB69),0))</f>
        <v>-0</v>
      </c>
      <c r="AJ69" s="75" t="n">
        <f aca="false">IF(SUM($AG69)&lt;=0,"",ROUND($AG69-$AH69-$AI69,0))</f>
        <v>-1632</v>
      </c>
      <c r="AK69" s="118" t="n">
        <f aca="false">_xlfn.IFNA(INDEX(Cascade!$BA:$BA,MATCH($E69,Cascade!$E:$E,0)),"")</f>
        <v>0.95</v>
      </c>
      <c r="AL69" s="75" t="n">
        <f aca="false">IF(SUM($AD69)&lt;=0,"",$AD69)</f>
        <v>1680</v>
      </c>
      <c r="AM69" s="75" t="str">
        <f aca="false">IF(SUM($AE69)&lt;=0,"",ROUND($AE69*$AK69,0))</f>
        <v/>
      </c>
      <c r="AN69" s="75" t="n">
        <f aca="false">IF(AND(SUM($AH69)=0,SUM($AI69)=0),"",SUM($AH69)+SUM($AI69))</f>
        <v>1680</v>
      </c>
      <c r="AO69" s="75" t="n">
        <f aca="false">IF(SUM($AH69)&lt;=0,"",$AH69)</f>
        <v>1680</v>
      </c>
      <c r="AP69" s="75" t="str">
        <f aca="false">IF(SUM($AI69)&lt;=0,"",ROUND($AI69*$AK69,0))</f>
        <v/>
      </c>
      <c r="AQ69" s="73" t="n">
        <f aca="false">IF(SUM($T69,$AD69,$AE69)&lt;=0,"",MAX(SUM($T69,-$AD69,-$AE69),$AF69))</f>
        <v>-1632</v>
      </c>
      <c r="AR69" s="118"/>
      <c r="AS69" s="118" t="str">
        <f aca="false">IF(SUM(AR69)=0,"",$AR69)</f>
        <v/>
      </c>
      <c r="AT69" s="118" t="n">
        <f aca="false">0.95</f>
        <v>0.95</v>
      </c>
      <c r="AU69" s="75" t="str">
        <f aca="false">IF(SUM($AQ69)&lt;=0,"",ROUND(SUM($AQ69)*SUM($AS69),0))</f>
        <v/>
      </c>
      <c r="AV69" s="75" t="str">
        <f aca="false">IF(SUM($AQ69)&lt;=0,"",$AQ69-$AU69)</f>
        <v/>
      </c>
      <c r="AW69" s="73" t="str">
        <f aca="false">IF(SUM($AU69)&lt;=0,"",ROUND($AU69*$AT69,0))</f>
        <v/>
      </c>
      <c r="AX69" s="73" t="n">
        <f aca="false">IF(SUM($AE69,$AD69,$AU69)&lt;=0,"",SUM($AE69,$AD69,$AU69))</f>
        <v>1680</v>
      </c>
      <c r="AY69" s="73" t="n">
        <f aca="false">_xlfn.IFNA(INDEX(Cascade!$BD:$BD,MATCH($E69,Cascade!$E:$E,0)),"")</f>
        <v>5</v>
      </c>
      <c r="AZ69" s="118" t="str">
        <f aca="false">IFERROR(IF(SUM($AE69)&lt;=0,"",$AE69/$AY69),"")</f>
        <v/>
      </c>
      <c r="BA69" s="118" t="str">
        <f aca="false">IFERROR(IF(SUM($AU69)&lt;=0,"",$AU69/$AY69),"")</f>
        <v/>
      </c>
      <c r="BB69" s="118" t="n">
        <f aca="false">_xlfn.IFNA(INDEX(Cascade!$BL:$BL,MATCH($E69,Cascade!$E:$E,0)),"")</f>
        <v>0.6</v>
      </c>
      <c r="BC69" s="118" t="str">
        <f aca="false">_xlfn.IFNA(INDEX(Cascade!$BO:$BO,MATCH($E69,Cascade!$E:$E,0)),"")</f>
        <v/>
      </c>
      <c r="BD69" s="118" t="n">
        <f aca="false">_xlfn.IFNA(INDEX(Cascade!$BR:$BR,MATCH($E69,Cascade!$E:$E,0)),"")</f>
        <v>0.4</v>
      </c>
    </row>
    <row r="70" customFormat="false" ht="15" hidden="false" customHeight="false" outlineLevel="0" collapsed="false">
      <c r="A70" s="0" t="s">
        <v>147</v>
      </c>
      <c r="B70" s="0" t="s">
        <v>105</v>
      </c>
      <c r="C70" s="0" t="s">
        <v>63</v>
      </c>
      <c r="D70" s="0" t="s">
        <v>56</v>
      </c>
      <c r="E70" s="0" t="str">
        <f aca="false">B70&amp;"|"&amp;C70&amp;"|"&amp;D70</f>
        <v>Mohale's Hoek [#SNU] [#DREAMS] [YGI7vISD2kJ]|15-19|Female</v>
      </c>
      <c r="F70" s="73" t="n">
        <f aca="false">_xlfn.IFNA(INDEX(Cascade!$F:$F,MATCH($E70,Cascade!$E:$E,0)),"")</f>
        <v>7445</v>
      </c>
      <c r="G70" s="73" t="n">
        <f aca="false">_xlfn.IFNA(INDEX(Cascade!$H:$H,MATCH($E70,Cascade!$E:$E,0)),"")</f>
        <v>413</v>
      </c>
      <c r="H70" s="118" t="n">
        <f aca="false">_xlfn.IFNA(INDEX(Cascade!$J:$J,MATCH($E70,Cascade!$E:$E,0)),"")</f>
        <v>0.0554485</v>
      </c>
      <c r="I70" s="73" t="n">
        <f aca="false">_xlfn.IFNA(INDEX(Cascade!$P:$P,MATCH($E70,Cascade!$E:$E,0)),"")</f>
        <v>289</v>
      </c>
      <c r="J70" s="118" t="n">
        <f aca="false">_xlfn.IFNA(INDEX(Cascade!$Y:$Y,MATCH($E70,Cascade!$E:$E,0)),"")</f>
        <v>0.699757869249395</v>
      </c>
      <c r="K70" s="75" t="str">
        <f aca="false">_xlfn.IFNA(ROUND(INDEX(Spectrum!$N:$N,MATCH(RIGHT($B70,13)&amp;"|"&amp;$C70&amp;"|"&amp;$D70&amp;"|"&amp;K$14&amp;"|"&amp;"CY2021Q3",Spectrum!$Q:$Q,0)),0),"")</f>
        <v/>
      </c>
      <c r="L70" s="75" t="str">
        <f aca="false">_xlfn.IFNA(ROUND(INDEX(Spectrum!$N:$N,MATCH(RIGHT($B70,13)&amp;"|"&amp;$C70&amp;"|"&amp;$D70&amp;"|"&amp;L$14&amp;"|"&amp;"CY2021Q3",Spectrum!$Q:$Q,0)),0),"")</f>
        <v/>
      </c>
      <c r="M70" s="75" t="str">
        <f aca="false">_xlfn.IFNA(ROUND(INDEX(Spectrum!$N:$N,MATCH(RIGHT($B70,13)&amp;"|"&amp;$C70&amp;"|"&amp;$D70&amp;"|"&amp;M$14&amp;"|"&amp;"CY2021Q3",Spectrum!$Q:$Q,0)),0),"")</f>
        <v/>
      </c>
      <c r="N70" s="75" t="str">
        <f aca="false">_xlfn.IFNA(ROUND(INDEX(Spectrum!$N:$N,MATCH(RIGHT($B70,13)&amp;"|"&amp;$C70&amp;"|"&amp;$D70&amp;"|"&amp;N$14&amp;"|"&amp;"CY2021Q3",Spectrum!$Q:$Q,0)),0),"")</f>
        <v/>
      </c>
      <c r="O70" s="75" t="str">
        <f aca="false">_xlfn.IFNA(ROUND(INDEX(Spectrum!$N:$N,MATCH(RIGHT($B70,13)&amp;"|"&amp;$C70&amp;"|"&amp;$D70&amp;"|"&amp;O$14&amp;"|"&amp;"CY2021Q3",Spectrum!$Q:$Q,0)),0),"")</f>
        <v/>
      </c>
      <c r="P70" s="75" t="str">
        <f aca="false">_xlfn.IFNA(ROUND(INDEX(Spectrum!$N:$N,MATCH(RIGHT($B70,13)&amp;"|"&amp;$C70&amp;"|"&amp;$D70&amp;"|"&amp;P$14&amp;"|"&amp;"CY2021Q3",Spectrum!$Q:$Q,0)),0),"")</f>
        <v/>
      </c>
      <c r="Q70" s="75" t="str">
        <f aca="false">_xlfn.IFNA(ROUND(INDEX(Spectrum!$N:$N,MATCH(RIGHT($B70,13)&amp;"|"&amp;$C70&amp;"|"&amp;$D70&amp;"|"&amp;Q$14&amp;"|"&amp;"CY2021Q3",Spectrum!$Q:$Q,0)),0),"")</f>
        <v/>
      </c>
      <c r="R70" s="73" t="n">
        <v>36</v>
      </c>
      <c r="S70" s="118" t="n">
        <f aca="false">IF(SUM($R70)&lt;=0,"",0%)</f>
        <v>0</v>
      </c>
      <c r="T70" s="75" t="n">
        <f aca="false">IF(SUM($R70)&lt;=0,"",ROUND(MIN($R70,$K70)*(1+$S70),0))</f>
        <v>36</v>
      </c>
      <c r="U70" s="118" t="n">
        <f aca="false">IF(SUM($K70)=0,IF(SUM($R70)=0,"",1),MIN(SUM($R70)/SUM($K70),1))</f>
        <v>1</v>
      </c>
      <c r="V70" s="118" t="n">
        <f aca="false">$U70</f>
        <v>1</v>
      </c>
      <c r="W70" s="75" t="n">
        <f aca="false">IF(SUM($T70)=0,"",ROUND(SUM($T70)/IF(SUM($V70)=0,1,SUM($V70)),0))</f>
        <v>36</v>
      </c>
      <c r="X70" s="118" t="n">
        <f aca="false">1</f>
        <v>1</v>
      </c>
      <c r="Y70" s="118" t="n">
        <v>5</v>
      </c>
      <c r="Z70" s="118" t="n">
        <f aca="false">IF(OR(SUM($K70)&lt;=0,SUM($L70)&lt;=0),IF(SUM($Y70)&lt;=0,"",$Y70),SUM($L70)/$K70)</f>
        <v>5</v>
      </c>
      <c r="AA70" s="118" t="n">
        <v>21</v>
      </c>
      <c r="AB70" s="118" t="n">
        <f aca="false">IF(OR((SUM($K70)-SUM($L70))&lt;=0,SUM($M70)&lt;=0),IF(SUM($AA70)&lt;=0,"",$AA70),SUM($M70)/($K70-SUM($L70)))</f>
        <v>21</v>
      </c>
      <c r="AC70" s="73" t="n">
        <f aca="false">IF(SUM($T70)&lt;=0,"",ROUND(SUM($T70)*$X70,0))</f>
        <v>36</v>
      </c>
      <c r="AD70" s="75" t="n">
        <f aca="false">IF(SUM($AC70)&lt;=0,"",ROUND($AC70*SUM($Z70),0))</f>
        <v>180</v>
      </c>
      <c r="AE70" s="75" t="n">
        <f aca="false">IF(SUM($T70)&lt;=0,"",ROUND(($AC70-$AD70)*SUM($AB70),0))</f>
        <v>-3024</v>
      </c>
      <c r="AF70" s="75" t="n">
        <f aca="false">IF(SUM($AC70)&lt;=0,"",ROUND($AC70-$AD70-$AE70,0))</f>
        <v>2880</v>
      </c>
      <c r="AG70" s="73" t="n">
        <f aca="false">IF(SUM($W70)&lt;=0,"",ROUND(SUM($W70)*$X70,0))</f>
        <v>36</v>
      </c>
      <c r="AH70" s="75" t="n">
        <f aca="false">IF(SUM($AG70)&lt;=0,"",ROUND($AG70*SUM($Z70),0))</f>
        <v>180</v>
      </c>
      <c r="AI70" s="75" t="n">
        <f aca="false">IF(SUM($W70)&lt;=0,"",ROUND(($AG70-$AH70)*SUM($AB70),0))</f>
        <v>-3024</v>
      </c>
      <c r="AJ70" s="75" t="n">
        <f aca="false">IF(SUM($AG70)&lt;=0,"",ROUND($AG70-$AH70-$AI70,0))</f>
        <v>2880</v>
      </c>
      <c r="AK70" s="118" t="n">
        <f aca="false">_xlfn.IFNA(INDEX(Cascade!$BA:$BA,MATCH($E70,Cascade!$E:$E,0)),"")</f>
        <v>0.95</v>
      </c>
      <c r="AL70" s="75" t="n">
        <f aca="false">IF(SUM($AD70)&lt;=0,"",$AD70)</f>
        <v>180</v>
      </c>
      <c r="AM70" s="75" t="str">
        <f aca="false">IF(SUM($AE70)&lt;=0,"",ROUND($AE70*$AK70,0))</f>
        <v/>
      </c>
      <c r="AN70" s="75" t="n">
        <f aca="false">IF(AND(SUM($AH70)=0,SUM($AI70)=0),"",SUM($AH70)+SUM($AI70))</f>
        <v>-2844</v>
      </c>
      <c r="AO70" s="75" t="n">
        <f aca="false">IF(SUM($AH70)&lt;=0,"",$AH70)</f>
        <v>180</v>
      </c>
      <c r="AP70" s="75" t="str">
        <f aca="false">IF(SUM($AI70)&lt;=0,"",ROUND($AI70*$AK70,0))</f>
        <v/>
      </c>
      <c r="AQ70" s="73" t="str">
        <f aca="false">IF(SUM($T70,$AD70,$AE70)&lt;=0,"",MAX(SUM($T70,-$AD70,-$AE70),$AF70))</f>
        <v/>
      </c>
      <c r="AR70" s="118" t="n">
        <v>27</v>
      </c>
      <c r="AS70" s="118" t="n">
        <f aca="false">IF(SUM(AR70)=0,"",$AR70)</f>
        <v>27</v>
      </c>
      <c r="AT70" s="118" t="n">
        <f aca="false">0.95</f>
        <v>0.95</v>
      </c>
      <c r="AU70" s="75" t="str">
        <f aca="false">IF(SUM($AQ70)&lt;=0,"",ROUND(SUM($AQ70)*SUM($AS70),0))</f>
        <v/>
      </c>
      <c r="AV70" s="75" t="str">
        <f aca="false">IF(SUM($AQ70)&lt;=0,"",$AQ70-$AU70)</f>
        <v/>
      </c>
      <c r="AW70" s="73" t="str">
        <f aca="false">IF(SUM($AU70)&lt;=0,"",ROUND($AU70*$AT70,0))</f>
        <v/>
      </c>
      <c r="AX70" s="73" t="str">
        <f aca="false">IF(SUM($AE70,$AD70,$AU70)&lt;=0,"",SUM($AE70,$AD70,$AU70))</f>
        <v/>
      </c>
      <c r="AY70" s="73" t="n">
        <f aca="false">_xlfn.IFNA(INDEX(Cascade!$BD:$BD,MATCH($E70,Cascade!$E:$E,0)),"")</f>
        <v>7</v>
      </c>
      <c r="AZ70" s="118" t="str">
        <f aca="false">IFERROR(IF(SUM($AE70)&lt;=0,"",$AE70/$AY70),"")</f>
        <v/>
      </c>
      <c r="BA70" s="118" t="str">
        <f aca="false">IFERROR(IF(SUM($AU70)&lt;=0,"",$AU70/$AY70),"")</f>
        <v/>
      </c>
      <c r="BB70" s="118" t="n">
        <f aca="false">_xlfn.IFNA(INDEX(Cascade!$BL:$BL,MATCH($E70,Cascade!$E:$E,0)),"")</f>
        <v>0.285714285714286</v>
      </c>
      <c r="BC70" s="118" t="str">
        <f aca="false">_xlfn.IFNA(INDEX(Cascade!$BO:$BO,MATCH($E70,Cascade!$E:$E,0)),"")</f>
        <v/>
      </c>
      <c r="BD70" s="118" t="n">
        <f aca="false">_xlfn.IFNA(INDEX(Cascade!$BR:$BR,MATCH($E70,Cascade!$E:$E,0)),"")</f>
        <v>432.714285714286</v>
      </c>
    </row>
    <row r="71" customFormat="false" ht="15" hidden="false" customHeight="false" outlineLevel="0" collapsed="false">
      <c r="A71" s="0" t="s">
        <v>147</v>
      </c>
      <c r="B71" s="0" t="s">
        <v>105</v>
      </c>
      <c r="C71" s="0" t="s">
        <v>66</v>
      </c>
      <c r="D71" s="0" t="s">
        <v>56</v>
      </c>
      <c r="E71" s="0" t="str">
        <f aca="false">B71&amp;"|"&amp;C71&amp;"|"&amp;D71</f>
        <v>Mohale's Hoek [#SNU] [#DREAMS] [YGI7vISD2kJ]|20-24|Female</v>
      </c>
      <c r="F71" s="73" t="n">
        <f aca="false">_xlfn.IFNA(INDEX(Cascade!$F:$F,MATCH($E71,Cascade!$E:$E,0)),"")</f>
        <v>7079</v>
      </c>
      <c r="G71" s="73" t="n">
        <f aca="false">_xlfn.IFNA(INDEX(Cascade!$H:$H,MATCH($E71,Cascade!$E:$E,0)),"")</f>
        <v>1047</v>
      </c>
      <c r="H71" s="118" t="n">
        <f aca="false">_xlfn.IFNA(INDEX(Cascade!$J:$J,MATCH($E71,Cascade!$E:$E,0)),"")</f>
        <v>0.147954</v>
      </c>
      <c r="I71" s="73" t="n">
        <f aca="false">_xlfn.IFNA(INDEX(Cascade!$P:$P,MATCH($E71,Cascade!$E:$E,0)),"")</f>
        <v>643</v>
      </c>
      <c r="J71" s="118" t="n">
        <f aca="false">_xlfn.IFNA(INDEX(Cascade!$Y:$Y,MATCH($E71,Cascade!$E:$E,0)),"")</f>
        <v>0.614135625596944</v>
      </c>
      <c r="K71" s="75" t="str">
        <f aca="false">_xlfn.IFNA(ROUND(INDEX(Spectrum!$N:$N,MATCH(RIGHT($B71,13)&amp;"|"&amp;$C71&amp;"|"&amp;$D71&amp;"|"&amp;K$14&amp;"|"&amp;"CY2021Q3",Spectrum!$Q:$Q,0)),0),"")</f>
        <v/>
      </c>
      <c r="L71" s="75" t="str">
        <f aca="false">_xlfn.IFNA(ROUND(INDEX(Spectrum!$N:$N,MATCH(RIGHT($B71,13)&amp;"|"&amp;$C71&amp;"|"&amp;$D71&amp;"|"&amp;L$14&amp;"|"&amp;"CY2021Q3",Spectrum!$Q:$Q,0)),0),"")</f>
        <v/>
      </c>
      <c r="M71" s="75" t="str">
        <f aca="false">_xlfn.IFNA(ROUND(INDEX(Spectrum!$N:$N,MATCH(RIGHT($B71,13)&amp;"|"&amp;$C71&amp;"|"&amp;$D71&amp;"|"&amp;M$14&amp;"|"&amp;"CY2021Q3",Spectrum!$Q:$Q,0)),0),"")</f>
        <v/>
      </c>
      <c r="N71" s="75" t="str">
        <f aca="false">_xlfn.IFNA(ROUND(INDEX(Spectrum!$N:$N,MATCH(RIGHT($B71,13)&amp;"|"&amp;$C71&amp;"|"&amp;$D71&amp;"|"&amp;N$14&amp;"|"&amp;"CY2021Q3",Spectrum!$Q:$Q,0)),0),"")</f>
        <v/>
      </c>
      <c r="O71" s="75" t="str">
        <f aca="false">_xlfn.IFNA(ROUND(INDEX(Spectrum!$N:$N,MATCH(RIGHT($B71,13)&amp;"|"&amp;$C71&amp;"|"&amp;$D71&amp;"|"&amp;O$14&amp;"|"&amp;"CY2021Q3",Spectrum!$Q:$Q,0)),0),"")</f>
        <v/>
      </c>
      <c r="P71" s="75" t="str">
        <f aca="false">_xlfn.IFNA(ROUND(INDEX(Spectrum!$N:$N,MATCH(RIGHT($B71,13)&amp;"|"&amp;$C71&amp;"|"&amp;$D71&amp;"|"&amp;P$14&amp;"|"&amp;"CY2021Q3",Spectrum!$Q:$Q,0)),0),"")</f>
        <v/>
      </c>
      <c r="Q71" s="75" t="str">
        <f aca="false">_xlfn.IFNA(ROUND(INDEX(Spectrum!$N:$N,MATCH(RIGHT($B71,13)&amp;"|"&amp;$C71&amp;"|"&amp;$D71&amp;"|"&amp;Q$14&amp;"|"&amp;"CY2021Q3",Spectrum!$Q:$Q,0)),0),"")</f>
        <v/>
      </c>
      <c r="R71" s="73" t="n">
        <v>21</v>
      </c>
      <c r="S71" s="118" t="n">
        <f aca="false">IF(SUM($R71)&lt;=0,"",0%)</f>
        <v>0</v>
      </c>
      <c r="T71" s="75" t="n">
        <f aca="false">IF(SUM($R71)&lt;=0,"",ROUND(MIN($R71,$K71)*(1+$S71),0))</f>
        <v>21</v>
      </c>
      <c r="U71" s="118" t="n">
        <f aca="false">IF(SUM($K71)=0,IF(SUM($R71)=0,"",1),MIN(SUM($R71)/SUM($K71),1))</f>
        <v>1</v>
      </c>
      <c r="V71" s="118" t="n">
        <f aca="false">$U71</f>
        <v>1</v>
      </c>
      <c r="W71" s="75" t="n">
        <f aca="false">IF(SUM($T71)=0,"",ROUND(SUM($T71)/IF(SUM($V71)=0,1,SUM($V71)),0))</f>
        <v>21</v>
      </c>
      <c r="X71" s="118" t="n">
        <f aca="false">1</f>
        <v>1</v>
      </c>
      <c r="Y71" s="118" t="n">
        <v>16</v>
      </c>
      <c r="Z71" s="118" t="n">
        <f aca="false">IF(OR(SUM($K71)&lt;=0,SUM($L71)&lt;=0),IF(SUM($Y71)&lt;=0,"",$Y71),SUM($L71)/$K71)</f>
        <v>16</v>
      </c>
      <c r="AA71" s="118" t="n">
        <v>17</v>
      </c>
      <c r="AB71" s="118" t="n">
        <f aca="false">IF(OR((SUM($K71)-SUM($L71))&lt;=0,SUM($M71)&lt;=0),IF(SUM($AA71)&lt;=0,"",$AA71),SUM($M71)/($K71-SUM($L71)))</f>
        <v>17</v>
      </c>
      <c r="AC71" s="73" t="n">
        <f aca="false">IF(SUM($T71)&lt;=0,"",ROUND(SUM($T71)*$X71,0))</f>
        <v>21</v>
      </c>
      <c r="AD71" s="75" t="n">
        <f aca="false">IF(SUM($AC71)&lt;=0,"",ROUND($AC71*SUM($Z71),0))</f>
        <v>336</v>
      </c>
      <c r="AE71" s="75" t="n">
        <f aca="false">IF(SUM($T71)&lt;=0,"",ROUND(($AC71-$AD71)*SUM($AB71),0))</f>
        <v>-5355</v>
      </c>
      <c r="AF71" s="75" t="n">
        <f aca="false">IF(SUM($AC71)&lt;=0,"",ROUND($AC71-$AD71-$AE71,0))</f>
        <v>5040</v>
      </c>
      <c r="AG71" s="73" t="n">
        <f aca="false">IF(SUM($W71)&lt;=0,"",ROUND(SUM($W71)*$X71,0))</f>
        <v>21</v>
      </c>
      <c r="AH71" s="75" t="n">
        <f aca="false">IF(SUM($AG71)&lt;=0,"",ROUND($AG71*SUM($Z71),0))</f>
        <v>336</v>
      </c>
      <c r="AI71" s="75" t="n">
        <f aca="false">IF(SUM($W71)&lt;=0,"",ROUND(($AG71-$AH71)*SUM($AB71),0))</f>
        <v>-5355</v>
      </c>
      <c r="AJ71" s="75" t="n">
        <f aca="false">IF(SUM($AG71)&lt;=0,"",ROUND($AG71-$AH71-$AI71,0))</f>
        <v>5040</v>
      </c>
      <c r="AK71" s="118" t="n">
        <f aca="false">_xlfn.IFNA(INDEX(Cascade!$BA:$BA,MATCH($E71,Cascade!$E:$E,0)),"")</f>
        <v>0.95</v>
      </c>
      <c r="AL71" s="75" t="n">
        <f aca="false">IF(SUM($AD71)&lt;=0,"",$AD71)</f>
        <v>336</v>
      </c>
      <c r="AM71" s="75" t="str">
        <f aca="false">IF(SUM($AE71)&lt;=0,"",ROUND($AE71*$AK71,0))</f>
        <v/>
      </c>
      <c r="AN71" s="75" t="n">
        <f aca="false">IF(AND(SUM($AH71)=0,SUM($AI71)=0),"",SUM($AH71)+SUM($AI71))</f>
        <v>-5019</v>
      </c>
      <c r="AO71" s="75" t="n">
        <f aca="false">IF(SUM($AH71)&lt;=0,"",$AH71)</f>
        <v>336</v>
      </c>
      <c r="AP71" s="75" t="str">
        <f aca="false">IF(SUM($AI71)&lt;=0,"",ROUND($AI71*$AK71,0))</f>
        <v/>
      </c>
      <c r="AQ71" s="73" t="str">
        <f aca="false">IF(SUM($T71,$AD71,$AE71)&lt;=0,"",MAX(SUM($T71,-$AD71,-$AE71),$AF71))</f>
        <v/>
      </c>
      <c r="AR71" s="118" t="n">
        <v>14</v>
      </c>
      <c r="AS71" s="118" t="n">
        <f aca="false">IF(SUM(AR71)=0,"",$AR71)</f>
        <v>14</v>
      </c>
      <c r="AT71" s="118" t="n">
        <f aca="false">0.95</f>
        <v>0.95</v>
      </c>
      <c r="AU71" s="75" t="str">
        <f aca="false">IF(SUM($AQ71)&lt;=0,"",ROUND(SUM($AQ71)*SUM($AS71),0))</f>
        <v/>
      </c>
      <c r="AV71" s="75" t="str">
        <f aca="false">IF(SUM($AQ71)&lt;=0,"",$AQ71-$AU71)</f>
        <v/>
      </c>
      <c r="AW71" s="73" t="str">
        <f aca="false">IF(SUM($AU71)&lt;=0,"",ROUND($AU71*$AT71,0))</f>
        <v/>
      </c>
      <c r="AX71" s="73" t="str">
        <f aca="false">IF(SUM($AE71,$AD71,$AU71)&lt;=0,"",SUM($AE71,$AD71,$AU71))</f>
        <v/>
      </c>
      <c r="AY71" s="73" t="n">
        <f aca="false">_xlfn.IFNA(INDEX(Cascade!$BD:$BD,MATCH($E71,Cascade!$E:$E,0)),"")</f>
        <v>15</v>
      </c>
      <c r="AZ71" s="118" t="str">
        <f aca="false">IFERROR(IF(SUM($AE71)&lt;=0,"",$AE71/$AY71),"")</f>
        <v/>
      </c>
      <c r="BA71" s="118" t="str">
        <f aca="false">IFERROR(IF(SUM($AU71)&lt;=0,"",$AU71/$AY71),"")</f>
        <v/>
      </c>
      <c r="BB71" s="118" t="n">
        <f aca="false">_xlfn.IFNA(INDEX(Cascade!$BL:$BL,MATCH($E71,Cascade!$E:$E,0)),"")</f>
        <v>0.333333333333333</v>
      </c>
      <c r="BC71" s="118" t="str">
        <f aca="false">_xlfn.IFNA(INDEX(Cascade!$BO:$BO,MATCH($E71,Cascade!$E:$E,0)),"")</f>
        <v/>
      </c>
      <c r="BD71" s="118" t="n">
        <f aca="false">_xlfn.IFNA(INDEX(Cascade!$BR:$BR,MATCH($E71,Cascade!$E:$E,0)),"")</f>
        <v>357.666666666667</v>
      </c>
    </row>
    <row r="72" customFormat="false" ht="15" hidden="false" customHeight="false" outlineLevel="0" collapsed="false">
      <c r="A72" s="0" t="s">
        <v>147</v>
      </c>
      <c r="B72" s="0" t="s">
        <v>105</v>
      </c>
      <c r="C72" s="0" t="s">
        <v>69</v>
      </c>
      <c r="D72" s="0" t="s">
        <v>56</v>
      </c>
      <c r="E72" s="0" t="str">
        <f aca="false">B72&amp;"|"&amp;C72&amp;"|"&amp;D72</f>
        <v>Mohale's Hoek [#SNU] [#DREAMS] [YGI7vISD2kJ]|25-29|Female</v>
      </c>
      <c r="F72" s="73" t="n">
        <f aca="false">_xlfn.IFNA(INDEX(Cascade!$F:$F,MATCH($E72,Cascade!$E:$E,0)),"")</f>
        <v>7139</v>
      </c>
      <c r="G72" s="73" t="n">
        <f aca="false">_xlfn.IFNA(INDEX(Cascade!$H:$H,MATCH($E72,Cascade!$E:$E,0)),"")</f>
        <v>1900</v>
      </c>
      <c r="H72" s="118" t="n">
        <f aca="false">_xlfn.IFNA(INDEX(Cascade!$J:$J,MATCH($E72,Cascade!$E:$E,0)),"")</f>
        <v>0.266158</v>
      </c>
      <c r="I72" s="73" t="n">
        <f aca="false">_xlfn.IFNA(INDEX(Cascade!$P:$P,MATCH($E72,Cascade!$E:$E,0)),"")</f>
        <v>1131</v>
      </c>
      <c r="J72" s="118" t="n">
        <f aca="false">_xlfn.IFNA(INDEX(Cascade!$Y:$Y,MATCH($E72,Cascade!$E:$E,0)),"")</f>
        <v>0.595263157894737</v>
      </c>
      <c r="K72" s="75" t="str">
        <f aca="false">_xlfn.IFNA(ROUND(INDEX(Spectrum!$N:$N,MATCH(RIGHT($B72,13)&amp;"|"&amp;$C72&amp;"|"&amp;$D72&amp;"|"&amp;K$14&amp;"|"&amp;"CY2021Q3",Spectrum!$Q:$Q,0)),0),"")</f>
        <v/>
      </c>
      <c r="L72" s="75" t="str">
        <f aca="false">_xlfn.IFNA(ROUND(INDEX(Spectrum!$N:$N,MATCH(RIGHT($B72,13)&amp;"|"&amp;$C72&amp;"|"&amp;$D72&amp;"|"&amp;L$14&amp;"|"&amp;"CY2021Q3",Spectrum!$Q:$Q,0)),0),"")</f>
        <v/>
      </c>
      <c r="M72" s="75" t="str">
        <f aca="false">_xlfn.IFNA(ROUND(INDEX(Spectrum!$N:$N,MATCH(RIGHT($B72,13)&amp;"|"&amp;$C72&amp;"|"&amp;$D72&amp;"|"&amp;M$14&amp;"|"&amp;"CY2021Q3",Spectrum!$Q:$Q,0)),0),"")</f>
        <v/>
      </c>
      <c r="N72" s="75" t="str">
        <f aca="false">_xlfn.IFNA(ROUND(INDEX(Spectrum!$N:$N,MATCH(RIGHT($B72,13)&amp;"|"&amp;$C72&amp;"|"&amp;$D72&amp;"|"&amp;N$14&amp;"|"&amp;"CY2021Q3",Spectrum!$Q:$Q,0)),0),"")</f>
        <v/>
      </c>
      <c r="O72" s="75" t="str">
        <f aca="false">_xlfn.IFNA(ROUND(INDEX(Spectrum!$N:$N,MATCH(RIGHT($B72,13)&amp;"|"&amp;$C72&amp;"|"&amp;$D72&amp;"|"&amp;O$14&amp;"|"&amp;"CY2021Q3",Spectrum!$Q:$Q,0)),0),"")</f>
        <v/>
      </c>
      <c r="P72" s="75" t="str">
        <f aca="false">_xlfn.IFNA(ROUND(INDEX(Spectrum!$N:$N,MATCH(RIGHT($B72,13)&amp;"|"&amp;$C72&amp;"|"&amp;$D72&amp;"|"&amp;P$14&amp;"|"&amp;"CY2021Q3",Spectrum!$Q:$Q,0)),0),"")</f>
        <v/>
      </c>
      <c r="Q72" s="75" t="str">
        <f aca="false">_xlfn.IFNA(ROUND(INDEX(Spectrum!$N:$N,MATCH(RIGHT($B72,13)&amp;"|"&amp;$C72&amp;"|"&amp;$D72&amp;"|"&amp;Q$14&amp;"|"&amp;"CY2021Q3",Spectrum!$Q:$Q,0)),0),"")</f>
        <v/>
      </c>
      <c r="R72" s="73" t="n">
        <v>16</v>
      </c>
      <c r="S72" s="118" t="n">
        <f aca="false">IF(SUM($R72)&lt;=0,"",0%)</f>
        <v>0</v>
      </c>
      <c r="T72" s="75" t="n">
        <f aca="false">IF(SUM($R72)&lt;=0,"",ROUND(MIN($R72,$K72)*(1+$S72),0))</f>
        <v>16</v>
      </c>
      <c r="U72" s="118" t="n">
        <f aca="false">IF(SUM($K72)=0,IF(SUM($R72)=0,"",1),MIN(SUM($R72)/SUM($K72),1))</f>
        <v>1</v>
      </c>
      <c r="V72" s="118" t="n">
        <f aca="false">$U72</f>
        <v>1</v>
      </c>
      <c r="W72" s="75" t="n">
        <f aca="false">IF(SUM($T72)=0,"",ROUND(SUM($T72)/IF(SUM($V72)=0,1,SUM($V72)),0))</f>
        <v>16</v>
      </c>
      <c r="X72" s="118" t="n">
        <f aca="false">1</f>
        <v>1</v>
      </c>
      <c r="Y72" s="118" t="n">
        <v>3</v>
      </c>
      <c r="Z72" s="118" t="n">
        <f aca="false">IF(OR(SUM($K72)&lt;=0,SUM($L72)&lt;=0),IF(SUM($Y72)&lt;=0,"",$Y72),SUM($L72)/$K72)</f>
        <v>3</v>
      </c>
      <c r="AA72" s="118" t="n">
        <v>16</v>
      </c>
      <c r="AB72" s="118" t="n">
        <f aca="false">IF(OR((SUM($K72)-SUM($L72))&lt;=0,SUM($M72)&lt;=0),IF(SUM($AA72)&lt;=0,"",$AA72),SUM($M72)/($K72-SUM($L72)))</f>
        <v>16</v>
      </c>
      <c r="AC72" s="73" t="n">
        <f aca="false">IF(SUM($T72)&lt;=0,"",ROUND(SUM($T72)*$X72,0))</f>
        <v>16</v>
      </c>
      <c r="AD72" s="75" t="n">
        <f aca="false">IF(SUM($AC72)&lt;=0,"",ROUND($AC72*SUM($Z72),0))</f>
        <v>48</v>
      </c>
      <c r="AE72" s="75" t="n">
        <f aca="false">IF(SUM($T72)&lt;=0,"",ROUND(($AC72-$AD72)*SUM($AB72),0))</f>
        <v>-512</v>
      </c>
      <c r="AF72" s="75" t="n">
        <f aca="false">IF(SUM($AC72)&lt;=0,"",ROUND($AC72-$AD72-$AE72,0))</f>
        <v>480</v>
      </c>
      <c r="AG72" s="73" t="n">
        <f aca="false">IF(SUM($W72)&lt;=0,"",ROUND(SUM($W72)*$X72,0))</f>
        <v>16</v>
      </c>
      <c r="AH72" s="75" t="n">
        <f aca="false">IF(SUM($AG72)&lt;=0,"",ROUND($AG72*SUM($Z72),0))</f>
        <v>48</v>
      </c>
      <c r="AI72" s="75" t="n">
        <f aca="false">IF(SUM($W72)&lt;=0,"",ROUND(($AG72-$AH72)*SUM($AB72),0))</f>
        <v>-512</v>
      </c>
      <c r="AJ72" s="75" t="n">
        <f aca="false">IF(SUM($AG72)&lt;=0,"",ROUND($AG72-$AH72-$AI72,0))</f>
        <v>480</v>
      </c>
      <c r="AK72" s="118" t="n">
        <f aca="false">_xlfn.IFNA(INDEX(Cascade!$BA:$BA,MATCH($E72,Cascade!$E:$E,0)),"")</f>
        <v>0.95</v>
      </c>
      <c r="AL72" s="75" t="n">
        <f aca="false">IF(SUM($AD72)&lt;=0,"",$AD72)</f>
        <v>48</v>
      </c>
      <c r="AM72" s="75" t="str">
        <f aca="false">IF(SUM($AE72)&lt;=0,"",ROUND($AE72*$AK72,0))</f>
        <v/>
      </c>
      <c r="AN72" s="75" t="n">
        <f aca="false">IF(AND(SUM($AH72)=0,SUM($AI72)=0),"",SUM($AH72)+SUM($AI72))</f>
        <v>-464</v>
      </c>
      <c r="AO72" s="75" t="n">
        <f aca="false">IF(SUM($AH72)&lt;=0,"",$AH72)</f>
        <v>48</v>
      </c>
      <c r="AP72" s="75" t="str">
        <f aca="false">IF(SUM($AI72)&lt;=0,"",ROUND($AI72*$AK72,0))</f>
        <v/>
      </c>
      <c r="AQ72" s="73" t="str">
        <f aca="false">IF(SUM($T72,$AD72,$AE72)&lt;=0,"",MAX(SUM($T72,-$AD72,-$AE72),$AF72))</f>
        <v/>
      </c>
      <c r="AR72" s="118" t="n">
        <v>46</v>
      </c>
      <c r="AS72" s="118" t="n">
        <f aca="false">IF(SUM(AR72)=0,"",$AR72)</f>
        <v>46</v>
      </c>
      <c r="AT72" s="118" t="n">
        <f aca="false">0.95</f>
        <v>0.95</v>
      </c>
      <c r="AU72" s="75" t="str">
        <f aca="false">IF(SUM($AQ72)&lt;=0,"",ROUND(SUM($AQ72)*SUM($AS72),0))</f>
        <v/>
      </c>
      <c r="AV72" s="75" t="str">
        <f aca="false">IF(SUM($AQ72)&lt;=0,"",$AQ72-$AU72)</f>
        <v/>
      </c>
      <c r="AW72" s="73" t="str">
        <f aca="false">IF(SUM($AU72)&lt;=0,"",ROUND($AU72*$AT72,0))</f>
        <v/>
      </c>
      <c r="AX72" s="73" t="str">
        <f aca="false">IF(SUM($AE72,$AD72,$AU72)&lt;=0,"",SUM($AE72,$AD72,$AU72))</f>
        <v/>
      </c>
      <c r="AY72" s="73" t="n">
        <f aca="false">_xlfn.IFNA(INDEX(Cascade!$BD:$BD,MATCH($E72,Cascade!$E:$E,0)),"")</f>
        <v>1</v>
      </c>
      <c r="AZ72" s="118" t="str">
        <f aca="false">IFERROR(IF(SUM($AE72)&lt;=0,"",$AE72/$AY72),"")</f>
        <v/>
      </c>
      <c r="BA72" s="118" t="str">
        <f aca="false">IFERROR(IF(SUM($AU72)&lt;=0,"",$AU72/$AY72),"")</f>
        <v/>
      </c>
      <c r="BB72" s="118" t="str">
        <f aca="false">_xlfn.IFNA(INDEX(Cascade!$BL:$BL,MATCH($E72,Cascade!$E:$E,0)),"")</f>
        <v/>
      </c>
      <c r="BC72" s="118" t="n">
        <f aca="false">_xlfn.IFNA(INDEX(Cascade!$BO:$BO,MATCH($E72,Cascade!$E:$E,0)),"")</f>
        <v>-10584</v>
      </c>
      <c r="BD72" s="118" t="n">
        <f aca="false">_xlfn.IFNA(INDEX(Cascade!$BR:$BR,MATCH($E72,Cascade!$E:$E,0)),"")</f>
        <v>11097</v>
      </c>
    </row>
    <row r="73" customFormat="false" ht="15" hidden="false" customHeight="false" outlineLevel="0" collapsed="false">
      <c r="A73" s="0" t="s">
        <v>147</v>
      </c>
      <c r="B73" s="0" t="s">
        <v>105</v>
      </c>
      <c r="C73" s="0" t="s">
        <v>72</v>
      </c>
      <c r="D73" s="0" t="s">
        <v>56</v>
      </c>
      <c r="E73" s="0" t="str">
        <f aca="false">B73&amp;"|"&amp;C73&amp;"|"&amp;D73</f>
        <v>Mohale's Hoek [#SNU] [#DREAMS] [YGI7vISD2kJ]|30-34|Female</v>
      </c>
      <c r="F73" s="73" t="n">
        <f aca="false">_xlfn.IFNA(INDEX(Cascade!$F:$F,MATCH($E73,Cascade!$E:$E,0)),"")</f>
        <v>6556</v>
      </c>
      <c r="G73" s="73" t="n">
        <f aca="false">_xlfn.IFNA(INDEX(Cascade!$H:$H,MATCH($E73,Cascade!$E:$E,0)),"")</f>
        <v>2555</v>
      </c>
      <c r="H73" s="118" t="n">
        <f aca="false">_xlfn.IFNA(INDEX(Cascade!$J:$J,MATCH($E73,Cascade!$E:$E,0)),"")</f>
        <v>0.3897711</v>
      </c>
      <c r="I73" s="73" t="n">
        <f aca="false">_xlfn.IFNA(INDEX(Cascade!$P:$P,MATCH($E73,Cascade!$E:$E,0)),"")</f>
        <v>1473</v>
      </c>
      <c r="J73" s="118" t="n">
        <f aca="false">_xlfn.IFNA(INDEX(Cascade!$Y:$Y,MATCH($E73,Cascade!$E:$E,0)),"")</f>
        <v>0.576516634050881</v>
      </c>
      <c r="K73" s="75" t="str">
        <f aca="false">_xlfn.IFNA(ROUND(INDEX(Spectrum!$N:$N,MATCH(RIGHT($B73,13)&amp;"|"&amp;$C73&amp;"|"&amp;$D73&amp;"|"&amp;K$14&amp;"|"&amp;"CY2021Q3",Spectrum!$Q:$Q,0)),0),"")</f>
        <v/>
      </c>
      <c r="L73" s="75" t="str">
        <f aca="false">_xlfn.IFNA(ROUND(INDEX(Spectrum!$N:$N,MATCH(RIGHT($B73,13)&amp;"|"&amp;$C73&amp;"|"&amp;$D73&amp;"|"&amp;L$14&amp;"|"&amp;"CY2021Q3",Spectrum!$Q:$Q,0)),0),"")</f>
        <v/>
      </c>
      <c r="M73" s="75" t="str">
        <f aca="false">_xlfn.IFNA(ROUND(INDEX(Spectrum!$N:$N,MATCH(RIGHT($B73,13)&amp;"|"&amp;$C73&amp;"|"&amp;$D73&amp;"|"&amp;M$14&amp;"|"&amp;"CY2021Q3",Spectrum!$Q:$Q,0)),0),"")</f>
        <v/>
      </c>
      <c r="N73" s="75" t="str">
        <f aca="false">_xlfn.IFNA(ROUND(INDEX(Spectrum!$N:$N,MATCH(RIGHT($B73,13)&amp;"|"&amp;$C73&amp;"|"&amp;$D73&amp;"|"&amp;N$14&amp;"|"&amp;"CY2021Q3",Spectrum!$Q:$Q,0)),0),"")</f>
        <v/>
      </c>
      <c r="O73" s="75" t="str">
        <f aca="false">_xlfn.IFNA(ROUND(INDEX(Spectrum!$N:$N,MATCH(RIGHT($B73,13)&amp;"|"&amp;$C73&amp;"|"&amp;$D73&amp;"|"&amp;O$14&amp;"|"&amp;"CY2021Q3",Spectrum!$Q:$Q,0)),0),"")</f>
        <v/>
      </c>
      <c r="P73" s="75" t="str">
        <f aca="false">_xlfn.IFNA(ROUND(INDEX(Spectrum!$N:$N,MATCH(RIGHT($B73,13)&amp;"|"&amp;$C73&amp;"|"&amp;$D73&amp;"|"&amp;P$14&amp;"|"&amp;"CY2021Q3",Spectrum!$Q:$Q,0)),0),"")</f>
        <v/>
      </c>
      <c r="Q73" s="75" t="str">
        <f aca="false">_xlfn.IFNA(ROUND(INDEX(Spectrum!$N:$N,MATCH(RIGHT($B73,13)&amp;"|"&amp;$C73&amp;"|"&amp;$D73&amp;"|"&amp;Q$14&amp;"|"&amp;"CY2021Q3",Spectrum!$Q:$Q,0)),0),"")</f>
        <v/>
      </c>
      <c r="R73" s="73" t="n">
        <v>43</v>
      </c>
      <c r="S73" s="118" t="n">
        <f aca="false">IF(SUM($R73)&lt;=0,"",0%)</f>
        <v>0</v>
      </c>
      <c r="T73" s="75" t="n">
        <f aca="false">IF(SUM($R73)&lt;=0,"",ROUND(MIN($R73,$K73)*(1+$S73),0))</f>
        <v>43</v>
      </c>
      <c r="U73" s="118" t="n">
        <f aca="false">IF(SUM($K73)=0,IF(SUM($R73)=0,"",1),MIN(SUM($R73)/SUM($K73),1))</f>
        <v>1</v>
      </c>
      <c r="V73" s="118" t="n">
        <f aca="false">$U73</f>
        <v>1</v>
      </c>
      <c r="W73" s="75" t="n">
        <f aca="false">IF(SUM($T73)=0,"",ROUND(SUM($T73)/IF(SUM($V73)=0,1,SUM($V73)),0))</f>
        <v>43</v>
      </c>
      <c r="X73" s="118" t="n">
        <f aca="false">1</f>
        <v>1</v>
      </c>
      <c r="Y73" s="118" t="n">
        <v>13</v>
      </c>
      <c r="Z73" s="118" t="n">
        <f aca="false">IF(OR(SUM($K73)&lt;=0,SUM($L73)&lt;=0),IF(SUM($Y73)&lt;=0,"",$Y73),SUM($L73)/$K73)</f>
        <v>13</v>
      </c>
      <c r="AA73" s="118" t="n">
        <v>46</v>
      </c>
      <c r="AB73" s="118" t="n">
        <f aca="false">IF(OR((SUM($K73)-SUM($L73))&lt;=0,SUM($M73)&lt;=0),IF(SUM($AA73)&lt;=0,"",$AA73),SUM($M73)/($K73-SUM($L73)))</f>
        <v>46</v>
      </c>
      <c r="AC73" s="73" t="n">
        <f aca="false">IF(SUM($T73)&lt;=0,"",ROUND(SUM($T73)*$X73,0))</f>
        <v>43</v>
      </c>
      <c r="AD73" s="75" t="n">
        <f aca="false">IF(SUM($AC73)&lt;=0,"",ROUND($AC73*SUM($Z73),0))</f>
        <v>559</v>
      </c>
      <c r="AE73" s="75" t="n">
        <f aca="false">IF(SUM($T73)&lt;=0,"",ROUND(($AC73-$AD73)*SUM($AB73),0))</f>
        <v>-23736</v>
      </c>
      <c r="AF73" s="75" t="n">
        <f aca="false">IF(SUM($AC73)&lt;=0,"",ROUND($AC73-$AD73-$AE73,0))</f>
        <v>23220</v>
      </c>
      <c r="AG73" s="73" t="n">
        <f aca="false">IF(SUM($W73)&lt;=0,"",ROUND(SUM($W73)*$X73,0))</f>
        <v>43</v>
      </c>
      <c r="AH73" s="75" t="n">
        <f aca="false">IF(SUM($AG73)&lt;=0,"",ROUND($AG73*SUM($Z73),0))</f>
        <v>559</v>
      </c>
      <c r="AI73" s="75" t="n">
        <f aca="false">IF(SUM($W73)&lt;=0,"",ROUND(($AG73-$AH73)*SUM($AB73),0))</f>
        <v>-23736</v>
      </c>
      <c r="AJ73" s="75" t="n">
        <f aca="false">IF(SUM($AG73)&lt;=0,"",ROUND($AG73-$AH73-$AI73,0))</f>
        <v>23220</v>
      </c>
      <c r="AK73" s="118" t="n">
        <f aca="false">_xlfn.IFNA(INDEX(Cascade!$BA:$BA,MATCH($E73,Cascade!$E:$E,0)),"")</f>
        <v>0.95</v>
      </c>
      <c r="AL73" s="75" t="n">
        <f aca="false">IF(SUM($AD73)&lt;=0,"",$AD73)</f>
        <v>559</v>
      </c>
      <c r="AM73" s="75" t="str">
        <f aca="false">IF(SUM($AE73)&lt;=0,"",ROUND($AE73*$AK73,0))</f>
        <v/>
      </c>
      <c r="AN73" s="75" t="n">
        <f aca="false">IF(AND(SUM($AH73)=0,SUM($AI73)=0),"",SUM($AH73)+SUM($AI73))</f>
        <v>-23177</v>
      </c>
      <c r="AO73" s="75" t="n">
        <f aca="false">IF(SUM($AH73)&lt;=0,"",$AH73)</f>
        <v>559</v>
      </c>
      <c r="AP73" s="75" t="str">
        <f aca="false">IF(SUM($AI73)&lt;=0,"",ROUND($AI73*$AK73,0))</f>
        <v/>
      </c>
      <c r="AQ73" s="73" t="str">
        <f aca="false">IF(SUM($T73,$AD73,$AE73)&lt;=0,"",MAX(SUM($T73,-$AD73,-$AE73),$AF73))</f>
        <v/>
      </c>
      <c r="AR73" s="118" t="n">
        <v>21</v>
      </c>
      <c r="AS73" s="118" t="n">
        <f aca="false">IF(SUM(AR73)=0,"",$AR73)</f>
        <v>21</v>
      </c>
      <c r="AT73" s="118" t="n">
        <f aca="false">0.95</f>
        <v>0.95</v>
      </c>
      <c r="AU73" s="75" t="str">
        <f aca="false">IF(SUM($AQ73)&lt;=0,"",ROUND(SUM($AQ73)*SUM($AS73),0))</f>
        <v/>
      </c>
      <c r="AV73" s="75" t="str">
        <f aca="false">IF(SUM($AQ73)&lt;=0,"",$AQ73-$AU73)</f>
        <v/>
      </c>
      <c r="AW73" s="73" t="str">
        <f aca="false">IF(SUM($AU73)&lt;=0,"",ROUND($AU73*$AT73,0))</f>
        <v/>
      </c>
      <c r="AX73" s="73" t="str">
        <f aca="false">IF(SUM($AE73,$AD73,$AU73)&lt;=0,"",SUM($AE73,$AD73,$AU73))</f>
        <v/>
      </c>
      <c r="AY73" s="73" t="n">
        <f aca="false">_xlfn.IFNA(INDEX(Cascade!$BD:$BD,MATCH($E73,Cascade!$E:$E,0)),"")</f>
        <v>7</v>
      </c>
      <c r="AZ73" s="118" t="str">
        <f aca="false">IFERROR(IF(SUM($AE73)&lt;=0,"",$AE73/$AY73),"")</f>
        <v/>
      </c>
      <c r="BA73" s="118" t="str">
        <f aca="false">IFERROR(IF(SUM($AU73)&lt;=0,"",$AU73/$AY73),"")</f>
        <v/>
      </c>
      <c r="BB73" s="118" t="n">
        <f aca="false">_xlfn.IFNA(INDEX(Cascade!$BL:$BL,MATCH($E73,Cascade!$E:$E,0)),"")</f>
        <v>0.285714285714286</v>
      </c>
      <c r="BC73" s="118" t="n">
        <f aca="false">_xlfn.IFNA(INDEX(Cascade!$BO:$BO,MATCH($E73,Cascade!$E:$E,0)),"")</f>
        <v>-3716.14285714286</v>
      </c>
      <c r="BD73" s="118" t="n">
        <f aca="false">_xlfn.IFNA(INDEX(Cascade!$BR:$BR,MATCH($E73,Cascade!$E:$E,0)),"")</f>
        <v>7107.71428571429</v>
      </c>
    </row>
    <row r="74" customFormat="false" ht="15" hidden="false" customHeight="false" outlineLevel="0" collapsed="false">
      <c r="A74" s="0" t="s">
        <v>147</v>
      </c>
      <c r="B74" s="0" t="s">
        <v>105</v>
      </c>
      <c r="C74" s="0" t="s">
        <v>75</v>
      </c>
      <c r="D74" s="0" t="s">
        <v>56</v>
      </c>
      <c r="E74" s="0" t="str">
        <f aca="false">B74&amp;"|"&amp;C74&amp;"|"&amp;D74</f>
        <v>Mohale's Hoek [#SNU] [#DREAMS] [YGI7vISD2kJ]|35-39|Female</v>
      </c>
      <c r="F74" s="73" t="n">
        <f aca="false">_xlfn.IFNA(INDEX(Cascade!$F:$F,MATCH($E74,Cascade!$E:$E,0)),"")</f>
        <v>4644</v>
      </c>
      <c r="G74" s="73" t="n">
        <f aca="false">_xlfn.IFNA(INDEX(Cascade!$H:$H,MATCH($E74,Cascade!$E:$E,0)),"")</f>
        <v>2343</v>
      </c>
      <c r="H74" s="118" t="n">
        <f aca="false">_xlfn.IFNA(INDEX(Cascade!$J:$J,MATCH($E74,Cascade!$E:$E,0)),"")</f>
        <v>0.5044309</v>
      </c>
      <c r="I74" s="73" t="n">
        <f aca="false">_xlfn.IFNA(INDEX(Cascade!$P:$P,MATCH($E74,Cascade!$E:$E,0)),"")</f>
        <v>1641</v>
      </c>
      <c r="J74" s="118" t="n">
        <f aca="false">_xlfn.IFNA(INDEX(Cascade!$Y:$Y,MATCH($E74,Cascade!$E:$E,0)),"")</f>
        <v>0.700384122919334</v>
      </c>
      <c r="K74" s="75" t="str">
        <f aca="false">_xlfn.IFNA(ROUND(INDEX(Spectrum!$N:$N,MATCH(RIGHT($B74,13)&amp;"|"&amp;$C74&amp;"|"&amp;$D74&amp;"|"&amp;K$14&amp;"|"&amp;"CY2021Q3",Spectrum!$Q:$Q,0)),0),"")</f>
        <v/>
      </c>
      <c r="L74" s="75" t="str">
        <f aca="false">_xlfn.IFNA(ROUND(INDEX(Spectrum!$N:$N,MATCH(RIGHT($B74,13)&amp;"|"&amp;$C74&amp;"|"&amp;$D74&amp;"|"&amp;L$14&amp;"|"&amp;"CY2021Q3",Spectrum!$Q:$Q,0)),0),"")</f>
        <v/>
      </c>
      <c r="M74" s="75" t="str">
        <f aca="false">_xlfn.IFNA(ROUND(INDEX(Spectrum!$N:$N,MATCH(RIGHT($B74,13)&amp;"|"&amp;$C74&amp;"|"&amp;$D74&amp;"|"&amp;M$14&amp;"|"&amp;"CY2021Q3",Spectrum!$Q:$Q,0)),0),"")</f>
        <v/>
      </c>
      <c r="N74" s="75" t="str">
        <f aca="false">_xlfn.IFNA(ROUND(INDEX(Spectrum!$N:$N,MATCH(RIGHT($B74,13)&amp;"|"&amp;$C74&amp;"|"&amp;$D74&amp;"|"&amp;N$14&amp;"|"&amp;"CY2021Q3",Spectrum!$Q:$Q,0)),0),"")</f>
        <v/>
      </c>
      <c r="O74" s="75" t="str">
        <f aca="false">_xlfn.IFNA(ROUND(INDEX(Spectrum!$N:$N,MATCH(RIGHT($B74,13)&amp;"|"&amp;$C74&amp;"|"&amp;$D74&amp;"|"&amp;O$14&amp;"|"&amp;"CY2021Q3",Spectrum!$Q:$Q,0)),0),"")</f>
        <v/>
      </c>
      <c r="P74" s="75" t="str">
        <f aca="false">_xlfn.IFNA(ROUND(INDEX(Spectrum!$N:$N,MATCH(RIGHT($B74,13)&amp;"|"&amp;$C74&amp;"|"&amp;$D74&amp;"|"&amp;P$14&amp;"|"&amp;"CY2021Q3",Spectrum!$Q:$Q,0)),0),"")</f>
        <v/>
      </c>
      <c r="Q74" s="75" t="str">
        <f aca="false">_xlfn.IFNA(ROUND(INDEX(Spectrum!$N:$N,MATCH(RIGHT($B74,13)&amp;"|"&amp;$C74&amp;"|"&amp;$D74&amp;"|"&amp;Q$14&amp;"|"&amp;"CY2021Q3",Spectrum!$Q:$Q,0)),0),"")</f>
        <v/>
      </c>
      <c r="R74" s="73" t="n">
        <v>14</v>
      </c>
      <c r="S74" s="118" t="n">
        <f aca="false">IF(SUM($R74)&lt;=0,"",0%)</f>
        <v>0</v>
      </c>
      <c r="T74" s="75" t="n">
        <f aca="false">IF(SUM($R74)&lt;=0,"",ROUND(MIN($R74,$K74)*(1+$S74),0))</f>
        <v>14</v>
      </c>
      <c r="U74" s="118" t="n">
        <f aca="false">IF(SUM($K74)=0,IF(SUM($R74)=0,"",1),MIN(SUM($R74)/SUM($K74),1))</f>
        <v>1</v>
      </c>
      <c r="V74" s="118" t="n">
        <f aca="false">$U74</f>
        <v>1</v>
      </c>
      <c r="W74" s="75" t="n">
        <f aca="false">IF(SUM($T74)=0,"",ROUND(SUM($T74)/IF(SUM($V74)=0,1,SUM($V74)),0))</f>
        <v>14</v>
      </c>
      <c r="X74" s="118" t="n">
        <f aca="false">1</f>
        <v>1</v>
      </c>
      <c r="Y74" s="118" t="n">
        <v>5</v>
      </c>
      <c r="Z74" s="118" t="n">
        <f aca="false">IF(OR(SUM($K74)&lt;=0,SUM($L74)&lt;=0),IF(SUM($Y74)&lt;=0,"",$Y74),SUM($L74)/$K74)</f>
        <v>5</v>
      </c>
      <c r="AA74" s="118" t="n">
        <v>7</v>
      </c>
      <c r="AB74" s="118" t="n">
        <f aca="false">IF(OR((SUM($K74)-SUM($L74))&lt;=0,SUM($M74)&lt;=0),IF(SUM($AA74)&lt;=0,"",$AA74),SUM($M74)/($K74-SUM($L74)))</f>
        <v>7</v>
      </c>
      <c r="AC74" s="73" t="n">
        <f aca="false">IF(SUM($T74)&lt;=0,"",ROUND(SUM($T74)*$X74,0))</f>
        <v>14</v>
      </c>
      <c r="AD74" s="75" t="n">
        <f aca="false">IF(SUM($AC74)&lt;=0,"",ROUND($AC74*SUM($Z74),0))</f>
        <v>70</v>
      </c>
      <c r="AE74" s="75" t="n">
        <f aca="false">IF(SUM($T74)&lt;=0,"",ROUND(($AC74-$AD74)*SUM($AB74),0))</f>
        <v>-392</v>
      </c>
      <c r="AF74" s="75" t="n">
        <f aca="false">IF(SUM($AC74)&lt;=0,"",ROUND($AC74-$AD74-$AE74,0))</f>
        <v>336</v>
      </c>
      <c r="AG74" s="73" t="n">
        <f aca="false">IF(SUM($W74)&lt;=0,"",ROUND(SUM($W74)*$X74,0))</f>
        <v>14</v>
      </c>
      <c r="AH74" s="75" t="n">
        <f aca="false">IF(SUM($AG74)&lt;=0,"",ROUND($AG74*SUM($Z74),0))</f>
        <v>70</v>
      </c>
      <c r="AI74" s="75" t="n">
        <f aca="false">IF(SUM($W74)&lt;=0,"",ROUND(($AG74-$AH74)*SUM($AB74),0))</f>
        <v>-392</v>
      </c>
      <c r="AJ74" s="75" t="n">
        <f aca="false">IF(SUM($AG74)&lt;=0,"",ROUND($AG74-$AH74-$AI74,0))</f>
        <v>336</v>
      </c>
      <c r="AK74" s="118" t="n">
        <f aca="false">_xlfn.IFNA(INDEX(Cascade!$BA:$BA,MATCH($E74,Cascade!$E:$E,0)),"")</f>
        <v>0.95</v>
      </c>
      <c r="AL74" s="75" t="n">
        <f aca="false">IF(SUM($AD74)&lt;=0,"",$AD74)</f>
        <v>70</v>
      </c>
      <c r="AM74" s="75" t="str">
        <f aca="false">IF(SUM($AE74)&lt;=0,"",ROUND($AE74*$AK74,0))</f>
        <v/>
      </c>
      <c r="AN74" s="75" t="n">
        <f aca="false">IF(AND(SUM($AH74)=0,SUM($AI74)=0),"",SUM($AH74)+SUM($AI74))</f>
        <v>-322</v>
      </c>
      <c r="AO74" s="75" t="n">
        <f aca="false">IF(SUM($AH74)&lt;=0,"",$AH74)</f>
        <v>70</v>
      </c>
      <c r="AP74" s="75" t="str">
        <f aca="false">IF(SUM($AI74)&lt;=0,"",ROUND($AI74*$AK74,0))</f>
        <v/>
      </c>
      <c r="AQ74" s="73" t="str">
        <f aca="false">IF(SUM($T74,$AD74,$AE74)&lt;=0,"",MAX(SUM($T74,-$AD74,-$AE74),$AF74))</f>
        <v/>
      </c>
      <c r="AR74" s="118" t="n">
        <v>10</v>
      </c>
      <c r="AS74" s="118" t="n">
        <f aca="false">IF(SUM(AR74)=0,"",$AR74)</f>
        <v>10</v>
      </c>
      <c r="AT74" s="118" t="n">
        <f aca="false">0.95</f>
        <v>0.95</v>
      </c>
      <c r="AU74" s="75" t="str">
        <f aca="false">IF(SUM($AQ74)&lt;=0,"",ROUND(SUM($AQ74)*SUM($AS74),0))</f>
        <v/>
      </c>
      <c r="AV74" s="75" t="str">
        <f aca="false">IF(SUM($AQ74)&lt;=0,"",$AQ74-$AU74)</f>
        <v/>
      </c>
      <c r="AW74" s="73" t="str">
        <f aca="false">IF(SUM($AU74)&lt;=0,"",ROUND($AU74*$AT74,0))</f>
        <v/>
      </c>
      <c r="AX74" s="73" t="str">
        <f aca="false">IF(SUM($AE74,$AD74,$AU74)&lt;=0,"",SUM($AE74,$AD74,$AU74))</f>
        <v/>
      </c>
      <c r="AY74" s="73" t="n">
        <f aca="false">_xlfn.IFNA(INDEX(Cascade!$BD:$BD,MATCH($E74,Cascade!$E:$E,0)),"")</f>
        <v>4</v>
      </c>
      <c r="AZ74" s="118" t="str">
        <f aca="false">IFERROR(IF(SUM($AE74)&lt;=0,"",$AE74/$AY74),"")</f>
        <v/>
      </c>
      <c r="BA74" s="118" t="str">
        <f aca="false">IFERROR(IF(SUM($AU74)&lt;=0,"",$AU74/$AY74),"")</f>
        <v/>
      </c>
      <c r="BB74" s="118" t="n">
        <f aca="false">_xlfn.IFNA(INDEX(Cascade!$BL:$BL,MATCH($E74,Cascade!$E:$E,0)),"")</f>
        <v>0.5</v>
      </c>
      <c r="BC74" s="118" t="n">
        <f aca="false">_xlfn.IFNA(INDEX(Cascade!$BO:$BO,MATCH($E74,Cascade!$E:$E,0)),"")</f>
        <v>-3093.75</v>
      </c>
      <c r="BD74" s="118" t="n">
        <f aca="false">_xlfn.IFNA(INDEX(Cascade!$BR:$BR,MATCH($E74,Cascade!$E:$E,0)),"")</f>
        <v>3192.25</v>
      </c>
    </row>
    <row r="75" customFormat="false" ht="15" hidden="false" customHeight="false" outlineLevel="0" collapsed="false">
      <c r="A75" s="0" t="s">
        <v>147</v>
      </c>
      <c r="B75" s="0" t="s">
        <v>105</v>
      </c>
      <c r="C75" s="0" t="s">
        <v>77</v>
      </c>
      <c r="D75" s="0" t="s">
        <v>56</v>
      </c>
      <c r="E75" s="0" t="str">
        <f aca="false">B75&amp;"|"&amp;C75&amp;"|"&amp;D75</f>
        <v>Mohale's Hoek [#SNU] [#DREAMS] [YGI7vISD2kJ]|40-44|Female</v>
      </c>
      <c r="F75" s="73" t="n">
        <f aca="false">_xlfn.IFNA(INDEX(Cascade!$F:$F,MATCH($E75,Cascade!$E:$E,0)),"")</f>
        <v>3526</v>
      </c>
      <c r="G75" s="73" t="n">
        <f aca="false">_xlfn.IFNA(INDEX(Cascade!$H:$H,MATCH($E75,Cascade!$E:$E,0)),"")</f>
        <v>1861</v>
      </c>
      <c r="H75" s="118" t="n">
        <f aca="false">_xlfn.IFNA(INDEX(Cascade!$J:$J,MATCH($E75,Cascade!$E:$E,0)),"")</f>
        <v>0.5278903</v>
      </c>
      <c r="I75" s="73" t="n">
        <f aca="false">_xlfn.IFNA(INDEX(Cascade!$P:$P,MATCH($E75,Cascade!$E:$E,0)),"")</f>
        <v>1626</v>
      </c>
      <c r="J75" s="118" t="n">
        <f aca="false">_xlfn.IFNA(INDEX(Cascade!$Y:$Y,MATCH($E75,Cascade!$E:$E,0)),"")</f>
        <v>0.873723804406233</v>
      </c>
      <c r="K75" s="75" t="str">
        <f aca="false">_xlfn.IFNA(ROUND(INDEX(Spectrum!$N:$N,MATCH(RIGHT($B75,13)&amp;"|"&amp;$C75&amp;"|"&amp;$D75&amp;"|"&amp;K$14&amp;"|"&amp;"CY2021Q3",Spectrum!$Q:$Q,0)),0),"")</f>
        <v/>
      </c>
      <c r="L75" s="75" t="str">
        <f aca="false">_xlfn.IFNA(ROUND(INDEX(Spectrum!$N:$N,MATCH(RIGHT($B75,13)&amp;"|"&amp;$C75&amp;"|"&amp;$D75&amp;"|"&amp;L$14&amp;"|"&amp;"CY2021Q3",Spectrum!$Q:$Q,0)),0),"")</f>
        <v/>
      </c>
      <c r="M75" s="75" t="str">
        <f aca="false">_xlfn.IFNA(ROUND(INDEX(Spectrum!$N:$N,MATCH(RIGHT($B75,13)&amp;"|"&amp;$C75&amp;"|"&amp;$D75&amp;"|"&amp;M$14&amp;"|"&amp;"CY2021Q3",Spectrum!$Q:$Q,0)),0),"")</f>
        <v/>
      </c>
      <c r="N75" s="75" t="str">
        <f aca="false">_xlfn.IFNA(ROUND(INDEX(Spectrum!$N:$N,MATCH(RIGHT($B75,13)&amp;"|"&amp;$C75&amp;"|"&amp;$D75&amp;"|"&amp;N$14&amp;"|"&amp;"CY2021Q3",Spectrum!$Q:$Q,0)),0),"")</f>
        <v/>
      </c>
      <c r="O75" s="75" t="str">
        <f aca="false">_xlfn.IFNA(ROUND(INDEX(Spectrum!$N:$N,MATCH(RIGHT($B75,13)&amp;"|"&amp;$C75&amp;"|"&amp;$D75&amp;"|"&amp;O$14&amp;"|"&amp;"CY2021Q3",Spectrum!$Q:$Q,0)),0),"")</f>
        <v/>
      </c>
      <c r="P75" s="75" t="str">
        <f aca="false">_xlfn.IFNA(ROUND(INDEX(Spectrum!$N:$N,MATCH(RIGHT($B75,13)&amp;"|"&amp;$C75&amp;"|"&amp;$D75&amp;"|"&amp;P$14&amp;"|"&amp;"CY2021Q3",Spectrum!$Q:$Q,0)),0),"")</f>
        <v/>
      </c>
      <c r="Q75" s="75" t="str">
        <f aca="false">_xlfn.IFNA(ROUND(INDEX(Spectrum!$N:$N,MATCH(RIGHT($B75,13)&amp;"|"&amp;$C75&amp;"|"&amp;$D75&amp;"|"&amp;Q$14&amp;"|"&amp;"CY2021Q3",Spectrum!$Q:$Q,0)),0),"")</f>
        <v/>
      </c>
      <c r="R75" s="73" t="n">
        <v>29</v>
      </c>
      <c r="S75" s="118" t="n">
        <f aca="false">IF(SUM($R75)&lt;=0,"",0%)</f>
        <v>0</v>
      </c>
      <c r="T75" s="75" t="n">
        <f aca="false">IF(SUM($R75)&lt;=0,"",ROUND(MIN($R75,$K75)*(1+$S75),0))</f>
        <v>29</v>
      </c>
      <c r="U75" s="118" t="n">
        <f aca="false">IF(SUM($K75)=0,IF(SUM($R75)=0,"",1),MIN(SUM($R75)/SUM($K75),1))</f>
        <v>1</v>
      </c>
      <c r="V75" s="118" t="n">
        <f aca="false">$U75</f>
        <v>1</v>
      </c>
      <c r="W75" s="75" t="n">
        <f aca="false">IF(SUM($T75)=0,"",ROUND(SUM($T75)/IF(SUM($V75)=0,1,SUM($V75)),0))</f>
        <v>29</v>
      </c>
      <c r="X75" s="118" t="n">
        <f aca="false">1</f>
        <v>1</v>
      </c>
      <c r="Y75" s="118" t="n">
        <v>46</v>
      </c>
      <c r="Z75" s="118" t="n">
        <f aca="false">IF(OR(SUM($K75)&lt;=0,SUM($L75)&lt;=0),IF(SUM($Y75)&lt;=0,"",$Y75),SUM($L75)/$K75)</f>
        <v>46</v>
      </c>
      <c r="AA75" s="118" t="n">
        <v>22</v>
      </c>
      <c r="AB75" s="118" t="n">
        <f aca="false">IF(OR((SUM($K75)-SUM($L75))&lt;=0,SUM($M75)&lt;=0),IF(SUM($AA75)&lt;=0,"",$AA75),SUM($M75)/($K75-SUM($L75)))</f>
        <v>22</v>
      </c>
      <c r="AC75" s="73" t="n">
        <f aca="false">IF(SUM($T75)&lt;=0,"",ROUND(SUM($T75)*$X75,0))</f>
        <v>29</v>
      </c>
      <c r="AD75" s="75" t="n">
        <f aca="false">IF(SUM($AC75)&lt;=0,"",ROUND($AC75*SUM($Z75),0))</f>
        <v>1334</v>
      </c>
      <c r="AE75" s="75" t="n">
        <f aca="false">IF(SUM($T75)&lt;=0,"",ROUND(($AC75-$AD75)*SUM($AB75),0))</f>
        <v>-28710</v>
      </c>
      <c r="AF75" s="75" t="n">
        <f aca="false">IF(SUM($AC75)&lt;=0,"",ROUND($AC75-$AD75-$AE75,0))</f>
        <v>27405</v>
      </c>
      <c r="AG75" s="73" t="n">
        <f aca="false">IF(SUM($W75)&lt;=0,"",ROUND(SUM($W75)*$X75,0))</f>
        <v>29</v>
      </c>
      <c r="AH75" s="75" t="n">
        <f aca="false">IF(SUM($AG75)&lt;=0,"",ROUND($AG75*SUM($Z75),0))</f>
        <v>1334</v>
      </c>
      <c r="AI75" s="75" t="n">
        <f aca="false">IF(SUM($W75)&lt;=0,"",ROUND(($AG75-$AH75)*SUM($AB75),0))</f>
        <v>-28710</v>
      </c>
      <c r="AJ75" s="75" t="n">
        <f aca="false">IF(SUM($AG75)&lt;=0,"",ROUND($AG75-$AH75-$AI75,0))</f>
        <v>27405</v>
      </c>
      <c r="AK75" s="118" t="n">
        <f aca="false">_xlfn.IFNA(INDEX(Cascade!$BA:$BA,MATCH($E75,Cascade!$E:$E,0)),"")</f>
        <v>0.95</v>
      </c>
      <c r="AL75" s="75" t="n">
        <f aca="false">IF(SUM($AD75)&lt;=0,"",$AD75)</f>
        <v>1334</v>
      </c>
      <c r="AM75" s="75" t="str">
        <f aca="false">IF(SUM($AE75)&lt;=0,"",ROUND($AE75*$AK75,0))</f>
        <v/>
      </c>
      <c r="AN75" s="75" t="n">
        <f aca="false">IF(AND(SUM($AH75)=0,SUM($AI75)=0),"",SUM($AH75)+SUM($AI75))</f>
        <v>-27376</v>
      </c>
      <c r="AO75" s="75" t="n">
        <f aca="false">IF(SUM($AH75)&lt;=0,"",$AH75)</f>
        <v>1334</v>
      </c>
      <c r="AP75" s="75" t="str">
        <f aca="false">IF(SUM($AI75)&lt;=0,"",ROUND($AI75*$AK75,0))</f>
        <v/>
      </c>
      <c r="AQ75" s="73" t="str">
        <f aca="false">IF(SUM($T75,$AD75,$AE75)&lt;=0,"",MAX(SUM($T75,-$AD75,-$AE75),$AF75))</f>
        <v/>
      </c>
      <c r="AR75" s="118"/>
      <c r="AS75" s="118" t="str">
        <f aca="false">IF(SUM(AR75)=0,"",$AR75)</f>
        <v/>
      </c>
      <c r="AT75" s="118" t="n">
        <f aca="false">0.95</f>
        <v>0.95</v>
      </c>
      <c r="AU75" s="75" t="str">
        <f aca="false">IF(SUM($AQ75)&lt;=0,"",ROUND(SUM($AQ75)*SUM($AS75),0))</f>
        <v/>
      </c>
      <c r="AV75" s="75" t="str">
        <f aca="false">IF(SUM($AQ75)&lt;=0,"",$AQ75-$AU75)</f>
        <v/>
      </c>
      <c r="AW75" s="73" t="str">
        <f aca="false">IF(SUM($AU75)&lt;=0,"",ROUND($AU75*$AT75,0))</f>
        <v/>
      </c>
      <c r="AX75" s="73" t="str">
        <f aca="false">IF(SUM($AE75,$AD75,$AU75)&lt;=0,"",SUM($AE75,$AD75,$AU75))</f>
        <v/>
      </c>
      <c r="AY75" s="73" t="n">
        <f aca="false">_xlfn.IFNA(INDEX(Cascade!$BD:$BD,MATCH($E75,Cascade!$E:$E,0)),"")</f>
        <v>2</v>
      </c>
      <c r="AZ75" s="118" t="str">
        <f aca="false">IFERROR(IF(SUM($AE75)&lt;=0,"",$AE75/$AY75),"")</f>
        <v/>
      </c>
      <c r="BA75" s="118" t="str">
        <f aca="false">IFERROR(IF(SUM($AU75)&lt;=0,"",$AU75/$AY75),"")</f>
        <v/>
      </c>
      <c r="BB75" s="118" t="n">
        <f aca="false">_xlfn.IFNA(INDEX(Cascade!$BL:$BL,MATCH($E75,Cascade!$E:$E,0)),"")</f>
        <v>1</v>
      </c>
      <c r="BC75" s="118" t="n">
        <f aca="false">_xlfn.IFNA(INDEX(Cascade!$BO:$BO,MATCH($E75,Cascade!$E:$E,0)),"")</f>
        <v>-9570</v>
      </c>
      <c r="BD75" s="118" t="n">
        <f aca="false">_xlfn.IFNA(INDEX(Cascade!$BR:$BR,MATCH($E75,Cascade!$E:$E,0)),"")</f>
        <v>23925</v>
      </c>
    </row>
    <row r="76" customFormat="false" ht="15" hidden="false" customHeight="false" outlineLevel="0" collapsed="false">
      <c r="A76" s="0" t="s">
        <v>147</v>
      </c>
      <c r="B76" s="0" t="s">
        <v>105</v>
      </c>
      <c r="C76" s="0" t="s">
        <v>80</v>
      </c>
      <c r="D76" s="0" t="s">
        <v>56</v>
      </c>
      <c r="E76" s="0" t="str">
        <f aca="false">B76&amp;"|"&amp;C76&amp;"|"&amp;D76</f>
        <v>Mohale's Hoek [#SNU] [#DREAMS] [YGI7vISD2kJ]|45-49|Female</v>
      </c>
      <c r="F76" s="73" t="n">
        <f aca="false">_xlfn.IFNA(INDEX(Cascade!$F:$F,MATCH($E76,Cascade!$E:$E,0)),"")</f>
        <v>2998</v>
      </c>
      <c r="G76" s="73" t="n">
        <f aca="false">_xlfn.IFNA(INDEX(Cascade!$H:$H,MATCH($E76,Cascade!$E:$E,0)),"")</f>
        <v>1478</v>
      </c>
      <c r="H76" s="118" t="n">
        <f aca="false">_xlfn.IFNA(INDEX(Cascade!$J:$J,MATCH($E76,Cascade!$E:$E,0)),"")</f>
        <v>0.4931339</v>
      </c>
      <c r="I76" s="73" t="n">
        <f aca="false">_xlfn.IFNA(INDEX(Cascade!$P:$P,MATCH($E76,Cascade!$E:$E,0)),"")</f>
        <v>1377</v>
      </c>
      <c r="J76" s="118" t="n">
        <f aca="false">_xlfn.IFNA(INDEX(Cascade!$Y:$Y,MATCH($E76,Cascade!$E:$E,0)),"")</f>
        <v>0.931664411366712</v>
      </c>
      <c r="K76" s="75" t="str">
        <f aca="false">_xlfn.IFNA(ROUND(INDEX(Spectrum!$N:$N,MATCH(RIGHT($B76,13)&amp;"|"&amp;$C76&amp;"|"&amp;$D76&amp;"|"&amp;K$14&amp;"|"&amp;"CY2021Q3",Spectrum!$Q:$Q,0)),0),"")</f>
        <v/>
      </c>
      <c r="L76" s="75" t="str">
        <f aca="false">_xlfn.IFNA(ROUND(INDEX(Spectrum!$N:$N,MATCH(RIGHT($B76,13)&amp;"|"&amp;$C76&amp;"|"&amp;$D76&amp;"|"&amp;L$14&amp;"|"&amp;"CY2021Q3",Spectrum!$Q:$Q,0)),0),"")</f>
        <v/>
      </c>
      <c r="M76" s="75" t="str">
        <f aca="false">_xlfn.IFNA(ROUND(INDEX(Spectrum!$N:$N,MATCH(RIGHT($B76,13)&amp;"|"&amp;$C76&amp;"|"&amp;$D76&amp;"|"&amp;M$14&amp;"|"&amp;"CY2021Q3",Spectrum!$Q:$Q,0)),0),"")</f>
        <v/>
      </c>
      <c r="N76" s="75" t="str">
        <f aca="false">_xlfn.IFNA(ROUND(INDEX(Spectrum!$N:$N,MATCH(RIGHT($B76,13)&amp;"|"&amp;$C76&amp;"|"&amp;$D76&amp;"|"&amp;N$14&amp;"|"&amp;"CY2021Q3",Spectrum!$Q:$Q,0)),0),"")</f>
        <v/>
      </c>
      <c r="O76" s="75" t="str">
        <f aca="false">_xlfn.IFNA(ROUND(INDEX(Spectrum!$N:$N,MATCH(RIGHT($B76,13)&amp;"|"&amp;$C76&amp;"|"&amp;$D76&amp;"|"&amp;O$14&amp;"|"&amp;"CY2021Q3",Spectrum!$Q:$Q,0)),0),"")</f>
        <v/>
      </c>
      <c r="P76" s="75" t="str">
        <f aca="false">_xlfn.IFNA(ROUND(INDEX(Spectrum!$N:$N,MATCH(RIGHT($B76,13)&amp;"|"&amp;$C76&amp;"|"&amp;$D76&amp;"|"&amp;P$14&amp;"|"&amp;"CY2021Q3",Spectrum!$Q:$Q,0)),0),"")</f>
        <v/>
      </c>
      <c r="Q76" s="75" t="str">
        <f aca="false">_xlfn.IFNA(ROUND(INDEX(Spectrum!$N:$N,MATCH(RIGHT($B76,13)&amp;"|"&amp;$C76&amp;"|"&amp;$D76&amp;"|"&amp;Q$14&amp;"|"&amp;"CY2021Q3",Spectrum!$Q:$Q,0)),0),"")</f>
        <v/>
      </c>
      <c r="R76" s="73" t="n">
        <v>36</v>
      </c>
      <c r="S76" s="118" t="n">
        <f aca="false">IF(SUM($R76)&lt;=0,"",0%)</f>
        <v>0</v>
      </c>
      <c r="T76" s="75" t="n">
        <f aca="false">IF(SUM($R76)&lt;=0,"",ROUND(MIN($R76,$K76)*(1+$S76),0))</f>
        <v>36</v>
      </c>
      <c r="U76" s="118" t="n">
        <f aca="false">IF(SUM($K76)=0,IF(SUM($R76)=0,"",1),MIN(SUM($R76)/SUM($K76),1))</f>
        <v>1</v>
      </c>
      <c r="V76" s="118" t="n">
        <f aca="false">$U76</f>
        <v>1</v>
      </c>
      <c r="W76" s="75" t="n">
        <f aca="false">IF(SUM($T76)=0,"",ROUND(SUM($T76)/IF(SUM($V76)=0,1,SUM($V76)),0))</f>
        <v>36</v>
      </c>
      <c r="X76" s="118" t="n">
        <f aca="false">1</f>
        <v>1</v>
      </c>
      <c r="Y76" s="118" t="n">
        <v>0</v>
      </c>
      <c r="Z76" s="118" t="str">
        <f aca="false">IF(OR(SUM($K76)&lt;=0,SUM($L76)&lt;=0),IF(SUM($Y76)&lt;=0,"",$Y76),SUM($L76)/$K76)</f>
        <v/>
      </c>
      <c r="AA76" s="118"/>
      <c r="AB76" s="118" t="str">
        <f aca="false">IF(OR((SUM($K76)-SUM($L76))&lt;=0,SUM($M76)&lt;=0),IF(SUM($AA76)&lt;=0,"",$AA76),SUM($M76)/($K76-SUM($L76)))</f>
        <v/>
      </c>
      <c r="AC76" s="73" t="n">
        <f aca="false">IF(SUM($T76)&lt;=0,"",ROUND(SUM($T76)*$X76,0))</f>
        <v>36</v>
      </c>
      <c r="AD76" s="75" t="n">
        <f aca="false">IF(SUM($AC76)&lt;=0,"",ROUND($AC76*SUM($Z76),0))</f>
        <v>0</v>
      </c>
      <c r="AE76" s="75" t="n">
        <f aca="false">IF(SUM($T76)&lt;=0,"",ROUND(($AC76-$AD76)*SUM($AB76),0))</f>
        <v>0</v>
      </c>
      <c r="AF76" s="75" t="n">
        <f aca="false">IF(SUM($AC76)&lt;=0,"",ROUND($AC76-$AD76-$AE76,0))</f>
        <v>36</v>
      </c>
      <c r="AG76" s="73" t="n">
        <f aca="false">IF(SUM($W76)&lt;=0,"",ROUND(SUM($W76)*$X76,0))</f>
        <v>36</v>
      </c>
      <c r="AH76" s="75" t="n">
        <f aca="false">IF(SUM($AG76)&lt;=0,"",ROUND($AG76*SUM($Z76),0))</f>
        <v>0</v>
      </c>
      <c r="AI76" s="75" t="n">
        <f aca="false">IF(SUM($W76)&lt;=0,"",ROUND(($AG76-$AH76)*SUM($AB76),0))</f>
        <v>0</v>
      </c>
      <c r="AJ76" s="75" t="n">
        <f aca="false">IF(SUM($AG76)&lt;=0,"",ROUND($AG76-$AH76-$AI76,0))</f>
        <v>36</v>
      </c>
      <c r="AK76" s="118" t="n">
        <f aca="false">_xlfn.IFNA(INDEX(Cascade!$BA:$BA,MATCH($E76,Cascade!$E:$E,0)),"")</f>
        <v>0.95</v>
      </c>
      <c r="AL76" s="75" t="str">
        <f aca="false">IF(SUM($AD76)&lt;=0,"",$AD76)</f>
        <v/>
      </c>
      <c r="AM76" s="75" t="str">
        <f aca="false">IF(SUM($AE76)&lt;=0,"",ROUND($AE76*$AK76,0))</f>
        <v/>
      </c>
      <c r="AN76" s="75" t="str">
        <f aca="false">IF(AND(SUM($AH76)=0,SUM($AI76)=0),"",SUM($AH76)+SUM($AI76))</f>
        <v/>
      </c>
      <c r="AO76" s="75" t="str">
        <f aca="false">IF(SUM($AH76)&lt;=0,"",$AH76)</f>
        <v/>
      </c>
      <c r="AP76" s="75" t="str">
        <f aca="false">IF(SUM($AI76)&lt;=0,"",ROUND($AI76*$AK76,0))</f>
        <v/>
      </c>
      <c r="AQ76" s="73" t="n">
        <f aca="false">IF(SUM($T76,$AD76,$AE76)&lt;=0,"",MAX(SUM($T76,-$AD76,-$AE76),$AF76))</f>
        <v>36</v>
      </c>
      <c r="AR76" s="118"/>
      <c r="AS76" s="118" t="str">
        <f aca="false">IF(SUM(AR76)=0,"",$AR76)</f>
        <v/>
      </c>
      <c r="AT76" s="118" t="n">
        <f aca="false">0.95</f>
        <v>0.95</v>
      </c>
      <c r="AU76" s="75" t="n">
        <f aca="false">IF(SUM($AQ76)&lt;=0,"",ROUND(SUM($AQ76)*SUM($AS76),0))</f>
        <v>0</v>
      </c>
      <c r="AV76" s="75" t="n">
        <f aca="false">IF(SUM($AQ76)&lt;=0,"",$AQ76-$AU76)</f>
        <v>36</v>
      </c>
      <c r="AW76" s="73" t="str">
        <f aca="false">IF(SUM($AU76)&lt;=0,"",ROUND($AU76*$AT76,0))</f>
        <v/>
      </c>
      <c r="AX76" s="73" t="str">
        <f aca="false">IF(SUM($AE76,$AD76,$AU76)&lt;=0,"",SUM($AE76,$AD76,$AU76))</f>
        <v/>
      </c>
      <c r="AY76" s="73" t="str">
        <f aca="false">_xlfn.IFNA(INDEX(Cascade!$BD:$BD,MATCH($E76,Cascade!$E:$E,0)),"")</f>
        <v/>
      </c>
      <c r="AZ76" s="118" t="str">
        <f aca="false">IFERROR(IF(SUM($AE76)&lt;=0,"",$AE76/$AY76),"")</f>
        <v/>
      </c>
      <c r="BA76" s="118" t="str">
        <f aca="false">IFERROR(IF(SUM($AU76)&lt;=0,"",$AU76/$AY76),"")</f>
        <v/>
      </c>
      <c r="BB76" s="118" t="str">
        <f aca="false">_xlfn.IFNA(INDEX(Cascade!$BL:$BL,MATCH($E76,Cascade!$E:$E,0)),"")</f>
        <v/>
      </c>
      <c r="BC76" s="118" t="str">
        <f aca="false">_xlfn.IFNA(INDEX(Cascade!$BO:$BO,MATCH($E76,Cascade!$E:$E,0)),"")</f>
        <v/>
      </c>
      <c r="BD76" s="118" t="str">
        <f aca="false">_xlfn.IFNA(INDEX(Cascade!$BR:$BR,MATCH($E76,Cascade!$E:$E,0)),"")</f>
        <v/>
      </c>
    </row>
    <row r="77" customFormat="false" ht="15" hidden="false" customHeight="false" outlineLevel="0" collapsed="false">
      <c r="A77" s="0" t="s">
        <v>147</v>
      </c>
      <c r="B77" s="0" t="s">
        <v>105</v>
      </c>
      <c r="C77" s="0" t="s">
        <v>86</v>
      </c>
      <c r="D77" s="0" t="s">
        <v>56</v>
      </c>
      <c r="E77" s="0" t="str">
        <f aca="false">B77&amp;"|"&amp;C77&amp;"|"&amp;D77</f>
        <v>Mohale's Hoek [#SNU] [#DREAMS] [YGI7vISD2kJ]|50+|Female</v>
      </c>
      <c r="F77" s="73" t="n">
        <f aca="false">_xlfn.IFNA(INDEX(Cascade!$F:$F,MATCH($E77,Cascade!$E:$E,0)),"")</f>
        <v>17899</v>
      </c>
      <c r="G77" s="73" t="n">
        <f aca="false">_xlfn.IFNA(INDEX(Cascade!$H:$H,MATCH($E77,Cascade!$E:$E,0)),"")</f>
        <v>4868</v>
      </c>
      <c r="H77" s="118" t="n">
        <f aca="false">_xlfn.IFNA(INDEX(Cascade!$J:$J,MATCH($E77,Cascade!$E:$E,0)),"")</f>
        <v>0.2719929</v>
      </c>
      <c r="I77" s="73" t="n">
        <f aca="false">_xlfn.IFNA(INDEX(Cascade!$P:$P,MATCH($E77,Cascade!$E:$E,0)),"")</f>
        <v>3612</v>
      </c>
      <c r="J77" s="118" t="n">
        <f aca="false">_xlfn.IFNA(INDEX(Cascade!$Y:$Y,MATCH($E77,Cascade!$E:$E,0)),"")</f>
        <v>0.741988496302383</v>
      </c>
      <c r="K77" s="75" t="str">
        <f aca="false">_xlfn.IFNA(ROUND(INDEX(Spectrum!$N:$N,MATCH(RIGHT($B77,13)&amp;"|"&amp;$C77&amp;"|"&amp;$D77&amp;"|"&amp;K$14&amp;"|"&amp;"CY2021Q3",Spectrum!$Q:$Q,0)),0),"")</f>
        <v/>
      </c>
      <c r="L77" s="75" t="str">
        <f aca="false">_xlfn.IFNA(ROUND(INDEX(Spectrum!$N:$N,MATCH(RIGHT($B77,13)&amp;"|"&amp;$C77&amp;"|"&amp;$D77&amp;"|"&amp;L$14&amp;"|"&amp;"CY2021Q3",Spectrum!$Q:$Q,0)),0),"")</f>
        <v/>
      </c>
      <c r="M77" s="75" t="str">
        <f aca="false">_xlfn.IFNA(ROUND(INDEX(Spectrum!$N:$N,MATCH(RIGHT($B77,13)&amp;"|"&amp;$C77&amp;"|"&amp;$D77&amp;"|"&amp;M$14&amp;"|"&amp;"CY2021Q3",Spectrum!$Q:$Q,0)),0),"")</f>
        <v/>
      </c>
      <c r="N77" s="75" t="str">
        <f aca="false">_xlfn.IFNA(ROUND(INDEX(Spectrum!$N:$N,MATCH(RIGHT($B77,13)&amp;"|"&amp;$C77&amp;"|"&amp;$D77&amp;"|"&amp;N$14&amp;"|"&amp;"CY2021Q3",Spectrum!$Q:$Q,0)),0),"")</f>
        <v/>
      </c>
      <c r="O77" s="75" t="str">
        <f aca="false">_xlfn.IFNA(ROUND(INDEX(Spectrum!$N:$N,MATCH(RIGHT($B77,13)&amp;"|"&amp;$C77&amp;"|"&amp;$D77&amp;"|"&amp;O$14&amp;"|"&amp;"CY2021Q3",Spectrum!$Q:$Q,0)),0),"")</f>
        <v/>
      </c>
      <c r="P77" s="75" t="str">
        <f aca="false">_xlfn.IFNA(ROUND(INDEX(Spectrum!$N:$N,MATCH(RIGHT($B77,13)&amp;"|"&amp;$C77&amp;"|"&amp;$D77&amp;"|"&amp;P$14&amp;"|"&amp;"CY2021Q3",Spectrum!$Q:$Q,0)),0),"")</f>
        <v/>
      </c>
      <c r="Q77" s="75" t="str">
        <f aca="false">_xlfn.IFNA(ROUND(INDEX(Spectrum!$N:$N,MATCH(RIGHT($B77,13)&amp;"|"&amp;$C77&amp;"|"&amp;$D77&amp;"|"&amp;Q$14&amp;"|"&amp;"CY2021Q3",Spectrum!$Q:$Q,0)),0),"")</f>
        <v/>
      </c>
      <c r="R77" s="73"/>
      <c r="S77" s="118" t="str">
        <f aca="false">IF(SUM($R77)&lt;=0,"",0%)</f>
        <v/>
      </c>
      <c r="T77" s="75" t="str">
        <f aca="false">IF(SUM($R77)&lt;=0,"",ROUND(MIN($R77,$K77)*(1+$S77),0))</f>
        <v/>
      </c>
      <c r="U77" s="118" t="str">
        <f aca="false">IF(SUM($K77)=0,IF(SUM($R77)=0,"",1),MIN(SUM($R77)/SUM($K77),1))</f>
        <v/>
      </c>
      <c r="V77" s="118" t="str">
        <f aca="false">$U77</f>
        <v/>
      </c>
      <c r="W77" s="75" t="str">
        <f aca="false">IF(SUM($T77)=0,"",ROUND(SUM($T77)/IF(SUM($V77)=0,1,SUM($V77)),0))</f>
        <v/>
      </c>
      <c r="X77" s="118" t="n">
        <f aca="false">1</f>
        <v>1</v>
      </c>
      <c r="Y77" s="118"/>
      <c r="Z77" s="118" t="str">
        <f aca="false">IF(OR(SUM($K77)&lt;=0,SUM($L77)&lt;=0),IF(SUM($Y77)&lt;=0,"",$Y77),SUM($L77)/$K77)</f>
        <v/>
      </c>
      <c r="AA77" s="118"/>
      <c r="AB77" s="118" t="str">
        <f aca="false">IF(OR((SUM($K77)-SUM($L77))&lt;=0,SUM($M77)&lt;=0),IF(SUM($AA77)&lt;=0,"",$AA77),SUM($M77)/($K77-SUM($L77)))</f>
        <v/>
      </c>
      <c r="AC77" s="73" t="str">
        <f aca="false">IF(SUM($T77)&lt;=0,"",ROUND(SUM($T77)*$X77,0))</f>
        <v/>
      </c>
      <c r="AD77" s="75" t="str">
        <f aca="false">IF(SUM($AC77)&lt;=0,"",ROUND($AC77*SUM($Z77),0))</f>
        <v/>
      </c>
      <c r="AE77" s="75" t="str">
        <f aca="false">IF(SUM($T77)&lt;=0,"",ROUND(($AC77-$AD77)*SUM($AB77),0))</f>
        <v/>
      </c>
      <c r="AF77" s="75" t="str">
        <f aca="false">IF(SUM($AC77)&lt;=0,"",ROUND($AC77-$AD77-$AE77,0))</f>
        <v/>
      </c>
      <c r="AG77" s="73" t="str">
        <f aca="false">IF(SUM($W77)&lt;=0,"",ROUND(SUM($W77)*$X77,0))</f>
        <v/>
      </c>
      <c r="AH77" s="75" t="str">
        <f aca="false">IF(SUM($AG77)&lt;=0,"",ROUND($AG77*SUM($Z77),0))</f>
        <v/>
      </c>
      <c r="AI77" s="75" t="str">
        <f aca="false">IF(SUM($W77)&lt;=0,"",ROUND(($AG77-$AH77)*SUM($AB77),0))</f>
        <v/>
      </c>
      <c r="AJ77" s="75" t="str">
        <f aca="false">IF(SUM($AG77)&lt;=0,"",ROUND($AG77-$AH77-$AI77,0))</f>
        <v/>
      </c>
      <c r="AK77" s="118" t="n">
        <f aca="false">_xlfn.IFNA(INDEX(Cascade!$BA:$BA,MATCH($E77,Cascade!$E:$E,0)),"")</f>
        <v>0.95</v>
      </c>
      <c r="AL77" s="75" t="str">
        <f aca="false">IF(SUM($AD77)&lt;=0,"",$AD77)</f>
        <v/>
      </c>
      <c r="AM77" s="75" t="str">
        <f aca="false">IF(SUM($AE77)&lt;=0,"",ROUND($AE77*$AK77,0))</f>
        <v/>
      </c>
      <c r="AN77" s="75" t="str">
        <f aca="false">IF(AND(SUM($AH77)=0,SUM($AI77)=0),"",SUM($AH77)+SUM($AI77))</f>
        <v/>
      </c>
      <c r="AO77" s="75" t="str">
        <f aca="false">IF(SUM($AH77)&lt;=0,"",$AH77)</f>
        <v/>
      </c>
      <c r="AP77" s="75" t="str">
        <f aca="false">IF(SUM($AI77)&lt;=0,"",ROUND($AI77*$AK77,0))</f>
        <v/>
      </c>
      <c r="AQ77" s="73" t="str">
        <f aca="false">IF(SUM($T77,$AD77,$AE77)&lt;=0,"",MAX(SUM($T77,-$AD77,-$AE77),$AF77))</f>
        <v/>
      </c>
      <c r="AR77" s="118"/>
      <c r="AS77" s="118" t="str">
        <f aca="false">IF(SUM(AR77)=0,"",$AR77)</f>
        <v/>
      </c>
      <c r="AT77" s="118" t="n">
        <f aca="false">0.95</f>
        <v>0.95</v>
      </c>
      <c r="AU77" s="75" t="str">
        <f aca="false">IF(SUM($AQ77)&lt;=0,"",ROUND(SUM($AQ77)*SUM($AS77),0))</f>
        <v/>
      </c>
      <c r="AV77" s="75" t="str">
        <f aca="false">IF(SUM($AQ77)&lt;=0,"",$AQ77-$AU77)</f>
        <v/>
      </c>
      <c r="AW77" s="73" t="str">
        <f aca="false">IF(SUM($AU77)&lt;=0,"",ROUND($AU77*$AT77,0))</f>
        <v/>
      </c>
      <c r="AX77" s="73" t="str">
        <f aca="false">IF(SUM($AE77,$AD77,$AU77)&lt;=0,"",SUM($AE77,$AD77,$AU77))</f>
        <v/>
      </c>
      <c r="AY77" s="73" t="n">
        <f aca="false">_xlfn.IFNA(INDEX(Cascade!$BD:$BD,MATCH($E77,Cascade!$E:$E,0)),"")</f>
        <v>12</v>
      </c>
      <c r="AZ77" s="118" t="str">
        <f aca="false">IFERROR(IF(SUM($AE77)&lt;=0,"",$AE77/$AY77),"")</f>
        <v/>
      </c>
      <c r="BA77" s="118" t="str">
        <f aca="false">IFERROR(IF(SUM($AU77)&lt;=0,"",$AU77/$AY77),"")</f>
        <v/>
      </c>
      <c r="BB77" s="118" t="n">
        <f aca="false">_xlfn.IFNA(INDEX(Cascade!$BL:$BL,MATCH($E77,Cascade!$E:$E,0)),"")</f>
        <v>0.5</v>
      </c>
      <c r="BC77" s="118" t="n">
        <f aca="false">_xlfn.IFNA(INDEX(Cascade!$BO:$BO,MATCH($E77,Cascade!$E:$E,0)),"")</f>
        <v>-1610</v>
      </c>
      <c r="BD77" s="118" t="n">
        <f aca="false">_xlfn.IFNA(INDEX(Cascade!$BR:$BR,MATCH($E77,Cascade!$E:$E,0)),"")</f>
        <v>1610.5</v>
      </c>
    </row>
    <row r="78" customFormat="false" ht="15" hidden="false" customHeight="false" outlineLevel="0" collapsed="false">
      <c r="A78" s="0" t="s">
        <v>148</v>
      </c>
      <c r="B78" s="0" t="s">
        <v>113</v>
      </c>
      <c r="C78" s="0" t="s">
        <v>61</v>
      </c>
      <c r="D78" s="0" t="s">
        <v>56</v>
      </c>
      <c r="E78" s="0" t="str">
        <f aca="false">B78&amp;"|"&amp;C78&amp;"|"&amp;D78</f>
        <v>Mokhotlong [#SNU] [tjhYqc1MlVo]|10-14|Female</v>
      </c>
      <c r="F78" s="73" t="n">
        <f aca="false">_xlfn.IFNA(INDEX(Cascade!$F:$F,MATCH($E78,Cascade!$E:$E,0)),"")</f>
        <v>6700</v>
      </c>
      <c r="G78" s="73" t="n">
        <f aca="false">_xlfn.IFNA(INDEX(Cascade!$H:$H,MATCH($E78,Cascade!$E:$E,0)),"")</f>
        <v>167</v>
      </c>
      <c r="H78" s="118" t="n">
        <f aca="false">_xlfn.IFNA(INDEX(Cascade!$J:$J,MATCH($E78,Cascade!$E:$E,0)),"")</f>
        <v>0.0248856</v>
      </c>
      <c r="I78" s="73" t="n">
        <f aca="false">_xlfn.IFNA(INDEX(Cascade!$P:$P,MATCH($E78,Cascade!$E:$E,0)),"")</f>
        <v>121</v>
      </c>
      <c r="J78" s="118" t="n">
        <f aca="false">_xlfn.IFNA(INDEX(Cascade!$Y:$Y,MATCH($E78,Cascade!$E:$E,0)),"")</f>
        <v>0.724550898203593</v>
      </c>
      <c r="K78" s="75" t="str">
        <f aca="false">_xlfn.IFNA(ROUND(INDEX(Spectrum!$N:$N,MATCH(RIGHT($B78,13)&amp;"|"&amp;$C78&amp;"|"&amp;$D78&amp;"|"&amp;K$14&amp;"|"&amp;"CY2021Q3",Spectrum!$Q:$Q,0)),0),"")</f>
        <v/>
      </c>
      <c r="L78" s="75" t="str">
        <f aca="false">_xlfn.IFNA(ROUND(INDEX(Spectrum!$N:$N,MATCH(RIGHT($B78,13)&amp;"|"&amp;$C78&amp;"|"&amp;$D78&amp;"|"&amp;L$14&amp;"|"&amp;"CY2021Q3",Spectrum!$Q:$Q,0)),0),"")</f>
        <v/>
      </c>
      <c r="M78" s="75" t="str">
        <f aca="false">_xlfn.IFNA(ROUND(INDEX(Spectrum!$N:$N,MATCH(RIGHT($B78,13)&amp;"|"&amp;$C78&amp;"|"&amp;$D78&amp;"|"&amp;M$14&amp;"|"&amp;"CY2021Q3",Spectrum!$Q:$Q,0)),0),"")</f>
        <v/>
      </c>
      <c r="N78" s="75" t="str">
        <f aca="false">_xlfn.IFNA(ROUND(INDEX(Spectrum!$N:$N,MATCH(RIGHT($B78,13)&amp;"|"&amp;$C78&amp;"|"&amp;$D78&amp;"|"&amp;N$14&amp;"|"&amp;"CY2021Q3",Spectrum!$Q:$Q,0)),0),"")</f>
        <v/>
      </c>
      <c r="O78" s="75" t="str">
        <f aca="false">_xlfn.IFNA(ROUND(INDEX(Spectrum!$N:$N,MATCH(RIGHT($B78,13)&amp;"|"&amp;$C78&amp;"|"&amp;$D78&amp;"|"&amp;O$14&amp;"|"&amp;"CY2021Q3",Spectrum!$Q:$Q,0)),0),"")</f>
        <v/>
      </c>
      <c r="P78" s="75" t="str">
        <f aca="false">_xlfn.IFNA(ROUND(INDEX(Spectrum!$N:$N,MATCH(RIGHT($B78,13)&amp;"|"&amp;$C78&amp;"|"&amp;$D78&amp;"|"&amp;P$14&amp;"|"&amp;"CY2021Q3",Spectrum!$Q:$Q,0)),0),"")</f>
        <v/>
      </c>
      <c r="Q78" s="75" t="str">
        <f aca="false">_xlfn.IFNA(ROUND(INDEX(Spectrum!$N:$N,MATCH(RIGHT($B78,13)&amp;"|"&amp;$C78&amp;"|"&amp;$D78&amp;"|"&amp;Q$14&amp;"|"&amp;"CY2021Q3",Spectrum!$Q:$Q,0)),0),"")</f>
        <v/>
      </c>
      <c r="R78" s="73"/>
      <c r="S78" s="118" t="str">
        <f aca="false">IF(SUM($R78)&lt;=0,"",0%)</f>
        <v/>
      </c>
      <c r="T78" s="75" t="str">
        <f aca="false">IF(SUM($R78)&lt;=0,"",ROUND(MIN($R78,$K78)*(1+$S78),0))</f>
        <v/>
      </c>
      <c r="U78" s="118" t="str">
        <f aca="false">IF(SUM($K78)=0,IF(SUM($R78)=0,"",1),MIN(SUM($R78)/SUM($K78),1))</f>
        <v/>
      </c>
      <c r="V78" s="118" t="str">
        <f aca="false">$U78</f>
        <v/>
      </c>
      <c r="W78" s="75" t="str">
        <f aca="false">IF(SUM($T78)=0,"",ROUND(SUM($T78)/IF(SUM($V78)=0,1,SUM($V78)),0))</f>
        <v/>
      </c>
      <c r="X78" s="118" t="n">
        <f aca="false">1</f>
        <v>1</v>
      </c>
      <c r="Y78" s="118"/>
      <c r="Z78" s="118" t="str">
        <f aca="false">IF(OR(SUM($K78)&lt;=0,SUM($L78)&lt;=0),IF(SUM($Y78)&lt;=0,"",$Y78),SUM($L78)/$K78)</f>
        <v/>
      </c>
      <c r="AA78" s="118"/>
      <c r="AB78" s="118" t="str">
        <f aca="false">IF(OR((SUM($K78)-SUM($L78))&lt;=0,SUM($M78)&lt;=0),IF(SUM($AA78)&lt;=0,"",$AA78),SUM($M78)/($K78-SUM($L78)))</f>
        <v/>
      </c>
      <c r="AC78" s="73" t="str">
        <f aca="false">IF(SUM($T78)&lt;=0,"",ROUND(SUM($T78)*$X78,0))</f>
        <v/>
      </c>
      <c r="AD78" s="75" t="str">
        <f aca="false">IF(SUM($AC78)&lt;=0,"",ROUND($AC78*SUM($Z78),0))</f>
        <v/>
      </c>
      <c r="AE78" s="75" t="str">
        <f aca="false">IF(SUM($T78)&lt;=0,"",ROUND(($AC78-$AD78)*SUM($AB78),0))</f>
        <v/>
      </c>
      <c r="AF78" s="75" t="str">
        <f aca="false">IF(SUM($AC78)&lt;=0,"",ROUND($AC78-$AD78-$AE78,0))</f>
        <v/>
      </c>
      <c r="AG78" s="73" t="str">
        <f aca="false">IF(SUM($W78)&lt;=0,"",ROUND(SUM($W78)*$X78,0))</f>
        <v/>
      </c>
      <c r="AH78" s="75" t="str">
        <f aca="false">IF(SUM($AG78)&lt;=0,"",ROUND($AG78*SUM($Z78),0))</f>
        <v/>
      </c>
      <c r="AI78" s="75" t="str">
        <f aca="false">IF(SUM($W78)&lt;=0,"",ROUND(($AG78-$AH78)*SUM($AB78),0))</f>
        <v/>
      </c>
      <c r="AJ78" s="75" t="str">
        <f aca="false">IF(SUM($AG78)&lt;=0,"",ROUND($AG78-$AH78-$AI78,0))</f>
        <v/>
      </c>
      <c r="AK78" s="118" t="n">
        <f aca="false">_xlfn.IFNA(INDEX(Cascade!$BA:$BA,MATCH($E78,Cascade!$E:$E,0)),"")</f>
        <v>0.95</v>
      </c>
      <c r="AL78" s="75" t="str">
        <f aca="false">IF(SUM($AD78)&lt;=0,"",$AD78)</f>
        <v/>
      </c>
      <c r="AM78" s="75" t="str">
        <f aca="false">IF(SUM($AE78)&lt;=0,"",ROUND($AE78*$AK78,0))</f>
        <v/>
      </c>
      <c r="AN78" s="75" t="str">
        <f aca="false">IF(AND(SUM($AH78)=0,SUM($AI78)=0),"",SUM($AH78)+SUM($AI78))</f>
        <v/>
      </c>
      <c r="AO78" s="75" t="str">
        <f aca="false">IF(SUM($AH78)&lt;=0,"",$AH78)</f>
        <v/>
      </c>
      <c r="AP78" s="75" t="str">
        <f aca="false">IF(SUM($AI78)&lt;=0,"",ROUND($AI78*$AK78,0))</f>
        <v/>
      </c>
      <c r="AQ78" s="73" t="str">
        <f aca="false">IF(SUM($T78,$AD78,$AE78)&lt;=0,"",MAX(SUM($T78,-$AD78,-$AE78),$AF78))</f>
        <v/>
      </c>
      <c r="AR78" s="118"/>
      <c r="AS78" s="118" t="str">
        <f aca="false">IF(SUM(AR78)=0,"",$AR78)</f>
        <v/>
      </c>
      <c r="AT78" s="118" t="n">
        <f aca="false">0.95</f>
        <v>0.95</v>
      </c>
      <c r="AU78" s="75" t="str">
        <f aca="false">IF(SUM($AQ78)&lt;=0,"",ROUND(SUM($AQ78)*SUM($AS78),0))</f>
        <v/>
      </c>
      <c r="AV78" s="75" t="str">
        <f aca="false">IF(SUM($AQ78)&lt;=0,"",$AQ78-$AU78)</f>
        <v/>
      </c>
      <c r="AW78" s="73" t="str">
        <f aca="false">IF(SUM($AU78)&lt;=0,"",ROUND($AU78*$AT78,0))</f>
        <v/>
      </c>
      <c r="AX78" s="73" t="str">
        <f aca="false">IF(SUM($AE78,$AD78,$AU78)&lt;=0,"",SUM($AE78,$AD78,$AU78))</f>
        <v/>
      </c>
      <c r="AY78" s="73" t="n">
        <f aca="false">_xlfn.IFNA(INDEX(Cascade!$BD:$BD,MATCH($E78,Cascade!$E:$E,0)),"")</f>
        <v>6</v>
      </c>
      <c r="AZ78" s="118" t="str">
        <f aca="false">IFERROR(IF(SUM($AE78)&lt;=0,"",$AE78/$AY78),"")</f>
        <v/>
      </c>
      <c r="BA78" s="118" t="str">
        <f aca="false">IFERROR(IF(SUM($AU78)&lt;=0,"",$AU78/$AY78),"")</f>
        <v/>
      </c>
      <c r="BB78" s="118" t="n">
        <f aca="false">_xlfn.IFNA(INDEX(Cascade!$BL:$BL,MATCH($E78,Cascade!$E:$E,0)),"")</f>
        <v>0.5</v>
      </c>
      <c r="BC78" s="118" t="str">
        <f aca="false">_xlfn.IFNA(INDEX(Cascade!$BO:$BO,MATCH($E78,Cascade!$E:$E,0)),"")</f>
        <v/>
      </c>
      <c r="BD78" s="118" t="n">
        <f aca="false">_xlfn.IFNA(INDEX(Cascade!$BR:$BR,MATCH($E78,Cascade!$E:$E,0)),"")</f>
        <v>0.5</v>
      </c>
    </row>
    <row r="79" customFormat="false" ht="15" hidden="false" customHeight="false" outlineLevel="0" collapsed="false">
      <c r="A79" s="0" t="s">
        <v>148</v>
      </c>
      <c r="B79" s="0" t="s">
        <v>113</v>
      </c>
      <c r="C79" s="0" t="s">
        <v>63</v>
      </c>
      <c r="D79" s="0" t="s">
        <v>56</v>
      </c>
      <c r="E79" s="0" t="str">
        <f aca="false">B79&amp;"|"&amp;C79&amp;"|"&amp;D79</f>
        <v>Mokhotlong [#SNU] [tjhYqc1MlVo]|15-19|Female</v>
      </c>
      <c r="F79" s="73" t="n">
        <f aca="false">_xlfn.IFNA(INDEX(Cascade!$F:$F,MATCH($E79,Cascade!$E:$E,0)),"")</f>
        <v>5619</v>
      </c>
      <c r="G79" s="73" t="n">
        <f aca="false">_xlfn.IFNA(INDEX(Cascade!$H:$H,MATCH($E79,Cascade!$E:$E,0)),"")</f>
        <v>273</v>
      </c>
      <c r="H79" s="118" t="n">
        <f aca="false">_xlfn.IFNA(INDEX(Cascade!$J:$J,MATCH($E79,Cascade!$E:$E,0)),"")</f>
        <v>0.0486723</v>
      </c>
      <c r="I79" s="73" t="n">
        <f aca="false">_xlfn.IFNA(INDEX(Cascade!$P:$P,MATCH($E79,Cascade!$E:$E,0)),"")</f>
        <v>179</v>
      </c>
      <c r="J79" s="118" t="n">
        <f aca="false">_xlfn.IFNA(INDEX(Cascade!$Y:$Y,MATCH($E79,Cascade!$E:$E,0)),"")</f>
        <v>0.655677655677656</v>
      </c>
      <c r="K79" s="75" t="str">
        <f aca="false">_xlfn.IFNA(ROUND(INDEX(Spectrum!$N:$N,MATCH(RIGHT($B79,13)&amp;"|"&amp;$C79&amp;"|"&amp;$D79&amp;"|"&amp;K$14&amp;"|"&amp;"CY2021Q3",Spectrum!$Q:$Q,0)),0),"")</f>
        <v/>
      </c>
      <c r="L79" s="75" t="str">
        <f aca="false">_xlfn.IFNA(ROUND(INDEX(Spectrum!$N:$N,MATCH(RIGHT($B79,13)&amp;"|"&amp;$C79&amp;"|"&amp;$D79&amp;"|"&amp;L$14&amp;"|"&amp;"CY2021Q3",Spectrum!$Q:$Q,0)),0),"")</f>
        <v/>
      </c>
      <c r="M79" s="75" t="str">
        <f aca="false">_xlfn.IFNA(ROUND(INDEX(Spectrum!$N:$N,MATCH(RIGHT($B79,13)&amp;"|"&amp;$C79&amp;"|"&amp;$D79&amp;"|"&amp;M$14&amp;"|"&amp;"CY2021Q3",Spectrum!$Q:$Q,0)),0),"")</f>
        <v/>
      </c>
      <c r="N79" s="75" t="str">
        <f aca="false">_xlfn.IFNA(ROUND(INDEX(Spectrum!$N:$N,MATCH(RIGHT($B79,13)&amp;"|"&amp;$C79&amp;"|"&amp;$D79&amp;"|"&amp;N$14&amp;"|"&amp;"CY2021Q3",Spectrum!$Q:$Q,0)),0),"")</f>
        <v/>
      </c>
      <c r="O79" s="75" t="str">
        <f aca="false">_xlfn.IFNA(ROUND(INDEX(Spectrum!$N:$N,MATCH(RIGHT($B79,13)&amp;"|"&amp;$C79&amp;"|"&amp;$D79&amp;"|"&amp;O$14&amp;"|"&amp;"CY2021Q3",Spectrum!$Q:$Q,0)),0),"")</f>
        <v/>
      </c>
      <c r="P79" s="75" t="str">
        <f aca="false">_xlfn.IFNA(ROUND(INDEX(Spectrum!$N:$N,MATCH(RIGHT($B79,13)&amp;"|"&amp;$C79&amp;"|"&amp;$D79&amp;"|"&amp;P$14&amp;"|"&amp;"CY2021Q3",Spectrum!$Q:$Q,0)),0),"")</f>
        <v/>
      </c>
      <c r="Q79" s="75" t="str">
        <f aca="false">_xlfn.IFNA(ROUND(INDEX(Spectrum!$N:$N,MATCH(RIGHT($B79,13)&amp;"|"&amp;$C79&amp;"|"&amp;$D79&amp;"|"&amp;Q$14&amp;"|"&amp;"CY2021Q3",Spectrum!$Q:$Q,0)),0),"")</f>
        <v/>
      </c>
      <c r="R79" s="73" t="n">
        <v>12</v>
      </c>
      <c r="S79" s="118" t="n">
        <f aca="false">IF(SUM($R79)&lt;=0,"",0%)</f>
        <v>0</v>
      </c>
      <c r="T79" s="75" t="n">
        <f aca="false">IF(SUM($R79)&lt;=0,"",ROUND(MIN($R79,$K79)*(1+$S79),0))</f>
        <v>12</v>
      </c>
      <c r="U79" s="118" t="n">
        <f aca="false">IF(SUM($K79)=0,IF(SUM($R79)=0,"",1),MIN(SUM($R79)/SUM($K79),1))</f>
        <v>1</v>
      </c>
      <c r="V79" s="118" t="n">
        <f aca="false">$U79</f>
        <v>1</v>
      </c>
      <c r="W79" s="75" t="n">
        <f aca="false">IF(SUM($T79)=0,"",ROUND(SUM($T79)/IF(SUM($V79)=0,1,SUM($V79)),0))</f>
        <v>12</v>
      </c>
      <c r="X79" s="118" t="n">
        <f aca="false">1</f>
        <v>1</v>
      </c>
      <c r="Y79" s="118" t="n">
        <v>28</v>
      </c>
      <c r="Z79" s="118" t="n">
        <f aca="false">IF(OR(SUM($K79)&lt;=0,SUM($L79)&lt;=0),IF(SUM($Y79)&lt;=0,"",$Y79),SUM($L79)/$K79)</f>
        <v>28</v>
      </c>
      <c r="AA79" s="118" t="n">
        <v>4</v>
      </c>
      <c r="AB79" s="118" t="n">
        <f aca="false">IF(OR((SUM($K79)-SUM($L79))&lt;=0,SUM($M79)&lt;=0),IF(SUM($AA79)&lt;=0,"",$AA79),SUM($M79)/($K79-SUM($L79)))</f>
        <v>4</v>
      </c>
      <c r="AC79" s="73" t="n">
        <f aca="false">IF(SUM($T79)&lt;=0,"",ROUND(SUM($T79)*$X79,0))</f>
        <v>12</v>
      </c>
      <c r="AD79" s="75" t="n">
        <f aca="false">IF(SUM($AC79)&lt;=0,"",ROUND($AC79*SUM($Z79),0))</f>
        <v>336</v>
      </c>
      <c r="AE79" s="75" t="n">
        <f aca="false">IF(SUM($T79)&lt;=0,"",ROUND(($AC79-$AD79)*SUM($AB79),0))</f>
        <v>-1296</v>
      </c>
      <c r="AF79" s="75" t="n">
        <f aca="false">IF(SUM($AC79)&lt;=0,"",ROUND($AC79-$AD79-$AE79,0))</f>
        <v>972</v>
      </c>
      <c r="AG79" s="73" t="n">
        <f aca="false">IF(SUM($W79)&lt;=0,"",ROUND(SUM($W79)*$X79,0))</f>
        <v>12</v>
      </c>
      <c r="AH79" s="75" t="n">
        <f aca="false">IF(SUM($AG79)&lt;=0,"",ROUND($AG79*SUM($Z79),0))</f>
        <v>336</v>
      </c>
      <c r="AI79" s="75" t="n">
        <f aca="false">IF(SUM($W79)&lt;=0,"",ROUND(($AG79-$AH79)*SUM($AB79),0))</f>
        <v>-1296</v>
      </c>
      <c r="AJ79" s="75" t="n">
        <f aca="false">IF(SUM($AG79)&lt;=0,"",ROUND($AG79-$AH79-$AI79,0))</f>
        <v>972</v>
      </c>
      <c r="AK79" s="118" t="n">
        <f aca="false">_xlfn.IFNA(INDEX(Cascade!$BA:$BA,MATCH($E79,Cascade!$E:$E,0)),"")</f>
        <v>0.95</v>
      </c>
      <c r="AL79" s="75" t="n">
        <f aca="false">IF(SUM($AD79)&lt;=0,"",$AD79)</f>
        <v>336</v>
      </c>
      <c r="AM79" s="75" t="str">
        <f aca="false">IF(SUM($AE79)&lt;=0,"",ROUND($AE79*$AK79,0))</f>
        <v/>
      </c>
      <c r="AN79" s="75" t="n">
        <f aca="false">IF(AND(SUM($AH79)=0,SUM($AI79)=0),"",SUM($AH79)+SUM($AI79))</f>
        <v>-960</v>
      </c>
      <c r="AO79" s="75" t="n">
        <f aca="false">IF(SUM($AH79)&lt;=0,"",$AH79)</f>
        <v>336</v>
      </c>
      <c r="AP79" s="75" t="str">
        <f aca="false">IF(SUM($AI79)&lt;=0,"",ROUND($AI79*$AK79,0))</f>
        <v/>
      </c>
      <c r="AQ79" s="73" t="str">
        <f aca="false">IF(SUM($T79,$AD79,$AE79)&lt;=0,"",MAX(SUM($T79,-$AD79,-$AE79),$AF79))</f>
        <v/>
      </c>
      <c r="AR79" s="118" t="n">
        <v>4</v>
      </c>
      <c r="AS79" s="118" t="n">
        <f aca="false">IF(SUM(AR79)=0,"",$AR79)</f>
        <v>4</v>
      </c>
      <c r="AT79" s="118" t="n">
        <f aca="false">0.95</f>
        <v>0.95</v>
      </c>
      <c r="AU79" s="75" t="str">
        <f aca="false">IF(SUM($AQ79)&lt;=0,"",ROUND(SUM($AQ79)*SUM($AS79),0))</f>
        <v/>
      </c>
      <c r="AV79" s="75" t="str">
        <f aca="false">IF(SUM($AQ79)&lt;=0,"",$AQ79-$AU79)</f>
        <v/>
      </c>
      <c r="AW79" s="73" t="str">
        <f aca="false">IF(SUM($AU79)&lt;=0,"",ROUND($AU79*$AT79,0))</f>
        <v/>
      </c>
      <c r="AX79" s="73" t="str">
        <f aca="false">IF(SUM($AE79,$AD79,$AU79)&lt;=0,"",SUM($AE79,$AD79,$AU79))</f>
        <v/>
      </c>
      <c r="AY79" s="73" t="n">
        <f aca="false">_xlfn.IFNA(INDEX(Cascade!$BD:$BD,MATCH($E79,Cascade!$E:$E,0)),"")</f>
        <v>20</v>
      </c>
      <c r="AZ79" s="118" t="str">
        <f aca="false">IFERROR(IF(SUM($AE79)&lt;=0,"",$AE79/$AY79),"")</f>
        <v/>
      </c>
      <c r="BA79" s="118" t="str">
        <f aca="false">IFERROR(IF(SUM($AU79)&lt;=0,"",$AU79/$AY79),"")</f>
        <v/>
      </c>
      <c r="BB79" s="118" t="n">
        <f aca="false">_xlfn.IFNA(INDEX(Cascade!$BL:$BL,MATCH($E79,Cascade!$E:$E,0)),"")</f>
        <v>0.3</v>
      </c>
      <c r="BC79" s="118" t="str">
        <f aca="false">_xlfn.IFNA(INDEX(Cascade!$BO:$BO,MATCH($E79,Cascade!$E:$E,0)),"")</f>
        <v/>
      </c>
      <c r="BD79" s="118" t="n">
        <f aca="false">_xlfn.IFNA(INDEX(Cascade!$BR:$BR,MATCH($E79,Cascade!$E:$E,0)),"")</f>
        <v>65.5</v>
      </c>
    </row>
    <row r="80" customFormat="false" ht="15" hidden="false" customHeight="false" outlineLevel="0" collapsed="false">
      <c r="A80" s="0" t="s">
        <v>148</v>
      </c>
      <c r="B80" s="0" t="s">
        <v>113</v>
      </c>
      <c r="C80" s="0" t="s">
        <v>66</v>
      </c>
      <c r="D80" s="0" t="s">
        <v>56</v>
      </c>
      <c r="E80" s="0" t="str">
        <f aca="false">B80&amp;"|"&amp;C80&amp;"|"&amp;D80</f>
        <v>Mokhotlong [#SNU] [tjhYqc1MlVo]|20-24|Female</v>
      </c>
      <c r="F80" s="73" t="n">
        <f aca="false">_xlfn.IFNA(INDEX(Cascade!$F:$F,MATCH($E80,Cascade!$E:$E,0)),"")</f>
        <v>4377</v>
      </c>
      <c r="G80" s="73" t="n">
        <f aca="false">_xlfn.IFNA(INDEX(Cascade!$H:$H,MATCH($E80,Cascade!$E:$E,0)),"")</f>
        <v>636</v>
      </c>
      <c r="H80" s="118" t="n">
        <f aca="false">_xlfn.IFNA(INDEX(Cascade!$J:$J,MATCH($E80,Cascade!$E:$E,0)),"")</f>
        <v>0.1453799</v>
      </c>
      <c r="I80" s="73" t="n">
        <f aca="false">_xlfn.IFNA(INDEX(Cascade!$P:$P,MATCH($E80,Cascade!$E:$E,0)),"")</f>
        <v>375</v>
      </c>
      <c r="J80" s="118" t="n">
        <f aca="false">_xlfn.IFNA(INDEX(Cascade!$Y:$Y,MATCH($E80,Cascade!$E:$E,0)),"")</f>
        <v>0.589622641509434</v>
      </c>
      <c r="K80" s="75" t="str">
        <f aca="false">_xlfn.IFNA(ROUND(INDEX(Spectrum!$N:$N,MATCH(RIGHT($B80,13)&amp;"|"&amp;$C80&amp;"|"&amp;$D80&amp;"|"&amp;K$14&amp;"|"&amp;"CY2021Q3",Spectrum!$Q:$Q,0)),0),"")</f>
        <v/>
      </c>
      <c r="L80" s="75" t="str">
        <f aca="false">_xlfn.IFNA(ROUND(INDEX(Spectrum!$N:$N,MATCH(RIGHT($B80,13)&amp;"|"&amp;$C80&amp;"|"&amp;$D80&amp;"|"&amp;L$14&amp;"|"&amp;"CY2021Q3",Spectrum!$Q:$Q,0)),0),"")</f>
        <v/>
      </c>
      <c r="M80" s="75" t="str">
        <f aca="false">_xlfn.IFNA(ROUND(INDEX(Spectrum!$N:$N,MATCH(RIGHT($B80,13)&amp;"|"&amp;$C80&amp;"|"&amp;$D80&amp;"|"&amp;M$14&amp;"|"&amp;"CY2021Q3",Spectrum!$Q:$Q,0)),0),"")</f>
        <v/>
      </c>
      <c r="N80" s="75" t="str">
        <f aca="false">_xlfn.IFNA(ROUND(INDEX(Spectrum!$N:$N,MATCH(RIGHT($B80,13)&amp;"|"&amp;$C80&amp;"|"&amp;$D80&amp;"|"&amp;N$14&amp;"|"&amp;"CY2021Q3",Spectrum!$Q:$Q,0)),0),"")</f>
        <v/>
      </c>
      <c r="O80" s="75" t="str">
        <f aca="false">_xlfn.IFNA(ROUND(INDEX(Spectrum!$N:$N,MATCH(RIGHT($B80,13)&amp;"|"&amp;$C80&amp;"|"&amp;$D80&amp;"|"&amp;O$14&amp;"|"&amp;"CY2021Q3",Spectrum!$Q:$Q,0)),0),"")</f>
        <v/>
      </c>
      <c r="P80" s="75" t="str">
        <f aca="false">_xlfn.IFNA(ROUND(INDEX(Spectrum!$N:$N,MATCH(RIGHT($B80,13)&amp;"|"&amp;$C80&amp;"|"&amp;$D80&amp;"|"&amp;P$14&amp;"|"&amp;"CY2021Q3",Spectrum!$Q:$Q,0)),0),"")</f>
        <v/>
      </c>
      <c r="Q80" s="75" t="str">
        <f aca="false">_xlfn.IFNA(ROUND(INDEX(Spectrum!$N:$N,MATCH(RIGHT($B80,13)&amp;"|"&amp;$C80&amp;"|"&amp;$D80&amp;"|"&amp;Q$14&amp;"|"&amp;"CY2021Q3",Spectrum!$Q:$Q,0)),0),"")</f>
        <v/>
      </c>
      <c r="R80" s="73" t="n">
        <v>24</v>
      </c>
      <c r="S80" s="118" t="n">
        <f aca="false">IF(SUM($R80)&lt;=0,"",0%)</f>
        <v>0</v>
      </c>
      <c r="T80" s="75" t="n">
        <f aca="false">IF(SUM($R80)&lt;=0,"",ROUND(MIN($R80,$K80)*(1+$S80),0))</f>
        <v>24</v>
      </c>
      <c r="U80" s="118" t="n">
        <f aca="false">IF(SUM($K80)=0,IF(SUM($R80)=0,"",1),MIN(SUM($R80)/SUM($K80),1))</f>
        <v>1</v>
      </c>
      <c r="V80" s="118" t="n">
        <f aca="false">$U80</f>
        <v>1</v>
      </c>
      <c r="W80" s="75" t="n">
        <f aca="false">IF(SUM($T80)=0,"",ROUND(SUM($T80)/IF(SUM($V80)=0,1,SUM($V80)),0))</f>
        <v>24</v>
      </c>
      <c r="X80" s="118" t="n">
        <f aca="false">1</f>
        <v>1</v>
      </c>
      <c r="Y80" s="118" t="n">
        <v>22</v>
      </c>
      <c r="Z80" s="118" t="n">
        <f aca="false">IF(OR(SUM($K80)&lt;=0,SUM($L80)&lt;=0),IF(SUM($Y80)&lt;=0,"",$Y80),SUM($L80)/$K80)</f>
        <v>22</v>
      </c>
      <c r="AA80" s="118" t="n">
        <v>30</v>
      </c>
      <c r="AB80" s="118" t="n">
        <f aca="false">IF(OR((SUM($K80)-SUM($L80))&lt;=0,SUM($M80)&lt;=0),IF(SUM($AA80)&lt;=0,"",$AA80),SUM($M80)/($K80-SUM($L80)))</f>
        <v>30</v>
      </c>
      <c r="AC80" s="73" t="n">
        <f aca="false">IF(SUM($T80)&lt;=0,"",ROUND(SUM($T80)*$X80,0))</f>
        <v>24</v>
      </c>
      <c r="AD80" s="75" t="n">
        <f aca="false">IF(SUM($AC80)&lt;=0,"",ROUND($AC80*SUM($Z80),0))</f>
        <v>528</v>
      </c>
      <c r="AE80" s="75" t="n">
        <f aca="false">IF(SUM($T80)&lt;=0,"",ROUND(($AC80-$AD80)*SUM($AB80),0))</f>
        <v>-15120</v>
      </c>
      <c r="AF80" s="75" t="n">
        <f aca="false">IF(SUM($AC80)&lt;=0,"",ROUND($AC80-$AD80-$AE80,0))</f>
        <v>14616</v>
      </c>
      <c r="AG80" s="73" t="n">
        <f aca="false">IF(SUM($W80)&lt;=0,"",ROUND(SUM($W80)*$X80,0))</f>
        <v>24</v>
      </c>
      <c r="AH80" s="75" t="n">
        <f aca="false">IF(SUM($AG80)&lt;=0,"",ROUND($AG80*SUM($Z80),0))</f>
        <v>528</v>
      </c>
      <c r="AI80" s="75" t="n">
        <f aca="false">IF(SUM($W80)&lt;=0,"",ROUND(($AG80-$AH80)*SUM($AB80),0))</f>
        <v>-15120</v>
      </c>
      <c r="AJ80" s="75" t="n">
        <f aca="false">IF(SUM($AG80)&lt;=0,"",ROUND($AG80-$AH80-$AI80,0))</f>
        <v>14616</v>
      </c>
      <c r="AK80" s="118" t="n">
        <f aca="false">_xlfn.IFNA(INDEX(Cascade!$BA:$BA,MATCH($E80,Cascade!$E:$E,0)),"")</f>
        <v>0.95</v>
      </c>
      <c r="AL80" s="75" t="n">
        <f aca="false">IF(SUM($AD80)&lt;=0,"",$AD80)</f>
        <v>528</v>
      </c>
      <c r="AM80" s="75" t="str">
        <f aca="false">IF(SUM($AE80)&lt;=0,"",ROUND($AE80*$AK80,0))</f>
        <v/>
      </c>
      <c r="AN80" s="75" t="n">
        <f aca="false">IF(AND(SUM($AH80)=0,SUM($AI80)=0),"",SUM($AH80)+SUM($AI80))</f>
        <v>-14592</v>
      </c>
      <c r="AO80" s="75" t="n">
        <f aca="false">IF(SUM($AH80)&lt;=0,"",$AH80)</f>
        <v>528</v>
      </c>
      <c r="AP80" s="75" t="str">
        <f aca="false">IF(SUM($AI80)&lt;=0,"",ROUND($AI80*$AK80,0))</f>
        <v/>
      </c>
      <c r="AQ80" s="73" t="str">
        <f aca="false">IF(SUM($T80,$AD80,$AE80)&lt;=0,"",MAX(SUM($T80,-$AD80,-$AE80),$AF80))</f>
        <v/>
      </c>
      <c r="AR80" s="118"/>
      <c r="AS80" s="118" t="str">
        <f aca="false">IF(SUM(AR80)=0,"",$AR80)</f>
        <v/>
      </c>
      <c r="AT80" s="118" t="n">
        <f aca="false">0.95</f>
        <v>0.95</v>
      </c>
      <c r="AU80" s="75" t="str">
        <f aca="false">IF(SUM($AQ80)&lt;=0,"",ROUND(SUM($AQ80)*SUM($AS80),0))</f>
        <v/>
      </c>
      <c r="AV80" s="75" t="str">
        <f aca="false">IF(SUM($AQ80)&lt;=0,"",$AQ80-$AU80)</f>
        <v/>
      </c>
      <c r="AW80" s="73" t="str">
        <f aca="false">IF(SUM($AU80)&lt;=0,"",ROUND($AU80*$AT80,0))</f>
        <v/>
      </c>
      <c r="AX80" s="73" t="str">
        <f aca="false">IF(SUM($AE80,$AD80,$AU80)&lt;=0,"",SUM($AE80,$AD80,$AU80))</f>
        <v/>
      </c>
      <c r="AY80" s="73" t="n">
        <f aca="false">_xlfn.IFNA(INDEX(Cascade!$BD:$BD,MATCH($E80,Cascade!$E:$E,0)),"")</f>
        <v>2</v>
      </c>
      <c r="AZ80" s="118" t="str">
        <f aca="false">IFERROR(IF(SUM($AE80)&lt;=0,"",$AE80/$AY80),"")</f>
        <v/>
      </c>
      <c r="BA80" s="118" t="str">
        <f aca="false">IFERROR(IF(SUM($AU80)&lt;=0,"",$AU80/$AY80),"")</f>
        <v/>
      </c>
      <c r="BB80" s="118" t="n">
        <f aca="false">_xlfn.IFNA(INDEX(Cascade!$BL:$BL,MATCH($E80,Cascade!$E:$E,0)),"")</f>
        <v>0.5</v>
      </c>
      <c r="BC80" s="118" t="n">
        <f aca="false">_xlfn.IFNA(INDEX(Cascade!$BO:$BO,MATCH($E80,Cascade!$E:$E,0)),"")</f>
        <v>-22320</v>
      </c>
      <c r="BD80" s="118" t="n">
        <f aca="false">_xlfn.IFNA(INDEX(Cascade!$BR:$BR,MATCH($E80,Cascade!$E:$E,0)),"")</f>
        <v>29880.5</v>
      </c>
    </row>
    <row r="81" customFormat="false" ht="15" hidden="false" customHeight="false" outlineLevel="0" collapsed="false">
      <c r="A81" s="0" t="s">
        <v>148</v>
      </c>
      <c r="B81" s="0" t="s">
        <v>113</v>
      </c>
      <c r="C81" s="0" t="s">
        <v>69</v>
      </c>
      <c r="D81" s="0" t="s">
        <v>56</v>
      </c>
      <c r="E81" s="0" t="str">
        <f aca="false">B81&amp;"|"&amp;C81&amp;"|"&amp;D81</f>
        <v>Mokhotlong [#SNU] [tjhYqc1MlVo]|25-29|Female</v>
      </c>
      <c r="F81" s="73" t="n">
        <f aca="false">_xlfn.IFNA(INDEX(Cascade!$F:$F,MATCH($E81,Cascade!$E:$E,0)),"")</f>
        <v>3880</v>
      </c>
      <c r="G81" s="73" t="n">
        <f aca="false">_xlfn.IFNA(INDEX(Cascade!$H:$H,MATCH($E81,Cascade!$E:$E,0)),"")</f>
        <v>1036</v>
      </c>
      <c r="H81" s="118" t="n">
        <f aca="false">_xlfn.IFNA(INDEX(Cascade!$J:$J,MATCH($E81,Cascade!$E:$E,0)),"")</f>
        <v>0.2670246</v>
      </c>
      <c r="I81" s="73" t="n">
        <f aca="false">_xlfn.IFNA(INDEX(Cascade!$P:$P,MATCH($E81,Cascade!$E:$E,0)),"")</f>
        <v>625</v>
      </c>
      <c r="J81" s="118" t="n">
        <f aca="false">_xlfn.IFNA(INDEX(Cascade!$Y:$Y,MATCH($E81,Cascade!$E:$E,0)),"")</f>
        <v>0.603281853281853</v>
      </c>
      <c r="K81" s="75" t="str">
        <f aca="false">_xlfn.IFNA(ROUND(INDEX(Spectrum!$N:$N,MATCH(RIGHT($B81,13)&amp;"|"&amp;$C81&amp;"|"&amp;$D81&amp;"|"&amp;K$14&amp;"|"&amp;"CY2021Q3",Spectrum!$Q:$Q,0)),0),"")</f>
        <v/>
      </c>
      <c r="L81" s="75" t="str">
        <f aca="false">_xlfn.IFNA(ROUND(INDEX(Spectrum!$N:$N,MATCH(RIGHT($B81,13)&amp;"|"&amp;$C81&amp;"|"&amp;$D81&amp;"|"&amp;L$14&amp;"|"&amp;"CY2021Q3",Spectrum!$Q:$Q,0)),0),"")</f>
        <v/>
      </c>
      <c r="M81" s="75" t="str">
        <f aca="false">_xlfn.IFNA(ROUND(INDEX(Spectrum!$N:$N,MATCH(RIGHT($B81,13)&amp;"|"&amp;$C81&amp;"|"&amp;$D81&amp;"|"&amp;M$14&amp;"|"&amp;"CY2021Q3",Spectrum!$Q:$Q,0)),0),"")</f>
        <v/>
      </c>
      <c r="N81" s="75" t="str">
        <f aca="false">_xlfn.IFNA(ROUND(INDEX(Spectrum!$N:$N,MATCH(RIGHT($B81,13)&amp;"|"&amp;$C81&amp;"|"&amp;$D81&amp;"|"&amp;N$14&amp;"|"&amp;"CY2021Q3",Spectrum!$Q:$Q,0)),0),"")</f>
        <v/>
      </c>
      <c r="O81" s="75" t="str">
        <f aca="false">_xlfn.IFNA(ROUND(INDEX(Spectrum!$N:$N,MATCH(RIGHT($B81,13)&amp;"|"&amp;$C81&amp;"|"&amp;$D81&amp;"|"&amp;O$14&amp;"|"&amp;"CY2021Q3",Spectrum!$Q:$Q,0)),0),"")</f>
        <v/>
      </c>
      <c r="P81" s="75" t="str">
        <f aca="false">_xlfn.IFNA(ROUND(INDEX(Spectrum!$N:$N,MATCH(RIGHT($B81,13)&amp;"|"&amp;$C81&amp;"|"&amp;$D81&amp;"|"&amp;P$14&amp;"|"&amp;"CY2021Q3",Spectrum!$Q:$Q,0)),0),"")</f>
        <v/>
      </c>
      <c r="Q81" s="75" t="str">
        <f aca="false">_xlfn.IFNA(ROUND(INDEX(Spectrum!$N:$N,MATCH(RIGHT($B81,13)&amp;"|"&amp;$C81&amp;"|"&amp;$D81&amp;"|"&amp;Q$14&amp;"|"&amp;"CY2021Q3",Spectrum!$Q:$Q,0)),0),"")</f>
        <v/>
      </c>
      <c r="R81" s="73" t="n">
        <v>34</v>
      </c>
      <c r="S81" s="118" t="n">
        <f aca="false">IF(SUM($R81)&lt;=0,"",0%)</f>
        <v>0</v>
      </c>
      <c r="T81" s="75" t="n">
        <f aca="false">IF(SUM($R81)&lt;=0,"",ROUND(MIN($R81,$K81)*(1+$S81),0))</f>
        <v>34</v>
      </c>
      <c r="U81" s="118" t="n">
        <f aca="false">IF(SUM($K81)=0,IF(SUM($R81)=0,"",1),MIN(SUM($R81)/SUM($K81),1))</f>
        <v>1</v>
      </c>
      <c r="V81" s="118" t="n">
        <f aca="false">$U81</f>
        <v>1</v>
      </c>
      <c r="W81" s="75" t="n">
        <f aca="false">IF(SUM($T81)=0,"",ROUND(SUM($T81)/IF(SUM($V81)=0,1,SUM($V81)),0))</f>
        <v>34</v>
      </c>
      <c r="X81" s="118" t="n">
        <f aca="false">1</f>
        <v>1</v>
      </c>
      <c r="Y81" s="118" t="n">
        <v>11</v>
      </c>
      <c r="Z81" s="118" t="n">
        <f aca="false">IF(OR(SUM($K81)&lt;=0,SUM($L81)&lt;=0),IF(SUM($Y81)&lt;=0,"",$Y81),SUM($L81)/$K81)</f>
        <v>11</v>
      </c>
      <c r="AA81" s="118" t="n">
        <v>37</v>
      </c>
      <c r="AB81" s="118" t="n">
        <f aca="false">IF(OR((SUM($K81)-SUM($L81))&lt;=0,SUM($M81)&lt;=0),IF(SUM($AA81)&lt;=0,"",$AA81),SUM($M81)/($K81-SUM($L81)))</f>
        <v>37</v>
      </c>
      <c r="AC81" s="73" t="n">
        <f aca="false">IF(SUM($T81)&lt;=0,"",ROUND(SUM($T81)*$X81,0))</f>
        <v>34</v>
      </c>
      <c r="AD81" s="75" t="n">
        <f aca="false">IF(SUM($AC81)&lt;=0,"",ROUND($AC81*SUM($Z81),0))</f>
        <v>374</v>
      </c>
      <c r="AE81" s="75" t="n">
        <f aca="false">IF(SUM($T81)&lt;=0,"",ROUND(($AC81-$AD81)*SUM($AB81),0))</f>
        <v>-12580</v>
      </c>
      <c r="AF81" s="75" t="n">
        <f aca="false">IF(SUM($AC81)&lt;=0,"",ROUND($AC81-$AD81-$AE81,0))</f>
        <v>12240</v>
      </c>
      <c r="AG81" s="73" t="n">
        <f aca="false">IF(SUM($W81)&lt;=0,"",ROUND(SUM($W81)*$X81,0))</f>
        <v>34</v>
      </c>
      <c r="AH81" s="75" t="n">
        <f aca="false">IF(SUM($AG81)&lt;=0,"",ROUND($AG81*SUM($Z81),0))</f>
        <v>374</v>
      </c>
      <c r="AI81" s="75" t="n">
        <f aca="false">IF(SUM($W81)&lt;=0,"",ROUND(($AG81-$AH81)*SUM($AB81),0))</f>
        <v>-12580</v>
      </c>
      <c r="AJ81" s="75" t="n">
        <f aca="false">IF(SUM($AG81)&lt;=0,"",ROUND($AG81-$AH81-$AI81,0))</f>
        <v>12240</v>
      </c>
      <c r="AK81" s="118" t="n">
        <f aca="false">_xlfn.IFNA(INDEX(Cascade!$BA:$BA,MATCH($E81,Cascade!$E:$E,0)),"")</f>
        <v>0.95</v>
      </c>
      <c r="AL81" s="75" t="n">
        <f aca="false">IF(SUM($AD81)&lt;=0,"",$AD81)</f>
        <v>374</v>
      </c>
      <c r="AM81" s="75" t="str">
        <f aca="false">IF(SUM($AE81)&lt;=0,"",ROUND($AE81*$AK81,0))</f>
        <v/>
      </c>
      <c r="AN81" s="75" t="n">
        <f aca="false">IF(AND(SUM($AH81)=0,SUM($AI81)=0),"",SUM($AH81)+SUM($AI81))</f>
        <v>-12206</v>
      </c>
      <c r="AO81" s="75" t="n">
        <f aca="false">IF(SUM($AH81)&lt;=0,"",$AH81)</f>
        <v>374</v>
      </c>
      <c r="AP81" s="75" t="str">
        <f aca="false">IF(SUM($AI81)&lt;=0,"",ROUND($AI81*$AK81,0))</f>
        <v/>
      </c>
      <c r="AQ81" s="73" t="str">
        <f aca="false">IF(SUM($T81,$AD81,$AE81)&lt;=0,"",MAX(SUM($T81,-$AD81,-$AE81),$AF81))</f>
        <v/>
      </c>
      <c r="AR81" s="118" t="n">
        <v>15</v>
      </c>
      <c r="AS81" s="118" t="n">
        <f aca="false">IF(SUM(AR81)=0,"",$AR81)</f>
        <v>15</v>
      </c>
      <c r="AT81" s="118" t="n">
        <f aca="false">0.95</f>
        <v>0.95</v>
      </c>
      <c r="AU81" s="75" t="str">
        <f aca="false">IF(SUM($AQ81)&lt;=0,"",ROUND(SUM($AQ81)*SUM($AS81),0))</f>
        <v/>
      </c>
      <c r="AV81" s="75" t="str">
        <f aca="false">IF(SUM($AQ81)&lt;=0,"",$AQ81-$AU81)</f>
        <v/>
      </c>
      <c r="AW81" s="73" t="str">
        <f aca="false">IF(SUM($AU81)&lt;=0,"",ROUND($AU81*$AT81,0))</f>
        <v/>
      </c>
      <c r="AX81" s="73" t="str">
        <f aca="false">IF(SUM($AE81,$AD81,$AU81)&lt;=0,"",SUM($AE81,$AD81,$AU81))</f>
        <v/>
      </c>
      <c r="AY81" s="73" t="n">
        <f aca="false">_xlfn.IFNA(INDEX(Cascade!$BD:$BD,MATCH($E81,Cascade!$E:$E,0)),"")</f>
        <v>20</v>
      </c>
      <c r="AZ81" s="118" t="str">
        <f aca="false">IFERROR(IF(SUM($AE81)&lt;=0,"",$AE81/$AY81),"")</f>
        <v/>
      </c>
      <c r="BA81" s="118" t="str">
        <f aca="false">IFERROR(IF(SUM($AU81)&lt;=0,"",$AU81/$AY81),"")</f>
        <v/>
      </c>
      <c r="BB81" s="118" t="n">
        <f aca="false">_xlfn.IFNA(INDEX(Cascade!$BL:$BL,MATCH($E81,Cascade!$E:$E,0)),"")</f>
        <v>0.3</v>
      </c>
      <c r="BC81" s="118" t="n">
        <f aca="false">_xlfn.IFNA(INDEX(Cascade!$BO:$BO,MATCH($E81,Cascade!$E:$E,0)),"")</f>
        <v>-10.5</v>
      </c>
      <c r="BD81" s="118" t="n">
        <f aca="false">_xlfn.IFNA(INDEX(Cascade!$BR:$BR,MATCH($E81,Cascade!$E:$E,0)),"")</f>
        <v>640.2</v>
      </c>
    </row>
    <row r="82" customFormat="false" ht="15" hidden="false" customHeight="false" outlineLevel="0" collapsed="false">
      <c r="A82" s="0" t="s">
        <v>148</v>
      </c>
      <c r="B82" s="0" t="s">
        <v>113</v>
      </c>
      <c r="C82" s="0" t="s">
        <v>72</v>
      </c>
      <c r="D82" s="0" t="s">
        <v>56</v>
      </c>
      <c r="E82" s="0" t="str">
        <f aca="false">B82&amp;"|"&amp;C82&amp;"|"&amp;D82</f>
        <v>Mokhotlong [#SNU] [tjhYqc1MlVo]|30-34|Female</v>
      </c>
      <c r="F82" s="73" t="n">
        <f aca="false">_xlfn.IFNA(INDEX(Cascade!$F:$F,MATCH($E82,Cascade!$E:$E,0)),"")</f>
        <v>3641</v>
      </c>
      <c r="G82" s="73" t="n">
        <f aca="false">_xlfn.IFNA(INDEX(Cascade!$H:$H,MATCH($E82,Cascade!$E:$E,0)),"")</f>
        <v>1346</v>
      </c>
      <c r="H82" s="118" t="n">
        <f aca="false">_xlfn.IFNA(INDEX(Cascade!$J:$J,MATCH($E82,Cascade!$E:$E,0)),"")</f>
        <v>0.3698365</v>
      </c>
      <c r="I82" s="73" t="n">
        <f aca="false">_xlfn.IFNA(INDEX(Cascade!$P:$P,MATCH($E82,Cascade!$E:$E,0)),"")</f>
        <v>804</v>
      </c>
      <c r="J82" s="118" t="n">
        <f aca="false">_xlfn.IFNA(INDEX(Cascade!$Y:$Y,MATCH($E82,Cascade!$E:$E,0)),"")</f>
        <v>0.597325408618128</v>
      </c>
      <c r="K82" s="75" t="str">
        <f aca="false">_xlfn.IFNA(ROUND(INDEX(Spectrum!$N:$N,MATCH(RIGHT($B82,13)&amp;"|"&amp;$C82&amp;"|"&amp;$D82&amp;"|"&amp;K$14&amp;"|"&amp;"CY2021Q3",Spectrum!$Q:$Q,0)),0),"")</f>
        <v/>
      </c>
      <c r="L82" s="75" t="str">
        <f aca="false">_xlfn.IFNA(ROUND(INDEX(Spectrum!$N:$N,MATCH(RIGHT($B82,13)&amp;"|"&amp;$C82&amp;"|"&amp;$D82&amp;"|"&amp;L$14&amp;"|"&amp;"CY2021Q3",Spectrum!$Q:$Q,0)),0),"")</f>
        <v/>
      </c>
      <c r="M82" s="75" t="str">
        <f aca="false">_xlfn.IFNA(ROUND(INDEX(Spectrum!$N:$N,MATCH(RIGHT($B82,13)&amp;"|"&amp;$C82&amp;"|"&amp;$D82&amp;"|"&amp;M$14&amp;"|"&amp;"CY2021Q3",Spectrum!$Q:$Q,0)),0),"")</f>
        <v/>
      </c>
      <c r="N82" s="75" t="str">
        <f aca="false">_xlfn.IFNA(ROUND(INDEX(Spectrum!$N:$N,MATCH(RIGHT($B82,13)&amp;"|"&amp;$C82&amp;"|"&amp;$D82&amp;"|"&amp;N$14&amp;"|"&amp;"CY2021Q3",Spectrum!$Q:$Q,0)),0),"")</f>
        <v/>
      </c>
      <c r="O82" s="75" t="str">
        <f aca="false">_xlfn.IFNA(ROUND(INDEX(Spectrum!$N:$N,MATCH(RIGHT($B82,13)&amp;"|"&amp;$C82&amp;"|"&amp;$D82&amp;"|"&amp;O$14&amp;"|"&amp;"CY2021Q3",Spectrum!$Q:$Q,0)),0),"")</f>
        <v/>
      </c>
      <c r="P82" s="75" t="str">
        <f aca="false">_xlfn.IFNA(ROUND(INDEX(Spectrum!$N:$N,MATCH(RIGHT($B82,13)&amp;"|"&amp;$C82&amp;"|"&amp;$D82&amp;"|"&amp;P$14&amp;"|"&amp;"CY2021Q3",Spectrum!$Q:$Q,0)),0),"")</f>
        <v/>
      </c>
      <c r="Q82" s="75" t="str">
        <f aca="false">_xlfn.IFNA(ROUND(INDEX(Spectrum!$N:$N,MATCH(RIGHT($B82,13)&amp;"|"&amp;$C82&amp;"|"&amp;$D82&amp;"|"&amp;Q$14&amp;"|"&amp;"CY2021Q3",Spectrum!$Q:$Q,0)),0),"")</f>
        <v/>
      </c>
      <c r="R82" s="73" t="n">
        <v>28</v>
      </c>
      <c r="S82" s="118" t="n">
        <f aca="false">IF(SUM($R82)&lt;=0,"",0%)</f>
        <v>0</v>
      </c>
      <c r="T82" s="75" t="n">
        <f aca="false">IF(SUM($R82)&lt;=0,"",ROUND(MIN($R82,$K82)*(1+$S82),0))</f>
        <v>28</v>
      </c>
      <c r="U82" s="118" t="n">
        <f aca="false">IF(SUM($K82)=0,IF(SUM($R82)=0,"",1),MIN(SUM($R82)/SUM($K82),1))</f>
        <v>1</v>
      </c>
      <c r="V82" s="118" t="n">
        <f aca="false">$U82</f>
        <v>1</v>
      </c>
      <c r="W82" s="75" t="n">
        <f aca="false">IF(SUM($T82)=0,"",ROUND(SUM($T82)/IF(SUM($V82)=0,1,SUM($V82)),0))</f>
        <v>28</v>
      </c>
      <c r="X82" s="118" t="n">
        <f aca="false">1</f>
        <v>1</v>
      </c>
      <c r="Y82" s="118" t="n">
        <v>18</v>
      </c>
      <c r="Z82" s="118" t="n">
        <f aca="false">IF(OR(SUM($K82)&lt;=0,SUM($L82)&lt;=0),IF(SUM($Y82)&lt;=0,"",$Y82),SUM($L82)/$K82)</f>
        <v>18</v>
      </c>
      <c r="AA82" s="118" t="n">
        <v>11</v>
      </c>
      <c r="AB82" s="118" t="n">
        <f aca="false">IF(OR((SUM($K82)-SUM($L82))&lt;=0,SUM($M82)&lt;=0),IF(SUM($AA82)&lt;=0,"",$AA82),SUM($M82)/($K82-SUM($L82)))</f>
        <v>11</v>
      </c>
      <c r="AC82" s="73" t="n">
        <f aca="false">IF(SUM($T82)&lt;=0,"",ROUND(SUM($T82)*$X82,0))</f>
        <v>28</v>
      </c>
      <c r="AD82" s="75" t="n">
        <f aca="false">IF(SUM($AC82)&lt;=0,"",ROUND($AC82*SUM($Z82),0))</f>
        <v>504</v>
      </c>
      <c r="AE82" s="75" t="n">
        <f aca="false">IF(SUM($T82)&lt;=0,"",ROUND(($AC82-$AD82)*SUM($AB82),0))</f>
        <v>-5236</v>
      </c>
      <c r="AF82" s="75" t="n">
        <f aca="false">IF(SUM($AC82)&lt;=0,"",ROUND($AC82-$AD82-$AE82,0))</f>
        <v>4760</v>
      </c>
      <c r="AG82" s="73" t="n">
        <f aca="false">IF(SUM($W82)&lt;=0,"",ROUND(SUM($W82)*$X82,0))</f>
        <v>28</v>
      </c>
      <c r="AH82" s="75" t="n">
        <f aca="false">IF(SUM($AG82)&lt;=0,"",ROUND($AG82*SUM($Z82),0))</f>
        <v>504</v>
      </c>
      <c r="AI82" s="75" t="n">
        <f aca="false">IF(SUM($W82)&lt;=0,"",ROUND(($AG82-$AH82)*SUM($AB82),0))</f>
        <v>-5236</v>
      </c>
      <c r="AJ82" s="75" t="n">
        <f aca="false">IF(SUM($AG82)&lt;=0,"",ROUND($AG82-$AH82-$AI82,0))</f>
        <v>4760</v>
      </c>
      <c r="AK82" s="118" t="n">
        <f aca="false">_xlfn.IFNA(INDEX(Cascade!$BA:$BA,MATCH($E82,Cascade!$E:$E,0)),"")</f>
        <v>0.95</v>
      </c>
      <c r="AL82" s="75" t="n">
        <f aca="false">IF(SUM($AD82)&lt;=0,"",$AD82)</f>
        <v>504</v>
      </c>
      <c r="AM82" s="75" t="str">
        <f aca="false">IF(SUM($AE82)&lt;=0,"",ROUND($AE82*$AK82,0))</f>
        <v/>
      </c>
      <c r="AN82" s="75" t="n">
        <f aca="false">IF(AND(SUM($AH82)=0,SUM($AI82)=0),"",SUM($AH82)+SUM($AI82))</f>
        <v>-4732</v>
      </c>
      <c r="AO82" s="75" t="n">
        <f aca="false">IF(SUM($AH82)&lt;=0,"",$AH82)</f>
        <v>504</v>
      </c>
      <c r="AP82" s="75" t="str">
        <f aca="false">IF(SUM($AI82)&lt;=0,"",ROUND($AI82*$AK82,0))</f>
        <v/>
      </c>
      <c r="AQ82" s="73" t="str">
        <f aca="false">IF(SUM($T82,$AD82,$AE82)&lt;=0,"",MAX(SUM($T82,-$AD82,-$AE82),$AF82))</f>
        <v/>
      </c>
      <c r="AR82" s="118"/>
      <c r="AS82" s="118" t="str">
        <f aca="false">IF(SUM(AR82)=0,"",$AR82)</f>
        <v/>
      </c>
      <c r="AT82" s="118" t="n">
        <f aca="false">0.95</f>
        <v>0.95</v>
      </c>
      <c r="AU82" s="75" t="str">
        <f aca="false">IF(SUM($AQ82)&lt;=0,"",ROUND(SUM($AQ82)*SUM($AS82),0))</f>
        <v/>
      </c>
      <c r="AV82" s="75" t="str">
        <f aca="false">IF(SUM($AQ82)&lt;=0,"",$AQ82-$AU82)</f>
        <v/>
      </c>
      <c r="AW82" s="73" t="str">
        <f aca="false">IF(SUM($AU82)&lt;=0,"",ROUND($AU82*$AT82,0))</f>
        <v/>
      </c>
      <c r="AX82" s="73" t="str">
        <f aca="false">IF(SUM($AE82,$AD82,$AU82)&lt;=0,"",SUM($AE82,$AD82,$AU82))</f>
        <v/>
      </c>
      <c r="AY82" s="73" t="n">
        <f aca="false">_xlfn.IFNA(INDEX(Cascade!$BD:$BD,MATCH($E82,Cascade!$E:$E,0)),"")</f>
        <v>22</v>
      </c>
      <c r="AZ82" s="118" t="str">
        <f aca="false">IFERROR(IF(SUM($AE82)&lt;=0,"",$AE82/$AY82),"")</f>
        <v/>
      </c>
      <c r="BA82" s="118" t="str">
        <f aca="false">IFERROR(IF(SUM($AU82)&lt;=0,"",$AU82/$AY82),"")</f>
        <v/>
      </c>
      <c r="BB82" s="118" t="n">
        <f aca="false">_xlfn.IFNA(INDEX(Cascade!$BL:$BL,MATCH($E82,Cascade!$E:$E,0)),"")</f>
        <v>0.318181818181818</v>
      </c>
      <c r="BC82" s="118" t="str">
        <f aca="false">_xlfn.IFNA(INDEX(Cascade!$BO:$BO,MATCH($E82,Cascade!$E:$E,0)),"")</f>
        <v/>
      </c>
      <c r="BD82" s="118" t="n">
        <f aca="false">_xlfn.IFNA(INDEX(Cascade!$BR:$BR,MATCH($E82,Cascade!$E:$E,0)),"")</f>
        <v>238.681818181818</v>
      </c>
    </row>
    <row r="83" customFormat="false" ht="15" hidden="false" customHeight="false" outlineLevel="0" collapsed="false">
      <c r="A83" s="0" t="s">
        <v>148</v>
      </c>
      <c r="B83" s="0" t="s">
        <v>113</v>
      </c>
      <c r="C83" s="0" t="s">
        <v>75</v>
      </c>
      <c r="D83" s="0" t="s">
        <v>56</v>
      </c>
      <c r="E83" s="0" t="str">
        <f aca="false">B83&amp;"|"&amp;C83&amp;"|"&amp;D83</f>
        <v>Mokhotlong [#SNU] [tjhYqc1MlVo]|35-39|Female</v>
      </c>
      <c r="F83" s="73" t="n">
        <f aca="false">_xlfn.IFNA(INDEX(Cascade!$F:$F,MATCH($E83,Cascade!$E:$E,0)),"")</f>
        <v>2870</v>
      </c>
      <c r="G83" s="73" t="n">
        <f aca="false">_xlfn.IFNA(INDEX(Cascade!$H:$H,MATCH($E83,Cascade!$E:$E,0)),"")</f>
        <v>1277</v>
      </c>
      <c r="H83" s="118" t="n">
        <f aca="false">_xlfn.IFNA(INDEX(Cascade!$J:$J,MATCH($E83,Cascade!$E:$E,0)),"")</f>
        <v>0.4449576</v>
      </c>
      <c r="I83" s="73" t="n">
        <f aca="false">_xlfn.IFNA(INDEX(Cascade!$P:$P,MATCH($E83,Cascade!$E:$E,0)),"")</f>
        <v>919</v>
      </c>
      <c r="J83" s="118" t="n">
        <f aca="false">_xlfn.IFNA(INDEX(Cascade!$Y:$Y,MATCH($E83,Cascade!$E:$E,0)),"")</f>
        <v>0.719655442443226</v>
      </c>
      <c r="K83" s="75" t="str">
        <f aca="false">_xlfn.IFNA(ROUND(INDEX(Spectrum!$N:$N,MATCH(RIGHT($B83,13)&amp;"|"&amp;$C83&amp;"|"&amp;$D83&amp;"|"&amp;K$14&amp;"|"&amp;"CY2021Q3",Spectrum!$Q:$Q,0)),0),"")</f>
        <v/>
      </c>
      <c r="L83" s="75" t="str">
        <f aca="false">_xlfn.IFNA(ROUND(INDEX(Spectrum!$N:$N,MATCH(RIGHT($B83,13)&amp;"|"&amp;$C83&amp;"|"&amp;$D83&amp;"|"&amp;L$14&amp;"|"&amp;"CY2021Q3",Spectrum!$Q:$Q,0)),0),"")</f>
        <v/>
      </c>
      <c r="M83" s="75" t="str">
        <f aca="false">_xlfn.IFNA(ROUND(INDEX(Spectrum!$N:$N,MATCH(RIGHT($B83,13)&amp;"|"&amp;$C83&amp;"|"&amp;$D83&amp;"|"&amp;M$14&amp;"|"&amp;"CY2021Q3",Spectrum!$Q:$Q,0)),0),"")</f>
        <v/>
      </c>
      <c r="N83" s="75" t="str">
        <f aca="false">_xlfn.IFNA(ROUND(INDEX(Spectrum!$N:$N,MATCH(RIGHT($B83,13)&amp;"|"&amp;$C83&amp;"|"&amp;$D83&amp;"|"&amp;N$14&amp;"|"&amp;"CY2021Q3",Spectrum!$Q:$Q,0)),0),"")</f>
        <v/>
      </c>
      <c r="O83" s="75" t="str">
        <f aca="false">_xlfn.IFNA(ROUND(INDEX(Spectrum!$N:$N,MATCH(RIGHT($B83,13)&amp;"|"&amp;$C83&amp;"|"&amp;$D83&amp;"|"&amp;O$14&amp;"|"&amp;"CY2021Q3",Spectrum!$Q:$Q,0)),0),"")</f>
        <v/>
      </c>
      <c r="P83" s="75" t="str">
        <f aca="false">_xlfn.IFNA(ROUND(INDEX(Spectrum!$N:$N,MATCH(RIGHT($B83,13)&amp;"|"&amp;$C83&amp;"|"&amp;$D83&amp;"|"&amp;P$14&amp;"|"&amp;"CY2021Q3",Spectrum!$Q:$Q,0)),0),"")</f>
        <v/>
      </c>
      <c r="Q83" s="75" t="str">
        <f aca="false">_xlfn.IFNA(ROUND(INDEX(Spectrum!$N:$N,MATCH(RIGHT($B83,13)&amp;"|"&amp;$C83&amp;"|"&amp;$D83&amp;"|"&amp;Q$14&amp;"|"&amp;"CY2021Q3",Spectrum!$Q:$Q,0)),0),"")</f>
        <v/>
      </c>
      <c r="R83" s="73" t="n">
        <v>3</v>
      </c>
      <c r="S83" s="118" t="n">
        <f aca="false">IF(SUM($R83)&lt;=0,"",0%)</f>
        <v>0</v>
      </c>
      <c r="T83" s="75" t="n">
        <f aca="false">IF(SUM($R83)&lt;=0,"",ROUND(MIN($R83,$K83)*(1+$S83),0))</f>
        <v>3</v>
      </c>
      <c r="U83" s="118" t="n">
        <f aca="false">IF(SUM($K83)=0,IF(SUM($R83)=0,"",1),MIN(SUM($R83)/SUM($K83),1))</f>
        <v>1</v>
      </c>
      <c r="V83" s="118" t="n">
        <f aca="false">$U83</f>
        <v>1</v>
      </c>
      <c r="W83" s="75" t="n">
        <f aca="false">IF(SUM($T83)=0,"",ROUND(SUM($T83)/IF(SUM($V83)=0,1,SUM($V83)),0))</f>
        <v>3</v>
      </c>
      <c r="X83" s="118" t="n">
        <f aca="false">1</f>
        <v>1</v>
      </c>
      <c r="Y83" s="118" t="n">
        <v>34</v>
      </c>
      <c r="Z83" s="118" t="n">
        <f aca="false">IF(OR(SUM($K83)&lt;=0,SUM($L83)&lt;=0),IF(SUM($Y83)&lt;=0,"",$Y83),SUM($L83)/$K83)</f>
        <v>34</v>
      </c>
      <c r="AA83" s="118" t="n">
        <v>8</v>
      </c>
      <c r="AB83" s="118" t="n">
        <f aca="false">IF(OR((SUM($K83)-SUM($L83))&lt;=0,SUM($M83)&lt;=0),IF(SUM($AA83)&lt;=0,"",$AA83),SUM($M83)/($K83-SUM($L83)))</f>
        <v>8</v>
      </c>
      <c r="AC83" s="73" t="n">
        <f aca="false">IF(SUM($T83)&lt;=0,"",ROUND(SUM($T83)*$X83,0))</f>
        <v>3</v>
      </c>
      <c r="AD83" s="75" t="n">
        <f aca="false">IF(SUM($AC83)&lt;=0,"",ROUND($AC83*SUM($Z83),0))</f>
        <v>102</v>
      </c>
      <c r="AE83" s="75" t="n">
        <f aca="false">IF(SUM($T83)&lt;=0,"",ROUND(($AC83-$AD83)*SUM($AB83),0))</f>
        <v>-792</v>
      </c>
      <c r="AF83" s="75" t="n">
        <f aca="false">IF(SUM($AC83)&lt;=0,"",ROUND($AC83-$AD83-$AE83,0))</f>
        <v>693</v>
      </c>
      <c r="AG83" s="73" t="n">
        <f aca="false">IF(SUM($W83)&lt;=0,"",ROUND(SUM($W83)*$X83,0))</f>
        <v>3</v>
      </c>
      <c r="AH83" s="75" t="n">
        <f aca="false">IF(SUM($AG83)&lt;=0,"",ROUND($AG83*SUM($Z83),0))</f>
        <v>102</v>
      </c>
      <c r="AI83" s="75" t="n">
        <f aca="false">IF(SUM($W83)&lt;=0,"",ROUND(($AG83-$AH83)*SUM($AB83),0))</f>
        <v>-792</v>
      </c>
      <c r="AJ83" s="75" t="n">
        <f aca="false">IF(SUM($AG83)&lt;=0,"",ROUND($AG83-$AH83-$AI83,0))</f>
        <v>693</v>
      </c>
      <c r="AK83" s="118" t="n">
        <f aca="false">_xlfn.IFNA(INDEX(Cascade!$BA:$BA,MATCH($E83,Cascade!$E:$E,0)),"")</f>
        <v>0.95</v>
      </c>
      <c r="AL83" s="75" t="n">
        <f aca="false">IF(SUM($AD83)&lt;=0,"",$AD83)</f>
        <v>102</v>
      </c>
      <c r="AM83" s="75" t="str">
        <f aca="false">IF(SUM($AE83)&lt;=0,"",ROUND($AE83*$AK83,0))</f>
        <v/>
      </c>
      <c r="AN83" s="75" t="n">
        <f aca="false">IF(AND(SUM($AH83)=0,SUM($AI83)=0),"",SUM($AH83)+SUM($AI83))</f>
        <v>-690</v>
      </c>
      <c r="AO83" s="75" t="n">
        <f aca="false">IF(SUM($AH83)&lt;=0,"",$AH83)</f>
        <v>102</v>
      </c>
      <c r="AP83" s="75" t="str">
        <f aca="false">IF(SUM($AI83)&lt;=0,"",ROUND($AI83*$AK83,0))</f>
        <v/>
      </c>
      <c r="AQ83" s="73" t="str">
        <f aca="false">IF(SUM($T83,$AD83,$AE83)&lt;=0,"",MAX(SUM($T83,-$AD83,-$AE83),$AF83))</f>
        <v/>
      </c>
      <c r="AR83" s="118"/>
      <c r="AS83" s="118" t="str">
        <f aca="false">IF(SUM(AR83)=0,"",$AR83)</f>
        <v/>
      </c>
      <c r="AT83" s="118" t="n">
        <f aca="false">0.95</f>
        <v>0.95</v>
      </c>
      <c r="AU83" s="75" t="str">
        <f aca="false">IF(SUM($AQ83)&lt;=0,"",ROUND(SUM($AQ83)*SUM($AS83),0))</f>
        <v/>
      </c>
      <c r="AV83" s="75" t="str">
        <f aca="false">IF(SUM($AQ83)&lt;=0,"",$AQ83-$AU83)</f>
        <v/>
      </c>
      <c r="AW83" s="73" t="str">
        <f aca="false">IF(SUM($AU83)&lt;=0,"",ROUND($AU83*$AT83,0))</f>
        <v/>
      </c>
      <c r="AX83" s="73" t="str">
        <f aca="false">IF(SUM($AE83,$AD83,$AU83)&lt;=0,"",SUM($AE83,$AD83,$AU83))</f>
        <v/>
      </c>
      <c r="AY83" s="73" t="n">
        <f aca="false">_xlfn.IFNA(INDEX(Cascade!$BD:$BD,MATCH($E83,Cascade!$E:$E,0)),"")</f>
        <v>3</v>
      </c>
      <c r="AZ83" s="118" t="str">
        <f aca="false">IFERROR(IF(SUM($AE83)&lt;=0,"",$AE83/$AY83),"")</f>
        <v/>
      </c>
      <c r="BA83" s="118" t="str">
        <f aca="false">IFERROR(IF(SUM($AU83)&lt;=0,"",$AU83/$AY83),"")</f>
        <v/>
      </c>
      <c r="BB83" s="118" t="n">
        <f aca="false">_xlfn.IFNA(INDEX(Cascade!$BL:$BL,MATCH($E83,Cascade!$E:$E,0)),"")</f>
        <v>0.666666666666667</v>
      </c>
      <c r="BC83" s="118" t="str">
        <f aca="false">_xlfn.IFNA(INDEX(Cascade!$BO:$BO,MATCH($E83,Cascade!$E:$E,0)),"")</f>
        <v/>
      </c>
      <c r="BD83" s="118" t="n">
        <f aca="false">_xlfn.IFNA(INDEX(Cascade!$BR:$BR,MATCH($E83,Cascade!$E:$E,0)),"")</f>
        <v>264.333333333333</v>
      </c>
    </row>
    <row r="84" customFormat="false" ht="15" hidden="false" customHeight="false" outlineLevel="0" collapsed="false">
      <c r="A84" s="0" t="s">
        <v>148</v>
      </c>
      <c r="B84" s="0" t="s">
        <v>113</v>
      </c>
      <c r="C84" s="0" t="s">
        <v>77</v>
      </c>
      <c r="D84" s="0" t="s">
        <v>56</v>
      </c>
      <c r="E84" s="0" t="str">
        <f aca="false">B84&amp;"|"&amp;C84&amp;"|"&amp;D84</f>
        <v>Mokhotlong [#SNU] [tjhYqc1MlVo]|40-44|Female</v>
      </c>
      <c r="F84" s="73" t="n">
        <f aca="false">_xlfn.IFNA(INDEX(Cascade!$F:$F,MATCH($E84,Cascade!$E:$E,0)),"")</f>
        <v>2171</v>
      </c>
      <c r="G84" s="73" t="n">
        <f aca="false">_xlfn.IFNA(INDEX(Cascade!$H:$H,MATCH($E84,Cascade!$E:$E,0)),"")</f>
        <v>1052</v>
      </c>
      <c r="H84" s="118" t="n">
        <f aca="false">_xlfn.IFNA(INDEX(Cascade!$J:$J,MATCH($E84,Cascade!$E:$E,0)),"")</f>
        <v>0.4846559</v>
      </c>
      <c r="I84" s="73" t="n">
        <f aca="false">_xlfn.IFNA(INDEX(Cascade!$P:$P,MATCH($E84,Cascade!$E:$E,0)),"")</f>
        <v>923</v>
      </c>
      <c r="J84" s="118" t="n">
        <f aca="false">_xlfn.IFNA(INDEX(Cascade!$Y:$Y,MATCH($E84,Cascade!$E:$E,0)),"")</f>
        <v>0.877376425855513</v>
      </c>
      <c r="K84" s="75" t="str">
        <f aca="false">_xlfn.IFNA(ROUND(INDEX(Spectrum!$N:$N,MATCH(RIGHT($B84,13)&amp;"|"&amp;$C84&amp;"|"&amp;$D84&amp;"|"&amp;K$14&amp;"|"&amp;"CY2021Q3",Spectrum!$Q:$Q,0)),0),"")</f>
        <v/>
      </c>
      <c r="L84" s="75" t="str">
        <f aca="false">_xlfn.IFNA(ROUND(INDEX(Spectrum!$N:$N,MATCH(RIGHT($B84,13)&amp;"|"&amp;$C84&amp;"|"&amp;$D84&amp;"|"&amp;L$14&amp;"|"&amp;"CY2021Q3",Spectrum!$Q:$Q,0)),0),"")</f>
        <v/>
      </c>
      <c r="M84" s="75" t="str">
        <f aca="false">_xlfn.IFNA(ROUND(INDEX(Spectrum!$N:$N,MATCH(RIGHT($B84,13)&amp;"|"&amp;$C84&amp;"|"&amp;$D84&amp;"|"&amp;M$14&amp;"|"&amp;"CY2021Q3",Spectrum!$Q:$Q,0)),0),"")</f>
        <v/>
      </c>
      <c r="N84" s="75" t="str">
        <f aca="false">_xlfn.IFNA(ROUND(INDEX(Spectrum!$N:$N,MATCH(RIGHT($B84,13)&amp;"|"&amp;$C84&amp;"|"&amp;$D84&amp;"|"&amp;N$14&amp;"|"&amp;"CY2021Q3",Spectrum!$Q:$Q,0)),0),"")</f>
        <v/>
      </c>
      <c r="O84" s="75" t="str">
        <f aca="false">_xlfn.IFNA(ROUND(INDEX(Spectrum!$N:$N,MATCH(RIGHT($B84,13)&amp;"|"&amp;$C84&amp;"|"&amp;$D84&amp;"|"&amp;O$14&amp;"|"&amp;"CY2021Q3",Spectrum!$Q:$Q,0)),0),"")</f>
        <v/>
      </c>
      <c r="P84" s="75" t="str">
        <f aca="false">_xlfn.IFNA(ROUND(INDEX(Spectrum!$N:$N,MATCH(RIGHT($B84,13)&amp;"|"&amp;$C84&amp;"|"&amp;$D84&amp;"|"&amp;P$14&amp;"|"&amp;"CY2021Q3",Spectrum!$Q:$Q,0)),0),"")</f>
        <v/>
      </c>
      <c r="Q84" s="75" t="str">
        <f aca="false">_xlfn.IFNA(ROUND(INDEX(Spectrum!$N:$N,MATCH(RIGHT($B84,13)&amp;"|"&amp;$C84&amp;"|"&amp;$D84&amp;"|"&amp;Q$14&amp;"|"&amp;"CY2021Q3",Spectrum!$Q:$Q,0)),0),"")</f>
        <v/>
      </c>
      <c r="R84" s="73" t="n">
        <v>38</v>
      </c>
      <c r="S84" s="118" t="n">
        <f aca="false">IF(SUM($R84)&lt;=0,"",0%)</f>
        <v>0</v>
      </c>
      <c r="T84" s="75" t="n">
        <f aca="false">IF(SUM($R84)&lt;=0,"",ROUND(MIN($R84,$K84)*(1+$S84),0))</f>
        <v>38</v>
      </c>
      <c r="U84" s="118" t="n">
        <f aca="false">IF(SUM($K84)=0,IF(SUM($R84)=0,"",1),MIN(SUM($R84)/SUM($K84),1))</f>
        <v>1</v>
      </c>
      <c r="V84" s="118" t="n">
        <f aca="false">$U84</f>
        <v>1</v>
      </c>
      <c r="W84" s="75" t="n">
        <f aca="false">IF(SUM($T84)=0,"",ROUND(SUM($T84)/IF(SUM($V84)=0,1,SUM($V84)),0))</f>
        <v>38</v>
      </c>
      <c r="X84" s="118" t="n">
        <f aca="false">1</f>
        <v>1</v>
      </c>
      <c r="Y84" s="118" t="n">
        <v>6</v>
      </c>
      <c r="Z84" s="118" t="n">
        <f aca="false">IF(OR(SUM($K84)&lt;=0,SUM($L84)&lt;=0),IF(SUM($Y84)&lt;=0,"",$Y84),SUM($L84)/$K84)</f>
        <v>6</v>
      </c>
      <c r="AA84" s="118" t="n">
        <v>50</v>
      </c>
      <c r="AB84" s="118" t="n">
        <f aca="false">IF(OR((SUM($K84)-SUM($L84))&lt;=0,SUM($M84)&lt;=0),IF(SUM($AA84)&lt;=0,"",$AA84),SUM($M84)/($K84-SUM($L84)))</f>
        <v>50</v>
      </c>
      <c r="AC84" s="73" t="n">
        <f aca="false">IF(SUM($T84)&lt;=0,"",ROUND(SUM($T84)*$X84,0))</f>
        <v>38</v>
      </c>
      <c r="AD84" s="75" t="n">
        <f aca="false">IF(SUM($AC84)&lt;=0,"",ROUND($AC84*SUM($Z84),0))</f>
        <v>228</v>
      </c>
      <c r="AE84" s="75" t="n">
        <f aca="false">IF(SUM($T84)&lt;=0,"",ROUND(($AC84-$AD84)*SUM($AB84),0))</f>
        <v>-9500</v>
      </c>
      <c r="AF84" s="75" t="n">
        <f aca="false">IF(SUM($AC84)&lt;=0,"",ROUND($AC84-$AD84-$AE84,0))</f>
        <v>9310</v>
      </c>
      <c r="AG84" s="73" t="n">
        <f aca="false">IF(SUM($W84)&lt;=0,"",ROUND(SUM($W84)*$X84,0))</f>
        <v>38</v>
      </c>
      <c r="AH84" s="75" t="n">
        <f aca="false">IF(SUM($AG84)&lt;=0,"",ROUND($AG84*SUM($Z84),0))</f>
        <v>228</v>
      </c>
      <c r="AI84" s="75" t="n">
        <f aca="false">IF(SUM($W84)&lt;=0,"",ROUND(($AG84-$AH84)*SUM($AB84),0))</f>
        <v>-9500</v>
      </c>
      <c r="AJ84" s="75" t="n">
        <f aca="false">IF(SUM($AG84)&lt;=0,"",ROUND($AG84-$AH84-$AI84,0))</f>
        <v>9310</v>
      </c>
      <c r="AK84" s="118" t="n">
        <f aca="false">_xlfn.IFNA(INDEX(Cascade!$BA:$BA,MATCH($E84,Cascade!$E:$E,0)),"")</f>
        <v>0.95</v>
      </c>
      <c r="AL84" s="75" t="n">
        <f aca="false">IF(SUM($AD84)&lt;=0,"",$AD84)</f>
        <v>228</v>
      </c>
      <c r="AM84" s="75" t="str">
        <f aca="false">IF(SUM($AE84)&lt;=0,"",ROUND($AE84*$AK84,0))</f>
        <v/>
      </c>
      <c r="AN84" s="75" t="n">
        <f aca="false">IF(AND(SUM($AH84)=0,SUM($AI84)=0),"",SUM($AH84)+SUM($AI84))</f>
        <v>-9272</v>
      </c>
      <c r="AO84" s="75" t="n">
        <f aca="false">IF(SUM($AH84)&lt;=0,"",$AH84)</f>
        <v>228</v>
      </c>
      <c r="AP84" s="75" t="str">
        <f aca="false">IF(SUM($AI84)&lt;=0,"",ROUND($AI84*$AK84,0))</f>
        <v/>
      </c>
      <c r="AQ84" s="73" t="str">
        <f aca="false">IF(SUM($T84,$AD84,$AE84)&lt;=0,"",MAX(SUM($T84,-$AD84,-$AE84),$AF84))</f>
        <v/>
      </c>
      <c r="AR84" s="118"/>
      <c r="AS84" s="118" t="str">
        <f aca="false">IF(SUM(AR84)=0,"",$AR84)</f>
        <v/>
      </c>
      <c r="AT84" s="118" t="n">
        <f aca="false">0.95</f>
        <v>0.95</v>
      </c>
      <c r="AU84" s="75" t="str">
        <f aca="false">IF(SUM($AQ84)&lt;=0,"",ROUND(SUM($AQ84)*SUM($AS84),0))</f>
        <v/>
      </c>
      <c r="AV84" s="75" t="str">
        <f aca="false">IF(SUM($AQ84)&lt;=0,"",$AQ84-$AU84)</f>
        <v/>
      </c>
      <c r="AW84" s="73" t="str">
        <f aca="false">IF(SUM($AU84)&lt;=0,"",ROUND($AU84*$AT84,0))</f>
        <v/>
      </c>
      <c r="AX84" s="73" t="str">
        <f aca="false">IF(SUM($AE84,$AD84,$AU84)&lt;=0,"",SUM($AE84,$AD84,$AU84))</f>
        <v/>
      </c>
      <c r="AY84" s="73" t="str">
        <f aca="false">_xlfn.IFNA(INDEX(Cascade!$BD:$BD,MATCH($E84,Cascade!$E:$E,0)),"")</f>
        <v/>
      </c>
      <c r="AZ84" s="118" t="str">
        <f aca="false">IFERROR(IF(SUM($AE84)&lt;=0,"",$AE84/$AY84),"")</f>
        <v/>
      </c>
      <c r="BA84" s="118" t="str">
        <f aca="false">IFERROR(IF(SUM($AU84)&lt;=0,"",$AU84/$AY84),"")</f>
        <v/>
      </c>
      <c r="BB84" s="118" t="str">
        <f aca="false">_xlfn.IFNA(INDEX(Cascade!$BL:$BL,MATCH($E84,Cascade!$E:$E,0)),"")</f>
        <v/>
      </c>
      <c r="BC84" s="118" t="str">
        <f aca="false">_xlfn.IFNA(INDEX(Cascade!$BO:$BO,MATCH($E84,Cascade!$E:$E,0)),"")</f>
        <v/>
      </c>
      <c r="BD84" s="118" t="str">
        <f aca="false">_xlfn.IFNA(INDEX(Cascade!$BR:$BR,MATCH($E84,Cascade!$E:$E,0)),"")</f>
        <v/>
      </c>
    </row>
    <row r="85" customFormat="false" ht="15" hidden="false" customHeight="false" outlineLevel="0" collapsed="false">
      <c r="A85" s="0" t="s">
        <v>148</v>
      </c>
      <c r="B85" s="0" t="s">
        <v>113</v>
      </c>
      <c r="C85" s="0" t="s">
        <v>80</v>
      </c>
      <c r="D85" s="0" t="s">
        <v>56</v>
      </c>
      <c r="E85" s="0" t="str">
        <f aca="false">B85&amp;"|"&amp;C85&amp;"|"&amp;D85</f>
        <v>Mokhotlong [#SNU] [tjhYqc1MlVo]|45-49|Female</v>
      </c>
      <c r="F85" s="73" t="n">
        <f aca="false">_xlfn.IFNA(INDEX(Cascade!$F:$F,MATCH($E85,Cascade!$E:$E,0)),"")</f>
        <v>1527</v>
      </c>
      <c r="G85" s="73" t="n">
        <f aca="false">_xlfn.IFNA(INDEX(Cascade!$H:$H,MATCH($E85,Cascade!$E:$E,0)),"")</f>
        <v>787</v>
      </c>
      <c r="H85" s="118" t="n">
        <f aca="false">_xlfn.IFNA(INDEX(Cascade!$J:$J,MATCH($E85,Cascade!$E:$E,0)),"")</f>
        <v>0.5153103</v>
      </c>
      <c r="I85" s="73" t="n">
        <f aca="false">_xlfn.IFNA(INDEX(Cascade!$P:$P,MATCH($E85,Cascade!$E:$E,0)),"")</f>
        <v>731</v>
      </c>
      <c r="J85" s="118" t="n">
        <f aca="false">_xlfn.IFNA(INDEX(Cascade!$Y:$Y,MATCH($E85,Cascade!$E:$E,0)),"")</f>
        <v>0.928843710292249</v>
      </c>
      <c r="K85" s="75" t="str">
        <f aca="false">_xlfn.IFNA(ROUND(INDEX(Spectrum!$N:$N,MATCH(RIGHT($B85,13)&amp;"|"&amp;$C85&amp;"|"&amp;$D85&amp;"|"&amp;K$14&amp;"|"&amp;"CY2021Q3",Spectrum!$Q:$Q,0)),0),"")</f>
        <v/>
      </c>
      <c r="L85" s="75" t="str">
        <f aca="false">_xlfn.IFNA(ROUND(INDEX(Spectrum!$N:$N,MATCH(RIGHT($B85,13)&amp;"|"&amp;$C85&amp;"|"&amp;$D85&amp;"|"&amp;L$14&amp;"|"&amp;"CY2021Q3",Spectrum!$Q:$Q,0)),0),"")</f>
        <v/>
      </c>
      <c r="M85" s="75" t="str">
        <f aca="false">_xlfn.IFNA(ROUND(INDEX(Spectrum!$N:$N,MATCH(RIGHT($B85,13)&amp;"|"&amp;$C85&amp;"|"&amp;$D85&amp;"|"&amp;M$14&amp;"|"&amp;"CY2021Q3",Spectrum!$Q:$Q,0)),0),"")</f>
        <v/>
      </c>
      <c r="N85" s="75" t="str">
        <f aca="false">_xlfn.IFNA(ROUND(INDEX(Spectrum!$N:$N,MATCH(RIGHT($B85,13)&amp;"|"&amp;$C85&amp;"|"&amp;$D85&amp;"|"&amp;N$14&amp;"|"&amp;"CY2021Q3",Spectrum!$Q:$Q,0)),0),"")</f>
        <v/>
      </c>
      <c r="O85" s="75" t="str">
        <f aca="false">_xlfn.IFNA(ROUND(INDEX(Spectrum!$N:$N,MATCH(RIGHT($B85,13)&amp;"|"&amp;$C85&amp;"|"&amp;$D85&amp;"|"&amp;O$14&amp;"|"&amp;"CY2021Q3",Spectrum!$Q:$Q,0)),0),"")</f>
        <v/>
      </c>
      <c r="P85" s="75" t="str">
        <f aca="false">_xlfn.IFNA(ROUND(INDEX(Spectrum!$N:$N,MATCH(RIGHT($B85,13)&amp;"|"&amp;$C85&amp;"|"&amp;$D85&amp;"|"&amp;P$14&amp;"|"&amp;"CY2021Q3",Spectrum!$Q:$Q,0)),0),"")</f>
        <v/>
      </c>
      <c r="Q85" s="75" t="str">
        <f aca="false">_xlfn.IFNA(ROUND(INDEX(Spectrum!$N:$N,MATCH(RIGHT($B85,13)&amp;"|"&amp;$C85&amp;"|"&amp;$D85&amp;"|"&amp;Q$14&amp;"|"&amp;"CY2021Q3",Spectrum!$Q:$Q,0)),0),"")</f>
        <v/>
      </c>
      <c r="R85" s="73" t="n">
        <v>25</v>
      </c>
      <c r="S85" s="118" t="n">
        <f aca="false">IF(SUM($R85)&lt;=0,"",0%)</f>
        <v>0</v>
      </c>
      <c r="T85" s="75" t="n">
        <f aca="false">IF(SUM($R85)&lt;=0,"",ROUND(MIN($R85,$K85)*(1+$S85),0))</f>
        <v>25</v>
      </c>
      <c r="U85" s="118" t="n">
        <f aca="false">IF(SUM($K85)=0,IF(SUM($R85)=0,"",1),MIN(SUM($R85)/SUM($K85),1))</f>
        <v>1</v>
      </c>
      <c r="V85" s="118" t="n">
        <f aca="false">$U85</f>
        <v>1</v>
      </c>
      <c r="W85" s="75" t="n">
        <f aca="false">IF(SUM($T85)=0,"",ROUND(SUM($T85)/IF(SUM($V85)=0,1,SUM($V85)),0))</f>
        <v>25</v>
      </c>
      <c r="X85" s="118" t="n">
        <f aca="false">1</f>
        <v>1</v>
      </c>
      <c r="Y85" s="118" t="n">
        <v>25</v>
      </c>
      <c r="Z85" s="118" t="n">
        <f aca="false">IF(OR(SUM($K85)&lt;=0,SUM($L85)&lt;=0),IF(SUM($Y85)&lt;=0,"",$Y85),SUM($L85)/$K85)</f>
        <v>25</v>
      </c>
      <c r="AA85" s="118"/>
      <c r="AB85" s="118" t="str">
        <f aca="false">IF(OR((SUM($K85)-SUM($L85))&lt;=0,SUM($M85)&lt;=0),IF(SUM($AA85)&lt;=0,"",$AA85),SUM($M85)/($K85-SUM($L85)))</f>
        <v/>
      </c>
      <c r="AC85" s="73" t="n">
        <f aca="false">IF(SUM($T85)&lt;=0,"",ROUND(SUM($T85)*$X85,0))</f>
        <v>25</v>
      </c>
      <c r="AD85" s="75" t="n">
        <f aca="false">IF(SUM($AC85)&lt;=0,"",ROUND($AC85*SUM($Z85),0))</f>
        <v>625</v>
      </c>
      <c r="AE85" s="75" t="n">
        <f aca="false">IF(SUM($T85)&lt;=0,"",ROUND(($AC85-$AD85)*SUM($AB85),0))</f>
        <v>-0</v>
      </c>
      <c r="AF85" s="75" t="n">
        <f aca="false">IF(SUM($AC85)&lt;=0,"",ROUND($AC85-$AD85-$AE85,0))</f>
        <v>-600</v>
      </c>
      <c r="AG85" s="73" t="n">
        <f aca="false">IF(SUM($W85)&lt;=0,"",ROUND(SUM($W85)*$X85,0))</f>
        <v>25</v>
      </c>
      <c r="AH85" s="75" t="n">
        <f aca="false">IF(SUM($AG85)&lt;=0,"",ROUND($AG85*SUM($Z85),0))</f>
        <v>625</v>
      </c>
      <c r="AI85" s="75" t="n">
        <f aca="false">IF(SUM($W85)&lt;=0,"",ROUND(($AG85-$AH85)*SUM($AB85),0))</f>
        <v>-0</v>
      </c>
      <c r="AJ85" s="75" t="n">
        <f aca="false">IF(SUM($AG85)&lt;=0,"",ROUND($AG85-$AH85-$AI85,0))</f>
        <v>-600</v>
      </c>
      <c r="AK85" s="118" t="n">
        <f aca="false">_xlfn.IFNA(INDEX(Cascade!$BA:$BA,MATCH($E85,Cascade!$E:$E,0)),"")</f>
        <v>0.95</v>
      </c>
      <c r="AL85" s="75" t="n">
        <f aca="false">IF(SUM($AD85)&lt;=0,"",$AD85)</f>
        <v>625</v>
      </c>
      <c r="AM85" s="75" t="str">
        <f aca="false">IF(SUM($AE85)&lt;=0,"",ROUND($AE85*$AK85,0))</f>
        <v/>
      </c>
      <c r="AN85" s="75" t="n">
        <f aca="false">IF(AND(SUM($AH85)=0,SUM($AI85)=0),"",SUM($AH85)+SUM($AI85))</f>
        <v>625</v>
      </c>
      <c r="AO85" s="75" t="n">
        <f aca="false">IF(SUM($AH85)&lt;=0,"",$AH85)</f>
        <v>625</v>
      </c>
      <c r="AP85" s="75" t="str">
        <f aca="false">IF(SUM($AI85)&lt;=0,"",ROUND($AI85*$AK85,0))</f>
        <v/>
      </c>
      <c r="AQ85" s="73" t="n">
        <f aca="false">IF(SUM($T85,$AD85,$AE85)&lt;=0,"",MAX(SUM($T85,-$AD85,-$AE85),$AF85))</f>
        <v>-600</v>
      </c>
      <c r="AR85" s="118"/>
      <c r="AS85" s="118" t="str">
        <f aca="false">IF(SUM(AR85)=0,"",$AR85)</f>
        <v/>
      </c>
      <c r="AT85" s="118" t="n">
        <f aca="false">0.95</f>
        <v>0.95</v>
      </c>
      <c r="AU85" s="75" t="str">
        <f aca="false">IF(SUM($AQ85)&lt;=0,"",ROUND(SUM($AQ85)*SUM($AS85),0))</f>
        <v/>
      </c>
      <c r="AV85" s="75" t="str">
        <f aca="false">IF(SUM($AQ85)&lt;=0,"",$AQ85-$AU85)</f>
        <v/>
      </c>
      <c r="AW85" s="73" t="str">
        <f aca="false">IF(SUM($AU85)&lt;=0,"",ROUND($AU85*$AT85,0))</f>
        <v/>
      </c>
      <c r="AX85" s="73" t="n">
        <f aca="false">IF(SUM($AE85,$AD85,$AU85)&lt;=0,"",SUM($AE85,$AD85,$AU85))</f>
        <v>625</v>
      </c>
      <c r="AY85" s="73" t="str">
        <f aca="false">_xlfn.IFNA(INDEX(Cascade!$BD:$BD,MATCH($E85,Cascade!$E:$E,0)),"")</f>
        <v/>
      </c>
      <c r="AZ85" s="118" t="str">
        <f aca="false">IFERROR(IF(SUM($AE85)&lt;=0,"",$AE85/$AY85),"")</f>
        <v/>
      </c>
      <c r="BA85" s="118" t="str">
        <f aca="false">IFERROR(IF(SUM($AU85)&lt;=0,"",$AU85/$AY85),"")</f>
        <v/>
      </c>
      <c r="BB85" s="118" t="str">
        <f aca="false">_xlfn.IFNA(INDEX(Cascade!$BL:$BL,MATCH($E85,Cascade!$E:$E,0)),"")</f>
        <v/>
      </c>
      <c r="BC85" s="118" t="str">
        <f aca="false">_xlfn.IFNA(INDEX(Cascade!$BO:$BO,MATCH($E85,Cascade!$E:$E,0)),"")</f>
        <v/>
      </c>
      <c r="BD85" s="118" t="str">
        <f aca="false">_xlfn.IFNA(INDEX(Cascade!$BR:$BR,MATCH($E85,Cascade!$E:$E,0)),"")</f>
        <v/>
      </c>
    </row>
    <row r="86" customFormat="false" ht="15" hidden="false" customHeight="false" outlineLevel="0" collapsed="false">
      <c r="A86" s="0" t="s">
        <v>148</v>
      </c>
      <c r="B86" s="0" t="s">
        <v>113</v>
      </c>
      <c r="C86" s="0" t="s">
        <v>86</v>
      </c>
      <c r="D86" s="0" t="s">
        <v>56</v>
      </c>
      <c r="E86" s="0" t="str">
        <f aca="false">B86&amp;"|"&amp;C86&amp;"|"&amp;D86</f>
        <v>Mokhotlong [#SNU] [tjhYqc1MlVo]|50+|Female</v>
      </c>
      <c r="F86" s="73" t="n">
        <f aca="false">_xlfn.IFNA(INDEX(Cascade!$F:$F,MATCH($E86,Cascade!$E:$E,0)),"")</f>
        <v>8772</v>
      </c>
      <c r="G86" s="73" t="n">
        <f aca="false">_xlfn.IFNA(INDEX(Cascade!$H:$H,MATCH($E86,Cascade!$E:$E,0)),"")</f>
        <v>2246</v>
      </c>
      <c r="H86" s="118" t="n">
        <f aca="false">_xlfn.IFNA(INDEX(Cascade!$J:$J,MATCH($E86,Cascade!$E:$E,0)),"")</f>
        <v>0.2559903</v>
      </c>
      <c r="I86" s="73" t="n">
        <f aca="false">_xlfn.IFNA(INDEX(Cascade!$P:$P,MATCH($E86,Cascade!$E:$E,0)),"")</f>
        <v>1626</v>
      </c>
      <c r="J86" s="118" t="n">
        <f aca="false">_xlfn.IFNA(INDEX(Cascade!$Y:$Y,MATCH($E86,Cascade!$E:$E,0)),"")</f>
        <v>0.723953695458593</v>
      </c>
      <c r="K86" s="75" t="str">
        <f aca="false">_xlfn.IFNA(ROUND(INDEX(Spectrum!$N:$N,MATCH(RIGHT($B86,13)&amp;"|"&amp;$C86&amp;"|"&amp;$D86&amp;"|"&amp;K$14&amp;"|"&amp;"CY2021Q3",Spectrum!$Q:$Q,0)),0),"")</f>
        <v/>
      </c>
      <c r="L86" s="75" t="str">
        <f aca="false">_xlfn.IFNA(ROUND(INDEX(Spectrum!$N:$N,MATCH(RIGHT($B86,13)&amp;"|"&amp;$C86&amp;"|"&amp;$D86&amp;"|"&amp;L$14&amp;"|"&amp;"CY2021Q3",Spectrum!$Q:$Q,0)),0),"")</f>
        <v/>
      </c>
      <c r="M86" s="75" t="str">
        <f aca="false">_xlfn.IFNA(ROUND(INDEX(Spectrum!$N:$N,MATCH(RIGHT($B86,13)&amp;"|"&amp;$C86&amp;"|"&amp;$D86&amp;"|"&amp;M$14&amp;"|"&amp;"CY2021Q3",Spectrum!$Q:$Q,0)),0),"")</f>
        <v/>
      </c>
      <c r="N86" s="75" t="str">
        <f aca="false">_xlfn.IFNA(ROUND(INDEX(Spectrum!$N:$N,MATCH(RIGHT($B86,13)&amp;"|"&amp;$C86&amp;"|"&amp;$D86&amp;"|"&amp;N$14&amp;"|"&amp;"CY2021Q3",Spectrum!$Q:$Q,0)),0),"")</f>
        <v/>
      </c>
      <c r="O86" s="75" t="str">
        <f aca="false">_xlfn.IFNA(ROUND(INDEX(Spectrum!$N:$N,MATCH(RIGHT($B86,13)&amp;"|"&amp;$C86&amp;"|"&amp;$D86&amp;"|"&amp;O$14&amp;"|"&amp;"CY2021Q3",Spectrum!$Q:$Q,0)),0),"")</f>
        <v/>
      </c>
      <c r="P86" s="75" t="str">
        <f aca="false">_xlfn.IFNA(ROUND(INDEX(Spectrum!$N:$N,MATCH(RIGHT($B86,13)&amp;"|"&amp;$C86&amp;"|"&amp;$D86&amp;"|"&amp;P$14&amp;"|"&amp;"CY2021Q3",Spectrum!$Q:$Q,0)),0),"")</f>
        <v/>
      </c>
      <c r="Q86" s="75" t="str">
        <f aca="false">_xlfn.IFNA(ROUND(INDEX(Spectrum!$N:$N,MATCH(RIGHT($B86,13)&amp;"|"&amp;$C86&amp;"|"&amp;$D86&amp;"|"&amp;Q$14&amp;"|"&amp;"CY2021Q3",Spectrum!$Q:$Q,0)),0),"")</f>
        <v/>
      </c>
      <c r="R86" s="73"/>
      <c r="S86" s="118" t="str">
        <f aca="false">IF(SUM($R86)&lt;=0,"",0%)</f>
        <v/>
      </c>
      <c r="T86" s="75" t="str">
        <f aca="false">IF(SUM($R86)&lt;=0,"",ROUND(MIN($R86,$K86)*(1+$S86),0))</f>
        <v/>
      </c>
      <c r="U86" s="118" t="str">
        <f aca="false">IF(SUM($K86)=0,IF(SUM($R86)=0,"",1),MIN(SUM($R86)/SUM($K86),1))</f>
        <v/>
      </c>
      <c r="V86" s="118" t="str">
        <f aca="false">$U86</f>
        <v/>
      </c>
      <c r="W86" s="75" t="str">
        <f aca="false">IF(SUM($T86)=0,"",ROUND(SUM($T86)/IF(SUM($V86)=0,1,SUM($V86)),0))</f>
        <v/>
      </c>
      <c r="X86" s="118" t="n">
        <f aca="false">1</f>
        <v>1</v>
      </c>
      <c r="Y86" s="118"/>
      <c r="Z86" s="118" t="str">
        <f aca="false">IF(OR(SUM($K86)&lt;=0,SUM($L86)&lt;=0),IF(SUM($Y86)&lt;=0,"",$Y86),SUM($L86)/$K86)</f>
        <v/>
      </c>
      <c r="AA86" s="118"/>
      <c r="AB86" s="118" t="str">
        <f aca="false">IF(OR((SUM($K86)-SUM($L86))&lt;=0,SUM($M86)&lt;=0),IF(SUM($AA86)&lt;=0,"",$AA86),SUM($M86)/($K86-SUM($L86)))</f>
        <v/>
      </c>
      <c r="AC86" s="73" t="str">
        <f aca="false">IF(SUM($T86)&lt;=0,"",ROUND(SUM($T86)*$X86,0))</f>
        <v/>
      </c>
      <c r="AD86" s="75" t="str">
        <f aca="false">IF(SUM($AC86)&lt;=0,"",ROUND($AC86*SUM($Z86),0))</f>
        <v/>
      </c>
      <c r="AE86" s="75" t="str">
        <f aca="false">IF(SUM($T86)&lt;=0,"",ROUND(($AC86-$AD86)*SUM($AB86),0))</f>
        <v/>
      </c>
      <c r="AF86" s="75" t="str">
        <f aca="false">IF(SUM($AC86)&lt;=0,"",ROUND($AC86-$AD86-$AE86,0))</f>
        <v/>
      </c>
      <c r="AG86" s="73" t="str">
        <f aca="false">IF(SUM($W86)&lt;=0,"",ROUND(SUM($W86)*$X86,0))</f>
        <v/>
      </c>
      <c r="AH86" s="75" t="str">
        <f aca="false">IF(SUM($AG86)&lt;=0,"",ROUND($AG86*SUM($Z86),0))</f>
        <v/>
      </c>
      <c r="AI86" s="75" t="str">
        <f aca="false">IF(SUM($W86)&lt;=0,"",ROUND(($AG86-$AH86)*SUM($AB86),0))</f>
        <v/>
      </c>
      <c r="AJ86" s="75" t="str">
        <f aca="false">IF(SUM($AG86)&lt;=0,"",ROUND($AG86-$AH86-$AI86,0))</f>
        <v/>
      </c>
      <c r="AK86" s="118" t="n">
        <f aca="false">_xlfn.IFNA(INDEX(Cascade!$BA:$BA,MATCH($E86,Cascade!$E:$E,0)),"")</f>
        <v>0.95</v>
      </c>
      <c r="AL86" s="75" t="str">
        <f aca="false">IF(SUM($AD86)&lt;=0,"",$AD86)</f>
        <v/>
      </c>
      <c r="AM86" s="75" t="str">
        <f aca="false">IF(SUM($AE86)&lt;=0,"",ROUND($AE86*$AK86,0))</f>
        <v/>
      </c>
      <c r="AN86" s="75" t="str">
        <f aca="false">IF(AND(SUM($AH86)=0,SUM($AI86)=0),"",SUM($AH86)+SUM($AI86))</f>
        <v/>
      </c>
      <c r="AO86" s="75" t="str">
        <f aca="false">IF(SUM($AH86)&lt;=0,"",$AH86)</f>
        <v/>
      </c>
      <c r="AP86" s="75" t="str">
        <f aca="false">IF(SUM($AI86)&lt;=0,"",ROUND($AI86*$AK86,0))</f>
        <v/>
      </c>
      <c r="AQ86" s="73" t="str">
        <f aca="false">IF(SUM($T86,$AD86,$AE86)&lt;=0,"",MAX(SUM($T86,-$AD86,-$AE86),$AF86))</f>
        <v/>
      </c>
      <c r="AR86" s="118"/>
      <c r="AS86" s="118" t="str">
        <f aca="false">IF(SUM(AR86)=0,"",$AR86)</f>
        <v/>
      </c>
      <c r="AT86" s="118" t="n">
        <f aca="false">0.95</f>
        <v>0.95</v>
      </c>
      <c r="AU86" s="75" t="str">
        <f aca="false">IF(SUM($AQ86)&lt;=0,"",ROUND(SUM($AQ86)*SUM($AS86),0))</f>
        <v/>
      </c>
      <c r="AV86" s="75" t="str">
        <f aca="false">IF(SUM($AQ86)&lt;=0,"",$AQ86-$AU86)</f>
        <v/>
      </c>
      <c r="AW86" s="73" t="str">
        <f aca="false">IF(SUM($AU86)&lt;=0,"",ROUND($AU86*$AT86,0))</f>
        <v/>
      </c>
      <c r="AX86" s="73" t="str">
        <f aca="false">IF(SUM($AE86,$AD86,$AU86)&lt;=0,"",SUM($AE86,$AD86,$AU86))</f>
        <v/>
      </c>
      <c r="AY86" s="73" t="n">
        <f aca="false">_xlfn.IFNA(INDEX(Cascade!$BD:$BD,MATCH($E86,Cascade!$E:$E,0)),"")</f>
        <v>9</v>
      </c>
      <c r="AZ86" s="118" t="str">
        <f aca="false">IFERROR(IF(SUM($AE86)&lt;=0,"",$AE86/$AY86),"")</f>
        <v/>
      </c>
      <c r="BA86" s="118" t="str">
        <f aca="false">IFERROR(IF(SUM($AU86)&lt;=0,"",$AU86/$AY86),"")</f>
        <v/>
      </c>
      <c r="BB86" s="118" t="n">
        <f aca="false">_xlfn.IFNA(INDEX(Cascade!$BL:$BL,MATCH($E86,Cascade!$E:$E,0)),"")</f>
        <v>0.555555555555556</v>
      </c>
      <c r="BC86" s="118" t="str">
        <f aca="false">_xlfn.IFNA(INDEX(Cascade!$BO:$BO,MATCH($E86,Cascade!$E:$E,0)),"")</f>
        <v/>
      </c>
      <c r="BD86" s="118" t="n">
        <f aca="false">_xlfn.IFNA(INDEX(Cascade!$BR:$BR,MATCH($E86,Cascade!$E:$E,0)),"")</f>
        <v>0.444444444444444</v>
      </c>
    </row>
    <row r="87" customFormat="false" ht="15" hidden="false" customHeight="false" outlineLevel="0" collapsed="false">
      <c r="A87" s="0" t="s">
        <v>149</v>
      </c>
      <c r="B87" s="0" t="s">
        <v>111</v>
      </c>
      <c r="C87" s="0" t="s">
        <v>61</v>
      </c>
      <c r="D87" s="0" t="s">
        <v>56</v>
      </c>
      <c r="E87" s="0" t="str">
        <f aca="false">B87&amp;"|"&amp;C87&amp;"|"&amp;D87</f>
        <v>Qacha's Nek [#SNU] [zTaMbxvQtJ6]|10-14|Female</v>
      </c>
      <c r="F87" s="73" t="n">
        <f aca="false">_xlfn.IFNA(INDEX(Cascade!$F:$F,MATCH($E87,Cascade!$E:$E,0)),"")</f>
        <v>4443</v>
      </c>
      <c r="G87" s="73" t="n">
        <f aca="false">_xlfn.IFNA(INDEX(Cascade!$H:$H,MATCH($E87,Cascade!$E:$E,0)),"")</f>
        <v>102</v>
      </c>
      <c r="H87" s="118" t="n">
        <f aca="false">_xlfn.IFNA(INDEX(Cascade!$J:$J,MATCH($E87,Cascade!$E:$E,0)),"")</f>
        <v>0.0229621</v>
      </c>
      <c r="I87" s="73" t="n">
        <f aca="false">_xlfn.IFNA(INDEX(Cascade!$P:$P,MATCH($E87,Cascade!$E:$E,0)),"")</f>
        <v>85</v>
      </c>
      <c r="J87" s="118" t="n">
        <f aca="false">_xlfn.IFNA(INDEX(Cascade!$Y:$Y,MATCH($E87,Cascade!$E:$E,0)),"")</f>
        <v>0.833333333333333</v>
      </c>
      <c r="K87" s="75" t="str">
        <f aca="false">_xlfn.IFNA(ROUND(INDEX(Spectrum!$N:$N,MATCH(RIGHT($B87,13)&amp;"|"&amp;$C87&amp;"|"&amp;$D87&amp;"|"&amp;K$14&amp;"|"&amp;"CY2021Q3",Spectrum!$Q:$Q,0)),0),"")</f>
        <v/>
      </c>
      <c r="L87" s="75" t="str">
        <f aca="false">_xlfn.IFNA(ROUND(INDEX(Spectrum!$N:$N,MATCH(RIGHT($B87,13)&amp;"|"&amp;$C87&amp;"|"&amp;$D87&amp;"|"&amp;L$14&amp;"|"&amp;"CY2021Q3",Spectrum!$Q:$Q,0)),0),"")</f>
        <v/>
      </c>
      <c r="M87" s="75" t="str">
        <f aca="false">_xlfn.IFNA(ROUND(INDEX(Spectrum!$N:$N,MATCH(RIGHT($B87,13)&amp;"|"&amp;$C87&amp;"|"&amp;$D87&amp;"|"&amp;M$14&amp;"|"&amp;"CY2021Q3",Spectrum!$Q:$Q,0)),0),"")</f>
        <v/>
      </c>
      <c r="N87" s="75" t="str">
        <f aca="false">_xlfn.IFNA(ROUND(INDEX(Spectrum!$N:$N,MATCH(RIGHT($B87,13)&amp;"|"&amp;$C87&amp;"|"&amp;$D87&amp;"|"&amp;N$14&amp;"|"&amp;"CY2021Q3",Spectrum!$Q:$Q,0)),0),"")</f>
        <v/>
      </c>
      <c r="O87" s="75" t="str">
        <f aca="false">_xlfn.IFNA(ROUND(INDEX(Spectrum!$N:$N,MATCH(RIGHT($B87,13)&amp;"|"&amp;$C87&amp;"|"&amp;$D87&amp;"|"&amp;O$14&amp;"|"&amp;"CY2021Q3",Spectrum!$Q:$Q,0)),0),"")</f>
        <v/>
      </c>
      <c r="P87" s="75" t="str">
        <f aca="false">_xlfn.IFNA(ROUND(INDEX(Spectrum!$N:$N,MATCH(RIGHT($B87,13)&amp;"|"&amp;$C87&amp;"|"&amp;$D87&amp;"|"&amp;P$14&amp;"|"&amp;"CY2021Q3",Spectrum!$Q:$Q,0)),0),"")</f>
        <v/>
      </c>
      <c r="Q87" s="75" t="str">
        <f aca="false">_xlfn.IFNA(ROUND(INDEX(Spectrum!$N:$N,MATCH(RIGHT($B87,13)&amp;"|"&amp;$C87&amp;"|"&amp;$D87&amp;"|"&amp;Q$14&amp;"|"&amp;"CY2021Q3",Spectrum!$Q:$Q,0)),0),"")</f>
        <v/>
      </c>
      <c r="R87" s="73"/>
      <c r="S87" s="118" t="str">
        <f aca="false">IF(SUM($R87)&lt;=0,"",0%)</f>
        <v/>
      </c>
      <c r="T87" s="75" t="str">
        <f aca="false">IF(SUM($R87)&lt;=0,"",ROUND(MIN($R87,$K87)*(1+$S87),0))</f>
        <v/>
      </c>
      <c r="U87" s="118" t="str">
        <f aca="false">IF(SUM($K87)=0,IF(SUM($R87)=0,"",1),MIN(SUM($R87)/SUM($K87),1))</f>
        <v/>
      </c>
      <c r="V87" s="118" t="str">
        <f aca="false">$U87</f>
        <v/>
      </c>
      <c r="W87" s="75" t="str">
        <f aca="false">IF(SUM($T87)=0,"",ROUND(SUM($T87)/IF(SUM($V87)=0,1,SUM($V87)),0))</f>
        <v/>
      </c>
      <c r="X87" s="118" t="n">
        <f aca="false">1</f>
        <v>1</v>
      </c>
      <c r="Y87" s="118"/>
      <c r="Z87" s="118" t="str">
        <f aca="false">IF(OR(SUM($K87)&lt;=0,SUM($L87)&lt;=0),IF(SUM($Y87)&lt;=0,"",$Y87),SUM($L87)/$K87)</f>
        <v/>
      </c>
      <c r="AA87" s="118"/>
      <c r="AB87" s="118" t="str">
        <f aca="false">IF(OR((SUM($K87)-SUM($L87))&lt;=0,SUM($M87)&lt;=0),IF(SUM($AA87)&lt;=0,"",$AA87),SUM($M87)/($K87-SUM($L87)))</f>
        <v/>
      </c>
      <c r="AC87" s="73" t="str">
        <f aca="false">IF(SUM($T87)&lt;=0,"",ROUND(SUM($T87)*$X87,0))</f>
        <v/>
      </c>
      <c r="AD87" s="75" t="str">
        <f aca="false">IF(SUM($AC87)&lt;=0,"",ROUND($AC87*SUM($Z87),0))</f>
        <v/>
      </c>
      <c r="AE87" s="75" t="str">
        <f aca="false">IF(SUM($T87)&lt;=0,"",ROUND(($AC87-$AD87)*SUM($AB87),0))</f>
        <v/>
      </c>
      <c r="AF87" s="75" t="str">
        <f aca="false">IF(SUM($AC87)&lt;=0,"",ROUND($AC87-$AD87-$AE87,0))</f>
        <v/>
      </c>
      <c r="AG87" s="73" t="str">
        <f aca="false">IF(SUM($W87)&lt;=0,"",ROUND(SUM($W87)*$X87,0))</f>
        <v/>
      </c>
      <c r="AH87" s="75" t="str">
        <f aca="false">IF(SUM($AG87)&lt;=0,"",ROUND($AG87*SUM($Z87),0))</f>
        <v/>
      </c>
      <c r="AI87" s="75" t="str">
        <f aca="false">IF(SUM($W87)&lt;=0,"",ROUND(($AG87-$AH87)*SUM($AB87),0))</f>
        <v/>
      </c>
      <c r="AJ87" s="75" t="str">
        <f aca="false">IF(SUM($AG87)&lt;=0,"",ROUND($AG87-$AH87-$AI87,0))</f>
        <v/>
      </c>
      <c r="AK87" s="118" t="n">
        <f aca="false">_xlfn.IFNA(INDEX(Cascade!$BA:$BA,MATCH($E87,Cascade!$E:$E,0)),"")</f>
        <v>0.95</v>
      </c>
      <c r="AL87" s="75" t="str">
        <f aca="false">IF(SUM($AD87)&lt;=0,"",$AD87)</f>
        <v/>
      </c>
      <c r="AM87" s="75" t="str">
        <f aca="false">IF(SUM($AE87)&lt;=0,"",ROUND($AE87*$AK87,0))</f>
        <v/>
      </c>
      <c r="AN87" s="75" t="str">
        <f aca="false">IF(AND(SUM($AH87)=0,SUM($AI87)=0),"",SUM($AH87)+SUM($AI87))</f>
        <v/>
      </c>
      <c r="AO87" s="75" t="str">
        <f aca="false">IF(SUM($AH87)&lt;=0,"",$AH87)</f>
        <v/>
      </c>
      <c r="AP87" s="75" t="str">
        <f aca="false">IF(SUM($AI87)&lt;=0,"",ROUND($AI87*$AK87,0))</f>
        <v/>
      </c>
      <c r="AQ87" s="73" t="str">
        <f aca="false">IF(SUM($T87,$AD87,$AE87)&lt;=0,"",MAX(SUM($T87,-$AD87,-$AE87),$AF87))</f>
        <v/>
      </c>
      <c r="AR87" s="118"/>
      <c r="AS87" s="118" t="str">
        <f aca="false">IF(SUM(AR87)=0,"",$AR87)</f>
        <v/>
      </c>
      <c r="AT87" s="118" t="n">
        <f aca="false">0.95</f>
        <v>0.95</v>
      </c>
      <c r="AU87" s="75" t="str">
        <f aca="false">IF(SUM($AQ87)&lt;=0,"",ROUND(SUM($AQ87)*SUM($AS87),0))</f>
        <v/>
      </c>
      <c r="AV87" s="75" t="str">
        <f aca="false">IF(SUM($AQ87)&lt;=0,"",$AQ87-$AU87)</f>
        <v/>
      </c>
      <c r="AW87" s="73" t="str">
        <f aca="false">IF(SUM($AU87)&lt;=0,"",ROUND($AU87*$AT87,0))</f>
        <v/>
      </c>
      <c r="AX87" s="73" t="str">
        <f aca="false">IF(SUM($AE87,$AD87,$AU87)&lt;=0,"",SUM($AE87,$AD87,$AU87))</f>
        <v/>
      </c>
      <c r="AY87" s="73" t="n">
        <f aca="false">_xlfn.IFNA(INDEX(Cascade!$BD:$BD,MATCH($E87,Cascade!$E:$E,0)),"")</f>
        <v>4</v>
      </c>
      <c r="AZ87" s="118" t="str">
        <f aca="false">IFERROR(IF(SUM($AE87)&lt;=0,"",$AE87/$AY87),"")</f>
        <v/>
      </c>
      <c r="BA87" s="118" t="str">
        <f aca="false">IFERROR(IF(SUM($AU87)&lt;=0,"",$AU87/$AY87),"")</f>
        <v/>
      </c>
      <c r="BB87" s="118" t="n">
        <f aca="false">_xlfn.IFNA(INDEX(Cascade!$BL:$BL,MATCH($E87,Cascade!$E:$E,0)),"")</f>
        <v>0.75</v>
      </c>
      <c r="BC87" s="118" t="str">
        <f aca="false">_xlfn.IFNA(INDEX(Cascade!$BO:$BO,MATCH($E87,Cascade!$E:$E,0)),"")</f>
        <v/>
      </c>
      <c r="BD87" s="118" t="n">
        <f aca="false">_xlfn.IFNA(INDEX(Cascade!$BR:$BR,MATCH($E87,Cascade!$E:$E,0)),"")</f>
        <v>0.25</v>
      </c>
    </row>
    <row r="88" customFormat="false" ht="15" hidden="false" customHeight="false" outlineLevel="0" collapsed="false">
      <c r="A88" s="0" t="s">
        <v>149</v>
      </c>
      <c r="B88" s="0" t="s">
        <v>111</v>
      </c>
      <c r="C88" s="0" t="s">
        <v>63</v>
      </c>
      <c r="D88" s="0" t="s">
        <v>56</v>
      </c>
      <c r="E88" s="0" t="str">
        <f aca="false">B88&amp;"|"&amp;C88&amp;"|"&amp;D88</f>
        <v>Qacha's Nek [#SNU] [zTaMbxvQtJ6]|15-19|Female</v>
      </c>
      <c r="F88" s="73" t="n">
        <f aca="false">_xlfn.IFNA(INDEX(Cascade!$F:$F,MATCH($E88,Cascade!$E:$E,0)),"")</f>
        <v>3858</v>
      </c>
      <c r="G88" s="73" t="n">
        <f aca="false">_xlfn.IFNA(INDEX(Cascade!$H:$H,MATCH($E88,Cascade!$E:$E,0)),"")</f>
        <v>172</v>
      </c>
      <c r="H88" s="118" t="n">
        <f aca="false">_xlfn.IFNA(INDEX(Cascade!$J:$J,MATCH($E88,Cascade!$E:$E,0)),"")</f>
        <v>0.0444861</v>
      </c>
      <c r="I88" s="73" t="n">
        <f aca="false">_xlfn.IFNA(INDEX(Cascade!$P:$P,MATCH($E88,Cascade!$E:$E,0)),"")</f>
        <v>124</v>
      </c>
      <c r="J88" s="118" t="n">
        <f aca="false">_xlfn.IFNA(INDEX(Cascade!$Y:$Y,MATCH($E88,Cascade!$E:$E,0)),"")</f>
        <v>0.72093023255814</v>
      </c>
      <c r="K88" s="75" t="str">
        <f aca="false">_xlfn.IFNA(ROUND(INDEX(Spectrum!$N:$N,MATCH(RIGHT($B88,13)&amp;"|"&amp;$C88&amp;"|"&amp;$D88&amp;"|"&amp;K$14&amp;"|"&amp;"CY2021Q3",Spectrum!$Q:$Q,0)),0),"")</f>
        <v/>
      </c>
      <c r="L88" s="75" t="str">
        <f aca="false">_xlfn.IFNA(ROUND(INDEX(Spectrum!$N:$N,MATCH(RIGHT($B88,13)&amp;"|"&amp;$C88&amp;"|"&amp;$D88&amp;"|"&amp;L$14&amp;"|"&amp;"CY2021Q3",Spectrum!$Q:$Q,0)),0),"")</f>
        <v/>
      </c>
      <c r="M88" s="75" t="str">
        <f aca="false">_xlfn.IFNA(ROUND(INDEX(Spectrum!$N:$N,MATCH(RIGHT($B88,13)&amp;"|"&amp;$C88&amp;"|"&amp;$D88&amp;"|"&amp;M$14&amp;"|"&amp;"CY2021Q3",Spectrum!$Q:$Q,0)),0),"")</f>
        <v/>
      </c>
      <c r="N88" s="75" t="str">
        <f aca="false">_xlfn.IFNA(ROUND(INDEX(Spectrum!$N:$N,MATCH(RIGHT($B88,13)&amp;"|"&amp;$C88&amp;"|"&amp;$D88&amp;"|"&amp;N$14&amp;"|"&amp;"CY2021Q3",Spectrum!$Q:$Q,0)),0),"")</f>
        <v/>
      </c>
      <c r="O88" s="75" t="str">
        <f aca="false">_xlfn.IFNA(ROUND(INDEX(Spectrum!$N:$N,MATCH(RIGHT($B88,13)&amp;"|"&amp;$C88&amp;"|"&amp;$D88&amp;"|"&amp;O$14&amp;"|"&amp;"CY2021Q3",Spectrum!$Q:$Q,0)),0),"")</f>
        <v/>
      </c>
      <c r="P88" s="75" t="str">
        <f aca="false">_xlfn.IFNA(ROUND(INDEX(Spectrum!$N:$N,MATCH(RIGHT($B88,13)&amp;"|"&amp;$C88&amp;"|"&amp;$D88&amp;"|"&amp;P$14&amp;"|"&amp;"CY2021Q3",Spectrum!$Q:$Q,0)),0),"")</f>
        <v/>
      </c>
      <c r="Q88" s="75" t="str">
        <f aca="false">_xlfn.IFNA(ROUND(INDEX(Spectrum!$N:$N,MATCH(RIGHT($B88,13)&amp;"|"&amp;$C88&amp;"|"&amp;$D88&amp;"|"&amp;Q$14&amp;"|"&amp;"CY2021Q3",Spectrum!$Q:$Q,0)),0),"")</f>
        <v/>
      </c>
      <c r="R88" s="73" t="n">
        <v>24</v>
      </c>
      <c r="S88" s="118" t="n">
        <f aca="false">IF(SUM($R88)&lt;=0,"",0%)</f>
        <v>0</v>
      </c>
      <c r="T88" s="75" t="n">
        <f aca="false">IF(SUM($R88)&lt;=0,"",ROUND(MIN($R88,$K88)*(1+$S88),0))</f>
        <v>24</v>
      </c>
      <c r="U88" s="118" t="n">
        <f aca="false">IF(SUM($K88)=0,IF(SUM($R88)=0,"",1),MIN(SUM($R88)/SUM($K88),1))</f>
        <v>1</v>
      </c>
      <c r="V88" s="118" t="n">
        <f aca="false">$U88</f>
        <v>1</v>
      </c>
      <c r="W88" s="75" t="n">
        <f aca="false">IF(SUM($T88)=0,"",ROUND(SUM($T88)/IF(SUM($V88)=0,1,SUM($V88)),0))</f>
        <v>24</v>
      </c>
      <c r="X88" s="118" t="n">
        <f aca="false">1</f>
        <v>1</v>
      </c>
      <c r="Y88" s="118" t="n">
        <v>16</v>
      </c>
      <c r="Z88" s="118" t="n">
        <f aca="false">IF(OR(SUM($K88)&lt;=0,SUM($L88)&lt;=0),IF(SUM($Y88)&lt;=0,"",$Y88),SUM($L88)/$K88)</f>
        <v>16</v>
      </c>
      <c r="AA88" s="118" t="n">
        <v>39</v>
      </c>
      <c r="AB88" s="118" t="n">
        <f aca="false">IF(OR((SUM($K88)-SUM($L88))&lt;=0,SUM($M88)&lt;=0),IF(SUM($AA88)&lt;=0,"",$AA88),SUM($M88)/($K88-SUM($L88)))</f>
        <v>39</v>
      </c>
      <c r="AC88" s="73" t="n">
        <f aca="false">IF(SUM($T88)&lt;=0,"",ROUND(SUM($T88)*$X88,0))</f>
        <v>24</v>
      </c>
      <c r="AD88" s="75" t="n">
        <f aca="false">IF(SUM($AC88)&lt;=0,"",ROUND($AC88*SUM($Z88),0))</f>
        <v>384</v>
      </c>
      <c r="AE88" s="75" t="n">
        <f aca="false">IF(SUM($T88)&lt;=0,"",ROUND(($AC88-$AD88)*SUM($AB88),0))</f>
        <v>-14040</v>
      </c>
      <c r="AF88" s="75" t="n">
        <f aca="false">IF(SUM($AC88)&lt;=0,"",ROUND($AC88-$AD88-$AE88,0))</f>
        <v>13680</v>
      </c>
      <c r="AG88" s="73" t="n">
        <f aca="false">IF(SUM($W88)&lt;=0,"",ROUND(SUM($W88)*$X88,0))</f>
        <v>24</v>
      </c>
      <c r="AH88" s="75" t="n">
        <f aca="false">IF(SUM($AG88)&lt;=0,"",ROUND($AG88*SUM($Z88),0))</f>
        <v>384</v>
      </c>
      <c r="AI88" s="75" t="n">
        <f aca="false">IF(SUM($W88)&lt;=0,"",ROUND(($AG88-$AH88)*SUM($AB88),0))</f>
        <v>-14040</v>
      </c>
      <c r="AJ88" s="75" t="n">
        <f aca="false">IF(SUM($AG88)&lt;=0,"",ROUND($AG88-$AH88-$AI88,0))</f>
        <v>13680</v>
      </c>
      <c r="AK88" s="118" t="n">
        <f aca="false">_xlfn.IFNA(INDEX(Cascade!$BA:$BA,MATCH($E88,Cascade!$E:$E,0)),"")</f>
        <v>0.95</v>
      </c>
      <c r="AL88" s="75" t="n">
        <f aca="false">IF(SUM($AD88)&lt;=0,"",$AD88)</f>
        <v>384</v>
      </c>
      <c r="AM88" s="75" t="str">
        <f aca="false">IF(SUM($AE88)&lt;=0,"",ROUND($AE88*$AK88,0))</f>
        <v/>
      </c>
      <c r="AN88" s="75" t="n">
        <f aca="false">IF(AND(SUM($AH88)=0,SUM($AI88)=0),"",SUM($AH88)+SUM($AI88))</f>
        <v>-13656</v>
      </c>
      <c r="AO88" s="75" t="n">
        <f aca="false">IF(SUM($AH88)&lt;=0,"",$AH88)</f>
        <v>384</v>
      </c>
      <c r="AP88" s="75" t="str">
        <f aca="false">IF(SUM($AI88)&lt;=0,"",ROUND($AI88*$AK88,0))</f>
        <v/>
      </c>
      <c r="AQ88" s="73" t="str">
        <f aca="false">IF(SUM($T88,$AD88,$AE88)&lt;=0,"",MAX(SUM($T88,-$AD88,-$AE88),$AF88))</f>
        <v/>
      </c>
      <c r="AR88" s="118"/>
      <c r="AS88" s="118" t="str">
        <f aca="false">IF(SUM(AR88)=0,"",$AR88)</f>
        <v/>
      </c>
      <c r="AT88" s="118" t="n">
        <f aca="false">0.95</f>
        <v>0.95</v>
      </c>
      <c r="AU88" s="75" t="str">
        <f aca="false">IF(SUM($AQ88)&lt;=0,"",ROUND(SUM($AQ88)*SUM($AS88),0))</f>
        <v/>
      </c>
      <c r="AV88" s="75" t="str">
        <f aca="false">IF(SUM($AQ88)&lt;=0,"",$AQ88-$AU88)</f>
        <v/>
      </c>
      <c r="AW88" s="73" t="str">
        <f aca="false">IF(SUM($AU88)&lt;=0,"",ROUND($AU88*$AT88,0))</f>
        <v/>
      </c>
      <c r="AX88" s="73" t="str">
        <f aca="false">IF(SUM($AE88,$AD88,$AU88)&lt;=0,"",SUM($AE88,$AD88,$AU88))</f>
        <v/>
      </c>
      <c r="AY88" s="73" t="n">
        <f aca="false">_xlfn.IFNA(INDEX(Cascade!$BD:$BD,MATCH($E88,Cascade!$E:$E,0)),"")</f>
        <v>9</v>
      </c>
      <c r="AZ88" s="118" t="str">
        <f aca="false">IFERROR(IF(SUM($AE88)&lt;=0,"",$AE88/$AY88),"")</f>
        <v/>
      </c>
      <c r="BA88" s="118" t="str">
        <f aca="false">IFERROR(IF(SUM($AU88)&lt;=0,"",$AU88/$AY88),"")</f>
        <v/>
      </c>
      <c r="BB88" s="118" t="n">
        <f aca="false">_xlfn.IFNA(INDEX(Cascade!$BL:$BL,MATCH($E88,Cascade!$E:$E,0)),"")</f>
        <v>0.555555555555556</v>
      </c>
      <c r="BC88" s="118" t="str">
        <f aca="false">_xlfn.IFNA(INDEX(Cascade!$BO:$BO,MATCH($E88,Cascade!$E:$E,0)),"")</f>
        <v/>
      </c>
      <c r="BD88" s="118" t="n">
        <f aca="false">_xlfn.IFNA(INDEX(Cascade!$BR:$BR,MATCH($E88,Cascade!$E:$E,0)),"")</f>
        <v>1560.44444444444</v>
      </c>
    </row>
    <row r="89" customFormat="false" ht="15" hidden="false" customHeight="false" outlineLevel="0" collapsed="false">
      <c r="A89" s="0" t="s">
        <v>149</v>
      </c>
      <c r="B89" s="0" t="s">
        <v>111</v>
      </c>
      <c r="C89" s="0" t="s">
        <v>66</v>
      </c>
      <c r="D89" s="0" t="s">
        <v>56</v>
      </c>
      <c r="E89" s="0" t="str">
        <f aca="false">B89&amp;"|"&amp;C89&amp;"|"&amp;D89</f>
        <v>Qacha's Nek [#SNU] [zTaMbxvQtJ6]|20-24|Female</v>
      </c>
      <c r="F89" s="73" t="n">
        <f aca="false">_xlfn.IFNA(INDEX(Cascade!$F:$F,MATCH($E89,Cascade!$E:$E,0)),"")</f>
        <v>3270</v>
      </c>
      <c r="G89" s="73" t="n">
        <f aca="false">_xlfn.IFNA(INDEX(Cascade!$H:$H,MATCH($E89,Cascade!$E:$E,0)),"")</f>
        <v>423</v>
      </c>
      <c r="H89" s="118" t="n">
        <f aca="false">_xlfn.IFNA(INDEX(Cascade!$J:$J,MATCH($E89,Cascade!$E:$E,0)),"")</f>
        <v>0.1294158</v>
      </c>
      <c r="I89" s="73" t="n">
        <f aca="false">_xlfn.IFNA(INDEX(Cascade!$P:$P,MATCH($E89,Cascade!$E:$E,0)),"")</f>
        <v>248</v>
      </c>
      <c r="J89" s="118" t="n">
        <f aca="false">_xlfn.IFNA(INDEX(Cascade!$Y:$Y,MATCH($E89,Cascade!$E:$E,0)),"")</f>
        <v>0.58628841607565</v>
      </c>
      <c r="K89" s="75" t="str">
        <f aca="false">_xlfn.IFNA(ROUND(INDEX(Spectrum!$N:$N,MATCH(RIGHT($B89,13)&amp;"|"&amp;$C89&amp;"|"&amp;$D89&amp;"|"&amp;K$14&amp;"|"&amp;"CY2021Q3",Spectrum!$Q:$Q,0)),0),"")</f>
        <v/>
      </c>
      <c r="L89" s="75" t="str">
        <f aca="false">_xlfn.IFNA(ROUND(INDEX(Spectrum!$N:$N,MATCH(RIGHT($B89,13)&amp;"|"&amp;$C89&amp;"|"&amp;$D89&amp;"|"&amp;L$14&amp;"|"&amp;"CY2021Q3",Spectrum!$Q:$Q,0)),0),"")</f>
        <v/>
      </c>
      <c r="M89" s="75" t="str">
        <f aca="false">_xlfn.IFNA(ROUND(INDEX(Spectrum!$N:$N,MATCH(RIGHT($B89,13)&amp;"|"&amp;$C89&amp;"|"&amp;$D89&amp;"|"&amp;M$14&amp;"|"&amp;"CY2021Q3",Spectrum!$Q:$Q,0)),0),"")</f>
        <v/>
      </c>
      <c r="N89" s="75" t="str">
        <f aca="false">_xlfn.IFNA(ROUND(INDEX(Spectrum!$N:$N,MATCH(RIGHT($B89,13)&amp;"|"&amp;$C89&amp;"|"&amp;$D89&amp;"|"&amp;N$14&amp;"|"&amp;"CY2021Q3",Spectrum!$Q:$Q,0)),0),"")</f>
        <v/>
      </c>
      <c r="O89" s="75" t="str">
        <f aca="false">_xlfn.IFNA(ROUND(INDEX(Spectrum!$N:$N,MATCH(RIGHT($B89,13)&amp;"|"&amp;$C89&amp;"|"&amp;$D89&amp;"|"&amp;O$14&amp;"|"&amp;"CY2021Q3",Spectrum!$Q:$Q,0)),0),"")</f>
        <v/>
      </c>
      <c r="P89" s="75" t="str">
        <f aca="false">_xlfn.IFNA(ROUND(INDEX(Spectrum!$N:$N,MATCH(RIGHT($B89,13)&amp;"|"&amp;$C89&amp;"|"&amp;$D89&amp;"|"&amp;P$14&amp;"|"&amp;"CY2021Q3",Spectrum!$Q:$Q,0)),0),"")</f>
        <v/>
      </c>
      <c r="Q89" s="75" t="str">
        <f aca="false">_xlfn.IFNA(ROUND(INDEX(Spectrum!$N:$N,MATCH(RIGHT($B89,13)&amp;"|"&amp;$C89&amp;"|"&amp;$D89&amp;"|"&amp;Q$14&amp;"|"&amp;"CY2021Q3",Spectrum!$Q:$Q,0)),0),"")</f>
        <v/>
      </c>
      <c r="R89" s="73" t="n">
        <v>15</v>
      </c>
      <c r="S89" s="118" t="n">
        <f aca="false">IF(SUM($R89)&lt;=0,"",0%)</f>
        <v>0</v>
      </c>
      <c r="T89" s="75" t="n">
        <f aca="false">IF(SUM($R89)&lt;=0,"",ROUND(MIN($R89,$K89)*(1+$S89),0))</f>
        <v>15</v>
      </c>
      <c r="U89" s="118" t="n">
        <f aca="false">IF(SUM($K89)=0,IF(SUM($R89)=0,"",1),MIN(SUM($R89)/SUM($K89),1))</f>
        <v>1</v>
      </c>
      <c r="V89" s="118" t="n">
        <f aca="false">$U89</f>
        <v>1</v>
      </c>
      <c r="W89" s="75" t="n">
        <f aca="false">IF(SUM($T89)=0,"",ROUND(SUM($T89)/IF(SUM($V89)=0,1,SUM($V89)),0))</f>
        <v>15</v>
      </c>
      <c r="X89" s="118" t="n">
        <f aca="false">1</f>
        <v>1</v>
      </c>
      <c r="Y89" s="118" t="n">
        <v>10</v>
      </c>
      <c r="Z89" s="118" t="n">
        <f aca="false">IF(OR(SUM($K89)&lt;=0,SUM($L89)&lt;=0),IF(SUM($Y89)&lt;=0,"",$Y89),SUM($L89)/$K89)</f>
        <v>10</v>
      </c>
      <c r="AA89" s="118" t="n">
        <v>43</v>
      </c>
      <c r="AB89" s="118" t="n">
        <f aca="false">IF(OR((SUM($K89)-SUM($L89))&lt;=0,SUM($M89)&lt;=0),IF(SUM($AA89)&lt;=0,"",$AA89),SUM($M89)/($K89-SUM($L89)))</f>
        <v>43</v>
      </c>
      <c r="AC89" s="73" t="n">
        <f aca="false">IF(SUM($T89)&lt;=0,"",ROUND(SUM($T89)*$X89,0))</f>
        <v>15</v>
      </c>
      <c r="AD89" s="75" t="n">
        <f aca="false">IF(SUM($AC89)&lt;=0,"",ROUND($AC89*SUM($Z89),0))</f>
        <v>150</v>
      </c>
      <c r="AE89" s="75" t="n">
        <f aca="false">IF(SUM($T89)&lt;=0,"",ROUND(($AC89-$AD89)*SUM($AB89),0))</f>
        <v>-5805</v>
      </c>
      <c r="AF89" s="75" t="n">
        <f aca="false">IF(SUM($AC89)&lt;=0,"",ROUND($AC89-$AD89-$AE89,0))</f>
        <v>5670</v>
      </c>
      <c r="AG89" s="73" t="n">
        <f aca="false">IF(SUM($W89)&lt;=0,"",ROUND(SUM($W89)*$X89,0))</f>
        <v>15</v>
      </c>
      <c r="AH89" s="75" t="n">
        <f aca="false">IF(SUM($AG89)&lt;=0,"",ROUND($AG89*SUM($Z89),0))</f>
        <v>150</v>
      </c>
      <c r="AI89" s="75" t="n">
        <f aca="false">IF(SUM($W89)&lt;=0,"",ROUND(($AG89-$AH89)*SUM($AB89),0))</f>
        <v>-5805</v>
      </c>
      <c r="AJ89" s="75" t="n">
        <f aca="false">IF(SUM($AG89)&lt;=0,"",ROUND($AG89-$AH89-$AI89,0))</f>
        <v>5670</v>
      </c>
      <c r="AK89" s="118" t="n">
        <f aca="false">_xlfn.IFNA(INDEX(Cascade!$BA:$BA,MATCH($E89,Cascade!$E:$E,0)),"")</f>
        <v>0.95</v>
      </c>
      <c r="AL89" s="75" t="n">
        <f aca="false">IF(SUM($AD89)&lt;=0,"",$AD89)</f>
        <v>150</v>
      </c>
      <c r="AM89" s="75" t="str">
        <f aca="false">IF(SUM($AE89)&lt;=0,"",ROUND($AE89*$AK89,0))</f>
        <v/>
      </c>
      <c r="AN89" s="75" t="n">
        <f aca="false">IF(AND(SUM($AH89)=0,SUM($AI89)=0),"",SUM($AH89)+SUM($AI89))</f>
        <v>-5655</v>
      </c>
      <c r="AO89" s="75" t="n">
        <f aca="false">IF(SUM($AH89)&lt;=0,"",$AH89)</f>
        <v>150</v>
      </c>
      <c r="AP89" s="75" t="str">
        <f aca="false">IF(SUM($AI89)&lt;=0,"",ROUND($AI89*$AK89,0))</f>
        <v/>
      </c>
      <c r="AQ89" s="73" t="str">
        <f aca="false">IF(SUM($T89,$AD89,$AE89)&lt;=0,"",MAX(SUM($T89,-$AD89,-$AE89),$AF89))</f>
        <v/>
      </c>
      <c r="AR89" s="118" t="n">
        <v>33</v>
      </c>
      <c r="AS89" s="118" t="n">
        <f aca="false">IF(SUM(AR89)=0,"",$AR89)</f>
        <v>33</v>
      </c>
      <c r="AT89" s="118" t="n">
        <f aca="false">0.95</f>
        <v>0.95</v>
      </c>
      <c r="AU89" s="75" t="str">
        <f aca="false">IF(SUM($AQ89)&lt;=0,"",ROUND(SUM($AQ89)*SUM($AS89),0))</f>
        <v/>
      </c>
      <c r="AV89" s="75" t="str">
        <f aca="false">IF(SUM($AQ89)&lt;=0,"",$AQ89-$AU89)</f>
        <v/>
      </c>
      <c r="AW89" s="73" t="str">
        <f aca="false">IF(SUM($AU89)&lt;=0,"",ROUND($AU89*$AT89,0))</f>
        <v/>
      </c>
      <c r="AX89" s="73" t="str">
        <f aca="false">IF(SUM($AE89,$AD89,$AU89)&lt;=0,"",SUM($AE89,$AD89,$AU89))</f>
        <v/>
      </c>
      <c r="AY89" s="73" t="n">
        <f aca="false">_xlfn.IFNA(INDEX(Cascade!$BD:$BD,MATCH($E89,Cascade!$E:$E,0)),"")</f>
        <v>5</v>
      </c>
      <c r="AZ89" s="118" t="str">
        <f aca="false">IFERROR(IF(SUM($AE89)&lt;=0,"",$AE89/$AY89),"")</f>
        <v/>
      </c>
      <c r="BA89" s="118" t="str">
        <f aca="false">IFERROR(IF(SUM($AU89)&lt;=0,"",$AU89/$AY89),"")</f>
        <v/>
      </c>
      <c r="BB89" s="118" t="n">
        <f aca="false">_xlfn.IFNA(INDEX(Cascade!$BL:$BL,MATCH($E89,Cascade!$E:$E,0)),"")</f>
        <v>0.4</v>
      </c>
      <c r="BC89" s="118" t="n">
        <f aca="false">_xlfn.IFNA(INDEX(Cascade!$BO:$BO,MATCH($E89,Cascade!$E:$E,0)),"")</f>
        <v>-34.8</v>
      </c>
      <c r="BD89" s="118" t="n">
        <f aca="false">_xlfn.IFNA(INDEX(Cascade!$BR:$BR,MATCH($E89,Cascade!$E:$E,0)),"")</f>
        <v>1196.4</v>
      </c>
    </row>
    <row r="90" customFormat="false" ht="15" hidden="false" customHeight="false" outlineLevel="0" collapsed="false">
      <c r="A90" s="0" t="s">
        <v>149</v>
      </c>
      <c r="B90" s="0" t="s">
        <v>111</v>
      </c>
      <c r="C90" s="0" t="s">
        <v>69</v>
      </c>
      <c r="D90" s="0" t="s">
        <v>56</v>
      </c>
      <c r="E90" s="0" t="str">
        <f aca="false">B90&amp;"|"&amp;C90&amp;"|"&amp;D90</f>
        <v>Qacha's Nek [#SNU] [zTaMbxvQtJ6]|25-29|Female</v>
      </c>
      <c r="F90" s="73" t="n">
        <f aca="false">_xlfn.IFNA(INDEX(Cascade!$F:$F,MATCH($E90,Cascade!$E:$E,0)),"")</f>
        <v>3373</v>
      </c>
      <c r="G90" s="73" t="n">
        <f aca="false">_xlfn.IFNA(INDEX(Cascade!$H:$H,MATCH($E90,Cascade!$E:$E,0)),"")</f>
        <v>761</v>
      </c>
      <c r="H90" s="118" t="n">
        <f aca="false">_xlfn.IFNA(INDEX(Cascade!$J:$J,MATCH($E90,Cascade!$E:$E,0)),"")</f>
        <v>0.2256615</v>
      </c>
      <c r="I90" s="73" t="n">
        <f aca="false">_xlfn.IFNA(INDEX(Cascade!$P:$P,MATCH($E90,Cascade!$E:$E,0)),"")</f>
        <v>424</v>
      </c>
      <c r="J90" s="118" t="n">
        <f aca="false">_xlfn.IFNA(INDEX(Cascade!$Y:$Y,MATCH($E90,Cascade!$E:$E,0)),"")</f>
        <v>0.557161629434954</v>
      </c>
      <c r="K90" s="75" t="str">
        <f aca="false">_xlfn.IFNA(ROUND(INDEX(Spectrum!$N:$N,MATCH(RIGHT($B90,13)&amp;"|"&amp;$C90&amp;"|"&amp;$D90&amp;"|"&amp;K$14&amp;"|"&amp;"CY2021Q3",Spectrum!$Q:$Q,0)),0),"")</f>
        <v/>
      </c>
      <c r="L90" s="75" t="str">
        <f aca="false">_xlfn.IFNA(ROUND(INDEX(Spectrum!$N:$N,MATCH(RIGHT($B90,13)&amp;"|"&amp;$C90&amp;"|"&amp;$D90&amp;"|"&amp;L$14&amp;"|"&amp;"CY2021Q3",Spectrum!$Q:$Q,0)),0),"")</f>
        <v/>
      </c>
      <c r="M90" s="75" t="str">
        <f aca="false">_xlfn.IFNA(ROUND(INDEX(Spectrum!$N:$N,MATCH(RIGHT($B90,13)&amp;"|"&amp;$C90&amp;"|"&amp;$D90&amp;"|"&amp;M$14&amp;"|"&amp;"CY2021Q3",Spectrum!$Q:$Q,0)),0),"")</f>
        <v/>
      </c>
      <c r="N90" s="75" t="str">
        <f aca="false">_xlfn.IFNA(ROUND(INDEX(Spectrum!$N:$N,MATCH(RIGHT($B90,13)&amp;"|"&amp;$C90&amp;"|"&amp;$D90&amp;"|"&amp;N$14&amp;"|"&amp;"CY2021Q3",Spectrum!$Q:$Q,0)),0),"")</f>
        <v/>
      </c>
      <c r="O90" s="75" t="str">
        <f aca="false">_xlfn.IFNA(ROUND(INDEX(Spectrum!$N:$N,MATCH(RIGHT($B90,13)&amp;"|"&amp;$C90&amp;"|"&amp;$D90&amp;"|"&amp;O$14&amp;"|"&amp;"CY2021Q3",Spectrum!$Q:$Q,0)),0),"")</f>
        <v/>
      </c>
      <c r="P90" s="75" t="str">
        <f aca="false">_xlfn.IFNA(ROUND(INDEX(Spectrum!$N:$N,MATCH(RIGHT($B90,13)&amp;"|"&amp;$C90&amp;"|"&amp;$D90&amp;"|"&amp;P$14&amp;"|"&amp;"CY2021Q3",Spectrum!$Q:$Q,0)),0),"")</f>
        <v/>
      </c>
      <c r="Q90" s="75" t="str">
        <f aca="false">_xlfn.IFNA(ROUND(INDEX(Spectrum!$N:$N,MATCH(RIGHT($B90,13)&amp;"|"&amp;$C90&amp;"|"&amp;$D90&amp;"|"&amp;Q$14&amp;"|"&amp;"CY2021Q3",Spectrum!$Q:$Q,0)),0),"")</f>
        <v/>
      </c>
      <c r="R90" s="73" t="n">
        <v>1</v>
      </c>
      <c r="S90" s="118" t="n">
        <f aca="false">IF(SUM($R90)&lt;=0,"",0%)</f>
        <v>0</v>
      </c>
      <c r="T90" s="75" t="n">
        <f aca="false">IF(SUM($R90)&lt;=0,"",ROUND(MIN($R90,$K90)*(1+$S90),0))</f>
        <v>1</v>
      </c>
      <c r="U90" s="118" t="n">
        <f aca="false">IF(SUM($K90)=0,IF(SUM($R90)=0,"",1),MIN(SUM($R90)/SUM($K90),1))</f>
        <v>1</v>
      </c>
      <c r="V90" s="118" t="n">
        <f aca="false">$U90</f>
        <v>1</v>
      </c>
      <c r="W90" s="75" t="n">
        <f aca="false">IF(SUM($T90)=0,"",ROUND(SUM($T90)/IF(SUM($V90)=0,1,SUM($V90)),0))</f>
        <v>1</v>
      </c>
      <c r="X90" s="118" t="n">
        <f aca="false">1</f>
        <v>1</v>
      </c>
      <c r="Y90" s="118" t="n">
        <v>42</v>
      </c>
      <c r="Z90" s="118" t="n">
        <f aca="false">IF(OR(SUM($K90)&lt;=0,SUM($L90)&lt;=0),IF(SUM($Y90)&lt;=0,"",$Y90),SUM($L90)/$K90)</f>
        <v>42</v>
      </c>
      <c r="AA90" s="118" t="n">
        <v>41</v>
      </c>
      <c r="AB90" s="118" t="n">
        <f aca="false">IF(OR((SUM($K90)-SUM($L90))&lt;=0,SUM($M90)&lt;=0),IF(SUM($AA90)&lt;=0,"",$AA90),SUM($M90)/($K90-SUM($L90)))</f>
        <v>41</v>
      </c>
      <c r="AC90" s="73" t="n">
        <f aca="false">IF(SUM($T90)&lt;=0,"",ROUND(SUM($T90)*$X90,0))</f>
        <v>1</v>
      </c>
      <c r="AD90" s="75" t="n">
        <f aca="false">IF(SUM($AC90)&lt;=0,"",ROUND($AC90*SUM($Z90),0))</f>
        <v>42</v>
      </c>
      <c r="AE90" s="75" t="n">
        <f aca="false">IF(SUM($T90)&lt;=0,"",ROUND(($AC90-$AD90)*SUM($AB90),0))</f>
        <v>-1681</v>
      </c>
      <c r="AF90" s="75" t="n">
        <f aca="false">IF(SUM($AC90)&lt;=0,"",ROUND($AC90-$AD90-$AE90,0))</f>
        <v>1640</v>
      </c>
      <c r="AG90" s="73" t="n">
        <f aca="false">IF(SUM($W90)&lt;=0,"",ROUND(SUM($W90)*$X90,0))</f>
        <v>1</v>
      </c>
      <c r="AH90" s="75" t="n">
        <f aca="false">IF(SUM($AG90)&lt;=0,"",ROUND($AG90*SUM($Z90),0))</f>
        <v>42</v>
      </c>
      <c r="AI90" s="75" t="n">
        <f aca="false">IF(SUM($W90)&lt;=0,"",ROUND(($AG90-$AH90)*SUM($AB90),0))</f>
        <v>-1681</v>
      </c>
      <c r="AJ90" s="75" t="n">
        <f aca="false">IF(SUM($AG90)&lt;=0,"",ROUND($AG90-$AH90-$AI90,0))</f>
        <v>1640</v>
      </c>
      <c r="AK90" s="118" t="n">
        <f aca="false">_xlfn.IFNA(INDEX(Cascade!$BA:$BA,MATCH($E90,Cascade!$E:$E,0)),"")</f>
        <v>0.95</v>
      </c>
      <c r="AL90" s="75" t="n">
        <f aca="false">IF(SUM($AD90)&lt;=0,"",$AD90)</f>
        <v>42</v>
      </c>
      <c r="AM90" s="75" t="str">
        <f aca="false">IF(SUM($AE90)&lt;=0,"",ROUND($AE90*$AK90,0))</f>
        <v/>
      </c>
      <c r="AN90" s="75" t="n">
        <f aca="false">IF(AND(SUM($AH90)=0,SUM($AI90)=0),"",SUM($AH90)+SUM($AI90))</f>
        <v>-1639</v>
      </c>
      <c r="AO90" s="75" t="n">
        <f aca="false">IF(SUM($AH90)&lt;=0,"",$AH90)</f>
        <v>42</v>
      </c>
      <c r="AP90" s="75" t="str">
        <f aca="false">IF(SUM($AI90)&lt;=0,"",ROUND($AI90*$AK90,0))</f>
        <v/>
      </c>
      <c r="AQ90" s="73" t="str">
        <f aca="false">IF(SUM($T90,$AD90,$AE90)&lt;=0,"",MAX(SUM($T90,-$AD90,-$AE90),$AF90))</f>
        <v/>
      </c>
      <c r="AR90" s="118" t="n">
        <v>18</v>
      </c>
      <c r="AS90" s="118" t="n">
        <f aca="false">IF(SUM(AR90)=0,"",$AR90)</f>
        <v>18</v>
      </c>
      <c r="AT90" s="118" t="n">
        <f aca="false">0.95</f>
        <v>0.95</v>
      </c>
      <c r="AU90" s="75" t="str">
        <f aca="false">IF(SUM($AQ90)&lt;=0,"",ROUND(SUM($AQ90)*SUM($AS90),0))</f>
        <v/>
      </c>
      <c r="AV90" s="75" t="str">
        <f aca="false">IF(SUM($AQ90)&lt;=0,"",$AQ90-$AU90)</f>
        <v/>
      </c>
      <c r="AW90" s="73" t="str">
        <f aca="false">IF(SUM($AU90)&lt;=0,"",ROUND($AU90*$AT90,0))</f>
        <v/>
      </c>
      <c r="AX90" s="73" t="str">
        <f aca="false">IF(SUM($AE90,$AD90,$AU90)&lt;=0,"",SUM($AE90,$AD90,$AU90))</f>
        <v/>
      </c>
      <c r="AY90" s="73" t="n">
        <f aca="false">_xlfn.IFNA(INDEX(Cascade!$BD:$BD,MATCH($E90,Cascade!$E:$E,0)),"")</f>
        <v>32</v>
      </c>
      <c r="AZ90" s="118" t="str">
        <f aca="false">IFERROR(IF(SUM($AE90)&lt;=0,"",$AE90/$AY90),"")</f>
        <v/>
      </c>
      <c r="BA90" s="118" t="str">
        <f aca="false">IFERROR(IF(SUM($AU90)&lt;=0,"",$AU90/$AY90),"")</f>
        <v/>
      </c>
      <c r="BB90" s="118" t="n">
        <f aca="false">_xlfn.IFNA(INDEX(Cascade!$BL:$BL,MATCH($E90,Cascade!$E:$E,0)),"")</f>
        <v>0.3125</v>
      </c>
      <c r="BC90" s="118" t="n">
        <f aca="false">_xlfn.IFNA(INDEX(Cascade!$BO:$BO,MATCH($E90,Cascade!$E:$E,0)),"")</f>
        <v>-524.0625</v>
      </c>
      <c r="BD90" s="118" t="n">
        <f aca="false">_xlfn.IFNA(INDEX(Cascade!$BR:$BR,MATCH($E90,Cascade!$E:$E,0)),"")</f>
        <v>577.28125</v>
      </c>
    </row>
    <row r="91" customFormat="false" ht="15" hidden="false" customHeight="false" outlineLevel="0" collapsed="false">
      <c r="A91" s="0" t="s">
        <v>149</v>
      </c>
      <c r="B91" s="0" t="s">
        <v>111</v>
      </c>
      <c r="C91" s="0" t="s">
        <v>72</v>
      </c>
      <c r="D91" s="0" t="s">
        <v>56</v>
      </c>
      <c r="E91" s="0" t="str">
        <f aca="false">B91&amp;"|"&amp;C91&amp;"|"&amp;D91</f>
        <v>Qacha's Nek [#SNU] [zTaMbxvQtJ6]|30-34|Female</v>
      </c>
      <c r="F91" s="73" t="n">
        <f aca="false">_xlfn.IFNA(INDEX(Cascade!$F:$F,MATCH($E91,Cascade!$E:$E,0)),"")</f>
        <v>3171</v>
      </c>
      <c r="G91" s="73" t="n">
        <f aca="false">_xlfn.IFNA(INDEX(Cascade!$H:$H,MATCH($E91,Cascade!$E:$E,0)),"")</f>
        <v>1062</v>
      </c>
      <c r="H91" s="118" t="n">
        <f aca="false">_xlfn.IFNA(INDEX(Cascade!$J:$J,MATCH($E91,Cascade!$E:$E,0)),"")</f>
        <v>0.3350367</v>
      </c>
      <c r="I91" s="73" t="n">
        <f aca="false">_xlfn.IFNA(INDEX(Cascade!$P:$P,MATCH($E91,Cascade!$E:$E,0)),"")</f>
        <v>576</v>
      </c>
      <c r="J91" s="118" t="n">
        <f aca="false">_xlfn.IFNA(INDEX(Cascade!$Y:$Y,MATCH($E91,Cascade!$E:$E,0)),"")</f>
        <v>0.542372881355932</v>
      </c>
      <c r="K91" s="75" t="str">
        <f aca="false">_xlfn.IFNA(ROUND(INDEX(Spectrum!$N:$N,MATCH(RIGHT($B91,13)&amp;"|"&amp;$C91&amp;"|"&amp;$D91&amp;"|"&amp;K$14&amp;"|"&amp;"CY2021Q3",Spectrum!$Q:$Q,0)),0),"")</f>
        <v/>
      </c>
      <c r="L91" s="75" t="str">
        <f aca="false">_xlfn.IFNA(ROUND(INDEX(Spectrum!$N:$N,MATCH(RIGHT($B91,13)&amp;"|"&amp;$C91&amp;"|"&amp;$D91&amp;"|"&amp;L$14&amp;"|"&amp;"CY2021Q3",Spectrum!$Q:$Q,0)),0),"")</f>
        <v/>
      </c>
      <c r="M91" s="75" t="str">
        <f aca="false">_xlfn.IFNA(ROUND(INDEX(Spectrum!$N:$N,MATCH(RIGHT($B91,13)&amp;"|"&amp;$C91&amp;"|"&amp;$D91&amp;"|"&amp;M$14&amp;"|"&amp;"CY2021Q3",Spectrum!$Q:$Q,0)),0),"")</f>
        <v/>
      </c>
      <c r="N91" s="75" t="str">
        <f aca="false">_xlfn.IFNA(ROUND(INDEX(Spectrum!$N:$N,MATCH(RIGHT($B91,13)&amp;"|"&amp;$C91&amp;"|"&amp;$D91&amp;"|"&amp;N$14&amp;"|"&amp;"CY2021Q3",Spectrum!$Q:$Q,0)),0),"")</f>
        <v/>
      </c>
      <c r="O91" s="75" t="str">
        <f aca="false">_xlfn.IFNA(ROUND(INDEX(Spectrum!$N:$N,MATCH(RIGHT($B91,13)&amp;"|"&amp;$C91&amp;"|"&amp;$D91&amp;"|"&amp;O$14&amp;"|"&amp;"CY2021Q3",Spectrum!$Q:$Q,0)),0),"")</f>
        <v/>
      </c>
      <c r="P91" s="75" t="str">
        <f aca="false">_xlfn.IFNA(ROUND(INDEX(Spectrum!$N:$N,MATCH(RIGHT($B91,13)&amp;"|"&amp;$C91&amp;"|"&amp;$D91&amp;"|"&amp;P$14&amp;"|"&amp;"CY2021Q3",Spectrum!$Q:$Q,0)),0),"")</f>
        <v/>
      </c>
      <c r="Q91" s="75" t="str">
        <f aca="false">_xlfn.IFNA(ROUND(INDEX(Spectrum!$N:$N,MATCH(RIGHT($B91,13)&amp;"|"&amp;$C91&amp;"|"&amp;$D91&amp;"|"&amp;Q$14&amp;"|"&amp;"CY2021Q3",Spectrum!$Q:$Q,0)),0),"")</f>
        <v/>
      </c>
      <c r="R91" s="73" t="n">
        <v>32</v>
      </c>
      <c r="S91" s="118" t="n">
        <f aca="false">IF(SUM($R91)&lt;=0,"",0%)</f>
        <v>0</v>
      </c>
      <c r="T91" s="75" t="n">
        <f aca="false">IF(SUM($R91)&lt;=0,"",ROUND(MIN($R91,$K91)*(1+$S91),0))</f>
        <v>32</v>
      </c>
      <c r="U91" s="118" t="n">
        <f aca="false">IF(SUM($K91)=0,IF(SUM($R91)=0,"",1),MIN(SUM($R91)/SUM($K91),1))</f>
        <v>1</v>
      </c>
      <c r="V91" s="118" t="n">
        <f aca="false">$U91</f>
        <v>1</v>
      </c>
      <c r="W91" s="75" t="n">
        <f aca="false">IF(SUM($T91)=0,"",ROUND(SUM($T91)/IF(SUM($V91)=0,1,SUM($V91)),0))</f>
        <v>32</v>
      </c>
      <c r="X91" s="118" t="n">
        <f aca="false">1</f>
        <v>1</v>
      </c>
      <c r="Y91" s="118" t="n">
        <v>27</v>
      </c>
      <c r="Z91" s="118" t="n">
        <f aca="false">IF(OR(SUM($K91)&lt;=0,SUM($L91)&lt;=0),IF(SUM($Y91)&lt;=0,"",$Y91),SUM($L91)/$K91)</f>
        <v>27</v>
      </c>
      <c r="AA91" s="118" t="n">
        <v>30</v>
      </c>
      <c r="AB91" s="118" t="n">
        <f aca="false">IF(OR((SUM($K91)-SUM($L91))&lt;=0,SUM($M91)&lt;=0),IF(SUM($AA91)&lt;=0,"",$AA91),SUM($M91)/($K91-SUM($L91)))</f>
        <v>30</v>
      </c>
      <c r="AC91" s="73" t="n">
        <f aca="false">IF(SUM($T91)&lt;=0,"",ROUND(SUM($T91)*$X91,0))</f>
        <v>32</v>
      </c>
      <c r="AD91" s="75" t="n">
        <f aca="false">IF(SUM($AC91)&lt;=0,"",ROUND($AC91*SUM($Z91),0))</f>
        <v>864</v>
      </c>
      <c r="AE91" s="75" t="n">
        <f aca="false">IF(SUM($T91)&lt;=0,"",ROUND(($AC91-$AD91)*SUM($AB91),0))</f>
        <v>-24960</v>
      </c>
      <c r="AF91" s="75" t="n">
        <f aca="false">IF(SUM($AC91)&lt;=0,"",ROUND($AC91-$AD91-$AE91,0))</f>
        <v>24128</v>
      </c>
      <c r="AG91" s="73" t="n">
        <f aca="false">IF(SUM($W91)&lt;=0,"",ROUND(SUM($W91)*$X91,0))</f>
        <v>32</v>
      </c>
      <c r="AH91" s="75" t="n">
        <f aca="false">IF(SUM($AG91)&lt;=0,"",ROUND($AG91*SUM($Z91),0))</f>
        <v>864</v>
      </c>
      <c r="AI91" s="75" t="n">
        <f aca="false">IF(SUM($W91)&lt;=0,"",ROUND(($AG91-$AH91)*SUM($AB91),0))</f>
        <v>-24960</v>
      </c>
      <c r="AJ91" s="75" t="n">
        <f aca="false">IF(SUM($AG91)&lt;=0,"",ROUND($AG91-$AH91-$AI91,0))</f>
        <v>24128</v>
      </c>
      <c r="AK91" s="118" t="n">
        <f aca="false">_xlfn.IFNA(INDEX(Cascade!$BA:$BA,MATCH($E91,Cascade!$E:$E,0)),"")</f>
        <v>0.95</v>
      </c>
      <c r="AL91" s="75" t="n">
        <f aca="false">IF(SUM($AD91)&lt;=0,"",$AD91)</f>
        <v>864</v>
      </c>
      <c r="AM91" s="75" t="str">
        <f aca="false">IF(SUM($AE91)&lt;=0,"",ROUND($AE91*$AK91,0))</f>
        <v/>
      </c>
      <c r="AN91" s="75" t="n">
        <f aca="false">IF(AND(SUM($AH91)=0,SUM($AI91)=0),"",SUM($AH91)+SUM($AI91))</f>
        <v>-24096</v>
      </c>
      <c r="AO91" s="75" t="n">
        <f aca="false">IF(SUM($AH91)&lt;=0,"",$AH91)</f>
        <v>864</v>
      </c>
      <c r="AP91" s="75" t="str">
        <f aca="false">IF(SUM($AI91)&lt;=0,"",ROUND($AI91*$AK91,0))</f>
        <v/>
      </c>
      <c r="AQ91" s="73" t="str">
        <f aca="false">IF(SUM($T91,$AD91,$AE91)&lt;=0,"",MAX(SUM($T91,-$AD91,-$AE91),$AF91))</f>
        <v/>
      </c>
      <c r="AR91" s="118" t="n">
        <v>39</v>
      </c>
      <c r="AS91" s="118" t="n">
        <f aca="false">IF(SUM(AR91)=0,"",$AR91)</f>
        <v>39</v>
      </c>
      <c r="AT91" s="118" t="n">
        <f aca="false">0.95</f>
        <v>0.95</v>
      </c>
      <c r="AU91" s="75" t="str">
        <f aca="false">IF(SUM($AQ91)&lt;=0,"",ROUND(SUM($AQ91)*SUM($AS91),0))</f>
        <v/>
      </c>
      <c r="AV91" s="75" t="str">
        <f aca="false">IF(SUM($AQ91)&lt;=0,"",$AQ91-$AU91)</f>
        <v/>
      </c>
      <c r="AW91" s="73" t="str">
        <f aca="false">IF(SUM($AU91)&lt;=0,"",ROUND($AU91*$AT91,0))</f>
        <v/>
      </c>
      <c r="AX91" s="73" t="str">
        <f aca="false">IF(SUM($AE91,$AD91,$AU91)&lt;=0,"",SUM($AE91,$AD91,$AU91))</f>
        <v/>
      </c>
      <c r="AY91" s="73" t="n">
        <f aca="false">_xlfn.IFNA(INDEX(Cascade!$BD:$BD,MATCH($E91,Cascade!$E:$E,0)),"")</f>
        <v>16</v>
      </c>
      <c r="AZ91" s="118" t="str">
        <f aca="false">IFERROR(IF(SUM($AE91)&lt;=0,"",$AE91/$AY91),"")</f>
        <v/>
      </c>
      <c r="BA91" s="118" t="str">
        <f aca="false">IFERROR(IF(SUM($AU91)&lt;=0,"",$AU91/$AY91),"")</f>
        <v/>
      </c>
      <c r="BB91" s="118" t="n">
        <f aca="false">_xlfn.IFNA(INDEX(Cascade!$BL:$BL,MATCH($E91,Cascade!$E:$E,0)),"")</f>
        <v>0.3125</v>
      </c>
      <c r="BC91" s="118" t="n">
        <f aca="false">_xlfn.IFNA(INDEX(Cascade!$BO:$BO,MATCH($E91,Cascade!$E:$E,0)),"")</f>
        <v>-28.6875</v>
      </c>
      <c r="BD91" s="118" t="n">
        <f aca="false">_xlfn.IFNA(INDEX(Cascade!$BR:$BR,MATCH($E91,Cascade!$E:$E,0)),"")</f>
        <v>1589.375</v>
      </c>
    </row>
    <row r="92" customFormat="false" ht="15" hidden="false" customHeight="false" outlineLevel="0" collapsed="false">
      <c r="A92" s="0" t="s">
        <v>149</v>
      </c>
      <c r="B92" s="0" t="s">
        <v>111</v>
      </c>
      <c r="C92" s="0" t="s">
        <v>75</v>
      </c>
      <c r="D92" s="0" t="s">
        <v>56</v>
      </c>
      <c r="E92" s="0" t="str">
        <f aca="false">B92&amp;"|"&amp;C92&amp;"|"&amp;D92</f>
        <v>Qacha's Nek [#SNU] [zTaMbxvQtJ6]|35-39|Female</v>
      </c>
      <c r="F92" s="73" t="n">
        <f aca="false">_xlfn.IFNA(INDEX(Cascade!$F:$F,MATCH($E92,Cascade!$E:$E,0)),"")</f>
        <v>2211</v>
      </c>
      <c r="G92" s="73" t="n">
        <f aca="false">_xlfn.IFNA(INDEX(Cascade!$H:$H,MATCH($E92,Cascade!$E:$E,0)),"")</f>
        <v>993</v>
      </c>
      <c r="H92" s="118" t="n">
        <f aca="false">_xlfn.IFNA(INDEX(Cascade!$J:$J,MATCH($E92,Cascade!$E:$E,0)),"")</f>
        <v>0.4491046</v>
      </c>
      <c r="I92" s="73" t="n">
        <f aca="false">_xlfn.IFNA(INDEX(Cascade!$P:$P,MATCH($E92,Cascade!$E:$E,0)),"")</f>
        <v>657</v>
      </c>
      <c r="J92" s="118" t="n">
        <f aca="false">_xlfn.IFNA(INDEX(Cascade!$Y:$Y,MATCH($E92,Cascade!$E:$E,0)),"")</f>
        <v>0.661631419939577</v>
      </c>
      <c r="K92" s="75" t="str">
        <f aca="false">_xlfn.IFNA(ROUND(INDEX(Spectrum!$N:$N,MATCH(RIGHT($B92,13)&amp;"|"&amp;$C92&amp;"|"&amp;$D92&amp;"|"&amp;K$14&amp;"|"&amp;"CY2021Q3",Spectrum!$Q:$Q,0)),0),"")</f>
        <v/>
      </c>
      <c r="L92" s="75" t="str">
        <f aca="false">_xlfn.IFNA(ROUND(INDEX(Spectrum!$N:$N,MATCH(RIGHT($B92,13)&amp;"|"&amp;$C92&amp;"|"&amp;$D92&amp;"|"&amp;L$14&amp;"|"&amp;"CY2021Q3",Spectrum!$Q:$Q,0)),0),"")</f>
        <v/>
      </c>
      <c r="M92" s="75" t="str">
        <f aca="false">_xlfn.IFNA(ROUND(INDEX(Spectrum!$N:$N,MATCH(RIGHT($B92,13)&amp;"|"&amp;$C92&amp;"|"&amp;$D92&amp;"|"&amp;M$14&amp;"|"&amp;"CY2021Q3",Spectrum!$Q:$Q,0)),0),"")</f>
        <v/>
      </c>
      <c r="N92" s="75" t="str">
        <f aca="false">_xlfn.IFNA(ROUND(INDEX(Spectrum!$N:$N,MATCH(RIGHT($B92,13)&amp;"|"&amp;$C92&amp;"|"&amp;$D92&amp;"|"&amp;N$14&amp;"|"&amp;"CY2021Q3",Spectrum!$Q:$Q,0)),0),"")</f>
        <v/>
      </c>
      <c r="O92" s="75" t="str">
        <f aca="false">_xlfn.IFNA(ROUND(INDEX(Spectrum!$N:$N,MATCH(RIGHT($B92,13)&amp;"|"&amp;$C92&amp;"|"&amp;$D92&amp;"|"&amp;O$14&amp;"|"&amp;"CY2021Q3",Spectrum!$Q:$Q,0)),0),"")</f>
        <v/>
      </c>
      <c r="P92" s="75" t="str">
        <f aca="false">_xlfn.IFNA(ROUND(INDEX(Spectrum!$N:$N,MATCH(RIGHT($B92,13)&amp;"|"&amp;$C92&amp;"|"&amp;$D92&amp;"|"&amp;P$14&amp;"|"&amp;"CY2021Q3",Spectrum!$Q:$Q,0)),0),"")</f>
        <v/>
      </c>
      <c r="Q92" s="75" t="str">
        <f aca="false">_xlfn.IFNA(ROUND(INDEX(Spectrum!$N:$N,MATCH(RIGHT($B92,13)&amp;"|"&amp;$C92&amp;"|"&amp;$D92&amp;"|"&amp;Q$14&amp;"|"&amp;"CY2021Q3",Spectrum!$Q:$Q,0)),0),"")</f>
        <v/>
      </c>
      <c r="R92" s="73"/>
      <c r="S92" s="118" t="str">
        <f aca="false">IF(SUM($R92)&lt;=0,"",0%)</f>
        <v/>
      </c>
      <c r="T92" s="75" t="str">
        <f aca="false">IF(SUM($R92)&lt;=0,"",ROUND(MIN($R92,$K92)*(1+$S92),0))</f>
        <v/>
      </c>
      <c r="U92" s="118" t="str">
        <f aca="false">IF(SUM($K92)=0,IF(SUM($R92)=0,"",1),MIN(SUM($R92)/SUM($K92),1))</f>
        <v/>
      </c>
      <c r="V92" s="118" t="str">
        <f aca="false">$U92</f>
        <v/>
      </c>
      <c r="W92" s="75" t="str">
        <f aca="false">IF(SUM($T92)=0,"",ROUND(SUM($T92)/IF(SUM($V92)=0,1,SUM($V92)),0))</f>
        <v/>
      </c>
      <c r="X92" s="118" t="n">
        <f aca="false">1</f>
        <v>1</v>
      </c>
      <c r="Y92" s="118" t="n">
        <v>28</v>
      </c>
      <c r="Z92" s="118" t="n">
        <f aca="false">IF(OR(SUM($K92)&lt;=0,SUM($L92)&lt;=0),IF(SUM($Y92)&lt;=0,"",$Y92),SUM($L92)/$K92)</f>
        <v>28</v>
      </c>
      <c r="AA92" s="118"/>
      <c r="AB92" s="118" t="str">
        <f aca="false">IF(OR((SUM($K92)-SUM($L92))&lt;=0,SUM($M92)&lt;=0),IF(SUM($AA92)&lt;=0,"",$AA92),SUM($M92)/($K92-SUM($L92)))</f>
        <v/>
      </c>
      <c r="AC92" s="73" t="str">
        <f aca="false">IF(SUM($T92)&lt;=0,"",ROUND(SUM($T92)*$X92,0))</f>
        <v/>
      </c>
      <c r="AD92" s="75" t="str">
        <f aca="false">IF(SUM($AC92)&lt;=0,"",ROUND($AC92*SUM($Z92),0))</f>
        <v/>
      </c>
      <c r="AE92" s="75" t="str">
        <f aca="false">IF(SUM($T92)&lt;=0,"",ROUND(($AC92-$AD92)*SUM($AB92),0))</f>
        <v/>
      </c>
      <c r="AF92" s="75" t="str">
        <f aca="false">IF(SUM($AC92)&lt;=0,"",ROUND($AC92-$AD92-$AE92,0))</f>
        <v/>
      </c>
      <c r="AG92" s="73" t="str">
        <f aca="false">IF(SUM($W92)&lt;=0,"",ROUND(SUM($W92)*$X92,0))</f>
        <v/>
      </c>
      <c r="AH92" s="75" t="str">
        <f aca="false">IF(SUM($AG92)&lt;=0,"",ROUND($AG92*SUM($Z92),0))</f>
        <v/>
      </c>
      <c r="AI92" s="75" t="str">
        <f aca="false">IF(SUM($W92)&lt;=0,"",ROUND(($AG92-$AH92)*SUM($AB92),0))</f>
        <v/>
      </c>
      <c r="AJ92" s="75" t="str">
        <f aca="false">IF(SUM($AG92)&lt;=0,"",ROUND($AG92-$AH92-$AI92,0))</f>
        <v/>
      </c>
      <c r="AK92" s="118" t="n">
        <f aca="false">_xlfn.IFNA(INDEX(Cascade!$BA:$BA,MATCH($E92,Cascade!$E:$E,0)),"")</f>
        <v>0.95</v>
      </c>
      <c r="AL92" s="75" t="str">
        <f aca="false">IF(SUM($AD92)&lt;=0,"",$AD92)</f>
        <v/>
      </c>
      <c r="AM92" s="75" t="str">
        <f aca="false">IF(SUM($AE92)&lt;=0,"",ROUND($AE92*$AK92,0))</f>
        <v/>
      </c>
      <c r="AN92" s="75" t="str">
        <f aca="false">IF(AND(SUM($AH92)=0,SUM($AI92)=0),"",SUM($AH92)+SUM($AI92))</f>
        <v/>
      </c>
      <c r="AO92" s="75" t="str">
        <f aca="false">IF(SUM($AH92)&lt;=0,"",$AH92)</f>
        <v/>
      </c>
      <c r="AP92" s="75" t="str">
        <f aca="false">IF(SUM($AI92)&lt;=0,"",ROUND($AI92*$AK92,0))</f>
        <v/>
      </c>
      <c r="AQ92" s="73" t="str">
        <f aca="false">IF(SUM($T92,$AD92,$AE92)&lt;=0,"",MAX(SUM($T92,-$AD92,-$AE92),$AF92))</f>
        <v/>
      </c>
      <c r="AR92" s="118"/>
      <c r="AS92" s="118" t="str">
        <f aca="false">IF(SUM(AR92)=0,"",$AR92)</f>
        <v/>
      </c>
      <c r="AT92" s="118" t="n">
        <f aca="false">0.95</f>
        <v>0.95</v>
      </c>
      <c r="AU92" s="75" t="str">
        <f aca="false">IF(SUM($AQ92)&lt;=0,"",ROUND(SUM($AQ92)*SUM($AS92),0))</f>
        <v/>
      </c>
      <c r="AV92" s="75" t="str">
        <f aca="false">IF(SUM($AQ92)&lt;=0,"",$AQ92-$AU92)</f>
        <v/>
      </c>
      <c r="AW92" s="73" t="str">
        <f aca="false">IF(SUM($AU92)&lt;=0,"",ROUND($AU92*$AT92,0))</f>
        <v/>
      </c>
      <c r="AX92" s="73" t="str">
        <f aca="false">IF(SUM($AE92,$AD92,$AU92)&lt;=0,"",SUM($AE92,$AD92,$AU92))</f>
        <v/>
      </c>
      <c r="AY92" s="73" t="n">
        <f aca="false">_xlfn.IFNA(INDEX(Cascade!$BD:$BD,MATCH($E92,Cascade!$E:$E,0)),"")</f>
        <v>17</v>
      </c>
      <c r="AZ92" s="118" t="str">
        <f aca="false">IFERROR(IF(SUM($AE92)&lt;=0,"",$AE92/$AY92),"")</f>
        <v/>
      </c>
      <c r="BA92" s="118" t="str">
        <f aca="false">IFERROR(IF(SUM($AU92)&lt;=0,"",$AU92/$AY92),"")</f>
        <v/>
      </c>
      <c r="BB92" s="118" t="n">
        <f aca="false">_xlfn.IFNA(INDEX(Cascade!$BL:$BL,MATCH($E92,Cascade!$E:$E,0)),"")</f>
        <v>0.294117647058823</v>
      </c>
      <c r="BC92" s="118" t="str">
        <f aca="false">_xlfn.IFNA(INDEX(Cascade!$BO:$BO,MATCH($E92,Cascade!$E:$E,0)),"")</f>
        <v/>
      </c>
      <c r="BD92" s="118" t="n">
        <f aca="false">_xlfn.IFNA(INDEX(Cascade!$BR:$BR,MATCH($E92,Cascade!$E:$E,0)),"")</f>
        <v>0.705882352941176</v>
      </c>
    </row>
    <row r="93" customFormat="false" ht="15" hidden="false" customHeight="false" outlineLevel="0" collapsed="false">
      <c r="A93" s="0" t="s">
        <v>149</v>
      </c>
      <c r="B93" s="0" t="s">
        <v>111</v>
      </c>
      <c r="C93" s="0" t="s">
        <v>77</v>
      </c>
      <c r="D93" s="0" t="s">
        <v>56</v>
      </c>
      <c r="E93" s="0" t="str">
        <f aca="false">B93&amp;"|"&amp;C93&amp;"|"&amp;D93</f>
        <v>Qacha's Nek [#SNU] [zTaMbxvQtJ6]|40-44|Female</v>
      </c>
      <c r="F93" s="73" t="n">
        <f aca="false">_xlfn.IFNA(INDEX(Cascade!$F:$F,MATCH($E93,Cascade!$E:$E,0)),"")</f>
        <v>1587</v>
      </c>
      <c r="G93" s="73" t="n">
        <f aca="false">_xlfn.IFNA(INDEX(Cascade!$H:$H,MATCH($E93,Cascade!$E:$E,0)),"")</f>
        <v>768</v>
      </c>
      <c r="H93" s="118" t="n">
        <f aca="false">_xlfn.IFNA(INDEX(Cascade!$J:$J,MATCH($E93,Cascade!$E:$E,0)),"")</f>
        <v>0.4838059</v>
      </c>
      <c r="I93" s="73" t="n">
        <f aca="false">_xlfn.IFNA(INDEX(Cascade!$P:$P,MATCH($E93,Cascade!$E:$E,0)),"")</f>
        <v>650</v>
      </c>
      <c r="J93" s="118" t="n">
        <f aca="false">_xlfn.IFNA(INDEX(Cascade!$Y:$Y,MATCH($E93,Cascade!$E:$E,0)),"")</f>
        <v>0.846354166666667</v>
      </c>
      <c r="K93" s="75" t="str">
        <f aca="false">_xlfn.IFNA(ROUND(INDEX(Spectrum!$N:$N,MATCH(RIGHT($B93,13)&amp;"|"&amp;$C93&amp;"|"&amp;$D93&amp;"|"&amp;K$14&amp;"|"&amp;"CY2021Q3",Spectrum!$Q:$Q,0)),0),"")</f>
        <v/>
      </c>
      <c r="L93" s="75" t="str">
        <f aca="false">_xlfn.IFNA(ROUND(INDEX(Spectrum!$N:$N,MATCH(RIGHT($B93,13)&amp;"|"&amp;$C93&amp;"|"&amp;$D93&amp;"|"&amp;L$14&amp;"|"&amp;"CY2021Q3",Spectrum!$Q:$Q,0)),0),"")</f>
        <v/>
      </c>
      <c r="M93" s="75" t="str">
        <f aca="false">_xlfn.IFNA(ROUND(INDEX(Spectrum!$N:$N,MATCH(RIGHT($B93,13)&amp;"|"&amp;$C93&amp;"|"&amp;$D93&amp;"|"&amp;M$14&amp;"|"&amp;"CY2021Q3",Spectrum!$Q:$Q,0)),0),"")</f>
        <v/>
      </c>
      <c r="N93" s="75" t="str">
        <f aca="false">_xlfn.IFNA(ROUND(INDEX(Spectrum!$N:$N,MATCH(RIGHT($B93,13)&amp;"|"&amp;$C93&amp;"|"&amp;$D93&amp;"|"&amp;N$14&amp;"|"&amp;"CY2021Q3",Spectrum!$Q:$Q,0)),0),"")</f>
        <v/>
      </c>
      <c r="O93" s="75" t="str">
        <f aca="false">_xlfn.IFNA(ROUND(INDEX(Spectrum!$N:$N,MATCH(RIGHT($B93,13)&amp;"|"&amp;$C93&amp;"|"&amp;$D93&amp;"|"&amp;O$14&amp;"|"&amp;"CY2021Q3",Spectrum!$Q:$Q,0)),0),"")</f>
        <v/>
      </c>
      <c r="P93" s="75" t="str">
        <f aca="false">_xlfn.IFNA(ROUND(INDEX(Spectrum!$N:$N,MATCH(RIGHT($B93,13)&amp;"|"&amp;$C93&amp;"|"&amp;$D93&amp;"|"&amp;P$14&amp;"|"&amp;"CY2021Q3",Spectrum!$Q:$Q,0)),0),"")</f>
        <v/>
      </c>
      <c r="Q93" s="75" t="str">
        <f aca="false">_xlfn.IFNA(ROUND(INDEX(Spectrum!$N:$N,MATCH(RIGHT($B93,13)&amp;"|"&amp;$C93&amp;"|"&amp;$D93&amp;"|"&amp;Q$14&amp;"|"&amp;"CY2021Q3",Spectrum!$Q:$Q,0)),0),"")</f>
        <v/>
      </c>
      <c r="R93" s="73"/>
      <c r="S93" s="118" t="str">
        <f aca="false">IF(SUM($R93)&lt;=0,"",0%)</f>
        <v/>
      </c>
      <c r="T93" s="75" t="str">
        <f aca="false">IF(SUM($R93)&lt;=0,"",ROUND(MIN($R93,$K93)*(1+$S93),0))</f>
        <v/>
      </c>
      <c r="U93" s="118" t="str">
        <f aca="false">IF(SUM($K93)=0,IF(SUM($R93)=0,"",1),MIN(SUM($R93)/SUM($K93),1))</f>
        <v/>
      </c>
      <c r="V93" s="118" t="str">
        <f aca="false">$U93</f>
        <v/>
      </c>
      <c r="W93" s="75" t="str">
        <f aca="false">IF(SUM($T93)=0,"",ROUND(SUM($T93)/IF(SUM($V93)=0,1,SUM($V93)),0))</f>
        <v/>
      </c>
      <c r="X93" s="118" t="n">
        <f aca="false">1</f>
        <v>1</v>
      </c>
      <c r="Y93" s="118" t="n">
        <v>30</v>
      </c>
      <c r="Z93" s="118" t="n">
        <f aca="false">IF(OR(SUM($K93)&lt;=0,SUM($L93)&lt;=0),IF(SUM($Y93)&lt;=0,"",$Y93),SUM($L93)/$K93)</f>
        <v>30</v>
      </c>
      <c r="AA93" s="118"/>
      <c r="AB93" s="118" t="str">
        <f aca="false">IF(OR((SUM($K93)-SUM($L93))&lt;=0,SUM($M93)&lt;=0),IF(SUM($AA93)&lt;=0,"",$AA93),SUM($M93)/($K93-SUM($L93)))</f>
        <v/>
      </c>
      <c r="AC93" s="73" t="str">
        <f aca="false">IF(SUM($T93)&lt;=0,"",ROUND(SUM($T93)*$X93,0))</f>
        <v/>
      </c>
      <c r="AD93" s="75" t="str">
        <f aca="false">IF(SUM($AC93)&lt;=0,"",ROUND($AC93*SUM($Z93),0))</f>
        <v/>
      </c>
      <c r="AE93" s="75" t="str">
        <f aca="false">IF(SUM($T93)&lt;=0,"",ROUND(($AC93-$AD93)*SUM($AB93),0))</f>
        <v/>
      </c>
      <c r="AF93" s="75" t="str">
        <f aca="false">IF(SUM($AC93)&lt;=0,"",ROUND($AC93-$AD93-$AE93,0))</f>
        <v/>
      </c>
      <c r="AG93" s="73" t="str">
        <f aca="false">IF(SUM($W93)&lt;=0,"",ROUND(SUM($W93)*$X93,0))</f>
        <v/>
      </c>
      <c r="AH93" s="75" t="str">
        <f aca="false">IF(SUM($AG93)&lt;=0,"",ROUND($AG93*SUM($Z93),0))</f>
        <v/>
      </c>
      <c r="AI93" s="75" t="str">
        <f aca="false">IF(SUM($W93)&lt;=0,"",ROUND(($AG93-$AH93)*SUM($AB93),0))</f>
        <v/>
      </c>
      <c r="AJ93" s="75" t="str">
        <f aca="false">IF(SUM($AG93)&lt;=0,"",ROUND($AG93-$AH93-$AI93,0))</f>
        <v/>
      </c>
      <c r="AK93" s="118" t="n">
        <f aca="false">_xlfn.IFNA(INDEX(Cascade!$BA:$BA,MATCH($E93,Cascade!$E:$E,0)),"")</f>
        <v>0.95</v>
      </c>
      <c r="AL93" s="75" t="str">
        <f aca="false">IF(SUM($AD93)&lt;=0,"",$AD93)</f>
        <v/>
      </c>
      <c r="AM93" s="75" t="str">
        <f aca="false">IF(SUM($AE93)&lt;=0,"",ROUND($AE93*$AK93,0))</f>
        <v/>
      </c>
      <c r="AN93" s="75" t="str">
        <f aca="false">IF(AND(SUM($AH93)=0,SUM($AI93)=0),"",SUM($AH93)+SUM($AI93))</f>
        <v/>
      </c>
      <c r="AO93" s="75" t="str">
        <f aca="false">IF(SUM($AH93)&lt;=0,"",$AH93)</f>
        <v/>
      </c>
      <c r="AP93" s="75" t="str">
        <f aca="false">IF(SUM($AI93)&lt;=0,"",ROUND($AI93*$AK93,0))</f>
        <v/>
      </c>
      <c r="AQ93" s="73" t="str">
        <f aca="false">IF(SUM($T93,$AD93,$AE93)&lt;=0,"",MAX(SUM($T93,-$AD93,-$AE93),$AF93))</f>
        <v/>
      </c>
      <c r="AR93" s="118"/>
      <c r="AS93" s="118" t="str">
        <f aca="false">IF(SUM(AR93)=0,"",$AR93)</f>
        <v/>
      </c>
      <c r="AT93" s="118" t="n">
        <f aca="false">0.95</f>
        <v>0.95</v>
      </c>
      <c r="AU93" s="75" t="str">
        <f aca="false">IF(SUM($AQ93)&lt;=0,"",ROUND(SUM($AQ93)*SUM($AS93),0))</f>
        <v/>
      </c>
      <c r="AV93" s="75" t="str">
        <f aca="false">IF(SUM($AQ93)&lt;=0,"",$AQ93-$AU93)</f>
        <v/>
      </c>
      <c r="AW93" s="73" t="str">
        <f aca="false">IF(SUM($AU93)&lt;=0,"",ROUND($AU93*$AT93,0))</f>
        <v/>
      </c>
      <c r="AX93" s="73" t="str">
        <f aca="false">IF(SUM($AE93,$AD93,$AU93)&lt;=0,"",SUM($AE93,$AD93,$AU93))</f>
        <v/>
      </c>
      <c r="AY93" s="73" t="n">
        <f aca="false">_xlfn.IFNA(INDEX(Cascade!$BD:$BD,MATCH($E93,Cascade!$E:$E,0)),"")</f>
        <v>4</v>
      </c>
      <c r="AZ93" s="118" t="str">
        <f aca="false">IFERROR(IF(SUM($AE93)&lt;=0,"",$AE93/$AY93),"")</f>
        <v/>
      </c>
      <c r="BA93" s="118" t="str">
        <f aca="false">IFERROR(IF(SUM($AU93)&lt;=0,"",$AU93/$AY93),"")</f>
        <v/>
      </c>
      <c r="BB93" s="118" t="n">
        <f aca="false">_xlfn.IFNA(INDEX(Cascade!$BL:$BL,MATCH($E93,Cascade!$E:$E,0)),"")</f>
        <v>0.75</v>
      </c>
      <c r="BC93" s="118" t="n">
        <f aca="false">_xlfn.IFNA(INDEX(Cascade!$BO:$BO,MATCH($E93,Cascade!$E:$E,0)),"")</f>
        <v>-2700</v>
      </c>
      <c r="BD93" s="118" t="n">
        <f aca="false">_xlfn.IFNA(INDEX(Cascade!$BR:$BR,MATCH($E93,Cascade!$E:$E,0)),"")</f>
        <v>2700.25</v>
      </c>
    </row>
    <row r="94" customFormat="false" ht="15" hidden="false" customHeight="false" outlineLevel="0" collapsed="false">
      <c r="A94" s="0" t="s">
        <v>149</v>
      </c>
      <c r="B94" s="0" t="s">
        <v>111</v>
      </c>
      <c r="C94" s="0" t="s">
        <v>80</v>
      </c>
      <c r="D94" s="0" t="s">
        <v>56</v>
      </c>
      <c r="E94" s="0" t="str">
        <f aca="false">B94&amp;"|"&amp;C94&amp;"|"&amp;D94</f>
        <v>Qacha's Nek [#SNU] [zTaMbxvQtJ6]|45-49|Female</v>
      </c>
      <c r="F94" s="73" t="n">
        <f aca="false">_xlfn.IFNA(INDEX(Cascade!$F:$F,MATCH($E94,Cascade!$E:$E,0)),"")</f>
        <v>1272</v>
      </c>
      <c r="G94" s="73" t="n">
        <f aca="false">_xlfn.IFNA(INDEX(Cascade!$H:$H,MATCH($E94,Cascade!$E:$E,0)),"")</f>
        <v>576</v>
      </c>
      <c r="H94" s="118" t="n">
        <f aca="false">_xlfn.IFNA(INDEX(Cascade!$J:$J,MATCH($E94,Cascade!$E:$E,0)),"")</f>
        <v>0.4531533</v>
      </c>
      <c r="I94" s="73" t="n">
        <f aca="false">_xlfn.IFNA(INDEX(Cascade!$P:$P,MATCH($E94,Cascade!$E:$E,0)),"")</f>
        <v>531</v>
      </c>
      <c r="J94" s="118" t="n">
        <f aca="false">_xlfn.IFNA(INDEX(Cascade!$Y:$Y,MATCH($E94,Cascade!$E:$E,0)),"")</f>
        <v>0.921875</v>
      </c>
      <c r="K94" s="75" t="str">
        <f aca="false">_xlfn.IFNA(ROUND(INDEX(Spectrum!$N:$N,MATCH(RIGHT($B94,13)&amp;"|"&amp;$C94&amp;"|"&amp;$D94&amp;"|"&amp;K$14&amp;"|"&amp;"CY2021Q3",Spectrum!$Q:$Q,0)),0),"")</f>
        <v/>
      </c>
      <c r="L94" s="75" t="str">
        <f aca="false">_xlfn.IFNA(ROUND(INDEX(Spectrum!$N:$N,MATCH(RIGHT($B94,13)&amp;"|"&amp;$C94&amp;"|"&amp;$D94&amp;"|"&amp;L$14&amp;"|"&amp;"CY2021Q3",Spectrum!$Q:$Q,0)),0),"")</f>
        <v/>
      </c>
      <c r="M94" s="75" t="str">
        <f aca="false">_xlfn.IFNA(ROUND(INDEX(Spectrum!$N:$N,MATCH(RIGHT($B94,13)&amp;"|"&amp;$C94&amp;"|"&amp;$D94&amp;"|"&amp;M$14&amp;"|"&amp;"CY2021Q3",Spectrum!$Q:$Q,0)),0),"")</f>
        <v/>
      </c>
      <c r="N94" s="75" t="str">
        <f aca="false">_xlfn.IFNA(ROUND(INDEX(Spectrum!$N:$N,MATCH(RIGHT($B94,13)&amp;"|"&amp;$C94&amp;"|"&amp;$D94&amp;"|"&amp;N$14&amp;"|"&amp;"CY2021Q3",Spectrum!$Q:$Q,0)),0),"")</f>
        <v/>
      </c>
      <c r="O94" s="75" t="str">
        <f aca="false">_xlfn.IFNA(ROUND(INDEX(Spectrum!$N:$N,MATCH(RIGHT($B94,13)&amp;"|"&amp;$C94&amp;"|"&amp;$D94&amp;"|"&amp;O$14&amp;"|"&amp;"CY2021Q3",Spectrum!$Q:$Q,0)),0),"")</f>
        <v/>
      </c>
      <c r="P94" s="75" t="str">
        <f aca="false">_xlfn.IFNA(ROUND(INDEX(Spectrum!$N:$N,MATCH(RIGHT($B94,13)&amp;"|"&amp;$C94&amp;"|"&amp;$D94&amp;"|"&amp;P$14&amp;"|"&amp;"CY2021Q3",Spectrum!$Q:$Q,0)),0),"")</f>
        <v/>
      </c>
      <c r="Q94" s="75" t="str">
        <f aca="false">_xlfn.IFNA(ROUND(INDEX(Spectrum!$N:$N,MATCH(RIGHT($B94,13)&amp;"|"&amp;$C94&amp;"|"&amp;$D94&amp;"|"&amp;Q$14&amp;"|"&amp;"CY2021Q3",Spectrum!$Q:$Q,0)),0),"")</f>
        <v/>
      </c>
      <c r="R94" s="73"/>
      <c r="S94" s="118" t="str">
        <f aca="false">IF(SUM($R94)&lt;=0,"",0%)</f>
        <v/>
      </c>
      <c r="T94" s="75" t="str">
        <f aca="false">IF(SUM($R94)&lt;=0,"",ROUND(MIN($R94,$K94)*(1+$S94),0))</f>
        <v/>
      </c>
      <c r="U94" s="118" t="str">
        <f aca="false">IF(SUM($K94)=0,IF(SUM($R94)=0,"",1),MIN(SUM($R94)/SUM($K94),1))</f>
        <v/>
      </c>
      <c r="V94" s="118" t="str">
        <f aca="false">$U94</f>
        <v/>
      </c>
      <c r="W94" s="75" t="str">
        <f aca="false">IF(SUM($T94)=0,"",ROUND(SUM($T94)/IF(SUM($V94)=0,1,SUM($V94)),0))</f>
        <v/>
      </c>
      <c r="X94" s="118" t="n">
        <f aca="false">1</f>
        <v>1</v>
      </c>
      <c r="Y94" s="118" t="n">
        <v>2</v>
      </c>
      <c r="Z94" s="118" t="n">
        <f aca="false">IF(OR(SUM($K94)&lt;=0,SUM($L94)&lt;=0),IF(SUM($Y94)&lt;=0,"",$Y94),SUM($L94)/$K94)</f>
        <v>2</v>
      </c>
      <c r="AA94" s="118"/>
      <c r="AB94" s="118" t="str">
        <f aca="false">IF(OR((SUM($K94)-SUM($L94))&lt;=0,SUM($M94)&lt;=0),IF(SUM($AA94)&lt;=0,"",$AA94),SUM($M94)/($K94-SUM($L94)))</f>
        <v/>
      </c>
      <c r="AC94" s="73" t="str">
        <f aca="false">IF(SUM($T94)&lt;=0,"",ROUND(SUM($T94)*$X94,0))</f>
        <v/>
      </c>
      <c r="AD94" s="75" t="str">
        <f aca="false">IF(SUM($AC94)&lt;=0,"",ROUND($AC94*SUM($Z94),0))</f>
        <v/>
      </c>
      <c r="AE94" s="75" t="str">
        <f aca="false">IF(SUM($T94)&lt;=0,"",ROUND(($AC94-$AD94)*SUM($AB94),0))</f>
        <v/>
      </c>
      <c r="AF94" s="75" t="str">
        <f aca="false">IF(SUM($AC94)&lt;=0,"",ROUND($AC94-$AD94-$AE94,0))</f>
        <v/>
      </c>
      <c r="AG94" s="73" t="str">
        <f aca="false">IF(SUM($W94)&lt;=0,"",ROUND(SUM($W94)*$X94,0))</f>
        <v/>
      </c>
      <c r="AH94" s="75" t="str">
        <f aca="false">IF(SUM($AG94)&lt;=0,"",ROUND($AG94*SUM($Z94),0))</f>
        <v/>
      </c>
      <c r="AI94" s="75" t="str">
        <f aca="false">IF(SUM($W94)&lt;=0,"",ROUND(($AG94-$AH94)*SUM($AB94),0))</f>
        <v/>
      </c>
      <c r="AJ94" s="75" t="str">
        <f aca="false">IF(SUM($AG94)&lt;=0,"",ROUND($AG94-$AH94-$AI94,0))</f>
        <v/>
      </c>
      <c r="AK94" s="118" t="n">
        <f aca="false">_xlfn.IFNA(INDEX(Cascade!$BA:$BA,MATCH($E94,Cascade!$E:$E,0)),"")</f>
        <v>0.95</v>
      </c>
      <c r="AL94" s="75" t="str">
        <f aca="false">IF(SUM($AD94)&lt;=0,"",$AD94)</f>
        <v/>
      </c>
      <c r="AM94" s="75" t="str">
        <f aca="false">IF(SUM($AE94)&lt;=0,"",ROUND($AE94*$AK94,0))</f>
        <v/>
      </c>
      <c r="AN94" s="75" t="str">
        <f aca="false">IF(AND(SUM($AH94)=0,SUM($AI94)=0),"",SUM($AH94)+SUM($AI94))</f>
        <v/>
      </c>
      <c r="AO94" s="75" t="str">
        <f aca="false">IF(SUM($AH94)&lt;=0,"",$AH94)</f>
        <v/>
      </c>
      <c r="AP94" s="75" t="str">
        <f aca="false">IF(SUM($AI94)&lt;=0,"",ROUND($AI94*$AK94,0))</f>
        <v/>
      </c>
      <c r="AQ94" s="73" t="str">
        <f aca="false">IF(SUM($T94,$AD94,$AE94)&lt;=0,"",MAX(SUM($T94,-$AD94,-$AE94),$AF94))</f>
        <v/>
      </c>
      <c r="AR94" s="118"/>
      <c r="AS94" s="118" t="str">
        <f aca="false">IF(SUM(AR94)=0,"",$AR94)</f>
        <v/>
      </c>
      <c r="AT94" s="118" t="n">
        <f aca="false">0.95</f>
        <v>0.95</v>
      </c>
      <c r="AU94" s="75" t="str">
        <f aca="false">IF(SUM($AQ94)&lt;=0,"",ROUND(SUM($AQ94)*SUM($AS94),0))</f>
        <v/>
      </c>
      <c r="AV94" s="75" t="str">
        <f aca="false">IF(SUM($AQ94)&lt;=0,"",$AQ94-$AU94)</f>
        <v/>
      </c>
      <c r="AW94" s="73" t="str">
        <f aca="false">IF(SUM($AU94)&lt;=0,"",ROUND($AU94*$AT94,0))</f>
        <v/>
      </c>
      <c r="AX94" s="73" t="str">
        <f aca="false">IF(SUM($AE94,$AD94,$AU94)&lt;=0,"",SUM($AE94,$AD94,$AU94))</f>
        <v/>
      </c>
      <c r="AY94" s="73" t="n">
        <f aca="false">_xlfn.IFNA(INDEX(Cascade!$BD:$BD,MATCH($E94,Cascade!$E:$E,0)),"")</f>
        <v>1</v>
      </c>
      <c r="AZ94" s="118" t="str">
        <f aca="false">IFERROR(IF(SUM($AE94)&lt;=0,"",$AE94/$AY94),"")</f>
        <v/>
      </c>
      <c r="BA94" s="118" t="str">
        <f aca="false">IFERROR(IF(SUM($AU94)&lt;=0,"",$AU94/$AY94),"")</f>
        <v/>
      </c>
      <c r="BB94" s="118" t="n">
        <f aca="false">_xlfn.IFNA(INDEX(Cascade!$BL:$BL,MATCH($E94,Cascade!$E:$E,0)),"")</f>
        <v>1</v>
      </c>
      <c r="BC94" s="118" t="n">
        <f aca="false">_xlfn.IFNA(INDEX(Cascade!$BO:$BO,MATCH($E94,Cascade!$E:$E,0)),"")</f>
        <v>-25088</v>
      </c>
      <c r="BD94" s="118" t="n">
        <f aca="false">_xlfn.IFNA(INDEX(Cascade!$BR:$BR,MATCH($E94,Cascade!$E:$E,0)),"")</f>
        <v>25088</v>
      </c>
    </row>
    <row r="95" customFormat="false" ht="15" hidden="false" customHeight="false" outlineLevel="0" collapsed="false">
      <c r="A95" s="0" t="s">
        <v>149</v>
      </c>
      <c r="B95" s="0" t="s">
        <v>111</v>
      </c>
      <c r="C95" s="0" t="s">
        <v>86</v>
      </c>
      <c r="D95" s="0" t="s">
        <v>56</v>
      </c>
      <c r="E95" s="0" t="str">
        <f aca="false">B95&amp;"|"&amp;C95&amp;"|"&amp;D95</f>
        <v>Qacha's Nek [#SNU] [zTaMbxvQtJ6]|50+|Female</v>
      </c>
      <c r="F95" s="73" t="n">
        <f aca="false">_xlfn.IFNA(INDEX(Cascade!$F:$F,MATCH($E95,Cascade!$E:$E,0)),"")</f>
        <v>7341</v>
      </c>
      <c r="G95" s="73" t="n">
        <f aca="false">_xlfn.IFNA(INDEX(Cascade!$H:$H,MATCH($E95,Cascade!$E:$E,0)),"")</f>
        <v>1738</v>
      </c>
      <c r="H95" s="118" t="n">
        <f aca="false">_xlfn.IFNA(INDEX(Cascade!$J:$J,MATCH($E95,Cascade!$E:$E,0)),"")</f>
        <v>0.2367692</v>
      </c>
      <c r="I95" s="73" t="n">
        <f aca="false">_xlfn.IFNA(INDEX(Cascade!$P:$P,MATCH($E95,Cascade!$E:$E,0)),"")</f>
        <v>1321</v>
      </c>
      <c r="J95" s="118" t="n">
        <f aca="false">_xlfn.IFNA(INDEX(Cascade!$Y:$Y,MATCH($E95,Cascade!$E:$E,0)),"")</f>
        <v>0.760069044879171</v>
      </c>
      <c r="K95" s="75" t="str">
        <f aca="false">_xlfn.IFNA(ROUND(INDEX(Spectrum!$N:$N,MATCH(RIGHT($B95,13)&amp;"|"&amp;$C95&amp;"|"&amp;$D95&amp;"|"&amp;K$14&amp;"|"&amp;"CY2021Q3",Spectrum!$Q:$Q,0)),0),"")</f>
        <v/>
      </c>
      <c r="L95" s="75" t="str">
        <f aca="false">_xlfn.IFNA(ROUND(INDEX(Spectrum!$N:$N,MATCH(RIGHT($B95,13)&amp;"|"&amp;$C95&amp;"|"&amp;$D95&amp;"|"&amp;L$14&amp;"|"&amp;"CY2021Q3",Spectrum!$Q:$Q,0)),0),"")</f>
        <v/>
      </c>
      <c r="M95" s="75" t="str">
        <f aca="false">_xlfn.IFNA(ROUND(INDEX(Spectrum!$N:$N,MATCH(RIGHT($B95,13)&amp;"|"&amp;$C95&amp;"|"&amp;$D95&amp;"|"&amp;M$14&amp;"|"&amp;"CY2021Q3",Spectrum!$Q:$Q,0)),0),"")</f>
        <v/>
      </c>
      <c r="N95" s="75" t="str">
        <f aca="false">_xlfn.IFNA(ROUND(INDEX(Spectrum!$N:$N,MATCH(RIGHT($B95,13)&amp;"|"&amp;$C95&amp;"|"&amp;$D95&amp;"|"&amp;N$14&amp;"|"&amp;"CY2021Q3",Spectrum!$Q:$Q,0)),0),"")</f>
        <v/>
      </c>
      <c r="O95" s="75" t="str">
        <f aca="false">_xlfn.IFNA(ROUND(INDEX(Spectrum!$N:$N,MATCH(RIGHT($B95,13)&amp;"|"&amp;$C95&amp;"|"&amp;$D95&amp;"|"&amp;O$14&amp;"|"&amp;"CY2021Q3",Spectrum!$Q:$Q,0)),0),"")</f>
        <v/>
      </c>
      <c r="P95" s="75" t="str">
        <f aca="false">_xlfn.IFNA(ROUND(INDEX(Spectrum!$N:$N,MATCH(RIGHT($B95,13)&amp;"|"&amp;$C95&amp;"|"&amp;$D95&amp;"|"&amp;P$14&amp;"|"&amp;"CY2021Q3",Spectrum!$Q:$Q,0)),0),"")</f>
        <v/>
      </c>
      <c r="Q95" s="75" t="str">
        <f aca="false">_xlfn.IFNA(ROUND(INDEX(Spectrum!$N:$N,MATCH(RIGHT($B95,13)&amp;"|"&amp;$C95&amp;"|"&amp;$D95&amp;"|"&amp;Q$14&amp;"|"&amp;"CY2021Q3",Spectrum!$Q:$Q,0)),0),"")</f>
        <v/>
      </c>
      <c r="R95" s="73"/>
      <c r="S95" s="118" t="str">
        <f aca="false">IF(SUM($R95)&lt;=0,"",0%)</f>
        <v/>
      </c>
      <c r="T95" s="75" t="str">
        <f aca="false">IF(SUM($R95)&lt;=0,"",ROUND(MIN($R95,$K95)*(1+$S95),0))</f>
        <v/>
      </c>
      <c r="U95" s="118" t="str">
        <f aca="false">IF(SUM($K95)=0,IF(SUM($R95)=0,"",1),MIN(SUM($R95)/SUM($K95),1))</f>
        <v/>
      </c>
      <c r="V95" s="118" t="str">
        <f aca="false">$U95</f>
        <v/>
      </c>
      <c r="W95" s="75" t="str">
        <f aca="false">IF(SUM($T95)=0,"",ROUND(SUM($T95)/IF(SUM($V95)=0,1,SUM($V95)),0))</f>
        <v/>
      </c>
      <c r="X95" s="118" t="n">
        <f aca="false">1</f>
        <v>1</v>
      </c>
      <c r="Y95" s="118"/>
      <c r="Z95" s="118" t="str">
        <f aca="false">IF(OR(SUM($K95)&lt;=0,SUM($L95)&lt;=0),IF(SUM($Y95)&lt;=0,"",$Y95),SUM($L95)/$K95)</f>
        <v/>
      </c>
      <c r="AA95" s="118"/>
      <c r="AB95" s="118" t="str">
        <f aca="false">IF(OR((SUM($K95)-SUM($L95))&lt;=0,SUM($M95)&lt;=0),IF(SUM($AA95)&lt;=0,"",$AA95),SUM($M95)/($K95-SUM($L95)))</f>
        <v/>
      </c>
      <c r="AC95" s="73" t="str">
        <f aca="false">IF(SUM($T95)&lt;=0,"",ROUND(SUM($T95)*$X95,0))</f>
        <v/>
      </c>
      <c r="AD95" s="75" t="str">
        <f aca="false">IF(SUM($AC95)&lt;=0,"",ROUND($AC95*SUM($Z95),0))</f>
        <v/>
      </c>
      <c r="AE95" s="75" t="str">
        <f aca="false">IF(SUM($T95)&lt;=0,"",ROUND(($AC95-$AD95)*SUM($AB95),0))</f>
        <v/>
      </c>
      <c r="AF95" s="75" t="str">
        <f aca="false">IF(SUM($AC95)&lt;=0,"",ROUND($AC95-$AD95-$AE95,0))</f>
        <v/>
      </c>
      <c r="AG95" s="73" t="str">
        <f aca="false">IF(SUM($W95)&lt;=0,"",ROUND(SUM($W95)*$X95,0))</f>
        <v/>
      </c>
      <c r="AH95" s="75" t="str">
        <f aca="false">IF(SUM($AG95)&lt;=0,"",ROUND($AG95*SUM($Z95),0))</f>
        <v/>
      </c>
      <c r="AI95" s="75" t="str">
        <f aca="false">IF(SUM($W95)&lt;=0,"",ROUND(($AG95-$AH95)*SUM($AB95),0))</f>
        <v/>
      </c>
      <c r="AJ95" s="75" t="str">
        <f aca="false">IF(SUM($AG95)&lt;=0,"",ROUND($AG95-$AH95-$AI95,0))</f>
        <v/>
      </c>
      <c r="AK95" s="118" t="n">
        <f aca="false">_xlfn.IFNA(INDEX(Cascade!$BA:$BA,MATCH($E95,Cascade!$E:$E,0)),"")</f>
        <v>0.95</v>
      </c>
      <c r="AL95" s="75" t="str">
        <f aca="false">IF(SUM($AD95)&lt;=0,"",$AD95)</f>
        <v/>
      </c>
      <c r="AM95" s="75" t="str">
        <f aca="false">IF(SUM($AE95)&lt;=0,"",ROUND($AE95*$AK95,0))</f>
        <v/>
      </c>
      <c r="AN95" s="75" t="str">
        <f aca="false">IF(AND(SUM($AH95)=0,SUM($AI95)=0),"",SUM($AH95)+SUM($AI95))</f>
        <v/>
      </c>
      <c r="AO95" s="75" t="str">
        <f aca="false">IF(SUM($AH95)&lt;=0,"",$AH95)</f>
        <v/>
      </c>
      <c r="AP95" s="75" t="str">
        <f aca="false">IF(SUM($AI95)&lt;=0,"",ROUND($AI95*$AK95,0))</f>
        <v/>
      </c>
      <c r="AQ95" s="73" t="str">
        <f aca="false">IF(SUM($T95,$AD95,$AE95)&lt;=0,"",MAX(SUM($T95,-$AD95,-$AE95),$AF95))</f>
        <v/>
      </c>
      <c r="AR95" s="118"/>
      <c r="AS95" s="118" t="str">
        <f aca="false">IF(SUM(AR95)=0,"",$AR95)</f>
        <v/>
      </c>
      <c r="AT95" s="118" t="n">
        <f aca="false">0.95</f>
        <v>0.95</v>
      </c>
      <c r="AU95" s="75" t="str">
        <f aca="false">IF(SUM($AQ95)&lt;=0,"",ROUND(SUM($AQ95)*SUM($AS95),0))</f>
        <v/>
      </c>
      <c r="AV95" s="75" t="str">
        <f aca="false">IF(SUM($AQ95)&lt;=0,"",$AQ95-$AU95)</f>
        <v/>
      </c>
      <c r="AW95" s="73" t="str">
        <f aca="false">IF(SUM($AU95)&lt;=0,"",ROUND($AU95*$AT95,0))</f>
        <v/>
      </c>
      <c r="AX95" s="73" t="str">
        <f aca="false">IF(SUM($AE95,$AD95,$AU95)&lt;=0,"",SUM($AE95,$AD95,$AU95))</f>
        <v/>
      </c>
      <c r="AY95" s="73" t="n">
        <f aca="false">_xlfn.IFNA(INDEX(Cascade!$BD:$BD,MATCH($E95,Cascade!$E:$E,0)),"")</f>
        <v>7</v>
      </c>
      <c r="AZ95" s="118" t="str">
        <f aca="false">IFERROR(IF(SUM($AE95)&lt;=0,"",$AE95/$AY95),"")</f>
        <v/>
      </c>
      <c r="BA95" s="118" t="str">
        <f aca="false">IFERROR(IF(SUM($AU95)&lt;=0,"",$AU95/$AY95),"")</f>
        <v/>
      </c>
      <c r="BB95" s="118" t="n">
        <f aca="false">_xlfn.IFNA(INDEX(Cascade!$BL:$BL,MATCH($E95,Cascade!$E:$E,0)),"")</f>
        <v>0.571428571428571</v>
      </c>
      <c r="BC95" s="118" t="str">
        <f aca="false">_xlfn.IFNA(INDEX(Cascade!$BO:$BO,MATCH($E95,Cascade!$E:$E,0)),"")</f>
        <v/>
      </c>
      <c r="BD95" s="118" t="n">
        <f aca="false">_xlfn.IFNA(INDEX(Cascade!$BR:$BR,MATCH($E95,Cascade!$E:$E,0)),"")</f>
        <v>0.428571428571429</v>
      </c>
    </row>
    <row r="96" customFormat="false" ht="15" hidden="false" customHeight="false" outlineLevel="0" collapsed="false">
      <c r="A96" s="0" t="s">
        <v>150</v>
      </c>
      <c r="B96" s="0" t="s">
        <v>117</v>
      </c>
      <c r="C96" s="0" t="s">
        <v>61</v>
      </c>
      <c r="D96" s="0" t="s">
        <v>56</v>
      </c>
      <c r="E96" s="0" t="str">
        <f aca="false">B96&amp;"|"&amp;C96&amp;"|"&amp;D96</f>
        <v>Quthing [#SNU] [HuwCoDZG0FY]|10-14|Female</v>
      </c>
      <c r="F96" s="73" t="n">
        <f aca="false">_xlfn.IFNA(INDEX(Cascade!$F:$F,MATCH($E96,Cascade!$E:$E,0)),"")</f>
        <v>6107</v>
      </c>
      <c r="G96" s="73" t="n">
        <f aca="false">_xlfn.IFNA(INDEX(Cascade!$H:$H,MATCH($E96,Cascade!$E:$E,0)),"")</f>
        <v>168</v>
      </c>
      <c r="H96" s="118" t="n">
        <f aca="false">_xlfn.IFNA(INDEX(Cascade!$J:$J,MATCH($E96,Cascade!$E:$E,0)),"")</f>
        <v>0.0274561</v>
      </c>
      <c r="I96" s="73" t="n">
        <f aca="false">_xlfn.IFNA(INDEX(Cascade!$P:$P,MATCH($E96,Cascade!$E:$E,0)),"")</f>
        <v>123</v>
      </c>
      <c r="J96" s="118" t="n">
        <f aca="false">_xlfn.IFNA(INDEX(Cascade!$Y:$Y,MATCH($E96,Cascade!$E:$E,0)),"")</f>
        <v>0.732142857142857</v>
      </c>
      <c r="K96" s="75" t="str">
        <f aca="false">_xlfn.IFNA(ROUND(INDEX(Spectrum!$N:$N,MATCH(RIGHT($B96,13)&amp;"|"&amp;$C96&amp;"|"&amp;$D96&amp;"|"&amp;K$14&amp;"|"&amp;"CY2021Q3",Spectrum!$Q:$Q,0)),0),"")</f>
        <v/>
      </c>
      <c r="L96" s="75" t="str">
        <f aca="false">_xlfn.IFNA(ROUND(INDEX(Spectrum!$N:$N,MATCH(RIGHT($B96,13)&amp;"|"&amp;$C96&amp;"|"&amp;$D96&amp;"|"&amp;L$14&amp;"|"&amp;"CY2021Q3",Spectrum!$Q:$Q,0)),0),"")</f>
        <v/>
      </c>
      <c r="M96" s="75" t="str">
        <f aca="false">_xlfn.IFNA(ROUND(INDEX(Spectrum!$N:$N,MATCH(RIGHT($B96,13)&amp;"|"&amp;$C96&amp;"|"&amp;$D96&amp;"|"&amp;M$14&amp;"|"&amp;"CY2021Q3",Spectrum!$Q:$Q,0)),0),"")</f>
        <v/>
      </c>
      <c r="N96" s="75" t="str">
        <f aca="false">_xlfn.IFNA(ROUND(INDEX(Spectrum!$N:$N,MATCH(RIGHT($B96,13)&amp;"|"&amp;$C96&amp;"|"&amp;$D96&amp;"|"&amp;N$14&amp;"|"&amp;"CY2021Q3",Spectrum!$Q:$Q,0)),0),"")</f>
        <v/>
      </c>
      <c r="O96" s="75" t="str">
        <f aca="false">_xlfn.IFNA(ROUND(INDEX(Spectrum!$N:$N,MATCH(RIGHT($B96,13)&amp;"|"&amp;$C96&amp;"|"&amp;$D96&amp;"|"&amp;O$14&amp;"|"&amp;"CY2021Q3",Spectrum!$Q:$Q,0)),0),"")</f>
        <v/>
      </c>
      <c r="P96" s="75" t="str">
        <f aca="false">_xlfn.IFNA(ROUND(INDEX(Spectrum!$N:$N,MATCH(RIGHT($B96,13)&amp;"|"&amp;$C96&amp;"|"&amp;$D96&amp;"|"&amp;P$14&amp;"|"&amp;"CY2021Q3",Spectrum!$Q:$Q,0)),0),"")</f>
        <v/>
      </c>
      <c r="Q96" s="75" t="str">
        <f aca="false">_xlfn.IFNA(ROUND(INDEX(Spectrum!$N:$N,MATCH(RIGHT($B96,13)&amp;"|"&amp;$C96&amp;"|"&amp;$D96&amp;"|"&amp;Q$14&amp;"|"&amp;"CY2021Q3",Spectrum!$Q:$Q,0)),0),"")</f>
        <v/>
      </c>
      <c r="R96" s="73" t="n">
        <v>23</v>
      </c>
      <c r="S96" s="118" t="n">
        <f aca="false">IF(SUM($R96)&lt;=0,"",0%)</f>
        <v>0</v>
      </c>
      <c r="T96" s="75" t="n">
        <f aca="false">IF(SUM($R96)&lt;=0,"",ROUND(MIN($R96,$K96)*(1+$S96),0))</f>
        <v>23</v>
      </c>
      <c r="U96" s="118" t="n">
        <f aca="false">IF(SUM($K96)=0,IF(SUM($R96)=0,"",1),MIN(SUM($R96)/SUM($K96),1))</f>
        <v>1</v>
      </c>
      <c r="V96" s="118" t="n">
        <f aca="false">$U96</f>
        <v>1</v>
      </c>
      <c r="W96" s="75" t="n">
        <f aca="false">IF(SUM($T96)=0,"",ROUND(SUM($T96)/IF(SUM($V96)=0,1,SUM($V96)),0))</f>
        <v>23</v>
      </c>
      <c r="X96" s="118" t="n">
        <f aca="false">1</f>
        <v>1</v>
      </c>
      <c r="Y96" s="118"/>
      <c r="Z96" s="118" t="str">
        <f aca="false">IF(OR(SUM($K96)&lt;=0,SUM($L96)&lt;=0),IF(SUM($Y96)&lt;=0,"",$Y96),SUM($L96)/$K96)</f>
        <v/>
      </c>
      <c r="AA96" s="118"/>
      <c r="AB96" s="118" t="str">
        <f aca="false">IF(OR((SUM($K96)-SUM($L96))&lt;=0,SUM($M96)&lt;=0),IF(SUM($AA96)&lt;=0,"",$AA96),SUM($M96)/($K96-SUM($L96)))</f>
        <v/>
      </c>
      <c r="AC96" s="73" t="n">
        <f aca="false">IF(SUM($T96)&lt;=0,"",ROUND(SUM($T96)*$X96,0))</f>
        <v>23</v>
      </c>
      <c r="AD96" s="75" t="n">
        <f aca="false">IF(SUM($AC96)&lt;=0,"",ROUND($AC96*SUM($Z96),0))</f>
        <v>0</v>
      </c>
      <c r="AE96" s="75" t="n">
        <f aca="false">IF(SUM($T96)&lt;=0,"",ROUND(($AC96-$AD96)*SUM($AB96),0))</f>
        <v>0</v>
      </c>
      <c r="AF96" s="75" t="n">
        <f aca="false">IF(SUM($AC96)&lt;=0,"",ROUND($AC96-$AD96-$AE96,0))</f>
        <v>23</v>
      </c>
      <c r="AG96" s="73" t="n">
        <f aca="false">IF(SUM($W96)&lt;=0,"",ROUND(SUM($W96)*$X96,0))</f>
        <v>23</v>
      </c>
      <c r="AH96" s="75" t="n">
        <f aca="false">IF(SUM($AG96)&lt;=0,"",ROUND($AG96*SUM($Z96),0))</f>
        <v>0</v>
      </c>
      <c r="AI96" s="75" t="n">
        <f aca="false">IF(SUM($W96)&lt;=0,"",ROUND(($AG96-$AH96)*SUM($AB96),0))</f>
        <v>0</v>
      </c>
      <c r="AJ96" s="75" t="n">
        <f aca="false">IF(SUM($AG96)&lt;=0,"",ROUND($AG96-$AH96-$AI96,0))</f>
        <v>23</v>
      </c>
      <c r="AK96" s="118" t="n">
        <f aca="false">_xlfn.IFNA(INDEX(Cascade!$BA:$BA,MATCH($E96,Cascade!$E:$E,0)),"")</f>
        <v>0.95</v>
      </c>
      <c r="AL96" s="75" t="str">
        <f aca="false">IF(SUM($AD96)&lt;=0,"",$AD96)</f>
        <v/>
      </c>
      <c r="AM96" s="75" t="str">
        <f aca="false">IF(SUM($AE96)&lt;=0,"",ROUND($AE96*$AK96,0))</f>
        <v/>
      </c>
      <c r="AN96" s="75" t="str">
        <f aca="false">IF(AND(SUM($AH96)=0,SUM($AI96)=0),"",SUM($AH96)+SUM($AI96))</f>
        <v/>
      </c>
      <c r="AO96" s="75" t="str">
        <f aca="false">IF(SUM($AH96)&lt;=0,"",$AH96)</f>
        <v/>
      </c>
      <c r="AP96" s="75" t="str">
        <f aca="false">IF(SUM($AI96)&lt;=0,"",ROUND($AI96*$AK96,0))</f>
        <v/>
      </c>
      <c r="AQ96" s="73" t="n">
        <f aca="false">IF(SUM($T96,$AD96,$AE96)&lt;=0,"",MAX(SUM($T96,-$AD96,-$AE96),$AF96))</f>
        <v>23</v>
      </c>
      <c r="AR96" s="118"/>
      <c r="AS96" s="118" t="str">
        <f aca="false">IF(SUM(AR96)=0,"",$AR96)</f>
        <v/>
      </c>
      <c r="AT96" s="118" t="n">
        <f aca="false">0.95</f>
        <v>0.95</v>
      </c>
      <c r="AU96" s="75" t="n">
        <f aca="false">IF(SUM($AQ96)&lt;=0,"",ROUND(SUM($AQ96)*SUM($AS96),0))</f>
        <v>0</v>
      </c>
      <c r="AV96" s="75" t="n">
        <f aca="false">IF(SUM($AQ96)&lt;=0,"",$AQ96-$AU96)</f>
        <v>23</v>
      </c>
      <c r="AW96" s="73" t="str">
        <f aca="false">IF(SUM($AU96)&lt;=0,"",ROUND($AU96*$AT96,0))</f>
        <v/>
      </c>
      <c r="AX96" s="73" t="str">
        <f aca="false">IF(SUM($AE96,$AD96,$AU96)&lt;=0,"",SUM($AE96,$AD96,$AU96))</f>
        <v/>
      </c>
      <c r="AY96" s="73" t="n">
        <f aca="false">_xlfn.IFNA(INDEX(Cascade!$BD:$BD,MATCH($E96,Cascade!$E:$E,0)),"")</f>
        <v>9</v>
      </c>
      <c r="AZ96" s="118" t="str">
        <f aca="false">IFERROR(IF(SUM($AE96)&lt;=0,"",$AE96/$AY96),"")</f>
        <v/>
      </c>
      <c r="BA96" s="118" t="str">
        <f aca="false">IFERROR(IF(SUM($AU96)&lt;=0,"",$AU96/$AY96),"")</f>
        <v/>
      </c>
      <c r="BB96" s="118" t="n">
        <f aca="false">_xlfn.IFNA(INDEX(Cascade!$BL:$BL,MATCH($E96,Cascade!$E:$E,0)),"")</f>
        <v>0.555555555555556</v>
      </c>
      <c r="BC96" s="118" t="str">
        <f aca="false">_xlfn.IFNA(INDEX(Cascade!$BO:$BO,MATCH($E96,Cascade!$E:$E,0)),"")</f>
        <v/>
      </c>
      <c r="BD96" s="118" t="n">
        <f aca="false">_xlfn.IFNA(INDEX(Cascade!$BR:$BR,MATCH($E96,Cascade!$E:$E,0)),"")</f>
        <v>0.444444444444444</v>
      </c>
    </row>
    <row r="97" customFormat="false" ht="15" hidden="false" customHeight="false" outlineLevel="0" collapsed="false">
      <c r="A97" s="0" t="s">
        <v>150</v>
      </c>
      <c r="B97" s="0" t="s">
        <v>117</v>
      </c>
      <c r="C97" s="0" t="s">
        <v>63</v>
      </c>
      <c r="D97" s="0" t="s">
        <v>56</v>
      </c>
      <c r="E97" s="0" t="str">
        <f aca="false">B97&amp;"|"&amp;C97&amp;"|"&amp;D97</f>
        <v>Quthing [#SNU] [HuwCoDZG0FY]|15-19|Female</v>
      </c>
      <c r="F97" s="73" t="n">
        <f aca="false">_xlfn.IFNA(INDEX(Cascade!$F:$F,MATCH($E97,Cascade!$E:$E,0)),"")</f>
        <v>5488</v>
      </c>
      <c r="G97" s="73" t="n">
        <f aca="false">_xlfn.IFNA(INDEX(Cascade!$H:$H,MATCH($E97,Cascade!$E:$E,0)),"")</f>
        <v>280</v>
      </c>
      <c r="H97" s="118" t="n">
        <f aca="false">_xlfn.IFNA(INDEX(Cascade!$J:$J,MATCH($E97,Cascade!$E:$E,0)),"")</f>
        <v>0.0510084</v>
      </c>
      <c r="I97" s="73" t="n">
        <f aca="false">_xlfn.IFNA(INDEX(Cascade!$P:$P,MATCH($E97,Cascade!$E:$E,0)),"")</f>
        <v>178</v>
      </c>
      <c r="J97" s="118" t="n">
        <f aca="false">_xlfn.IFNA(INDEX(Cascade!$Y:$Y,MATCH($E97,Cascade!$E:$E,0)),"")</f>
        <v>0.635714285714286</v>
      </c>
      <c r="K97" s="75" t="str">
        <f aca="false">_xlfn.IFNA(ROUND(INDEX(Spectrum!$N:$N,MATCH(RIGHT($B97,13)&amp;"|"&amp;$C97&amp;"|"&amp;$D97&amp;"|"&amp;K$14&amp;"|"&amp;"CY2021Q3",Spectrum!$Q:$Q,0)),0),"")</f>
        <v/>
      </c>
      <c r="L97" s="75" t="str">
        <f aca="false">_xlfn.IFNA(ROUND(INDEX(Spectrum!$N:$N,MATCH(RIGHT($B97,13)&amp;"|"&amp;$C97&amp;"|"&amp;$D97&amp;"|"&amp;L$14&amp;"|"&amp;"CY2021Q3",Spectrum!$Q:$Q,0)),0),"")</f>
        <v/>
      </c>
      <c r="M97" s="75" t="str">
        <f aca="false">_xlfn.IFNA(ROUND(INDEX(Spectrum!$N:$N,MATCH(RIGHT($B97,13)&amp;"|"&amp;$C97&amp;"|"&amp;$D97&amp;"|"&amp;M$14&amp;"|"&amp;"CY2021Q3",Spectrum!$Q:$Q,0)),0),"")</f>
        <v/>
      </c>
      <c r="N97" s="75" t="str">
        <f aca="false">_xlfn.IFNA(ROUND(INDEX(Spectrum!$N:$N,MATCH(RIGHT($B97,13)&amp;"|"&amp;$C97&amp;"|"&amp;$D97&amp;"|"&amp;N$14&amp;"|"&amp;"CY2021Q3",Spectrum!$Q:$Q,0)),0),"")</f>
        <v/>
      </c>
      <c r="O97" s="75" t="str">
        <f aca="false">_xlfn.IFNA(ROUND(INDEX(Spectrum!$N:$N,MATCH(RIGHT($B97,13)&amp;"|"&amp;$C97&amp;"|"&amp;$D97&amp;"|"&amp;O$14&amp;"|"&amp;"CY2021Q3",Spectrum!$Q:$Q,0)),0),"")</f>
        <v/>
      </c>
      <c r="P97" s="75" t="str">
        <f aca="false">_xlfn.IFNA(ROUND(INDEX(Spectrum!$N:$N,MATCH(RIGHT($B97,13)&amp;"|"&amp;$C97&amp;"|"&amp;$D97&amp;"|"&amp;P$14&amp;"|"&amp;"CY2021Q3",Spectrum!$Q:$Q,0)),0),"")</f>
        <v/>
      </c>
      <c r="Q97" s="75" t="str">
        <f aca="false">_xlfn.IFNA(ROUND(INDEX(Spectrum!$N:$N,MATCH(RIGHT($B97,13)&amp;"|"&amp;$C97&amp;"|"&amp;$D97&amp;"|"&amp;Q$14&amp;"|"&amp;"CY2021Q3",Spectrum!$Q:$Q,0)),0),"")</f>
        <v/>
      </c>
      <c r="R97" s="73" t="n">
        <v>27</v>
      </c>
      <c r="S97" s="118" t="n">
        <f aca="false">IF(SUM($R97)&lt;=0,"",0%)</f>
        <v>0</v>
      </c>
      <c r="T97" s="75" t="n">
        <f aca="false">IF(SUM($R97)&lt;=0,"",ROUND(MIN($R97,$K97)*(1+$S97),0))</f>
        <v>27</v>
      </c>
      <c r="U97" s="118" t="n">
        <f aca="false">IF(SUM($K97)=0,IF(SUM($R97)=0,"",1),MIN(SUM($R97)/SUM($K97),1))</f>
        <v>1</v>
      </c>
      <c r="V97" s="118" t="n">
        <f aca="false">$U97</f>
        <v>1</v>
      </c>
      <c r="W97" s="75" t="n">
        <f aca="false">IF(SUM($T97)=0,"",ROUND(SUM($T97)/IF(SUM($V97)=0,1,SUM($V97)),0))</f>
        <v>27</v>
      </c>
      <c r="X97" s="118" t="n">
        <f aca="false">1</f>
        <v>1</v>
      </c>
      <c r="Y97" s="118" t="n">
        <v>44</v>
      </c>
      <c r="Z97" s="118" t="n">
        <f aca="false">IF(OR(SUM($K97)&lt;=0,SUM($L97)&lt;=0),IF(SUM($Y97)&lt;=0,"",$Y97),SUM($L97)/$K97)</f>
        <v>44</v>
      </c>
      <c r="AA97" s="118" t="n">
        <v>46</v>
      </c>
      <c r="AB97" s="118" t="n">
        <f aca="false">IF(OR((SUM($K97)-SUM($L97))&lt;=0,SUM($M97)&lt;=0),IF(SUM($AA97)&lt;=0,"",$AA97),SUM($M97)/($K97-SUM($L97)))</f>
        <v>46</v>
      </c>
      <c r="AC97" s="73" t="n">
        <f aca="false">IF(SUM($T97)&lt;=0,"",ROUND(SUM($T97)*$X97,0))</f>
        <v>27</v>
      </c>
      <c r="AD97" s="75" t="n">
        <f aca="false">IF(SUM($AC97)&lt;=0,"",ROUND($AC97*SUM($Z97),0))</f>
        <v>1188</v>
      </c>
      <c r="AE97" s="75" t="n">
        <f aca="false">IF(SUM($T97)&lt;=0,"",ROUND(($AC97-$AD97)*SUM($AB97),0))</f>
        <v>-53406</v>
      </c>
      <c r="AF97" s="75" t="n">
        <f aca="false">IF(SUM($AC97)&lt;=0,"",ROUND($AC97-$AD97-$AE97,0))</f>
        <v>52245</v>
      </c>
      <c r="AG97" s="73" t="n">
        <f aca="false">IF(SUM($W97)&lt;=0,"",ROUND(SUM($W97)*$X97,0))</f>
        <v>27</v>
      </c>
      <c r="AH97" s="75" t="n">
        <f aca="false">IF(SUM($AG97)&lt;=0,"",ROUND($AG97*SUM($Z97),0))</f>
        <v>1188</v>
      </c>
      <c r="AI97" s="75" t="n">
        <f aca="false">IF(SUM($W97)&lt;=0,"",ROUND(($AG97-$AH97)*SUM($AB97),0))</f>
        <v>-53406</v>
      </c>
      <c r="AJ97" s="75" t="n">
        <f aca="false">IF(SUM($AG97)&lt;=0,"",ROUND($AG97-$AH97-$AI97,0))</f>
        <v>52245</v>
      </c>
      <c r="AK97" s="118" t="n">
        <f aca="false">_xlfn.IFNA(INDEX(Cascade!$BA:$BA,MATCH($E97,Cascade!$E:$E,0)),"")</f>
        <v>0.95</v>
      </c>
      <c r="AL97" s="75" t="n">
        <f aca="false">IF(SUM($AD97)&lt;=0,"",$AD97)</f>
        <v>1188</v>
      </c>
      <c r="AM97" s="75" t="str">
        <f aca="false">IF(SUM($AE97)&lt;=0,"",ROUND($AE97*$AK97,0))</f>
        <v/>
      </c>
      <c r="AN97" s="75" t="n">
        <f aca="false">IF(AND(SUM($AH97)=0,SUM($AI97)=0),"",SUM($AH97)+SUM($AI97))</f>
        <v>-52218</v>
      </c>
      <c r="AO97" s="75" t="n">
        <f aca="false">IF(SUM($AH97)&lt;=0,"",$AH97)</f>
        <v>1188</v>
      </c>
      <c r="AP97" s="75" t="str">
        <f aca="false">IF(SUM($AI97)&lt;=0,"",ROUND($AI97*$AK97,0))</f>
        <v/>
      </c>
      <c r="AQ97" s="73" t="str">
        <f aca="false">IF(SUM($T97,$AD97,$AE97)&lt;=0,"",MAX(SUM($T97,-$AD97,-$AE97),$AF97))</f>
        <v/>
      </c>
      <c r="AR97" s="118"/>
      <c r="AS97" s="118" t="str">
        <f aca="false">IF(SUM(AR97)=0,"",$AR97)</f>
        <v/>
      </c>
      <c r="AT97" s="118" t="n">
        <f aca="false">0.95</f>
        <v>0.95</v>
      </c>
      <c r="AU97" s="75" t="str">
        <f aca="false">IF(SUM($AQ97)&lt;=0,"",ROUND(SUM($AQ97)*SUM($AS97),0))</f>
        <v/>
      </c>
      <c r="AV97" s="75" t="str">
        <f aca="false">IF(SUM($AQ97)&lt;=0,"",$AQ97-$AU97)</f>
        <v/>
      </c>
      <c r="AW97" s="73" t="str">
        <f aca="false">IF(SUM($AU97)&lt;=0,"",ROUND($AU97*$AT97,0))</f>
        <v/>
      </c>
      <c r="AX97" s="73" t="str">
        <f aca="false">IF(SUM($AE97,$AD97,$AU97)&lt;=0,"",SUM($AE97,$AD97,$AU97))</f>
        <v/>
      </c>
      <c r="AY97" s="73" t="n">
        <f aca="false">_xlfn.IFNA(INDEX(Cascade!$BD:$BD,MATCH($E97,Cascade!$E:$E,0)),"")</f>
        <v>17</v>
      </c>
      <c r="AZ97" s="118" t="str">
        <f aca="false">IFERROR(IF(SUM($AE97)&lt;=0,"",$AE97/$AY97),"")</f>
        <v/>
      </c>
      <c r="BA97" s="118" t="str">
        <f aca="false">IFERROR(IF(SUM($AU97)&lt;=0,"",$AU97/$AY97),"")</f>
        <v/>
      </c>
      <c r="BB97" s="118" t="n">
        <f aca="false">_xlfn.IFNA(INDEX(Cascade!$BL:$BL,MATCH($E97,Cascade!$E:$E,0)),"")</f>
        <v>0.294117647058823</v>
      </c>
      <c r="BC97" s="118" t="str">
        <f aca="false">_xlfn.IFNA(INDEX(Cascade!$BO:$BO,MATCH($E97,Cascade!$E:$E,0)),"")</f>
        <v/>
      </c>
      <c r="BD97" s="118" t="n">
        <f aca="false">_xlfn.IFNA(INDEX(Cascade!$BR:$BR,MATCH($E97,Cascade!$E:$E,0)),"")</f>
        <v>3142.23529411765</v>
      </c>
    </row>
    <row r="98" customFormat="false" ht="15" hidden="false" customHeight="false" outlineLevel="0" collapsed="false">
      <c r="A98" s="0" t="s">
        <v>150</v>
      </c>
      <c r="B98" s="0" t="s">
        <v>117</v>
      </c>
      <c r="C98" s="0" t="s">
        <v>66</v>
      </c>
      <c r="D98" s="0" t="s">
        <v>56</v>
      </c>
      <c r="E98" s="0" t="str">
        <f aca="false">B98&amp;"|"&amp;C98&amp;"|"&amp;D98</f>
        <v>Quthing [#SNU] [HuwCoDZG0FY]|20-24|Female</v>
      </c>
      <c r="F98" s="73" t="n">
        <f aca="false">_xlfn.IFNA(INDEX(Cascade!$F:$F,MATCH($E98,Cascade!$E:$E,0)),"")</f>
        <v>5322</v>
      </c>
      <c r="G98" s="73" t="n">
        <f aca="false">_xlfn.IFNA(INDEX(Cascade!$H:$H,MATCH($E98,Cascade!$E:$E,0)),"")</f>
        <v>729</v>
      </c>
      <c r="H98" s="118" t="n">
        <f aca="false">_xlfn.IFNA(INDEX(Cascade!$J:$J,MATCH($E98,Cascade!$E:$E,0)),"")</f>
        <v>0.1369436</v>
      </c>
      <c r="I98" s="73" t="n">
        <f aca="false">_xlfn.IFNA(INDEX(Cascade!$P:$P,MATCH($E98,Cascade!$E:$E,0)),"")</f>
        <v>375</v>
      </c>
      <c r="J98" s="118" t="n">
        <f aca="false">_xlfn.IFNA(INDEX(Cascade!$Y:$Y,MATCH($E98,Cascade!$E:$E,0)),"")</f>
        <v>0.51440329218107</v>
      </c>
      <c r="K98" s="75" t="str">
        <f aca="false">_xlfn.IFNA(ROUND(INDEX(Spectrum!$N:$N,MATCH(RIGHT($B98,13)&amp;"|"&amp;$C98&amp;"|"&amp;$D98&amp;"|"&amp;K$14&amp;"|"&amp;"CY2021Q3",Spectrum!$Q:$Q,0)),0),"")</f>
        <v/>
      </c>
      <c r="L98" s="75" t="str">
        <f aca="false">_xlfn.IFNA(ROUND(INDEX(Spectrum!$N:$N,MATCH(RIGHT($B98,13)&amp;"|"&amp;$C98&amp;"|"&amp;$D98&amp;"|"&amp;L$14&amp;"|"&amp;"CY2021Q3",Spectrum!$Q:$Q,0)),0),"")</f>
        <v/>
      </c>
      <c r="M98" s="75" t="str">
        <f aca="false">_xlfn.IFNA(ROUND(INDEX(Spectrum!$N:$N,MATCH(RIGHT($B98,13)&amp;"|"&amp;$C98&amp;"|"&amp;$D98&amp;"|"&amp;M$14&amp;"|"&amp;"CY2021Q3",Spectrum!$Q:$Q,0)),0),"")</f>
        <v/>
      </c>
      <c r="N98" s="75" t="str">
        <f aca="false">_xlfn.IFNA(ROUND(INDEX(Spectrum!$N:$N,MATCH(RIGHT($B98,13)&amp;"|"&amp;$C98&amp;"|"&amp;$D98&amp;"|"&amp;N$14&amp;"|"&amp;"CY2021Q3",Spectrum!$Q:$Q,0)),0),"")</f>
        <v/>
      </c>
      <c r="O98" s="75" t="str">
        <f aca="false">_xlfn.IFNA(ROUND(INDEX(Spectrum!$N:$N,MATCH(RIGHT($B98,13)&amp;"|"&amp;$C98&amp;"|"&amp;$D98&amp;"|"&amp;O$14&amp;"|"&amp;"CY2021Q3",Spectrum!$Q:$Q,0)),0),"")</f>
        <v/>
      </c>
      <c r="P98" s="75" t="str">
        <f aca="false">_xlfn.IFNA(ROUND(INDEX(Spectrum!$N:$N,MATCH(RIGHT($B98,13)&amp;"|"&amp;$C98&amp;"|"&amp;$D98&amp;"|"&amp;P$14&amp;"|"&amp;"CY2021Q3",Spectrum!$Q:$Q,0)),0),"")</f>
        <v/>
      </c>
      <c r="Q98" s="75" t="str">
        <f aca="false">_xlfn.IFNA(ROUND(INDEX(Spectrum!$N:$N,MATCH(RIGHT($B98,13)&amp;"|"&amp;$C98&amp;"|"&amp;$D98&amp;"|"&amp;Q$14&amp;"|"&amp;"CY2021Q3",Spectrum!$Q:$Q,0)),0),"")</f>
        <v/>
      </c>
      <c r="R98" s="73" t="n">
        <v>42</v>
      </c>
      <c r="S98" s="118" t="n">
        <f aca="false">IF(SUM($R98)&lt;=0,"",0%)</f>
        <v>0</v>
      </c>
      <c r="T98" s="75" t="n">
        <f aca="false">IF(SUM($R98)&lt;=0,"",ROUND(MIN($R98,$K98)*(1+$S98),0))</f>
        <v>42</v>
      </c>
      <c r="U98" s="118" t="n">
        <f aca="false">IF(SUM($K98)=0,IF(SUM($R98)=0,"",1),MIN(SUM($R98)/SUM($K98),1))</f>
        <v>1</v>
      </c>
      <c r="V98" s="118" t="n">
        <f aca="false">$U98</f>
        <v>1</v>
      </c>
      <c r="W98" s="75" t="n">
        <f aca="false">IF(SUM($T98)=0,"",ROUND(SUM($T98)/IF(SUM($V98)=0,1,SUM($V98)),0))</f>
        <v>42</v>
      </c>
      <c r="X98" s="118" t="n">
        <f aca="false">1</f>
        <v>1</v>
      </c>
      <c r="Y98" s="118" t="n">
        <v>20</v>
      </c>
      <c r="Z98" s="118" t="n">
        <f aca="false">IF(OR(SUM($K98)&lt;=0,SUM($L98)&lt;=0),IF(SUM($Y98)&lt;=0,"",$Y98),SUM($L98)/$K98)</f>
        <v>20</v>
      </c>
      <c r="AA98" s="118" t="n">
        <v>12</v>
      </c>
      <c r="AB98" s="118" t="n">
        <f aca="false">IF(OR((SUM($K98)-SUM($L98))&lt;=0,SUM($M98)&lt;=0),IF(SUM($AA98)&lt;=0,"",$AA98),SUM($M98)/($K98-SUM($L98)))</f>
        <v>12</v>
      </c>
      <c r="AC98" s="73" t="n">
        <f aca="false">IF(SUM($T98)&lt;=0,"",ROUND(SUM($T98)*$X98,0))</f>
        <v>42</v>
      </c>
      <c r="AD98" s="75" t="n">
        <f aca="false">IF(SUM($AC98)&lt;=0,"",ROUND($AC98*SUM($Z98),0))</f>
        <v>840</v>
      </c>
      <c r="AE98" s="75" t="n">
        <f aca="false">IF(SUM($T98)&lt;=0,"",ROUND(($AC98-$AD98)*SUM($AB98),0))</f>
        <v>-9576</v>
      </c>
      <c r="AF98" s="75" t="n">
        <f aca="false">IF(SUM($AC98)&lt;=0,"",ROUND($AC98-$AD98-$AE98,0))</f>
        <v>8778</v>
      </c>
      <c r="AG98" s="73" t="n">
        <f aca="false">IF(SUM($W98)&lt;=0,"",ROUND(SUM($W98)*$X98,0))</f>
        <v>42</v>
      </c>
      <c r="AH98" s="75" t="n">
        <f aca="false">IF(SUM($AG98)&lt;=0,"",ROUND($AG98*SUM($Z98),0))</f>
        <v>840</v>
      </c>
      <c r="AI98" s="75" t="n">
        <f aca="false">IF(SUM($W98)&lt;=0,"",ROUND(($AG98-$AH98)*SUM($AB98),0))</f>
        <v>-9576</v>
      </c>
      <c r="AJ98" s="75" t="n">
        <f aca="false">IF(SUM($AG98)&lt;=0,"",ROUND($AG98-$AH98-$AI98,0))</f>
        <v>8778</v>
      </c>
      <c r="AK98" s="118" t="n">
        <f aca="false">_xlfn.IFNA(INDEX(Cascade!$BA:$BA,MATCH($E98,Cascade!$E:$E,0)),"")</f>
        <v>0.95</v>
      </c>
      <c r="AL98" s="75" t="n">
        <f aca="false">IF(SUM($AD98)&lt;=0,"",$AD98)</f>
        <v>840</v>
      </c>
      <c r="AM98" s="75" t="str">
        <f aca="false">IF(SUM($AE98)&lt;=0,"",ROUND($AE98*$AK98,0))</f>
        <v/>
      </c>
      <c r="AN98" s="75" t="n">
        <f aca="false">IF(AND(SUM($AH98)=0,SUM($AI98)=0),"",SUM($AH98)+SUM($AI98))</f>
        <v>-8736</v>
      </c>
      <c r="AO98" s="75" t="n">
        <f aca="false">IF(SUM($AH98)&lt;=0,"",$AH98)</f>
        <v>840</v>
      </c>
      <c r="AP98" s="75" t="str">
        <f aca="false">IF(SUM($AI98)&lt;=0,"",ROUND($AI98*$AK98,0))</f>
        <v/>
      </c>
      <c r="AQ98" s="73" t="str">
        <f aca="false">IF(SUM($T98,$AD98,$AE98)&lt;=0,"",MAX(SUM($T98,-$AD98,-$AE98),$AF98))</f>
        <v/>
      </c>
      <c r="AR98" s="118" t="n">
        <v>24</v>
      </c>
      <c r="AS98" s="118" t="n">
        <f aca="false">IF(SUM(AR98)=0,"",$AR98)</f>
        <v>24</v>
      </c>
      <c r="AT98" s="118" t="n">
        <f aca="false">0.95</f>
        <v>0.95</v>
      </c>
      <c r="AU98" s="75" t="str">
        <f aca="false">IF(SUM($AQ98)&lt;=0,"",ROUND(SUM($AQ98)*SUM($AS98),0))</f>
        <v/>
      </c>
      <c r="AV98" s="75" t="str">
        <f aca="false">IF(SUM($AQ98)&lt;=0,"",$AQ98-$AU98)</f>
        <v/>
      </c>
      <c r="AW98" s="73" t="str">
        <f aca="false">IF(SUM($AU98)&lt;=0,"",ROUND($AU98*$AT98,0))</f>
        <v/>
      </c>
      <c r="AX98" s="73" t="str">
        <f aca="false">IF(SUM($AE98,$AD98,$AU98)&lt;=0,"",SUM($AE98,$AD98,$AU98))</f>
        <v/>
      </c>
      <c r="AY98" s="73" t="n">
        <f aca="false">_xlfn.IFNA(INDEX(Cascade!$BD:$BD,MATCH($E98,Cascade!$E:$E,0)),"")</f>
        <v>4</v>
      </c>
      <c r="AZ98" s="118" t="str">
        <f aca="false">IFERROR(IF(SUM($AE98)&lt;=0,"",$AE98/$AY98),"")</f>
        <v/>
      </c>
      <c r="BA98" s="118" t="str">
        <f aca="false">IFERROR(IF(SUM($AU98)&lt;=0,"",$AU98/$AY98),"")</f>
        <v/>
      </c>
      <c r="BB98" s="118" t="n">
        <f aca="false">_xlfn.IFNA(INDEX(Cascade!$BL:$BL,MATCH($E98,Cascade!$E:$E,0)),"")</f>
        <v>0.25</v>
      </c>
      <c r="BC98" s="118" t="n">
        <f aca="false">_xlfn.IFNA(INDEX(Cascade!$BO:$BO,MATCH($E98,Cascade!$E:$E,0)),"")</f>
        <v>-13113</v>
      </c>
      <c r="BD98" s="118" t="n">
        <f aca="false">_xlfn.IFNA(INDEX(Cascade!$BR:$BR,MATCH($E98,Cascade!$E:$E,0)),"")</f>
        <v>15507.75</v>
      </c>
    </row>
    <row r="99" customFormat="false" ht="15" hidden="false" customHeight="false" outlineLevel="0" collapsed="false">
      <c r="A99" s="0" t="s">
        <v>150</v>
      </c>
      <c r="B99" s="0" t="s">
        <v>117</v>
      </c>
      <c r="C99" s="0" t="s">
        <v>69</v>
      </c>
      <c r="D99" s="0" t="s">
        <v>56</v>
      </c>
      <c r="E99" s="0" t="str">
        <f aca="false">B99&amp;"|"&amp;C99&amp;"|"&amp;D99</f>
        <v>Quthing [#SNU] [HuwCoDZG0FY]|25-29|Female</v>
      </c>
      <c r="F99" s="73" t="n">
        <f aca="false">_xlfn.IFNA(INDEX(Cascade!$F:$F,MATCH($E99,Cascade!$E:$E,0)),"")</f>
        <v>5152</v>
      </c>
      <c r="G99" s="73" t="n">
        <f aca="false">_xlfn.IFNA(INDEX(Cascade!$H:$H,MATCH($E99,Cascade!$E:$E,0)),"")</f>
        <v>1311</v>
      </c>
      <c r="H99" s="118" t="n">
        <f aca="false">_xlfn.IFNA(INDEX(Cascade!$J:$J,MATCH($E99,Cascade!$E:$E,0)),"")</f>
        <v>0.2544603</v>
      </c>
      <c r="I99" s="73" t="n">
        <f aca="false">_xlfn.IFNA(INDEX(Cascade!$P:$P,MATCH($E99,Cascade!$E:$E,0)),"")</f>
        <v>638</v>
      </c>
      <c r="J99" s="118" t="n">
        <f aca="false">_xlfn.IFNA(INDEX(Cascade!$Y:$Y,MATCH($E99,Cascade!$E:$E,0)),"")</f>
        <v>0.486651411136537</v>
      </c>
      <c r="K99" s="75" t="str">
        <f aca="false">_xlfn.IFNA(ROUND(INDEX(Spectrum!$N:$N,MATCH(RIGHT($B99,13)&amp;"|"&amp;$C99&amp;"|"&amp;$D99&amp;"|"&amp;K$14&amp;"|"&amp;"CY2021Q3",Spectrum!$Q:$Q,0)),0),"")</f>
        <v/>
      </c>
      <c r="L99" s="75" t="str">
        <f aca="false">_xlfn.IFNA(ROUND(INDEX(Spectrum!$N:$N,MATCH(RIGHT($B99,13)&amp;"|"&amp;$C99&amp;"|"&amp;$D99&amp;"|"&amp;L$14&amp;"|"&amp;"CY2021Q3",Spectrum!$Q:$Q,0)),0),"")</f>
        <v/>
      </c>
      <c r="M99" s="75" t="str">
        <f aca="false">_xlfn.IFNA(ROUND(INDEX(Spectrum!$N:$N,MATCH(RIGHT($B99,13)&amp;"|"&amp;$C99&amp;"|"&amp;$D99&amp;"|"&amp;M$14&amp;"|"&amp;"CY2021Q3",Spectrum!$Q:$Q,0)),0),"")</f>
        <v/>
      </c>
      <c r="N99" s="75" t="str">
        <f aca="false">_xlfn.IFNA(ROUND(INDEX(Spectrum!$N:$N,MATCH(RIGHT($B99,13)&amp;"|"&amp;$C99&amp;"|"&amp;$D99&amp;"|"&amp;N$14&amp;"|"&amp;"CY2021Q3",Spectrum!$Q:$Q,0)),0),"")</f>
        <v/>
      </c>
      <c r="O99" s="75" t="str">
        <f aca="false">_xlfn.IFNA(ROUND(INDEX(Spectrum!$N:$N,MATCH(RIGHT($B99,13)&amp;"|"&amp;$C99&amp;"|"&amp;$D99&amp;"|"&amp;O$14&amp;"|"&amp;"CY2021Q3",Spectrum!$Q:$Q,0)),0),"")</f>
        <v/>
      </c>
      <c r="P99" s="75" t="str">
        <f aca="false">_xlfn.IFNA(ROUND(INDEX(Spectrum!$N:$N,MATCH(RIGHT($B99,13)&amp;"|"&amp;$C99&amp;"|"&amp;$D99&amp;"|"&amp;P$14&amp;"|"&amp;"CY2021Q3",Spectrum!$Q:$Q,0)),0),"")</f>
        <v/>
      </c>
      <c r="Q99" s="75" t="str">
        <f aca="false">_xlfn.IFNA(ROUND(INDEX(Spectrum!$N:$N,MATCH(RIGHT($B99,13)&amp;"|"&amp;$C99&amp;"|"&amp;$D99&amp;"|"&amp;Q$14&amp;"|"&amp;"CY2021Q3",Spectrum!$Q:$Q,0)),0),"")</f>
        <v/>
      </c>
      <c r="R99" s="73" t="n">
        <v>40</v>
      </c>
      <c r="S99" s="118" t="n">
        <f aca="false">IF(SUM($R99)&lt;=0,"",0%)</f>
        <v>0</v>
      </c>
      <c r="T99" s="75" t="n">
        <f aca="false">IF(SUM($R99)&lt;=0,"",ROUND(MIN($R99,$K99)*(1+$S99),0))</f>
        <v>40</v>
      </c>
      <c r="U99" s="118" t="n">
        <f aca="false">IF(SUM($K99)=0,IF(SUM($R99)=0,"",1),MIN(SUM($R99)/SUM($K99),1))</f>
        <v>1</v>
      </c>
      <c r="V99" s="118" t="n">
        <f aca="false">$U99</f>
        <v>1</v>
      </c>
      <c r="W99" s="75" t="n">
        <f aca="false">IF(SUM($T99)=0,"",ROUND(SUM($T99)/IF(SUM($V99)=0,1,SUM($V99)),0))</f>
        <v>40</v>
      </c>
      <c r="X99" s="118" t="n">
        <f aca="false">1</f>
        <v>1</v>
      </c>
      <c r="Y99" s="118" t="n">
        <v>29</v>
      </c>
      <c r="Z99" s="118" t="n">
        <f aca="false">IF(OR(SUM($K99)&lt;=0,SUM($L99)&lt;=0),IF(SUM($Y99)&lt;=0,"",$Y99),SUM($L99)/$K99)</f>
        <v>29</v>
      </c>
      <c r="AA99" s="118" t="n">
        <v>12</v>
      </c>
      <c r="AB99" s="118" t="n">
        <f aca="false">IF(OR((SUM($K99)-SUM($L99))&lt;=0,SUM($M99)&lt;=0),IF(SUM($AA99)&lt;=0,"",$AA99),SUM($M99)/($K99-SUM($L99)))</f>
        <v>12</v>
      </c>
      <c r="AC99" s="73" t="n">
        <f aca="false">IF(SUM($T99)&lt;=0,"",ROUND(SUM($T99)*$X99,0))</f>
        <v>40</v>
      </c>
      <c r="AD99" s="75" t="n">
        <f aca="false">IF(SUM($AC99)&lt;=0,"",ROUND($AC99*SUM($Z99),0))</f>
        <v>1160</v>
      </c>
      <c r="AE99" s="75" t="n">
        <f aca="false">IF(SUM($T99)&lt;=0,"",ROUND(($AC99-$AD99)*SUM($AB99),0))</f>
        <v>-13440</v>
      </c>
      <c r="AF99" s="75" t="n">
        <f aca="false">IF(SUM($AC99)&lt;=0,"",ROUND($AC99-$AD99-$AE99,0))</f>
        <v>12320</v>
      </c>
      <c r="AG99" s="73" t="n">
        <f aca="false">IF(SUM($W99)&lt;=0,"",ROUND(SUM($W99)*$X99,0))</f>
        <v>40</v>
      </c>
      <c r="AH99" s="75" t="n">
        <f aca="false">IF(SUM($AG99)&lt;=0,"",ROUND($AG99*SUM($Z99),0))</f>
        <v>1160</v>
      </c>
      <c r="AI99" s="75" t="n">
        <f aca="false">IF(SUM($W99)&lt;=0,"",ROUND(($AG99-$AH99)*SUM($AB99),0))</f>
        <v>-13440</v>
      </c>
      <c r="AJ99" s="75" t="n">
        <f aca="false">IF(SUM($AG99)&lt;=0,"",ROUND($AG99-$AH99-$AI99,0))</f>
        <v>12320</v>
      </c>
      <c r="AK99" s="118" t="n">
        <f aca="false">_xlfn.IFNA(INDEX(Cascade!$BA:$BA,MATCH($E99,Cascade!$E:$E,0)),"")</f>
        <v>0.95</v>
      </c>
      <c r="AL99" s="75" t="n">
        <f aca="false">IF(SUM($AD99)&lt;=0,"",$AD99)</f>
        <v>1160</v>
      </c>
      <c r="AM99" s="75" t="str">
        <f aca="false">IF(SUM($AE99)&lt;=0,"",ROUND($AE99*$AK99,0))</f>
        <v/>
      </c>
      <c r="AN99" s="75" t="n">
        <f aca="false">IF(AND(SUM($AH99)=0,SUM($AI99)=0),"",SUM($AH99)+SUM($AI99))</f>
        <v>-12280</v>
      </c>
      <c r="AO99" s="75" t="n">
        <f aca="false">IF(SUM($AH99)&lt;=0,"",$AH99)</f>
        <v>1160</v>
      </c>
      <c r="AP99" s="75" t="str">
        <f aca="false">IF(SUM($AI99)&lt;=0,"",ROUND($AI99*$AK99,0))</f>
        <v/>
      </c>
      <c r="AQ99" s="73" t="str">
        <f aca="false">IF(SUM($T99,$AD99,$AE99)&lt;=0,"",MAX(SUM($T99,-$AD99,-$AE99),$AF99))</f>
        <v/>
      </c>
      <c r="AR99" s="118"/>
      <c r="AS99" s="118" t="str">
        <f aca="false">IF(SUM(AR99)=0,"",$AR99)</f>
        <v/>
      </c>
      <c r="AT99" s="118" t="n">
        <f aca="false">0.95</f>
        <v>0.95</v>
      </c>
      <c r="AU99" s="75" t="str">
        <f aca="false">IF(SUM($AQ99)&lt;=0,"",ROUND(SUM($AQ99)*SUM($AS99),0))</f>
        <v/>
      </c>
      <c r="AV99" s="75" t="str">
        <f aca="false">IF(SUM($AQ99)&lt;=0,"",$AQ99-$AU99)</f>
        <v/>
      </c>
      <c r="AW99" s="73" t="str">
        <f aca="false">IF(SUM($AU99)&lt;=0,"",ROUND($AU99*$AT99,0))</f>
        <v/>
      </c>
      <c r="AX99" s="73" t="str">
        <f aca="false">IF(SUM($AE99,$AD99,$AU99)&lt;=0,"",SUM($AE99,$AD99,$AU99))</f>
        <v/>
      </c>
      <c r="AY99" s="73" t="n">
        <f aca="false">_xlfn.IFNA(INDEX(Cascade!$BD:$BD,MATCH($E99,Cascade!$E:$E,0)),"")</f>
        <v>3</v>
      </c>
      <c r="AZ99" s="118" t="str">
        <f aca="false">IFERROR(IF(SUM($AE99)&lt;=0,"",$AE99/$AY99),"")</f>
        <v/>
      </c>
      <c r="BA99" s="118" t="str">
        <f aca="false">IFERROR(IF(SUM($AU99)&lt;=0,"",$AU99/$AY99),"")</f>
        <v/>
      </c>
      <c r="BB99" s="118" t="n">
        <f aca="false">_xlfn.IFNA(INDEX(Cascade!$BL:$BL,MATCH($E99,Cascade!$E:$E,0)),"")</f>
        <v>0.333333333333333</v>
      </c>
      <c r="BC99" s="118" t="n">
        <f aca="false">_xlfn.IFNA(INDEX(Cascade!$BO:$BO,MATCH($E99,Cascade!$E:$E,0)),"")</f>
        <v>-400</v>
      </c>
      <c r="BD99" s="118" t="n">
        <f aca="false">_xlfn.IFNA(INDEX(Cascade!$BR:$BR,MATCH($E99,Cascade!$E:$E,0)),"")</f>
        <v>4880.66666666667</v>
      </c>
    </row>
    <row r="100" customFormat="false" ht="15" hidden="false" customHeight="false" outlineLevel="0" collapsed="false">
      <c r="A100" s="0" t="s">
        <v>150</v>
      </c>
      <c r="B100" s="0" t="s">
        <v>117</v>
      </c>
      <c r="C100" s="0" t="s">
        <v>72</v>
      </c>
      <c r="D100" s="0" t="s">
        <v>56</v>
      </c>
      <c r="E100" s="0" t="str">
        <f aca="false">B100&amp;"|"&amp;C100&amp;"|"&amp;D100</f>
        <v>Quthing [#SNU] [HuwCoDZG0FY]|30-34|Female</v>
      </c>
      <c r="F100" s="73" t="n">
        <f aca="false">_xlfn.IFNA(INDEX(Cascade!$F:$F,MATCH($E100,Cascade!$E:$E,0)),"")</f>
        <v>4504</v>
      </c>
      <c r="G100" s="73" t="n">
        <f aca="false">_xlfn.IFNA(INDEX(Cascade!$H:$H,MATCH($E100,Cascade!$E:$E,0)),"")</f>
        <v>1725</v>
      </c>
      <c r="H100" s="118" t="n">
        <f aca="false">_xlfn.IFNA(INDEX(Cascade!$J:$J,MATCH($E100,Cascade!$E:$E,0)),"")</f>
        <v>0.3829206</v>
      </c>
      <c r="I100" s="73" t="n">
        <f aca="false">_xlfn.IFNA(INDEX(Cascade!$P:$P,MATCH($E100,Cascade!$E:$E,0)),"")</f>
        <v>812</v>
      </c>
      <c r="J100" s="118" t="n">
        <f aca="false">_xlfn.IFNA(INDEX(Cascade!$Y:$Y,MATCH($E100,Cascade!$E:$E,0)),"")</f>
        <v>0.470724637681159</v>
      </c>
      <c r="K100" s="75" t="str">
        <f aca="false">_xlfn.IFNA(ROUND(INDEX(Spectrum!$N:$N,MATCH(RIGHT($B100,13)&amp;"|"&amp;$C100&amp;"|"&amp;$D100&amp;"|"&amp;K$14&amp;"|"&amp;"CY2021Q3",Spectrum!$Q:$Q,0)),0),"")</f>
        <v/>
      </c>
      <c r="L100" s="75" t="str">
        <f aca="false">_xlfn.IFNA(ROUND(INDEX(Spectrum!$N:$N,MATCH(RIGHT($B100,13)&amp;"|"&amp;$C100&amp;"|"&amp;$D100&amp;"|"&amp;L$14&amp;"|"&amp;"CY2021Q3",Spectrum!$Q:$Q,0)),0),"")</f>
        <v/>
      </c>
      <c r="M100" s="75" t="str">
        <f aca="false">_xlfn.IFNA(ROUND(INDEX(Spectrum!$N:$N,MATCH(RIGHT($B100,13)&amp;"|"&amp;$C100&amp;"|"&amp;$D100&amp;"|"&amp;M$14&amp;"|"&amp;"CY2021Q3",Spectrum!$Q:$Q,0)),0),"")</f>
        <v/>
      </c>
      <c r="N100" s="75" t="str">
        <f aca="false">_xlfn.IFNA(ROUND(INDEX(Spectrum!$N:$N,MATCH(RIGHT($B100,13)&amp;"|"&amp;$C100&amp;"|"&amp;$D100&amp;"|"&amp;N$14&amp;"|"&amp;"CY2021Q3",Spectrum!$Q:$Q,0)),0),"")</f>
        <v/>
      </c>
      <c r="O100" s="75" t="str">
        <f aca="false">_xlfn.IFNA(ROUND(INDEX(Spectrum!$N:$N,MATCH(RIGHT($B100,13)&amp;"|"&amp;$C100&amp;"|"&amp;$D100&amp;"|"&amp;O$14&amp;"|"&amp;"CY2021Q3",Spectrum!$Q:$Q,0)),0),"")</f>
        <v/>
      </c>
      <c r="P100" s="75" t="str">
        <f aca="false">_xlfn.IFNA(ROUND(INDEX(Spectrum!$N:$N,MATCH(RIGHT($B100,13)&amp;"|"&amp;$C100&amp;"|"&amp;$D100&amp;"|"&amp;P$14&amp;"|"&amp;"CY2021Q3",Spectrum!$Q:$Q,0)),0),"")</f>
        <v/>
      </c>
      <c r="Q100" s="75" t="str">
        <f aca="false">_xlfn.IFNA(ROUND(INDEX(Spectrum!$N:$N,MATCH(RIGHT($B100,13)&amp;"|"&amp;$C100&amp;"|"&amp;$D100&amp;"|"&amp;Q$14&amp;"|"&amp;"CY2021Q3",Spectrum!$Q:$Q,0)),0),"")</f>
        <v/>
      </c>
      <c r="R100" s="73" t="n">
        <v>25</v>
      </c>
      <c r="S100" s="118" t="n">
        <f aca="false">IF(SUM($R100)&lt;=0,"",0%)</f>
        <v>0</v>
      </c>
      <c r="T100" s="75" t="n">
        <f aca="false">IF(SUM($R100)&lt;=0,"",ROUND(MIN($R100,$K100)*(1+$S100),0))</f>
        <v>25</v>
      </c>
      <c r="U100" s="118" t="n">
        <f aca="false">IF(SUM($K100)=0,IF(SUM($R100)=0,"",1),MIN(SUM($R100)/SUM($K100),1))</f>
        <v>1</v>
      </c>
      <c r="V100" s="118" t="n">
        <f aca="false">$U100</f>
        <v>1</v>
      </c>
      <c r="W100" s="75" t="n">
        <f aca="false">IF(SUM($T100)=0,"",ROUND(SUM($T100)/IF(SUM($V100)=0,1,SUM($V100)),0))</f>
        <v>25</v>
      </c>
      <c r="X100" s="118" t="n">
        <f aca="false">1</f>
        <v>1</v>
      </c>
      <c r="Y100" s="118" t="n">
        <v>37</v>
      </c>
      <c r="Z100" s="118" t="n">
        <f aca="false">IF(OR(SUM($K100)&lt;=0,SUM($L100)&lt;=0),IF(SUM($Y100)&lt;=0,"",$Y100),SUM($L100)/$K100)</f>
        <v>37</v>
      </c>
      <c r="AA100" s="118" t="n">
        <v>42</v>
      </c>
      <c r="AB100" s="118" t="n">
        <f aca="false">IF(OR((SUM($K100)-SUM($L100))&lt;=0,SUM($M100)&lt;=0),IF(SUM($AA100)&lt;=0,"",$AA100),SUM($M100)/($K100-SUM($L100)))</f>
        <v>42</v>
      </c>
      <c r="AC100" s="73" t="n">
        <f aca="false">IF(SUM($T100)&lt;=0,"",ROUND(SUM($T100)*$X100,0))</f>
        <v>25</v>
      </c>
      <c r="AD100" s="75" t="n">
        <f aca="false">IF(SUM($AC100)&lt;=0,"",ROUND($AC100*SUM($Z100),0))</f>
        <v>925</v>
      </c>
      <c r="AE100" s="75" t="n">
        <f aca="false">IF(SUM($T100)&lt;=0,"",ROUND(($AC100-$AD100)*SUM($AB100),0))</f>
        <v>-37800</v>
      </c>
      <c r="AF100" s="75" t="n">
        <f aca="false">IF(SUM($AC100)&lt;=0,"",ROUND($AC100-$AD100-$AE100,0))</f>
        <v>36900</v>
      </c>
      <c r="AG100" s="73" t="n">
        <f aca="false">IF(SUM($W100)&lt;=0,"",ROUND(SUM($W100)*$X100,0))</f>
        <v>25</v>
      </c>
      <c r="AH100" s="75" t="n">
        <f aca="false">IF(SUM($AG100)&lt;=0,"",ROUND($AG100*SUM($Z100),0))</f>
        <v>925</v>
      </c>
      <c r="AI100" s="75" t="n">
        <f aca="false">IF(SUM($W100)&lt;=0,"",ROUND(($AG100-$AH100)*SUM($AB100),0))</f>
        <v>-37800</v>
      </c>
      <c r="AJ100" s="75" t="n">
        <f aca="false">IF(SUM($AG100)&lt;=0,"",ROUND($AG100-$AH100-$AI100,0))</f>
        <v>36900</v>
      </c>
      <c r="AK100" s="118" t="n">
        <f aca="false">_xlfn.IFNA(INDEX(Cascade!$BA:$BA,MATCH($E100,Cascade!$E:$E,0)),"")</f>
        <v>0.95</v>
      </c>
      <c r="AL100" s="75" t="n">
        <f aca="false">IF(SUM($AD100)&lt;=0,"",$AD100)</f>
        <v>925</v>
      </c>
      <c r="AM100" s="75" t="str">
        <f aca="false">IF(SUM($AE100)&lt;=0,"",ROUND($AE100*$AK100,0))</f>
        <v/>
      </c>
      <c r="AN100" s="75" t="n">
        <f aca="false">IF(AND(SUM($AH100)=0,SUM($AI100)=0),"",SUM($AH100)+SUM($AI100))</f>
        <v>-36875</v>
      </c>
      <c r="AO100" s="75" t="n">
        <f aca="false">IF(SUM($AH100)&lt;=0,"",$AH100)</f>
        <v>925</v>
      </c>
      <c r="AP100" s="75" t="str">
        <f aca="false">IF(SUM($AI100)&lt;=0,"",ROUND($AI100*$AK100,0))</f>
        <v/>
      </c>
      <c r="AQ100" s="73" t="str">
        <f aca="false">IF(SUM($T100,$AD100,$AE100)&lt;=0,"",MAX(SUM($T100,-$AD100,-$AE100),$AF100))</f>
        <v/>
      </c>
      <c r="AR100" s="118"/>
      <c r="AS100" s="118" t="str">
        <f aca="false">IF(SUM(AR100)=0,"",$AR100)</f>
        <v/>
      </c>
      <c r="AT100" s="118" t="n">
        <f aca="false">0.95</f>
        <v>0.95</v>
      </c>
      <c r="AU100" s="75" t="str">
        <f aca="false">IF(SUM($AQ100)&lt;=0,"",ROUND(SUM($AQ100)*SUM($AS100),0))</f>
        <v/>
      </c>
      <c r="AV100" s="75" t="str">
        <f aca="false">IF(SUM($AQ100)&lt;=0,"",$AQ100-$AU100)</f>
        <v/>
      </c>
      <c r="AW100" s="73" t="str">
        <f aca="false">IF(SUM($AU100)&lt;=0,"",ROUND($AU100*$AT100,0))</f>
        <v/>
      </c>
      <c r="AX100" s="73" t="str">
        <f aca="false">IF(SUM($AE100,$AD100,$AU100)&lt;=0,"",SUM($AE100,$AD100,$AU100))</f>
        <v/>
      </c>
      <c r="AY100" s="73" t="n">
        <f aca="false">_xlfn.IFNA(INDEX(Cascade!$BD:$BD,MATCH($E100,Cascade!$E:$E,0)),"")</f>
        <v>7</v>
      </c>
      <c r="AZ100" s="118" t="str">
        <f aca="false">IFERROR(IF(SUM($AE100)&lt;=0,"",$AE100/$AY100),"")</f>
        <v/>
      </c>
      <c r="BA100" s="118" t="str">
        <f aca="false">IFERROR(IF(SUM($AU100)&lt;=0,"",$AU100/$AY100),"")</f>
        <v/>
      </c>
      <c r="BB100" s="118" t="n">
        <f aca="false">_xlfn.IFNA(INDEX(Cascade!$BL:$BL,MATCH($E100,Cascade!$E:$E,0)),"")</f>
        <v>0.285714285714286</v>
      </c>
      <c r="BC100" s="118" t="n">
        <f aca="false">_xlfn.IFNA(INDEX(Cascade!$BO:$BO,MATCH($E100,Cascade!$E:$E,0)),"")</f>
        <v>-3049.14285714286</v>
      </c>
      <c r="BD100" s="118" t="n">
        <f aca="false">_xlfn.IFNA(INDEX(Cascade!$BR:$BR,MATCH($E100,Cascade!$E:$E,0)),"")</f>
        <v>8449.85714285714</v>
      </c>
    </row>
    <row r="101" customFormat="false" ht="15" hidden="false" customHeight="false" outlineLevel="0" collapsed="false">
      <c r="A101" s="0" t="s">
        <v>150</v>
      </c>
      <c r="B101" s="0" t="s">
        <v>117</v>
      </c>
      <c r="C101" s="0" t="s">
        <v>75</v>
      </c>
      <c r="D101" s="0" t="s">
        <v>56</v>
      </c>
      <c r="E101" s="0" t="str">
        <f aca="false">B101&amp;"|"&amp;C101&amp;"|"&amp;D101</f>
        <v>Quthing [#SNU] [HuwCoDZG0FY]|35-39|Female</v>
      </c>
      <c r="F101" s="73" t="n">
        <f aca="false">_xlfn.IFNA(INDEX(Cascade!$F:$F,MATCH($E101,Cascade!$E:$E,0)),"")</f>
        <v>3061</v>
      </c>
      <c r="G101" s="73" t="n">
        <f aca="false">_xlfn.IFNA(INDEX(Cascade!$H:$H,MATCH($E101,Cascade!$E:$E,0)),"")</f>
        <v>1543</v>
      </c>
      <c r="H101" s="118" t="n">
        <f aca="false">_xlfn.IFNA(INDEX(Cascade!$J:$J,MATCH($E101,Cascade!$E:$E,0)),"")</f>
        <v>0.5040283</v>
      </c>
      <c r="I101" s="73" t="n">
        <f aca="false">_xlfn.IFNA(INDEX(Cascade!$P:$P,MATCH($E101,Cascade!$E:$E,0)),"")</f>
        <v>893</v>
      </c>
      <c r="J101" s="118" t="n">
        <f aca="false">_xlfn.IFNA(INDEX(Cascade!$Y:$Y,MATCH($E101,Cascade!$E:$E,0)),"")</f>
        <v>0.578742709008425</v>
      </c>
      <c r="K101" s="75" t="str">
        <f aca="false">_xlfn.IFNA(ROUND(INDEX(Spectrum!$N:$N,MATCH(RIGHT($B101,13)&amp;"|"&amp;$C101&amp;"|"&amp;$D101&amp;"|"&amp;K$14&amp;"|"&amp;"CY2021Q3",Spectrum!$Q:$Q,0)),0),"")</f>
        <v/>
      </c>
      <c r="L101" s="75" t="str">
        <f aca="false">_xlfn.IFNA(ROUND(INDEX(Spectrum!$N:$N,MATCH(RIGHT($B101,13)&amp;"|"&amp;$C101&amp;"|"&amp;$D101&amp;"|"&amp;L$14&amp;"|"&amp;"CY2021Q3",Spectrum!$Q:$Q,0)),0),"")</f>
        <v/>
      </c>
      <c r="M101" s="75" t="str">
        <f aca="false">_xlfn.IFNA(ROUND(INDEX(Spectrum!$N:$N,MATCH(RIGHT($B101,13)&amp;"|"&amp;$C101&amp;"|"&amp;$D101&amp;"|"&amp;M$14&amp;"|"&amp;"CY2021Q3",Spectrum!$Q:$Q,0)),0),"")</f>
        <v/>
      </c>
      <c r="N101" s="75" t="str">
        <f aca="false">_xlfn.IFNA(ROUND(INDEX(Spectrum!$N:$N,MATCH(RIGHT($B101,13)&amp;"|"&amp;$C101&amp;"|"&amp;$D101&amp;"|"&amp;N$14&amp;"|"&amp;"CY2021Q3",Spectrum!$Q:$Q,0)),0),"")</f>
        <v/>
      </c>
      <c r="O101" s="75" t="str">
        <f aca="false">_xlfn.IFNA(ROUND(INDEX(Spectrum!$N:$N,MATCH(RIGHT($B101,13)&amp;"|"&amp;$C101&amp;"|"&amp;$D101&amp;"|"&amp;O$14&amp;"|"&amp;"CY2021Q3",Spectrum!$Q:$Q,0)),0),"")</f>
        <v/>
      </c>
      <c r="P101" s="75" t="str">
        <f aca="false">_xlfn.IFNA(ROUND(INDEX(Spectrum!$N:$N,MATCH(RIGHT($B101,13)&amp;"|"&amp;$C101&amp;"|"&amp;$D101&amp;"|"&amp;P$14&amp;"|"&amp;"CY2021Q3",Spectrum!$Q:$Q,0)),0),"")</f>
        <v/>
      </c>
      <c r="Q101" s="75" t="str">
        <f aca="false">_xlfn.IFNA(ROUND(INDEX(Spectrum!$N:$N,MATCH(RIGHT($B101,13)&amp;"|"&amp;$C101&amp;"|"&amp;$D101&amp;"|"&amp;Q$14&amp;"|"&amp;"CY2021Q3",Spectrum!$Q:$Q,0)),0),"")</f>
        <v/>
      </c>
      <c r="R101" s="73" t="n">
        <v>12</v>
      </c>
      <c r="S101" s="118" t="n">
        <f aca="false">IF(SUM($R101)&lt;=0,"",0%)</f>
        <v>0</v>
      </c>
      <c r="T101" s="75" t="n">
        <f aca="false">IF(SUM($R101)&lt;=0,"",ROUND(MIN($R101,$K101)*(1+$S101),0))</f>
        <v>12</v>
      </c>
      <c r="U101" s="118" t="n">
        <f aca="false">IF(SUM($K101)=0,IF(SUM($R101)=0,"",1),MIN(SUM($R101)/SUM($K101),1))</f>
        <v>1</v>
      </c>
      <c r="V101" s="118" t="n">
        <f aca="false">$U101</f>
        <v>1</v>
      </c>
      <c r="W101" s="75" t="n">
        <f aca="false">IF(SUM($T101)=0,"",ROUND(SUM($T101)/IF(SUM($V101)=0,1,SUM($V101)),0))</f>
        <v>12</v>
      </c>
      <c r="X101" s="118" t="n">
        <f aca="false">1</f>
        <v>1</v>
      </c>
      <c r="Y101" s="118" t="n">
        <v>28</v>
      </c>
      <c r="Z101" s="118" t="n">
        <f aca="false">IF(OR(SUM($K101)&lt;=0,SUM($L101)&lt;=0),IF(SUM($Y101)&lt;=0,"",$Y101),SUM($L101)/$K101)</f>
        <v>28</v>
      </c>
      <c r="AA101" s="118" t="n">
        <v>42</v>
      </c>
      <c r="AB101" s="118" t="n">
        <f aca="false">IF(OR((SUM($K101)-SUM($L101))&lt;=0,SUM($M101)&lt;=0),IF(SUM($AA101)&lt;=0,"",$AA101),SUM($M101)/($K101-SUM($L101)))</f>
        <v>42</v>
      </c>
      <c r="AC101" s="73" t="n">
        <f aca="false">IF(SUM($T101)&lt;=0,"",ROUND(SUM($T101)*$X101,0))</f>
        <v>12</v>
      </c>
      <c r="AD101" s="75" t="n">
        <f aca="false">IF(SUM($AC101)&lt;=0,"",ROUND($AC101*SUM($Z101),0))</f>
        <v>336</v>
      </c>
      <c r="AE101" s="75" t="n">
        <f aca="false">IF(SUM($T101)&lt;=0,"",ROUND(($AC101-$AD101)*SUM($AB101),0))</f>
        <v>-13608</v>
      </c>
      <c r="AF101" s="75" t="n">
        <f aca="false">IF(SUM($AC101)&lt;=0,"",ROUND($AC101-$AD101-$AE101,0))</f>
        <v>13284</v>
      </c>
      <c r="AG101" s="73" t="n">
        <f aca="false">IF(SUM($W101)&lt;=0,"",ROUND(SUM($W101)*$X101,0))</f>
        <v>12</v>
      </c>
      <c r="AH101" s="75" t="n">
        <f aca="false">IF(SUM($AG101)&lt;=0,"",ROUND($AG101*SUM($Z101),0))</f>
        <v>336</v>
      </c>
      <c r="AI101" s="75" t="n">
        <f aca="false">IF(SUM($W101)&lt;=0,"",ROUND(($AG101-$AH101)*SUM($AB101),0))</f>
        <v>-13608</v>
      </c>
      <c r="AJ101" s="75" t="n">
        <f aca="false">IF(SUM($AG101)&lt;=0,"",ROUND($AG101-$AH101-$AI101,0))</f>
        <v>13284</v>
      </c>
      <c r="AK101" s="118" t="n">
        <f aca="false">_xlfn.IFNA(INDEX(Cascade!$BA:$BA,MATCH($E101,Cascade!$E:$E,0)),"")</f>
        <v>0.95</v>
      </c>
      <c r="AL101" s="75" t="n">
        <f aca="false">IF(SUM($AD101)&lt;=0,"",$AD101)</f>
        <v>336</v>
      </c>
      <c r="AM101" s="75" t="str">
        <f aca="false">IF(SUM($AE101)&lt;=0,"",ROUND($AE101*$AK101,0))</f>
        <v/>
      </c>
      <c r="AN101" s="75" t="n">
        <f aca="false">IF(AND(SUM($AH101)=0,SUM($AI101)=0),"",SUM($AH101)+SUM($AI101))</f>
        <v>-13272</v>
      </c>
      <c r="AO101" s="75" t="n">
        <f aca="false">IF(SUM($AH101)&lt;=0,"",$AH101)</f>
        <v>336</v>
      </c>
      <c r="AP101" s="75" t="str">
        <f aca="false">IF(SUM($AI101)&lt;=0,"",ROUND($AI101*$AK101,0))</f>
        <v/>
      </c>
      <c r="AQ101" s="73" t="str">
        <f aca="false">IF(SUM($T101,$AD101,$AE101)&lt;=0,"",MAX(SUM($T101,-$AD101,-$AE101),$AF101))</f>
        <v/>
      </c>
      <c r="AR101" s="118"/>
      <c r="AS101" s="118" t="str">
        <f aca="false">IF(SUM(AR101)=0,"",$AR101)</f>
        <v/>
      </c>
      <c r="AT101" s="118" t="n">
        <f aca="false">0.95</f>
        <v>0.95</v>
      </c>
      <c r="AU101" s="75" t="str">
        <f aca="false">IF(SUM($AQ101)&lt;=0,"",ROUND(SUM($AQ101)*SUM($AS101),0))</f>
        <v/>
      </c>
      <c r="AV101" s="75" t="str">
        <f aca="false">IF(SUM($AQ101)&lt;=0,"",$AQ101-$AU101)</f>
        <v/>
      </c>
      <c r="AW101" s="73" t="str">
        <f aca="false">IF(SUM($AU101)&lt;=0,"",ROUND($AU101*$AT101,0))</f>
        <v/>
      </c>
      <c r="AX101" s="73" t="str">
        <f aca="false">IF(SUM($AE101,$AD101,$AU101)&lt;=0,"",SUM($AE101,$AD101,$AU101))</f>
        <v/>
      </c>
      <c r="AY101" s="73" t="n">
        <f aca="false">_xlfn.IFNA(INDEX(Cascade!$BD:$BD,MATCH($E101,Cascade!$E:$E,0)),"")</f>
        <v>21</v>
      </c>
      <c r="AZ101" s="118" t="str">
        <f aca="false">IFERROR(IF(SUM($AE101)&lt;=0,"",$AE101/$AY101),"")</f>
        <v/>
      </c>
      <c r="BA101" s="118" t="str">
        <f aca="false">IFERROR(IF(SUM($AU101)&lt;=0,"",$AU101/$AY101),"")</f>
        <v/>
      </c>
      <c r="BB101" s="118" t="n">
        <f aca="false">_xlfn.IFNA(INDEX(Cascade!$BL:$BL,MATCH($E101,Cascade!$E:$E,0)),"")</f>
        <v>0.285714285714286</v>
      </c>
      <c r="BC101" s="118" t="n">
        <f aca="false">_xlfn.IFNA(INDEX(Cascade!$BO:$BO,MATCH($E101,Cascade!$E:$E,0)),"")</f>
        <v>-17.7142857142857</v>
      </c>
      <c r="BD101" s="118" t="n">
        <f aca="false">_xlfn.IFNA(INDEX(Cascade!$BR:$BR,MATCH($E101,Cascade!$E:$E,0)),"")</f>
        <v>666.428571428571</v>
      </c>
    </row>
    <row r="102" customFormat="false" ht="15" hidden="false" customHeight="false" outlineLevel="0" collapsed="false">
      <c r="A102" s="0" t="s">
        <v>150</v>
      </c>
      <c r="B102" s="0" t="s">
        <v>117</v>
      </c>
      <c r="C102" s="0" t="s">
        <v>77</v>
      </c>
      <c r="D102" s="0" t="s">
        <v>56</v>
      </c>
      <c r="E102" s="0" t="str">
        <f aca="false">B102&amp;"|"&amp;C102&amp;"|"&amp;D102</f>
        <v>Quthing [#SNU] [HuwCoDZG0FY]|40-44|Female</v>
      </c>
      <c r="F102" s="73" t="n">
        <f aca="false">_xlfn.IFNA(INDEX(Cascade!$F:$F,MATCH($E102,Cascade!$E:$E,0)),"")</f>
        <v>2225</v>
      </c>
      <c r="G102" s="73" t="n">
        <f aca="false">_xlfn.IFNA(INDEX(Cascade!$H:$H,MATCH($E102,Cascade!$E:$E,0)),"")</f>
        <v>1192</v>
      </c>
      <c r="H102" s="118" t="n">
        <f aca="false">_xlfn.IFNA(INDEX(Cascade!$J:$J,MATCH($E102,Cascade!$E:$E,0)),"")</f>
        <v>0.5357978</v>
      </c>
      <c r="I102" s="73" t="n">
        <f aca="false">_xlfn.IFNA(INDEX(Cascade!$P:$P,MATCH($E102,Cascade!$E:$E,0)),"")</f>
        <v>904</v>
      </c>
      <c r="J102" s="118" t="n">
        <f aca="false">_xlfn.IFNA(INDEX(Cascade!$Y:$Y,MATCH($E102,Cascade!$E:$E,0)),"")</f>
        <v>0.758389261744966</v>
      </c>
      <c r="K102" s="75" t="str">
        <f aca="false">_xlfn.IFNA(ROUND(INDEX(Spectrum!$N:$N,MATCH(RIGHT($B102,13)&amp;"|"&amp;$C102&amp;"|"&amp;$D102&amp;"|"&amp;K$14&amp;"|"&amp;"CY2021Q3",Spectrum!$Q:$Q,0)),0),"")</f>
        <v/>
      </c>
      <c r="L102" s="75" t="str">
        <f aca="false">_xlfn.IFNA(ROUND(INDEX(Spectrum!$N:$N,MATCH(RIGHT($B102,13)&amp;"|"&amp;$C102&amp;"|"&amp;$D102&amp;"|"&amp;L$14&amp;"|"&amp;"CY2021Q3",Spectrum!$Q:$Q,0)),0),"")</f>
        <v/>
      </c>
      <c r="M102" s="75" t="str">
        <f aca="false">_xlfn.IFNA(ROUND(INDEX(Spectrum!$N:$N,MATCH(RIGHT($B102,13)&amp;"|"&amp;$C102&amp;"|"&amp;$D102&amp;"|"&amp;M$14&amp;"|"&amp;"CY2021Q3",Spectrum!$Q:$Q,0)),0),"")</f>
        <v/>
      </c>
      <c r="N102" s="75" t="str">
        <f aca="false">_xlfn.IFNA(ROUND(INDEX(Spectrum!$N:$N,MATCH(RIGHT($B102,13)&amp;"|"&amp;$C102&amp;"|"&amp;$D102&amp;"|"&amp;N$14&amp;"|"&amp;"CY2021Q3",Spectrum!$Q:$Q,0)),0),"")</f>
        <v/>
      </c>
      <c r="O102" s="75" t="str">
        <f aca="false">_xlfn.IFNA(ROUND(INDEX(Spectrum!$N:$N,MATCH(RIGHT($B102,13)&amp;"|"&amp;$C102&amp;"|"&amp;$D102&amp;"|"&amp;O$14&amp;"|"&amp;"CY2021Q3",Spectrum!$Q:$Q,0)),0),"")</f>
        <v/>
      </c>
      <c r="P102" s="75" t="str">
        <f aca="false">_xlfn.IFNA(ROUND(INDEX(Spectrum!$N:$N,MATCH(RIGHT($B102,13)&amp;"|"&amp;$C102&amp;"|"&amp;$D102&amp;"|"&amp;P$14&amp;"|"&amp;"CY2021Q3",Spectrum!$Q:$Q,0)),0),"")</f>
        <v/>
      </c>
      <c r="Q102" s="75" t="str">
        <f aca="false">_xlfn.IFNA(ROUND(INDEX(Spectrum!$N:$N,MATCH(RIGHT($B102,13)&amp;"|"&amp;$C102&amp;"|"&amp;$D102&amp;"|"&amp;Q$14&amp;"|"&amp;"CY2021Q3",Spectrum!$Q:$Q,0)),0),"")</f>
        <v/>
      </c>
      <c r="R102" s="73" t="n">
        <v>27</v>
      </c>
      <c r="S102" s="118" t="n">
        <f aca="false">IF(SUM($R102)&lt;=0,"",0%)</f>
        <v>0</v>
      </c>
      <c r="T102" s="75" t="n">
        <f aca="false">IF(SUM($R102)&lt;=0,"",ROUND(MIN($R102,$K102)*(1+$S102),0))</f>
        <v>27</v>
      </c>
      <c r="U102" s="118" t="n">
        <f aca="false">IF(SUM($K102)=0,IF(SUM($R102)=0,"",1),MIN(SUM($R102)/SUM($K102),1))</f>
        <v>1</v>
      </c>
      <c r="V102" s="118" t="n">
        <f aca="false">$U102</f>
        <v>1</v>
      </c>
      <c r="W102" s="75" t="n">
        <f aca="false">IF(SUM($T102)=0,"",ROUND(SUM($T102)/IF(SUM($V102)=0,1,SUM($V102)),0))</f>
        <v>27</v>
      </c>
      <c r="X102" s="118" t="n">
        <f aca="false">1</f>
        <v>1</v>
      </c>
      <c r="Y102" s="118" t="n">
        <v>27</v>
      </c>
      <c r="Z102" s="118" t="n">
        <f aca="false">IF(OR(SUM($K102)&lt;=0,SUM($L102)&lt;=0),IF(SUM($Y102)&lt;=0,"",$Y102),SUM($L102)/$K102)</f>
        <v>27</v>
      </c>
      <c r="AA102" s="118" t="n">
        <v>21</v>
      </c>
      <c r="AB102" s="118" t="n">
        <f aca="false">IF(OR((SUM($K102)-SUM($L102))&lt;=0,SUM($M102)&lt;=0),IF(SUM($AA102)&lt;=0,"",$AA102),SUM($M102)/($K102-SUM($L102)))</f>
        <v>21</v>
      </c>
      <c r="AC102" s="73" t="n">
        <f aca="false">IF(SUM($T102)&lt;=0,"",ROUND(SUM($T102)*$X102,0))</f>
        <v>27</v>
      </c>
      <c r="AD102" s="75" t="n">
        <f aca="false">IF(SUM($AC102)&lt;=0,"",ROUND($AC102*SUM($Z102),0))</f>
        <v>729</v>
      </c>
      <c r="AE102" s="75" t="n">
        <f aca="false">IF(SUM($T102)&lt;=0,"",ROUND(($AC102-$AD102)*SUM($AB102),0))</f>
        <v>-14742</v>
      </c>
      <c r="AF102" s="75" t="n">
        <f aca="false">IF(SUM($AC102)&lt;=0,"",ROUND($AC102-$AD102-$AE102,0))</f>
        <v>14040</v>
      </c>
      <c r="AG102" s="73" t="n">
        <f aca="false">IF(SUM($W102)&lt;=0,"",ROUND(SUM($W102)*$X102,0))</f>
        <v>27</v>
      </c>
      <c r="AH102" s="75" t="n">
        <f aca="false">IF(SUM($AG102)&lt;=0,"",ROUND($AG102*SUM($Z102),0))</f>
        <v>729</v>
      </c>
      <c r="AI102" s="75" t="n">
        <f aca="false">IF(SUM($W102)&lt;=0,"",ROUND(($AG102-$AH102)*SUM($AB102),0))</f>
        <v>-14742</v>
      </c>
      <c r="AJ102" s="75" t="n">
        <f aca="false">IF(SUM($AG102)&lt;=0,"",ROUND($AG102-$AH102-$AI102,0))</f>
        <v>14040</v>
      </c>
      <c r="AK102" s="118" t="n">
        <f aca="false">_xlfn.IFNA(INDEX(Cascade!$BA:$BA,MATCH($E102,Cascade!$E:$E,0)),"")</f>
        <v>0.95</v>
      </c>
      <c r="AL102" s="75" t="n">
        <f aca="false">IF(SUM($AD102)&lt;=0,"",$AD102)</f>
        <v>729</v>
      </c>
      <c r="AM102" s="75" t="str">
        <f aca="false">IF(SUM($AE102)&lt;=0,"",ROUND($AE102*$AK102,0))</f>
        <v/>
      </c>
      <c r="AN102" s="75" t="n">
        <f aca="false">IF(AND(SUM($AH102)=0,SUM($AI102)=0),"",SUM($AH102)+SUM($AI102))</f>
        <v>-14013</v>
      </c>
      <c r="AO102" s="75" t="n">
        <f aca="false">IF(SUM($AH102)&lt;=0,"",$AH102)</f>
        <v>729</v>
      </c>
      <c r="AP102" s="75" t="str">
        <f aca="false">IF(SUM($AI102)&lt;=0,"",ROUND($AI102*$AK102,0))</f>
        <v/>
      </c>
      <c r="AQ102" s="73" t="str">
        <f aca="false">IF(SUM($T102,$AD102,$AE102)&lt;=0,"",MAX(SUM($T102,-$AD102,-$AE102),$AF102))</f>
        <v/>
      </c>
      <c r="AR102" s="118"/>
      <c r="AS102" s="118" t="str">
        <f aca="false">IF(SUM(AR102)=0,"",$AR102)</f>
        <v/>
      </c>
      <c r="AT102" s="118" t="n">
        <f aca="false">0.95</f>
        <v>0.95</v>
      </c>
      <c r="AU102" s="75" t="str">
        <f aca="false">IF(SUM($AQ102)&lt;=0,"",ROUND(SUM($AQ102)*SUM($AS102),0))</f>
        <v/>
      </c>
      <c r="AV102" s="75" t="str">
        <f aca="false">IF(SUM($AQ102)&lt;=0,"",$AQ102-$AU102)</f>
        <v/>
      </c>
      <c r="AW102" s="73" t="str">
        <f aca="false">IF(SUM($AU102)&lt;=0,"",ROUND($AU102*$AT102,0))</f>
        <v/>
      </c>
      <c r="AX102" s="73" t="str">
        <f aca="false">IF(SUM($AE102,$AD102,$AU102)&lt;=0,"",SUM($AE102,$AD102,$AU102))</f>
        <v/>
      </c>
      <c r="AY102" s="73" t="n">
        <f aca="false">_xlfn.IFNA(INDEX(Cascade!$BD:$BD,MATCH($E102,Cascade!$E:$E,0)),"")</f>
        <v>4</v>
      </c>
      <c r="AZ102" s="118" t="str">
        <f aca="false">IFERROR(IF(SUM($AE102)&lt;=0,"",$AE102/$AY102),"")</f>
        <v/>
      </c>
      <c r="BA102" s="118" t="str">
        <f aca="false">IFERROR(IF(SUM($AU102)&lt;=0,"",$AU102/$AY102),"")</f>
        <v/>
      </c>
      <c r="BB102" s="118" t="n">
        <f aca="false">_xlfn.IFNA(INDEX(Cascade!$BL:$BL,MATCH($E102,Cascade!$E:$E,0)),"")</f>
        <v>0.5</v>
      </c>
      <c r="BC102" s="118" t="n">
        <f aca="false">_xlfn.IFNA(INDEX(Cascade!$BO:$BO,MATCH($E102,Cascade!$E:$E,0)),"")</f>
        <v>-2866.5</v>
      </c>
      <c r="BD102" s="118" t="n">
        <f aca="false">_xlfn.IFNA(INDEX(Cascade!$BR:$BR,MATCH($E102,Cascade!$E:$E,0)),"")</f>
        <v>6552.5</v>
      </c>
    </row>
    <row r="103" customFormat="false" ht="15" hidden="false" customHeight="false" outlineLevel="0" collapsed="false">
      <c r="A103" s="0" t="s">
        <v>150</v>
      </c>
      <c r="B103" s="0" t="s">
        <v>117</v>
      </c>
      <c r="C103" s="0" t="s">
        <v>80</v>
      </c>
      <c r="D103" s="0" t="s">
        <v>56</v>
      </c>
      <c r="E103" s="0" t="str">
        <f aca="false">B103&amp;"|"&amp;C103&amp;"|"&amp;D103</f>
        <v>Quthing [#SNU] [HuwCoDZG0FY]|45-49|Female</v>
      </c>
      <c r="F103" s="73" t="n">
        <f aca="false">_xlfn.IFNA(INDEX(Cascade!$F:$F,MATCH($E103,Cascade!$E:$E,0)),"")</f>
        <v>1837</v>
      </c>
      <c r="G103" s="73" t="n">
        <f aca="false">_xlfn.IFNA(INDEX(Cascade!$H:$H,MATCH($E103,Cascade!$E:$E,0)),"")</f>
        <v>917</v>
      </c>
      <c r="H103" s="118" t="n">
        <f aca="false">_xlfn.IFNA(INDEX(Cascade!$J:$J,MATCH($E103,Cascade!$E:$E,0)),"")</f>
        <v>0.4994024</v>
      </c>
      <c r="I103" s="73" t="n">
        <f aca="false">_xlfn.IFNA(INDEX(Cascade!$P:$P,MATCH($E103,Cascade!$E:$E,0)),"")</f>
        <v>783</v>
      </c>
      <c r="J103" s="118" t="n">
        <f aca="false">_xlfn.IFNA(INDEX(Cascade!$Y:$Y,MATCH($E103,Cascade!$E:$E,0)),"")</f>
        <v>0.853871319520174</v>
      </c>
      <c r="K103" s="75" t="str">
        <f aca="false">_xlfn.IFNA(ROUND(INDEX(Spectrum!$N:$N,MATCH(RIGHT($B103,13)&amp;"|"&amp;$C103&amp;"|"&amp;$D103&amp;"|"&amp;K$14&amp;"|"&amp;"CY2021Q3",Spectrum!$Q:$Q,0)),0),"")</f>
        <v/>
      </c>
      <c r="L103" s="75" t="str">
        <f aca="false">_xlfn.IFNA(ROUND(INDEX(Spectrum!$N:$N,MATCH(RIGHT($B103,13)&amp;"|"&amp;$C103&amp;"|"&amp;$D103&amp;"|"&amp;L$14&amp;"|"&amp;"CY2021Q3",Spectrum!$Q:$Q,0)),0),"")</f>
        <v/>
      </c>
      <c r="M103" s="75" t="str">
        <f aca="false">_xlfn.IFNA(ROUND(INDEX(Spectrum!$N:$N,MATCH(RIGHT($B103,13)&amp;"|"&amp;$C103&amp;"|"&amp;$D103&amp;"|"&amp;M$14&amp;"|"&amp;"CY2021Q3",Spectrum!$Q:$Q,0)),0),"")</f>
        <v/>
      </c>
      <c r="N103" s="75" t="str">
        <f aca="false">_xlfn.IFNA(ROUND(INDEX(Spectrum!$N:$N,MATCH(RIGHT($B103,13)&amp;"|"&amp;$C103&amp;"|"&amp;$D103&amp;"|"&amp;N$14&amp;"|"&amp;"CY2021Q3",Spectrum!$Q:$Q,0)),0),"")</f>
        <v/>
      </c>
      <c r="O103" s="75" t="str">
        <f aca="false">_xlfn.IFNA(ROUND(INDEX(Spectrum!$N:$N,MATCH(RIGHT($B103,13)&amp;"|"&amp;$C103&amp;"|"&amp;$D103&amp;"|"&amp;O$14&amp;"|"&amp;"CY2021Q3",Spectrum!$Q:$Q,0)),0),"")</f>
        <v/>
      </c>
      <c r="P103" s="75" t="str">
        <f aca="false">_xlfn.IFNA(ROUND(INDEX(Spectrum!$N:$N,MATCH(RIGHT($B103,13)&amp;"|"&amp;$C103&amp;"|"&amp;$D103&amp;"|"&amp;P$14&amp;"|"&amp;"CY2021Q3",Spectrum!$Q:$Q,0)),0),"")</f>
        <v/>
      </c>
      <c r="Q103" s="75" t="str">
        <f aca="false">_xlfn.IFNA(ROUND(INDEX(Spectrum!$N:$N,MATCH(RIGHT($B103,13)&amp;"|"&amp;$C103&amp;"|"&amp;$D103&amp;"|"&amp;Q$14&amp;"|"&amp;"CY2021Q3",Spectrum!$Q:$Q,0)),0),"")</f>
        <v/>
      </c>
      <c r="R103" s="73" t="n">
        <v>21</v>
      </c>
      <c r="S103" s="118" t="n">
        <f aca="false">IF(SUM($R103)&lt;=0,"",0%)</f>
        <v>0</v>
      </c>
      <c r="T103" s="75" t="n">
        <f aca="false">IF(SUM($R103)&lt;=0,"",ROUND(MIN($R103,$K103)*(1+$S103),0))</f>
        <v>21</v>
      </c>
      <c r="U103" s="118" t="n">
        <f aca="false">IF(SUM($K103)=0,IF(SUM($R103)=0,"",1),MIN(SUM($R103)/SUM($K103),1))</f>
        <v>1</v>
      </c>
      <c r="V103" s="118" t="n">
        <f aca="false">$U103</f>
        <v>1</v>
      </c>
      <c r="W103" s="75" t="n">
        <f aca="false">IF(SUM($T103)=0,"",ROUND(SUM($T103)/IF(SUM($V103)=0,1,SUM($V103)),0))</f>
        <v>21</v>
      </c>
      <c r="X103" s="118" t="n">
        <f aca="false">1</f>
        <v>1</v>
      </c>
      <c r="Y103" s="118" t="n">
        <v>3</v>
      </c>
      <c r="Z103" s="118" t="n">
        <f aca="false">IF(OR(SUM($K103)&lt;=0,SUM($L103)&lt;=0),IF(SUM($Y103)&lt;=0,"",$Y103),SUM($L103)/$K103)</f>
        <v>3</v>
      </c>
      <c r="AA103" s="118"/>
      <c r="AB103" s="118" t="str">
        <f aca="false">IF(OR((SUM($K103)-SUM($L103))&lt;=0,SUM($M103)&lt;=0),IF(SUM($AA103)&lt;=0,"",$AA103),SUM($M103)/($K103-SUM($L103)))</f>
        <v/>
      </c>
      <c r="AC103" s="73" t="n">
        <f aca="false">IF(SUM($T103)&lt;=0,"",ROUND(SUM($T103)*$X103,0))</f>
        <v>21</v>
      </c>
      <c r="AD103" s="75" t="n">
        <f aca="false">IF(SUM($AC103)&lt;=0,"",ROUND($AC103*SUM($Z103),0))</f>
        <v>63</v>
      </c>
      <c r="AE103" s="75" t="n">
        <f aca="false">IF(SUM($T103)&lt;=0,"",ROUND(($AC103-$AD103)*SUM($AB103),0))</f>
        <v>-0</v>
      </c>
      <c r="AF103" s="75" t="n">
        <f aca="false">IF(SUM($AC103)&lt;=0,"",ROUND($AC103-$AD103-$AE103,0))</f>
        <v>-42</v>
      </c>
      <c r="AG103" s="73" t="n">
        <f aca="false">IF(SUM($W103)&lt;=0,"",ROUND(SUM($W103)*$X103,0))</f>
        <v>21</v>
      </c>
      <c r="AH103" s="75" t="n">
        <f aca="false">IF(SUM($AG103)&lt;=0,"",ROUND($AG103*SUM($Z103),0))</f>
        <v>63</v>
      </c>
      <c r="AI103" s="75" t="n">
        <f aca="false">IF(SUM($W103)&lt;=0,"",ROUND(($AG103-$AH103)*SUM($AB103),0))</f>
        <v>-0</v>
      </c>
      <c r="AJ103" s="75" t="n">
        <f aca="false">IF(SUM($AG103)&lt;=0,"",ROUND($AG103-$AH103-$AI103,0))</f>
        <v>-42</v>
      </c>
      <c r="AK103" s="118" t="n">
        <f aca="false">_xlfn.IFNA(INDEX(Cascade!$BA:$BA,MATCH($E103,Cascade!$E:$E,0)),"")</f>
        <v>0.95</v>
      </c>
      <c r="AL103" s="75" t="n">
        <f aca="false">IF(SUM($AD103)&lt;=0,"",$AD103)</f>
        <v>63</v>
      </c>
      <c r="AM103" s="75" t="str">
        <f aca="false">IF(SUM($AE103)&lt;=0,"",ROUND($AE103*$AK103,0))</f>
        <v/>
      </c>
      <c r="AN103" s="75" t="n">
        <f aca="false">IF(AND(SUM($AH103)=0,SUM($AI103)=0),"",SUM($AH103)+SUM($AI103))</f>
        <v>63</v>
      </c>
      <c r="AO103" s="75" t="n">
        <f aca="false">IF(SUM($AH103)&lt;=0,"",$AH103)</f>
        <v>63</v>
      </c>
      <c r="AP103" s="75" t="str">
        <f aca="false">IF(SUM($AI103)&lt;=0,"",ROUND($AI103*$AK103,0))</f>
        <v/>
      </c>
      <c r="AQ103" s="73" t="n">
        <f aca="false">IF(SUM($T103,$AD103,$AE103)&lt;=0,"",MAX(SUM($T103,-$AD103,-$AE103),$AF103))</f>
        <v>-42</v>
      </c>
      <c r="AR103" s="118"/>
      <c r="AS103" s="118" t="str">
        <f aca="false">IF(SUM(AR103)=0,"",$AR103)</f>
        <v/>
      </c>
      <c r="AT103" s="118" t="n">
        <f aca="false">0.95</f>
        <v>0.95</v>
      </c>
      <c r="AU103" s="75" t="str">
        <f aca="false">IF(SUM($AQ103)&lt;=0,"",ROUND(SUM($AQ103)*SUM($AS103),0))</f>
        <v/>
      </c>
      <c r="AV103" s="75" t="str">
        <f aca="false">IF(SUM($AQ103)&lt;=0,"",$AQ103-$AU103)</f>
        <v/>
      </c>
      <c r="AW103" s="73" t="str">
        <f aca="false">IF(SUM($AU103)&lt;=0,"",ROUND($AU103*$AT103,0))</f>
        <v/>
      </c>
      <c r="AX103" s="73" t="n">
        <f aca="false">IF(SUM($AE103,$AD103,$AU103)&lt;=0,"",SUM($AE103,$AD103,$AU103))</f>
        <v>63</v>
      </c>
      <c r="AY103" s="73" t="n">
        <f aca="false">_xlfn.IFNA(INDEX(Cascade!$BD:$BD,MATCH($E103,Cascade!$E:$E,0)),"")</f>
        <v>3</v>
      </c>
      <c r="AZ103" s="118" t="str">
        <f aca="false">IFERROR(IF(SUM($AE103)&lt;=0,"",$AE103/$AY103),"")</f>
        <v/>
      </c>
      <c r="BA103" s="118" t="str">
        <f aca="false">IFERROR(IF(SUM($AU103)&lt;=0,"",$AU103/$AY103),"")</f>
        <v/>
      </c>
      <c r="BB103" s="118" t="n">
        <f aca="false">_xlfn.IFNA(INDEX(Cascade!$BL:$BL,MATCH($E103,Cascade!$E:$E,0)),"")</f>
        <v>0.666666666666667</v>
      </c>
      <c r="BC103" s="118" t="n">
        <f aca="false">_xlfn.IFNA(INDEX(Cascade!$BO:$BO,MATCH($E103,Cascade!$E:$E,0)),"")</f>
        <v>-183.333333333333</v>
      </c>
      <c r="BD103" s="118" t="n">
        <f aca="false">_xlfn.IFNA(INDEX(Cascade!$BR:$BR,MATCH($E103,Cascade!$E:$E,0)),"")</f>
        <v>183.666666666667</v>
      </c>
    </row>
    <row r="104" customFormat="false" ht="15" hidden="false" customHeight="false" outlineLevel="0" collapsed="false">
      <c r="A104" s="0" t="s">
        <v>150</v>
      </c>
      <c r="B104" s="0" t="s">
        <v>117</v>
      </c>
      <c r="C104" s="0" t="s">
        <v>86</v>
      </c>
      <c r="D104" s="0" t="s">
        <v>56</v>
      </c>
      <c r="E104" s="0" t="str">
        <f aca="false">B104&amp;"|"&amp;C104&amp;"|"&amp;D104</f>
        <v>Quthing [#SNU] [HuwCoDZG0FY]|50+|Female</v>
      </c>
      <c r="F104" s="73" t="n">
        <f aca="false">_xlfn.IFNA(INDEX(Cascade!$F:$F,MATCH($E104,Cascade!$E:$E,0)),"")</f>
        <v>11665</v>
      </c>
      <c r="G104" s="73" t="n">
        <f aca="false">_xlfn.IFNA(INDEX(Cascade!$H:$H,MATCH($E104,Cascade!$E:$E,0)),"")</f>
        <v>3011</v>
      </c>
      <c r="H104" s="118" t="n">
        <f aca="false">_xlfn.IFNA(INDEX(Cascade!$J:$J,MATCH($E104,Cascade!$E:$E,0)),"")</f>
        <v>0.2581027</v>
      </c>
      <c r="I104" s="73" t="n">
        <f aca="false">_xlfn.IFNA(INDEX(Cascade!$P:$P,MATCH($E104,Cascade!$E:$E,0)),"")</f>
        <v>2127</v>
      </c>
      <c r="J104" s="118" t="n">
        <f aca="false">_xlfn.IFNA(INDEX(Cascade!$Y:$Y,MATCH($E104,Cascade!$E:$E,0)),"")</f>
        <v>0.706409830621056</v>
      </c>
      <c r="K104" s="75" t="str">
        <f aca="false">_xlfn.IFNA(ROUND(INDEX(Spectrum!$N:$N,MATCH(RIGHT($B104,13)&amp;"|"&amp;$C104&amp;"|"&amp;$D104&amp;"|"&amp;K$14&amp;"|"&amp;"CY2021Q3",Spectrum!$Q:$Q,0)),0),"")</f>
        <v/>
      </c>
      <c r="L104" s="75" t="str">
        <f aca="false">_xlfn.IFNA(ROUND(INDEX(Spectrum!$N:$N,MATCH(RIGHT($B104,13)&amp;"|"&amp;$C104&amp;"|"&amp;$D104&amp;"|"&amp;L$14&amp;"|"&amp;"CY2021Q3",Spectrum!$Q:$Q,0)),0),"")</f>
        <v/>
      </c>
      <c r="M104" s="75" t="str">
        <f aca="false">_xlfn.IFNA(ROUND(INDEX(Spectrum!$N:$N,MATCH(RIGHT($B104,13)&amp;"|"&amp;$C104&amp;"|"&amp;$D104&amp;"|"&amp;M$14&amp;"|"&amp;"CY2021Q3",Spectrum!$Q:$Q,0)),0),"")</f>
        <v/>
      </c>
      <c r="N104" s="75" t="str">
        <f aca="false">_xlfn.IFNA(ROUND(INDEX(Spectrum!$N:$N,MATCH(RIGHT($B104,13)&amp;"|"&amp;$C104&amp;"|"&amp;$D104&amp;"|"&amp;N$14&amp;"|"&amp;"CY2021Q3",Spectrum!$Q:$Q,0)),0),"")</f>
        <v/>
      </c>
      <c r="O104" s="75" t="str">
        <f aca="false">_xlfn.IFNA(ROUND(INDEX(Spectrum!$N:$N,MATCH(RIGHT($B104,13)&amp;"|"&amp;$C104&amp;"|"&amp;$D104&amp;"|"&amp;O$14&amp;"|"&amp;"CY2021Q3",Spectrum!$Q:$Q,0)),0),"")</f>
        <v/>
      </c>
      <c r="P104" s="75" t="str">
        <f aca="false">_xlfn.IFNA(ROUND(INDEX(Spectrum!$N:$N,MATCH(RIGHT($B104,13)&amp;"|"&amp;$C104&amp;"|"&amp;$D104&amp;"|"&amp;P$14&amp;"|"&amp;"CY2021Q3",Spectrum!$Q:$Q,0)),0),"")</f>
        <v/>
      </c>
      <c r="Q104" s="75" t="str">
        <f aca="false">_xlfn.IFNA(ROUND(INDEX(Spectrum!$N:$N,MATCH(RIGHT($B104,13)&amp;"|"&amp;$C104&amp;"|"&amp;$D104&amp;"|"&amp;Q$14&amp;"|"&amp;"CY2021Q3",Spectrum!$Q:$Q,0)),0),"")</f>
        <v/>
      </c>
      <c r="R104" s="73"/>
      <c r="S104" s="118" t="str">
        <f aca="false">IF(SUM($R104)&lt;=0,"",0%)</f>
        <v/>
      </c>
      <c r="T104" s="75" t="str">
        <f aca="false">IF(SUM($R104)&lt;=0,"",ROUND(MIN($R104,$K104)*(1+$S104),0))</f>
        <v/>
      </c>
      <c r="U104" s="118" t="str">
        <f aca="false">IF(SUM($K104)=0,IF(SUM($R104)=0,"",1),MIN(SUM($R104)/SUM($K104),1))</f>
        <v/>
      </c>
      <c r="V104" s="118" t="str">
        <f aca="false">$U104</f>
        <v/>
      </c>
      <c r="W104" s="75" t="str">
        <f aca="false">IF(SUM($T104)=0,"",ROUND(SUM($T104)/IF(SUM($V104)=0,1,SUM($V104)),0))</f>
        <v/>
      </c>
      <c r="X104" s="118" t="n">
        <f aca="false">1</f>
        <v>1</v>
      </c>
      <c r="Y104" s="118"/>
      <c r="Z104" s="118" t="str">
        <f aca="false">IF(OR(SUM($K104)&lt;=0,SUM($L104)&lt;=0),IF(SUM($Y104)&lt;=0,"",$Y104),SUM($L104)/$K104)</f>
        <v/>
      </c>
      <c r="AA104" s="118"/>
      <c r="AB104" s="118" t="str">
        <f aca="false">IF(OR((SUM($K104)-SUM($L104))&lt;=0,SUM($M104)&lt;=0),IF(SUM($AA104)&lt;=0,"",$AA104),SUM($M104)/($K104-SUM($L104)))</f>
        <v/>
      </c>
      <c r="AC104" s="73" t="str">
        <f aca="false">IF(SUM($T104)&lt;=0,"",ROUND(SUM($T104)*$X104,0))</f>
        <v/>
      </c>
      <c r="AD104" s="75" t="str">
        <f aca="false">IF(SUM($AC104)&lt;=0,"",ROUND($AC104*SUM($Z104),0))</f>
        <v/>
      </c>
      <c r="AE104" s="75" t="str">
        <f aca="false">IF(SUM($T104)&lt;=0,"",ROUND(($AC104-$AD104)*SUM($AB104),0))</f>
        <v/>
      </c>
      <c r="AF104" s="75" t="str">
        <f aca="false">IF(SUM($AC104)&lt;=0,"",ROUND($AC104-$AD104-$AE104,0))</f>
        <v/>
      </c>
      <c r="AG104" s="73" t="str">
        <f aca="false">IF(SUM($W104)&lt;=0,"",ROUND(SUM($W104)*$X104,0))</f>
        <v/>
      </c>
      <c r="AH104" s="75" t="str">
        <f aca="false">IF(SUM($AG104)&lt;=0,"",ROUND($AG104*SUM($Z104),0))</f>
        <v/>
      </c>
      <c r="AI104" s="75" t="str">
        <f aca="false">IF(SUM($W104)&lt;=0,"",ROUND(($AG104-$AH104)*SUM($AB104),0))</f>
        <v/>
      </c>
      <c r="AJ104" s="75" t="str">
        <f aca="false">IF(SUM($AG104)&lt;=0,"",ROUND($AG104-$AH104-$AI104,0))</f>
        <v/>
      </c>
      <c r="AK104" s="118" t="n">
        <f aca="false">_xlfn.IFNA(INDEX(Cascade!$BA:$BA,MATCH($E104,Cascade!$E:$E,0)),"")</f>
        <v>0.95</v>
      </c>
      <c r="AL104" s="75" t="str">
        <f aca="false">IF(SUM($AD104)&lt;=0,"",$AD104)</f>
        <v/>
      </c>
      <c r="AM104" s="75" t="str">
        <f aca="false">IF(SUM($AE104)&lt;=0,"",ROUND($AE104*$AK104,0))</f>
        <v/>
      </c>
      <c r="AN104" s="75" t="str">
        <f aca="false">IF(AND(SUM($AH104)=0,SUM($AI104)=0),"",SUM($AH104)+SUM($AI104))</f>
        <v/>
      </c>
      <c r="AO104" s="75" t="str">
        <f aca="false">IF(SUM($AH104)&lt;=0,"",$AH104)</f>
        <v/>
      </c>
      <c r="AP104" s="75" t="str">
        <f aca="false">IF(SUM($AI104)&lt;=0,"",ROUND($AI104*$AK104,0))</f>
        <v/>
      </c>
      <c r="AQ104" s="73" t="str">
        <f aca="false">IF(SUM($T104,$AD104,$AE104)&lt;=0,"",MAX(SUM($T104,-$AD104,-$AE104),$AF104))</f>
        <v/>
      </c>
      <c r="AR104" s="118"/>
      <c r="AS104" s="118" t="str">
        <f aca="false">IF(SUM(AR104)=0,"",$AR104)</f>
        <v/>
      </c>
      <c r="AT104" s="118" t="n">
        <f aca="false">0.95</f>
        <v>0.95</v>
      </c>
      <c r="AU104" s="75" t="str">
        <f aca="false">IF(SUM($AQ104)&lt;=0,"",ROUND(SUM($AQ104)*SUM($AS104),0))</f>
        <v/>
      </c>
      <c r="AV104" s="75" t="str">
        <f aca="false">IF(SUM($AQ104)&lt;=0,"",$AQ104-$AU104)</f>
        <v/>
      </c>
      <c r="AW104" s="73" t="str">
        <f aca="false">IF(SUM($AU104)&lt;=0,"",ROUND($AU104*$AT104,0))</f>
        <v/>
      </c>
      <c r="AX104" s="73" t="str">
        <f aca="false">IF(SUM($AE104,$AD104,$AU104)&lt;=0,"",SUM($AE104,$AD104,$AU104))</f>
        <v/>
      </c>
      <c r="AY104" s="73" t="n">
        <f aca="false">_xlfn.IFNA(INDEX(Cascade!$BD:$BD,MATCH($E104,Cascade!$E:$E,0)),"")</f>
        <v>1</v>
      </c>
      <c r="AZ104" s="118" t="str">
        <f aca="false">IFERROR(IF(SUM($AE104)&lt;=0,"",$AE104/$AY104),"")</f>
        <v/>
      </c>
      <c r="BA104" s="118" t="str">
        <f aca="false">IFERROR(IF(SUM($AU104)&lt;=0,"",$AU104/$AY104),"")</f>
        <v/>
      </c>
      <c r="BB104" s="118" t="n">
        <f aca="false">_xlfn.IFNA(INDEX(Cascade!$BL:$BL,MATCH($E104,Cascade!$E:$E,0)),"")</f>
        <v>1</v>
      </c>
      <c r="BC104" s="118" t="str">
        <f aca="false">_xlfn.IFNA(INDEX(Cascade!$BO:$BO,MATCH($E104,Cascade!$E:$E,0)),"")</f>
        <v/>
      </c>
      <c r="BD104" s="118" t="str">
        <f aca="false">_xlfn.IFNA(INDEX(Cascade!$BR:$BR,MATCH($E104,Cascade!$E:$E,0)),"")</f>
        <v/>
      </c>
    </row>
    <row r="105" customFormat="false" ht="15" hidden="false" customHeight="false" outlineLevel="0" collapsed="false">
      <c r="A105" s="0" t="s">
        <v>151</v>
      </c>
      <c r="B105" s="0" t="s">
        <v>101</v>
      </c>
      <c r="C105" s="0" t="s">
        <v>61</v>
      </c>
      <c r="D105" s="0" t="s">
        <v>56</v>
      </c>
      <c r="E105" s="0" t="str">
        <f aca="false">B105&amp;"|"&amp;C105&amp;"|"&amp;D105</f>
        <v>Thaba Tseka [#SNU] [jyhIrCoB31x]|10-14|Female</v>
      </c>
      <c r="F105" s="73" t="n">
        <f aca="false">_xlfn.IFNA(INDEX(Cascade!$F:$F,MATCH($E105,Cascade!$E:$E,0)),"")</f>
        <v>8337</v>
      </c>
      <c r="G105" s="73" t="n">
        <f aca="false">_xlfn.IFNA(INDEX(Cascade!$H:$H,MATCH($E105,Cascade!$E:$E,0)),"")</f>
        <v>196</v>
      </c>
      <c r="H105" s="118" t="n">
        <f aca="false">_xlfn.IFNA(INDEX(Cascade!$J:$J,MATCH($E105,Cascade!$E:$E,0)),"")</f>
        <v>0.0235236</v>
      </c>
      <c r="I105" s="73" t="n">
        <f aca="false">_xlfn.IFNA(INDEX(Cascade!$P:$P,MATCH($E105,Cascade!$E:$E,0)),"")</f>
        <v>157</v>
      </c>
      <c r="J105" s="118" t="n">
        <f aca="false">_xlfn.IFNA(INDEX(Cascade!$Y:$Y,MATCH($E105,Cascade!$E:$E,0)),"")</f>
        <v>0.801020408163265</v>
      </c>
      <c r="K105" s="75" t="str">
        <f aca="false">_xlfn.IFNA(ROUND(INDEX(Spectrum!$N:$N,MATCH(RIGHT($B105,13)&amp;"|"&amp;$C105&amp;"|"&amp;$D105&amp;"|"&amp;K$14&amp;"|"&amp;"CY2021Q3",Spectrum!$Q:$Q,0)),0),"")</f>
        <v/>
      </c>
      <c r="L105" s="75" t="str">
        <f aca="false">_xlfn.IFNA(ROUND(INDEX(Spectrum!$N:$N,MATCH(RIGHT($B105,13)&amp;"|"&amp;$C105&amp;"|"&amp;$D105&amp;"|"&amp;L$14&amp;"|"&amp;"CY2021Q3",Spectrum!$Q:$Q,0)),0),"")</f>
        <v/>
      </c>
      <c r="M105" s="75" t="str">
        <f aca="false">_xlfn.IFNA(ROUND(INDEX(Spectrum!$N:$N,MATCH(RIGHT($B105,13)&amp;"|"&amp;$C105&amp;"|"&amp;$D105&amp;"|"&amp;M$14&amp;"|"&amp;"CY2021Q3",Spectrum!$Q:$Q,0)),0),"")</f>
        <v/>
      </c>
      <c r="N105" s="75" t="str">
        <f aca="false">_xlfn.IFNA(ROUND(INDEX(Spectrum!$N:$N,MATCH(RIGHT($B105,13)&amp;"|"&amp;$C105&amp;"|"&amp;$D105&amp;"|"&amp;N$14&amp;"|"&amp;"CY2021Q3",Spectrum!$Q:$Q,0)),0),"")</f>
        <v/>
      </c>
      <c r="O105" s="75" t="str">
        <f aca="false">_xlfn.IFNA(ROUND(INDEX(Spectrum!$N:$N,MATCH(RIGHT($B105,13)&amp;"|"&amp;$C105&amp;"|"&amp;$D105&amp;"|"&amp;O$14&amp;"|"&amp;"CY2021Q3",Spectrum!$Q:$Q,0)),0),"")</f>
        <v/>
      </c>
      <c r="P105" s="75" t="str">
        <f aca="false">_xlfn.IFNA(ROUND(INDEX(Spectrum!$N:$N,MATCH(RIGHT($B105,13)&amp;"|"&amp;$C105&amp;"|"&amp;$D105&amp;"|"&amp;P$14&amp;"|"&amp;"CY2021Q3",Spectrum!$Q:$Q,0)),0),"")</f>
        <v/>
      </c>
      <c r="Q105" s="75" t="str">
        <f aca="false">_xlfn.IFNA(ROUND(INDEX(Spectrum!$N:$N,MATCH(RIGHT($B105,13)&amp;"|"&amp;$C105&amp;"|"&amp;$D105&amp;"|"&amp;Q$14&amp;"|"&amp;"CY2021Q3",Spectrum!$Q:$Q,0)),0),"")</f>
        <v/>
      </c>
      <c r="R105" s="73"/>
      <c r="S105" s="118" t="str">
        <f aca="false">IF(SUM($R105)&lt;=0,"",0%)</f>
        <v/>
      </c>
      <c r="T105" s="75" t="str">
        <f aca="false">IF(SUM($R105)&lt;=0,"",ROUND(MIN($R105,$K105)*(1+$S105),0))</f>
        <v/>
      </c>
      <c r="U105" s="118" t="str">
        <f aca="false">IF(SUM($K105)=0,IF(SUM($R105)=0,"",1),MIN(SUM($R105)/SUM($K105),1))</f>
        <v/>
      </c>
      <c r="V105" s="118" t="str">
        <f aca="false">$U105</f>
        <v/>
      </c>
      <c r="W105" s="75" t="str">
        <f aca="false">IF(SUM($T105)=0,"",ROUND(SUM($T105)/IF(SUM($V105)=0,1,SUM($V105)),0))</f>
        <v/>
      </c>
      <c r="X105" s="118" t="n">
        <f aca="false">1</f>
        <v>1</v>
      </c>
      <c r="Y105" s="118"/>
      <c r="Z105" s="118" t="str">
        <f aca="false">IF(OR(SUM($K105)&lt;=0,SUM($L105)&lt;=0),IF(SUM($Y105)&lt;=0,"",$Y105),SUM($L105)/$K105)</f>
        <v/>
      </c>
      <c r="AA105" s="118"/>
      <c r="AB105" s="118" t="str">
        <f aca="false">IF(OR((SUM($K105)-SUM($L105))&lt;=0,SUM($M105)&lt;=0),IF(SUM($AA105)&lt;=0,"",$AA105),SUM($M105)/($K105-SUM($L105)))</f>
        <v/>
      </c>
      <c r="AC105" s="73" t="str">
        <f aca="false">IF(SUM($T105)&lt;=0,"",ROUND(SUM($T105)*$X105,0))</f>
        <v/>
      </c>
      <c r="AD105" s="75" t="str">
        <f aca="false">IF(SUM($AC105)&lt;=0,"",ROUND($AC105*SUM($Z105),0))</f>
        <v/>
      </c>
      <c r="AE105" s="75" t="str">
        <f aca="false">IF(SUM($T105)&lt;=0,"",ROUND(($AC105-$AD105)*SUM($AB105),0))</f>
        <v/>
      </c>
      <c r="AF105" s="75" t="str">
        <f aca="false">IF(SUM($AC105)&lt;=0,"",ROUND($AC105-$AD105-$AE105,0))</f>
        <v/>
      </c>
      <c r="AG105" s="73" t="str">
        <f aca="false">IF(SUM($W105)&lt;=0,"",ROUND(SUM($W105)*$X105,0))</f>
        <v/>
      </c>
      <c r="AH105" s="75" t="str">
        <f aca="false">IF(SUM($AG105)&lt;=0,"",ROUND($AG105*SUM($Z105),0))</f>
        <v/>
      </c>
      <c r="AI105" s="75" t="str">
        <f aca="false">IF(SUM($W105)&lt;=0,"",ROUND(($AG105-$AH105)*SUM($AB105),0))</f>
        <v/>
      </c>
      <c r="AJ105" s="75" t="str">
        <f aca="false">IF(SUM($AG105)&lt;=0,"",ROUND($AG105-$AH105-$AI105,0))</f>
        <v/>
      </c>
      <c r="AK105" s="118" t="n">
        <f aca="false">_xlfn.IFNA(INDEX(Cascade!$BA:$BA,MATCH($E105,Cascade!$E:$E,0)),"")</f>
        <v>0.95</v>
      </c>
      <c r="AL105" s="75" t="str">
        <f aca="false">IF(SUM($AD105)&lt;=0,"",$AD105)</f>
        <v/>
      </c>
      <c r="AM105" s="75" t="str">
        <f aca="false">IF(SUM($AE105)&lt;=0,"",ROUND($AE105*$AK105,0))</f>
        <v/>
      </c>
      <c r="AN105" s="75" t="str">
        <f aca="false">IF(AND(SUM($AH105)=0,SUM($AI105)=0),"",SUM($AH105)+SUM($AI105))</f>
        <v/>
      </c>
      <c r="AO105" s="75" t="str">
        <f aca="false">IF(SUM($AH105)&lt;=0,"",$AH105)</f>
        <v/>
      </c>
      <c r="AP105" s="75" t="str">
        <f aca="false">IF(SUM($AI105)&lt;=0,"",ROUND($AI105*$AK105,0))</f>
        <v/>
      </c>
      <c r="AQ105" s="73" t="str">
        <f aca="false">IF(SUM($T105,$AD105,$AE105)&lt;=0,"",MAX(SUM($T105,-$AD105,-$AE105),$AF105))</f>
        <v/>
      </c>
      <c r="AR105" s="118"/>
      <c r="AS105" s="118" t="str">
        <f aca="false">IF(SUM(AR105)=0,"",$AR105)</f>
        <v/>
      </c>
      <c r="AT105" s="118" t="n">
        <f aca="false">0.95</f>
        <v>0.95</v>
      </c>
      <c r="AU105" s="75" t="str">
        <f aca="false">IF(SUM($AQ105)&lt;=0,"",ROUND(SUM($AQ105)*SUM($AS105),0))</f>
        <v/>
      </c>
      <c r="AV105" s="75" t="str">
        <f aca="false">IF(SUM($AQ105)&lt;=0,"",$AQ105-$AU105)</f>
        <v/>
      </c>
      <c r="AW105" s="73" t="str">
        <f aca="false">IF(SUM($AU105)&lt;=0,"",ROUND($AU105*$AT105,0))</f>
        <v/>
      </c>
      <c r="AX105" s="73" t="str">
        <f aca="false">IF(SUM($AE105,$AD105,$AU105)&lt;=0,"",SUM($AE105,$AD105,$AU105))</f>
        <v/>
      </c>
      <c r="AY105" s="73" t="n">
        <f aca="false">_xlfn.IFNA(INDEX(Cascade!$BD:$BD,MATCH($E105,Cascade!$E:$E,0)),"")</f>
        <v>1</v>
      </c>
      <c r="AZ105" s="118" t="str">
        <f aca="false">IFERROR(IF(SUM($AE105)&lt;=0,"",$AE105/$AY105),"")</f>
        <v/>
      </c>
      <c r="BA105" s="118" t="str">
        <f aca="false">IFERROR(IF(SUM($AU105)&lt;=0,"",$AU105/$AY105),"")</f>
        <v/>
      </c>
      <c r="BB105" s="118" t="n">
        <f aca="false">_xlfn.IFNA(INDEX(Cascade!$BL:$BL,MATCH($E105,Cascade!$E:$E,0)),"")</f>
        <v>1</v>
      </c>
      <c r="BC105" s="118" t="str">
        <f aca="false">_xlfn.IFNA(INDEX(Cascade!$BO:$BO,MATCH($E105,Cascade!$E:$E,0)),"")</f>
        <v/>
      </c>
      <c r="BD105" s="118" t="str">
        <f aca="false">_xlfn.IFNA(INDEX(Cascade!$BR:$BR,MATCH($E105,Cascade!$E:$E,0)),"")</f>
        <v/>
      </c>
    </row>
    <row r="106" customFormat="false" ht="15" hidden="false" customHeight="false" outlineLevel="0" collapsed="false">
      <c r="A106" s="0" t="s">
        <v>151</v>
      </c>
      <c r="B106" s="0" t="s">
        <v>101</v>
      </c>
      <c r="C106" s="0" t="s">
        <v>63</v>
      </c>
      <c r="D106" s="0" t="s">
        <v>56</v>
      </c>
      <c r="E106" s="0" t="str">
        <f aca="false">B106&amp;"|"&amp;C106&amp;"|"&amp;D106</f>
        <v>Thaba Tseka [#SNU] [jyhIrCoB31x]|15-19|Female</v>
      </c>
      <c r="F106" s="73" t="n">
        <f aca="false">_xlfn.IFNA(INDEX(Cascade!$F:$F,MATCH($E106,Cascade!$E:$E,0)),"")</f>
        <v>6910</v>
      </c>
      <c r="G106" s="73" t="n">
        <f aca="false">_xlfn.IFNA(INDEX(Cascade!$H:$H,MATCH($E106,Cascade!$E:$E,0)),"")</f>
        <v>304</v>
      </c>
      <c r="H106" s="118" t="n">
        <f aca="false">_xlfn.IFNA(INDEX(Cascade!$J:$J,MATCH($E106,Cascade!$E:$E,0)),"")</f>
        <v>0.0439496</v>
      </c>
      <c r="I106" s="73" t="n">
        <f aca="false">_xlfn.IFNA(INDEX(Cascade!$P:$P,MATCH($E106,Cascade!$E:$E,0)),"")</f>
        <v>221</v>
      </c>
      <c r="J106" s="118" t="n">
        <f aca="false">_xlfn.IFNA(INDEX(Cascade!$Y:$Y,MATCH($E106,Cascade!$E:$E,0)),"")</f>
        <v>0.726973684210526</v>
      </c>
      <c r="K106" s="75" t="str">
        <f aca="false">_xlfn.IFNA(ROUND(INDEX(Spectrum!$N:$N,MATCH(RIGHT($B106,13)&amp;"|"&amp;$C106&amp;"|"&amp;$D106&amp;"|"&amp;K$14&amp;"|"&amp;"CY2021Q3",Spectrum!$Q:$Q,0)),0),"")</f>
        <v/>
      </c>
      <c r="L106" s="75" t="str">
        <f aca="false">_xlfn.IFNA(ROUND(INDEX(Spectrum!$N:$N,MATCH(RIGHT($B106,13)&amp;"|"&amp;$C106&amp;"|"&amp;$D106&amp;"|"&amp;L$14&amp;"|"&amp;"CY2021Q3",Spectrum!$Q:$Q,0)),0),"")</f>
        <v/>
      </c>
      <c r="M106" s="75" t="str">
        <f aca="false">_xlfn.IFNA(ROUND(INDEX(Spectrum!$N:$N,MATCH(RIGHT($B106,13)&amp;"|"&amp;$C106&amp;"|"&amp;$D106&amp;"|"&amp;M$14&amp;"|"&amp;"CY2021Q3",Spectrum!$Q:$Q,0)),0),"")</f>
        <v/>
      </c>
      <c r="N106" s="75" t="str">
        <f aca="false">_xlfn.IFNA(ROUND(INDEX(Spectrum!$N:$N,MATCH(RIGHT($B106,13)&amp;"|"&amp;$C106&amp;"|"&amp;$D106&amp;"|"&amp;N$14&amp;"|"&amp;"CY2021Q3",Spectrum!$Q:$Q,0)),0),"")</f>
        <v/>
      </c>
      <c r="O106" s="75" t="str">
        <f aca="false">_xlfn.IFNA(ROUND(INDEX(Spectrum!$N:$N,MATCH(RIGHT($B106,13)&amp;"|"&amp;$C106&amp;"|"&amp;$D106&amp;"|"&amp;O$14&amp;"|"&amp;"CY2021Q3",Spectrum!$Q:$Q,0)),0),"")</f>
        <v/>
      </c>
      <c r="P106" s="75" t="str">
        <f aca="false">_xlfn.IFNA(ROUND(INDEX(Spectrum!$N:$N,MATCH(RIGHT($B106,13)&amp;"|"&amp;$C106&amp;"|"&amp;$D106&amp;"|"&amp;P$14&amp;"|"&amp;"CY2021Q3",Spectrum!$Q:$Q,0)),0),"")</f>
        <v/>
      </c>
      <c r="Q106" s="75" t="str">
        <f aca="false">_xlfn.IFNA(ROUND(INDEX(Spectrum!$N:$N,MATCH(RIGHT($B106,13)&amp;"|"&amp;$C106&amp;"|"&amp;$D106&amp;"|"&amp;Q$14&amp;"|"&amp;"CY2021Q3",Spectrum!$Q:$Q,0)),0),"")</f>
        <v/>
      </c>
      <c r="R106" s="73" t="n">
        <v>14</v>
      </c>
      <c r="S106" s="118" t="n">
        <f aca="false">IF(SUM($R106)&lt;=0,"",0%)</f>
        <v>0</v>
      </c>
      <c r="T106" s="75" t="n">
        <f aca="false">IF(SUM($R106)&lt;=0,"",ROUND(MIN($R106,$K106)*(1+$S106),0))</f>
        <v>14</v>
      </c>
      <c r="U106" s="118" t="n">
        <f aca="false">IF(SUM($K106)=0,IF(SUM($R106)=0,"",1),MIN(SUM($R106)/SUM($K106),1))</f>
        <v>1</v>
      </c>
      <c r="V106" s="118" t="n">
        <f aca="false">$U106</f>
        <v>1</v>
      </c>
      <c r="W106" s="75" t="n">
        <f aca="false">IF(SUM($T106)=0,"",ROUND(SUM($T106)/IF(SUM($V106)=0,1,SUM($V106)),0))</f>
        <v>14</v>
      </c>
      <c r="X106" s="118" t="n">
        <f aca="false">1</f>
        <v>1</v>
      </c>
      <c r="Y106" s="118" t="n">
        <v>19</v>
      </c>
      <c r="Z106" s="118" t="n">
        <f aca="false">IF(OR(SUM($K106)&lt;=0,SUM($L106)&lt;=0),IF(SUM($Y106)&lt;=0,"",$Y106),SUM($L106)/$K106)</f>
        <v>19</v>
      </c>
      <c r="AA106" s="118" t="n">
        <v>34</v>
      </c>
      <c r="AB106" s="118" t="n">
        <f aca="false">IF(OR((SUM($K106)-SUM($L106))&lt;=0,SUM($M106)&lt;=0),IF(SUM($AA106)&lt;=0,"",$AA106),SUM($M106)/($K106-SUM($L106)))</f>
        <v>34</v>
      </c>
      <c r="AC106" s="73" t="n">
        <f aca="false">IF(SUM($T106)&lt;=0,"",ROUND(SUM($T106)*$X106,0))</f>
        <v>14</v>
      </c>
      <c r="AD106" s="75" t="n">
        <f aca="false">IF(SUM($AC106)&lt;=0,"",ROUND($AC106*SUM($Z106),0))</f>
        <v>266</v>
      </c>
      <c r="AE106" s="75" t="n">
        <f aca="false">IF(SUM($T106)&lt;=0,"",ROUND(($AC106-$AD106)*SUM($AB106),0))</f>
        <v>-8568</v>
      </c>
      <c r="AF106" s="75" t="n">
        <f aca="false">IF(SUM($AC106)&lt;=0,"",ROUND($AC106-$AD106-$AE106,0))</f>
        <v>8316</v>
      </c>
      <c r="AG106" s="73" t="n">
        <f aca="false">IF(SUM($W106)&lt;=0,"",ROUND(SUM($W106)*$X106,0))</f>
        <v>14</v>
      </c>
      <c r="AH106" s="75" t="n">
        <f aca="false">IF(SUM($AG106)&lt;=0,"",ROUND($AG106*SUM($Z106),0))</f>
        <v>266</v>
      </c>
      <c r="AI106" s="75" t="n">
        <f aca="false">IF(SUM($W106)&lt;=0,"",ROUND(($AG106-$AH106)*SUM($AB106),0))</f>
        <v>-8568</v>
      </c>
      <c r="AJ106" s="75" t="n">
        <f aca="false">IF(SUM($AG106)&lt;=0,"",ROUND($AG106-$AH106-$AI106,0))</f>
        <v>8316</v>
      </c>
      <c r="AK106" s="118" t="n">
        <f aca="false">_xlfn.IFNA(INDEX(Cascade!$BA:$BA,MATCH($E106,Cascade!$E:$E,0)),"")</f>
        <v>0.95</v>
      </c>
      <c r="AL106" s="75" t="n">
        <f aca="false">IF(SUM($AD106)&lt;=0,"",$AD106)</f>
        <v>266</v>
      </c>
      <c r="AM106" s="75" t="str">
        <f aca="false">IF(SUM($AE106)&lt;=0,"",ROUND($AE106*$AK106,0))</f>
        <v/>
      </c>
      <c r="AN106" s="75" t="n">
        <f aca="false">IF(AND(SUM($AH106)=0,SUM($AI106)=0),"",SUM($AH106)+SUM($AI106))</f>
        <v>-8302</v>
      </c>
      <c r="AO106" s="75" t="n">
        <f aca="false">IF(SUM($AH106)&lt;=0,"",$AH106)</f>
        <v>266</v>
      </c>
      <c r="AP106" s="75" t="str">
        <f aca="false">IF(SUM($AI106)&lt;=0,"",ROUND($AI106*$AK106,0))</f>
        <v/>
      </c>
      <c r="AQ106" s="73" t="str">
        <f aca="false">IF(SUM($T106,$AD106,$AE106)&lt;=0,"",MAX(SUM($T106,-$AD106,-$AE106),$AF106))</f>
        <v/>
      </c>
      <c r="AR106" s="118"/>
      <c r="AS106" s="118" t="str">
        <f aca="false">IF(SUM(AR106)=0,"",$AR106)</f>
        <v/>
      </c>
      <c r="AT106" s="118" t="n">
        <f aca="false">0.95</f>
        <v>0.95</v>
      </c>
      <c r="AU106" s="75" t="str">
        <f aca="false">IF(SUM($AQ106)&lt;=0,"",ROUND(SUM($AQ106)*SUM($AS106),0))</f>
        <v/>
      </c>
      <c r="AV106" s="75" t="str">
        <f aca="false">IF(SUM($AQ106)&lt;=0,"",$AQ106-$AU106)</f>
        <v/>
      </c>
      <c r="AW106" s="73" t="str">
        <f aca="false">IF(SUM($AU106)&lt;=0,"",ROUND($AU106*$AT106,0))</f>
        <v/>
      </c>
      <c r="AX106" s="73" t="str">
        <f aca="false">IF(SUM($AE106,$AD106,$AU106)&lt;=0,"",SUM($AE106,$AD106,$AU106))</f>
        <v/>
      </c>
      <c r="AY106" s="73" t="n">
        <f aca="false">_xlfn.IFNA(INDEX(Cascade!$BD:$BD,MATCH($E106,Cascade!$E:$E,0)),"")</f>
        <v>12</v>
      </c>
      <c r="AZ106" s="118" t="str">
        <f aca="false">IFERROR(IF(SUM($AE106)&lt;=0,"",$AE106/$AY106),"")</f>
        <v/>
      </c>
      <c r="BA106" s="118" t="str">
        <f aca="false">IFERROR(IF(SUM($AU106)&lt;=0,"",$AU106/$AY106),"")</f>
        <v/>
      </c>
      <c r="BB106" s="118" t="n">
        <f aca="false">_xlfn.IFNA(INDEX(Cascade!$BL:$BL,MATCH($E106,Cascade!$E:$E,0)),"")</f>
        <v>0.5</v>
      </c>
      <c r="BC106" s="118" t="str">
        <f aca="false">_xlfn.IFNA(INDEX(Cascade!$BO:$BO,MATCH($E106,Cascade!$E:$E,0)),"")</f>
        <v/>
      </c>
      <c r="BD106" s="118" t="n">
        <f aca="false">_xlfn.IFNA(INDEX(Cascade!$BR:$BR,MATCH($E106,Cascade!$E:$E,0)),"")</f>
        <v>714.5</v>
      </c>
    </row>
    <row r="107" customFormat="false" ht="15" hidden="false" customHeight="false" outlineLevel="0" collapsed="false">
      <c r="A107" s="0" t="s">
        <v>151</v>
      </c>
      <c r="B107" s="0" t="s">
        <v>101</v>
      </c>
      <c r="C107" s="0" t="s">
        <v>66</v>
      </c>
      <c r="D107" s="0" t="s">
        <v>56</v>
      </c>
      <c r="E107" s="0" t="str">
        <f aca="false">B107&amp;"|"&amp;C107&amp;"|"&amp;D107</f>
        <v>Thaba Tseka [#SNU] [jyhIrCoB31x]|20-24|Female</v>
      </c>
      <c r="F107" s="73" t="n">
        <f aca="false">_xlfn.IFNA(INDEX(Cascade!$F:$F,MATCH($E107,Cascade!$E:$E,0)),"")</f>
        <v>5495</v>
      </c>
      <c r="G107" s="73" t="n">
        <f aca="false">_xlfn.IFNA(INDEX(Cascade!$H:$H,MATCH($E107,Cascade!$E:$E,0)),"")</f>
        <v>711</v>
      </c>
      <c r="H107" s="118" t="n">
        <f aca="false">_xlfn.IFNA(INDEX(Cascade!$J:$J,MATCH($E107,Cascade!$E:$E,0)),"")</f>
        <v>0.1293446</v>
      </c>
      <c r="I107" s="73" t="n">
        <f aca="false">_xlfn.IFNA(INDEX(Cascade!$P:$P,MATCH($E107,Cascade!$E:$E,0)),"")</f>
        <v>474</v>
      </c>
      <c r="J107" s="118" t="n">
        <f aca="false">_xlfn.IFNA(INDEX(Cascade!$Y:$Y,MATCH($E107,Cascade!$E:$E,0)),"")</f>
        <v>0.666666666666667</v>
      </c>
      <c r="K107" s="75" t="str">
        <f aca="false">_xlfn.IFNA(ROUND(INDEX(Spectrum!$N:$N,MATCH(RIGHT($B107,13)&amp;"|"&amp;$C107&amp;"|"&amp;$D107&amp;"|"&amp;K$14&amp;"|"&amp;"CY2021Q3",Spectrum!$Q:$Q,0)),0),"")</f>
        <v/>
      </c>
      <c r="L107" s="75" t="str">
        <f aca="false">_xlfn.IFNA(ROUND(INDEX(Spectrum!$N:$N,MATCH(RIGHT($B107,13)&amp;"|"&amp;$C107&amp;"|"&amp;$D107&amp;"|"&amp;L$14&amp;"|"&amp;"CY2021Q3",Spectrum!$Q:$Q,0)),0),"")</f>
        <v/>
      </c>
      <c r="M107" s="75" t="str">
        <f aca="false">_xlfn.IFNA(ROUND(INDEX(Spectrum!$N:$N,MATCH(RIGHT($B107,13)&amp;"|"&amp;$C107&amp;"|"&amp;$D107&amp;"|"&amp;M$14&amp;"|"&amp;"CY2021Q3",Spectrum!$Q:$Q,0)),0),"")</f>
        <v/>
      </c>
      <c r="N107" s="75" t="str">
        <f aca="false">_xlfn.IFNA(ROUND(INDEX(Spectrum!$N:$N,MATCH(RIGHT($B107,13)&amp;"|"&amp;$C107&amp;"|"&amp;$D107&amp;"|"&amp;N$14&amp;"|"&amp;"CY2021Q3",Spectrum!$Q:$Q,0)),0),"")</f>
        <v/>
      </c>
      <c r="O107" s="75" t="str">
        <f aca="false">_xlfn.IFNA(ROUND(INDEX(Spectrum!$N:$N,MATCH(RIGHT($B107,13)&amp;"|"&amp;$C107&amp;"|"&amp;$D107&amp;"|"&amp;O$14&amp;"|"&amp;"CY2021Q3",Spectrum!$Q:$Q,0)),0),"")</f>
        <v/>
      </c>
      <c r="P107" s="75" t="str">
        <f aca="false">_xlfn.IFNA(ROUND(INDEX(Spectrum!$N:$N,MATCH(RIGHT($B107,13)&amp;"|"&amp;$C107&amp;"|"&amp;$D107&amp;"|"&amp;P$14&amp;"|"&amp;"CY2021Q3",Spectrum!$Q:$Q,0)),0),"")</f>
        <v/>
      </c>
      <c r="Q107" s="75" t="str">
        <f aca="false">_xlfn.IFNA(ROUND(INDEX(Spectrum!$N:$N,MATCH(RIGHT($B107,13)&amp;"|"&amp;$C107&amp;"|"&amp;$D107&amp;"|"&amp;Q$14&amp;"|"&amp;"CY2021Q3",Spectrum!$Q:$Q,0)),0),"")</f>
        <v/>
      </c>
      <c r="R107" s="73" t="n">
        <v>32</v>
      </c>
      <c r="S107" s="118" t="n">
        <f aca="false">IF(SUM($R107)&lt;=0,"",0%)</f>
        <v>0</v>
      </c>
      <c r="T107" s="75" t="n">
        <f aca="false">IF(SUM($R107)&lt;=0,"",ROUND(MIN($R107,$K107)*(1+$S107),0))</f>
        <v>32</v>
      </c>
      <c r="U107" s="118" t="n">
        <f aca="false">IF(SUM($K107)=0,IF(SUM($R107)=0,"",1),MIN(SUM($R107)/SUM($K107),1))</f>
        <v>1</v>
      </c>
      <c r="V107" s="118" t="n">
        <f aca="false">$U107</f>
        <v>1</v>
      </c>
      <c r="W107" s="75" t="n">
        <f aca="false">IF(SUM($T107)=0,"",ROUND(SUM($T107)/IF(SUM($V107)=0,1,SUM($V107)),0))</f>
        <v>32</v>
      </c>
      <c r="X107" s="118" t="n">
        <f aca="false">1</f>
        <v>1</v>
      </c>
      <c r="Y107" s="118" t="n">
        <v>43</v>
      </c>
      <c r="Z107" s="118" t="n">
        <f aca="false">IF(OR(SUM($K107)&lt;=0,SUM($L107)&lt;=0),IF(SUM($Y107)&lt;=0,"",$Y107),SUM($L107)/$K107)</f>
        <v>43</v>
      </c>
      <c r="AA107" s="118" t="n">
        <v>38</v>
      </c>
      <c r="AB107" s="118" t="n">
        <f aca="false">IF(OR((SUM($K107)-SUM($L107))&lt;=0,SUM($M107)&lt;=0),IF(SUM($AA107)&lt;=0,"",$AA107),SUM($M107)/($K107-SUM($L107)))</f>
        <v>38</v>
      </c>
      <c r="AC107" s="73" t="n">
        <f aca="false">IF(SUM($T107)&lt;=0,"",ROUND(SUM($T107)*$X107,0))</f>
        <v>32</v>
      </c>
      <c r="AD107" s="75" t="n">
        <f aca="false">IF(SUM($AC107)&lt;=0,"",ROUND($AC107*SUM($Z107),0))</f>
        <v>1376</v>
      </c>
      <c r="AE107" s="75" t="n">
        <f aca="false">IF(SUM($T107)&lt;=0,"",ROUND(($AC107-$AD107)*SUM($AB107),0))</f>
        <v>-51072</v>
      </c>
      <c r="AF107" s="75" t="n">
        <f aca="false">IF(SUM($AC107)&lt;=0,"",ROUND($AC107-$AD107-$AE107,0))</f>
        <v>49728</v>
      </c>
      <c r="AG107" s="73" t="n">
        <f aca="false">IF(SUM($W107)&lt;=0,"",ROUND(SUM($W107)*$X107,0))</f>
        <v>32</v>
      </c>
      <c r="AH107" s="75" t="n">
        <f aca="false">IF(SUM($AG107)&lt;=0,"",ROUND($AG107*SUM($Z107),0))</f>
        <v>1376</v>
      </c>
      <c r="AI107" s="75" t="n">
        <f aca="false">IF(SUM($W107)&lt;=0,"",ROUND(($AG107-$AH107)*SUM($AB107),0))</f>
        <v>-51072</v>
      </c>
      <c r="AJ107" s="75" t="n">
        <f aca="false">IF(SUM($AG107)&lt;=0,"",ROUND($AG107-$AH107-$AI107,0))</f>
        <v>49728</v>
      </c>
      <c r="AK107" s="118" t="n">
        <f aca="false">_xlfn.IFNA(INDEX(Cascade!$BA:$BA,MATCH($E107,Cascade!$E:$E,0)),"")</f>
        <v>0.95</v>
      </c>
      <c r="AL107" s="75" t="n">
        <f aca="false">IF(SUM($AD107)&lt;=0,"",$AD107)</f>
        <v>1376</v>
      </c>
      <c r="AM107" s="75" t="str">
        <f aca="false">IF(SUM($AE107)&lt;=0,"",ROUND($AE107*$AK107,0))</f>
        <v/>
      </c>
      <c r="AN107" s="75" t="n">
        <f aca="false">IF(AND(SUM($AH107)=0,SUM($AI107)=0),"",SUM($AH107)+SUM($AI107))</f>
        <v>-49696</v>
      </c>
      <c r="AO107" s="75" t="n">
        <f aca="false">IF(SUM($AH107)&lt;=0,"",$AH107)</f>
        <v>1376</v>
      </c>
      <c r="AP107" s="75" t="str">
        <f aca="false">IF(SUM($AI107)&lt;=0,"",ROUND($AI107*$AK107,0))</f>
        <v/>
      </c>
      <c r="AQ107" s="73" t="str">
        <f aca="false">IF(SUM($T107,$AD107,$AE107)&lt;=0,"",MAX(SUM($T107,-$AD107,-$AE107),$AF107))</f>
        <v/>
      </c>
      <c r="AR107" s="118"/>
      <c r="AS107" s="118" t="str">
        <f aca="false">IF(SUM(AR107)=0,"",$AR107)</f>
        <v/>
      </c>
      <c r="AT107" s="118" t="n">
        <f aca="false">0.95</f>
        <v>0.95</v>
      </c>
      <c r="AU107" s="75" t="str">
        <f aca="false">IF(SUM($AQ107)&lt;=0,"",ROUND(SUM($AQ107)*SUM($AS107),0))</f>
        <v/>
      </c>
      <c r="AV107" s="75" t="str">
        <f aca="false">IF(SUM($AQ107)&lt;=0,"",$AQ107-$AU107)</f>
        <v/>
      </c>
      <c r="AW107" s="73" t="str">
        <f aca="false">IF(SUM($AU107)&lt;=0,"",ROUND($AU107*$AT107,0))</f>
        <v/>
      </c>
      <c r="AX107" s="73" t="str">
        <f aca="false">IF(SUM($AE107,$AD107,$AU107)&lt;=0,"",SUM($AE107,$AD107,$AU107))</f>
        <v/>
      </c>
      <c r="AY107" s="73" t="n">
        <f aca="false">_xlfn.IFNA(INDEX(Cascade!$BD:$BD,MATCH($E107,Cascade!$E:$E,0)),"")</f>
        <v>4</v>
      </c>
      <c r="AZ107" s="118" t="str">
        <f aca="false">IFERROR(IF(SUM($AE107)&lt;=0,"",$AE107/$AY107),"")</f>
        <v/>
      </c>
      <c r="BA107" s="118" t="str">
        <f aca="false">IFERROR(IF(SUM($AU107)&lt;=0,"",$AU107/$AY107),"")</f>
        <v/>
      </c>
      <c r="BB107" s="118" t="n">
        <f aca="false">_xlfn.IFNA(INDEX(Cascade!$BL:$BL,MATCH($E107,Cascade!$E:$E,0)),"")</f>
        <v>0.25</v>
      </c>
      <c r="BC107" s="118" t="str">
        <f aca="false">_xlfn.IFNA(INDEX(Cascade!$BO:$BO,MATCH($E107,Cascade!$E:$E,0)),"")</f>
        <v/>
      </c>
      <c r="BD107" s="118" t="n">
        <f aca="false">_xlfn.IFNA(INDEX(Cascade!$BR:$BR,MATCH($E107,Cascade!$E:$E,0)),"")</f>
        <v>12768.75</v>
      </c>
    </row>
    <row r="108" customFormat="false" ht="15" hidden="false" customHeight="false" outlineLevel="0" collapsed="false">
      <c r="A108" s="0" t="s">
        <v>151</v>
      </c>
      <c r="B108" s="0" t="s">
        <v>101</v>
      </c>
      <c r="C108" s="0" t="s">
        <v>69</v>
      </c>
      <c r="D108" s="0" t="s">
        <v>56</v>
      </c>
      <c r="E108" s="0" t="str">
        <f aca="false">B108&amp;"|"&amp;C108&amp;"|"&amp;D108</f>
        <v>Thaba Tseka [#SNU] [jyhIrCoB31x]|25-29|Female</v>
      </c>
      <c r="F108" s="73" t="n">
        <f aca="false">_xlfn.IFNA(INDEX(Cascade!$F:$F,MATCH($E108,Cascade!$E:$E,0)),"")</f>
        <v>5307</v>
      </c>
      <c r="G108" s="73" t="n">
        <f aca="false">_xlfn.IFNA(INDEX(Cascade!$H:$H,MATCH($E108,Cascade!$E:$E,0)),"")</f>
        <v>1225</v>
      </c>
      <c r="H108" s="118" t="n">
        <f aca="false">_xlfn.IFNA(INDEX(Cascade!$J:$J,MATCH($E108,Cascade!$E:$E,0)),"")</f>
        <v>0.2308018</v>
      </c>
      <c r="I108" s="73" t="n">
        <f aca="false">_xlfn.IFNA(INDEX(Cascade!$P:$P,MATCH($E108,Cascade!$E:$E,0)),"")</f>
        <v>834</v>
      </c>
      <c r="J108" s="118" t="n">
        <f aca="false">_xlfn.IFNA(INDEX(Cascade!$Y:$Y,MATCH($E108,Cascade!$E:$E,0)),"")</f>
        <v>0.680816326530612</v>
      </c>
      <c r="K108" s="75" t="str">
        <f aca="false">_xlfn.IFNA(ROUND(INDEX(Spectrum!$N:$N,MATCH(RIGHT($B108,13)&amp;"|"&amp;$C108&amp;"|"&amp;$D108&amp;"|"&amp;K$14&amp;"|"&amp;"CY2021Q3",Spectrum!$Q:$Q,0)),0),"")</f>
        <v/>
      </c>
      <c r="L108" s="75" t="str">
        <f aca="false">_xlfn.IFNA(ROUND(INDEX(Spectrum!$N:$N,MATCH(RIGHT($B108,13)&amp;"|"&amp;$C108&amp;"|"&amp;$D108&amp;"|"&amp;L$14&amp;"|"&amp;"CY2021Q3",Spectrum!$Q:$Q,0)),0),"")</f>
        <v/>
      </c>
      <c r="M108" s="75" t="str">
        <f aca="false">_xlfn.IFNA(ROUND(INDEX(Spectrum!$N:$N,MATCH(RIGHT($B108,13)&amp;"|"&amp;$C108&amp;"|"&amp;$D108&amp;"|"&amp;M$14&amp;"|"&amp;"CY2021Q3",Spectrum!$Q:$Q,0)),0),"")</f>
        <v/>
      </c>
      <c r="N108" s="75" t="str">
        <f aca="false">_xlfn.IFNA(ROUND(INDEX(Spectrum!$N:$N,MATCH(RIGHT($B108,13)&amp;"|"&amp;$C108&amp;"|"&amp;$D108&amp;"|"&amp;N$14&amp;"|"&amp;"CY2021Q3",Spectrum!$Q:$Q,0)),0),"")</f>
        <v/>
      </c>
      <c r="O108" s="75" t="str">
        <f aca="false">_xlfn.IFNA(ROUND(INDEX(Spectrum!$N:$N,MATCH(RIGHT($B108,13)&amp;"|"&amp;$C108&amp;"|"&amp;$D108&amp;"|"&amp;O$14&amp;"|"&amp;"CY2021Q3",Spectrum!$Q:$Q,0)),0),"")</f>
        <v/>
      </c>
      <c r="P108" s="75" t="str">
        <f aca="false">_xlfn.IFNA(ROUND(INDEX(Spectrum!$N:$N,MATCH(RIGHT($B108,13)&amp;"|"&amp;$C108&amp;"|"&amp;$D108&amp;"|"&amp;P$14&amp;"|"&amp;"CY2021Q3",Spectrum!$Q:$Q,0)),0),"")</f>
        <v/>
      </c>
      <c r="Q108" s="75" t="str">
        <f aca="false">_xlfn.IFNA(ROUND(INDEX(Spectrum!$N:$N,MATCH(RIGHT($B108,13)&amp;"|"&amp;$C108&amp;"|"&amp;$D108&amp;"|"&amp;Q$14&amp;"|"&amp;"CY2021Q3",Spectrum!$Q:$Q,0)),0),"")</f>
        <v/>
      </c>
      <c r="R108" s="73" t="n">
        <v>12</v>
      </c>
      <c r="S108" s="118" t="n">
        <f aca="false">IF(SUM($R108)&lt;=0,"",0%)</f>
        <v>0</v>
      </c>
      <c r="T108" s="75" t="n">
        <f aca="false">IF(SUM($R108)&lt;=0,"",ROUND(MIN($R108,$K108)*(1+$S108),0))</f>
        <v>12</v>
      </c>
      <c r="U108" s="118" t="n">
        <f aca="false">IF(SUM($K108)=0,IF(SUM($R108)=0,"",1),MIN(SUM($R108)/SUM($K108),1))</f>
        <v>1</v>
      </c>
      <c r="V108" s="118" t="n">
        <f aca="false">$U108</f>
        <v>1</v>
      </c>
      <c r="W108" s="75" t="n">
        <f aca="false">IF(SUM($T108)=0,"",ROUND(SUM($T108)/IF(SUM($V108)=0,1,SUM($V108)),0))</f>
        <v>12</v>
      </c>
      <c r="X108" s="118" t="n">
        <f aca="false">1</f>
        <v>1</v>
      </c>
      <c r="Y108" s="118" t="n">
        <v>31</v>
      </c>
      <c r="Z108" s="118" t="n">
        <f aca="false">IF(OR(SUM($K108)&lt;=0,SUM($L108)&lt;=0),IF(SUM($Y108)&lt;=0,"",$Y108),SUM($L108)/$K108)</f>
        <v>31</v>
      </c>
      <c r="AA108" s="118" t="n">
        <v>31</v>
      </c>
      <c r="AB108" s="118" t="n">
        <f aca="false">IF(OR((SUM($K108)-SUM($L108))&lt;=0,SUM($M108)&lt;=0),IF(SUM($AA108)&lt;=0,"",$AA108),SUM($M108)/($K108-SUM($L108)))</f>
        <v>31</v>
      </c>
      <c r="AC108" s="73" t="n">
        <f aca="false">IF(SUM($T108)&lt;=0,"",ROUND(SUM($T108)*$X108,0))</f>
        <v>12</v>
      </c>
      <c r="AD108" s="75" t="n">
        <f aca="false">IF(SUM($AC108)&lt;=0,"",ROUND($AC108*SUM($Z108),0))</f>
        <v>372</v>
      </c>
      <c r="AE108" s="75" t="n">
        <f aca="false">IF(SUM($T108)&lt;=0,"",ROUND(($AC108-$AD108)*SUM($AB108),0))</f>
        <v>-11160</v>
      </c>
      <c r="AF108" s="75" t="n">
        <f aca="false">IF(SUM($AC108)&lt;=0,"",ROUND($AC108-$AD108-$AE108,0))</f>
        <v>10800</v>
      </c>
      <c r="AG108" s="73" t="n">
        <f aca="false">IF(SUM($W108)&lt;=0,"",ROUND(SUM($W108)*$X108,0))</f>
        <v>12</v>
      </c>
      <c r="AH108" s="75" t="n">
        <f aca="false">IF(SUM($AG108)&lt;=0,"",ROUND($AG108*SUM($Z108),0))</f>
        <v>372</v>
      </c>
      <c r="AI108" s="75" t="n">
        <f aca="false">IF(SUM($W108)&lt;=0,"",ROUND(($AG108-$AH108)*SUM($AB108),0))</f>
        <v>-11160</v>
      </c>
      <c r="AJ108" s="75" t="n">
        <f aca="false">IF(SUM($AG108)&lt;=0,"",ROUND($AG108-$AH108-$AI108,0))</f>
        <v>10800</v>
      </c>
      <c r="AK108" s="118" t="n">
        <f aca="false">_xlfn.IFNA(INDEX(Cascade!$BA:$BA,MATCH($E108,Cascade!$E:$E,0)),"")</f>
        <v>0.95</v>
      </c>
      <c r="AL108" s="75" t="n">
        <f aca="false">IF(SUM($AD108)&lt;=0,"",$AD108)</f>
        <v>372</v>
      </c>
      <c r="AM108" s="75" t="str">
        <f aca="false">IF(SUM($AE108)&lt;=0,"",ROUND($AE108*$AK108,0))</f>
        <v/>
      </c>
      <c r="AN108" s="75" t="n">
        <f aca="false">IF(AND(SUM($AH108)=0,SUM($AI108)=0),"",SUM($AH108)+SUM($AI108))</f>
        <v>-10788</v>
      </c>
      <c r="AO108" s="75" t="n">
        <f aca="false">IF(SUM($AH108)&lt;=0,"",$AH108)</f>
        <v>372</v>
      </c>
      <c r="AP108" s="75" t="str">
        <f aca="false">IF(SUM($AI108)&lt;=0,"",ROUND($AI108*$AK108,0))</f>
        <v/>
      </c>
      <c r="AQ108" s="73" t="str">
        <f aca="false">IF(SUM($T108,$AD108,$AE108)&lt;=0,"",MAX(SUM($T108,-$AD108,-$AE108),$AF108))</f>
        <v/>
      </c>
      <c r="AR108" s="118"/>
      <c r="AS108" s="118" t="str">
        <f aca="false">IF(SUM(AR108)=0,"",$AR108)</f>
        <v/>
      </c>
      <c r="AT108" s="118" t="n">
        <f aca="false">0.95</f>
        <v>0.95</v>
      </c>
      <c r="AU108" s="75" t="str">
        <f aca="false">IF(SUM($AQ108)&lt;=0,"",ROUND(SUM($AQ108)*SUM($AS108),0))</f>
        <v/>
      </c>
      <c r="AV108" s="75" t="str">
        <f aca="false">IF(SUM($AQ108)&lt;=0,"",$AQ108-$AU108)</f>
        <v/>
      </c>
      <c r="AW108" s="73" t="str">
        <f aca="false">IF(SUM($AU108)&lt;=0,"",ROUND($AU108*$AT108,0))</f>
        <v/>
      </c>
      <c r="AX108" s="73" t="str">
        <f aca="false">IF(SUM($AE108,$AD108,$AU108)&lt;=0,"",SUM($AE108,$AD108,$AU108))</f>
        <v/>
      </c>
      <c r="AY108" s="73" t="n">
        <f aca="false">_xlfn.IFNA(INDEX(Cascade!$BD:$BD,MATCH($E108,Cascade!$E:$E,0)),"")</f>
        <v>12</v>
      </c>
      <c r="AZ108" s="118" t="str">
        <f aca="false">IFERROR(IF(SUM($AE108)&lt;=0,"",$AE108/$AY108),"")</f>
        <v/>
      </c>
      <c r="BA108" s="118" t="str">
        <f aca="false">IFERROR(IF(SUM($AU108)&lt;=0,"",$AU108/$AY108),"")</f>
        <v/>
      </c>
      <c r="BB108" s="118" t="n">
        <f aca="false">_xlfn.IFNA(INDEX(Cascade!$BL:$BL,MATCH($E108,Cascade!$E:$E,0)),"")</f>
        <v>0.333333333333333</v>
      </c>
      <c r="BC108" s="118" t="str">
        <f aca="false">_xlfn.IFNA(INDEX(Cascade!$BO:$BO,MATCH($E108,Cascade!$E:$E,0)),"")</f>
        <v/>
      </c>
      <c r="BD108" s="118" t="n">
        <f aca="false">_xlfn.IFNA(INDEX(Cascade!$BR:$BR,MATCH($E108,Cascade!$E:$E,0)),"")</f>
        <v>930.666666666667</v>
      </c>
    </row>
    <row r="109" customFormat="false" ht="15" hidden="false" customHeight="false" outlineLevel="0" collapsed="false">
      <c r="A109" s="0" t="s">
        <v>151</v>
      </c>
      <c r="B109" s="0" t="s">
        <v>101</v>
      </c>
      <c r="C109" s="0" t="s">
        <v>72</v>
      </c>
      <c r="D109" s="0" t="s">
        <v>56</v>
      </c>
      <c r="E109" s="0" t="str">
        <f aca="false">B109&amp;"|"&amp;C109&amp;"|"&amp;D109</f>
        <v>Thaba Tseka [#SNU] [jyhIrCoB31x]|30-34|Female</v>
      </c>
      <c r="F109" s="73" t="n">
        <f aca="false">_xlfn.IFNA(INDEX(Cascade!$F:$F,MATCH($E109,Cascade!$E:$E,0)),"")</f>
        <v>4772</v>
      </c>
      <c r="G109" s="73" t="n">
        <f aca="false">_xlfn.IFNA(INDEX(Cascade!$H:$H,MATCH($E109,Cascade!$E:$E,0)),"")</f>
        <v>1653</v>
      </c>
      <c r="H109" s="118" t="n">
        <f aca="false">_xlfn.IFNA(INDEX(Cascade!$J:$J,MATCH($E109,Cascade!$E:$E,0)),"")</f>
        <v>0.3463225</v>
      </c>
      <c r="I109" s="73" t="n">
        <f aca="false">_xlfn.IFNA(INDEX(Cascade!$P:$P,MATCH($E109,Cascade!$E:$E,0)),"")</f>
        <v>1121</v>
      </c>
      <c r="J109" s="118" t="n">
        <f aca="false">_xlfn.IFNA(INDEX(Cascade!$Y:$Y,MATCH($E109,Cascade!$E:$E,0)),"")</f>
        <v>0.67816091954023</v>
      </c>
      <c r="K109" s="75" t="str">
        <f aca="false">_xlfn.IFNA(ROUND(INDEX(Spectrum!$N:$N,MATCH(RIGHT($B109,13)&amp;"|"&amp;$C109&amp;"|"&amp;$D109&amp;"|"&amp;K$14&amp;"|"&amp;"CY2021Q3",Spectrum!$Q:$Q,0)),0),"")</f>
        <v/>
      </c>
      <c r="L109" s="75" t="str">
        <f aca="false">_xlfn.IFNA(ROUND(INDEX(Spectrum!$N:$N,MATCH(RIGHT($B109,13)&amp;"|"&amp;$C109&amp;"|"&amp;$D109&amp;"|"&amp;L$14&amp;"|"&amp;"CY2021Q3",Spectrum!$Q:$Q,0)),0),"")</f>
        <v/>
      </c>
      <c r="M109" s="75" t="str">
        <f aca="false">_xlfn.IFNA(ROUND(INDEX(Spectrum!$N:$N,MATCH(RIGHT($B109,13)&amp;"|"&amp;$C109&amp;"|"&amp;$D109&amp;"|"&amp;M$14&amp;"|"&amp;"CY2021Q3",Spectrum!$Q:$Q,0)),0),"")</f>
        <v/>
      </c>
      <c r="N109" s="75" t="str">
        <f aca="false">_xlfn.IFNA(ROUND(INDEX(Spectrum!$N:$N,MATCH(RIGHT($B109,13)&amp;"|"&amp;$C109&amp;"|"&amp;$D109&amp;"|"&amp;N$14&amp;"|"&amp;"CY2021Q3",Spectrum!$Q:$Q,0)),0),"")</f>
        <v/>
      </c>
      <c r="O109" s="75" t="str">
        <f aca="false">_xlfn.IFNA(ROUND(INDEX(Spectrum!$N:$N,MATCH(RIGHT($B109,13)&amp;"|"&amp;$C109&amp;"|"&amp;$D109&amp;"|"&amp;O$14&amp;"|"&amp;"CY2021Q3",Spectrum!$Q:$Q,0)),0),"")</f>
        <v/>
      </c>
      <c r="P109" s="75" t="str">
        <f aca="false">_xlfn.IFNA(ROUND(INDEX(Spectrum!$N:$N,MATCH(RIGHT($B109,13)&amp;"|"&amp;$C109&amp;"|"&amp;$D109&amp;"|"&amp;P$14&amp;"|"&amp;"CY2021Q3",Spectrum!$Q:$Q,0)),0),"")</f>
        <v/>
      </c>
      <c r="Q109" s="75" t="str">
        <f aca="false">_xlfn.IFNA(ROUND(INDEX(Spectrum!$N:$N,MATCH(RIGHT($B109,13)&amp;"|"&amp;$C109&amp;"|"&amp;$D109&amp;"|"&amp;Q$14&amp;"|"&amp;"CY2021Q3",Spectrum!$Q:$Q,0)),0),"")</f>
        <v/>
      </c>
      <c r="R109" s="73" t="n">
        <v>1</v>
      </c>
      <c r="S109" s="118" t="n">
        <f aca="false">IF(SUM($R109)&lt;=0,"",0%)</f>
        <v>0</v>
      </c>
      <c r="T109" s="75" t="n">
        <f aca="false">IF(SUM($R109)&lt;=0,"",ROUND(MIN($R109,$K109)*(1+$S109),0))</f>
        <v>1</v>
      </c>
      <c r="U109" s="118" t="n">
        <f aca="false">IF(SUM($K109)=0,IF(SUM($R109)=0,"",1),MIN(SUM($R109)/SUM($K109),1))</f>
        <v>1</v>
      </c>
      <c r="V109" s="118" t="n">
        <f aca="false">$U109</f>
        <v>1</v>
      </c>
      <c r="W109" s="75" t="n">
        <f aca="false">IF(SUM($T109)=0,"",ROUND(SUM($T109)/IF(SUM($V109)=0,1,SUM($V109)),0))</f>
        <v>1</v>
      </c>
      <c r="X109" s="118" t="n">
        <f aca="false">1</f>
        <v>1</v>
      </c>
      <c r="Y109" s="118" t="n">
        <v>22</v>
      </c>
      <c r="Z109" s="118" t="n">
        <f aca="false">IF(OR(SUM($K109)&lt;=0,SUM($L109)&lt;=0),IF(SUM($Y109)&lt;=0,"",$Y109),SUM($L109)/$K109)</f>
        <v>22</v>
      </c>
      <c r="AA109" s="118" t="n">
        <v>32</v>
      </c>
      <c r="AB109" s="118" t="n">
        <f aca="false">IF(OR((SUM($K109)-SUM($L109))&lt;=0,SUM($M109)&lt;=0),IF(SUM($AA109)&lt;=0,"",$AA109),SUM($M109)/($K109-SUM($L109)))</f>
        <v>32</v>
      </c>
      <c r="AC109" s="73" t="n">
        <f aca="false">IF(SUM($T109)&lt;=0,"",ROUND(SUM($T109)*$X109,0))</f>
        <v>1</v>
      </c>
      <c r="AD109" s="75" t="n">
        <f aca="false">IF(SUM($AC109)&lt;=0,"",ROUND($AC109*SUM($Z109),0))</f>
        <v>22</v>
      </c>
      <c r="AE109" s="75" t="n">
        <f aca="false">IF(SUM($T109)&lt;=0,"",ROUND(($AC109-$AD109)*SUM($AB109),0))</f>
        <v>-672</v>
      </c>
      <c r="AF109" s="75" t="n">
        <f aca="false">IF(SUM($AC109)&lt;=0,"",ROUND($AC109-$AD109-$AE109,0))</f>
        <v>651</v>
      </c>
      <c r="AG109" s="73" t="n">
        <f aca="false">IF(SUM($W109)&lt;=0,"",ROUND(SUM($W109)*$X109,0))</f>
        <v>1</v>
      </c>
      <c r="AH109" s="75" t="n">
        <f aca="false">IF(SUM($AG109)&lt;=0,"",ROUND($AG109*SUM($Z109),0))</f>
        <v>22</v>
      </c>
      <c r="AI109" s="75" t="n">
        <f aca="false">IF(SUM($W109)&lt;=0,"",ROUND(($AG109-$AH109)*SUM($AB109),0))</f>
        <v>-672</v>
      </c>
      <c r="AJ109" s="75" t="n">
        <f aca="false">IF(SUM($AG109)&lt;=0,"",ROUND($AG109-$AH109-$AI109,0))</f>
        <v>651</v>
      </c>
      <c r="AK109" s="118" t="n">
        <f aca="false">_xlfn.IFNA(INDEX(Cascade!$BA:$BA,MATCH($E109,Cascade!$E:$E,0)),"")</f>
        <v>0.95</v>
      </c>
      <c r="AL109" s="75" t="n">
        <f aca="false">IF(SUM($AD109)&lt;=0,"",$AD109)</f>
        <v>22</v>
      </c>
      <c r="AM109" s="75" t="str">
        <f aca="false">IF(SUM($AE109)&lt;=0,"",ROUND($AE109*$AK109,0))</f>
        <v/>
      </c>
      <c r="AN109" s="75" t="n">
        <f aca="false">IF(AND(SUM($AH109)=0,SUM($AI109)=0),"",SUM($AH109)+SUM($AI109))</f>
        <v>-650</v>
      </c>
      <c r="AO109" s="75" t="n">
        <f aca="false">IF(SUM($AH109)&lt;=0,"",$AH109)</f>
        <v>22</v>
      </c>
      <c r="AP109" s="75" t="str">
        <f aca="false">IF(SUM($AI109)&lt;=0,"",ROUND($AI109*$AK109,0))</f>
        <v/>
      </c>
      <c r="AQ109" s="73" t="str">
        <f aca="false">IF(SUM($T109,$AD109,$AE109)&lt;=0,"",MAX(SUM($T109,-$AD109,-$AE109),$AF109))</f>
        <v/>
      </c>
      <c r="AR109" s="118"/>
      <c r="AS109" s="118" t="str">
        <f aca="false">IF(SUM(AR109)=0,"",$AR109)</f>
        <v/>
      </c>
      <c r="AT109" s="118" t="n">
        <f aca="false">0.95</f>
        <v>0.95</v>
      </c>
      <c r="AU109" s="75" t="str">
        <f aca="false">IF(SUM($AQ109)&lt;=0,"",ROUND(SUM($AQ109)*SUM($AS109),0))</f>
        <v/>
      </c>
      <c r="AV109" s="75" t="str">
        <f aca="false">IF(SUM($AQ109)&lt;=0,"",$AQ109-$AU109)</f>
        <v/>
      </c>
      <c r="AW109" s="73" t="str">
        <f aca="false">IF(SUM($AU109)&lt;=0,"",ROUND($AU109*$AT109,0))</f>
        <v/>
      </c>
      <c r="AX109" s="73" t="str">
        <f aca="false">IF(SUM($AE109,$AD109,$AU109)&lt;=0,"",SUM($AE109,$AD109,$AU109))</f>
        <v/>
      </c>
      <c r="AY109" s="73" t="n">
        <f aca="false">_xlfn.IFNA(INDEX(Cascade!$BD:$BD,MATCH($E109,Cascade!$E:$E,0)),"")</f>
        <v>3</v>
      </c>
      <c r="AZ109" s="118" t="str">
        <f aca="false">IFERROR(IF(SUM($AE109)&lt;=0,"",$AE109/$AY109),"")</f>
        <v/>
      </c>
      <c r="BA109" s="118" t="str">
        <f aca="false">IFERROR(IF(SUM($AU109)&lt;=0,"",$AU109/$AY109),"")</f>
        <v/>
      </c>
      <c r="BB109" s="118" t="n">
        <f aca="false">_xlfn.IFNA(INDEX(Cascade!$BL:$BL,MATCH($E109,Cascade!$E:$E,0)),"")</f>
        <v>0.333333333333333</v>
      </c>
      <c r="BC109" s="118" t="str">
        <f aca="false">_xlfn.IFNA(INDEX(Cascade!$BO:$BO,MATCH($E109,Cascade!$E:$E,0)),"")</f>
        <v/>
      </c>
      <c r="BD109" s="118" t="n">
        <f aca="false">_xlfn.IFNA(INDEX(Cascade!$BR:$BR,MATCH($E109,Cascade!$E:$E,0)),"")</f>
        <v>224.666666666667</v>
      </c>
    </row>
    <row r="110" customFormat="false" ht="15" hidden="false" customHeight="false" outlineLevel="0" collapsed="false">
      <c r="A110" s="0" t="s">
        <v>151</v>
      </c>
      <c r="B110" s="0" t="s">
        <v>101</v>
      </c>
      <c r="C110" s="0" t="s">
        <v>75</v>
      </c>
      <c r="D110" s="0" t="s">
        <v>56</v>
      </c>
      <c r="E110" s="0" t="str">
        <f aca="false">B110&amp;"|"&amp;C110&amp;"|"&amp;D110</f>
        <v>Thaba Tseka [#SNU] [jyhIrCoB31x]|35-39|Female</v>
      </c>
      <c r="F110" s="73" t="n">
        <f aca="false">_xlfn.IFNA(INDEX(Cascade!$F:$F,MATCH($E110,Cascade!$E:$E,0)),"")</f>
        <v>3784</v>
      </c>
      <c r="G110" s="73" t="n">
        <f aca="false">_xlfn.IFNA(INDEX(Cascade!$H:$H,MATCH($E110,Cascade!$E:$E,0)),"")</f>
        <v>1573</v>
      </c>
      <c r="H110" s="118" t="n">
        <f aca="false">_xlfn.IFNA(INDEX(Cascade!$J:$J,MATCH($E110,Cascade!$E:$E,0)),"")</f>
        <v>0.4156875</v>
      </c>
      <c r="I110" s="73" t="n">
        <f aca="false">_xlfn.IFNA(INDEX(Cascade!$P:$P,MATCH($E110,Cascade!$E:$E,0)),"")</f>
        <v>1280</v>
      </c>
      <c r="J110" s="118" t="n">
        <f aca="false">_xlfn.IFNA(INDEX(Cascade!$Y:$Y,MATCH($E110,Cascade!$E:$E,0)),"")</f>
        <v>0.813731722822632</v>
      </c>
      <c r="K110" s="75" t="str">
        <f aca="false">_xlfn.IFNA(ROUND(INDEX(Spectrum!$N:$N,MATCH(RIGHT($B110,13)&amp;"|"&amp;$C110&amp;"|"&amp;$D110&amp;"|"&amp;K$14&amp;"|"&amp;"CY2021Q3",Spectrum!$Q:$Q,0)),0),"")</f>
        <v/>
      </c>
      <c r="L110" s="75" t="str">
        <f aca="false">_xlfn.IFNA(ROUND(INDEX(Spectrum!$N:$N,MATCH(RIGHT($B110,13)&amp;"|"&amp;$C110&amp;"|"&amp;$D110&amp;"|"&amp;L$14&amp;"|"&amp;"CY2021Q3",Spectrum!$Q:$Q,0)),0),"")</f>
        <v/>
      </c>
      <c r="M110" s="75" t="str">
        <f aca="false">_xlfn.IFNA(ROUND(INDEX(Spectrum!$N:$N,MATCH(RIGHT($B110,13)&amp;"|"&amp;$C110&amp;"|"&amp;$D110&amp;"|"&amp;M$14&amp;"|"&amp;"CY2021Q3",Spectrum!$Q:$Q,0)),0),"")</f>
        <v/>
      </c>
      <c r="N110" s="75" t="str">
        <f aca="false">_xlfn.IFNA(ROUND(INDEX(Spectrum!$N:$N,MATCH(RIGHT($B110,13)&amp;"|"&amp;$C110&amp;"|"&amp;$D110&amp;"|"&amp;N$14&amp;"|"&amp;"CY2021Q3",Spectrum!$Q:$Q,0)),0),"")</f>
        <v/>
      </c>
      <c r="O110" s="75" t="str">
        <f aca="false">_xlfn.IFNA(ROUND(INDEX(Spectrum!$N:$N,MATCH(RIGHT($B110,13)&amp;"|"&amp;$C110&amp;"|"&amp;$D110&amp;"|"&amp;O$14&amp;"|"&amp;"CY2021Q3",Spectrum!$Q:$Q,0)),0),"")</f>
        <v/>
      </c>
      <c r="P110" s="75" t="str">
        <f aca="false">_xlfn.IFNA(ROUND(INDEX(Spectrum!$N:$N,MATCH(RIGHT($B110,13)&amp;"|"&amp;$C110&amp;"|"&amp;$D110&amp;"|"&amp;P$14&amp;"|"&amp;"CY2021Q3",Spectrum!$Q:$Q,0)),0),"")</f>
        <v/>
      </c>
      <c r="Q110" s="75" t="str">
        <f aca="false">_xlfn.IFNA(ROUND(INDEX(Spectrum!$N:$N,MATCH(RIGHT($B110,13)&amp;"|"&amp;$C110&amp;"|"&amp;$D110&amp;"|"&amp;Q$14&amp;"|"&amp;"CY2021Q3",Spectrum!$Q:$Q,0)),0),"")</f>
        <v/>
      </c>
      <c r="R110" s="73" t="n">
        <v>25</v>
      </c>
      <c r="S110" s="118" t="n">
        <f aca="false">IF(SUM($R110)&lt;=0,"",0%)</f>
        <v>0</v>
      </c>
      <c r="T110" s="75" t="n">
        <f aca="false">IF(SUM($R110)&lt;=0,"",ROUND(MIN($R110,$K110)*(1+$S110),0))</f>
        <v>25</v>
      </c>
      <c r="U110" s="118" t="n">
        <f aca="false">IF(SUM($K110)=0,IF(SUM($R110)=0,"",1),MIN(SUM($R110)/SUM($K110),1))</f>
        <v>1</v>
      </c>
      <c r="V110" s="118" t="n">
        <f aca="false">$U110</f>
        <v>1</v>
      </c>
      <c r="W110" s="75" t="n">
        <f aca="false">IF(SUM($T110)=0,"",ROUND(SUM($T110)/IF(SUM($V110)=0,1,SUM($V110)),0))</f>
        <v>25</v>
      </c>
      <c r="X110" s="118" t="n">
        <f aca="false">1</f>
        <v>1</v>
      </c>
      <c r="Y110" s="118" t="n">
        <v>34</v>
      </c>
      <c r="Z110" s="118" t="n">
        <f aca="false">IF(OR(SUM($K110)&lt;=0,SUM($L110)&lt;=0),IF(SUM($Y110)&lt;=0,"",$Y110),SUM($L110)/$K110)</f>
        <v>34</v>
      </c>
      <c r="AA110" s="118" t="n">
        <v>39</v>
      </c>
      <c r="AB110" s="118" t="n">
        <f aca="false">IF(OR((SUM($K110)-SUM($L110))&lt;=0,SUM($M110)&lt;=0),IF(SUM($AA110)&lt;=0,"",$AA110),SUM($M110)/($K110-SUM($L110)))</f>
        <v>39</v>
      </c>
      <c r="AC110" s="73" t="n">
        <f aca="false">IF(SUM($T110)&lt;=0,"",ROUND(SUM($T110)*$X110,0))</f>
        <v>25</v>
      </c>
      <c r="AD110" s="75" t="n">
        <f aca="false">IF(SUM($AC110)&lt;=0,"",ROUND($AC110*SUM($Z110),0))</f>
        <v>850</v>
      </c>
      <c r="AE110" s="75" t="n">
        <f aca="false">IF(SUM($T110)&lt;=0,"",ROUND(($AC110-$AD110)*SUM($AB110),0))</f>
        <v>-32175</v>
      </c>
      <c r="AF110" s="75" t="n">
        <f aca="false">IF(SUM($AC110)&lt;=0,"",ROUND($AC110-$AD110-$AE110,0))</f>
        <v>31350</v>
      </c>
      <c r="AG110" s="73" t="n">
        <f aca="false">IF(SUM($W110)&lt;=0,"",ROUND(SUM($W110)*$X110,0))</f>
        <v>25</v>
      </c>
      <c r="AH110" s="75" t="n">
        <f aca="false">IF(SUM($AG110)&lt;=0,"",ROUND($AG110*SUM($Z110),0))</f>
        <v>850</v>
      </c>
      <c r="AI110" s="75" t="n">
        <f aca="false">IF(SUM($W110)&lt;=0,"",ROUND(($AG110-$AH110)*SUM($AB110),0))</f>
        <v>-32175</v>
      </c>
      <c r="AJ110" s="75" t="n">
        <f aca="false">IF(SUM($AG110)&lt;=0,"",ROUND($AG110-$AH110-$AI110,0))</f>
        <v>31350</v>
      </c>
      <c r="AK110" s="118" t="n">
        <f aca="false">_xlfn.IFNA(INDEX(Cascade!$BA:$BA,MATCH($E110,Cascade!$E:$E,0)),"")</f>
        <v>0.95</v>
      </c>
      <c r="AL110" s="75" t="n">
        <f aca="false">IF(SUM($AD110)&lt;=0,"",$AD110)</f>
        <v>850</v>
      </c>
      <c r="AM110" s="75" t="str">
        <f aca="false">IF(SUM($AE110)&lt;=0,"",ROUND($AE110*$AK110,0))</f>
        <v/>
      </c>
      <c r="AN110" s="75" t="n">
        <f aca="false">IF(AND(SUM($AH110)=0,SUM($AI110)=0),"",SUM($AH110)+SUM($AI110))</f>
        <v>-31325</v>
      </c>
      <c r="AO110" s="75" t="n">
        <f aca="false">IF(SUM($AH110)&lt;=0,"",$AH110)</f>
        <v>850</v>
      </c>
      <c r="AP110" s="75" t="str">
        <f aca="false">IF(SUM($AI110)&lt;=0,"",ROUND($AI110*$AK110,0))</f>
        <v/>
      </c>
      <c r="AQ110" s="73" t="str">
        <f aca="false">IF(SUM($T110,$AD110,$AE110)&lt;=0,"",MAX(SUM($T110,-$AD110,-$AE110),$AF110))</f>
        <v/>
      </c>
      <c r="AR110" s="118"/>
      <c r="AS110" s="118" t="str">
        <f aca="false">IF(SUM(AR110)=0,"",$AR110)</f>
        <v/>
      </c>
      <c r="AT110" s="118" t="n">
        <f aca="false">0.95</f>
        <v>0.95</v>
      </c>
      <c r="AU110" s="75" t="str">
        <f aca="false">IF(SUM($AQ110)&lt;=0,"",ROUND(SUM($AQ110)*SUM($AS110),0))</f>
        <v/>
      </c>
      <c r="AV110" s="75" t="str">
        <f aca="false">IF(SUM($AQ110)&lt;=0,"",$AQ110-$AU110)</f>
        <v/>
      </c>
      <c r="AW110" s="73" t="str">
        <f aca="false">IF(SUM($AU110)&lt;=0,"",ROUND($AU110*$AT110,0))</f>
        <v/>
      </c>
      <c r="AX110" s="73" t="str">
        <f aca="false">IF(SUM($AE110,$AD110,$AU110)&lt;=0,"",SUM($AE110,$AD110,$AU110))</f>
        <v/>
      </c>
      <c r="AY110" s="73" t="n">
        <f aca="false">_xlfn.IFNA(INDEX(Cascade!$BD:$BD,MATCH($E110,Cascade!$E:$E,0)),"")</f>
        <v>2</v>
      </c>
      <c r="AZ110" s="118" t="str">
        <f aca="false">IFERROR(IF(SUM($AE110)&lt;=0,"",$AE110/$AY110),"")</f>
        <v/>
      </c>
      <c r="BA110" s="118" t="str">
        <f aca="false">IFERROR(IF(SUM($AU110)&lt;=0,"",$AU110/$AY110),"")</f>
        <v/>
      </c>
      <c r="BB110" s="118" t="n">
        <f aca="false">_xlfn.IFNA(INDEX(Cascade!$BL:$BL,MATCH($E110,Cascade!$E:$E,0)),"")</f>
        <v>1</v>
      </c>
      <c r="BC110" s="118" t="str">
        <f aca="false">_xlfn.IFNA(INDEX(Cascade!$BO:$BO,MATCH($E110,Cascade!$E:$E,0)),"")</f>
        <v/>
      </c>
      <c r="BD110" s="118" t="n">
        <f aca="false">_xlfn.IFNA(INDEX(Cascade!$BR:$BR,MATCH($E110,Cascade!$E:$E,0)),"")</f>
        <v>16087.5</v>
      </c>
    </row>
    <row r="111" customFormat="false" ht="15" hidden="false" customHeight="false" outlineLevel="0" collapsed="false">
      <c r="A111" s="0" t="s">
        <v>151</v>
      </c>
      <c r="B111" s="0" t="s">
        <v>101</v>
      </c>
      <c r="C111" s="0" t="s">
        <v>77</v>
      </c>
      <c r="D111" s="0" t="s">
        <v>56</v>
      </c>
      <c r="E111" s="0" t="str">
        <f aca="false">B111&amp;"|"&amp;C111&amp;"|"&amp;D111</f>
        <v>Thaba Tseka [#SNU] [jyhIrCoB31x]|40-44|Female</v>
      </c>
      <c r="F111" s="73" t="n">
        <f aca="false">_xlfn.IFNA(INDEX(Cascade!$F:$F,MATCH($E111,Cascade!$E:$E,0)),"")</f>
        <v>2934</v>
      </c>
      <c r="G111" s="73" t="n">
        <f aca="false">_xlfn.IFNA(INDEX(Cascade!$H:$H,MATCH($E111,Cascade!$E:$E,0)),"")</f>
        <v>1315</v>
      </c>
      <c r="H111" s="118" t="n">
        <f aca="false">_xlfn.IFNA(INDEX(Cascade!$J:$J,MATCH($E111,Cascade!$E:$E,0)),"")</f>
        <v>0.4482321</v>
      </c>
      <c r="I111" s="73" t="n">
        <f aca="false">_xlfn.IFNA(INDEX(Cascade!$P:$P,MATCH($E111,Cascade!$E:$E,0)),"")</f>
        <v>1292</v>
      </c>
      <c r="J111" s="118" t="n">
        <f aca="false">_xlfn.IFNA(INDEX(Cascade!$Y:$Y,MATCH($E111,Cascade!$E:$E,0)),"")</f>
        <v>0.982509505703422</v>
      </c>
      <c r="K111" s="75" t="str">
        <f aca="false">_xlfn.IFNA(ROUND(INDEX(Spectrum!$N:$N,MATCH(RIGHT($B111,13)&amp;"|"&amp;$C111&amp;"|"&amp;$D111&amp;"|"&amp;K$14&amp;"|"&amp;"CY2021Q3",Spectrum!$Q:$Q,0)),0),"")</f>
        <v/>
      </c>
      <c r="L111" s="75" t="str">
        <f aca="false">_xlfn.IFNA(ROUND(INDEX(Spectrum!$N:$N,MATCH(RIGHT($B111,13)&amp;"|"&amp;$C111&amp;"|"&amp;$D111&amp;"|"&amp;L$14&amp;"|"&amp;"CY2021Q3",Spectrum!$Q:$Q,0)),0),"")</f>
        <v/>
      </c>
      <c r="M111" s="75" t="str">
        <f aca="false">_xlfn.IFNA(ROUND(INDEX(Spectrum!$N:$N,MATCH(RIGHT($B111,13)&amp;"|"&amp;$C111&amp;"|"&amp;$D111&amp;"|"&amp;M$14&amp;"|"&amp;"CY2021Q3",Spectrum!$Q:$Q,0)),0),"")</f>
        <v/>
      </c>
      <c r="N111" s="75" t="str">
        <f aca="false">_xlfn.IFNA(ROUND(INDEX(Spectrum!$N:$N,MATCH(RIGHT($B111,13)&amp;"|"&amp;$C111&amp;"|"&amp;$D111&amp;"|"&amp;N$14&amp;"|"&amp;"CY2021Q3",Spectrum!$Q:$Q,0)),0),"")</f>
        <v/>
      </c>
      <c r="O111" s="75" t="str">
        <f aca="false">_xlfn.IFNA(ROUND(INDEX(Spectrum!$N:$N,MATCH(RIGHT($B111,13)&amp;"|"&amp;$C111&amp;"|"&amp;$D111&amp;"|"&amp;O$14&amp;"|"&amp;"CY2021Q3",Spectrum!$Q:$Q,0)),0),"")</f>
        <v/>
      </c>
      <c r="P111" s="75" t="str">
        <f aca="false">_xlfn.IFNA(ROUND(INDEX(Spectrum!$N:$N,MATCH(RIGHT($B111,13)&amp;"|"&amp;$C111&amp;"|"&amp;$D111&amp;"|"&amp;P$14&amp;"|"&amp;"CY2021Q3",Spectrum!$Q:$Q,0)),0),"")</f>
        <v/>
      </c>
      <c r="Q111" s="75" t="str">
        <f aca="false">_xlfn.IFNA(ROUND(INDEX(Spectrum!$N:$N,MATCH(RIGHT($B111,13)&amp;"|"&amp;$C111&amp;"|"&amp;$D111&amp;"|"&amp;Q$14&amp;"|"&amp;"CY2021Q3",Spectrum!$Q:$Q,0)),0),"")</f>
        <v/>
      </c>
      <c r="R111" s="73" t="n">
        <v>27</v>
      </c>
      <c r="S111" s="118" t="n">
        <f aca="false">IF(SUM($R111)&lt;=0,"",0%)</f>
        <v>0</v>
      </c>
      <c r="T111" s="75" t="n">
        <f aca="false">IF(SUM($R111)&lt;=0,"",ROUND(MIN($R111,$K111)*(1+$S111),0))</f>
        <v>27</v>
      </c>
      <c r="U111" s="118" t="n">
        <f aca="false">IF(SUM($K111)=0,IF(SUM($R111)=0,"",1),MIN(SUM($R111)/SUM($K111),1))</f>
        <v>1</v>
      </c>
      <c r="V111" s="118" t="n">
        <f aca="false">$U111</f>
        <v>1</v>
      </c>
      <c r="W111" s="75" t="n">
        <f aca="false">IF(SUM($T111)=0,"",ROUND(SUM($T111)/IF(SUM($V111)=0,1,SUM($V111)),0))</f>
        <v>27</v>
      </c>
      <c r="X111" s="118" t="n">
        <f aca="false">1</f>
        <v>1</v>
      </c>
      <c r="Y111" s="118" t="n">
        <v>34</v>
      </c>
      <c r="Z111" s="118" t="n">
        <f aca="false">IF(OR(SUM($K111)&lt;=0,SUM($L111)&lt;=0),IF(SUM($Y111)&lt;=0,"",$Y111),SUM($L111)/$K111)</f>
        <v>34</v>
      </c>
      <c r="AA111" s="118"/>
      <c r="AB111" s="118" t="str">
        <f aca="false">IF(OR((SUM($K111)-SUM($L111))&lt;=0,SUM($M111)&lt;=0),IF(SUM($AA111)&lt;=0,"",$AA111),SUM($M111)/($K111-SUM($L111)))</f>
        <v/>
      </c>
      <c r="AC111" s="73" t="n">
        <f aca="false">IF(SUM($T111)&lt;=0,"",ROUND(SUM($T111)*$X111,0))</f>
        <v>27</v>
      </c>
      <c r="AD111" s="75" t="n">
        <f aca="false">IF(SUM($AC111)&lt;=0,"",ROUND($AC111*SUM($Z111),0))</f>
        <v>918</v>
      </c>
      <c r="AE111" s="75" t="n">
        <f aca="false">IF(SUM($T111)&lt;=0,"",ROUND(($AC111-$AD111)*SUM($AB111),0))</f>
        <v>-0</v>
      </c>
      <c r="AF111" s="75" t="n">
        <f aca="false">IF(SUM($AC111)&lt;=0,"",ROUND($AC111-$AD111-$AE111,0))</f>
        <v>-891</v>
      </c>
      <c r="AG111" s="73" t="n">
        <f aca="false">IF(SUM($W111)&lt;=0,"",ROUND(SUM($W111)*$X111,0))</f>
        <v>27</v>
      </c>
      <c r="AH111" s="75" t="n">
        <f aca="false">IF(SUM($AG111)&lt;=0,"",ROUND($AG111*SUM($Z111),0))</f>
        <v>918</v>
      </c>
      <c r="AI111" s="75" t="n">
        <f aca="false">IF(SUM($W111)&lt;=0,"",ROUND(($AG111-$AH111)*SUM($AB111),0))</f>
        <v>-0</v>
      </c>
      <c r="AJ111" s="75" t="n">
        <f aca="false">IF(SUM($AG111)&lt;=0,"",ROUND($AG111-$AH111-$AI111,0))</f>
        <v>-891</v>
      </c>
      <c r="AK111" s="118" t="n">
        <f aca="false">_xlfn.IFNA(INDEX(Cascade!$BA:$BA,MATCH($E111,Cascade!$E:$E,0)),"")</f>
        <v>0.95</v>
      </c>
      <c r="AL111" s="75" t="n">
        <f aca="false">IF(SUM($AD111)&lt;=0,"",$AD111)</f>
        <v>918</v>
      </c>
      <c r="AM111" s="75" t="str">
        <f aca="false">IF(SUM($AE111)&lt;=0,"",ROUND($AE111*$AK111,0))</f>
        <v/>
      </c>
      <c r="AN111" s="75" t="n">
        <f aca="false">IF(AND(SUM($AH111)=0,SUM($AI111)=0),"",SUM($AH111)+SUM($AI111))</f>
        <v>918</v>
      </c>
      <c r="AO111" s="75" t="n">
        <f aca="false">IF(SUM($AH111)&lt;=0,"",$AH111)</f>
        <v>918</v>
      </c>
      <c r="AP111" s="75" t="str">
        <f aca="false">IF(SUM($AI111)&lt;=0,"",ROUND($AI111*$AK111,0))</f>
        <v/>
      </c>
      <c r="AQ111" s="73" t="n">
        <f aca="false">IF(SUM($T111,$AD111,$AE111)&lt;=0,"",MAX(SUM($T111,-$AD111,-$AE111),$AF111))</f>
        <v>-891</v>
      </c>
      <c r="AR111" s="118"/>
      <c r="AS111" s="118" t="str">
        <f aca="false">IF(SUM(AR111)=0,"",$AR111)</f>
        <v/>
      </c>
      <c r="AT111" s="118" t="n">
        <f aca="false">0.95</f>
        <v>0.95</v>
      </c>
      <c r="AU111" s="75" t="str">
        <f aca="false">IF(SUM($AQ111)&lt;=0,"",ROUND(SUM($AQ111)*SUM($AS111),0))</f>
        <v/>
      </c>
      <c r="AV111" s="75" t="str">
        <f aca="false">IF(SUM($AQ111)&lt;=0,"",$AQ111-$AU111)</f>
        <v/>
      </c>
      <c r="AW111" s="73" t="str">
        <f aca="false">IF(SUM($AU111)&lt;=0,"",ROUND($AU111*$AT111,0))</f>
        <v/>
      </c>
      <c r="AX111" s="73" t="n">
        <f aca="false">IF(SUM($AE111,$AD111,$AU111)&lt;=0,"",SUM($AE111,$AD111,$AU111))</f>
        <v>918</v>
      </c>
      <c r="AY111" s="73" t="str">
        <f aca="false">_xlfn.IFNA(INDEX(Cascade!$BD:$BD,MATCH($E111,Cascade!$E:$E,0)),"")</f>
        <v/>
      </c>
      <c r="AZ111" s="118" t="str">
        <f aca="false">IFERROR(IF(SUM($AE111)&lt;=0,"",$AE111/$AY111),"")</f>
        <v/>
      </c>
      <c r="BA111" s="118" t="str">
        <f aca="false">IFERROR(IF(SUM($AU111)&lt;=0,"",$AU111/$AY111),"")</f>
        <v/>
      </c>
      <c r="BB111" s="118" t="str">
        <f aca="false">_xlfn.IFNA(INDEX(Cascade!$BL:$BL,MATCH($E111,Cascade!$E:$E,0)),"")</f>
        <v/>
      </c>
      <c r="BC111" s="118" t="str">
        <f aca="false">_xlfn.IFNA(INDEX(Cascade!$BO:$BO,MATCH($E111,Cascade!$E:$E,0)),"")</f>
        <v/>
      </c>
      <c r="BD111" s="118" t="str">
        <f aca="false">_xlfn.IFNA(INDEX(Cascade!$BR:$BR,MATCH($E111,Cascade!$E:$E,0)),"")</f>
        <v/>
      </c>
    </row>
    <row r="112" customFormat="false" ht="15" hidden="false" customHeight="false" outlineLevel="0" collapsed="false">
      <c r="A112" s="0" t="s">
        <v>151</v>
      </c>
      <c r="B112" s="0" t="s">
        <v>101</v>
      </c>
      <c r="C112" s="0" t="s">
        <v>80</v>
      </c>
      <c r="D112" s="0" t="s">
        <v>56</v>
      </c>
      <c r="E112" s="0" t="str">
        <f aca="false">B112&amp;"|"&amp;C112&amp;"|"&amp;D112</f>
        <v>Thaba Tseka [#SNU] [jyhIrCoB31x]|45-49|Female</v>
      </c>
      <c r="F112" s="73" t="n">
        <f aca="false">_xlfn.IFNA(INDEX(Cascade!$F:$F,MATCH($E112,Cascade!$E:$E,0)),"")</f>
        <v>2137</v>
      </c>
      <c r="G112" s="73" t="n">
        <f aca="false">_xlfn.IFNA(INDEX(Cascade!$H:$H,MATCH($E112,Cascade!$E:$E,0)),"")</f>
        <v>999</v>
      </c>
      <c r="H112" s="118" t="n">
        <f aca="false">_xlfn.IFNA(INDEX(Cascade!$J:$J,MATCH($E112,Cascade!$E:$E,0)),"")</f>
        <v>0.4676123</v>
      </c>
      <c r="I112" s="73" t="n">
        <f aca="false">_xlfn.IFNA(INDEX(Cascade!$P:$P,MATCH($E112,Cascade!$E:$E,0)),"")</f>
        <v>1026</v>
      </c>
      <c r="J112" s="118" t="n">
        <f aca="false">_xlfn.IFNA(INDEX(Cascade!$Y:$Y,MATCH($E112,Cascade!$E:$E,0)),"")</f>
        <v>1.02702702702703</v>
      </c>
      <c r="K112" s="75" t="str">
        <f aca="false">_xlfn.IFNA(ROUND(INDEX(Spectrum!$N:$N,MATCH(RIGHT($B112,13)&amp;"|"&amp;$C112&amp;"|"&amp;$D112&amp;"|"&amp;K$14&amp;"|"&amp;"CY2021Q3",Spectrum!$Q:$Q,0)),0),"")</f>
        <v/>
      </c>
      <c r="L112" s="75" t="str">
        <f aca="false">_xlfn.IFNA(ROUND(INDEX(Spectrum!$N:$N,MATCH(RIGHT($B112,13)&amp;"|"&amp;$C112&amp;"|"&amp;$D112&amp;"|"&amp;L$14&amp;"|"&amp;"CY2021Q3",Spectrum!$Q:$Q,0)),0),"")</f>
        <v/>
      </c>
      <c r="M112" s="75" t="str">
        <f aca="false">_xlfn.IFNA(ROUND(INDEX(Spectrum!$N:$N,MATCH(RIGHT($B112,13)&amp;"|"&amp;$C112&amp;"|"&amp;$D112&amp;"|"&amp;M$14&amp;"|"&amp;"CY2021Q3",Spectrum!$Q:$Q,0)),0),"")</f>
        <v/>
      </c>
      <c r="N112" s="75" t="str">
        <f aca="false">_xlfn.IFNA(ROUND(INDEX(Spectrum!$N:$N,MATCH(RIGHT($B112,13)&amp;"|"&amp;$C112&amp;"|"&amp;$D112&amp;"|"&amp;N$14&amp;"|"&amp;"CY2021Q3",Spectrum!$Q:$Q,0)),0),"")</f>
        <v/>
      </c>
      <c r="O112" s="75" t="str">
        <f aca="false">_xlfn.IFNA(ROUND(INDEX(Spectrum!$N:$N,MATCH(RIGHT($B112,13)&amp;"|"&amp;$C112&amp;"|"&amp;$D112&amp;"|"&amp;O$14&amp;"|"&amp;"CY2021Q3",Spectrum!$Q:$Q,0)),0),"")</f>
        <v/>
      </c>
      <c r="P112" s="75" t="str">
        <f aca="false">_xlfn.IFNA(ROUND(INDEX(Spectrum!$N:$N,MATCH(RIGHT($B112,13)&amp;"|"&amp;$C112&amp;"|"&amp;$D112&amp;"|"&amp;P$14&amp;"|"&amp;"CY2021Q3",Spectrum!$Q:$Q,0)),0),"")</f>
        <v/>
      </c>
      <c r="Q112" s="75" t="str">
        <f aca="false">_xlfn.IFNA(ROUND(INDEX(Spectrum!$N:$N,MATCH(RIGHT($B112,13)&amp;"|"&amp;$C112&amp;"|"&amp;$D112&amp;"|"&amp;Q$14&amp;"|"&amp;"CY2021Q3",Spectrum!$Q:$Q,0)),0),"")</f>
        <v/>
      </c>
      <c r="R112" s="73" t="n">
        <v>18</v>
      </c>
      <c r="S112" s="118" t="n">
        <f aca="false">IF(SUM($R112)&lt;=0,"",0%)</f>
        <v>0</v>
      </c>
      <c r="T112" s="75" t="n">
        <f aca="false">IF(SUM($R112)&lt;=0,"",ROUND(MIN($R112,$K112)*(1+$S112),0))</f>
        <v>18</v>
      </c>
      <c r="U112" s="118" t="n">
        <f aca="false">IF(SUM($K112)=0,IF(SUM($R112)=0,"",1),MIN(SUM($R112)/SUM($K112),1))</f>
        <v>1</v>
      </c>
      <c r="V112" s="118" t="n">
        <f aca="false">$U112</f>
        <v>1</v>
      </c>
      <c r="W112" s="75" t="n">
        <f aca="false">IF(SUM($T112)=0,"",ROUND(SUM($T112)/IF(SUM($V112)=0,1,SUM($V112)),0))</f>
        <v>18</v>
      </c>
      <c r="X112" s="118" t="n">
        <f aca="false">1</f>
        <v>1</v>
      </c>
      <c r="Y112" s="118" t="n">
        <v>27</v>
      </c>
      <c r="Z112" s="118" t="n">
        <f aca="false">IF(OR(SUM($K112)&lt;=0,SUM($L112)&lt;=0),IF(SUM($Y112)&lt;=0,"",$Y112),SUM($L112)/$K112)</f>
        <v>27</v>
      </c>
      <c r="AA112" s="118"/>
      <c r="AB112" s="118" t="str">
        <f aca="false">IF(OR((SUM($K112)-SUM($L112))&lt;=0,SUM($M112)&lt;=0),IF(SUM($AA112)&lt;=0,"",$AA112),SUM($M112)/($K112-SUM($L112)))</f>
        <v/>
      </c>
      <c r="AC112" s="73" t="n">
        <f aca="false">IF(SUM($T112)&lt;=0,"",ROUND(SUM($T112)*$X112,0))</f>
        <v>18</v>
      </c>
      <c r="AD112" s="75" t="n">
        <f aca="false">IF(SUM($AC112)&lt;=0,"",ROUND($AC112*SUM($Z112),0))</f>
        <v>486</v>
      </c>
      <c r="AE112" s="75" t="n">
        <f aca="false">IF(SUM($T112)&lt;=0,"",ROUND(($AC112-$AD112)*SUM($AB112),0))</f>
        <v>-0</v>
      </c>
      <c r="AF112" s="75" t="n">
        <f aca="false">IF(SUM($AC112)&lt;=0,"",ROUND($AC112-$AD112-$AE112,0))</f>
        <v>-468</v>
      </c>
      <c r="AG112" s="73" t="n">
        <f aca="false">IF(SUM($W112)&lt;=0,"",ROUND(SUM($W112)*$X112,0))</f>
        <v>18</v>
      </c>
      <c r="AH112" s="75" t="n">
        <f aca="false">IF(SUM($AG112)&lt;=0,"",ROUND($AG112*SUM($Z112),0))</f>
        <v>486</v>
      </c>
      <c r="AI112" s="75" t="n">
        <f aca="false">IF(SUM($W112)&lt;=0,"",ROUND(($AG112-$AH112)*SUM($AB112),0))</f>
        <v>-0</v>
      </c>
      <c r="AJ112" s="75" t="n">
        <f aca="false">IF(SUM($AG112)&lt;=0,"",ROUND($AG112-$AH112-$AI112,0))</f>
        <v>-468</v>
      </c>
      <c r="AK112" s="118" t="n">
        <f aca="false">_xlfn.IFNA(INDEX(Cascade!$BA:$BA,MATCH($E112,Cascade!$E:$E,0)),"")</f>
        <v>0.95</v>
      </c>
      <c r="AL112" s="75" t="n">
        <f aca="false">IF(SUM($AD112)&lt;=0,"",$AD112)</f>
        <v>486</v>
      </c>
      <c r="AM112" s="75" t="str">
        <f aca="false">IF(SUM($AE112)&lt;=0,"",ROUND($AE112*$AK112,0))</f>
        <v/>
      </c>
      <c r="AN112" s="75" t="n">
        <f aca="false">IF(AND(SUM($AH112)=0,SUM($AI112)=0),"",SUM($AH112)+SUM($AI112))</f>
        <v>486</v>
      </c>
      <c r="AO112" s="75" t="n">
        <f aca="false">IF(SUM($AH112)&lt;=0,"",$AH112)</f>
        <v>486</v>
      </c>
      <c r="AP112" s="75" t="str">
        <f aca="false">IF(SUM($AI112)&lt;=0,"",ROUND($AI112*$AK112,0))</f>
        <v/>
      </c>
      <c r="AQ112" s="73" t="n">
        <f aca="false">IF(SUM($T112,$AD112,$AE112)&lt;=0,"",MAX(SUM($T112,-$AD112,-$AE112),$AF112))</f>
        <v>-468</v>
      </c>
      <c r="AR112" s="118"/>
      <c r="AS112" s="118" t="str">
        <f aca="false">IF(SUM(AR112)=0,"",$AR112)</f>
        <v/>
      </c>
      <c r="AT112" s="118" t="n">
        <f aca="false">0.95</f>
        <v>0.95</v>
      </c>
      <c r="AU112" s="75" t="str">
        <f aca="false">IF(SUM($AQ112)&lt;=0,"",ROUND(SUM($AQ112)*SUM($AS112),0))</f>
        <v/>
      </c>
      <c r="AV112" s="75" t="str">
        <f aca="false">IF(SUM($AQ112)&lt;=0,"",$AQ112-$AU112)</f>
        <v/>
      </c>
      <c r="AW112" s="73" t="str">
        <f aca="false">IF(SUM($AU112)&lt;=0,"",ROUND($AU112*$AT112,0))</f>
        <v/>
      </c>
      <c r="AX112" s="73" t="n">
        <f aca="false">IF(SUM($AE112,$AD112,$AU112)&lt;=0,"",SUM($AE112,$AD112,$AU112))</f>
        <v>486</v>
      </c>
      <c r="AY112" s="73" t="str">
        <f aca="false">_xlfn.IFNA(INDEX(Cascade!$BD:$BD,MATCH($E112,Cascade!$E:$E,0)),"")</f>
        <v/>
      </c>
      <c r="AZ112" s="118" t="str">
        <f aca="false">IFERROR(IF(SUM($AE112)&lt;=0,"",$AE112/$AY112),"")</f>
        <v/>
      </c>
      <c r="BA112" s="118" t="str">
        <f aca="false">IFERROR(IF(SUM($AU112)&lt;=0,"",$AU112/$AY112),"")</f>
        <v/>
      </c>
      <c r="BB112" s="118" t="str">
        <f aca="false">_xlfn.IFNA(INDEX(Cascade!$BL:$BL,MATCH($E112,Cascade!$E:$E,0)),"")</f>
        <v/>
      </c>
      <c r="BC112" s="118" t="str">
        <f aca="false">_xlfn.IFNA(INDEX(Cascade!$BO:$BO,MATCH($E112,Cascade!$E:$E,0)),"")</f>
        <v/>
      </c>
      <c r="BD112" s="118" t="str">
        <f aca="false">_xlfn.IFNA(INDEX(Cascade!$BR:$BR,MATCH($E112,Cascade!$E:$E,0)),"")</f>
        <v/>
      </c>
    </row>
    <row r="113" customFormat="false" ht="15" hidden="false" customHeight="false" outlineLevel="0" collapsed="false">
      <c r="A113" s="0" t="s">
        <v>151</v>
      </c>
      <c r="B113" s="0" t="s">
        <v>101</v>
      </c>
      <c r="C113" s="0" t="s">
        <v>86</v>
      </c>
      <c r="D113" s="0" t="s">
        <v>56</v>
      </c>
      <c r="E113" s="0" t="str">
        <f aca="false">B113&amp;"|"&amp;C113&amp;"|"&amp;D113</f>
        <v>Thaba Tseka [#SNU] [jyhIrCoB31x]|50+|Female</v>
      </c>
      <c r="F113" s="73" t="n">
        <f aca="false">_xlfn.IFNA(INDEX(Cascade!$F:$F,MATCH($E113,Cascade!$E:$E,0)),"")</f>
        <v>12744</v>
      </c>
      <c r="G113" s="73" t="n">
        <f aca="false">_xlfn.IFNA(INDEX(Cascade!$H:$H,MATCH($E113,Cascade!$E:$E,0)),"")</f>
        <v>2898</v>
      </c>
      <c r="H113" s="118" t="n">
        <f aca="false">_xlfn.IFNA(INDEX(Cascade!$J:$J,MATCH($E113,Cascade!$E:$E,0)),"")</f>
        <v>0.2273606</v>
      </c>
      <c r="I113" s="73" t="n">
        <f aca="false">_xlfn.IFNA(INDEX(Cascade!$P:$P,MATCH($E113,Cascade!$E:$E,0)),"")</f>
        <v>2262</v>
      </c>
      <c r="J113" s="118" t="n">
        <f aca="false">_xlfn.IFNA(INDEX(Cascade!$Y:$Y,MATCH($E113,Cascade!$E:$E,0)),"")</f>
        <v>0.780538302277433</v>
      </c>
      <c r="K113" s="75" t="str">
        <f aca="false">_xlfn.IFNA(ROUND(INDEX(Spectrum!$N:$N,MATCH(RIGHT($B113,13)&amp;"|"&amp;$C113&amp;"|"&amp;$D113&amp;"|"&amp;K$14&amp;"|"&amp;"CY2021Q3",Spectrum!$Q:$Q,0)),0),"")</f>
        <v/>
      </c>
      <c r="L113" s="75" t="str">
        <f aca="false">_xlfn.IFNA(ROUND(INDEX(Spectrum!$N:$N,MATCH(RIGHT($B113,13)&amp;"|"&amp;$C113&amp;"|"&amp;$D113&amp;"|"&amp;L$14&amp;"|"&amp;"CY2021Q3",Spectrum!$Q:$Q,0)),0),"")</f>
        <v/>
      </c>
      <c r="M113" s="75" t="str">
        <f aca="false">_xlfn.IFNA(ROUND(INDEX(Spectrum!$N:$N,MATCH(RIGHT($B113,13)&amp;"|"&amp;$C113&amp;"|"&amp;$D113&amp;"|"&amp;M$14&amp;"|"&amp;"CY2021Q3",Spectrum!$Q:$Q,0)),0),"")</f>
        <v/>
      </c>
      <c r="N113" s="75" t="str">
        <f aca="false">_xlfn.IFNA(ROUND(INDEX(Spectrum!$N:$N,MATCH(RIGHT($B113,13)&amp;"|"&amp;$C113&amp;"|"&amp;$D113&amp;"|"&amp;N$14&amp;"|"&amp;"CY2021Q3",Spectrum!$Q:$Q,0)),0),"")</f>
        <v/>
      </c>
      <c r="O113" s="75" t="str">
        <f aca="false">_xlfn.IFNA(ROUND(INDEX(Spectrum!$N:$N,MATCH(RIGHT($B113,13)&amp;"|"&amp;$C113&amp;"|"&amp;$D113&amp;"|"&amp;O$14&amp;"|"&amp;"CY2021Q3",Spectrum!$Q:$Q,0)),0),"")</f>
        <v/>
      </c>
      <c r="P113" s="75" t="str">
        <f aca="false">_xlfn.IFNA(ROUND(INDEX(Spectrum!$N:$N,MATCH(RIGHT($B113,13)&amp;"|"&amp;$C113&amp;"|"&amp;$D113&amp;"|"&amp;P$14&amp;"|"&amp;"CY2021Q3",Spectrum!$Q:$Q,0)),0),"")</f>
        <v/>
      </c>
      <c r="Q113" s="75" t="str">
        <f aca="false">_xlfn.IFNA(ROUND(INDEX(Spectrum!$N:$N,MATCH(RIGHT($B113,13)&amp;"|"&amp;$C113&amp;"|"&amp;$D113&amp;"|"&amp;Q$14&amp;"|"&amp;"CY2021Q3",Spectrum!$Q:$Q,0)),0),"")</f>
        <v/>
      </c>
      <c r="R113" s="73"/>
      <c r="S113" s="118" t="str">
        <f aca="false">IF(SUM($R113)&lt;=0,"",0%)</f>
        <v/>
      </c>
      <c r="T113" s="75" t="str">
        <f aca="false">IF(SUM($R113)&lt;=0,"",ROUND(MIN($R113,$K113)*(1+$S113),0))</f>
        <v/>
      </c>
      <c r="U113" s="118" t="str">
        <f aca="false">IF(SUM($K113)=0,IF(SUM($R113)=0,"",1),MIN(SUM($R113)/SUM($K113),1))</f>
        <v/>
      </c>
      <c r="V113" s="118" t="str">
        <f aca="false">$U113</f>
        <v/>
      </c>
      <c r="W113" s="75" t="str">
        <f aca="false">IF(SUM($T113)=0,"",ROUND(SUM($T113)/IF(SUM($V113)=0,1,SUM($V113)),0))</f>
        <v/>
      </c>
      <c r="X113" s="118" t="n">
        <f aca="false">1</f>
        <v>1</v>
      </c>
      <c r="Y113" s="118" t="n">
        <v>32</v>
      </c>
      <c r="Z113" s="118" t="n">
        <f aca="false">IF(OR(SUM($K113)&lt;=0,SUM($L113)&lt;=0),IF(SUM($Y113)&lt;=0,"",$Y113),SUM($L113)/$K113)</f>
        <v>32</v>
      </c>
      <c r="AA113" s="118"/>
      <c r="AB113" s="118" t="str">
        <f aca="false">IF(OR((SUM($K113)-SUM($L113))&lt;=0,SUM($M113)&lt;=0),IF(SUM($AA113)&lt;=0,"",$AA113),SUM($M113)/($K113-SUM($L113)))</f>
        <v/>
      </c>
      <c r="AC113" s="73" t="str">
        <f aca="false">IF(SUM($T113)&lt;=0,"",ROUND(SUM($T113)*$X113,0))</f>
        <v/>
      </c>
      <c r="AD113" s="75" t="str">
        <f aca="false">IF(SUM($AC113)&lt;=0,"",ROUND($AC113*SUM($Z113),0))</f>
        <v/>
      </c>
      <c r="AE113" s="75" t="str">
        <f aca="false">IF(SUM($T113)&lt;=0,"",ROUND(($AC113-$AD113)*SUM($AB113),0))</f>
        <v/>
      </c>
      <c r="AF113" s="75" t="str">
        <f aca="false">IF(SUM($AC113)&lt;=0,"",ROUND($AC113-$AD113-$AE113,0))</f>
        <v/>
      </c>
      <c r="AG113" s="73" t="str">
        <f aca="false">IF(SUM($W113)&lt;=0,"",ROUND(SUM($W113)*$X113,0))</f>
        <v/>
      </c>
      <c r="AH113" s="75" t="str">
        <f aca="false">IF(SUM($AG113)&lt;=0,"",ROUND($AG113*SUM($Z113),0))</f>
        <v/>
      </c>
      <c r="AI113" s="75" t="str">
        <f aca="false">IF(SUM($W113)&lt;=0,"",ROUND(($AG113-$AH113)*SUM($AB113),0))</f>
        <v/>
      </c>
      <c r="AJ113" s="75" t="str">
        <f aca="false">IF(SUM($AG113)&lt;=0,"",ROUND($AG113-$AH113-$AI113,0))</f>
        <v/>
      </c>
      <c r="AK113" s="118" t="n">
        <f aca="false">_xlfn.IFNA(INDEX(Cascade!$BA:$BA,MATCH($E113,Cascade!$E:$E,0)),"")</f>
        <v>0.95</v>
      </c>
      <c r="AL113" s="75" t="str">
        <f aca="false">IF(SUM($AD113)&lt;=0,"",$AD113)</f>
        <v/>
      </c>
      <c r="AM113" s="75" t="str">
        <f aca="false">IF(SUM($AE113)&lt;=0,"",ROUND($AE113*$AK113,0))</f>
        <v/>
      </c>
      <c r="AN113" s="75" t="str">
        <f aca="false">IF(AND(SUM($AH113)=0,SUM($AI113)=0),"",SUM($AH113)+SUM($AI113))</f>
        <v/>
      </c>
      <c r="AO113" s="75" t="str">
        <f aca="false">IF(SUM($AH113)&lt;=0,"",$AH113)</f>
        <v/>
      </c>
      <c r="AP113" s="75" t="str">
        <f aca="false">IF(SUM($AI113)&lt;=0,"",ROUND($AI113*$AK113,0))</f>
        <v/>
      </c>
      <c r="AQ113" s="73" t="str">
        <f aca="false">IF(SUM($T113,$AD113,$AE113)&lt;=0,"",MAX(SUM($T113,-$AD113,-$AE113),$AF113))</f>
        <v/>
      </c>
      <c r="AR113" s="118"/>
      <c r="AS113" s="118" t="str">
        <f aca="false">IF(SUM(AR113)=0,"",$AR113)</f>
        <v/>
      </c>
      <c r="AT113" s="118" t="n">
        <f aca="false">0.95</f>
        <v>0.95</v>
      </c>
      <c r="AU113" s="75" t="str">
        <f aca="false">IF(SUM($AQ113)&lt;=0,"",ROUND(SUM($AQ113)*SUM($AS113),0))</f>
        <v/>
      </c>
      <c r="AV113" s="75" t="str">
        <f aca="false">IF(SUM($AQ113)&lt;=0,"",$AQ113-$AU113)</f>
        <v/>
      </c>
      <c r="AW113" s="73" t="str">
        <f aca="false">IF(SUM($AU113)&lt;=0,"",ROUND($AU113*$AT113,0))</f>
        <v/>
      </c>
      <c r="AX113" s="73" t="str">
        <f aca="false">IF(SUM($AE113,$AD113,$AU113)&lt;=0,"",SUM($AE113,$AD113,$AU113))</f>
        <v/>
      </c>
      <c r="AY113" s="73" t="str">
        <f aca="false">_xlfn.IFNA(INDEX(Cascade!$BD:$BD,MATCH($E113,Cascade!$E:$E,0)),"")</f>
        <v/>
      </c>
      <c r="AZ113" s="118" t="str">
        <f aca="false">IFERROR(IF(SUM($AE113)&lt;=0,"",$AE113/$AY113),"")</f>
        <v/>
      </c>
      <c r="BA113" s="118" t="str">
        <f aca="false">IFERROR(IF(SUM($AU113)&lt;=0,"",$AU113/$AY113),"")</f>
        <v/>
      </c>
      <c r="BB113" s="118" t="str">
        <f aca="false">_xlfn.IFNA(INDEX(Cascade!$BL:$BL,MATCH($E113,Cascade!$E:$E,0)),"")</f>
        <v/>
      </c>
      <c r="BC113" s="118" t="str">
        <f aca="false">_xlfn.IFNA(INDEX(Cascade!$BO:$BO,MATCH($E113,Cascade!$E:$E,0)),"")</f>
        <v/>
      </c>
      <c r="BD113" s="118" t="str">
        <f aca="false">_xlfn.IFNA(INDEX(Cascade!$BR:$BR,MATCH($E113,Cascade!$E:$E,0)),"")</f>
        <v/>
      </c>
    </row>
  </sheetData>
  <mergeCells count="1">
    <mergeCell ref="A2:B3"/>
  </mergeCells>
  <conditionalFormatting sqref="AK1:AK1048576 AR1:AT1048576 AZ1:BD1048576 X1:AB1048576 S1:S1048576 U1:V1048576">
    <cfRule type="expression" priority="2" aboveAverage="0" equalAverage="0" bottom="0" percent="0" rank="0" text="" dxfId="0">
      <formula>AND(ISNUMBER(S1),OR(S1&gt;1,S1&lt;0))</formula>
    </cfRule>
  </conditionalFormatting>
  <conditionalFormatting sqref="S1:S1048576">
    <cfRule type="expression" priority="3" aboveAverage="0" equalAverage="0" bottom="0" percent="0" rank="0" text="" dxfId="1">
      <formula>AND(ISNUMBER($S1),ROUND($S1,2)&lt;&gt;0)</formula>
    </cfRule>
  </conditionalFormatting>
  <conditionalFormatting sqref="AK1:AK1048576 AT1:AT1048576">
    <cfRule type="expression" priority="4" aboveAverage="0" equalAverage="0" bottom="0" percent="0" rank="0" text="" dxfId="2">
      <formula>AND(ISNUMBER(AK1),ROUND(AK1,2)&lt;0.95)</formula>
    </cfRule>
  </conditionalFormatting>
  <conditionalFormatting sqref="Z1:Z1048576">
    <cfRule type="expression" priority="5" aboveAverage="0" equalAverage="0" bottom="0" percent="0" rank="0" text="" dxfId="3">
      <formula>AND(ISNUMBER(Z1),ROUND(Z1,2)&gt;=0.75)</formula>
    </cfRule>
  </conditionalFormatting>
  <conditionalFormatting sqref="X1:X1048576">
    <cfRule type="expression" priority="6" aboveAverage="0" equalAverage="0" bottom="0" percent="0" rank="0" text="" dxfId="0">
      <formula>AND(ROW($X1)&gt;14,ISNUMBER($X1),$X1&lt;100%)</formula>
    </cfRule>
  </conditionalFormatting>
  <conditionalFormatting sqref="AX1:BD1048576">
    <cfRule type="expression" priority="7" aboveAverage="0" equalAverage="0" bottom="0" percent="0" rank="0" text="" dxfId="1">
      <formula>AND(ROW($BD1)&gt;14,$BD1&lt;0)</formula>
    </cfRule>
  </conditionalFormatting>
  <conditionalFormatting sqref="AB1:AB1048576">
    <cfRule type="expression" priority="8" aboveAverage="0" equalAverage="0" bottom="0" percent="0" rank="0" text="" dxfId="2">
      <formula>AND(ROW($AB1)&gt;14,ROUND($AB1,2)&gt;10%)</formula>
    </cfRule>
  </conditionalFormatting>
  <conditionalFormatting sqref="F1:Q1048576">
    <cfRule type="expression" priority="9" aboveAverage="0" equalAverage="0" bottom="0" percent="0" rank="0" text="" dxfId="3">
      <formula>AND(ROW(F1)&gt;14,LEFT(B1,4)="_Mil")</formula>
    </cfRule>
  </conditionalFormatting>
  <conditionalFormatting sqref="T1:T1048576 W1:W1048576">
    <cfRule type="expression" priority="10" aboveAverage="0" equalAverage="0" bottom="0" percent="0" rank="0" text="" dxfId="4">
      <formula>AND(ROW($T1)&gt;14,ISNUMBER($T1),$R1&gt;$K1)</formula>
    </cfRule>
  </conditionalFormatting>
  <hyperlinks>
    <hyperlink ref="F3" location="Cascade!F:F" display="Host Country Est. Female Population (FY21)"/>
    <hyperlink ref="G3" location="Cascade!H:H" display="Host Country Est. PLHIV (FY21)"/>
    <hyperlink ref="H3" location="Cascade!J:J" display="Host Country Est. HIV Prevalence (FY21) (%)"/>
    <hyperlink ref="I3" location="Cascade!P:P" display="Host Country Est. TX_CURR_SUBNAT (FY21)"/>
    <hyperlink ref="J3" location="Cascade!Y:Y" display="Host Country Est. ART Coverage (FY21) (%)"/>
    <hyperlink ref="AE3" location="Cascade!BF:BF" display="Newly Tested, Positive"/>
    <hyperlink ref="AU3" location="Cascade!BG:BG" display="Positive"/>
    <hyperlink ref="AX3" location="EID!E:E" display="Total PMTCT: Positives (From ANC1 &amp; Post ANC1)"/>
    <hyperlink ref="AY3" location="Cascade!BD:BD" display="Total HTS_TST_POS (FY22)"/>
    <hyperlink ref="AZ3" location="PMTCT!AB:AB" display="Total Positives from PMTCT_STAT ANC1 (FY22) (%)"/>
    <hyperlink ref="BA3" location="PMTCT!AJ:AJ" display="Total Positives from PMTCT Post ANC1 (FY22) (%)"/>
    <hyperlink ref="BB3" location="Cascade!BL:BL" display="Total Positives from HTS_INDEX (FY22) (%)"/>
    <hyperlink ref="BC3" location="Cascade!BO:BO" display="Total Positives from TB_STAT (FY22) (%)"/>
    <hyperlink ref="BD3" location="Cascade!BR:BR" display="Total Positives from All Other Modalities (FY22) (%)"/>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N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4" topLeftCell="C15" activePane="bottomRight" state="frozen"/>
      <selection pane="topLeft" activeCell="A1" activeCellId="0" sqref="A1"/>
      <selection pane="topRight" activeCell="C1" activeCellId="0" sqref="C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14" min="3" style="0" width="11.83"/>
    <col collapsed="false" customWidth="true" hidden="false" outlineLevel="0" max="1025" min="15" style="0" width="10.61"/>
  </cols>
  <sheetData>
    <row r="1" customFormat="false" ht="31" hidden="false" customHeight="true" outlineLevel="0" collapsed="false">
      <c r="A1" s="54" t="s">
        <v>424</v>
      </c>
      <c r="B1" s="54"/>
      <c r="C1" s="81" t="s">
        <v>425</v>
      </c>
      <c r="D1" s="81"/>
      <c r="E1" s="76"/>
      <c r="F1" s="76"/>
      <c r="G1" s="76"/>
      <c r="H1" s="81" t="s">
        <v>426</v>
      </c>
      <c r="I1" s="81"/>
      <c r="J1" s="81"/>
      <c r="K1" s="81"/>
      <c r="L1" s="81"/>
      <c r="M1" s="76"/>
      <c r="N1" s="76"/>
    </row>
    <row r="2" customFormat="false" ht="19" hidden="false" customHeight="true" outlineLevel="0" collapsed="false">
      <c r="A2" s="57"/>
      <c r="B2" s="57"/>
      <c r="C2" s="87" t="s">
        <v>156</v>
      </c>
      <c r="D2" s="87"/>
      <c r="E2" s="89"/>
      <c r="F2" s="84" t="s">
        <v>121</v>
      </c>
      <c r="G2" s="84"/>
      <c r="H2" s="87" t="s">
        <v>156</v>
      </c>
      <c r="I2" s="87"/>
      <c r="J2" s="87"/>
      <c r="M2" s="89" t="s">
        <v>120</v>
      </c>
      <c r="N2" s="89"/>
    </row>
    <row r="3" customFormat="false" ht="117" hidden="false" customHeight="true" outlineLevel="0" collapsed="false">
      <c r="A3" s="61"/>
      <c r="B3" s="61"/>
      <c r="C3" s="146" t="s">
        <v>427</v>
      </c>
      <c r="D3" s="146" t="s">
        <v>428</v>
      </c>
      <c r="E3" s="142" t="s">
        <v>429</v>
      </c>
      <c r="F3" s="100" t="s">
        <v>430</v>
      </c>
      <c r="G3" s="100" t="s">
        <v>431</v>
      </c>
      <c r="H3" s="150" t="s">
        <v>432</v>
      </c>
      <c r="I3" s="99" t="s">
        <v>433</v>
      </c>
      <c r="J3" s="103" t="s">
        <v>434</v>
      </c>
      <c r="K3" s="99" t="s">
        <v>435</v>
      </c>
      <c r="L3" s="103" t="s">
        <v>436</v>
      </c>
      <c r="M3" s="142" t="s">
        <v>437</v>
      </c>
      <c r="N3" s="142" t="s">
        <v>438</v>
      </c>
    </row>
    <row r="4" customFormat="false" ht="15" hidden="false" customHeight="false" outlineLevel="0" collapsed="false">
      <c r="A4" s="65"/>
      <c r="B4" s="65" t="s">
        <v>125</v>
      </c>
      <c r="C4" s="108"/>
      <c r="D4" s="108"/>
      <c r="E4" s="110" t="n">
        <f aca="false">SUBTOTAL(109,E$15:INDEX(E:E,COUNTA($B:$B)+14-COUNTA($B$1:$B$14)))</f>
        <v>11006</v>
      </c>
      <c r="F4" s="105" t="n">
        <f aca="false">SUBTOTAL(109,F$15:INDEX(F:F,COUNTA($B:$B)+14-COUNTA($B$1:$B$14)))</f>
        <v>8805</v>
      </c>
      <c r="G4" s="105" t="n">
        <f aca="false">SUBTOTAL(109,G$15:INDEX(G:G,COUNTA($B:$B)+14-COUNTA($B$1:$B$14)))</f>
        <v>1652</v>
      </c>
      <c r="H4" s="114"/>
      <c r="I4" s="108"/>
      <c r="J4" s="108"/>
      <c r="K4" s="108"/>
      <c r="L4" s="108"/>
      <c r="M4" s="110" t="n">
        <f aca="false">SUBTOTAL(109,M$15:INDEX(M:M,COUNTA($B:$B)+14-COUNTA($B$1:$B$14)))</f>
        <v>211502</v>
      </c>
      <c r="N4" s="110" t="n">
        <f aca="false">SUBTOTAL(109,N$15:INDEX(N:N,COUNTA($B:$B)+14-COUNTA($B$1:$B$14)))</f>
        <v>200926</v>
      </c>
    </row>
    <row r="5" customFormat="false" ht="12.8" hidden="false" customHeight="false" outlineLevel="0" collapsed="false">
      <c r="A5" s="69" t="s">
        <v>126</v>
      </c>
      <c r="B5" s="69" t="s">
        <v>126</v>
      </c>
      <c r="C5" s="118" t="s">
        <v>126</v>
      </c>
      <c r="D5" s="118" t="s">
        <v>126</v>
      </c>
      <c r="E5" s="73" t="s">
        <v>126</v>
      </c>
      <c r="F5" s="115" t="s">
        <v>225</v>
      </c>
      <c r="G5" s="115" t="s">
        <v>225</v>
      </c>
      <c r="H5" s="125" t="s">
        <v>126</v>
      </c>
      <c r="I5" s="118" t="s">
        <v>126</v>
      </c>
      <c r="J5" s="118" t="s">
        <v>126</v>
      </c>
      <c r="K5" s="118" t="s">
        <v>126</v>
      </c>
      <c r="L5" s="118" t="s">
        <v>126</v>
      </c>
      <c r="M5" s="73" t="s">
        <v>126</v>
      </c>
      <c r="N5" s="73" t="s">
        <v>126</v>
      </c>
    </row>
    <row r="6" customFormat="false" ht="12.8" hidden="false" customHeight="false" outlineLevel="0" collapsed="false">
      <c r="A6" s="69" t="s">
        <v>128</v>
      </c>
      <c r="B6" s="69" t="s">
        <v>128</v>
      </c>
      <c r="C6" s="118" t="s">
        <v>227</v>
      </c>
      <c r="D6" s="118" t="s">
        <v>227</v>
      </c>
      <c r="E6" s="73" t="s">
        <v>131</v>
      </c>
      <c r="F6" s="115" t="s">
        <v>130</v>
      </c>
      <c r="G6" s="115" t="s">
        <v>130</v>
      </c>
      <c r="H6" s="125" t="s">
        <v>228</v>
      </c>
      <c r="I6" s="118" t="s">
        <v>227</v>
      </c>
      <c r="J6" s="118" t="s">
        <v>228</v>
      </c>
      <c r="K6" s="118" t="s">
        <v>227</v>
      </c>
      <c r="L6" s="118" t="s">
        <v>227</v>
      </c>
      <c r="M6" s="73" t="s">
        <v>131</v>
      </c>
      <c r="N6" s="73" t="s">
        <v>131</v>
      </c>
    </row>
    <row r="7" customFormat="false" ht="12.8" hidden="false" customHeight="false" outlineLevel="0" collapsed="false">
      <c r="A7" s="69" t="s">
        <v>132</v>
      </c>
      <c r="B7" s="69" t="s">
        <v>132</v>
      </c>
      <c r="C7" s="118" t="s">
        <v>229</v>
      </c>
      <c r="D7" s="118" t="s">
        <v>229</v>
      </c>
      <c r="E7" s="73" t="s">
        <v>133</v>
      </c>
      <c r="F7" s="115" t="s">
        <v>133</v>
      </c>
      <c r="G7" s="115" t="s">
        <v>133</v>
      </c>
      <c r="H7" s="125" t="s">
        <v>229</v>
      </c>
      <c r="I7" s="118" t="s">
        <v>229</v>
      </c>
      <c r="J7" s="118" t="s">
        <v>229</v>
      </c>
      <c r="K7" s="118" t="s">
        <v>229</v>
      </c>
      <c r="L7" s="118" t="s">
        <v>229</v>
      </c>
      <c r="M7" s="73" t="s">
        <v>133</v>
      </c>
      <c r="N7" s="73" t="s">
        <v>133</v>
      </c>
    </row>
    <row r="8" customFormat="false" ht="12.8" hidden="false" customHeight="false" outlineLevel="0" collapsed="false">
      <c r="C8" s="118"/>
      <c r="F8" s="115" t="s">
        <v>439</v>
      </c>
      <c r="G8" s="115" t="s">
        <v>439</v>
      </c>
    </row>
    <row r="9" customFormat="false" ht="12.8" hidden="false" customHeight="false" outlineLevel="0" collapsed="false">
      <c r="C9" s="118"/>
      <c r="F9" s="115" t="s">
        <v>440</v>
      </c>
      <c r="G9" s="115" t="s">
        <v>440</v>
      </c>
    </row>
    <row r="10" customFormat="false" ht="12.8" hidden="false" customHeight="false" outlineLevel="0" collapsed="false">
      <c r="C10" s="118"/>
      <c r="F10" s="115" t="s">
        <v>441</v>
      </c>
      <c r="G10" s="115" t="s">
        <v>442</v>
      </c>
    </row>
    <row r="11" customFormat="false" ht="12.8" hidden="false" customHeight="false" outlineLevel="0" collapsed="false">
      <c r="C11" s="118"/>
    </row>
    <row r="12" customFormat="false" ht="12.8" hidden="false" customHeight="false" outlineLevel="0" collapsed="false">
      <c r="C12" s="118"/>
    </row>
    <row r="13" customFormat="false" ht="12.8" hidden="false" customHeight="false" outlineLevel="0" collapsed="false">
      <c r="C13" s="118"/>
    </row>
    <row r="14" customFormat="false" ht="15" hidden="false" customHeight="false" outlineLevel="0" collapsed="false">
      <c r="A14" s="70" t="s">
        <v>135</v>
      </c>
      <c r="B14" s="70" t="s">
        <v>136</v>
      </c>
      <c r="C14" s="131" t="s">
        <v>443</v>
      </c>
      <c r="D14" s="131" t="s">
        <v>444</v>
      </c>
      <c r="E14" s="131" t="s">
        <v>445</v>
      </c>
      <c r="F14" s="131" t="s">
        <v>446</v>
      </c>
      <c r="G14" s="131" t="s">
        <v>447</v>
      </c>
      <c r="H14" s="163" t="s">
        <v>448</v>
      </c>
      <c r="I14" s="131" t="s">
        <v>449</v>
      </c>
      <c r="J14" s="131" t="s">
        <v>450</v>
      </c>
      <c r="K14" s="131" t="s">
        <v>451</v>
      </c>
      <c r="L14" s="131" t="s">
        <v>452</v>
      </c>
      <c r="M14" s="131" t="s">
        <v>304</v>
      </c>
      <c r="N14" s="131" t="s">
        <v>271</v>
      </c>
    </row>
    <row r="15" customFormat="false" ht="15" hidden="false" customHeight="false" outlineLevel="0" collapsed="false">
      <c r="A15" s="53" t="s">
        <v>140</v>
      </c>
      <c r="B15" s="53" t="s">
        <v>141</v>
      </c>
      <c r="C15" s="118" t="n">
        <f aca="false">0.8</f>
        <v>0.8</v>
      </c>
      <c r="D15" s="118" t="n">
        <f aca="false">0.95</f>
        <v>0.95</v>
      </c>
      <c r="E15" s="73" t="n">
        <f aca="false">SUMIF(PMTCT!$B:$B,$B15,PMTCT!$AX:$AX)</f>
        <v>696</v>
      </c>
      <c r="F15" s="115" t="n">
        <f aca="false">IF(SUM($E15)&lt;=0,"",ROUND($E15*$C15,0))</f>
        <v>557</v>
      </c>
      <c r="G15" s="115" t="n">
        <f aca="false">IF(SUM($E15)&lt;=0,"",ROUND($E15*$D15,0)-$F15)</f>
        <v>104</v>
      </c>
      <c r="H15" s="118"/>
      <c r="I15" s="118" t="str">
        <f aca="false">IF(SUM($H15)=0,"",$H15)</f>
        <v/>
      </c>
      <c r="J15" s="118" t="n">
        <v>19</v>
      </c>
      <c r="K15" s="118" t="n">
        <f aca="false">IF(SUM($J15)=0,"",$J15)</f>
        <v>19</v>
      </c>
      <c r="L15" s="118" t="n">
        <f aca="false">0.95</f>
        <v>0.95</v>
      </c>
      <c r="M15" s="73" t="n">
        <f aca="false">IF(AND(SUM($F15)=0,SUM($G15)=0),"",ROUND(SUM(SUM($F15)*SUM($I15),SUM($G15)*SUM($K15)),0))</f>
        <v>1976</v>
      </c>
      <c r="N15" s="73" t="n">
        <f aca="false">IF(ISNUMBER($M15),ROUND($M15*$L15,0),"")</f>
        <v>1877</v>
      </c>
    </row>
    <row r="16" customFormat="false" ht="15" hidden="false" customHeight="false" outlineLevel="0" collapsed="false">
      <c r="A16" s="0" t="s">
        <v>142</v>
      </c>
      <c r="B16" s="0" t="s">
        <v>109</v>
      </c>
      <c r="C16" s="118" t="n">
        <f aca="false">0.8</f>
        <v>0.8</v>
      </c>
      <c r="D16" s="118" t="n">
        <f aca="false">0.95</f>
        <v>0.95</v>
      </c>
      <c r="E16" s="73" t="n">
        <f aca="false">SUMIF(PMTCT!$B:$B,$B16,PMTCT!$AX:$AX)</f>
        <v>2350</v>
      </c>
      <c r="F16" s="75" t="n">
        <f aca="false">IF(SUM($E16)&lt;=0,"",ROUND($E16*$C16,0))</f>
        <v>1880</v>
      </c>
      <c r="G16" s="75" t="n">
        <f aca="false">IF(SUM($E16)&lt;=0,"",ROUND($E16*$D16,0)-$F16)</f>
        <v>353</v>
      </c>
      <c r="H16" s="118" t="n">
        <v>22</v>
      </c>
      <c r="I16" s="118" t="n">
        <f aca="false">IF(SUM($H16)=0,"",$H16)</f>
        <v>22</v>
      </c>
      <c r="J16" s="118" t="n">
        <v>49</v>
      </c>
      <c r="K16" s="118" t="n">
        <f aca="false">IF(SUM($J16)=0,"",$J16)</f>
        <v>49</v>
      </c>
      <c r="L16" s="118" t="n">
        <f aca="false">0.95</f>
        <v>0.95</v>
      </c>
      <c r="M16" s="73" t="n">
        <f aca="false">IF(AND(SUM($F16)=0,SUM($G16)=0),"",ROUND(SUM(SUM($F16)*SUM($I16),SUM($G16)*SUM($K16)),0))</f>
        <v>58657</v>
      </c>
      <c r="N16" s="73" t="n">
        <f aca="false">IF(ISNUMBER($M16),ROUND($M16*$L16,0),"")</f>
        <v>55724</v>
      </c>
    </row>
    <row r="17" customFormat="false" ht="15" hidden="false" customHeight="false" outlineLevel="0" collapsed="false">
      <c r="A17" s="0" t="s">
        <v>143</v>
      </c>
      <c r="B17" s="0" t="s">
        <v>115</v>
      </c>
      <c r="C17" s="118" t="n">
        <f aca="false">0.8</f>
        <v>0.8</v>
      </c>
      <c r="D17" s="118" t="n">
        <f aca="false">0.95</f>
        <v>0.95</v>
      </c>
      <c r="E17" s="73" t="n">
        <f aca="false">SUMIF(PMTCT!$B:$B,$B17,PMTCT!$AX:$AX)</f>
        <v>432</v>
      </c>
      <c r="F17" s="75" t="n">
        <f aca="false">IF(SUM($E17)&lt;=0,"",ROUND($E17*$C17,0))</f>
        <v>346</v>
      </c>
      <c r="G17" s="75" t="n">
        <f aca="false">IF(SUM($E17)&lt;=0,"",ROUND($E17*$D17,0)-$F17)</f>
        <v>64</v>
      </c>
      <c r="H17" s="118"/>
      <c r="I17" s="118" t="str">
        <f aca="false">IF(SUM($H17)=0,"",$H17)</f>
        <v/>
      </c>
      <c r="J17" s="118" t="n">
        <v>24</v>
      </c>
      <c r="K17" s="118" t="n">
        <f aca="false">IF(SUM($J17)=0,"",$J17)</f>
        <v>24</v>
      </c>
      <c r="L17" s="118" t="n">
        <f aca="false">0.95</f>
        <v>0.95</v>
      </c>
      <c r="M17" s="73" t="n">
        <f aca="false">IF(AND(SUM($F17)=0,SUM($G17)=0),"",ROUND(SUM(SUM($F17)*SUM($I17),SUM($G17)*SUM($K17)),0))</f>
        <v>1536</v>
      </c>
      <c r="N17" s="73" t="n">
        <f aca="false">IF(ISNUMBER($M17),ROUND($M17*$L17,0),"")</f>
        <v>1459</v>
      </c>
    </row>
    <row r="18" customFormat="false" ht="15" hidden="false" customHeight="false" outlineLevel="0" collapsed="false">
      <c r="A18" s="0" t="s">
        <v>144</v>
      </c>
      <c r="B18" s="0" t="s">
        <v>103</v>
      </c>
      <c r="C18" s="118" t="n">
        <f aca="false">0.8</f>
        <v>0.8</v>
      </c>
      <c r="D18" s="118" t="n">
        <f aca="false">0.95</f>
        <v>0.95</v>
      </c>
      <c r="E18" s="73" t="n">
        <f aca="false">SUMIF(PMTCT!$B:$B,$B18,PMTCT!$AX:$AX)</f>
        <v>49</v>
      </c>
      <c r="F18" s="75" t="n">
        <f aca="false">IF(SUM($E18)&lt;=0,"",ROUND($E18*$C18,0))</f>
        <v>39</v>
      </c>
      <c r="G18" s="75" t="n">
        <f aca="false">IF(SUM($E18)&lt;=0,"",ROUND($E18*$D18,0)-$F18)</f>
        <v>8</v>
      </c>
      <c r="H18" s="118" t="n">
        <v>48</v>
      </c>
      <c r="I18" s="118" t="n">
        <f aca="false">IF(SUM($H18)=0,"",$H18)</f>
        <v>48</v>
      </c>
      <c r="J18" s="118" t="n">
        <v>7</v>
      </c>
      <c r="K18" s="118" t="n">
        <f aca="false">IF(SUM($J18)=0,"",$J18)</f>
        <v>7</v>
      </c>
      <c r="L18" s="118" t="n">
        <f aca="false">0.95</f>
        <v>0.95</v>
      </c>
      <c r="M18" s="73" t="n">
        <f aca="false">IF(AND(SUM($F18)=0,SUM($G18)=0),"",ROUND(SUM(SUM($F18)*SUM($I18),SUM($G18)*SUM($K18)),0))</f>
        <v>1928</v>
      </c>
      <c r="N18" s="73" t="n">
        <f aca="false">IF(ISNUMBER($M18),ROUND($M18*$L18,0),"")</f>
        <v>1832</v>
      </c>
    </row>
    <row r="19" customFormat="false" ht="15" hidden="false" customHeight="false" outlineLevel="0" collapsed="false">
      <c r="A19" s="0" t="s">
        <v>145</v>
      </c>
      <c r="B19" s="0" t="s">
        <v>107</v>
      </c>
      <c r="C19" s="118" t="n">
        <f aca="false">0.8</f>
        <v>0.8</v>
      </c>
      <c r="D19" s="118" t="n">
        <f aca="false">0.95</f>
        <v>0.95</v>
      </c>
      <c r="E19" s="73" t="n">
        <f aca="false">SUMIF(PMTCT!$B:$B,$B19,PMTCT!$AX:$AX)</f>
        <v>2107</v>
      </c>
      <c r="F19" s="75" t="n">
        <f aca="false">IF(SUM($E19)&lt;=0,"",ROUND($E19*$C19,0))</f>
        <v>1686</v>
      </c>
      <c r="G19" s="75" t="n">
        <f aca="false">IF(SUM($E19)&lt;=0,"",ROUND($E19*$D19,0)-$F19)</f>
        <v>316</v>
      </c>
      <c r="H19" s="118"/>
      <c r="I19" s="118" t="str">
        <f aca="false">IF(SUM($H19)=0,"",$H19)</f>
        <v/>
      </c>
      <c r="J19" s="118" t="n">
        <v>7</v>
      </c>
      <c r="K19" s="118" t="n">
        <f aca="false">IF(SUM($J19)=0,"",$J19)</f>
        <v>7</v>
      </c>
      <c r="L19" s="118" t="n">
        <f aca="false">0.95</f>
        <v>0.95</v>
      </c>
      <c r="M19" s="73" t="n">
        <f aca="false">IF(AND(SUM($F19)=0,SUM($G19)=0),"",ROUND(SUM(SUM($F19)*SUM($I19),SUM($G19)*SUM($K19)),0))</f>
        <v>2212</v>
      </c>
      <c r="N19" s="73" t="n">
        <f aca="false">IF(ISNUMBER($M19),ROUND($M19*$L19,0),"")</f>
        <v>2101</v>
      </c>
    </row>
    <row r="20" customFormat="false" ht="15" hidden="false" customHeight="false" outlineLevel="0" collapsed="false">
      <c r="A20" s="0" t="s">
        <v>146</v>
      </c>
      <c r="B20" s="0" t="s">
        <v>45</v>
      </c>
      <c r="C20" s="118" t="n">
        <f aca="false">0.8</f>
        <v>0.8</v>
      </c>
      <c r="D20" s="118" t="n">
        <f aca="false">0.95</f>
        <v>0.95</v>
      </c>
      <c r="E20" s="73" t="n">
        <f aca="false">SUMIF(PMTCT!$B:$B,$B20,PMTCT!$AX:$AX)</f>
        <v>1600</v>
      </c>
      <c r="F20" s="75" t="n">
        <f aca="false">IF(SUM($E20)&lt;=0,"",ROUND($E20*$C20,0))</f>
        <v>1280</v>
      </c>
      <c r="G20" s="75" t="n">
        <f aca="false">IF(SUM($E20)&lt;=0,"",ROUND($E20*$D20,0)-$F20)</f>
        <v>240</v>
      </c>
      <c r="H20" s="118" t="n">
        <v>33</v>
      </c>
      <c r="I20" s="118" t="n">
        <f aca="false">IF(SUM($H20)=0,"",$H20)</f>
        <v>33</v>
      </c>
      <c r="J20" s="118" t="n">
        <v>19</v>
      </c>
      <c r="K20" s="118" t="n">
        <f aca="false">IF(SUM($J20)=0,"",$J20)</f>
        <v>19</v>
      </c>
      <c r="L20" s="118" t="n">
        <f aca="false">0.95</f>
        <v>0.95</v>
      </c>
      <c r="M20" s="73" t="n">
        <f aca="false">IF(AND(SUM($F20)=0,SUM($G20)=0),"",ROUND(SUM(SUM($F20)*SUM($I20),SUM($G20)*SUM($K20)),0))</f>
        <v>46800</v>
      </c>
      <c r="N20" s="73" t="n">
        <f aca="false">IF(ISNUMBER($M20),ROUND($M20*$L20,0),"")</f>
        <v>44460</v>
      </c>
    </row>
    <row r="21" customFormat="false" ht="15" hidden="false" customHeight="false" outlineLevel="0" collapsed="false">
      <c r="A21" s="0" t="s">
        <v>147</v>
      </c>
      <c r="B21" s="0" t="s">
        <v>105</v>
      </c>
      <c r="C21" s="118" t="n">
        <f aca="false">0.8</f>
        <v>0.8</v>
      </c>
      <c r="D21" s="118" t="n">
        <f aca="false">0.95</f>
        <v>0.95</v>
      </c>
      <c r="E21" s="73" t="n">
        <f aca="false">SUMIF(PMTCT!$B:$B,$B21,PMTCT!$AX:$AX)</f>
        <v>1680</v>
      </c>
      <c r="F21" s="75" t="n">
        <f aca="false">IF(SUM($E21)&lt;=0,"",ROUND($E21*$C21,0))</f>
        <v>1344</v>
      </c>
      <c r="G21" s="75" t="n">
        <f aca="false">IF(SUM($E21)&lt;=0,"",ROUND($E21*$D21,0)-$F21)</f>
        <v>252</v>
      </c>
      <c r="H21" s="118" t="n">
        <v>6</v>
      </c>
      <c r="I21" s="118" t="n">
        <f aca="false">IF(SUM($H21)=0,"",$H21)</f>
        <v>6</v>
      </c>
      <c r="J21" s="118" t="n">
        <v>31</v>
      </c>
      <c r="K21" s="118" t="n">
        <f aca="false">IF(SUM($J21)=0,"",$J21)</f>
        <v>31</v>
      </c>
      <c r="L21" s="118" t="n">
        <f aca="false">0.95</f>
        <v>0.95</v>
      </c>
      <c r="M21" s="73" t="n">
        <f aca="false">IF(AND(SUM($F21)=0,SUM($G21)=0),"",ROUND(SUM(SUM($F21)*SUM($I21),SUM($G21)*SUM($K21)),0))</f>
        <v>15876</v>
      </c>
      <c r="N21" s="73" t="n">
        <f aca="false">IF(ISNUMBER($M21),ROUND($M21*$L21,0),"")</f>
        <v>15082</v>
      </c>
    </row>
    <row r="22" customFormat="false" ht="15" hidden="false" customHeight="false" outlineLevel="0" collapsed="false">
      <c r="A22" s="0" t="s">
        <v>148</v>
      </c>
      <c r="B22" s="0" t="s">
        <v>113</v>
      </c>
      <c r="C22" s="118" t="n">
        <f aca="false">0.8</f>
        <v>0.8</v>
      </c>
      <c r="D22" s="118" t="n">
        <f aca="false">0.95</f>
        <v>0.95</v>
      </c>
      <c r="E22" s="73" t="n">
        <f aca="false">SUMIF(PMTCT!$B:$B,$B22,PMTCT!$AX:$AX)</f>
        <v>625</v>
      </c>
      <c r="F22" s="75" t="n">
        <f aca="false">IF(SUM($E22)&lt;=0,"",ROUND($E22*$C22,0))</f>
        <v>500</v>
      </c>
      <c r="G22" s="75" t="n">
        <f aca="false">IF(SUM($E22)&lt;=0,"",ROUND($E22*$D22,0)-$F22)</f>
        <v>94</v>
      </c>
      <c r="H22" s="118" t="n">
        <v>43</v>
      </c>
      <c r="I22" s="118" t="n">
        <f aca="false">IF(SUM($H22)=0,"",$H22)</f>
        <v>43</v>
      </c>
      <c r="J22" s="118" t="n">
        <v>41</v>
      </c>
      <c r="K22" s="118" t="n">
        <f aca="false">IF(SUM($J22)=0,"",$J22)</f>
        <v>41</v>
      </c>
      <c r="L22" s="118" t="n">
        <f aca="false">0.95</f>
        <v>0.95</v>
      </c>
      <c r="M22" s="73" t="n">
        <f aca="false">IF(AND(SUM($F22)=0,SUM($G22)=0),"",ROUND(SUM(SUM($F22)*SUM($I22),SUM($G22)*SUM($K22)),0))</f>
        <v>25354</v>
      </c>
      <c r="N22" s="73" t="n">
        <f aca="false">IF(ISNUMBER($M22),ROUND($M22*$L22,0),"")</f>
        <v>24086</v>
      </c>
    </row>
    <row r="23" customFormat="false" ht="15" hidden="false" customHeight="false" outlineLevel="0" collapsed="false">
      <c r="A23" s="0" t="s">
        <v>149</v>
      </c>
      <c r="B23" s="0" t="s">
        <v>111</v>
      </c>
      <c r="C23" s="118" t="n">
        <f aca="false">0.8</f>
        <v>0.8</v>
      </c>
      <c r="D23" s="118" t="n">
        <f aca="false">0.95</f>
        <v>0.95</v>
      </c>
      <c r="E23" s="73" t="n">
        <f aca="false">SUMIF(PMTCT!$B:$B,$B23,PMTCT!$AX:$AX)</f>
        <v>0</v>
      </c>
      <c r="F23" s="75" t="str">
        <f aca="false">IF(SUM($E23)&lt;=0,"",ROUND($E23*$C23,0))</f>
        <v/>
      </c>
      <c r="G23" s="75" t="str">
        <f aca="false">IF(SUM($E23)&lt;=0,"",ROUND($E23*$D23,0)-$F23)</f>
        <v/>
      </c>
      <c r="H23" s="118"/>
      <c r="I23" s="118" t="str">
        <f aca="false">IF(SUM($H23)=0,"",$H23)</f>
        <v/>
      </c>
      <c r="J23" s="118" t="n">
        <v>48</v>
      </c>
      <c r="K23" s="118" t="n">
        <f aca="false">IF(SUM($J23)=0,"",$J23)</f>
        <v>48</v>
      </c>
      <c r="L23" s="118" t="n">
        <f aca="false">0.95</f>
        <v>0.95</v>
      </c>
      <c r="M23" s="73" t="str">
        <f aca="false">IF(AND(SUM($F23)=0,SUM($G23)=0),"",ROUND(SUM(SUM($F23)*SUM($I23),SUM($G23)*SUM($K23)),0))</f>
        <v/>
      </c>
      <c r="N23" s="73" t="str">
        <f aca="false">IF(ISNUMBER($M23),ROUND($M23*$L23,0),"")</f>
        <v/>
      </c>
    </row>
    <row r="24" customFormat="false" ht="15" hidden="false" customHeight="false" outlineLevel="0" collapsed="false">
      <c r="A24" s="0" t="s">
        <v>150</v>
      </c>
      <c r="B24" s="0" t="s">
        <v>117</v>
      </c>
      <c r="C24" s="118" t="n">
        <f aca="false">0.8</f>
        <v>0.8</v>
      </c>
      <c r="D24" s="118" t="n">
        <f aca="false">0.95</f>
        <v>0.95</v>
      </c>
      <c r="E24" s="73" t="n">
        <f aca="false">SUMIF(PMTCT!$B:$B,$B24,PMTCT!$AX:$AX)</f>
        <v>63</v>
      </c>
      <c r="F24" s="75" t="n">
        <f aca="false">IF(SUM($E24)&lt;=0,"",ROUND($E24*$C24,0))</f>
        <v>50</v>
      </c>
      <c r="G24" s="75" t="n">
        <f aca="false">IF(SUM($E24)&lt;=0,"",ROUND($E24*$D24,0)-$F24)</f>
        <v>10</v>
      </c>
      <c r="H24" s="118" t="n">
        <v>40</v>
      </c>
      <c r="I24" s="118" t="n">
        <f aca="false">IF(SUM($H24)=0,"",$H24)</f>
        <v>40</v>
      </c>
      <c r="J24" s="118" t="n">
        <v>19</v>
      </c>
      <c r="K24" s="118" t="n">
        <f aca="false">IF(SUM($J24)=0,"",$J24)</f>
        <v>19</v>
      </c>
      <c r="L24" s="118" t="n">
        <f aca="false">0.95</f>
        <v>0.95</v>
      </c>
      <c r="M24" s="73" t="n">
        <f aca="false">IF(AND(SUM($F24)=0,SUM($G24)=0),"",ROUND(SUM(SUM($F24)*SUM($I24),SUM($G24)*SUM($K24)),0))</f>
        <v>2190</v>
      </c>
      <c r="N24" s="73" t="n">
        <f aca="false">IF(ISNUMBER($M24),ROUND($M24*$L24,0),"")</f>
        <v>2081</v>
      </c>
    </row>
    <row r="25" customFormat="false" ht="15" hidden="false" customHeight="false" outlineLevel="0" collapsed="false">
      <c r="A25" s="0" t="s">
        <v>151</v>
      </c>
      <c r="B25" s="0" t="s">
        <v>101</v>
      </c>
      <c r="C25" s="118" t="n">
        <f aca="false">0.8</f>
        <v>0.8</v>
      </c>
      <c r="D25" s="118" t="n">
        <f aca="false">0.95</f>
        <v>0.95</v>
      </c>
      <c r="E25" s="73" t="n">
        <f aca="false">SUMIF(PMTCT!$B:$B,$B25,PMTCT!$AX:$AX)</f>
        <v>1404</v>
      </c>
      <c r="F25" s="75" t="n">
        <f aca="false">IF(SUM($E25)&lt;=0,"",ROUND($E25*$C25,0))</f>
        <v>1123</v>
      </c>
      <c r="G25" s="75" t="n">
        <f aca="false">IF(SUM($E25)&lt;=0,"",ROUND($E25*$D25,0)-$F25)</f>
        <v>211</v>
      </c>
      <c r="H25" s="118" t="n">
        <v>42</v>
      </c>
      <c r="I25" s="118" t="n">
        <f aca="false">IF(SUM($H25)=0,"",$H25)</f>
        <v>42</v>
      </c>
      <c r="J25" s="118" t="n">
        <v>37</v>
      </c>
      <c r="K25" s="118" t="n">
        <f aca="false">IF(SUM($J25)=0,"",$J25)</f>
        <v>37</v>
      </c>
      <c r="L25" s="118" t="n">
        <f aca="false">0.95</f>
        <v>0.95</v>
      </c>
      <c r="M25" s="73" t="n">
        <f aca="false">IF(AND(SUM($F25)=0,SUM($G25)=0),"",ROUND(SUM(SUM($F25)*SUM($I25),SUM($G25)*SUM($K25)),0))</f>
        <v>54973</v>
      </c>
      <c r="N25" s="73" t="n">
        <f aca="false">IF(ISNUMBER($M25),ROUND($M25*$L25,0),"")</f>
        <v>52224</v>
      </c>
    </row>
  </sheetData>
  <conditionalFormatting sqref="D1:D1048576 L1:L1048576">
    <cfRule type="expression" priority="2" aboveAverage="0" equalAverage="0" bottom="0" percent="0" rank="0" text="" dxfId="0">
      <formula>AND(ISNUMBER(D1),D1&lt;0.95)</formula>
    </cfRule>
  </conditionalFormatting>
  <conditionalFormatting sqref="C1:C1048576">
    <cfRule type="expression" priority="3" aboveAverage="0" equalAverage="0" bottom="0" percent="0" rank="0" text="" dxfId="1">
      <formula>AND(ISNUMBER(C1),ROUND(C1,2)&lt;0.8)</formula>
    </cfRule>
  </conditionalFormatting>
  <conditionalFormatting sqref="C1:D1048576 H1:L1048576">
    <cfRule type="expression" priority="4" aboveAverage="0" equalAverage="0" bottom="0" percent="0" rank="0" text="" dxfId="2">
      <formula>AND(ISNUMBER(C1),OR(C1&gt;1,C1&lt;0))</formula>
    </cfRule>
  </conditionalFormatting>
  <conditionalFormatting sqref="H1:J1048576">
    <cfRule type="expression" priority="5" aboveAverage="0" equalAverage="0" bottom="0" percent="0" rank="0" text="" dxfId="3">
      <formula>AND(SUM(E1)&gt;0,H1="")</formula>
    </cfRule>
  </conditionalFormatting>
  <conditionalFormatting sqref="K1:K1048576">
    <cfRule type="expression" priority="6" aboveAverage="0" equalAverage="0" bottom="0" percent="0" rank="0" text="" dxfId="0">
      <formula>AND(SUM(G1)&gt;0,K1="")</formula>
    </cfRule>
  </conditionalFormatting>
  <hyperlinks>
    <hyperlink ref="E3" location="PMTCT!AM:AM" display="Est. # infants born to HIV-positive women"/>
    <hyperlink ref="M3" location="Cascade!BJ:BJ" display="Total HIV infected infants identified"/>
    <hyperlink ref="N3" location="Cascade!AC:AC" display="HIV infected infants confirmed initiated AR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AB2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
    <col collapsed="false" customWidth="true" hidden="false" outlineLevel="0" max="28" min="6" style="0" width="11.83"/>
    <col collapsed="false" customWidth="true" hidden="false" outlineLevel="0" max="1025" min="29" style="0" width="10.61"/>
  </cols>
  <sheetData>
    <row r="1" customFormat="false" ht="31" hidden="false" customHeight="true" outlineLevel="0" collapsed="false">
      <c r="A1" s="54" t="s">
        <v>453</v>
      </c>
      <c r="B1" s="54"/>
      <c r="C1" s="54"/>
      <c r="D1" s="54"/>
      <c r="E1" s="54"/>
      <c r="F1" s="76" t="s">
        <v>454</v>
      </c>
      <c r="G1" s="81"/>
      <c r="H1" s="76"/>
      <c r="I1" s="80" t="s">
        <v>455</v>
      </c>
      <c r="J1" s="81"/>
      <c r="K1" s="81"/>
      <c r="L1" s="81"/>
      <c r="M1" s="81"/>
      <c r="N1" s="81"/>
      <c r="O1" s="76"/>
      <c r="P1" s="76"/>
      <c r="Q1" s="76"/>
      <c r="R1" s="76"/>
      <c r="S1" s="82" t="s">
        <v>456</v>
      </c>
      <c r="T1" s="76"/>
      <c r="U1" s="76"/>
      <c r="V1" s="80" t="s">
        <v>323</v>
      </c>
      <c r="W1" s="79"/>
      <c r="X1" s="79"/>
      <c r="Y1" s="79"/>
      <c r="Z1" s="79"/>
      <c r="AA1" s="79"/>
      <c r="AB1" s="79"/>
    </row>
    <row r="2" customFormat="false" ht="20" hidden="false" customHeight="true" outlineLevel="0" collapsed="false">
      <c r="A2" s="140" t="s">
        <v>457</v>
      </c>
      <c r="B2" s="140"/>
      <c r="C2" s="57"/>
      <c r="D2" s="57"/>
      <c r="E2" s="57"/>
      <c r="F2" s="89" t="s">
        <v>120</v>
      </c>
      <c r="G2" s="87" t="s">
        <v>156</v>
      </c>
      <c r="H2" s="84" t="s">
        <v>121</v>
      </c>
      <c r="I2" s="88" t="s">
        <v>120</v>
      </c>
      <c r="J2" s="87" t="s">
        <v>156</v>
      </c>
      <c r="K2" s="87"/>
      <c r="L2" s="87"/>
      <c r="M2" s="87"/>
      <c r="N2" s="87"/>
      <c r="O2" s="84" t="s">
        <v>121</v>
      </c>
      <c r="P2" s="84"/>
      <c r="Q2" s="84"/>
      <c r="R2" s="84"/>
      <c r="S2" s="91" t="s">
        <v>156</v>
      </c>
      <c r="T2" s="84" t="s">
        <v>121</v>
      </c>
      <c r="U2" s="84"/>
      <c r="V2" s="88" t="s">
        <v>157</v>
      </c>
      <c r="W2" s="87"/>
      <c r="X2" s="87"/>
      <c r="Y2" s="87"/>
      <c r="Z2" s="87"/>
      <c r="AA2" s="87"/>
      <c r="AB2" s="87"/>
    </row>
    <row r="3" customFormat="false" ht="117" hidden="false" customHeight="true" outlineLevel="0" collapsed="false">
      <c r="A3" s="140"/>
      <c r="B3" s="140"/>
      <c r="C3" s="61"/>
      <c r="D3" s="61"/>
      <c r="E3" s="61"/>
      <c r="F3" s="168" t="s">
        <v>333</v>
      </c>
      <c r="G3" s="146" t="s">
        <v>458</v>
      </c>
      <c r="H3" s="100" t="s">
        <v>459</v>
      </c>
      <c r="I3" s="145" t="s">
        <v>460</v>
      </c>
      <c r="J3" s="146" t="s">
        <v>461</v>
      </c>
      <c r="K3" s="95" t="s">
        <v>462</v>
      </c>
      <c r="L3" s="146" t="s">
        <v>463</v>
      </c>
      <c r="M3" s="95" t="s">
        <v>464</v>
      </c>
      <c r="N3" s="146" t="s">
        <v>465</v>
      </c>
      <c r="O3" s="100" t="s">
        <v>466</v>
      </c>
      <c r="P3" s="100" t="s">
        <v>345</v>
      </c>
      <c r="Q3" s="104" t="s">
        <v>346</v>
      </c>
      <c r="R3" s="153" t="s">
        <v>347</v>
      </c>
      <c r="S3" s="147" t="s">
        <v>352</v>
      </c>
      <c r="T3" s="100" t="s">
        <v>353</v>
      </c>
      <c r="U3" s="153" t="s">
        <v>354</v>
      </c>
      <c r="V3" s="156" t="s">
        <v>365</v>
      </c>
      <c r="W3" s="144" t="s">
        <v>218</v>
      </c>
      <c r="X3" s="144" t="s">
        <v>215</v>
      </c>
      <c r="Y3" s="144" t="s">
        <v>467</v>
      </c>
      <c r="Z3" s="144" t="s">
        <v>468</v>
      </c>
      <c r="AA3" s="144" t="s">
        <v>219</v>
      </c>
      <c r="AB3" s="144" t="s">
        <v>221</v>
      </c>
    </row>
    <row r="4" customFormat="false" ht="15" hidden="false" customHeight="false" outlineLevel="0" collapsed="false">
      <c r="A4" s="65"/>
      <c r="B4" s="65"/>
      <c r="C4" s="65"/>
      <c r="D4" s="65" t="s">
        <v>125</v>
      </c>
      <c r="E4" s="65"/>
      <c r="F4" s="110" t="n">
        <f aca="false">SUBTOTAL(109,F$15:INDEX(F:F,COUNTA($B:$B)+14-COUNTA($B$1:$B$14)))</f>
        <v>0</v>
      </c>
      <c r="G4" s="108"/>
      <c r="H4" s="105" t="n">
        <f aca="false">SUBTOTAL(109,H$15:INDEX(H:H,COUNTA($B:$B)+14-COUNTA($B$1:$B$14)))</f>
        <v>0</v>
      </c>
      <c r="I4" s="169" t="n">
        <f aca="false">SUBTOTAL(109,I$15:INDEX(I:I,COUNTA($B:$B)+14-COUNTA($B$1:$B$14)))</f>
        <v>0</v>
      </c>
      <c r="J4" s="108"/>
      <c r="K4" s="108"/>
      <c r="L4" s="108"/>
      <c r="M4" s="108"/>
      <c r="N4" s="108"/>
      <c r="O4" s="105" t="n">
        <f aca="false">SUBTOTAL(109,O$15:INDEX($O:$O,COUNTA($B:$B)+14-COUNTA($B$1:$B$14)))</f>
        <v>0</v>
      </c>
      <c r="P4" s="105" t="n">
        <f aca="false">SUBTOTAL(109,P$15:INDEX(P:P,COUNTA($B:$B)+14-COUNTA($B$1:$B$14)))</f>
        <v>0</v>
      </c>
      <c r="Q4" s="105" t="n">
        <f aca="false">SUBTOTAL(109,Q$15:INDEX(Q:Q,COUNTA($B:$B)+14-COUNTA($B$1:$B$14)))</f>
        <v>0</v>
      </c>
      <c r="R4" s="105" t="n">
        <f aca="false">SUBTOTAL(109,R$15:INDEX(R:R,COUNTA($B:$B)+14-COUNTA($B$1:$B$14)))</f>
        <v>0</v>
      </c>
      <c r="S4" s="114"/>
      <c r="T4" s="105" t="n">
        <f aca="false">SUBTOTAL(109,T$15:INDEX(T:T,COUNTA($B:$B)+14-COUNTA($B$1:$B$14)))</f>
        <v>0</v>
      </c>
      <c r="U4" s="105" t="n">
        <f aca="false">SUBTOTAL(109,U$15:INDEX(U:U,COUNTA($B:$B)+14-COUNTA($B$1:$B$14)))</f>
        <v>0</v>
      </c>
      <c r="V4" s="169" t="n">
        <f aca="false">SUBTOTAL(109,V$15:INDEX(V:V,COUNTA($B:$B)+14-COUNTA($B$1:$B$14)))</f>
        <v>2152</v>
      </c>
      <c r="W4" s="108"/>
      <c r="X4" s="108"/>
      <c r="Y4" s="108"/>
      <c r="Z4" s="108"/>
      <c r="AA4" s="108"/>
      <c r="AB4" s="108"/>
    </row>
    <row r="5" customFormat="false" ht="12.8" hidden="false" customHeight="false" outlineLevel="0" collapsed="false">
      <c r="A5" s="69" t="s">
        <v>126</v>
      </c>
      <c r="B5" s="69" t="s">
        <v>126</v>
      </c>
      <c r="C5" s="69" t="s">
        <v>126</v>
      </c>
      <c r="D5" s="69" t="s">
        <v>126</v>
      </c>
      <c r="E5" s="69" t="s">
        <v>126</v>
      </c>
      <c r="F5" s="73" t="s">
        <v>225</v>
      </c>
      <c r="G5" s="118" t="s">
        <v>126</v>
      </c>
      <c r="H5" s="115" t="s">
        <v>225</v>
      </c>
      <c r="I5" s="119" t="s">
        <v>225</v>
      </c>
      <c r="J5" s="118" t="s">
        <v>126</v>
      </c>
      <c r="K5" s="118" t="s">
        <v>126</v>
      </c>
      <c r="L5" s="118" t="s">
        <v>126</v>
      </c>
      <c r="M5" s="118" t="s">
        <v>126</v>
      </c>
      <c r="N5" s="118" t="s">
        <v>126</v>
      </c>
      <c r="O5" s="115" t="s">
        <v>126</v>
      </c>
      <c r="P5" s="115" t="s">
        <v>225</v>
      </c>
      <c r="Q5" s="115" t="s">
        <v>225</v>
      </c>
      <c r="R5" s="115" t="s">
        <v>225</v>
      </c>
      <c r="S5" s="125" t="s">
        <v>126</v>
      </c>
      <c r="T5" s="115" t="s">
        <v>225</v>
      </c>
      <c r="U5" s="115" t="s">
        <v>225</v>
      </c>
      <c r="V5" s="119" t="s">
        <v>126</v>
      </c>
      <c r="W5" s="118" t="s">
        <v>126</v>
      </c>
      <c r="X5" s="118" t="s">
        <v>126</v>
      </c>
      <c r="Y5" s="118" t="s">
        <v>126</v>
      </c>
      <c r="Z5" s="118" t="s">
        <v>126</v>
      </c>
      <c r="AA5" s="118" t="s">
        <v>126</v>
      </c>
      <c r="AB5" s="118" t="s">
        <v>126</v>
      </c>
    </row>
    <row r="6" customFormat="false" ht="12.8" hidden="false" customHeight="false" outlineLevel="0" collapsed="false">
      <c r="A6" s="69" t="s">
        <v>128</v>
      </c>
      <c r="B6" s="69" t="s">
        <v>128</v>
      </c>
      <c r="C6" s="69" t="s">
        <v>128</v>
      </c>
      <c r="D6" s="69" t="s">
        <v>128</v>
      </c>
      <c r="E6" s="69" t="s">
        <v>128</v>
      </c>
      <c r="F6" s="73" t="s">
        <v>129</v>
      </c>
      <c r="G6" s="118" t="s">
        <v>227</v>
      </c>
      <c r="H6" s="115" t="s">
        <v>130</v>
      </c>
      <c r="I6" s="119" t="s">
        <v>129</v>
      </c>
      <c r="J6" s="118" t="s">
        <v>227</v>
      </c>
      <c r="K6" s="118" t="s">
        <v>228</v>
      </c>
      <c r="L6" s="118" t="s">
        <v>227</v>
      </c>
      <c r="M6" s="118" t="s">
        <v>228</v>
      </c>
      <c r="N6" s="118" t="s">
        <v>227</v>
      </c>
      <c r="O6" s="115" t="s">
        <v>131</v>
      </c>
      <c r="P6" s="115" t="s">
        <v>130</v>
      </c>
      <c r="Q6" s="115" t="s">
        <v>130</v>
      </c>
      <c r="R6" s="115" t="s">
        <v>130</v>
      </c>
      <c r="S6" s="125" t="s">
        <v>131</v>
      </c>
      <c r="T6" s="115" t="s">
        <v>130</v>
      </c>
      <c r="U6" s="115" t="s">
        <v>130</v>
      </c>
      <c r="V6" s="119" t="s">
        <v>131</v>
      </c>
      <c r="W6" s="118" t="s">
        <v>131</v>
      </c>
      <c r="X6" s="118" t="s">
        <v>131</v>
      </c>
      <c r="Y6" s="118" t="s">
        <v>131</v>
      </c>
      <c r="Z6" s="118" t="s">
        <v>131</v>
      </c>
      <c r="AA6" s="118" t="s">
        <v>131</v>
      </c>
      <c r="AB6" s="118" t="s">
        <v>131</v>
      </c>
    </row>
    <row r="7" customFormat="false" ht="12.8" hidden="false" customHeight="false" outlineLevel="0" collapsed="false">
      <c r="A7" s="69" t="s">
        <v>132</v>
      </c>
      <c r="B7" s="69" t="s">
        <v>132</v>
      </c>
      <c r="C7" s="69" t="s">
        <v>132</v>
      </c>
      <c r="D7" s="69" t="s">
        <v>132</v>
      </c>
      <c r="E7" s="69" t="s">
        <v>132</v>
      </c>
      <c r="F7" s="73" t="s">
        <v>133</v>
      </c>
      <c r="G7" s="118" t="s">
        <v>229</v>
      </c>
      <c r="H7" s="115" t="s">
        <v>133</v>
      </c>
      <c r="I7" s="119" t="s">
        <v>133</v>
      </c>
      <c r="J7" s="118" t="s">
        <v>229</v>
      </c>
      <c r="K7" s="118" t="s">
        <v>229</v>
      </c>
      <c r="L7" s="118" t="s">
        <v>229</v>
      </c>
      <c r="M7" s="118" t="s">
        <v>229</v>
      </c>
      <c r="N7" s="118" t="s">
        <v>229</v>
      </c>
      <c r="O7" s="115" t="s">
        <v>133</v>
      </c>
      <c r="P7" s="115" t="s">
        <v>133</v>
      </c>
      <c r="Q7" s="115" t="s">
        <v>133</v>
      </c>
      <c r="R7" s="115" t="s">
        <v>133</v>
      </c>
      <c r="S7" s="125" t="s">
        <v>229</v>
      </c>
      <c r="T7" s="115" t="s">
        <v>133</v>
      </c>
      <c r="U7" s="115" t="s">
        <v>133</v>
      </c>
      <c r="V7" s="119" t="s">
        <v>133</v>
      </c>
      <c r="W7" s="118" t="s">
        <v>229</v>
      </c>
      <c r="X7" s="118" t="s">
        <v>229</v>
      </c>
      <c r="Y7" s="118" t="s">
        <v>229</v>
      </c>
      <c r="Z7" s="118" t="s">
        <v>229</v>
      </c>
      <c r="AA7" s="118" t="s">
        <v>229</v>
      </c>
      <c r="AB7" s="118" t="s">
        <v>229</v>
      </c>
    </row>
    <row r="8" customFormat="false" ht="12.8" hidden="false" customHeight="false" outlineLevel="0" collapsed="false">
      <c r="F8" s="73" t="s">
        <v>469</v>
      </c>
      <c r="H8" s="115" t="s">
        <v>469</v>
      </c>
      <c r="I8" s="119" t="s">
        <v>470</v>
      </c>
      <c r="P8" s="115" t="s">
        <v>470</v>
      </c>
      <c r="Q8" s="115" t="s">
        <v>470</v>
      </c>
      <c r="R8" s="115" t="s">
        <v>470</v>
      </c>
      <c r="S8" s="125"/>
      <c r="T8" s="115" t="s">
        <v>471</v>
      </c>
      <c r="U8" s="115" t="s">
        <v>471</v>
      </c>
      <c r="V8" s="119"/>
      <c r="W8" s="118"/>
      <c r="X8" s="118"/>
      <c r="Y8" s="118"/>
      <c r="Z8" s="118"/>
      <c r="AA8" s="118"/>
      <c r="AB8" s="118"/>
    </row>
    <row r="9" customFormat="false" ht="12.8" hidden="false" customHeight="false" outlineLevel="0" collapsed="false">
      <c r="F9" s="73" t="s">
        <v>472</v>
      </c>
      <c r="H9" s="115" t="s">
        <v>472</v>
      </c>
      <c r="I9" s="119" t="s">
        <v>473</v>
      </c>
      <c r="P9" s="115" t="s">
        <v>473</v>
      </c>
      <c r="Q9" s="115" t="s">
        <v>473</v>
      </c>
      <c r="R9" s="115" t="s">
        <v>473</v>
      </c>
      <c r="S9" s="125"/>
      <c r="T9" s="115" t="s">
        <v>474</v>
      </c>
      <c r="U9" s="115" t="s">
        <v>474</v>
      </c>
      <c r="V9" s="119"/>
      <c r="W9" s="118"/>
      <c r="X9" s="118"/>
      <c r="Y9" s="118"/>
      <c r="Z9" s="118"/>
      <c r="AA9" s="118"/>
      <c r="AB9" s="118"/>
    </row>
    <row r="10" customFormat="false" ht="12.8" hidden="false" customHeight="false" outlineLevel="0" collapsed="false">
      <c r="I10" s="119" t="s">
        <v>380</v>
      </c>
      <c r="P10" s="115" t="s">
        <v>379</v>
      </c>
      <c r="Q10" s="115" t="s">
        <v>380</v>
      </c>
      <c r="R10" s="115" t="s">
        <v>381</v>
      </c>
      <c r="T10" s="115" t="s">
        <v>382</v>
      </c>
      <c r="U10" s="115" t="s">
        <v>383</v>
      </c>
    </row>
    <row r="11" customFormat="false" ht="12.8" hidden="false" customHeight="false" outlineLevel="0" collapsed="false">
      <c r="F11" s="73" t="s">
        <v>246</v>
      </c>
      <c r="G11" s="118" t="s">
        <v>246</v>
      </c>
      <c r="H11" s="115" t="s">
        <v>246</v>
      </c>
      <c r="I11" s="119" t="s">
        <v>246</v>
      </c>
      <c r="J11" s="118" t="s">
        <v>246</v>
      </c>
      <c r="K11" s="118" t="s">
        <v>246</v>
      </c>
      <c r="L11" s="118" t="s">
        <v>246</v>
      </c>
      <c r="M11" s="118" t="s">
        <v>246</v>
      </c>
      <c r="N11" s="118" t="s">
        <v>246</v>
      </c>
      <c r="O11" s="115" t="s">
        <v>246</v>
      </c>
      <c r="P11" s="115" t="s">
        <v>246</v>
      </c>
      <c r="Q11" s="115" t="s">
        <v>246</v>
      </c>
      <c r="R11" s="115" t="s">
        <v>246</v>
      </c>
      <c r="S11" s="125" t="s">
        <v>246</v>
      </c>
      <c r="T11" s="115" t="s">
        <v>246</v>
      </c>
      <c r="U11" s="115" t="s">
        <v>246</v>
      </c>
      <c r="V11" s="119" t="s">
        <v>246</v>
      </c>
      <c r="W11" s="118" t="s">
        <v>246</v>
      </c>
      <c r="X11" s="118" t="s">
        <v>246</v>
      </c>
      <c r="Y11" s="118" t="s">
        <v>247</v>
      </c>
      <c r="Z11" s="118" t="s">
        <v>247</v>
      </c>
      <c r="AA11" s="118" t="s">
        <v>248</v>
      </c>
      <c r="AB11" s="118" t="s">
        <v>246</v>
      </c>
    </row>
    <row r="12" customFormat="false" ht="12.8" hidden="false" customHeight="false" outlineLevel="0" collapsed="false">
      <c r="F12" s="73" t="s">
        <v>249</v>
      </c>
      <c r="G12" s="118" t="s">
        <v>249</v>
      </c>
      <c r="H12" s="115" t="s">
        <v>249</v>
      </c>
      <c r="I12" s="119" t="s">
        <v>249</v>
      </c>
      <c r="J12" s="118" t="s">
        <v>249</v>
      </c>
      <c r="K12" s="118" t="s">
        <v>249</v>
      </c>
      <c r="L12" s="118" t="s">
        <v>249</v>
      </c>
      <c r="M12" s="118" t="s">
        <v>249</v>
      </c>
      <c r="N12" s="118" t="s">
        <v>249</v>
      </c>
      <c r="O12" s="115" t="s">
        <v>249</v>
      </c>
      <c r="P12" s="115" t="s">
        <v>249</v>
      </c>
      <c r="Q12" s="115" t="s">
        <v>249</v>
      </c>
      <c r="R12" s="115" t="s">
        <v>249</v>
      </c>
      <c r="S12" s="125" t="s">
        <v>249</v>
      </c>
      <c r="T12" s="115" t="s">
        <v>249</v>
      </c>
      <c r="U12" s="115" t="s">
        <v>249</v>
      </c>
      <c r="V12" s="119" t="s">
        <v>249</v>
      </c>
      <c r="W12" s="118" t="s">
        <v>249</v>
      </c>
      <c r="X12" s="118" t="s">
        <v>249</v>
      </c>
      <c r="Y12" s="118" t="s">
        <v>250</v>
      </c>
      <c r="Z12" s="118" t="s">
        <v>250</v>
      </c>
      <c r="AA12" s="118" t="s">
        <v>251</v>
      </c>
      <c r="AB12" s="118" t="s">
        <v>249</v>
      </c>
    </row>
    <row r="13" customFormat="false" ht="12.8" hidden="false" customHeight="false" outlineLevel="0" collapsed="false"/>
    <row r="14" customFormat="false" ht="15" hidden="false" customHeight="false" outlineLevel="0" collapsed="false">
      <c r="A14" s="70" t="s">
        <v>135</v>
      </c>
      <c r="B14" s="70" t="s">
        <v>136</v>
      </c>
      <c r="C14" s="70" t="s">
        <v>252</v>
      </c>
      <c r="D14" s="70" t="s">
        <v>253</v>
      </c>
      <c r="E14" s="70" t="s">
        <v>42</v>
      </c>
      <c r="F14" s="131" t="s">
        <v>475</v>
      </c>
      <c r="G14" s="131" t="s">
        <v>476</v>
      </c>
      <c r="H14" s="131" t="s">
        <v>477</v>
      </c>
      <c r="I14" s="163" t="s">
        <v>478</v>
      </c>
      <c r="J14" s="131" t="s">
        <v>479</v>
      </c>
      <c r="K14" s="131" t="s">
        <v>480</v>
      </c>
      <c r="L14" s="131" t="s">
        <v>481</v>
      </c>
      <c r="M14" s="131" t="s">
        <v>482</v>
      </c>
      <c r="N14" s="131" t="s">
        <v>483</v>
      </c>
      <c r="O14" s="128" t="s">
        <v>484</v>
      </c>
      <c r="P14" s="128" t="s">
        <v>485</v>
      </c>
      <c r="Q14" s="128" t="s">
        <v>302</v>
      </c>
      <c r="R14" s="128" t="s">
        <v>486</v>
      </c>
      <c r="S14" s="166" t="s">
        <v>487</v>
      </c>
      <c r="T14" s="131" t="s">
        <v>488</v>
      </c>
      <c r="U14" s="131" t="s">
        <v>489</v>
      </c>
      <c r="V14" s="163" t="s">
        <v>423</v>
      </c>
      <c r="W14" s="162" t="s">
        <v>309</v>
      </c>
      <c r="X14" s="162" t="s">
        <v>306</v>
      </c>
      <c r="Y14" s="162" t="s">
        <v>307</v>
      </c>
      <c r="Z14" s="162" t="s">
        <v>308</v>
      </c>
      <c r="AA14" s="162" t="s">
        <v>310</v>
      </c>
      <c r="AB14" s="162" t="s">
        <v>312</v>
      </c>
    </row>
    <row r="15" customFormat="false" ht="15" hidden="false" customHeight="false" outlineLevel="0" collapsed="false">
      <c r="A15" s="0" t="s">
        <v>140</v>
      </c>
      <c r="B15" s="0" t="s">
        <v>141</v>
      </c>
      <c r="C15" s="0" t="s">
        <v>54</v>
      </c>
      <c r="D15" s="0" t="s">
        <v>56</v>
      </c>
      <c r="E15" s="69" t="str">
        <f aca="false">B15&amp;"|"&amp;C15&amp;"|"&amp;D15</f>
        <v>_Military Lesotho [#Military] [dDOqoFnD5Be]|01-04|Female</v>
      </c>
      <c r="F15" s="73"/>
      <c r="G15" s="118" t="str">
        <f aca="false">IF(SUM($F15)&lt;=0,"",0%)</f>
        <v/>
      </c>
      <c r="H15" s="115" t="str">
        <f aca="false">IF(SUM($F15)&lt;=0,"",$F15*(1+$G15))</f>
        <v/>
      </c>
      <c r="I15" s="73"/>
      <c r="J15" s="118" t="str">
        <f aca="false">IF(SUM($H15)&lt;=0,"",100%)</f>
        <v/>
      </c>
      <c r="K15" s="118"/>
      <c r="L15" s="118" t="str">
        <f aca="false">IF(SUM($K15)=0,"",$K15)</f>
        <v/>
      </c>
      <c r="M15" s="118"/>
      <c r="N15" s="118" t="str">
        <f aca="false">IF(SUM($M15)=0,"",$M15)</f>
        <v/>
      </c>
      <c r="O15" s="115" t="str">
        <f aca="false">IF(SUM($H15)&lt;=0,"",ROUND(SUM($H15)*SUM($J15),0))</f>
        <v/>
      </c>
      <c r="P15" s="115" t="str">
        <f aca="false">IF(SUM($O15)&lt;=0,"",ROUND(SUM($O15)*SUM($L15),0))</f>
        <v/>
      </c>
      <c r="Q15" s="115" t="str">
        <f aca="false">IF(SUM($O15)&lt;=0,"",ROUND((SUM($O15)-SUM($P15))*SUM($N15),0))</f>
        <v/>
      </c>
      <c r="R15" s="115" t="str">
        <f aca="false">IF(SUM($O15)&lt;=0,"",ROUND(SUM($O15)-SUM($P15)-SUM($Q15),0))</f>
        <v/>
      </c>
      <c r="S15" s="125" t="n">
        <f aca="false">_xlfn.IFNA(INDEX(Cascade!$BA:$BA,MATCH($E15,Cascade!$E:$E,0)),"")</f>
        <v>0.95</v>
      </c>
      <c r="T15" s="115" t="str">
        <f aca="false">IF(SUM($P15)&lt;=0,"",$P15)</f>
        <v/>
      </c>
      <c r="U15" s="115" t="str">
        <f aca="false">IF(SUM($Q15)&lt;=0,"",ROUND($Q15*$S15,0))</f>
        <v/>
      </c>
      <c r="V15" s="119" t="str">
        <f aca="false">_xlfn.IFNA(INDEX(Cascade!$BD:$BD,MATCH($E15,Cascade!$E:$E,0)),"")</f>
        <v/>
      </c>
      <c r="W15" s="118" t="str">
        <f aca="false">IF(OR(SUM($V15)&lt;=0,SUM($Q15)=0),"",SUM($Q15)/$V15)</f>
        <v/>
      </c>
      <c r="X15" s="118" t="str">
        <f aca="false">_xlfn.IFNA(INDEX(Cascade!$BL:$BL,MATCH($E15,Cascade!$E:$E,0)),"")</f>
        <v/>
      </c>
      <c r="Y15" s="118" t="str">
        <f aca="false">_xlfn.IFNA(INDEX(Cascade!$BM:$BM,MATCH($E15,Cascade!$E:$E,0)),"")</f>
        <v/>
      </c>
      <c r="Z15" s="118" t="str">
        <f aca="false">_xlfn.IFNA(INDEX(Cascade!$BN:$BN,MATCH($E15,Cascade!$E:$E,0)),"")</f>
        <v/>
      </c>
      <c r="AA15" s="118" t="str">
        <f aca="false">_xlfn.IFNA(INDEX(Cascade!$BP:$BP,MATCH($E15,Cascade!$E:$E,0)),"")</f>
        <v/>
      </c>
      <c r="AB15" s="118" t="str">
        <f aca="false">_xlfn.IFNA(INDEX(Cascade!$BR:$BR,MATCH($E15,Cascade!$E:$E,0)),"")</f>
        <v/>
      </c>
    </row>
    <row r="16" customFormat="false" ht="15" hidden="false" customHeight="false" outlineLevel="0" collapsed="false">
      <c r="A16" s="0" t="s">
        <v>140</v>
      </c>
      <c r="B16" s="0" t="s">
        <v>141</v>
      </c>
      <c r="C16" s="0" t="s">
        <v>54</v>
      </c>
      <c r="D16" s="0" t="s">
        <v>58</v>
      </c>
      <c r="E16" s="0" t="str">
        <f aca="false">B16&amp;"|"&amp;C16&amp;"|"&amp;D16</f>
        <v>_Military Lesotho [#Military] [dDOqoFnD5Be]|01-04|Male</v>
      </c>
      <c r="F16" s="73"/>
      <c r="G16" s="118" t="str">
        <f aca="false">IF(SUM($F16)&lt;=0,"",0%)</f>
        <v/>
      </c>
      <c r="H16" s="75" t="str">
        <f aca="false">IF(SUM($F16)&lt;=0,"",$F16*(1+$G16))</f>
        <v/>
      </c>
      <c r="I16" s="73"/>
      <c r="J16" s="118" t="str">
        <f aca="false">IF(SUM($H16)&lt;=0,"",100%)</f>
        <v/>
      </c>
      <c r="K16" s="118"/>
      <c r="L16" s="118" t="str">
        <f aca="false">IF(SUM($K16)=0,"",$K16)</f>
        <v/>
      </c>
      <c r="M16" s="118"/>
      <c r="N16" s="118" t="str">
        <f aca="false">IF(SUM($M16)=0,"",$M16)</f>
        <v/>
      </c>
      <c r="O16" s="73" t="str">
        <f aca="false">IF(SUM($H16)&lt;=0,"",ROUND(SUM($H16)*SUM($J16),0))</f>
        <v/>
      </c>
      <c r="P16" s="75" t="str">
        <f aca="false">IF(SUM($O16)&lt;=0,"",ROUND(SUM($O16)*SUM($L16),0))</f>
        <v/>
      </c>
      <c r="Q16" s="75" t="str">
        <f aca="false">IF(SUM($O16)&lt;=0,"",ROUND((SUM($O16)-SUM($P16))*SUM($N16),0))</f>
        <v/>
      </c>
      <c r="R16" s="75" t="str">
        <f aca="false">IF(SUM($O16)&lt;=0,"",ROUND(SUM($O16)-SUM($P16)-SUM($Q16),0))</f>
        <v/>
      </c>
      <c r="S16" s="118" t="n">
        <f aca="false">_xlfn.IFNA(INDEX(Cascade!$BA:$BA,MATCH($E16,Cascade!$E:$E,0)),"")</f>
        <v>0.95</v>
      </c>
      <c r="T16" s="75" t="str">
        <f aca="false">IF(SUM($P16)&lt;=0,"",$P16)</f>
        <v/>
      </c>
      <c r="U16" s="75" t="str">
        <f aca="false">IF(SUM($Q16)&lt;=0,"",ROUND($Q16*$S16,0))</f>
        <v/>
      </c>
      <c r="V16" s="73" t="str">
        <f aca="false">_xlfn.IFNA(INDEX(Cascade!$BD:$BD,MATCH($E16,Cascade!$E:$E,0)),"")</f>
        <v/>
      </c>
      <c r="W16" s="118" t="str">
        <f aca="false">IF(OR(SUM($V16)&lt;=0,SUM($Q16)=0),"",SUM($Q16)/$V16)</f>
        <v/>
      </c>
      <c r="X16" s="118" t="str">
        <f aca="false">_xlfn.IFNA(INDEX(Cascade!$BL:$BL,MATCH($E16,Cascade!$E:$E,0)),"")</f>
        <v/>
      </c>
      <c r="Y16" s="118" t="str">
        <f aca="false">_xlfn.IFNA(INDEX(Cascade!$BM:$BM,MATCH($E16,Cascade!$E:$E,0)),"")</f>
        <v/>
      </c>
      <c r="Z16" s="118" t="str">
        <f aca="false">_xlfn.IFNA(INDEX(Cascade!$BN:$BN,MATCH($E16,Cascade!$E:$E,0)),"")</f>
        <v/>
      </c>
      <c r="AA16" s="118" t="str">
        <f aca="false">_xlfn.IFNA(INDEX(Cascade!$BP:$BP,MATCH($E16,Cascade!$E:$E,0)),"")</f>
        <v/>
      </c>
      <c r="AB16" s="118" t="str">
        <f aca="false">_xlfn.IFNA(INDEX(Cascade!$BR:$BR,MATCH($E16,Cascade!$E:$E,0)),"")</f>
        <v/>
      </c>
    </row>
    <row r="17" customFormat="false" ht="15" hidden="false" customHeight="false" outlineLevel="0" collapsed="false">
      <c r="A17" s="0" t="s">
        <v>140</v>
      </c>
      <c r="B17" s="0" t="s">
        <v>141</v>
      </c>
      <c r="C17" s="0" t="s">
        <v>83</v>
      </c>
      <c r="D17" s="0" t="s">
        <v>56</v>
      </c>
      <c r="E17" s="0" t="str">
        <f aca="false">B17&amp;"|"&amp;C17&amp;"|"&amp;D17</f>
        <v>_Military Lesotho [#Military] [dDOqoFnD5Be]|05-09|Female</v>
      </c>
      <c r="F17" s="73"/>
      <c r="G17" s="118" t="str">
        <f aca="false">IF(SUM($F17)&lt;=0,"",0%)</f>
        <v/>
      </c>
      <c r="H17" s="75" t="str">
        <f aca="false">IF(SUM($F17)&lt;=0,"",$F17*(1+$G17))</f>
        <v/>
      </c>
      <c r="I17" s="73"/>
      <c r="J17" s="118" t="str">
        <f aca="false">IF(SUM($H17)&lt;=0,"",100%)</f>
        <v/>
      </c>
      <c r="K17" s="118"/>
      <c r="L17" s="118" t="str">
        <f aca="false">IF(SUM($K17)=0,"",$K17)</f>
        <v/>
      </c>
      <c r="M17" s="118"/>
      <c r="N17" s="118" t="str">
        <f aca="false">IF(SUM($M17)=0,"",$M17)</f>
        <v/>
      </c>
      <c r="O17" s="73" t="str">
        <f aca="false">IF(SUM($H17)&lt;=0,"",ROUND(SUM($H17)*SUM($J17),0))</f>
        <v/>
      </c>
      <c r="P17" s="75" t="str">
        <f aca="false">IF(SUM($O17)&lt;=0,"",ROUND(SUM($O17)*SUM($L17),0))</f>
        <v/>
      </c>
      <c r="Q17" s="75" t="str">
        <f aca="false">IF(SUM($O17)&lt;=0,"",ROUND((SUM($O17)-SUM($P17))*SUM($N17),0))</f>
        <v/>
      </c>
      <c r="R17" s="75" t="str">
        <f aca="false">IF(SUM($O17)&lt;=0,"",ROUND(SUM($O17)-SUM($P17)-SUM($Q17),0))</f>
        <v/>
      </c>
      <c r="S17" s="118" t="n">
        <f aca="false">_xlfn.IFNA(INDEX(Cascade!$BA:$BA,MATCH($E17,Cascade!$E:$E,0)),"")</f>
        <v>0.95</v>
      </c>
      <c r="T17" s="75" t="str">
        <f aca="false">IF(SUM($P17)&lt;=0,"",$P17)</f>
        <v/>
      </c>
      <c r="U17" s="75" t="str">
        <f aca="false">IF(SUM($Q17)&lt;=0,"",ROUND($Q17*$S17,0))</f>
        <v/>
      </c>
      <c r="V17" s="73" t="str">
        <f aca="false">_xlfn.IFNA(INDEX(Cascade!$BD:$BD,MATCH($E17,Cascade!$E:$E,0)),"")</f>
        <v/>
      </c>
      <c r="W17" s="118" t="str">
        <f aca="false">IF(OR(SUM($V17)&lt;=0,SUM($Q17)=0),"",SUM($Q17)/$V17)</f>
        <v/>
      </c>
      <c r="X17" s="118" t="str">
        <f aca="false">_xlfn.IFNA(INDEX(Cascade!$BL:$BL,MATCH($E17,Cascade!$E:$E,0)),"")</f>
        <v/>
      </c>
      <c r="Y17" s="118" t="str">
        <f aca="false">_xlfn.IFNA(INDEX(Cascade!$BM:$BM,MATCH($E17,Cascade!$E:$E,0)),"")</f>
        <v/>
      </c>
      <c r="Z17" s="118" t="str">
        <f aca="false">_xlfn.IFNA(INDEX(Cascade!$BN:$BN,MATCH($E17,Cascade!$E:$E,0)),"")</f>
        <v/>
      </c>
      <c r="AA17" s="118" t="str">
        <f aca="false">_xlfn.IFNA(INDEX(Cascade!$BP:$BP,MATCH($E17,Cascade!$E:$E,0)),"")</f>
        <v/>
      </c>
      <c r="AB17" s="118" t="str">
        <f aca="false">_xlfn.IFNA(INDEX(Cascade!$BR:$BR,MATCH($E17,Cascade!$E:$E,0)),"")</f>
        <v/>
      </c>
    </row>
    <row r="18" customFormat="false" ht="15" hidden="false" customHeight="false" outlineLevel="0" collapsed="false">
      <c r="A18" s="0" t="s">
        <v>140</v>
      </c>
      <c r="B18" s="0" t="s">
        <v>141</v>
      </c>
      <c r="C18" s="0" t="s">
        <v>83</v>
      </c>
      <c r="D18" s="0" t="s">
        <v>58</v>
      </c>
      <c r="E18" s="0" t="str">
        <f aca="false">B18&amp;"|"&amp;C18&amp;"|"&amp;D18</f>
        <v>_Military Lesotho [#Military] [dDOqoFnD5Be]|05-09|Male</v>
      </c>
      <c r="F18" s="73"/>
      <c r="G18" s="118" t="str">
        <f aca="false">IF(SUM($F18)&lt;=0,"",0%)</f>
        <v/>
      </c>
      <c r="H18" s="75" t="str">
        <f aca="false">IF(SUM($F18)&lt;=0,"",$F18*(1+$G18))</f>
        <v/>
      </c>
      <c r="I18" s="73"/>
      <c r="J18" s="118" t="str">
        <f aca="false">IF(SUM($H18)&lt;=0,"",100%)</f>
        <v/>
      </c>
      <c r="K18" s="118"/>
      <c r="L18" s="118" t="str">
        <f aca="false">IF(SUM($K18)=0,"",$K18)</f>
        <v/>
      </c>
      <c r="M18" s="118"/>
      <c r="N18" s="118" t="str">
        <f aca="false">IF(SUM($M18)=0,"",$M18)</f>
        <v/>
      </c>
      <c r="O18" s="73" t="str">
        <f aca="false">IF(SUM($H18)&lt;=0,"",ROUND(SUM($H18)*SUM($J18),0))</f>
        <v/>
      </c>
      <c r="P18" s="75" t="str">
        <f aca="false">IF(SUM($O18)&lt;=0,"",ROUND(SUM($O18)*SUM($L18),0))</f>
        <v/>
      </c>
      <c r="Q18" s="75" t="str">
        <f aca="false">IF(SUM($O18)&lt;=0,"",ROUND((SUM($O18)-SUM($P18))*SUM($N18),0))</f>
        <v/>
      </c>
      <c r="R18" s="75" t="str">
        <f aca="false">IF(SUM($O18)&lt;=0,"",ROUND(SUM($O18)-SUM($P18)-SUM($Q18),0))</f>
        <v/>
      </c>
      <c r="S18" s="118" t="n">
        <f aca="false">_xlfn.IFNA(INDEX(Cascade!$BA:$BA,MATCH($E18,Cascade!$E:$E,0)),"")</f>
        <v>0.95</v>
      </c>
      <c r="T18" s="75" t="str">
        <f aca="false">IF(SUM($P18)&lt;=0,"",$P18)</f>
        <v/>
      </c>
      <c r="U18" s="75" t="str">
        <f aca="false">IF(SUM($Q18)&lt;=0,"",ROUND($Q18*$S18,0))</f>
        <v/>
      </c>
      <c r="V18" s="73" t="str">
        <f aca="false">_xlfn.IFNA(INDEX(Cascade!$BD:$BD,MATCH($E18,Cascade!$E:$E,0)),"")</f>
        <v/>
      </c>
      <c r="W18" s="118" t="str">
        <f aca="false">IF(OR(SUM($V18)&lt;=0,SUM($Q18)=0),"",SUM($Q18)/$V18)</f>
        <v/>
      </c>
      <c r="X18" s="118" t="str">
        <f aca="false">_xlfn.IFNA(INDEX(Cascade!$BL:$BL,MATCH($E18,Cascade!$E:$E,0)),"")</f>
        <v/>
      </c>
      <c r="Y18" s="118" t="str">
        <f aca="false">_xlfn.IFNA(INDEX(Cascade!$BM:$BM,MATCH($E18,Cascade!$E:$E,0)),"")</f>
        <v/>
      </c>
      <c r="Z18" s="118" t="str">
        <f aca="false">_xlfn.IFNA(INDEX(Cascade!$BN:$BN,MATCH($E18,Cascade!$E:$E,0)),"")</f>
        <v/>
      </c>
      <c r="AA18" s="118" t="str">
        <f aca="false">_xlfn.IFNA(INDEX(Cascade!$BP:$BP,MATCH($E18,Cascade!$E:$E,0)),"")</f>
        <v/>
      </c>
      <c r="AB18" s="118" t="str">
        <f aca="false">_xlfn.IFNA(INDEX(Cascade!$BR:$BR,MATCH($E18,Cascade!$E:$E,0)),"")</f>
        <v/>
      </c>
    </row>
    <row r="19" customFormat="false" ht="15" hidden="false" customHeight="false" outlineLevel="0" collapsed="false">
      <c r="A19" s="0" t="s">
        <v>140</v>
      </c>
      <c r="B19" s="0" t="s">
        <v>141</v>
      </c>
      <c r="C19" s="0" t="s">
        <v>61</v>
      </c>
      <c r="D19" s="0" t="s">
        <v>56</v>
      </c>
      <c r="E19" s="0" t="str">
        <f aca="false">B19&amp;"|"&amp;C19&amp;"|"&amp;D19</f>
        <v>_Military Lesotho [#Military] [dDOqoFnD5Be]|10-14|Female</v>
      </c>
      <c r="F19" s="73"/>
      <c r="G19" s="118" t="str">
        <f aca="false">IF(SUM($F19)&lt;=0,"",0%)</f>
        <v/>
      </c>
      <c r="H19" s="75" t="str">
        <f aca="false">IF(SUM($F19)&lt;=0,"",$F19*(1+$G19))</f>
        <v/>
      </c>
      <c r="I19" s="73"/>
      <c r="J19" s="118" t="str">
        <f aca="false">IF(SUM($H19)&lt;=0,"",100%)</f>
        <v/>
      </c>
      <c r="K19" s="118"/>
      <c r="L19" s="118" t="str">
        <f aca="false">IF(SUM($K19)=0,"",$K19)</f>
        <v/>
      </c>
      <c r="M19" s="118"/>
      <c r="N19" s="118" t="str">
        <f aca="false">IF(SUM($M19)=0,"",$M19)</f>
        <v/>
      </c>
      <c r="O19" s="73" t="str">
        <f aca="false">IF(SUM($H19)&lt;=0,"",ROUND(SUM($H19)*SUM($J19),0))</f>
        <v/>
      </c>
      <c r="P19" s="75" t="str">
        <f aca="false">IF(SUM($O19)&lt;=0,"",ROUND(SUM($O19)*SUM($L19),0))</f>
        <v/>
      </c>
      <c r="Q19" s="75" t="str">
        <f aca="false">IF(SUM($O19)&lt;=0,"",ROUND((SUM($O19)-SUM($P19))*SUM($N19),0))</f>
        <v/>
      </c>
      <c r="R19" s="75" t="str">
        <f aca="false">IF(SUM($O19)&lt;=0,"",ROUND(SUM($O19)-SUM($P19)-SUM($Q19),0))</f>
        <v/>
      </c>
      <c r="S19" s="118" t="n">
        <f aca="false">_xlfn.IFNA(INDEX(Cascade!$BA:$BA,MATCH($E19,Cascade!$E:$E,0)),"")</f>
        <v>0.95</v>
      </c>
      <c r="T19" s="75" t="str">
        <f aca="false">IF(SUM($P19)&lt;=0,"",$P19)</f>
        <v/>
      </c>
      <c r="U19" s="75" t="str">
        <f aca="false">IF(SUM($Q19)&lt;=0,"",ROUND($Q19*$S19,0))</f>
        <v/>
      </c>
      <c r="V19" s="73" t="str">
        <f aca="false">_xlfn.IFNA(INDEX(Cascade!$BD:$BD,MATCH($E19,Cascade!$E:$E,0)),"")</f>
        <v/>
      </c>
      <c r="W19" s="118" t="str">
        <f aca="false">IF(OR(SUM($V19)&lt;=0,SUM($Q19)=0),"",SUM($Q19)/$V19)</f>
        <v/>
      </c>
      <c r="X19" s="118" t="str">
        <f aca="false">_xlfn.IFNA(INDEX(Cascade!$BL:$BL,MATCH($E19,Cascade!$E:$E,0)),"")</f>
        <v/>
      </c>
      <c r="Y19" s="118" t="str">
        <f aca="false">_xlfn.IFNA(INDEX(Cascade!$BM:$BM,MATCH($E19,Cascade!$E:$E,0)),"")</f>
        <v/>
      </c>
      <c r="Z19" s="118" t="str">
        <f aca="false">_xlfn.IFNA(INDEX(Cascade!$BN:$BN,MATCH($E19,Cascade!$E:$E,0)),"")</f>
        <v/>
      </c>
      <c r="AA19" s="118" t="str">
        <f aca="false">_xlfn.IFNA(INDEX(Cascade!$BP:$BP,MATCH($E19,Cascade!$E:$E,0)),"")</f>
        <v/>
      </c>
      <c r="AB19" s="118" t="str">
        <f aca="false">_xlfn.IFNA(INDEX(Cascade!$BR:$BR,MATCH($E19,Cascade!$E:$E,0)),"")</f>
        <v/>
      </c>
    </row>
    <row r="20" customFormat="false" ht="15" hidden="false" customHeight="false" outlineLevel="0" collapsed="false">
      <c r="A20" s="0" t="s">
        <v>140</v>
      </c>
      <c r="B20" s="0" t="s">
        <v>141</v>
      </c>
      <c r="C20" s="0" t="s">
        <v>61</v>
      </c>
      <c r="D20" s="0" t="s">
        <v>58</v>
      </c>
      <c r="E20" s="0" t="str">
        <f aca="false">B20&amp;"|"&amp;C20&amp;"|"&amp;D20</f>
        <v>_Military Lesotho [#Military] [dDOqoFnD5Be]|10-14|Male</v>
      </c>
      <c r="F20" s="73"/>
      <c r="G20" s="118" t="str">
        <f aca="false">IF(SUM($F20)&lt;=0,"",0%)</f>
        <v/>
      </c>
      <c r="H20" s="75" t="str">
        <f aca="false">IF(SUM($F20)&lt;=0,"",$F20*(1+$G20))</f>
        <v/>
      </c>
      <c r="I20" s="73"/>
      <c r="J20" s="118" t="str">
        <f aca="false">IF(SUM($H20)&lt;=0,"",100%)</f>
        <v/>
      </c>
      <c r="K20" s="118"/>
      <c r="L20" s="118" t="str">
        <f aca="false">IF(SUM($K20)=0,"",$K20)</f>
        <v/>
      </c>
      <c r="M20" s="118"/>
      <c r="N20" s="118" t="str">
        <f aca="false">IF(SUM($M20)=0,"",$M20)</f>
        <v/>
      </c>
      <c r="O20" s="73" t="str">
        <f aca="false">IF(SUM($H20)&lt;=0,"",ROUND(SUM($H20)*SUM($J20),0))</f>
        <v/>
      </c>
      <c r="P20" s="75" t="str">
        <f aca="false">IF(SUM($O20)&lt;=0,"",ROUND(SUM($O20)*SUM($L20),0))</f>
        <v/>
      </c>
      <c r="Q20" s="75" t="str">
        <f aca="false">IF(SUM($O20)&lt;=0,"",ROUND((SUM($O20)-SUM($P20))*SUM($N20),0))</f>
        <v/>
      </c>
      <c r="R20" s="75" t="str">
        <f aca="false">IF(SUM($O20)&lt;=0,"",ROUND(SUM($O20)-SUM($P20)-SUM($Q20),0))</f>
        <v/>
      </c>
      <c r="S20" s="118" t="n">
        <f aca="false">_xlfn.IFNA(INDEX(Cascade!$BA:$BA,MATCH($E20,Cascade!$E:$E,0)),"")</f>
        <v>0.95</v>
      </c>
      <c r="T20" s="75" t="str">
        <f aca="false">IF(SUM($P20)&lt;=0,"",$P20)</f>
        <v/>
      </c>
      <c r="U20" s="75" t="str">
        <f aca="false">IF(SUM($Q20)&lt;=0,"",ROUND($Q20*$S20,0))</f>
        <v/>
      </c>
      <c r="V20" s="73" t="str">
        <f aca="false">_xlfn.IFNA(INDEX(Cascade!$BD:$BD,MATCH($E20,Cascade!$E:$E,0)),"")</f>
        <v/>
      </c>
      <c r="W20" s="118" t="str">
        <f aca="false">IF(OR(SUM($V20)&lt;=0,SUM($Q20)=0),"",SUM($Q20)/$V20)</f>
        <v/>
      </c>
      <c r="X20" s="118" t="str">
        <f aca="false">_xlfn.IFNA(INDEX(Cascade!$BL:$BL,MATCH($E20,Cascade!$E:$E,0)),"")</f>
        <v/>
      </c>
      <c r="Y20" s="118" t="str">
        <f aca="false">_xlfn.IFNA(INDEX(Cascade!$BM:$BM,MATCH($E20,Cascade!$E:$E,0)),"")</f>
        <v/>
      </c>
      <c r="Z20" s="118" t="str">
        <f aca="false">_xlfn.IFNA(INDEX(Cascade!$BN:$BN,MATCH($E20,Cascade!$E:$E,0)),"")</f>
        <v/>
      </c>
      <c r="AA20" s="118" t="str">
        <f aca="false">_xlfn.IFNA(INDEX(Cascade!$BP:$BP,MATCH($E20,Cascade!$E:$E,0)),"")</f>
        <v/>
      </c>
      <c r="AB20" s="118" t="str">
        <f aca="false">_xlfn.IFNA(INDEX(Cascade!$BR:$BR,MATCH($E20,Cascade!$E:$E,0)),"")</f>
        <v/>
      </c>
    </row>
    <row r="21" customFormat="false" ht="15" hidden="false" customHeight="false" outlineLevel="0" collapsed="false">
      <c r="A21" s="0" t="s">
        <v>140</v>
      </c>
      <c r="B21" s="0" t="s">
        <v>141</v>
      </c>
      <c r="C21" s="0" t="s">
        <v>63</v>
      </c>
      <c r="D21" s="0" t="s">
        <v>56</v>
      </c>
      <c r="E21" s="0" t="str">
        <f aca="false">B21&amp;"|"&amp;C21&amp;"|"&amp;D21</f>
        <v>_Military Lesotho [#Military] [dDOqoFnD5Be]|15-19|Female</v>
      </c>
      <c r="F21" s="73"/>
      <c r="G21" s="118" t="str">
        <f aca="false">IF(SUM($F21)&lt;=0,"",0%)</f>
        <v/>
      </c>
      <c r="H21" s="75" t="str">
        <f aca="false">IF(SUM($F21)&lt;=0,"",$F21*(1+$G21))</f>
        <v/>
      </c>
      <c r="I21" s="73"/>
      <c r="J21" s="118" t="str">
        <f aca="false">IF(SUM($H21)&lt;=0,"",100%)</f>
        <v/>
      </c>
      <c r="K21" s="118"/>
      <c r="L21" s="118" t="str">
        <f aca="false">IF(SUM($K21)=0,"",$K21)</f>
        <v/>
      </c>
      <c r="M21" s="118"/>
      <c r="N21" s="118" t="str">
        <f aca="false">IF(SUM($M21)=0,"",$M21)</f>
        <v/>
      </c>
      <c r="O21" s="73" t="str">
        <f aca="false">IF(SUM($H21)&lt;=0,"",ROUND(SUM($H21)*SUM($J21),0))</f>
        <v/>
      </c>
      <c r="P21" s="75" t="str">
        <f aca="false">IF(SUM($O21)&lt;=0,"",ROUND(SUM($O21)*SUM($L21),0))</f>
        <v/>
      </c>
      <c r="Q21" s="75" t="str">
        <f aca="false">IF(SUM($O21)&lt;=0,"",ROUND((SUM($O21)-SUM($P21))*SUM($N21),0))</f>
        <v/>
      </c>
      <c r="R21" s="75" t="str">
        <f aca="false">IF(SUM($O21)&lt;=0,"",ROUND(SUM($O21)-SUM($P21)-SUM($Q21),0))</f>
        <v/>
      </c>
      <c r="S21" s="118" t="n">
        <f aca="false">_xlfn.IFNA(INDEX(Cascade!$BA:$BA,MATCH($E21,Cascade!$E:$E,0)),"")</f>
        <v>0.95</v>
      </c>
      <c r="T21" s="75" t="str">
        <f aca="false">IF(SUM($P21)&lt;=0,"",$P21)</f>
        <v/>
      </c>
      <c r="U21" s="75" t="str">
        <f aca="false">IF(SUM($Q21)&lt;=0,"",ROUND($Q21*$S21,0))</f>
        <v/>
      </c>
      <c r="V21" s="73" t="n">
        <f aca="false">_xlfn.IFNA(INDEX(Cascade!$BD:$BD,MATCH($E21,Cascade!$E:$E,0)),"")</f>
        <v>1</v>
      </c>
      <c r="W21" s="118" t="str">
        <f aca="false">IF(OR(SUM($V21)&lt;=0,SUM($Q21)=0),"",SUM($Q21)/$V21)</f>
        <v/>
      </c>
      <c r="X21" s="118" t="str">
        <f aca="false">_xlfn.IFNA(INDEX(Cascade!$BL:$BL,MATCH($E21,Cascade!$E:$E,0)),"")</f>
        <v/>
      </c>
      <c r="Y21" s="118" t="str">
        <f aca="false">_xlfn.IFNA(INDEX(Cascade!$BM:$BM,MATCH($E21,Cascade!$E:$E,0)),"")</f>
        <v/>
      </c>
      <c r="Z21" s="118" t="str">
        <f aca="false">_xlfn.IFNA(INDEX(Cascade!$BN:$BN,MATCH($E21,Cascade!$E:$E,0)),"")</f>
        <v/>
      </c>
      <c r="AA21" s="118" t="str">
        <f aca="false">_xlfn.IFNA(INDEX(Cascade!$BP:$BP,MATCH($E21,Cascade!$E:$E,0)),"")</f>
        <v/>
      </c>
      <c r="AB21" s="118" t="n">
        <f aca="false">_xlfn.IFNA(INDEX(Cascade!$BR:$BR,MATCH($E21,Cascade!$E:$E,0)),"")</f>
        <v>1</v>
      </c>
    </row>
    <row r="22" customFormat="false" ht="15" hidden="false" customHeight="false" outlineLevel="0" collapsed="false">
      <c r="A22" s="0" t="s">
        <v>140</v>
      </c>
      <c r="B22" s="0" t="s">
        <v>141</v>
      </c>
      <c r="C22" s="0" t="s">
        <v>63</v>
      </c>
      <c r="D22" s="0" t="s">
        <v>58</v>
      </c>
      <c r="E22" s="0" t="str">
        <f aca="false">B22&amp;"|"&amp;C22&amp;"|"&amp;D22</f>
        <v>_Military Lesotho [#Military] [dDOqoFnD5Be]|15-19|Male</v>
      </c>
      <c r="F22" s="73"/>
      <c r="G22" s="118" t="str">
        <f aca="false">IF(SUM($F22)&lt;=0,"",0%)</f>
        <v/>
      </c>
      <c r="H22" s="75" t="str">
        <f aca="false">IF(SUM($F22)&lt;=0,"",$F22*(1+$G22))</f>
        <v/>
      </c>
      <c r="I22" s="73"/>
      <c r="J22" s="118" t="str">
        <f aca="false">IF(SUM($H22)&lt;=0,"",100%)</f>
        <v/>
      </c>
      <c r="K22" s="118"/>
      <c r="L22" s="118" t="str">
        <f aca="false">IF(SUM($K22)=0,"",$K22)</f>
        <v/>
      </c>
      <c r="M22" s="118"/>
      <c r="N22" s="118" t="str">
        <f aca="false">IF(SUM($M22)=0,"",$M22)</f>
        <v/>
      </c>
      <c r="O22" s="73" t="str">
        <f aca="false">IF(SUM($H22)&lt;=0,"",ROUND(SUM($H22)*SUM($J22),0))</f>
        <v/>
      </c>
      <c r="P22" s="75" t="str">
        <f aca="false">IF(SUM($O22)&lt;=0,"",ROUND(SUM($O22)*SUM($L22),0))</f>
        <v/>
      </c>
      <c r="Q22" s="75" t="str">
        <f aca="false">IF(SUM($O22)&lt;=0,"",ROUND((SUM($O22)-SUM($P22))*SUM($N22),0))</f>
        <v/>
      </c>
      <c r="R22" s="75" t="str">
        <f aca="false">IF(SUM($O22)&lt;=0,"",ROUND(SUM($O22)-SUM($P22)-SUM($Q22),0))</f>
        <v/>
      </c>
      <c r="S22" s="118" t="n">
        <f aca="false">_xlfn.IFNA(INDEX(Cascade!$BA:$BA,MATCH($E22,Cascade!$E:$E,0)),"")</f>
        <v>0.95</v>
      </c>
      <c r="T22" s="75" t="str">
        <f aca="false">IF(SUM($P22)&lt;=0,"",$P22)</f>
        <v/>
      </c>
      <c r="U22" s="75" t="str">
        <f aca="false">IF(SUM($Q22)&lt;=0,"",ROUND($Q22*$S22,0))</f>
        <v/>
      </c>
      <c r="V22" s="73" t="n">
        <f aca="false">_xlfn.IFNA(INDEX(Cascade!$BD:$BD,MATCH($E22,Cascade!$E:$E,0)),"")</f>
        <v>1</v>
      </c>
      <c r="W22" s="118" t="str">
        <f aca="false">IF(OR(SUM($V22)&lt;=0,SUM($Q22)=0),"",SUM($Q22)/$V22)</f>
        <v/>
      </c>
      <c r="X22" s="118" t="str">
        <f aca="false">_xlfn.IFNA(INDEX(Cascade!$BL:$BL,MATCH($E22,Cascade!$E:$E,0)),"")</f>
        <v/>
      </c>
      <c r="Y22" s="118" t="str">
        <f aca="false">_xlfn.IFNA(INDEX(Cascade!$BM:$BM,MATCH($E22,Cascade!$E:$E,0)),"")</f>
        <v/>
      </c>
      <c r="Z22" s="118" t="str">
        <f aca="false">_xlfn.IFNA(INDEX(Cascade!$BN:$BN,MATCH($E22,Cascade!$E:$E,0)),"")</f>
        <v/>
      </c>
      <c r="AA22" s="118" t="str">
        <f aca="false">_xlfn.IFNA(INDEX(Cascade!$BP:$BP,MATCH($E22,Cascade!$E:$E,0)),"")</f>
        <v/>
      </c>
      <c r="AB22" s="118" t="n">
        <f aca="false">_xlfn.IFNA(INDEX(Cascade!$BR:$BR,MATCH($E22,Cascade!$E:$E,0)),"")</f>
        <v>1</v>
      </c>
    </row>
    <row r="23" customFormat="false" ht="15" hidden="false" customHeight="false" outlineLevel="0" collapsed="false">
      <c r="A23" s="0" t="s">
        <v>140</v>
      </c>
      <c r="B23" s="0" t="s">
        <v>141</v>
      </c>
      <c r="C23" s="0" t="s">
        <v>66</v>
      </c>
      <c r="D23" s="0" t="s">
        <v>56</v>
      </c>
      <c r="E23" s="0" t="str">
        <f aca="false">B23&amp;"|"&amp;C23&amp;"|"&amp;D23</f>
        <v>_Military Lesotho [#Military] [dDOqoFnD5Be]|20-24|Female</v>
      </c>
      <c r="F23" s="73" t="n">
        <v>13</v>
      </c>
      <c r="G23" s="118" t="n">
        <f aca="false">IF(SUM($F23)&lt;=0,"",0%)</f>
        <v>0</v>
      </c>
      <c r="H23" s="75" t="n">
        <f aca="false">IF(SUM($F23)&lt;=0,"",$F23*(1+$G23))</f>
        <v>13</v>
      </c>
      <c r="I23" s="73"/>
      <c r="J23" s="118" t="n">
        <f aca="false">IF(SUM($H23)&lt;=0,"",100%)</f>
        <v>1</v>
      </c>
      <c r="K23" s="118" t="n">
        <v>23</v>
      </c>
      <c r="L23" s="118" t="n">
        <f aca="false">IF(SUM($K23)=0,"",$K23)</f>
        <v>23</v>
      </c>
      <c r="M23" s="118"/>
      <c r="N23" s="118" t="str">
        <f aca="false">IF(SUM($M23)=0,"",$M23)</f>
        <v/>
      </c>
      <c r="O23" s="73" t="n">
        <f aca="false">IF(SUM($H23)&lt;=0,"",ROUND(SUM($H23)*SUM($J23),0))</f>
        <v>13</v>
      </c>
      <c r="P23" s="75" t="n">
        <f aca="false">IF(SUM($O23)&lt;=0,"",ROUND(SUM($O23)*SUM($L23),0))</f>
        <v>299</v>
      </c>
      <c r="Q23" s="75" t="n">
        <f aca="false">IF(SUM($O23)&lt;=0,"",ROUND((SUM($O23)-SUM($P23))*SUM($N23),0))</f>
        <v>-0</v>
      </c>
      <c r="R23" s="75" t="n">
        <f aca="false">IF(SUM($O23)&lt;=0,"",ROUND(SUM($O23)-SUM($P23)-SUM($Q23),0))</f>
        <v>-286</v>
      </c>
      <c r="S23" s="118" t="n">
        <f aca="false">_xlfn.IFNA(INDEX(Cascade!$BA:$BA,MATCH($E23,Cascade!$E:$E,0)),"")</f>
        <v>0.95</v>
      </c>
      <c r="T23" s="75" t="n">
        <f aca="false">IF(SUM($P23)&lt;=0,"",$P23)</f>
        <v>299</v>
      </c>
      <c r="U23" s="75" t="str">
        <f aca="false">IF(SUM($Q23)&lt;=0,"",ROUND($Q23*$S23,0))</f>
        <v/>
      </c>
      <c r="V23" s="73" t="n">
        <f aca="false">_xlfn.IFNA(INDEX(Cascade!$BD:$BD,MATCH($E23,Cascade!$E:$E,0)),"")</f>
        <v>1</v>
      </c>
      <c r="W23" s="118" t="str">
        <f aca="false">IF(OR(SUM($V23)&lt;=0,SUM($Q23)=0),"",SUM($Q23)/$V23)</f>
        <v/>
      </c>
      <c r="X23" s="118" t="str">
        <f aca="false">_xlfn.IFNA(INDEX(Cascade!$BL:$BL,MATCH($E23,Cascade!$E:$E,0)),"")</f>
        <v/>
      </c>
      <c r="Y23" s="118" t="str">
        <f aca="false">_xlfn.IFNA(INDEX(Cascade!$BM:$BM,MATCH($E23,Cascade!$E:$E,0)),"")</f>
        <v/>
      </c>
      <c r="Z23" s="118" t="str">
        <f aca="false">_xlfn.IFNA(INDEX(Cascade!$BN:$BN,MATCH($E23,Cascade!$E:$E,0)),"")</f>
        <v/>
      </c>
      <c r="AA23" s="118" t="str">
        <f aca="false">_xlfn.IFNA(INDEX(Cascade!$BP:$BP,MATCH($E23,Cascade!$E:$E,0)),"")</f>
        <v/>
      </c>
      <c r="AB23" s="118" t="n">
        <f aca="false">_xlfn.IFNA(INDEX(Cascade!$BR:$BR,MATCH($E23,Cascade!$E:$E,0)),"")</f>
        <v>1</v>
      </c>
    </row>
    <row r="24" customFormat="false" ht="15" hidden="false" customHeight="false" outlineLevel="0" collapsed="false">
      <c r="A24" s="0" t="s">
        <v>140</v>
      </c>
      <c r="B24" s="0" t="s">
        <v>141</v>
      </c>
      <c r="C24" s="0" t="s">
        <v>66</v>
      </c>
      <c r="D24" s="0" t="s">
        <v>58</v>
      </c>
      <c r="E24" s="0" t="str">
        <f aca="false">B24&amp;"|"&amp;C24&amp;"|"&amp;D24</f>
        <v>_Military Lesotho [#Military] [dDOqoFnD5Be]|20-24|Male</v>
      </c>
      <c r="F24" s="73"/>
      <c r="G24" s="118" t="str">
        <f aca="false">IF(SUM($F24)&lt;=0,"",0%)</f>
        <v/>
      </c>
      <c r="H24" s="75" t="str">
        <f aca="false">IF(SUM($F24)&lt;=0,"",$F24*(1+$G24))</f>
        <v/>
      </c>
      <c r="I24" s="73"/>
      <c r="J24" s="118" t="str">
        <f aca="false">IF(SUM($H24)&lt;=0,"",100%)</f>
        <v/>
      </c>
      <c r="K24" s="118" t="n">
        <v>48</v>
      </c>
      <c r="L24" s="118" t="n">
        <f aca="false">IF(SUM($K24)=0,"",$K24)</f>
        <v>48</v>
      </c>
      <c r="M24" s="118"/>
      <c r="N24" s="118" t="str">
        <f aca="false">IF(SUM($M24)=0,"",$M24)</f>
        <v/>
      </c>
      <c r="O24" s="73" t="str">
        <f aca="false">IF(SUM($H24)&lt;=0,"",ROUND(SUM($H24)*SUM($J24),0))</f>
        <v/>
      </c>
      <c r="P24" s="75" t="str">
        <f aca="false">IF(SUM($O24)&lt;=0,"",ROUND(SUM($O24)*SUM($L24),0))</f>
        <v/>
      </c>
      <c r="Q24" s="75" t="str">
        <f aca="false">IF(SUM($O24)&lt;=0,"",ROUND((SUM($O24)-SUM($P24))*SUM($N24),0))</f>
        <v/>
      </c>
      <c r="R24" s="75" t="str">
        <f aca="false">IF(SUM($O24)&lt;=0,"",ROUND(SUM($O24)-SUM($P24)-SUM($Q24),0))</f>
        <v/>
      </c>
      <c r="S24" s="118" t="n">
        <f aca="false">_xlfn.IFNA(INDEX(Cascade!$BA:$BA,MATCH($E24,Cascade!$E:$E,0)),"")</f>
        <v>0.95</v>
      </c>
      <c r="T24" s="75" t="str">
        <f aca="false">IF(SUM($P24)&lt;=0,"",$P24)</f>
        <v/>
      </c>
      <c r="U24" s="75" t="str">
        <f aca="false">IF(SUM($Q24)&lt;=0,"",ROUND($Q24*$S24,0))</f>
        <v/>
      </c>
      <c r="V24" s="73" t="str">
        <f aca="false">_xlfn.IFNA(INDEX(Cascade!$BD:$BD,MATCH($E24,Cascade!$E:$E,0)),"")</f>
        <v/>
      </c>
      <c r="W24" s="118" t="str">
        <f aca="false">IF(OR(SUM($V24)&lt;=0,SUM($Q24)=0),"",SUM($Q24)/$V24)</f>
        <v/>
      </c>
      <c r="X24" s="118" t="str">
        <f aca="false">_xlfn.IFNA(INDEX(Cascade!$BL:$BL,MATCH($E24,Cascade!$E:$E,0)),"")</f>
        <v/>
      </c>
      <c r="Y24" s="118" t="str">
        <f aca="false">_xlfn.IFNA(INDEX(Cascade!$BM:$BM,MATCH($E24,Cascade!$E:$E,0)),"")</f>
        <v/>
      </c>
      <c r="Z24" s="118" t="str">
        <f aca="false">_xlfn.IFNA(INDEX(Cascade!$BN:$BN,MATCH($E24,Cascade!$E:$E,0)),"")</f>
        <v/>
      </c>
      <c r="AA24" s="118" t="str">
        <f aca="false">_xlfn.IFNA(INDEX(Cascade!$BP:$BP,MATCH($E24,Cascade!$E:$E,0)),"")</f>
        <v/>
      </c>
      <c r="AB24" s="118" t="str">
        <f aca="false">_xlfn.IFNA(INDEX(Cascade!$BR:$BR,MATCH($E24,Cascade!$E:$E,0)),"")</f>
        <v/>
      </c>
    </row>
    <row r="25" customFormat="false" ht="15" hidden="false" customHeight="false" outlineLevel="0" collapsed="false">
      <c r="A25" s="0" t="s">
        <v>140</v>
      </c>
      <c r="B25" s="0" t="s">
        <v>141</v>
      </c>
      <c r="C25" s="0" t="s">
        <v>69</v>
      </c>
      <c r="D25" s="0" t="s">
        <v>56</v>
      </c>
      <c r="E25" s="0" t="str">
        <f aca="false">B25&amp;"|"&amp;C25&amp;"|"&amp;D25</f>
        <v>_Military Lesotho [#Military] [dDOqoFnD5Be]|25-29|Female</v>
      </c>
      <c r="F25" s="73" t="n">
        <v>18</v>
      </c>
      <c r="G25" s="118" t="n">
        <f aca="false">IF(SUM($F25)&lt;=0,"",0%)</f>
        <v>0</v>
      </c>
      <c r="H25" s="75" t="n">
        <f aca="false">IF(SUM($F25)&lt;=0,"",$F25*(1+$G25))</f>
        <v>18</v>
      </c>
      <c r="I25" s="73"/>
      <c r="J25" s="118" t="n">
        <f aca="false">IF(SUM($H25)&lt;=0,"",100%)</f>
        <v>1</v>
      </c>
      <c r="K25" s="118" t="n">
        <v>7</v>
      </c>
      <c r="L25" s="118" t="n">
        <f aca="false">IF(SUM($K25)=0,"",$K25)</f>
        <v>7</v>
      </c>
      <c r="M25" s="118"/>
      <c r="N25" s="118" t="str">
        <f aca="false">IF(SUM($M25)=0,"",$M25)</f>
        <v/>
      </c>
      <c r="O25" s="73" t="n">
        <f aca="false">IF(SUM($H25)&lt;=0,"",ROUND(SUM($H25)*SUM($J25),0))</f>
        <v>18</v>
      </c>
      <c r="P25" s="75" t="n">
        <f aca="false">IF(SUM($O25)&lt;=0,"",ROUND(SUM($O25)*SUM($L25),0))</f>
        <v>126</v>
      </c>
      <c r="Q25" s="75" t="n">
        <f aca="false">IF(SUM($O25)&lt;=0,"",ROUND((SUM($O25)-SUM($P25))*SUM($N25),0))</f>
        <v>-0</v>
      </c>
      <c r="R25" s="75" t="n">
        <f aca="false">IF(SUM($O25)&lt;=0,"",ROUND(SUM($O25)-SUM($P25)-SUM($Q25),0))</f>
        <v>-108</v>
      </c>
      <c r="S25" s="118" t="n">
        <f aca="false">_xlfn.IFNA(INDEX(Cascade!$BA:$BA,MATCH($E25,Cascade!$E:$E,0)),"")</f>
        <v>0.95</v>
      </c>
      <c r="T25" s="75" t="n">
        <f aca="false">IF(SUM($P25)&lt;=0,"",$P25)</f>
        <v>126</v>
      </c>
      <c r="U25" s="75" t="str">
        <f aca="false">IF(SUM($Q25)&lt;=0,"",ROUND($Q25*$S25,0))</f>
        <v/>
      </c>
      <c r="V25" s="73" t="str">
        <f aca="false">_xlfn.IFNA(INDEX(Cascade!$BD:$BD,MATCH($E25,Cascade!$E:$E,0)),"")</f>
        <v/>
      </c>
      <c r="W25" s="118" t="str">
        <f aca="false">IF(OR(SUM($V25)&lt;=0,SUM($Q25)=0),"",SUM($Q25)/$V25)</f>
        <v/>
      </c>
      <c r="X25" s="118" t="str">
        <f aca="false">_xlfn.IFNA(INDEX(Cascade!$BL:$BL,MATCH($E25,Cascade!$E:$E,0)),"")</f>
        <v/>
      </c>
      <c r="Y25" s="118" t="str">
        <f aca="false">_xlfn.IFNA(INDEX(Cascade!$BM:$BM,MATCH($E25,Cascade!$E:$E,0)),"")</f>
        <v/>
      </c>
      <c r="Z25" s="118" t="str">
        <f aca="false">_xlfn.IFNA(INDEX(Cascade!$BN:$BN,MATCH($E25,Cascade!$E:$E,0)),"")</f>
        <v/>
      </c>
      <c r="AA25" s="118" t="str">
        <f aca="false">_xlfn.IFNA(INDEX(Cascade!$BP:$BP,MATCH($E25,Cascade!$E:$E,0)),"")</f>
        <v/>
      </c>
      <c r="AB25" s="118" t="str">
        <f aca="false">_xlfn.IFNA(INDEX(Cascade!$BR:$BR,MATCH($E25,Cascade!$E:$E,0)),"")</f>
        <v/>
      </c>
    </row>
    <row r="26" customFormat="false" ht="15" hidden="false" customHeight="false" outlineLevel="0" collapsed="false">
      <c r="A26" s="0" t="s">
        <v>140</v>
      </c>
      <c r="B26" s="0" t="s">
        <v>141</v>
      </c>
      <c r="C26" s="0" t="s">
        <v>69</v>
      </c>
      <c r="D26" s="0" t="s">
        <v>58</v>
      </c>
      <c r="E26" s="0" t="str">
        <f aca="false">B26&amp;"|"&amp;C26&amp;"|"&amp;D26</f>
        <v>_Military Lesotho [#Military] [dDOqoFnD5Be]|25-29|Male</v>
      </c>
      <c r="F26" s="73" t="n">
        <v>45</v>
      </c>
      <c r="G26" s="118" t="n">
        <f aca="false">IF(SUM($F26)&lt;=0,"",0%)</f>
        <v>0</v>
      </c>
      <c r="H26" s="75" t="n">
        <f aca="false">IF(SUM($F26)&lt;=0,"",$F26*(1+$G26))</f>
        <v>45</v>
      </c>
      <c r="I26" s="73"/>
      <c r="J26" s="118" t="n">
        <f aca="false">IF(SUM($H26)&lt;=0,"",100%)</f>
        <v>1</v>
      </c>
      <c r="K26" s="118" t="n">
        <v>12</v>
      </c>
      <c r="L26" s="118" t="n">
        <f aca="false">IF(SUM($K26)=0,"",$K26)</f>
        <v>12</v>
      </c>
      <c r="M26" s="118"/>
      <c r="N26" s="118" t="str">
        <f aca="false">IF(SUM($M26)=0,"",$M26)</f>
        <v/>
      </c>
      <c r="O26" s="73" t="n">
        <f aca="false">IF(SUM($H26)&lt;=0,"",ROUND(SUM($H26)*SUM($J26),0))</f>
        <v>45</v>
      </c>
      <c r="P26" s="75" t="n">
        <f aca="false">IF(SUM($O26)&lt;=0,"",ROUND(SUM($O26)*SUM($L26),0))</f>
        <v>540</v>
      </c>
      <c r="Q26" s="75" t="n">
        <f aca="false">IF(SUM($O26)&lt;=0,"",ROUND((SUM($O26)-SUM($P26))*SUM($N26),0))</f>
        <v>-0</v>
      </c>
      <c r="R26" s="75" t="n">
        <f aca="false">IF(SUM($O26)&lt;=0,"",ROUND(SUM($O26)-SUM($P26)-SUM($Q26),0))</f>
        <v>-495</v>
      </c>
      <c r="S26" s="118" t="n">
        <f aca="false">_xlfn.IFNA(INDEX(Cascade!$BA:$BA,MATCH($E26,Cascade!$E:$E,0)),"")</f>
        <v>0.95</v>
      </c>
      <c r="T26" s="75" t="n">
        <f aca="false">IF(SUM($P26)&lt;=0,"",$P26)</f>
        <v>540</v>
      </c>
      <c r="U26" s="75" t="str">
        <f aca="false">IF(SUM($Q26)&lt;=0,"",ROUND($Q26*$S26,0))</f>
        <v/>
      </c>
      <c r="V26" s="73" t="n">
        <f aca="false">_xlfn.IFNA(INDEX(Cascade!$BD:$BD,MATCH($E26,Cascade!$E:$E,0)),"")</f>
        <v>1</v>
      </c>
      <c r="W26" s="118" t="str">
        <f aca="false">IF(OR(SUM($V26)&lt;=0,SUM($Q26)=0),"",SUM($Q26)/$V26)</f>
        <v/>
      </c>
      <c r="X26" s="118" t="str">
        <f aca="false">_xlfn.IFNA(INDEX(Cascade!$BL:$BL,MATCH($E26,Cascade!$E:$E,0)),"")</f>
        <v/>
      </c>
      <c r="Y26" s="118" t="str">
        <f aca="false">_xlfn.IFNA(INDEX(Cascade!$BM:$BM,MATCH($E26,Cascade!$E:$E,0)),"")</f>
        <v/>
      </c>
      <c r="Z26" s="118" t="str">
        <f aca="false">_xlfn.IFNA(INDEX(Cascade!$BN:$BN,MATCH($E26,Cascade!$E:$E,0)),"")</f>
        <v/>
      </c>
      <c r="AA26" s="118" t="str">
        <f aca="false">_xlfn.IFNA(INDEX(Cascade!$BP:$BP,MATCH($E26,Cascade!$E:$E,0)),"")</f>
        <v/>
      </c>
      <c r="AB26" s="118" t="n">
        <f aca="false">_xlfn.IFNA(INDEX(Cascade!$BR:$BR,MATCH($E26,Cascade!$E:$E,0)),"")</f>
        <v>1</v>
      </c>
    </row>
    <row r="27" customFormat="false" ht="15" hidden="false" customHeight="false" outlineLevel="0" collapsed="false">
      <c r="A27" s="0" t="s">
        <v>140</v>
      </c>
      <c r="B27" s="0" t="s">
        <v>141</v>
      </c>
      <c r="C27" s="0" t="s">
        <v>72</v>
      </c>
      <c r="D27" s="0" t="s">
        <v>56</v>
      </c>
      <c r="E27" s="0" t="str">
        <f aca="false">B27&amp;"|"&amp;C27&amp;"|"&amp;D27</f>
        <v>_Military Lesotho [#Military] [dDOqoFnD5Be]|30-34|Female</v>
      </c>
      <c r="F27" s="73" t="n">
        <v>23</v>
      </c>
      <c r="G27" s="118" t="n">
        <f aca="false">IF(SUM($F27)&lt;=0,"",0%)</f>
        <v>0</v>
      </c>
      <c r="H27" s="75" t="n">
        <f aca="false">IF(SUM($F27)&lt;=0,"",$F27*(1+$G27))</f>
        <v>23</v>
      </c>
      <c r="I27" s="73"/>
      <c r="J27" s="118" t="n">
        <f aca="false">IF(SUM($H27)&lt;=0,"",100%)</f>
        <v>1</v>
      </c>
      <c r="K27" s="118"/>
      <c r="L27" s="118" t="str">
        <f aca="false">IF(SUM($K27)=0,"",$K27)</f>
        <v/>
      </c>
      <c r="M27" s="118"/>
      <c r="N27" s="118" t="str">
        <f aca="false">IF(SUM($M27)=0,"",$M27)</f>
        <v/>
      </c>
      <c r="O27" s="73" t="n">
        <f aca="false">IF(SUM($H27)&lt;=0,"",ROUND(SUM($H27)*SUM($J27),0))</f>
        <v>23</v>
      </c>
      <c r="P27" s="75" t="n">
        <f aca="false">IF(SUM($O27)&lt;=0,"",ROUND(SUM($O27)*SUM($L27),0))</f>
        <v>0</v>
      </c>
      <c r="Q27" s="75" t="n">
        <f aca="false">IF(SUM($O27)&lt;=0,"",ROUND((SUM($O27)-SUM($P27))*SUM($N27),0))</f>
        <v>0</v>
      </c>
      <c r="R27" s="75" t="n">
        <f aca="false">IF(SUM($O27)&lt;=0,"",ROUND(SUM($O27)-SUM($P27)-SUM($Q27),0))</f>
        <v>23</v>
      </c>
      <c r="S27" s="118" t="n">
        <f aca="false">_xlfn.IFNA(INDEX(Cascade!$BA:$BA,MATCH($E27,Cascade!$E:$E,0)),"")</f>
        <v>0.95</v>
      </c>
      <c r="T27" s="75" t="str">
        <f aca="false">IF(SUM($P27)&lt;=0,"",$P27)</f>
        <v/>
      </c>
      <c r="U27" s="75" t="str">
        <f aca="false">IF(SUM($Q27)&lt;=0,"",ROUND($Q27*$S27,0))</f>
        <v/>
      </c>
      <c r="V27" s="73" t="str">
        <f aca="false">_xlfn.IFNA(INDEX(Cascade!$BD:$BD,MATCH($E27,Cascade!$E:$E,0)),"")</f>
        <v/>
      </c>
      <c r="W27" s="118" t="str">
        <f aca="false">IF(OR(SUM($V27)&lt;=0,SUM($Q27)=0),"",SUM($Q27)/$V27)</f>
        <v/>
      </c>
      <c r="X27" s="118" t="str">
        <f aca="false">_xlfn.IFNA(INDEX(Cascade!$BL:$BL,MATCH($E27,Cascade!$E:$E,0)),"")</f>
        <v/>
      </c>
      <c r="Y27" s="118" t="str">
        <f aca="false">_xlfn.IFNA(INDEX(Cascade!$BM:$BM,MATCH($E27,Cascade!$E:$E,0)),"")</f>
        <v/>
      </c>
      <c r="Z27" s="118" t="str">
        <f aca="false">_xlfn.IFNA(INDEX(Cascade!$BN:$BN,MATCH($E27,Cascade!$E:$E,0)),"")</f>
        <v/>
      </c>
      <c r="AA27" s="118" t="str">
        <f aca="false">_xlfn.IFNA(INDEX(Cascade!$BP:$BP,MATCH($E27,Cascade!$E:$E,0)),"")</f>
        <v/>
      </c>
      <c r="AB27" s="118" t="str">
        <f aca="false">_xlfn.IFNA(INDEX(Cascade!$BR:$BR,MATCH($E27,Cascade!$E:$E,0)),"")</f>
        <v/>
      </c>
    </row>
    <row r="28" customFormat="false" ht="15" hidden="false" customHeight="false" outlineLevel="0" collapsed="false">
      <c r="A28" s="0" t="s">
        <v>140</v>
      </c>
      <c r="B28" s="0" t="s">
        <v>141</v>
      </c>
      <c r="C28" s="0" t="s">
        <v>72</v>
      </c>
      <c r="D28" s="0" t="s">
        <v>58</v>
      </c>
      <c r="E28" s="0" t="str">
        <f aca="false">B28&amp;"|"&amp;C28&amp;"|"&amp;D28</f>
        <v>_Military Lesotho [#Military] [dDOqoFnD5Be]|30-34|Male</v>
      </c>
      <c r="F28" s="73" t="n">
        <v>14</v>
      </c>
      <c r="G28" s="118" t="n">
        <f aca="false">IF(SUM($F28)&lt;=0,"",0%)</f>
        <v>0</v>
      </c>
      <c r="H28" s="75" t="n">
        <f aca="false">IF(SUM($F28)&lt;=0,"",$F28*(1+$G28))</f>
        <v>14</v>
      </c>
      <c r="I28" s="73" t="n">
        <v>42</v>
      </c>
      <c r="J28" s="118" t="n">
        <f aca="false">IF(SUM($H28)&lt;=0,"",100%)</f>
        <v>1</v>
      </c>
      <c r="K28" s="118" t="n">
        <v>23</v>
      </c>
      <c r="L28" s="118" t="n">
        <f aca="false">IF(SUM($K28)=0,"",$K28)</f>
        <v>23</v>
      </c>
      <c r="M28" s="118" t="n">
        <v>30</v>
      </c>
      <c r="N28" s="118" t="n">
        <f aca="false">IF(SUM($M28)=0,"",$M28)</f>
        <v>30</v>
      </c>
      <c r="O28" s="73" t="n">
        <f aca="false">IF(SUM($H28)&lt;=0,"",ROUND(SUM($H28)*SUM($J28),0))</f>
        <v>14</v>
      </c>
      <c r="P28" s="75" t="n">
        <f aca="false">IF(SUM($O28)&lt;=0,"",ROUND(SUM($O28)*SUM($L28),0))</f>
        <v>322</v>
      </c>
      <c r="Q28" s="75" t="n">
        <f aca="false">IF(SUM($O28)&lt;=0,"",ROUND((SUM($O28)-SUM($P28))*SUM($N28),0))</f>
        <v>-9240</v>
      </c>
      <c r="R28" s="75" t="n">
        <f aca="false">IF(SUM($O28)&lt;=0,"",ROUND(SUM($O28)-SUM($P28)-SUM($Q28),0))</f>
        <v>8932</v>
      </c>
      <c r="S28" s="118" t="n">
        <f aca="false">_xlfn.IFNA(INDEX(Cascade!$BA:$BA,MATCH($E28,Cascade!$E:$E,0)),"")</f>
        <v>0.95</v>
      </c>
      <c r="T28" s="75" t="n">
        <f aca="false">IF(SUM($P28)&lt;=0,"",$P28)</f>
        <v>322</v>
      </c>
      <c r="U28" s="75" t="str">
        <f aca="false">IF(SUM($Q28)&lt;=0,"",ROUND($Q28*$S28,0))</f>
        <v/>
      </c>
      <c r="V28" s="73" t="str">
        <f aca="false">_xlfn.IFNA(INDEX(Cascade!$BD:$BD,MATCH($E28,Cascade!$E:$E,0)),"")</f>
        <v/>
      </c>
      <c r="W28" s="118" t="str">
        <f aca="false">IF(OR(SUM($V28)&lt;=0,SUM($Q28)=0),"",SUM($Q28)/$V28)</f>
        <v/>
      </c>
      <c r="X28" s="118" t="str">
        <f aca="false">_xlfn.IFNA(INDEX(Cascade!$BL:$BL,MATCH($E28,Cascade!$E:$E,0)),"")</f>
        <v/>
      </c>
      <c r="Y28" s="118" t="str">
        <f aca="false">_xlfn.IFNA(INDEX(Cascade!$BM:$BM,MATCH($E28,Cascade!$E:$E,0)),"")</f>
        <v/>
      </c>
      <c r="Z28" s="118" t="str">
        <f aca="false">_xlfn.IFNA(INDEX(Cascade!$BN:$BN,MATCH($E28,Cascade!$E:$E,0)),"")</f>
        <v/>
      </c>
      <c r="AA28" s="118" t="str">
        <f aca="false">_xlfn.IFNA(INDEX(Cascade!$BP:$BP,MATCH($E28,Cascade!$E:$E,0)),"")</f>
        <v/>
      </c>
      <c r="AB28" s="118" t="str">
        <f aca="false">_xlfn.IFNA(INDEX(Cascade!$BR:$BR,MATCH($E28,Cascade!$E:$E,0)),"")</f>
        <v/>
      </c>
    </row>
    <row r="29" customFormat="false" ht="15" hidden="false" customHeight="false" outlineLevel="0" collapsed="false">
      <c r="A29" s="0" t="s">
        <v>140</v>
      </c>
      <c r="B29" s="0" t="s">
        <v>141</v>
      </c>
      <c r="C29" s="0" t="s">
        <v>75</v>
      </c>
      <c r="D29" s="0" t="s">
        <v>56</v>
      </c>
      <c r="E29" s="0" t="str">
        <f aca="false">B29&amp;"|"&amp;C29&amp;"|"&amp;D29</f>
        <v>_Military Lesotho [#Military] [dDOqoFnD5Be]|35-39|Female</v>
      </c>
      <c r="F29" s="73" t="n">
        <v>31</v>
      </c>
      <c r="G29" s="118" t="n">
        <f aca="false">IF(SUM($F29)&lt;=0,"",0%)</f>
        <v>0</v>
      </c>
      <c r="H29" s="75" t="n">
        <f aca="false">IF(SUM($F29)&lt;=0,"",$F29*(1+$G29))</f>
        <v>31</v>
      </c>
      <c r="I29" s="73" t="n">
        <v>47</v>
      </c>
      <c r="J29" s="118" t="n">
        <f aca="false">IF(SUM($H29)&lt;=0,"",100%)</f>
        <v>1</v>
      </c>
      <c r="K29" s="118"/>
      <c r="L29" s="118" t="str">
        <f aca="false">IF(SUM($K29)=0,"",$K29)</f>
        <v/>
      </c>
      <c r="M29" s="118" t="n">
        <v>13</v>
      </c>
      <c r="N29" s="118" t="n">
        <f aca="false">IF(SUM($M29)=0,"",$M29)</f>
        <v>13</v>
      </c>
      <c r="O29" s="73" t="n">
        <f aca="false">IF(SUM($H29)&lt;=0,"",ROUND(SUM($H29)*SUM($J29),0))</f>
        <v>31</v>
      </c>
      <c r="P29" s="75" t="n">
        <f aca="false">IF(SUM($O29)&lt;=0,"",ROUND(SUM($O29)*SUM($L29),0))</f>
        <v>0</v>
      </c>
      <c r="Q29" s="75" t="n">
        <f aca="false">IF(SUM($O29)&lt;=0,"",ROUND((SUM($O29)-SUM($P29))*SUM($N29),0))</f>
        <v>403</v>
      </c>
      <c r="R29" s="75" t="n">
        <f aca="false">IF(SUM($O29)&lt;=0,"",ROUND(SUM($O29)-SUM($P29)-SUM($Q29),0))</f>
        <v>-372</v>
      </c>
      <c r="S29" s="118" t="n">
        <f aca="false">_xlfn.IFNA(INDEX(Cascade!$BA:$BA,MATCH($E29,Cascade!$E:$E,0)),"")</f>
        <v>0.95</v>
      </c>
      <c r="T29" s="75" t="str">
        <f aca="false">IF(SUM($P29)&lt;=0,"",$P29)</f>
        <v/>
      </c>
      <c r="U29" s="75" t="n">
        <f aca="false">IF(SUM($Q29)&lt;=0,"",ROUND($Q29*$S29,0))</f>
        <v>383</v>
      </c>
      <c r="V29" s="73" t="str">
        <f aca="false">_xlfn.IFNA(INDEX(Cascade!$BD:$BD,MATCH($E29,Cascade!$E:$E,0)),"")</f>
        <v/>
      </c>
      <c r="W29" s="118" t="str">
        <f aca="false">IF(OR(SUM($V29)&lt;=0,SUM($Q29)=0),"",SUM($Q29)/$V29)</f>
        <v/>
      </c>
      <c r="X29" s="118" t="str">
        <f aca="false">_xlfn.IFNA(INDEX(Cascade!$BL:$BL,MATCH($E29,Cascade!$E:$E,0)),"")</f>
        <v/>
      </c>
      <c r="Y29" s="118" t="str">
        <f aca="false">_xlfn.IFNA(INDEX(Cascade!$BM:$BM,MATCH($E29,Cascade!$E:$E,0)),"")</f>
        <v/>
      </c>
      <c r="Z29" s="118" t="str">
        <f aca="false">_xlfn.IFNA(INDEX(Cascade!$BN:$BN,MATCH($E29,Cascade!$E:$E,0)),"")</f>
        <v/>
      </c>
      <c r="AA29" s="118" t="str">
        <f aca="false">_xlfn.IFNA(INDEX(Cascade!$BP:$BP,MATCH($E29,Cascade!$E:$E,0)),"")</f>
        <v/>
      </c>
      <c r="AB29" s="118" t="str">
        <f aca="false">_xlfn.IFNA(INDEX(Cascade!$BR:$BR,MATCH($E29,Cascade!$E:$E,0)),"")</f>
        <v/>
      </c>
    </row>
    <row r="30" customFormat="false" ht="15" hidden="false" customHeight="false" outlineLevel="0" collapsed="false">
      <c r="A30" s="0" t="s">
        <v>140</v>
      </c>
      <c r="B30" s="0" t="s">
        <v>141</v>
      </c>
      <c r="C30" s="0" t="s">
        <v>75</v>
      </c>
      <c r="D30" s="0" t="s">
        <v>58</v>
      </c>
      <c r="E30" s="0" t="str">
        <f aca="false">B30&amp;"|"&amp;C30&amp;"|"&amp;D30</f>
        <v>_Military Lesotho [#Military] [dDOqoFnD5Be]|35-39|Male</v>
      </c>
      <c r="F30" s="73" t="n">
        <v>5</v>
      </c>
      <c r="G30" s="118" t="n">
        <f aca="false">IF(SUM($F30)&lt;=0,"",0%)</f>
        <v>0</v>
      </c>
      <c r="H30" s="75" t="n">
        <f aca="false">IF(SUM($F30)&lt;=0,"",$F30*(1+$G30))</f>
        <v>5</v>
      </c>
      <c r="I30" s="73"/>
      <c r="J30" s="118" t="n">
        <f aca="false">IF(SUM($H30)&lt;=0,"",100%)</f>
        <v>1</v>
      </c>
      <c r="K30" s="118" t="n">
        <v>22</v>
      </c>
      <c r="L30" s="118" t="n">
        <f aca="false">IF(SUM($K30)=0,"",$K30)</f>
        <v>22</v>
      </c>
      <c r="M30" s="118"/>
      <c r="N30" s="118" t="str">
        <f aca="false">IF(SUM($M30)=0,"",$M30)</f>
        <v/>
      </c>
      <c r="O30" s="73" t="n">
        <f aca="false">IF(SUM($H30)&lt;=0,"",ROUND(SUM($H30)*SUM($J30),0))</f>
        <v>5</v>
      </c>
      <c r="P30" s="75" t="n">
        <f aca="false">IF(SUM($O30)&lt;=0,"",ROUND(SUM($O30)*SUM($L30),0))</f>
        <v>110</v>
      </c>
      <c r="Q30" s="75" t="n">
        <f aca="false">IF(SUM($O30)&lt;=0,"",ROUND((SUM($O30)-SUM($P30))*SUM($N30),0))</f>
        <v>-0</v>
      </c>
      <c r="R30" s="75" t="n">
        <f aca="false">IF(SUM($O30)&lt;=0,"",ROUND(SUM($O30)-SUM($P30)-SUM($Q30),0))</f>
        <v>-105</v>
      </c>
      <c r="S30" s="118" t="n">
        <f aca="false">_xlfn.IFNA(INDEX(Cascade!$BA:$BA,MATCH($E30,Cascade!$E:$E,0)),"")</f>
        <v>0.95</v>
      </c>
      <c r="T30" s="75" t="n">
        <f aca="false">IF(SUM($P30)&lt;=0,"",$P30)</f>
        <v>110</v>
      </c>
      <c r="U30" s="75" t="str">
        <f aca="false">IF(SUM($Q30)&lt;=0,"",ROUND($Q30*$S30,0))</f>
        <v/>
      </c>
      <c r="V30" s="73" t="str">
        <f aca="false">_xlfn.IFNA(INDEX(Cascade!$BD:$BD,MATCH($E30,Cascade!$E:$E,0)),"")</f>
        <v/>
      </c>
      <c r="W30" s="118" t="str">
        <f aca="false">IF(OR(SUM($V30)&lt;=0,SUM($Q30)=0),"",SUM($Q30)/$V30)</f>
        <v/>
      </c>
      <c r="X30" s="118" t="str">
        <f aca="false">_xlfn.IFNA(INDEX(Cascade!$BL:$BL,MATCH($E30,Cascade!$E:$E,0)),"")</f>
        <v/>
      </c>
      <c r="Y30" s="118" t="str">
        <f aca="false">_xlfn.IFNA(INDEX(Cascade!$BM:$BM,MATCH($E30,Cascade!$E:$E,0)),"")</f>
        <v/>
      </c>
      <c r="Z30" s="118" t="str">
        <f aca="false">_xlfn.IFNA(INDEX(Cascade!$BN:$BN,MATCH($E30,Cascade!$E:$E,0)),"")</f>
        <v/>
      </c>
      <c r="AA30" s="118" t="str">
        <f aca="false">_xlfn.IFNA(INDEX(Cascade!$BP:$BP,MATCH($E30,Cascade!$E:$E,0)),"")</f>
        <v/>
      </c>
      <c r="AB30" s="118" t="str">
        <f aca="false">_xlfn.IFNA(INDEX(Cascade!$BR:$BR,MATCH($E30,Cascade!$E:$E,0)),"")</f>
        <v/>
      </c>
    </row>
    <row r="31" customFormat="false" ht="15" hidden="false" customHeight="false" outlineLevel="0" collapsed="false">
      <c r="A31" s="0" t="s">
        <v>140</v>
      </c>
      <c r="B31" s="0" t="s">
        <v>141</v>
      </c>
      <c r="C31" s="0" t="s">
        <v>77</v>
      </c>
      <c r="D31" s="0" t="s">
        <v>56</v>
      </c>
      <c r="E31" s="0" t="str">
        <f aca="false">B31&amp;"|"&amp;C31&amp;"|"&amp;D31</f>
        <v>_Military Lesotho [#Military] [dDOqoFnD5Be]|40-44|Female</v>
      </c>
      <c r="F31" s="73" t="n">
        <v>35</v>
      </c>
      <c r="G31" s="118" t="n">
        <f aca="false">IF(SUM($F31)&lt;=0,"",0%)</f>
        <v>0</v>
      </c>
      <c r="H31" s="75" t="n">
        <f aca="false">IF(SUM($F31)&lt;=0,"",$F31*(1+$G31))</f>
        <v>35</v>
      </c>
      <c r="I31" s="73"/>
      <c r="J31" s="118" t="n">
        <f aca="false">IF(SUM($H31)&lt;=0,"",100%)</f>
        <v>1</v>
      </c>
      <c r="K31" s="118" t="n">
        <v>16</v>
      </c>
      <c r="L31" s="118" t="n">
        <f aca="false">IF(SUM($K31)=0,"",$K31)</f>
        <v>16</v>
      </c>
      <c r="M31" s="118"/>
      <c r="N31" s="118" t="str">
        <f aca="false">IF(SUM($M31)=0,"",$M31)</f>
        <v/>
      </c>
      <c r="O31" s="73" t="n">
        <f aca="false">IF(SUM($H31)&lt;=0,"",ROUND(SUM($H31)*SUM($J31),0))</f>
        <v>35</v>
      </c>
      <c r="P31" s="75" t="n">
        <f aca="false">IF(SUM($O31)&lt;=0,"",ROUND(SUM($O31)*SUM($L31),0))</f>
        <v>560</v>
      </c>
      <c r="Q31" s="75" t="n">
        <f aca="false">IF(SUM($O31)&lt;=0,"",ROUND((SUM($O31)-SUM($P31))*SUM($N31),0))</f>
        <v>-0</v>
      </c>
      <c r="R31" s="75" t="n">
        <f aca="false">IF(SUM($O31)&lt;=0,"",ROUND(SUM($O31)-SUM($P31)-SUM($Q31),0))</f>
        <v>-525</v>
      </c>
      <c r="S31" s="118" t="n">
        <f aca="false">_xlfn.IFNA(INDEX(Cascade!$BA:$BA,MATCH($E31,Cascade!$E:$E,0)),"")</f>
        <v>0.95</v>
      </c>
      <c r="T31" s="75" t="n">
        <f aca="false">IF(SUM($P31)&lt;=0,"",$P31)</f>
        <v>560</v>
      </c>
      <c r="U31" s="75" t="str">
        <f aca="false">IF(SUM($Q31)&lt;=0,"",ROUND($Q31*$S31,0))</f>
        <v/>
      </c>
      <c r="V31" s="73" t="str">
        <f aca="false">_xlfn.IFNA(INDEX(Cascade!$BD:$BD,MATCH($E31,Cascade!$E:$E,0)),"")</f>
        <v/>
      </c>
      <c r="W31" s="118" t="str">
        <f aca="false">IF(OR(SUM($V31)&lt;=0,SUM($Q31)=0),"",SUM($Q31)/$V31)</f>
        <v/>
      </c>
      <c r="X31" s="118" t="str">
        <f aca="false">_xlfn.IFNA(INDEX(Cascade!$BL:$BL,MATCH($E31,Cascade!$E:$E,0)),"")</f>
        <v/>
      </c>
      <c r="Y31" s="118" t="str">
        <f aca="false">_xlfn.IFNA(INDEX(Cascade!$BM:$BM,MATCH($E31,Cascade!$E:$E,0)),"")</f>
        <v/>
      </c>
      <c r="Z31" s="118" t="str">
        <f aca="false">_xlfn.IFNA(INDEX(Cascade!$BN:$BN,MATCH($E31,Cascade!$E:$E,0)),"")</f>
        <v/>
      </c>
      <c r="AA31" s="118" t="str">
        <f aca="false">_xlfn.IFNA(INDEX(Cascade!$BP:$BP,MATCH($E31,Cascade!$E:$E,0)),"")</f>
        <v/>
      </c>
      <c r="AB31" s="118" t="str">
        <f aca="false">_xlfn.IFNA(INDEX(Cascade!$BR:$BR,MATCH($E31,Cascade!$E:$E,0)),"")</f>
        <v/>
      </c>
    </row>
    <row r="32" customFormat="false" ht="15" hidden="false" customHeight="false" outlineLevel="0" collapsed="false">
      <c r="A32" s="0" t="s">
        <v>140</v>
      </c>
      <c r="B32" s="0" t="s">
        <v>141</v>
      </c>
      <c r="C32" s="0" t="s">
        <v>77</v>
      </c>
      <c r="D32" s="0" t="s">
        <v>58</v>
      </c>
      <c r="E32" s="0" t="str">
        <f aca="false">B32&amp;"|"&amp;C32&amp;"|"&amp;D32</f>
        <v>_Military Lesotho [#Military] [dDOqoFnD5Be]|40-44|Male</v>
      </c>
      <c r="F32" s="73" t="n">
        <v>5</v>
      </c>
      <c r="G32" s="118" t="n">
        <f aca="false">IF(SUM($F32)&lt;=0,"",0%)</f>
        <v>0</v>
      </c>
      <c r="H32" s="75" t="n">
        <f aca="false">IF(SUM($F32)&lt;=0,"",$F32*(1+$G32))</f>
        <v>5</v>
      </c>
      <c r="I32" s="73"/>
      <c r="J32" s="118" t="n">
        <f aca="false">IF(SUM($H32)&lt;=0,"",100%)</f>
        <v>1</v>
      </c>
      <c r="K32" s="118"/>
      <c r="L32" s="118" t="str">
        <f aca="false">IF(SUM($K32)=0,"",$K32)</f>
        <v/>
      </c>
      <c r="M32" s="118" t="n">
        <v>9</v>
      </c>
      <c r="N32" s="118" t="n">
        <f aca="false">IF(SUM($M32)=0,"",$M32)</f>
        <v>9</v>
      </c>
      <c r="O32" s="73" t="n">
        <f aca="false">IF(SUM($H32)&lt;=0,"",ROUND(SUM($H32)*SUM($J32),0))</f>
        <v>5</v>
      </c>
      <c r="P32" s="75" t="n">
        <f aca="false">IF(SUM($O32)&lt;=0,"",ROUND(SUM($O32)*SUM($L32),0))</f>
        <v>0</v>
      </c>
      <c r="Q32" s="75" t="n">
        <f aca="false">IF(SUM($O32)&lt;=0,"",ROUND((SUM($O32)-SUM($P32))*SUM($N32),0))</f>
        <v>45</v>
      </c>
      <c r="R32" s="75" t="n">
        <f aca="false">IF(SUM($O32)&lt;=0,"",ROUND(SUM($O32)-SUM($P32)-SUM($Q32),0))</f>
        <v>-40</v>
      </c>
      <c r="S32" s="118" t="n">
        <f aca="false">_xlfn.IFNA(INDEX(Cascade!$BA:$BA,MATCH($E32,Cascade!$E:$E,0)),"")</f>
        <v>0.95</v>
      </c>
      <c r="T32" s="75" t="str">
        <f aca="false">IF(SUM($P32)&lt;=0,"",$P32)</f>
        <v/>
      </c>
      <c r="U32" s="75" t="n">
        <f aca="false">IF(SUM($Q32)&lt;=0,"",ROUND($Q32*$S32,0))</f>
        <v>43</v>
      </c>
      <c r="V32" s="73" t="n">
        <f aca="false">_xlfn.IFNA(INDEX(Cascade!$BD:$BD,MATCH($E32,Cascade!$E:$E,0)),"")</f>
        <v>1</v>
      </c>
      <c r="W32" s="118" t="n">
        <f aca="false">IF(OR(SUM($V32)&lt;=0,SUM($Q32)=0),"",SUM($Q32)/$V32)</f>
        <v>45</v>
      </c>
      <c r="X32" s="118" t="str">
        <f aca="false">_xlfn.IFNA(INDEX(Cascade!$BL:$BL,MATCH($E32,Cascade!$E:$E,0)),"")</f>
        <v/>
      </c>
      <c r="Y32" s="118" t="str">
        <f aca="false">_xlfn.IFNA(INDEX(Cascade!$BM:$BM,MATCH($E32,Cascade!$E:$E,0)),"")</f>
        <v/>
      </c>
      <c r="Z32" s="118" t="str">
        <f aca="false">_xlfn.IFNA(INDEX(Cascade!$BN:$BN,MATCH($E32,Cascade!$E:$E,0)),"")</f>
        <v/>
      </c>
      <c r="AA32" s="118" t="str">
        <f aca="false">_xlfn.IFNA(INDEX(Cascade!$BP:$BP,MATCH($E32,Cascade!$E:$E,0)),"")</f>
        <v/>
      </c>
      <c r="AB32" s="118" t="n">
        <f aca="false">_xlfn.IFNA(INDEX(Cascade!$BR:$BR,MATCH($E32,Cascade!$E:$E,0)),"")</f>
        <v>-44</v>
      </c>
    </row>
    <row r="33" customFormat="false" ht="15" hidden="false" customHeight="false" outlineLevel="0" collapsed="false">
      <c r="A33" s="0" t="s">
        <v>140</v>
      </c>
      <c r="B33" s="0" t="s">
        <v>141</v>
      </c>
      <c r="C33" s="0" t="s">
        <v>80</v>
      </c>
      <c r="D33" s="0" t="s">
        <v>56</v>
      </c>
      <c r="E33" s="0" t="str">
        <f aca="false">B33&amp;"|"&amp;C33&amp;"|"&amp;D33</f>
        <v>_Military Lesotho [#Military] [dDOqoFnD5Be]|45-49|Female</v>
      </c>
      <c r="F33" s="73" t="n">
        <v>37</v>
      </c>
      <c r="G33" s="118" t="n">
        <f aca="false">IF(SUM($F33)&lt;=0,"",0%)</f>
        <v>0</v>
      </c>
      <c r="H33" s="75" t="n">
        <f aca="false">IF(SUM($F33)&lt;=0,"",$F33*(1+$G33))</f>
        <v>37</v>
      </c>
      <c r="I33" s="73"/>
      <c r="J33" s="118" t="n">
        <f aca="false">IF(SUM($H33)&lt;=0,"",100%)</f>
        <v>1</v>
      </c>
      <c r="K33" s="118" t="n">
        <v>33</v>
      </c>
      <c r="L33" s="118" t="n">
        <f aca="false">IF(SUM($K33)=0,"",$K33)</f>
        <v>33</v>
      </c>
      <c r="M33" s="118"/>
      <c r="N33" s="118" t="str">
        <f aca="false">IF(SUM($M33)=0,"",$M33)</f>
        <v/>
      </c>
      <c r="O33" s="73" t="n">
        <f aca="false">IF(SUM($H33)&lt;=0,"",ROUND(SUM($H33)*SUM($J33),0))</f>
        <v>37</v>
      </c>
      <c r="P33" s="75" t="n">
        <f aca="false">IF(SUM($O33)&lt;=0,"",ROUND(SUM($O33)*SUM($L33),0))</f>
        <v>1221</v>
      </c>
      <c r="Q33" s="75" t="n">
        <f aca="false">IF(SUM($O33)&lt;=0,"",ROUND((SUM($O33)-SUM($P33))*SUM($N33),0))</f>
        <v>-0</v>
      </c>
      <c r="R33" s="75" t="n">
        <f aca="false">IF(SUM($O33)&lt;=0,"",ROUND(SUM($O33)-SUM($P33)-SUM($Q33),0))</f>
        <v>-1184</v>
      </c>
      <c r="S33" s="118" t="n">
        <f aca="false">_xlfn.IFNA(INDEX(Cascade!$BA:$BA,MATCH($E33,Cascade!$E:$E,0)),"")</f>
        <v>0.95</v>
      </c>
      <c r="T33" s="75" t="n">
        <f aca="false">IF(SUM($P33)&lt;=0,"",$P33)</f>
        <v>1221</v>
      </c>
      <c r="U33" s="75" t="str">
        <f aca="false">IF(SUM($Q33)&lt;=0,"",ROUND($Q33*$S33,0))</f>
        <v/>
      </c>
      <c r="V33" s="73" t="str">
        <f aca="false">_xlfn.IFNA(INDEX(Cascade!$BD:$BD,MATCH($E33,Cascade!$E:$E,0)),"")</f>
        <v/>
      </c>
      <c r="W33" s="118" t="str">
        <f aca="false">IF(OR(SUM($V33)&lt;=0,SUM($Q33)=0),"",SUM($Q33)/$V33)</f>
        <v/>
      </c>
      <c r="X33" s="118" t="str">
        <f aca="false">_xlfn.IFNA(INDEX(Cascade!$BL:$BL,MATCH($E33,Cascade!$E:$E,0)),"")</f>
        <v/>
      </c>
      <c r="Y33" s="118" t="str">
        <f aca="false">_xlfn.IFNA(INDEX(Cascade!$BM:$BM,MATCH($E33,Cascade!$E:$E,0)),"")</f>
        <v/>
      </c>
      <c r="Z33" s="118" t="str">
        <f aca="false">_xlfn.IFNA(INDEX(Cascade!$BN:$BN,MATCH($E33,Cascade!$E:$E,0)),"")</f>
        <v/>
      </c>
      <c r="AA33" s="118" t="str">
        <f aca="false">_xlfn.IFNA(INDEX(Cascade!$BP:$BP,MATCH($E33,Cascade!$E:$E,0)),"")</f>
        <v/>
      </c>
      <c r="AB33" s="118" t="str">
        <f aca="false">_xlfn.IFNA(INDEX(Cascade!$BR:$BR,MATCH($E33,Cascade!$E:$E,0)),"")</f>
        <v/>
      </c>
    </row>
    <row r="34" customFormat="false" ht="15" hidden="false" customHeight="false" outlineLevel="0" collapsed="false">
      <c r="A34" s="0" t="s">
        <v>140</v>
      </c>
      <c r="B34" s="0" t="s">
        <v>141</v>
      </c>
      <c r="C34" s="0" t="s">
        <v>80</v>
      </c>
      <c r="D34" s="0" t="s">
        <v>58</v>
      </c>
      <c r="E34" s="0" t="str">
        <f aca="false">B34&amp;"|"&amp;C34&amp;"|"&amp;D34</f>
        <v>_Military Lesotho [#Military] [dDOqoFnD5Be]|45-49|Male</v>
      </c>
      <c r="F34" s="73" t="n">
        <v>41</v>
      </c>
      <c r="G34" s="118" t="n">
        <f aca="false">IF(SUM($F34)&lt;=0,"",0%)</f>
        <v>0</v>
      </c>
      <c r="H34" s="75" t="n">
        <f aca="false">IF(SUM($F34)&lt;=0,"",$F34*(1+$G34))</f>
        <v>41</v>
      </c>
      <c r="I34" s="73"/>
      <c r="J34" s="118" t="n">
        <f aca="false">IF(SUM($H34)&lt;=0,"",100%)</f>
        <v>1</v>
      </c>
      <c r="K34" s="118"/>
      <c r="L34" s="118" t="str">
        <f aca="false">IF(SUM($K34)=0,"",$K34)</f>
        <v/>
      </c>
      <c r="M34" s="118"/>
      <c r="N34" s="118" t="str">
        <f aca="false">IF(SUM($M34)=0,"",$M34)</f>
        <v/>
      </c>
      <c r="O34" s="73" t="n">
        <f aca="false">IF(SUM($H34)&lt;=0,"",ROUND(SUM($H34)*SUM($J34),0))</f>
        <v>41</v>
      </c>
      <c r="P34" s="75" t="n">
        <f aca="false">IF(SUM($O34)&lt;=0,"",ROUND(SUM($O34)*SUM($L34),0))</f>
        <v>0</v>
      </c>
      <c r="Q34" s="75" t="n">
        <f aca="false">IF(SUM($O34)&lt;=0,"",ROUND((SUM($O34)-SUM($P34))*SUM($N34),0))</f>
        <v>0</v>
      </c>
      <c r="R34" s="75" t="n">
        <f aca="false">IF(SUM($O34)&lt;=0,"",ROUND(SUM($O34)-SUM($P34)-SUM($Q34),0))</f>
        <v>41</v>
      </c>
      <c r="S34" s="118" t="n">
        <f aca="false">_xlfn.IFNA(INDEX(Cascade!$BA:$BA,MATCH($E34,Cascade!$E:$E,0)),"")</f>
        <v>0.95</v>
      </c>
      <c r="T34" s="75" t="str">
        <f aca="false">IF(SUM($P34)&lt;=0,"",$P34)</f>
        <v/>
      </c>
      <c r="U34" s="75" t="str">
        <f aca="false">IF(SUM($Q34)&lt;=0,"",ROUND($Q34*$S34,0))</f>
        <v/>
      </c>
      <c r="V34" s="73" t="n">
        <f aca="false">_xlfn.IFNA(INDEX(Cascade!$BD:$BD,MATCH($E34,Cascade!$E:$E,0)),"")</f>
        <v>1</v>
      </c>
      <c r="W34" s="118" t="str">
        <f aca="false">IF(OR(SUM($V34)&lt;=0,SUM($Q34)=0),"",SUM($Q34)/$V34)</f>
        <v/>
      </c>
      <c r="X34" s="118" t="str">
        <f aca="false">_xlfn.IFNA(INDEX(Cascade!$BL:$BL,MATCH($E34,Cascade!$E:$E,0)),"")</f>
        <v/>
      </c>
      <c r="Y34" s="118" t="str">
        <f aca="false">_xlfn.IFNA(INDEX(Cascade!$BM:$BM,MATCH($E34,Cascade!$E:$E,0)),"")</f>
        <v/>
      </c>
      <c r="Z34" s="118" t="str">
        <f aca="false">_xlfn.IFNA(INDEX(Cascade!$BN:$BN,MATCH($E34,Cascade!$E:$E,0)),"")</f>
        <v/>
      </c>
      <c r="AA34" s="118" t="str">
        <f aca="false">_xlfn.IFNA(INDEX(Cascade!$BP:$BP,MATCH($E34,Cascade!$E:$E,0)),"")</f>
        <v/>
      </c>
      <c r="AB34" s="118" t="n">
        <f aca="false">_xlfn.IFNA(INDEX(Cascade!$BR:$BR,MATCH($E34,Cascade!$E:$E,0)),"")</f>
        <v>1</v>
      </c>
    </row>
    <row r="35" customFormat="false" ht="15" hidden="false" customHeight="false" outlineLevel="0" collapsed="false">
      <c r="A35" s="0" t="s">
        <v>140</v>
      </c>
      <c r="B35" s="0" t="s">
        <v>141</v>
      </c>
      <c r="C35" s="0" t="s">
        <v>86</v>
      </c>
      <c r="D35" s="0" t="s">
        <v>56</v>
      </c>
      <c r="E35" s="0" t="str">
        <f aca="false">B35&amp;"|"&amp;C35&amp;"|"&amp;D35</f>
        <v>_Military Lesotho [#Military] [dDOqoFnD5Be]|50+|Female</v>
      </c>
      <c r="F35" s="73" t="n">
        <v>43</v>
      </c>
      <c r="G35" s="118" t="n">
        <f aca="false">IF(SUM($F35)&lt;=0,"",0%)</f>
        <v>0</v>
      </c>
      <c r="H35" s="75" t="n">
        <f aca="false">IF(SUM($F35)&lt;=0,"",$F35*(1+$G35))</f>
        <v>43</v>
      </c>
      <c r="I35" s="73"/>
      <c r="J35" s="118" t="n">
        <f aca="false">IF(SUM($H35)&lt;=0,"",100%)</f>
        <v>1</v>
      </c>
      <c r="K35" s="118"/>
      <c r="L35" s="118" t="str">
        <f aca="false">IF(SUM($K35)=0,"",$K35)</f>
        <v/>
      </c>
      <c r="M35" s="118" t="n">
        <v>38</v>
      </c>
      <c r="N35" s="118" t="n">
        <f aca="false">IF(SUM($M35)=0,"",$M35)</f>
        <v>38</v>
      </c>
      <c r="O35" s="73" t="n">
        <f aca="false">IF(SUM($H35)&lt;=0,"",ROUND(SUM($H35)*SUM($J35),0))</f>
        <v>43</v>
      </c>
      <c r="P35" s="75" t="n">
        <f aca="false">IF(SUM($O35)&lt;=0,"",ROUND(SUM($O35)*SUM($L35),0))</f>
        <v>0</v>
      </c>
      <c r="Q35" s="75" t="n">
        <f aca="false">IF(SUM($O35)&lt;=0,"",ROUND((SUM($O35)-SUM($P35))*SUM($N35),0))</f>
        <v>1634</v>
      </c>
      <c r="R35" s="75" t="n">
        <f aca="false">IF(SUM($O35)&lt;=0,"",ROUND(SUM($O35)-SUM($P35)-SUM($Q35),0))</f>
        <v>-1591</v>
      </c>
      <c r="S35" s="118" t="n">
        <f aca="false">_xlfn.IFNA(INDEX(Cascade!$BA:$BA,MATCH($E35,Cascade!$E:$E,0)),"")</f>
        <v>0.95</v>
      </c>
      <c r="T35" s="75" t="str">
        <f aca="false">IF(SUM($P35)&lt;=0,"",$P35)</f>
        <v/>
      </c>
      <c r="U35" s="75" t="n">
        <f aca="false">IF(SUM($Q35)&lt;=0,"",ROUND($Q35*$S35,0))</f>
        <v>1552</v>
      </c>
      <c r="V35" s="73" t="n">
        <f aca="false">_xlfn.IFNA(INDEX(Cascade!$BD:$BD,MATCH($E35,Cascade!$E:$E,0)),"")</f>
        <v>1</v>
      </c>
      <c r="W35" s="118" t="n">
        <f aca="false">IF(OR(SUM($V35)&lt;=0,SUM($Q35)=0),"",SUM($Q35)/$V35)</f>
        <v>1634</v>
      </c>
      <c r="X35" s="118" t="str">
        <f aca="false">_xlfn.IFNA(INDEX(Cascade!$BL:$BL,MATCH($E35,Cascade!$E:$E,0)),"")</f>
        <v/>
      </c>
      <c r="Y35" s="118" t="str">
        <f aca="false">_xlfn.IFNA(INDEX(Cascade!$BM:$BM,MATCH($E35,Cascade!$E:$E,0)),"")</f>
        <v/>
      </c>
      <c r="Z35" s="118" t="str">
        <f aca="false">_xlfn.IFNA(INDEX(Cascade!$BN:$BN,MATCH($E35,Cascade!$E:$E,0)),"")</f>
        <v/>
      </c>
      <c r="AA35" s="118" t="str">
        <f aca="false">_xlfn.IFNA(INDEX(Cascade!$BP:$BP,MATCH($E35,Cascade!$E:$E,0)),"")</f>
        <v/>
      </c>
      <c r="AB35" s="118" t="n">
        <f aca="false">_xlfn.IFNA(INDEX(Cascade!$BR:$BR,MATCH($E35,Cascade!$E:$E,0)),"")</f>
        <v>-1633</v>
      </c>
    </row>
    <row r="36" customFormat="false" ht="15" hidden="false" customHeight="false" outlineLevel="0" collapsed="false">
      <c r="A36" s="0" t="s">
        <v>140</v>
      </c>
      <c r="B36" s="0" t="s">
        <v>141</v>
      </c>
      <c r="C36" s="0" t="s">
        <v>86</v>
      </c>
      <c r="D36" s="0" t="s">
        <v>58</v>
      </c>
      <c r="E36" s="0" t="str">
        <f aca="false">B36&amp;"|"&amp;C36&amp;"|"&amp;D36</f>
        <v>_Military Lesotho [#Military] [dDOqoFnD5Be]|50+|Male</v>
      </c>
      <c r="F36" s="73" t="n">
        <v>13</v>
      </c>
      <c r="G36" s="118" t="n">
        <f aca="false">IF(SUM($F36)&lt;=0,"",0%)</f>
        <v>0</v>
      </c>
      <c r="H36" s="75" t="n">
        <f aca="false">IF(SUM($F36)&lt;=0,"",$F36*(1+$G36))</f>
        <v>13</v>
      </c>
      <c r="I36" s="73"/>
      <c r="J36" s="118" t="n">
        <f aca="false">IF(SUM($H36)&lt;=0,"",100%)</f>
        <v>1</v>
      </c>
      <c r="K36" s="118" t="n">
        <v>0</v>
      </c>
      <c r="L36" s="118" t="str">
        <f aca="false">IF(SUM($K36)=0,"",$K36)</f>
        <v/>
      </c>
      <c r="M36" s="118" t="n">
        <v>24</v>
      </c>
      <c r="N36" s="118" t="n">
        <f aca="false">IF(SUM($M36)=0,"",$M36)</f>
        <v>24</v>
      </c>
      <c r="O36" s="73" t="n">
        <f aca="false">IF(SUM($H36)&lt;=0,"",ROUND(SUM($H36)*SUM($J36),0))</f>
        <v>13</v>
      </c>
      <c r="P36" s="75" t="n">
        <f aca="false">IF(SUM($O36)&lt;=0,"",ROUND(SUM($O36)*SUM($L36),0))</f>
        <v>0</v>
      </c>
      <c r="Q36" s="75" t="n">
        <f aca="false">IF(SUM($O36)&lt;=0,"",ROUND((SUM($O36)-SUM($P36))*SUM($N36),0))</f>
        <v>312</v>
      </c>
      <c r="R36" s="75" t="n">
        <f aca="false">IF(SUM($O36)&lt;=0,"",ROUND(SUM($O36)-SUM($P36)-SUM($Q36),0))</f>
        <v>-299</v>
      </c>
      <c r="S36" s="118" t="n">
        <f aca="false">_xlfn.IFNA(INDEX(Cascade!$BA:$BA,MATCH($E36,Cascade!$E:$E,0)),"")</f>
        <v>0.95</v>
      </c>
      <c r="T36" s="75" t="str">
        <f aca="false">IF(SUM($P36)&lt;=0,"",$P36)</f>
        <v/>
      </c>
      <c r="U36" s="75" t="n">
        <f aca="false">IF(SUM($Q36)&lt;=0,"",ROUND($Q36*$S36,0))</f>
        <v>296</v>
      </c>
      <c r="V36" s="73" t="str">
        <f aca="false">_xlfn.IFNA(INDEX(Cascade!$BD:$BD,MATCH($E36,Cascade!$E:$E,0)),"")</f>
        <v/>
      </c>
      <c r="W36" s="118" t="str">
        <f aca="false">IF(OR(SUM($V36)&lt;=0,SUM($Q36)=0),"",SUM($Q36)/$V36)</f>
        <v/>
      </c>
      <c r="X36" s="118" t="str">
        <f aca="false">_xlfn.IFNA(INDEX(Cascade!$BL:$BL,MATCH($E36,Cascade!$E:$E,0)),"")</f>
        <v/>
      </c>
      <c r="Y36" s="118" t="str">
        <f aca="false">_xlfn.IFNA(INDEX(Cascade!$BM:$BM,MATCH($E36,Cascade!$E:$E,0)),"")</f>
        <v/>
      </c>
      <c r="Z36" s="118" t="str">
        <f aca="false">_xlfn.IFNA(INDEX(Cascade!$BN:$BN,MATCH($E36,Cascade!$E:$E,0)),"")</f>
        <v/>
      </c>
      <c r="AA36" s="118" t="str">
        <f aca="false">_xlfn.IFNA(INDEX(Cascade!$BP:$BP,MATCH($E36,Cascade!$E:$E,0)),"")</f>
        <v/>
      </c>
      <c r="AB36" s="118" t="str">
        <f aca="false">_xlfn.IFNA(INDEX(Cascade!$BR:$BR,MATCH($E36,Cascade!$E:$E,0)),"")</f>
        <v/>
      </c>
    </row>
    <row r="37" customFormat="false" ht="15" hidden="false" customHeight="false" outlineLevel="0" collapsed="false">
      <c r="A37" s="0" t="s">
        <v>142</v>
      </c>
      <c r="B37" s="0" t="s">
        <v>109</v>
      </c>
      <c r="C37" s="0" t="s">
        <v>54</v>
      </c>
      <c r="D37" s="0" t="s">
        <v>56</v>
      </c>
      <c r="E37" s="0" t="str">
        <f aca="false">B37&amp;"|"&amp;C37&amp;"|"&amp;D37</f>
        <v>Berea [#SNU] [#DREAMS] [wpg5evyl1OL]|01-04|Female</v>
      </c>
      <c r="F37" s="73" t="n">
        <v>12</v>
      </c>
      <c r="G37" s="118" t="n">
        <f aca="false">IF(SUM($F37)&lt;=0,"",0%)</f>
        <v>0</v>
      </c>
      <c r="H37" s="75" t="n">
        <f aca="false">IF(SUM($F37)&lt;=0,"",$F37*(1+$G37))</f>
        <v>12</v>
      </c>
      <c r="I37" s="73"/>
      <c r="J37" s="118" t="n">
        <f aca="false">IF(SUM($H37)&lt;=0,"",100%)</f>
        <v>1</v>
      </c>
      <c r="K37" s="118" t="n">
        <v>1</v>
      </c>
      <c r="L37" s="118" t="n">
        <f aca="false">IF(SUM($K37)=0,"",$K37)</f>
        <v>1</v>
      </c>
      <c r="M37" s="118"/>
      <c r="N37" s="118" t="str">
        <f aca="false">IF(SUM($M37)=0,"",$M37)</f>
        <v/>
      </c>
      <c r="O37" s="73" t="n">
        <f aca="false">IF(SUM($H37)&lt;=0,"",ROUND(SUM($H37)*SUM($J37),0))</f>
        <v>12</v>
      </c>
      <c r="P37" s="75" t="n">
        <f aca="false">IF(SUM($O37)&lt;=0,"",ROUND(SUM($O37)*SUM($L37),0))</f>
        <v>12</v>
      </c>
      <c r="Q37" s="75" t="n">
        <f aca="false">IF(SUM($O37)&lt;=0,"",ROUND((SUM($O37)-SUM($P37))*SUM($N37),0))</f>
        <v>0</v>
      </c>
      <c r="R37" s="75" t="n">
        <f aca="false">IF(SUM($O37)&lt;=0,"",ROUND(SUM($O37)-SUM($P37)-SUM($Q37),0))</f>
        <v>0</v>
      </c>
      <c r="S37" s="118" t="n">
        <f aca="false">_xlfn.IFNA(INDEX(Cascade!$BA:$BA,MATCH($E37,Cascade!$E:$E,0)),"")</f>
        <v>0.95</v>
      </c>
      <c r="T37" s="75" t="n">
        <f aca="false">IF(SUM($P37)&lt;=0,"",$P37)</f>
        <v>12</v>
      </c>
      <c r="U37" s="75" t="str">
        <f aca="false">IF(SUM($Q37)&lt;=0,"",ROUND($Q37*$S37,0))</f>
        <v/>
      </c>
      <c r="V37" s="73" t="n">
        <f aca="false">_xlfn.IFNA(INDEX(Cascade!$BD:$BD,MATCH($E37,Cascade!$E:$E,0)),"")</f>
        <v>4</v>
      </c>
      <c r="W37" s="118" t="str">
        <f aca="false">IF(OR(SUM($V37)&lt;=0,SUM($Q37)=0),"",SUM($Q37)/$V37)</f>
        <v/>
      </c>
      <c r="X37" s="118" t="n">
        <f aca="false">_xlfn.IFNA(INDEX(Cascade!$BL:$BL,MATCH($E37,Cascade!$E:$E,0)),"")</f>
        <v>0.25</v>
      </c>
      <c r="Y37" s="118" t="str">
        <f aca="false">_xlfn.IFNA(INDEX(Cascade!$BM:$BM,MATCH($E37,Cascade!$E:$E,0)),"")</f>
        <v/>
      </c>
      <c r="Z37" s="118" t="str">
        <f aca="false">_xlfn.IFNA(INDEX(Cascade!$BN:$BN,MATCH($E37,Cascade!$E:$E,0)),"")</f>
        <v/>
      </c>
      <c r="AA37" s="118" t="str">
        <f aca="false">_xlfn.IFNA(INDEX(Cascade!$BP:$BP,MATCH($E37,Cascade!$E:$E,0)),"")</f>
        <v/>
      </c>
      <c r="AB37" s="118" t="n">
        <f aca="false">_xlfn.IFNA(INDEX(Cascade!$BR:$BR,MATCH($E37,Cascade!$E:$E,0)),"")</f>
        <v>0.75</v>
      </c>
    </row>
    <row r="38" customFormat="false" ht="15" hidden="false" customHeight="false" outlineLevel="0" collapsed="false">
      <c r="A38" s="0" t="s">
        <v>142</v>
      </c>
      <c r="B38" s="0" t="s">
        <v>109</v>
      </c>
      <c r="C38" s="0" t="s">
        <v>54</v>
      </c>
      <c r="D38" s="0" t="s">
        <v>58</v>
      </c>
      <c r="E38" s="0" t="str">
        <f aca="false">B38&amp;"|"&amp;C38&amp;"|"&amp;D38</f>
        <v>Berea [#SNU] [#DREAMS] [wpg5evyl1OL]|01-04|Male</v>
      </c>
      <c r="F38" s="73" t="n">
        <v>2</v>
      </c>
      <c r="G38" s="118" t="n">
        <f aca="false">IF(SUM($F38)&lt;=0,"",0%)</f>
        <v>0</v>
      </c>
      <c r="H38" s="75" t="n">
        <f aca="false">IF(SUM($F38)&lt;=0,"",$F38*(1+$G38))</f>
        <v>2</v>
      </c>
      <c r="I38" s="73"/>
      <c r="J38" s="118" t="n">
        <f aca="false">IF(SUM($H38)&lt;=0,"",100%)</f>
        <v>1</v>
      </c>
      <c r="K38" s="118" t="n">
        <v>36</v>
      </c>
      <c r="L38" s="118" t="n">
        <f aca="false">IF(SUM($K38)=0,"",$K38)</f>
        <v>36</v>
      </c>
      <c r="M38" s="118" t="n">
        <v>32</v>
      </c>
      <c r="N38" s="118" t="n">
        <f aca="false">IF(SUM($M38)=0,"",$M38)</f>
        <v>32</v>
      </c>
      <c r="O38" s="73" t="n">
        <f aca="false">IF(SUM($H38)&lt;=0,"",ROUND(SUM($H38)*SUM($J38),0))</f>
        <v>2</v>
      </c>
      <c r="P38" s="75" t="n">
        <f aca="false">IF(SUM($O38)&lt;=0,"",ROUND(SUM($O38)*SUM($L38),0))</f>
        <v>72</v>
      </c>
      <c r="Q38" s="75" t="n">
        <f aca="false">IF(SUM($O38)&lt;=0,"",ROUND((SUM($O38)-SUM($P38))*SUM($N38),0))</f>
        <v>-2240</v>
      </c>
      <c r="R38" s="75" t="n">
        <f aca="false">IF(SUM($O38)&lt;=0,"",ROUND(SUM($O38)-SUM($P38)-SUM($Q38),0))</f>
        <v>2170</v>
      </c>
      <c r="S38" s="118" t="n">
        <f aca="false">_xlfn.IFNA(INDEX(Cascade!$BA:$BA,MATCH($E38,Cascade!$E:$E,0)),"")</f>
        <v>0.95</v>
      </c>
      <c r="T38" s="75" t="n">
        <f aca="false">IF(SUM($P38)&lt;=0,"",$P38)</f>
        <v>72</v>
      </c>
      <c r="U38" s="75" t="str">
        <f aca="false">IF(SUM($Q38)&lt;=0,"",ROUND($Q38*$S38,0))</f>
        <v/>
      </c>
      <c r="V38" s="73" t="n">
        <f aca="false">_xlfn.IFNA(INDEX(Cascade!$BD:$BD,MATCH($E38,Cascade!$E:$E,0)),"")</f>
        <v>7</v>
      </c>
      <c r="W38" s="118" t="n">
        <f aca="false">IF(OR(SUM($V38)&lt;=0,SUM($Q38)=0),"",SUM($Q38)/$V38)</f>
        <v>-320</v>
      </c>
      <c r="X38" s="118" t="n">
        <f aca="false">_xlfn.IFNA(INDEX(Cascade!$BL:$BL,MATCH($E38,Cascade!$E:$E,0)),"")</f>
        <v>0.285714285714286</v>
      </c>
      <c r="Y38" s="118" t="str">
        <f aca="false">_xlfn.IFNA(INDEX(Cascade!$BM:$BM,MATCH($E38,Cascade!$E:$E,0)),"")</f>
        <v/>
      </c>
      <c r="Z38" s="118" t="str">
        <f aca="false">_xlfn.IFNA(INDEX(Cascade!$BN:$BN,MATCH($E38,Cascade!$E:$E,0)),"")</f>
        <v/>
      </c>
      <c r="AA38" s="118" t="str">
        <f aca="false">_xlfn.IFNA(INDEX(Cascade!$BP:$BP,MATCH($E38,Cascade!$E:$E,0)),"")</f>
        <v/>
      </c>
      <c r="AB38" s="118" t="n">
        <f aca="false">_xlfn.IFNA(INDEX(Cascade!$BR:$BR,MATCH($E38,Cascade!$E:$E,0)),"")</f>
        <v>320.714285714286</v>
      </c>
    </row>
    <row r="39" customFormat="false" ht="15" hidden="false" customHeight="false" outlineLevel="0" collapsed="false">
      <c r="A39" s="0" t="s">
        <v>142</v>
      </c>
      <c r="B39" s="0" t="s">
        <v>109</v>
      </c>
      <c r="C39" s="0" t="s">
        <v>83</v>
      </c>
      <c r="D39" s="0" t="s">
        <v>56</v>
      </c>
      <c r="E39" s="0" t="str">
        <f aca="false">B39&amp;"|"&amp;C39&amp;"|"&amp;D39</f>
        <v>Berea [#SNU] [#DREAMS] [wpg5evyl1OL]|05-09|Female</v>
      </c>
      <c r="F39" s="73" t="n">
        <v>15</v>
      </c>
      <c r="G39" s="118" t="n">
        <f aca="false">IF(SUM($F39)&lt;=0,"",0%)</f>
        <v>0</v>
      </c>
      <c r="H39" s="75" t="n">
        <f aca="false">IF(SUM($F39)&lt;=0,"",$F39*(1+$G39))</f>
        <v>15</v>
      </c>
      <c r="I39" s="73" t="n">
        <v>32</v>
      </c>
      <c r="J39" s="118" t="n">
        <f aca="false">IF(SUM($H39)&lt;=0,"",100%)</f>
        <v>1</v>
      </c>
      <c r="K39" s="118" t="n">
        <v>42</v>
      </c>
      <c r="L39" s="118" t="n">
        <f aca="false">IF(SUM($K39)=0,"",$K39)</f>
        <v>42</v>
      </c>
      <c r="M39" s="118"/>
      <c r="N39" s="118" t="str">
        <f aca="false">IF(SUM($M39)=0,"",$M39)</f>
        <v/>
      </c>
      <c r="O39" s="73" t="n">
        <f aca="false">IF(SUM($H39)&lt;=0,"",ROUND(SUM($H39)*SUM($J39),0))</f>
        <v>15</v>
      </c>
      <c r="P39" s="75" t="n">
        <f aca="false">IF(SUM($O39)&lt;=0,"",ROUND(SUM($O39)*SUM($L39),0))</f>
        <v>630</v>
      </c>
      <c r="Q39" s="75" t="n">
        <f aca="false">IF(SUM($O39)&lt;=0,"",ROUND((SUM($O39)-SUM($P39))*SUM($N39),0))</f>
        <v>-0</v>
      </c>
      <c r="R39" s="75" t="n">
        <f aca="false">IF(SUM($O39)&lt;=0,"",ROUND(SUM($O39)-SUM($P39)-SUM($Q39),0))</f>
        <v>-615</v>
      </c>
      <c r="S39" s="118" t="n">
        <f aca="false">_xlfn.IFNA(INDEX(Cascade!$BA:$BA,MATCH($E39,Cascade!$E:$E,0)),"")</f>
        <v>0.95</v>
      </c>
      <c r="T39" s="75" t="n">
        <f aca="false">IF(SUM($P39)&lt;=0,"",$P39)</f>
        <v>630</v>
      </c>
      <c r="U39" s="75" t="str">
        <f aca="false">IF(SUM($Q39)&lt;=0,"",ROUND($Q39*$S39,0))</f>
        <v/>
      </c>
      <c r="V39" s="73" t="n">
        <f aca="false">_xlfn.IFNA(INDEX(Cascade!$BD:$BD,MATCH($E39,Cascade!$E:$E,0)),"")</f>
        <v>3</v>
      </c>
      <c r="W39" s="118" t="str">
        <f aca="false">IF(OR(SUM($V39)&lt;=0,SUM($Q39)=0),"",SUM($Q39)/$V39)</f>
        <v/>
      </c>
      <c r="X39" s="118" t="n">
        <f aca="false">_xlfn.IFNA(INDEX(Cascade!$BL:$BL,MATCH($E39,Cascade!$E:$E,0)),"")</f>
        <v>0.333333333333333</v>
      </c>
      <c r="Y39" s="118" t="str">
        <f aca="false">_xlfn.IFNA(INDEX(Cascade!$BM:$BM,MATCH($E39,Cascade!$E:$E,0)),"")</f>
        <v/>
      </c>
      <c r="Z39" s="118" t="str">
        <f aca="false">_xlfn.IFNA(INDEX(Cascade!$BN:$BN,MATCH($E39,Cascade!$E:$E,0)),"")</f>
        <v/>
      </c>
      <c r="AA39" s="118" t="str">
        <f aca="false">_xlfn.IFNA(INDEX(Cascade!$BP:$BP,MATCH($E39,Cascade!$E:$E,0)),"")</f>
        <v/>
      </c>
      <c r="AB39" s="118" t="n">
        <f aca="false">_xlfn.IFNA(INDEX(Cascade!$BR:$BR,MATCH($E39,Cascade!$E:$E,0)),"")</f>
        <v>0.666666666666667</v>
      </c>
    </row>
    <row r="40" customFormat="false" ht="15" hidden="false" customHeight="false" outlineLevel="0" collapsed="false">
      <c r="A40" s="0" t="s">
        <v>142</v>
      </c>
      <c r="B40" s="0" t="s">
        <v>109</v>
      </c>
      <c r="C40" s="0" t="s">
        <v>83</v>
      </c>
      <c r="D40" s="0" t="s">
        <v>58</v>
      </c>
      <c r="E40" s="0" t="str">
        <f aca="false">B40&amp;"|"&amp;C40&amp;"|"&amp;D40</f>
        <v>Berea [#SNU] [#DREAMS] [wpg5evyl1OL]|05-09|Male</v>
      </c>
      <c r="F40" s="73" t="n">
        <v>24</v>
      </c>
      <c r="G40" s="118" t="n">
        <f aca="false">IF(SUM($F40)&lt;=0,"",0%)</f>
        <v>0</v>
      </c>
      <c r="H40" s="75" t="n">
        <f aca="false">IF(SUM($F40)&lt;=0,"",$F40*(1+$G40))</f>
        <v>24</v>
      </c>
      <c r="I40" s="73" t="n">
        <v>7</v>
      </c>
      <c r="J40" s="118" t="n">
        <f aca="false">IF(SUM($H40)&lt;=0,"",100%)</f>
        <v>1</v>
      </c>
      <c r="K40" s="118"/>
      <c r="L40" s="118" t="str">
        <f aca="false">IF(SUM($K40)=0,"",$K40)</f>
        <v/>
      </c>
      <c r="M40" s="118"/>
      <c r="N40" s="118" t="str">
        <f aca="false">IF(SUM($M40)=0,"",$M40)</f>
        <v/>
      </c>
      <c r="O40" s="73" t="n">
        <f aca="false">IF(SUM($H40)&lt;=0,"",ROUND(SUM($H40)*SUM($J40),0))</f>
        <v>24</v>
      </c>
      <c r="P40" s="75" t="n">
        <f aca="false">IF(SUM($O40)&lt;=0,"",ROUND(SUM($O40)*SUM($L40),0))</f>
        <v>0</v>
      </c>
      <c r="Q40" s="75" t="n">
        <f aca="false">IF(SUM($O40)&lt;=0,"",ROUND((SUM($O40)-SUM($P40))*SUM($N40),0))</f>
        <v>0</v>
      </c>
      <c r="R40" s="75" t="n">
        <f aca="false">IF(SUM($O40)&lt;=0,"",ROUND(SUM($O40)-SUM($P40)-SUM($Q40),0))</f>
        <v>24</v>
      </c>
      <c r="S40" s="118" t="n">
        <f aca="false">_xlfn.IFNA(INDEX(Cascade!$BA:$BA,MATCH($E40,Cascade!$E:$E,0)),"")</f>
        <v>0.95</v>
      </c>
      <c r="T40" s="75" t="str">
        <f aca="false">IF(SUM($P40)&lt;=0,"",$P40)</f>
        <v/>
      </c>
      <c r="U40" s="75" t="str">
        <f aca="false">IF(SUM($Q40)&lt;=0,"",ROUND($Q40*$S40,0))</f>
        <v/>
      </c>
      <c r="V40" s="73" t="n">
        <f aca="false">_xlfn.IFNA(INDEX(Cascade!$BD:$BD,MATCH($E40,Cascade!$E:$E,0)),"")</f>
        <v>17</v>
      </c>
      <c r="W40" s="118" t="str">
        <f aca="false">IF(OR(SUM($V40)&lt;=0,SUM($Q40)=0),"",SUM($Q40)/$V40)</f>
        <v/>
      </c>
      <c r="X40" s="118" t="n">
        <f aca="false">_xlfn.IFNA(INDEX(Cascade!$BL:$BL,MATCH($E40,Cascade!$E:$E,0)),"")</f>
        <v>0.294117647058823</v>
      </c>
      <c r="Y40" s="118" t="str">
        <f aca="false">_xlfn.IFNA(INDEX(Cascade!$BM:$BM,MATCH($E40,Cascade!$E:$E,0)),"")</f>
        <v/>
      </c>
      <c r="Z40" s="118" t="str">
        <f aca="false">_xlfn.IFNA(INDEX(Cascade!$BN:$BN,MATCH($E40,Cascade!$E:$E,0)),"")</f>
        <v/>
      </c>
      <c r="AA40" s="118" t="str">
        <f aca="false">_xlfn.IFNA(INDEX(Cascade!$BP:$BP,MATCH($E40,Cascade!$E:$E,0)),"")</f>
        <v/>
      </c>
      <c r="AB40" s="118" t="n">
        <f aca="false">_xlfn.IFNA(INDEX(Cascade!$BR:$BR,MATCH($E40,Cascade!$E:$E,0)),"")</f>
        <v>0.705882352941176</v>
      </c>
    </row>
    <row r="41" customFormat="false" ht="15" hidden="false" customHeight="false" outlineLevel="0" collapsed="false">
      <c r="A41" s="0" t="s">
        <v>142</v>
      </c>
      <c r="B41" s="0" t="s">
        <v>109</v>
      </c>
      <c r="C41" s="0" t="s">
        <v>61</v>
      </c>
      <c r="D41" s="0" t="s">
        <v>56</v>
      </c>
      <c r="E41" s="0" t="str">
        <f aca="false">B41&amp;"|"&amp;C41&amp;"|"&amp;D41</f>
        <v>Berea [#SNU] [#DREAMS] [wpg5evyl1OL]|10-14|Female</v>
      </c>
      <c r="F41" s="73" t="n">
        <v>49</v>
      </c>
      <c r="G41" s="118" t="n">
        <f aca="false">IF(SUM($F41)&lt;=0,"",0%)</f>
        <v>0</v>
      </c>
      <c r="H41" s="75" t="n">
        <f aca="false">IF(SUM($F41)&lt;=0,"",$F41*(1+$G41))</f>
        <v>49</v>
      </c>
      <c r="I41" s="73" t="n">
        <v>18</v>
      </c>
      <c r="J41" s="118" t="n">
        <f aca="false">IF(SUM($H41)&lt;=0,"",100%)</f>
        <v>1</v>
      </c>
      <c r="K41" s="118"/>
      <c r="L41" s="118" t="str">
        <f aca="false">IF(SUM($K41)=0,"",$K41)</f>
        <v/>
      </c>
      <c r="M41" s="118"/>
      <c r="N41" s="118" t="str">
        <f aca="false">IF(SUM($M41)=0,"",$M41)</f>
        <v/>
      </c>
      <c r="O41" s="73" t="n">
        <f aca="false">IF(SUM($H41)&lt;=0,"",ROUND(SUM($H41)*SUM($J41),0))</f>
        <v>49</v>
      </c>
      <c r="P41" s="75" t="n">
        <f aca="false">IF(SUM($O41)&lt;=0,"",ROUND(SUM($O41)*SUM($L41),0))</f>
        <v>0</v>
      </c>
      <c r="Q41" s="75" t="n">
        <f aca="false">IF(SUM($O41)&lt;=0,"",ROUND((SUM($O41)-SUM($P41))*SUM($N41),0))</f>
        <v>0</v>
      </c>
      <c r="R41" s="75" t="n">
        <f aca="false">IF(SUM($O41)&lt;=0,"",ROUND(SUM($O41)-SUM($P41)-SUM($Q41),0))</f>
        <v>49</v>
      </c>
      <c r="S41" s="118" t="n">
        <f aca="false">_xlfn.IFNA(INDEX(Cascade!$BA:$BA,MATCH($E41,Cascade!$E:$E,0)),"")</f>
        <v>0.95</v>
      </c>
      <c r="T41" s="75" t="str">
        <f aca="false">IF(SUM($P41)&lt;=0,"",$P41)</f>
        <v/>
      </c>
      <c r="U41" s="75" t="str">
        <f aca="false">IF(SUM($Q41)&lt;=0,"",ROUND($Q41*$S41,0))</f>
        <v/>
      </c>
      <c r="V41" s="73" t="n">
        <f aca="false">_xlfn.IFNA(INDEX(Cascade!$BD:$BD,MATCH($E41,Cascade!$E:$E,0)),"")</f>
        <v>1</v>
      </c>
      <c r="W41" s="118" t="str">
        <f aca="false">IF(OR(SUM($V41)&lt;=0,SUM($Q41)=0),"",SUM($Q41)/$V41)</f>
        <v/>
      </c>
      <c r="X41" s="118" t="n">
        <f aca="false">_xlfn.IFNA(INDEX(Cascade!$BL:$BL,MATCH($E41,Cascade!$E:$E,0)),"")</f>
        <v>1</v>
      </c>
      <c r="Y41" s="118" t="str">
        <f aca="false">_xlfn.IFNA(INDEX(Cascade!$BM:$BM,MATCH($E41,Cascade!$E:$E,0)),"")</f>
        <v/>
      </c>
      <c r="Z41" s="118" t="str">
        <f aca="false">_xlfn.IFNA(INDEX(Cascade!$BN:$BN,MATCH($E41,Cascade!$E:$E,0)),"")</f>
        <v/>
      </c>
      <c r="AA41" s="118" t="str">
        <f aca="false">_xlfn.IFNA(INDEX(Cascade!$BP:$BP,MATCH($E41,Cascade!$E:$E,0)),"")</f>
        <v/>
      </c>
      <c r="AB41" s="118" t="str">
        <f aca="false">_xlfn.IFNA(INDEX(Cascade!$BR:$BR,MATCH($E41,Cascade!$E:$E,0)),"")</f>
        <v/>
      </c>
    </row>
    <row r="42" customFormat="false" ht="15" hidden="false" customHeight="false" outlineLevel="0" collapsed="false">
      <c r="A42" s="0" t="s">
        <v>142</v>
      </c>
      <c r="B42" s="0" t="s">
        <v>109</v>
      </c>
      <c r="C42" s="0" t="s">
        <v>61</v>
      </c>
      <c r="D42" s="0" t="s">
        <v>58</v>
      </c>
      <c r="E42" s="0" t="str">
        <f aca="false">B42&amp;"|"&amp;C42&amp;"|"&amp;D42</f>
        <v>Berea [#SNU] [#DREAMS] [wpg5evyl1OL]|10-14|Male</v>
      </c>
      <c r="F42" s="73" t="n">
        <v>39</v>
      </c>
      <c r="G42" s="118" t="n">
        <f aca="false">IF(SUM($F42)&lt;=0,"",0%)</f>
        <v>0</v>
      </c>
      <c r="H42" s="75" t="n">
        <f aca="false">IF(SUM($F42)&lt;=0,"",$F42*(1+$G42))</f>
        <v>39</v>
      </c>
      <c r="I42" s="73" t="n">
        <v>6</v>
      </c>
      <c r="J42" s="118" t="n">
        <f aca="false">IF(SUM($H42)&lt;=0,"",100%)</f>
        <v>1</v>
      </c>
      <c r="K42" s="118"/>
      <c r="L42" s="118" t="str">
        <f aca="false">IF(SUM($K42)=0,"",$K42)</f>
        <v/>
      </c>
      <c r="M42" s="118"/>
      <c r="N42" s="118" t="str">
        <f aca="false">IF(SUM($M42)=0,"",$M42)</f>
        <v/>
      </c>
      <c r="O42" s="73" t="n">
        <f aca="false">IF(SUM($H42)&lt;=0,"",ROUND(SUM($H42)*SUM($J42),0))</f>
        <v>39</v>
      </c>
      <c r="P42" s="75" t="n">
        <f aca="false">IF(SUM($O42)&lt;=0,"",ROUND(SUM($O42)*SUM($L42),0))</f>
        <v>0</v>
      </c>
      <c r="Q42" s="75" t="n">
        <f aca="false">IF(SUM($O42)&lt;=0,"",ROUND((SUM($O42)-SUM($P42))*SUM($N42),0))</f>
        <v>0</v>
      </c>
      <c r="R42" s="75" t="n">
        <f aca="false">IF(SUM($O42)&lt;=0,"",ROUND(SUM($O42)-SUM($P42)-SUM($Q42),0))</f>
        <v>39</v>
      </c>
      <c r="S42" s="118" t="n">
        <f aca="false">_xlfn.IFNA(INDEX(Cascade!$BA:$BA,MATCH($E42,Cascade!$E:$E,0)),"")</f>
        <v>0.95</v>
      </c>
      <c r="T42" s="75" t="str">
        <f aca="false">IF(SUM($P42)&lt;=0,"",$P42)</f>
        <v/>
      </c>
      <c r="U42" s="75" t="str">
        <f aca="false">IF(SUM($Q42)&lt;=0,"",ROUND($Q42*$S42,0))</f>
        <v/>
      </c>
      <c r="V42" s="73" t="n">
        <f aca="false">_xlfn.IFNA(INDEX(Cascade!$BD:$BD,MATCH($E42,Cascade!$E:$E,0)),"")</f>
        <v>1</v>
      </c>
      <c r="W42" s="118" t="str">
        <f aca="false">IF(OR(SUM($V42)&lt;=0,SUM($Q42)=0),"",SUM($Q42)/$V42)</f>
        <v/>
      </c>
      <c r="X42" s="118" t="n">
        <f aca="false">_xlfn.IFNA(INDEX(Cascade!$BL:$BL,MATCH($E42,Cascade!$E:$E,0)),"")</f>
        <v>1</v>
      </c>
      <c r="Y42" s="118" t="str">
        <f aca="false">_xlfn.IFNA(INDEX(Cascade!$BM:$BM,MATCH($E42,Cascade!$E:$E,0)),"")</f>
        <v/>
      </c>
      <c r="Z42" s="118" t="str">
        <f aca="false">_xlfn.IFNA(INDEX(Cascade!$BN:$BN,MATCH($E42,Cascade!$E:$E,0)),"")</f>
        <v/>
      </c>
      <c r="AA42" s="118" t="str">
        <f aca="false">_xlfn.IFNA(INDEX(Cascade!$BP:$BP,MATCH($E42,Cascade!$E:$E,0)),"")</f>
        <v/>
      </c>
      <c r="AB42" s="118" t="str">
        <f aca="false">_xlfn.IFNA(INDEX(Cascade!$BR:$BR,MATCH($E42,Cascade!$E:$E,0)),"")</f>
        <v/>
      </c>
    </row>
    <row r="43" customFormat="false" ht="15" hidden="false" customHeight="false" outlineLevel="0" collapsed="false">
      <c r="A43" s="0" t="s">
        <v>142</v>
      </c>
      <c r="B43" s="0" t="s">
        <v>109</v>
      </c>
      <c r="C43" s="0" t="s">
        <v>63</v>
      </c>
      <c r="D43" s="0" t="s">
        <v>56</v>
      </c>
      <c r="E43" s="0" t="str">
        <f aca="false">B43&amp;"|"&amp;C43&amp;"|"&amp;D43</f>
        <v>Berea [#SNU] [#DREAMS] [wpg5evyl1OL]|15-19|Female</v>
      </c>
      <c r="F43" s="73" t="n">
        <v>35</v>
      </c>
      <c r="G43" s="118" t="n">
        <f aca="false">IF(SUM($F43)&lt;=0,"",0%)</f>
        <v>0</v>
      </c>
      <c r="H43" s="75" t="n">
        <f aca="false">IF(SUM($F43)&lt;=0,"",$F43*(1+$G43))</f>
        <v>35</v>
      </c>
      <c r="I43" s="73"/>
      <c r="J43" s="118" t="n">
        <f aca="false">IF(SUM($H43)&lt;=0,"",100%)</f>
        <v>1</v>
      </c>
      <c r="K43" s="118" t="n">
        <v>23</v>
      </c>
      <c r="L43" s="118" t="n">
        <f aca="false">IF(SUM($K43)=0,"",$K43)</f>
        <v>23</v>
      </c>
      <c r="M43" s="118"/>
      <c r="N43" s="118" t="str">
        <f aca="false">IF(SUM($M43)=0,"",$M43)</f>
        <v/>
      </c>
      <c r="O43" s="73" t="n">
        <f aca="false">IF(SUM($H43)&lt;=0,"",ROUND(SUM($H43)*SUM($J43),0))</f>
        <v>35</v>
      </c>
      <c r="P43" s="75" t="n">
        <f aca="false">IF(SUM($O43)&lt;=0,"",ROUND(SUM($O43)*SUM($L43),0))</f>
        <v>805</v>
      </c>
      <c r="Q43" s="75" t="n">
        <f aca="false">IF(SUM($O43)&lt;=0,"",ROUND((SUM($O43)-SUM($P43))*SUM($N43),0))</f>
        <v>-0</v>
      </c>
      <c r="R43" s="75" t="n">
        <f aca="false">IF(SUM($O43)&lt;=0,"",ROUND(SUM($O43)-SUM($P43)-SUM($Q43),0))</f>
        <v>-770</v>
      </c>
      <c r="S43" s="118" t="n">
        <f aca="false">_xlfn.IFNA(INDEX(Cascade!$BA:$BA,MATCH($E43,Cascade!$E:$E,0)),"")</f>
        <v>0.95</v>
      </c>
      <c r="T43" s="75" t="n">
        <f aca="false">IF(SUM($P43)&lt;=0,"",$P43)</f>
        <v>805</v>
      </c>
      <c r="U43" s="75" t="str">
        <f aca="false">IF(SUM($Q43)&lt;=0,"",ROUND($Q43*$S43,0))</f>
        <v/>
      </c>
      <c r="V43" s="73" t="n">
        <f aca="false">_xlfn.IFNA(INDEX(Cascade!$BD:$BD,MATCH($E43,Cascade!$E:$E,0)),"")</f>
        <v>1</v>
      </c>
      <c r="W43" s="118" t="str">
        <f aca="false">IF(OR(SUM($V43)&lt;=0,SUM($Q43)=0),"",SUM($Q43)/$V43)</f>
        <v/>
      </c>
      <c r="X43" s="118" t="n">
        <f aca="false">_xlfn.IFNA(INDEX(Cascade!$BL:$BL,MATCH($E43,Cascade!$E:$E,0)),"")</f>
        <v>1</v>
      </c>
      <c r="Y43" s="118" t="n">
        <f aca="false">_xlfn.IFNA(INDEX(Cascade!$BM:$BM,MATCH($E43,Cascade!$E:$E,0)),"")</f>
        <v>-6006</v>
      </c>
      <c r="Z43" s="118" t="str">
        <f aca="false">_xlfn.IFNA(INDEX(Cascade!$BN:$BN,MATCH($E43,Cascade!$E:$E,0)),"")</f>
        <v/>
      </c>
      <c r="AA43" s="118" t="str">
        <f aca="false">_xlfn.IFNA(INDEX(Cascade!$BP:$BP,MATCH($E43,Cascade!$E:$E,0)),"")</f>
        <v/>
      </c>
      <c r="AB43" s="118" t="n">
        <f aca="false">_xlfn.IFNA(INDEX(Cascade!$BR:$BR,MATCH($E43,Cascade!$E:$E,0)),"")</f>
        <v>6006</v>
      </c>
    </row>
    <row r="44" customFormat="false" ht="15" hidden="false" customHeight="false" outlineLevel="0" collapsed="false">
      <c r="A44" s="0" t="s">
        <v>142</v>
      </c>
      <c r="B44" s="0" t="s">
        <v>109</v>
      </c>
      <c r="C44" s="0" t="s">
        <v>63</v>
      </c>
      <c r="D44" s="0" t="s">
        <v>58</v>
      </c>
      <c r="E44" s="0" t="str">
        <f aca="false">B44&amp;"|"&amp;C44&amp;"|"&amp;D44</f>
        <v>Berea [#SNU] [#DREAMS] [wpg5evyl1OL]|15-19|Male</v>
      </c>
      <c r="F44" s="73" t="n">
        <v>11</v>
      </c>
      <c r="G44" s="118" t="n">
        <f aca="false">IF(SUM($F44)&lt;=0,"",0%)</f>
        <v>0</v>
      </c>
      <c r="H44" s="75" t="n">
        <f aca="false">IF(SUM($F44)&lt;=0,"",$F44*(1+$G44))</f>
        <v>11</v>
      </c>
      <c r="I44" s="73" t="n">
        <v>12</v>
      </c>
      <c r="J44" s="118" t="n">
        <f aca="false">IF(SUM($H44)&lt;=0,"",100%)</f>
        <v>1</v>
      </c>
      <c r="K44" s="118"/>
      <c r="L44" s="118" t="str">
        <f aca="false">IF(SUM($K44)=0,"",$K44)</f>
        <v/>
      </c>
      <c r="M44" s="118"/>
      <c r="N44" s="118" t="str">
        <f aca="false">IF(SUM($M44)=0,"",$M44)</f>
        <v/>
      </c>
      <c r="O44" s="73" t="n">
        <f aca="false">IF(SUM($H44)&lt;=0,"",ROUND(SUM($H44)*SUM($J44),0))</f>
        <v>11</v>
      </c>
      <c r="P44" s="75" t="n">
        <f aca="false">IF(SUM($O44)&lt;=0,"",ROUND(SUM($O44)*SUM($L44),0))</f>
        <v>0</v>
      </c>
      <c r="Q44" s="75" t="n">
        <f aca="false">IF(SUM($O44)&lt;=0,"",ROUND((SUM($O44)-SUM($P44))*SUM($N44),0))</f>
        <v>0</v>
      </c>
      <c r="R44" s="75" t="n">
        <f aca="false">IF(SUM($O44)&lt;=0,"",ROUND(SUM($O44)-SUM($P44)-SUM($Q44),0))</f>
        <v>11</v>
      </c>
      <c r="S44" s="118" t="n">
        <f aca="false">_xlfn.IFNA(INDEX(Cascade!$BA:$BA,MATCH($E44,Cascade!$E:$E,0)),"")</f>
        <v>0.95</v>
      </c>
      <c r="T44" s="75" t="str">
        <f aca="false">IF(SUM($P44)&lt;=0,"",$P44)</f>
        <v/>
      </c>
      <c r="U44" s="75" t="str">
        <f aca="false">IF(SUM($Q44)&lt;=0,"",ROUND($Q44*$S44,0))</f>
        <v/>
      </c>
      <c r="V44" s="73" t="str">
        <f aca="false">_xlfn.IFNA(INDEX(Cascade!$BD:$BD,MATCH($E44,Cascade!$E:$E,0)),"")</f>
        <v/>
      </c>
      <c r="W44" s="118" t="str">
        <f aca="false">IF(OR(SUM($V44)&lt;=0,SUM($Q44)=0),"",SUM($Q44)/$V44)</f>
        <v/>
      </c>
      <c r="X44" s="118" t="str">
        <f aca="false">_xlfn.IFNA(INDEX(Cascade!$BL:$BL,MATCH($E44,Cascade!$E:$E,0)),"")</f>
        <v/>
      </c>
      <c r="Y44" s="118" t="str">
        <f aca="false">_xlfn.IFNA(INDEX(Cascade!$BM:$BM,MATCH($E44,Cascade!$E:$E,0)),"")</f>
        <v/>
      </c>
      <c r="Z44" s="118" t="str">
        <f aca="false">_xlfn.IFNA(INDEX(Cascade!$BN:$BN,MATCH($E44,Cascade!$E:$E,0)),"")</f>
        <v/>
      </c>
      <c r="AA44" s="118" t="str">
        <f aca="false">_xlfn.IFNA(INDEX(Cascade!$BP:$BP,MATCH($E44,Cascade!$E:$E,0)),"")</f>
        <v/>
      </c>
      <c r="AB44" s="118" t="str">
        <f aca="false">_xlfn.IFNA(INDEX(Cascade!$BR:$BR,MATCH($E44,Cascade!$E:$E,0)),"")</f>
        <v/>
      </c>
    </row>
    <row r="45" customFormat="false" ht="15" hidden="false" customHeight="false" outlineLevel="0" collapsed="false">
      <c r="A45" s="0" t="s">
        <v>142</v>
      </c>
      <c r="B45" s="0" t="s">
        <v>109</v>
      </c>
      <c r="C45" s="0" t="s">
        <v>66</v>
      </c>
      <c r="D45" s="0" t="s">
        <v>56</v>
      </c>
      <c r="E45" s="0" t="str">
        <f aca="false">B45&amp;"|"&amp;C45&amp;"|"&amp;D45</f>
        <v>Berea [#SNU] [#DREAMS] [wpg5evyl1OL]|20-24|Female</v>
      </c>
      <c r="F45" s="73" t="n">
        <v>32</v>
      </c>
      <c r="G45" s="118" t="n">
        <f aca="false">IF(SUM($F45)&lt;=0,"",0%)</f>
        <v>0</v>
      </c>
      <c r="H45" s="75" t="n">
        <f aca="false">IF(SUM($F45)&lt;=0,"",$F45*(1+$G45))</f>
        <v>32</v>
      </c>
      <c r="I45" s="73"/>
      <c r="J45" s="118" t="n">
        <f aca="false">IF(SUM($H45)&lt;=0,"",100%)</f>
        <v>1</v>
      </c>
      <c r="K45" s="118" t="n">
        <v>8</v>
      </c>
      <c r="L45" s="118" t="n">
        <f aca="false">IF(SUM($K45)=0,"",$K45)</f>
        <v>8</v>
      </c>
      <c r="M45" s="118" t="n">
        <v>14</v>
      </c>
      <c r="N45" s="118" t="n">
        <f aca="false">IF(SUM($M45)=0,"",$M45)</f>
        <v>14</v>
      </c>
      <c r="O45" s="73" t="n">
        <f aca="false">IF(SUM($H45)&lt;=0,"",ROUND(SUM($H45)*SUM($J45),0))</f>
        <v>32</v>
      </c>
      <c r="P45" s="75" t="n">
        <f aca="false">IF(SUM($O45)&lt;=0,"",ROUND(SUM($O45)*SUM($L45),0))</f>
        <v>256</v>
      </c>
      <c r="Q45" s="75" t="n">
        <f aca="false">IF(SUM($O45)&lt;=0,"",ROUND((SUM($O45)-SUM($P45))*SUM($N45),0))</f>
        <v>-3136</v>
      </c>
      <c r="R45" s="75" t="n">
        <f aca="false">IF(SUM($O45)&lt;=0,"",ROUND(SUM($O45)-SUM($P45)-SUM($Q45),0))</f>
        <v>2912</v>
      </c>
      <c r="S45" s="118" t="n">
        <f aca="false">_xlfn.IFNA(INDEX(Cascade!$BA:$BA,MATCH($E45,Cascade!$E:$E,0)),"")</f>
        <v>0.95</v>
      </c>
      <c r="T45" s="75" t="n">
        <f aca="false">IF(SUM($P45)&lt;=0,"",$P45)</f>
        <v>256</v>
      </c>
      <c r="U45" s="75" t="str">
        <f aca="false">IF(SUM($Q45)&lt;=0,"",ROUND($Q45*$S45,0))</f>
        <v/>
      </c>
      <c r="V45" s="73" t="n">
        <f aca="false">_xlfn.IFNA(INDEX(Cascade!$BD:$BD,MATCH($E45,Cascade!$E:$E,0)),"")</f>
        <v>4</v>
      </c>
      <c r="W45" s="118" t="n">
        <f aca="false">IF(OR(SUM($V45)&lt;=0,SUM($Q45)=0),"",SUM($Q45)/$V45)</f>
        <v>-784</v>
      </c>
      <c r="X45" s="118" t="n">
        <f aca="false">_xlfn.IFNA(INDEX(Cascade!$BL:$BL,MATCH($E45,Cascade!$E:$E,0)),"")</f>
        <v>0.25</v>
      </c>
      <c r="Y45" s="118" t="n">
        <f aca="false">_xlfn.IFNA(INDEX(Cascade!$BM:$BM,MATCH($E45,Cascade!$E:$E,0)),"")</f>
        <v>-468</v>
      </c>
      <c r="Z45" s="118" t="str">
        <f aca="false">_xlfn.IFNA(INDEX(Cascade!$BN:$BN,MATCH($E45,Cascade!$E:$E,0)),"")</f>
        <v/>
      </c>
      <c r="AA45" s="118" t="str">
        <f aca="false">_xlfn.IFNA(INDEX(Cascade!$BP:$BP,MATCH($E45,Cascade!$E:$E,0)),"")</f>
        <v/>
      </c>
      <c r="AB45" s="118" t="n">
        <f aca="false">_xlfn.IFNA(INDEX(Cascade!$BR:$BR,MATCH($E45,Cascade!$E:$E,0)),"")</f>
        <v>1252.75</v>
      </c>
    </row>
    <row r="46" customFormat="false" ht="15" hidden="false" customHeight="false" outlineLevel="0" collapsed="false">
      <c r="A46" s="0" t="s">
        <v>142</v>
      </c>
      <c r="B46" s="0" t="s">
        <v>109</v>
      </c>
      <c r="C46" s="0" t="s">
        <v>66</v>
      </c>
      <c r="D46" s="0" t="s">
        <v>58</v>
      </c>
      <c r="E46" s="0" t="str">
        <f aca="false">B46&amp;"|"&amp;C46&amp;"|"&amp;D46</f>
        <v>Berea [#SNU] [#DREAMS] [wpg5evyl1OL]|20-24|Male</v>
      </c>
      <c r="F46" s="73" t="n">
        <v>32</v>
      </c>
      <c r="G46" s="118" t="n">
        <f aca="false">IF(SUM($F46)&lt;=0,"",0%)</f>
        <v>0</v>
      </c>
      <c r="H46" s="75" t="n">
        <f aca="false">IF(SUM($F46)&lt;=0,"",$F46*(1+$G46))</f>
        <v>32</v>
      </c>
      <c r="I46" s="73" t="n">
        <v>48</v>
      </c>
      <c r="J46" s="118" t="n">
        <f aca="false">IF(SUM($H46)&lt;=0,"",100%)</f>
        <v>1</v>
      </c>
      <c r="K46" s="118" t="n">
        <v>35</v>
      </c>
      <c r="L46" s="118" t="n">
        <f aca="false">IF(SUM($K46)=0,"",$K46)</f>
        <v>35</v>
      </c>
      <c r="M46" s="118" t="n">
        <v>13</v>
      </c>
      <c r="N46" s="118" t="n">
        <f aca="false">IF(SUM($M46)=0,"",$M46)</f>
        <v>13</v>
      </c>
      <c r="O46" s="73" t="n">
        <f aca="false">IF(SUM($H46)&lt;=0,"",ROUND(SUM($H46)*SUM($J46),0))</f>
        <v>32</v>
      </c>
      <c r="P46" s="75" t="n">
        <f aca="false">IF(SUM($O46)&lt;=0,"",ROUND(SUM($O46)*SUM($L46),0))</f>
        <v>1120</v>
      </c>
      <c r="Q46" s="75" t="n">
        <f aca="false">IF(SUM($O46)&lt;=0,"",ROUND((SUM($O46)-SUM($P46))*SUM($N46),0))</f>
        <v>-14144</v>
      </c>
      <c r="R46" s="75" t="n">
        <f aca="false">IF(SUM($O46)&lt;=0,"",ROUND(SUM($O46)-SUM($P46)-SUM($Q46),0))</f>
        <v>13056</v>
      </c>
      <c r="S46" s="118" t="n">
        <f aca="false">_xlfn.IFNA(INDEX(Cascade!$BA:$BA,MATCH($E46,Cascade!$E:$E,0)),"")</f>
        <v>0.95</v>
      </c>
      <c r="T46" s="75" t="n">
        <f aca="false">IF(SUM($P46)&lt;=0,"",$P46)</f>
        <v>1120</v>
      </c>
      <c r="U46" s="75" t="str">
        <f aca="false">IF(SUM($Q46)&lt;=0,"",ROUND($Q46*$S46,0))</f>
        <v/>
      </c>
      <c r="V46" s="73" t="n">
        <f aca="false">_xlfn.IFNA(INDEX(Cascade!$BD:$BD,MATCH($E46,Cascade!$E:$E,0)),"")</f>
        <v>3</v>
      </c>
      <c r="W46" s="118" t="n">
        <f aca="false">IF(OR(SUM($V46)&lt;=0,SUM($Q46)=0),"",SUM($Q46)/$V46)</f>
        <v>-4714.66666666667</v>
      </c>
      <c r="X46" s="118" t="n">
        <f aca="false">_xlfn.IFNA(INDEX(Cascade!$BL:$BL,MATCH($E46,Cascade!$E:$E,0)),"")</f>
        <v>0.333333333333333</v>
      </c>
      <c r="Y46" s="118" t="str">
        <f aca="false">_xlfn.IFNA(INDEX(Cascade!$BM:$BM,MATCH($E46,Cascade!$E:$E,0)),"")</f>
        <v/>
      </c>
      <c r="Z46" s="118" t="str">
        <f aca="false">_xlfn.IFNA(INDEX(Cascade!$BN:$BN,MATCH($E46,Cascade!$E:$E,0)),"")</f>
        <v/>
      </c>
      <c r="AA46" s="118" t="str">
        <f aca="false">_xlfn.IFNA(INDEX(Cascade!$BP:$BP,MATCH($E46,Cascade!$E:$E,0)),"")</f>
        <v/>
      </c>
      <c r="AB46" s="118" t="n">
        <f aca="false">_xlfn.IFNA(INDEX(Cascade!$BR:$BR,MATCH($E46,Cascade!$E:$E,0)),"")</f>
        <v>4715.33333333333</v>
      </c>
    </row>
    <row r="47" customFormat="false" ht="15" hidden="false" customHeight="false" outlineLevel="0" collapsed="false">
      <c r="A47" s="0" t="s">
        <v>142</v>
      </c>
      <c r="B47" s="0" t="s">
        <v>109</v>
      </c>
      <c r="C47" s="0" t="s">
        <v>69</v>
      </c>
      <c r="D47" s="0" t="s">
        <v>56</v>
      </c>
      <c r="E47" s="0" t="str">
        <f aca="false">B47&amp;"|"&amp;C47&amp;"|"&amp;D47</f>
        <v>Berea [#SNU] [#DREAMS] [wpg5evyl1OL]|25-29|Female</v>
      </c>
      <c r="F47" s="73" t="n">
        <v>35</v>
      </c>
      <c r="G47" s="118" t="n">
        <f aca="false">IF(SUM($F47)&lt;=0,"",0%)</f>
        <v>0</v>
      </c>
      <c r="H47" s="75" t="n">
        <f aca="false">IF(SUM($F47)&lt;=0,"",$F47*(1+$G47))</f>
        <v>35</v>
      </c>
      <c r="I47" s="73" t="n">
        <v>28</v>
      </c>
      <c r="J47" s="118" t="n">
        <f aca="false">IF(SUM($H47)&lt;=0,"",100%)</f>
        <v>1</v>
      </c>
      <c r="K47" s="118" t="n">
        <v>29</v>
      </c>
      <c r="L47" s="118" t="n">
        <f aca="false">IF(SUM($K47)=0,"",$K47)</f>
        <v>29</v>
      </c>
      <c r="M47" s="118" t="n">
        <v>17</v>
      </c>
      <c r="N47" s="118" t="n">
        <f aca="false">IF(SUM($M47)=0,"",$M47)</f>
        <v>17</v>
      </c>
      <c r="O47" s="73" t="n">
        <f aca="false">IF(SUM($H47)&lt;=0,"",ROUND(SUM($H47)*SUM($J47),0))</f>
        <v>35</v>
      </c>
      <c r="P47" s="75" t="n">
        <f aca="false">IF(SUM($O47)&lt;=0,"",ROUND(SUM($O47)*SUM($L47),0))</f>
        <v>1015</v>
      </c>
      <c r="Q47" s="75" t="n">
        <f aca="false">IF(SUM($O47)&lt;=0,"",ROUND((SUM($O47)-SUM($P47))*SUM($N47),0))</f>
        <v>-16660</v>
      </c>
      <c r="R47" s="75" t="n">
        <f aca="false">IF(SUM($O47)&lt;=0,"",ROUND(SUM($O47)-SUM($P47)-SUM($Q47),0))</f>
        <v>15680</v>
      </c>
      <c r="S47" s="118" t="n">
        <f aca="false">_xlfn.IFNA(INDEX(Cascade!$BA:$BA,MATCH($E47,Cascade!$E:$E,0)),"")</f>
        <v>0.95</v>
      </c>
      <c r="T47" s="75" t="n">
        <f aca="false">IF(SUM($P47)&lt;=0,"",$P47)</f>
        <v>1015</v>
      </c>
      <c r="U47" s="75" t="str">
        <f aca="false">IF(SUM($Q47)&lt;=0,"",ROUND($Q47*$S47,0))</f>
        <v/>
      </c>
      <c r="V47" s="73" t="n">
        <f aca="false">_xlfn.IFNA(INDEX(Cascade!$BD:$BD,MATCH($E47,Cascade!$E:$E,0)),"")</f>
        <v>1</v>
      </c>
      <c r="W47" s="118" t="n">
        <f aca="false">IF(OR(SUM($V47)&lt;=0,SUM($Q47)=0),"",SUM($Q47)/$V47)</f>
        <v>-16660</v>
      </c>
      <c r="X47" s="118" t="str">
        <f aca="false">_xlfn.IFNA(INDEX(Cascade!$BL:$BL,MATCH($E47,Cascade!$E:$E,0)),"")</f>
        <v/>
      </c>
      <c r="Y47" s="118" t="n">
        <f aca="false">_xlfn.IFNA(INDEX(Cascade!$BM:$BM,MATCH($E47,Cascade!$E:$E,0)),"")</f>
        <v>-51084</v>
      </c>
      <c r="Z47" s="118" t="str">
        <f aca="false">_xlfn.IFNA(INDEX(Cascade!$BN:$BN,MATCH($E47,Cascade!$E:$E,0)),"")</f>
        <v/>
      </c>
      <c r="AA47" s="118" t="str">
        <f aca="false">_xlfn.IFNA(INDEX(Cascade!$BP:$BP,MATCH($E47,Cascade!$E:$E,0)),"")</f>
        <v/>
      </c>
      <c r="AB47" s="118" t="n">
        <f aca="false">_xlfn.IFNA(INDEX(Cascade!$BR:$BR,MATCH($E47,Cascade!$E:$E,0)),"")</f>
        <v>67745</v>
      </c>
    </row>
    <row r="48" customFormat="false" ht="15" hidden="false" customHeight="false" outlineLevel="0" collapsed="false">
      <c r="A48" s="0" t="s">
        <v>142</v>
      </c>
      <c r="B48" s="0" t="s">
        <v>109</v>
      </c>
      <c r="C48" s="0" t="s">
        <v>69</v>
      </c>
      <c r="D48" s="0" t="s">
        <v>58</v>
      </c>
      <c r="E48" s="0" t="str">
        <f aca="false">B48&amp;"|"&amp;C48&amp;"|"&amp;D48</f>
        <v>Berea [#SNU] [#DREAMS] [wpg5evyl1OL]|25-29|Male</v>
      </c>
      <c r="F48" s="73" t="n">
        <v>43</v>
      </c>
      <c r="G48" s="118" t="n">
        <f aca="false">IF(SUM($F48)&lt;=0,"",0%)</f>
        <v>0</v>
      </c>
      <c r="H48" s="75" t="n">
        <f aca="false">IF(SUM($F48)&lt;=0,"",$F48*(1+$G48))</f>
        <v>43</v>
      </c>
      <c r="I48" s="73" t="n">
        <v>8</v>
      </c>
      <c r="J48" s="118" t="n">
        <f aca="false">IF(SUM($H48)&lt;=0,"",100%)</f>
        <v>1</v>
      </c>
      <c r="K48" s="118" t="n">
        <v>50</v>
      </c>
      <c r="L48" s="118" t="n">
        <f aca="false">IF(SUM($K48)=0,"",$K48)</f>
        <v>50</v>
      </c>
      <c r="M48" s="118" t="n">
        <v>4</v>
      </c>
      <c r="N48" s="118" t="n">
        <f aca="false">IF(SUM($M48)=0,"",$M48)</f>
        <v>4</v>
      </c>
      <c r="O48" s="73" t="n">
        <f aca="false">IF(SUM($H48)&lt;=0,"",ROUND(SUM($H48)*SUM($J48),0))</f>
        <v>43</v>
      </c>
      <c r="P48" s="75" t="n">
        <f aca="false">IF(SUM($O48)&lt;=0,"",ROUND(SUM($O48)*SUM($L48),0))</f>
        <v>2150</v>
      </c>
      <c r="Q48" s="75" t="n">
        <f aca="false">IF(SUM($O48)&lt;=0,"",ROUND((SUM($O48)-SUM($P48))*SUM($N48),0))</f>
        <v>-8428</v>
      </c>
      <c r="R48" s="75" t="n">
        <f aca="false">IF(SUM($O48)&lt;=0,"",ROUND(SUM($O48)-SUM($P48)-SUM($Q48),0))</f>
        <v>6321</v>
      </c>
      <c r="S48" s="118" t="n">
        <f aca="false">_xlfn.IFNA(INDEX(Cascade!$BA:$BA,MATCH($E48,Cascade!$E:$E,0)),"")</f>
        <v>0.95</v>
      </c>
      <c r="T48" s="75" t="n">
        <f aca="false">IF(SUM($P48)&lt;=0,"",$P48)</f>
        <v>2150</v>
      </c>
      <c r="U48" s="75" t="str">
        <f aca="false">IF(SUM($Q48)&lt;=0,"",ROUND($Q48*$S48,0))</f>
        <v/>
      </c>
      <c r="V48" s="73" t="n">
        <f aca="false">_xlfn.IFNA(INDEX(Cascade!$BD:$BD,MATCH($E48,Cascade!$E:$E,0)),"")</f>
        <v>22</v>
      </c>
      <c r="W48" s="118" t="n">
        <f aca="false">IF(OR(SUM($V48)&lt;=0,SUM($Q48)=0),"",SUM($Q48)/$V48)</f>
        <v>-383.090909090909</v>
      </c>
      <c r="X48" s="118" t="n">
        <f aca="false">_xlfn.IFNA(INDEX(Cascade!$BL:$BL,MATCH($E48,Cascade!$E:$E,0)),"")</f>
        <v>0.318181818181818</v>
      </c>
      <c r="Y48" s="118" t="str">
        <f aca="false">_xlfn.IFNA(INDEX(Cascade!$BM:$BM,MATCH($E48,Cascade!$E:$E,0)),"")</f>
        <v/>
      </c>
      <c r="Z48" s="118" t="str">
        <f aca="false">_xlfn.IFNA(INDEX(Cascade!$BN:$BN,MATCH($E48,Cascade!$E:$E,0)),"")</f>
        <v/>
      </c>
      <c r="AA48" s="118" t="str">
        <f aca="false">_xlfn.IFNA(INDEX(Cascade!$BP:$BP,MATCH($E48,Cascade!$E:$E,0)),"")</f>
        <v/>
      </c>
      <c r="AB48" s="118" t="n">
        <f aca="false">_xlfn.IFNA(INDEX(Cascade!$BR:$BR,MATCH($E48,Cascade!$E:$E,0)),"")</f>
        <v>383.772727272727</v>
      </c>
    </row>
    <row r="49" customFormat="false" ht="15" hidden="false" customHeight="false" outlineLevel="0" collapsed="false">
      <c r="A49" s="0" t="s">
        <v>142</v>
      </c>
      <c r="B49" s="0" t="s">
        <v>109</v>
      </c>
      <c r="C49" s="0" t="s">
        <v>72</v>
      </c>
      <c r="D49" s="0" t="s">
        <v>56</v>
      </c>
      <c r="E49" s="0" t="str">
        <f aca="false">B49&amp;"|"&amp;C49&amp;"|"&amp;D49</f>
        <v>Berea [#SNU] [#DREAMS] [wpg5evyl1OL]|30-34|Female</v>
      </c>
      <c r="F49" s="73" t="n">
        <v>37</v>
      </c>
      <c r="G49" s="118" t="n">
        <f aca="false">IF(SUM($F49)&lt;=0,"",0%)</f>
        <v>0</v>
      </c>
      <c r="H49" s="75" t="n">
        <f aca="false">IF(SUM($F49)&lt;=0,"",$F49*(1+$G49))</f>
        <v>37</v>
      </c>
      <c r="I49" s="73" t="n">
        <v>22</v>
      </c>
      <c r="J49" s="118" t="n">
        <f aca="false">IF(SUM($H49)&lt;=0,"",100%)</f>
        <v>1</v>
      </c>
      <c r="K49" s="118" t="n">
        <v>33</v>
      </c>
      <c r="L49" s="118" t="n">
        <f aca="false">IF(SUM($K49)=0,"",$K49)</f>
        <v>33</v>
      </c>
      <c r="M49" s="118" t="n">
        <v>18</v>
      </c>
      <c r="N49" s="118" t="n">
        <f aca="false">IF(SUM($M49)=0,"",$M49)</f>
        <v>18</v>
      </c>
      <c r="O49" s="73" t="n">
        <f aca="false">IF(SUM($H49)&lt;=0,"",ROUND(SUM($H49)*SUM($J49),0))</f>
        <v>37</v>
      </c>
      <c r="P49" s="75" t="n">
        <f aca="false">IF(SUM($O49)&lt;=0,"",ROUND(SUM($O49)*SUM($L49),0))</f>
        <v>1221</v>
      </c>
      <c r="Q49" s="75" t="n">
        <f aca="false">IF(SUM($O49)&lt;=0,"",ROUND((SUM($O49)-SUM($P49))*SUM($N49),0))</f>
        <v>-21312</v>
      </c>
      <c r="R49" s="75" t="n">
        <f aca="false">IF(SUM($O49)&lt;=0,"",ROUND(SUM($O49)-SUM($P49)-SUM($Q49),0))</f>
        <v>20128</v>
      </c>
      <c r="S49" s="118" t="n">
        <f aca="false">_xlfn.IFNA(INDEX(Cascade!$BA:$BA,MATCH($E49,Cascade!$E:$E,0)),"")</f>
        <v>0.95</v>
      </c>
      <c r="T49" s="75" t="n">
        <f aca="false">IF(SUM($P49)&lt;=0,"",$P49)</f>
        <v>1221</v>
      </c>
      <c r="U49" s="75" t="str">
        <f aca="false">IF(SUM($Q49)&lt;=0,"",ROUND($Q49*$S49,0))</f>
        <v/>
      </c>
      <c r="V49" s="73" t="n">
        <f aca="false">_xlfn.IFNA(INDEX(Cascade!$BD:$BD,MATCH($E49,Cascade!$E:$E,0)),"")</f>
        <v>18</v>
      </c>
      <c r="W49" s="118" t="n">
        <f aca="false">IF(OR(SUM($V49)&lt;=0,SUM($Q49)=0),"",SUM($Q49)/$V49)</f>
        <v>-1184</v>
      </c>
      <c r="X49" s="118" t="n">
        <f aca="false">_xlfn.IFNA(INDEX(Cascade!$BL:$BL,MATCH($E49,Cascade!$E:$E,0)),"")</f>
        <v>0.277777777777778</v>
      </c>
      <c r="Y49" s="118" t="n">
        <f aca="false">_xlfn.IFNA(INDEX(Cascade!$BM:$BM,MATCH($E49,Cascade!$E:$E,0)),"")</f>
        <v>-592</v>
      </c>
      <c r="Z49" s="118" t="str">
        <f aca="false">_xlfn.IFNA(INDEX(Cascade!$BN:$BN,MATCH($E49,Cascade!$E:$E,0)),"")</f>
        <v/>
      </c>
      <c r="AA49" s="118" t="str">
        <f aca="false">_xlfn.IFNA(INDEX(Cascade!$BP:$BP,MATCH($E49,Cascade!$E:$E,0)),"")</f>
        <v/>
      </c>
      <c r="AB49" s="118" t="n">
        <f aca="false">_xlfn.IFNA(INDEX(Cascade!$BR:$BR,MATCH($E49,Cascade!$E:$E,0)),"")</f>
        <v>1776.72222222222</v>
      </c>
    </row>
    <row r="50" customFormat="false" ht="15" hidden="false" customHeight="false" outlineLevel="0" collapsed="false">
      <c r="A50" s="0" t="s">
        <v>142</v>
      </c>
      <c r="B50" s="0" t="s">
        <v>109</v>
      </c>
      <c r="C50" s="0" t="s">
        <v>72</v>
      </c>
      <c r="D50" s="0" t="s">
        <v>58</v>
      </c>
      <c r="E50" s="0" t="str">
        <f aca="false">B50&amp;"|"&amp;C50&amp;"|"&amp;D50</f>
        <v>Berea [#SNU] [#DREAMS] [wpg5evyl1OL]|30-34|Male</v>
      </c>
      <c r="F50" s="73" t="n">
        <v>36</v>
      </c>
      <c r="G50" s="118" t="n">
        <f aca="false">IF(SUM($F50)&lt;=0,"",0%)</f>
        <v>0</v>
      </c>
      <c r="H50" s="75" t="n">
        <f aca="false">IF(SUM($F50)&lt;=0,"",$F50*(1+$G50))</f>
        <v>36</v>
      </c>
      <c r="I50" s="73" t="n">
        <v>3</v>
      </c>
      <c r="J50" s="118" t="n">
        <f aca="false">IF(SUM($H50)&lt;=0,"",100%)</f>
        <v>1</v>
      </c>
      <c r="K50" s="118" t="n">
        <v>17</v>
      </c>
      <c r="L50" s="118" t="n">
        <f aca="false">IF(SUM($K50)=0,"",$K50)</f>
        <v>17</v>
      </c>
      <c r="M50" s="118" t="n">
        <v>32</v>
      </c>
      <c r="N50" s="118" t="n">
        <f aca="false">IF(SUM($M50)=0,"",$M50)</f>
        <v>32</v>
      </c>
      <c r="O50" s="73" t="n">
        <f aca="false">IF(SUM($H50)&lt;=0,"",ROUND(SUM($H50)*SUM($J50),0))</f>
        <v>36</v>
      </c>
      <c r="P50" s="75" t="n">
        <f aca="false">IF(SUM($O50)&lt;=0,"",ROUND(SUM($O50)*SUM($L50),0))</f>
        <v>612</v>
      </c>
      <c r="Q50" s="75" t="n">
        <f aca="false">IF(SUM($O50)&lt;=0,"",ROUND((SUM($O50)-SUM($P50))*SUM($N50),0))</f>
        <v>-18432</v>
      </c>
      <c r="R50" s="75" t="n">
        <f aca="false">IF(SUM($O50)&lt;=0,"",ROUND(SUM($O50)-SUM($P50)-SUM($Q50),0))</f>
        <v>17856</v>
      </c>
      <c r="S50" s="118" t="n">
        <f aca="false">_xlfn.IFNA(INDEX(Cascade!$BA:$BA,MATCH($E50,Cascade!$E:$E,0)),"")</f>
        <v>0.95</v>
      </c>
      <c r="T50" s="75" t="n">
        <f aca="false">IF(SUM($P50)&lt;=0,"",$P50)</f>
        <v>612</v>
      </c>
      <c r="U50" s="75" t="str">
        <f aca="false">IF(SUM($Q50)&lt;=0,"",ROUND($Q50*$S50,0))</f>
        <v/>
      </c>
      <c r="V50" s="73" t="n">
        <f aca="false">_xlfn.IFNA(INDEX(Cascade!$BD:$BD,MATCH($E50,Cascade!$E:$E,0)),"")</f>
        <v>4</v>
      </c>
      <c r="W50" s="118" t="n">
        <f aca="false">IF(OR(SUM($V50)&lt;=0,SUM($Q50)=0),"",SUM($Q50)/$V50)</f>
        <v>-4608</v>
      </c>
      <c r="X50" s="118" t="n">
        <f aca="false">_xlfn.IFNA(INDEX(Cascade!$BL:$BL,MATCH($E50,Cascade!$E:$E,0)),"")</f>
        <v>0.25</v>
      </c>
      <c r="Y50" s="118" t="str">
        <f aca="false">_xlfn.IFNA(INDEX(Cascade!$BM:$BM,MATCH($E50,Cascade!$E:$E,0)),"")</f>
        <v/>
      </c>
      <c r="Z50" s="118" t="str">
        <f aca="false">_xlfn.IFNA(INDEX(Cascade!$BN:$BN,MATCH($E50,Cascade!$E:$E,0)),"")</f>
        <v/>
      </c>
      <c r="AA50" s="118" t="str">
        <f aca="false">_xlfn.IFNA(INDEX(Cascade!$BP:$BP,MATCH($E50,Cascade!$E:$E,0)),"")</f>
        <v/>
      </c>
      <c r="AB50" s="118" t="n">
        <f aca="false">_xlfn.IFNA(INDEX(Cascade!$BR:$BR,MATCH($E50,Cascade!$E:$E,0)),"")</f>
        <v>4608.75</v>
      </c>
    </row>
    <row r="51" customFormat="false" ht="15" hidden="false" customHeight="false" outlineLevel="0" collapsed="false">
      <c r="A51" s="0" t="s">
        <v>142</v>
      </c>
      <c r="B51" s="0" t="s">
        <v>109</v>
      </c>
      <c r="C51" s="0" t="s">
        <v>75</v>
      </c>
      <c r="D51" s="0" t="s">
        <v>56</v>
      </c>
      <c r="E51" s="0" t="str">
        <f aca="false">B51&amp;"|"&amp;C51&amp;"|"&amp;D51</f>
        <v>Berea [#SNU] [#DREAMS] [wpg5evyl1OL]|35-39|Female</v>
      </c>
      <c r="F51" s="73" t="n">
        <v>47</v>
      </c>
      <c r="G51" s="118" t="n">
        <f aca="false">IF(SUM($F51)&lt;=0,"",0%)</f>
        <v>0</v>
      </c>
      <c r="H51" s="75" t="n">
        <f aca="false">IF(SUM($F51)&lt;=0,"",$F51*(1+$G51))</f>
        <v>47</v>
      </c>
      <c r="I51" s="73" t="n">
        <v>18</v>
      </c>
      <c r="J51" s="118" t="n">
        <f aca="false">IF(SUM($H51)&lt;=0,"",100%)</f>
        <v>1</v>
      </c>
      <c r="K51" s="118" t="n">
        <v>17</v>
      </c>
      <c r="L51" s="118" t="n">
        <f aca="false">IF(SUM($K51)=0,"",$K51)</f>
        <v>17</v>
      </c>
      <c r="M51" s="118" t="n">
        <v>18</v>
      </c>
      <c r="N51" s="118" t="n">
        <f aca="false">IF(SUM($M51)=0,"",$M51)</f>
        <v>18</v>
      </c>
      <c r="O51" s="73" t="n">
        <f aca="false">IF(SUM($H51)&lt;=0,"",ROUND(SUM($H51)*SUM($J51),0))</f>
        <v>47</v>
      </c>
      <c r="P51" s="75" t="n">
        <f aca="false">IF(SUM($O51)&lt;=0,"",ROUND(SUM($O51)*SUM($L51),0))</f>
        <v>799</v>
      </c>
      <c r="Q51" s="75" t="n">
        <f aca="false">IF(SUM($O51)&lt;=0,"",ROUND((SUM($O51)-SUM($P51))*SUM($N51),0))</f>
        <v>-13536</v>
      </c>
      <c r="R51" s="75" t="n">
        <f aca="false">IF(SUM($O51)&lt;=0,"",ROUND(SUM($O51)-SUM($P51)-SUM($Q51),0))</f>
        <v>12784</v>
      </c>
      <c r="S51" s="118" t="n">
        <f aca="false">_xlfn.IFNA(INDEX(Cascade!$BA:$BA,MATCH($E51,Cascade!$E:$E,0)),"")</f>
        <v>0.95</v>
      </c>
      <c r="T51" s="75" t="n">
        <f aca="false">IF(SUM($P51)&lt;=0,"",$P51)</f>
        <v>799</v>
      </c>
      <c r="U51" s="75" t="str">
        <f aca="false">IF(SUM($Q51)&lt;=0,"",ROUND($Q51*$S51,0))</f>
        <v/>
      </c>
      <c r="V51" s="73" t="n">
        <f aca="false">_xlfn.IFNA(INDEX(Cascade!$BD:$BD,MATCH($E51,Cascade!$E:$E,0)),"")</f>
        <v>7</v>
      </c>
      <c r="W51" s="118" t="n">
        <f aca="false">IF(OR(SUM($V51)&lt;=0,SUM($Q51)=0),"",SUM($Q51)/$V51)</f>
        <v>-1933.71428571429</v>
      </c>
      <c r="X51" s="118" t="n">
        <f aca="false">_xlfn.IFNA(INDEX(Cascade!$BL:$BL,MATCH($E51,Cascade!$E:$E,0)),"")</f>
        <v>0.571428571428571</v>
      </c>
      <c r="Y51" s="118" t="n">
        <f aca="false">_xlfn.IFNA(INDEX(Cascade!$BM:$BM,MATCH($E51,Cascade!$E:$E,0)),"")</f>
        <v>-471.428571428571</v>
      </c>
      <c r="Z51" s="118" t="str">
        <f aca="false">_xlfn.IFNA(INDEX(Cascade!$BN:$BN,MATCH($E51,Cascade!$E:$E,0)),"")</f>
        <v/>
      </c>
      <c r="AA51" s="118" t="str">
        <f aca="false">_xlfn.IFNA(INDEX(Cascade!$BP:$BP,MATCH($E51,Cascade!$E:$E,0)),"")</f>
        <v/>
      </c>
      <c r="AB51" s="118" t="n">
        <f aca="false">_xlfn.IFNA(INDEX(Cascade!$BR:$BR,MATCH($E51,Cascade!$E:$E,0)),"")</f>
        <v>2405.57142857143</v>
      </c>
    </row>
    <row r="52" customFormat="false" ht="15" hidden="false" customHeight="false" outlineLevel="0" collapsed="false">
      <c r="A52" s="0" t="s">
        <v>142</v>
      </c>
      <c r="B52" s="0" t="s">
        <v>109</v>
      </c>
      <c r="C52" s="0" t="s">
        <v>75</v>
      </c>
      <c r="D52" s="0" t="s">
        <v>58</v>
      </c>
      <c r="E52" s="0" t="str">
        <f aca="false">B52&amp;"|"&amp;C52&amp;"|"&amp;D52</f>
        <v>Berea [#SNU] [#DREAMS] [wpg5evyl1OL]|35-39|Male</v>
      </c>
      <c r="F52" s="73" t="n">
        <v>33</v>
      </c>
      <c r="G52" s="118" t="n">
        <f aca="false">IF(SUM($F52)&lt;=0,"",0%)</f>
        <v>0</v>
      </c>
      <c r="H52" s="75" t="n">
        <f aca="false">IF(SUM($F52)&lt;=0,"",$F52*(1+$G52))</f>
        <v>33</v>
      </c>
      <c r="I52" s="73" t="n">
        <v>11</v>
      </c>
      <c r="J52" s="118" t="n">
        <f aca="false">IF(SUM($H52)&lt;=0,"",100%)</f>
        <v>1</v>
      </c>
      <c r="K52" s="118" t="n">
        <v>1</v>
      </c>
      <c r="L52" s="118" t="n">
        <f aca="false">IF(SUM($K52)=0,"",$K52)</f>
        <v>1</v>
      </c>
      <c r="M52" s="118" t="n">
        <v>10</v>
      </c>
      <c r="N52" s="118" t="n">
        <f aca="false">IF(SUM($M52)=0,"",$M52)</f>
        <v>10</v>
      </c>
      <c r="O52" s="73" t="n">
        <f aca="false">IF(SUM($H52)&lt;=0,"",ROUND(SUM($H52)*SUM($J52),0))</f>
        <v>33</v>
      </c>
      <c r="P52" s="75" t="n">
        <f aca="false">IF(SUM($O52)&lt;=0,"",ROUND(SUM($O52)*SUM($L52),0))</f>
        <v>33</v>
      </c>
      <c r="Q52" s="75" t="n">
        <f aca="false">IF(SUM($O52)&lt;=0,"",ROUND((SUM($O52)-SUM($P52))*SUM($N52),0))</f>
        <v>0</v>
      </c>
      <c r="R52" s="75" t="n">
        <f aca="false">IF(SUM($O52)&lt;=0,"",ROUND(SUM($O52)-SUM($P52)-SUM($Q52),0))</f>
        <v>0</v>
      </c>
      <c r="S52" s="118" t="n">
        <f aca="false">_xlfn.IFNA(INDEX(Cascade!$BA:$BA,MATCH($E52,Cascade!$E:$E,0)),"")</f>
        <v>0.95</v>
      </c>
      <c r="T52" s="75" t="n">
        <f aca="false">IF(SUM($P52)&lt;=0,"",$P52)</f>
        <v>33</v>
      </c>
      <c r="U52" s="75" t="str">
        <f aca="false">IF(SUM($Q52)&lt;=0,"",ROUND($Q52*$S52,0))</f>
        <v/>
      </c>
      <c r="V52" s="73" t="n">
        <f aca="false">_xlfn.IFNA(INDEX(Cascade!$BD:$BD,MATCH($E52,Cascade!$E:$E,0)),"")</f>
        <v>4</v>
      </c>
      <c r="W52" s="118" t="str">
        <f aca="false">IF(OR(SUM($V52)&lt;=0,SUM($Q52)=0),"",SUM($Q52)/$V52)</f>
        <v/>
      </c>
      <c r="X52" s="118" t="n">
        <f aca="false">_xlfn.IFNA(INDEX(Cascade!$BL:$BL,MATCH($E52,Cascade!$E:$E,0)),"")</f>
        <v>0.25</v>
      </c>
      <c r="Y52" s="118" t="str">
        <f aca="false">_xlfn.IFNA(INDEX(Cascade!$BM:$BM,MATCH($E52,Cascade!$E:$E,0)),"")</f>
        <v/>
      </c>
      <c r="Z52" s="118" t="str">
        <f aca="false">_xlfn.IFNA(INDEX(Cascade!$BN:$BN,MATCH($E52,Cascade!$E:$E,0)),"")</f>
        <v/>
      </c>
      <c r="AA52" s="118" t="str">
        <f aca="false">_xlfn.IFNA(INDEX(Cascade!$BP:$BP,MATCH($E52,Cascade!$E:$E,0)),"")</f>
        <v/>
      </c>
      <c r="AB52" s="118" t="n">
        <f aca="false">_xlfn.IFNA(INDEX(Cascade!$BR:$BR,MATCH($E52,Cascade!$E:$E,0)),"")</f>
        <v>0.75</v>
      </c>
    </row>
    <row r="53" customFormat="false" ht="15" hidden="false" customHeight="false" outlineLevel="0" collapsed="false">
      <c r="A53" s="0" t="s">
        <v>142</v>
      </c>
      <c r="B53" s="0" t="s">
        <v>109</v>
      </c>
      <c r="C53" s="0" t="s">
        <v>77</v>
      </c>
      <c r="D53" s="0" t="s">
        <v>56</v>
      </c>
      <c r="E53" s="0" t="str">
        <f aca="false">B53&amp;"|"&amp;C53&amp;"|"&amp;D53</f>
        <v>Berea [#SNU] [#DREAMS] [wpg5evyl1OL]|40-44|Female</v>
      </c>
      <c r="F53" s="73" t="n">
        <v>14</v>
      </c>
      <c r="G53" s="118" t="n">
        <f aca="false">IF(SUM($F53)&lt;=0,"",0%)</f>
        <v>0</v>
      </c>
      <c r="H53" s="75" t="n">
        <f aca="false">IF(SUM($F53)&lt;=0,"",$F53*(1+$G53))</f>
        <v>14</v>
      </c>
      <c r="I53" s="73" t="n">
        <v>9</v>
      </c>
      <c r="J53" s="118" t="n">
        <f aca="false">IF(SUM($H53)&lt;=0,"",100%)</f>
        <v>1</v>
      </c>
      <c r="K53" s="118" t="n">
        <v>31</v>
      </c>
      <c r="L53" s="118" t="n">
        <f aca="false">IF(SUM($K53)=0,"",$K53)</f>
        <v>31</v>
      </c>
      <c r="M53" s="118" t="n">
        <v>4</v>
      </c>
      <c r="N53" s="118" t="n">
        <f aca="false">IF(SUM($M53)=0,"",$M53)</f>
        <v>4</v>
      </c>
      <c r="O53" s="73" t="n">
        <f aca="false">IF(SUM($H53)&lt;=0,"",ROUND(SUM($H53)*SUM($J53),0))</f>
        <v>14</v>
      </c>
      <c r="P53" s="75" t="n">
        <f aca="false">IF(SUM($O53)&lt;=0,"",ROUND(SUM($O53)*SUM($L53),0))</f>
        <v>434</v>
      </c>
      <c r="Q53" s="75" t="n">
        <f aca="false">IF(SUM($O53)&lt;=0,"",ROUND((SUM($O53)-SUM($P53))*SUM($N53),0))</f>
        <v>-1680</v>
      </c>
      <c r="R53" s="75" t="n">
        <f aca="false">IF(SUM($O53)&lt;=0,"",ROUND(SUM($O53)-SUM($P53)-SUM($Q53),0))</f>
        <v>1260</v>
      </c>
      <c r="S53" s="118" t="n">
        <f aca="false">_xlfn.IFNA(INDEX(Cascade!$BA:$BA,MATCH($E53,Cascade!$E:$E,0)),"")</f>
        <v>0.95</v>
      </c>
      <c r="T53" s="75" t="n">
        <f aca="false">IF(SUM($P53)&lt;=0,"",$P53)</f>
        <v>434</v>
      </c>
      <c r="U53" s="75" t="str">
        <f aca="false">IF(SUM($Q53)&lt;=0,"",ROUND($Q53*$S53,0))</f>
        <v/>
      </c>
      <c r="V53" s="73" t="str">
        <f aca="false">_xlfn.IFNA(INDEX(Cascade!$BD:$BD,MATCH($E53,Cascade!$E:$E,0)),"")</f>
        <v/>
      </c>
      <c r="W53" s="118" t="str">
        <f aca="false">IF(OR(SUM($V53)&lt;=0,SUM($Q53)=0),"",SUM($Q53)/$V53)</f>
        <v/>
      </c>
      <c r="X53" s="118" t="str">
        <f aca="false">_xlfn.IFNA(INDEX(Cascade!$BL:$BL,MATCH($E53,Cascade!$E:$E,0)),"")</f>
        <v/>
      </c>
      <c r="Y53" s="118" t="str">
        <f aca="false">_xlfn.IFNA(INDEX(Cascade!$BM:$BM,MATCH($E53,Cascade!$E:$E,0)),"")</f>
        <v/>
      </c>
      <c r="Z53" s="118" t="str">
        <f aca="false">_xlfn.IFNA(INDEX(Cascade!$BN:$BN,MATCH($E53,Cascade!$E:$E,0)),"")</f>
        <v/>
      </c>
      <c r="AA53" s="118" t="str">
        <f aca="false">_xlfn.IFNA(INDEX(Cascade!$BP:$BP,MATCH($E53,Cascade!$E:$E,0)),"")</f>
        <v/>
      </c>
      <c r="AB53" s="118" t="str">
        <f aca="false">_xlfn.IFNA(INDEX(Cascade!$BR:$BR,MATCH($E53,Cascade!$E:$E,0)),"")</f>
        <v/>
      </c>
    </row>
    <row r="54" customFormat="false" ht="15" hidden="false" customHeight="false" outlineLevel="0" collapsed="false">
      <c r="A54" s="0" t="s">
        <v>142</v>
      </c>
      <c r="B54" s="0" t="s">
        <v>109</v>
      </c>
      <c r="C54" s="0" t="s">
        <v>77</v>
      </c>
      <c r="D54" s="0" t="s">
        <v>58</v>
      </c>
      <c r="E54" s="0" t="str">
        <f aca="false">B54&amp;"|"&amp;C54&amp;"|"&amp;D54</f>
        <v>Berea [#SNU] [#DREAMS] [wpg5evyl1OL]|40-44|Male</v>
      </c>
      <c r="F54" s="73" t="n">
        <v>34</v>
      </c>
      <c r="G54" s="118" t="n">
        <f aca="false">IF(SUM($F54)&lt;=0,"",0%)</f>
        <v>0</v>
      </c>
      <c r="H54" s="75" t="n">
        <f aca="false">IF(SUM($F54)&lt;=0,"",$F54*(1+$G54))</f>
        <v>34</v>
      </c>
      <c r="I54" s="73" t="n">
        <v>13</v>
      </c>
      <c r="J54" s="118" t="n">
        <f aca="false">IF(SUM($H54)&lt;=0,"",100%)</f>
        <v>1</v>
      </c>
      <c r="K54" s="118" t="n">
        <v>15</v>
      </c>
      <c r="L54" s="118" t="n">
        <f aca="false">IF(SUM($K54)=0,"",$K54)</f>
        <v>15</v>
      </c>
      <c r="M54" s="118" t="n">
        <v>14</v>
      </c>
      <c r="N54" s="118" t="n">
        <f aca="false">IF(SUM($M54)=0,"",$M54)</f>
        <v>14</v>
      </c>
      <c r="O54" s="73" t="n">
        <f aca="false">IF(SUM($H54)&lt;=0,"",ROUND(SUM($H54)*SUM($J54),0))</f>
        <v>34</v>
      </c>
      <c r="P54" s="75" t="n">
        <f aca="false">IF(SUM($O54)&lt;=0,"",ROUND(SUM($O54)*SUM($L54),0))</f>
        <v>510</v>
      </c>
      <c r="Q54" s="75" t="n">
        <f aca="false">IF(SUM($O54)&lt;=0,"",ROUND((SUM($O54)-SUM($P54))*SUM($N54),0))</f>
        <v>-6664</v>
      </c>
      <c r="R54" s="75" t="n">
        <f aca="false">IF(SUM($O54)&lt;=0,"",ROUND(SUM($O54)-SUM($P54)-SUM($Q54),0))</f>
        <v>6188</v>
      </c>
      <c r="S54" s="118" t="n">
        <f aca="false">_xlfn.IFNA(INDEX(Cascade!$BA:$BA,MATCH($E54,Cascade!$E:$E,0)),"")</f>
        <v>0.95</v>
      </c>
      <c r="T54" s="75" t="n">
        <f aca="false">IF(SUM($P54)&lt;=0,"",$P54)</f>
        <v>510</v>
      </c>
      <c r="U54" s="75" t="str">
        <f aca="false">IF(SUM($Q54)&lt;=0,"",ROUND($Q54*$S54,0))</f>
        <v/>
      </c>
      <c r="V54" s="73" t="n">
        <f aca="false">_xlfn.IFNA(INDEX(Cascade!$BD:$BD,MATCH($E54,Cascade!$E:$E,0)),"")</f>
        <v>5</v>
      </c>
      <c r="W54" s="118" t="n">
        <f aca="false">IF(OR(SUM($V54)&lt;=0,SUM($Q54)=0),"",SUM($Q54)/$V54)</f>
        <v>-1332.8</v>
      </c>
      <c r="X54" s="118" t="n">
        <f aca="false">_xlfn.IFNA(INDEX(Cascade!$BL:$BL,MATCH($E54,Cascade!$E:$E,0)),"")</f>
        <v>0.6</v>
      </c>
      <c r="Y54" s="118" t="str">
        <f aca="false">_xlfn.IFNA(INDEX(Cascade!$BM:$BM,MATCH($E54,Cascade!$E:$E,0)),"")</f>
        <v/>
      </c>
      <c r="Z54" s="118" t="str">
        <f aca="false">_xlfn.IFNA(INDEX(Cascade!$BN:$BN,MATCH($E54,Cascade!$E:$E,0)),"")</f>
        <v/>
      </c>
      <c r="AA54" s="118" t="str">
        <f aca="false">_xlfn.IFNA(INDEX(Cascade!$BP:$BP,MATCH($E54,Cascade!$E:$E,0)),"")</f>
        <v/>
      </c>
      <c r="AB54" s="118" t="n">
        <f aca="false">_xlfn.IFNA(INDEX(Cascade!$BR:$BR,MATCH($E54,Cascade!$E:$E,0)),"")</f>
        <v>1333.2</v>
      </c>
    </row>
    <row r="55" customFormat="false" ht="15" hidden="false" customHeight="false" outlineLevel="0" collapsed="false">
      <c r="A55" s="0" t="s">
        <v>142</v>
      </c>
      <c r="B55" s="0" t="s">
        <v>109</v>
      </c>
      <c r="C55" s="0" t="s">
        <v>80</v>
      </c>
      <c r="D55" s="0" t="s">
        <v>56</v>
      </c>
      <c r="E55" s="0" t="str">
        <f aca="false">B55&amp;"|"&amp;C55&amp;"|"&amp;D55</f>
        <v>Berea [#SNU] [#DREAMS] [wpg5evyl1OL]|45-49|Female</v>
      </c>
      <c r="F55" s="73" t="n">
        <v>31</v>
      </c>
      <c r="G55" s="118" t="n">
        <f aca="false">IF(SUM($F55)&lt;=0,"",0%)</f>
        <v>0</v>
      </c>
      <c r="H55" s="75" t="n">
        <f aca="false">IF(SUM($F55)&lt;=0,"",$F55*(1+$G55))</f>
        <v>31</v>
      </c>
      <c r="I55" s="73" t="n">
        <v>0</v>
      </c>
      <c r="J55" s="118" t="n">
        <f aca="false">IF(SUM($H55)&lt;=0,"",100%)</f>
        <v>1</v>
      </c>
      <c r="K55" s="118" t="n">
        <v>25</v>
      </c>
      <c r="L55" s="118" t="n">
        <f aca="false">IF(SUM($K55)=0,"",$K55)</f>
        <v>25</v>
      </c>
      <c r="M55" s="118" t="n">
        <v>36</v>
      </c>
      <c r="N55" s="118" t="n">
        <f aca="false">IF(SUM($M55)=0,"",$M55)</f>
        <v>36</v>
      </c>
      <c r="O55" s="73" t="n">
        <f aca="false">IF(SUM($H55)&lt;=0,"",ROUND(SUM($H55)*SUM($J55),0))</f>
        <v>31</v>
      </c>
      <c r="P55" s="75" t="n">
        <f aca="false">IF(SUM($O55)&lt;=0,"",ROUND(SUM($O55)*SUM($L55),0))</f>
        <v>775</v>
      </c>
      <c r="Q55" s="75" t="n">
        <f aca="false">IF(SUM($O55)&lt;=0,"",ROUND((SUM($O55)-SUM($P55))*SUM($N55),0))</f>
        <v>-26784</v>
      </c>
      <c r="R55" s="75" t="n">
        <f aca="false">IF(SUM($O55)&lt;=0,"",ROUND(SUM($O55)-SUM($P55)-SUM($Q55),0))</f>
        <v>26040</v>
      </c>
      <c r="S55" s="118" t="n">
        <f aca="false">_xlfn.IFNA(INDEX(Cascade!$BA:$BA,MATCH($E55,Cascade!$E:$E,0)),"")</f>
        <v>0.95</v>
      </c>
      <c r="T55" s="75" t="n">
        <f aca="false">IF(SUM($P55)&lt;=0,"",$P55)</f>
        <v>775</v>
      </c>
      <c r="U55" s="75" t="str">
        <f aca="false">IF(SUM($Q55)&lt;=0,"",ROUND($Q55*$S55,0))</f>
        <v/>
      </c>
      <c r="V55" s="73" t="str">
        <f aca="false">_xlfn.IFNA(INDEX(Cascade!$BD:$BD,MATCH($E55,Cascade!$E:$E,0)),"")</f>
        <v/>
      </c>
      <c r="W55" s="118" t="str">
        <f aca="false">IF(OR(SUM($V55)&lt;=0,SUM($Q55)=0),"",SUM($Q55)/$V55)</f>
        <v/>
      </c>
      <c r="X55" s="118" t="str">
        <f aca="false">_xlfn.IFNA(INDEX(Cascade!$BL:$BL,MATCH($E55,Cascade!$E:$E,0)),"")</f>
        <v/>
      </c>
      <c r="Y55" s="118" t="str">
        <f aca="false">_xlfn.IFNA(INDEX(Cascade!$BM:$BM,MATCH($E55,Cascade!$E:$E,0)),"")</f>
        <v/>
      </c>
      <c r="Z55" s="118" t="str">
        <f aca="false">_xlfn.IFNA(INDEX(Cascade!$BN:$BN,MATCH($E55,Cascade!$E:$E,0)),"")</f>
        <v/>
      </c>
      <c r="AA55" s="118" t="str">
        <f aca="false">_xlfn.IFNA(INDEX(Cascade!$BP:$BP,MATCH($E55,Cascade!$E:$E,0)),"")</f>
        <v/>
      </c>
      <c r="AB55" s="118" t="str">
        <f aca="false">_xlfn.IFNA(INDEX(Cascade!$BR:$BR,MATCH($E55,Cascade!$E:$E,0)),"")</f>
        <v/>
      </c>
    </row>
    <row r="56" customFormat="false" ht="15" hidden="false" customHeight="false" outlineLevel="0" collapsed="false">
      <c r="A56" s="0" t="s">
        <v>142</v>
      </c>
      <c r="B56" s="0" t="s">
        <v>109</v>
      </c>
      <c r="C56" s="0" t="s">
        <v>80</v>
      </c>
      <c r="D56" s="0" t="s">
        <v>58</v>
      </c>
      <c r="E56" s="0" t="str">
        <f aca="false">B56&amp;"|"&amp;C56&amp;"|"&amp;D56</f>
        <v>Berea [#SNU] [#DREAMS] [wpg5evyl1OL]|45-49|Male</v>
      </c>
      <c r="F56" s="73" t="n">
        <v>16</v>
      </c>
      <c r="G56" s="118" t="n">
        <f aca="false">IF(SUM($F56)&lt;=0,"",0%)</f>
        <v>0</v>
      </c>
      <c r="H56" s="75" t="n">
        <f aca="false">IF(SUM($F56)&lt;=0,"",$F56*(1+$G56))</f>
        <v>16</v>
      </c>
      <c r="I56" s="73" t="n">
        <v>31</v>
      </c>
      <c r="J56" s="118" t="n">
        <f aca="false">IF(SUM($H56)&lt;=0,"",100%)</f>
        <v>1</v>
      </c>
      <c r="K56" s="118" t="n">
        <v>38</v>
      </c>
      <c r="L56" s="118" t="n">
        <f aca="false">IF(SUM($K56)=0,"",$K56)</f>
        <v>38</v>
      </c>
      <c r="M56" s="118" t="n">
        <v>13</v>
      </c>
      <c r="N56" s="118" t="n">
        <f aca="false">IF(SUM($M56)=0,"",$M56)</f>
        <v>13</v>
      </c>
      <c r="O56" s="73" t="n">
        <f aca="false">IF(SUM($H56)&lt;=0,"",ROUND(SUM($H56)*SUM($J56),0))</f>
        <v>16</v>
      </c>
      <c r="P56" s="75" t="n">
        <f aca="false">IF(SUM($O56)&lt;=0,"",ROUND(SUM($O56)*SUM($L56),0))</f>
        <v>608</v>
      </c>
      <c r="Q56" s="75" t="n">
        <f aca="false">IF(SUM($O56)&lt;=0,"",ROUND((SUM($O56)-SUM($P56))*SUM($N56),0))</f>
        <v>-7696</v>
      </c>
      <c r="R56" s="75" t="n">
        <f aca="false">IF(SUM($O56)&lt;=0,"",ROUND(SUM($O56)-SUM($P56)-SUM($Q56),0))</f>
        <v>7104</v>
      </c>
      <c r="S56" s="118" t="n">
        <f aca="false">_xlfn.IFNA(INDEX(Cascade!$BA:$BA,MATCH($E56,Cascade!$E:$E,0)),"")</f>
        <v>0.95</v>
      </c>
      <c r="T56" s="75" t="n">
        <f aca="false">IF(SUM($P56)&lt;=0,"",$P56)</f>
        <v>608</v>
      </c>
      <c r="U56" s="75" t="str">
        <f aca="false">IF(SUM($Q56)&lt;=0,"",ROUND($Q56*$S56,0))</f>
        <v/>
      </c>
      <c r="V56" s="73" t="n">
        <f aca="false">_xlfn.IFNA(INDEX(Cascade!$BD:$BD,MATCH($E56,Cascade!$E:$E,0)),"")</f>
        <v>8</v>
      </c>
      <c r="W56" s="118" t="n">
        <f aca="false">IF(OR(SUM($V56)&lt;=0,SUM($Q56)=0),"",SUM($Q56)/$V56)</f>
        <v>-962</v>
      </c>
      <c r="X56" s="118" t="n">
        <f aca="false">_xlfn.IFNA(INDEX(Cascade!$BL:$BL,MATCH($E56,Cascade!$E:$E,0)),"")</f>
        <v>0.5</v>
      </c>
      <c r="Y56" s="118" t="str">
        <f aca="false">_xlfn.IFNA(INDEX(Cascade!$BM:$BM,MATCH($E56,Cascade!$E:$E,0)),"")</f>
        <v/>
      </c>
      <c r="Z56" s="118" t="str">
        <f aca="false">_xlfn.IFNA(INDEX(Cascade!$BN:$BN,MATCH($E56,Cascade!$E:$E,0)),"")</f>
        <v/>
      </c>
      <c r="AA56" s="118" t="str">
        <f aca="false">_xlfn.IFNA(INDEX(Cascade!$BP:$BP,MATCH($E56,Cascade!$E:$E,0)),"")</f>
        <v/>
      </c>
      <c r="AB56" s="118" t="n">
        <f aca="false">_xlfn.IFNA(INDEX(Cascade!$BR:$BR,MATCH($E56,Cascade!$E:$E,0)),"")</f>
        <v>962.5</v>
      </c>
    </row>
    <row r="57" customFormat="false" ht="15" hidden="false" customHeight="false" outlineLevel="0" collapsed="false">
      <c r="A57" s="0" t="s">
        <v>142</v>
      </c>
      <c r="B57" s="0" t="s">
        <v>109</v>
      </c>
      <c r="C57" s="0" t="s">
        <v>86</v>
      </c>
      <c r="D57" s="0" t="s">
        <v>56</v>
      </c>
      <c r="E57" s="0" t="str">
        <f aca="false">B57&amp;"|"&amp;C57&amp;"|"&amp;D57</f>
        <v>Berea [#SNU] [#DREAMS] [wpg5evyl1OL]|50+|Female</v>
      </c>
      <c r="F57" s="73" t="n">
        <v>37</v>
      </c>
      <c r="G57" s="118" t="n">
        <f aca="false">IF(SUM($F57)&lt;=0,"",0%)</f>
        <v>0</v>
      </c>
      <c r="H57" s="75" t="n">
        <f aca="false">IF(SUM($F57)&lt;=0,"",$F57*(1+$G57))</f>
        <v>37</v>
      </c>
      <c r="I57" s="73" t="n">
        <v>20</v>
      </c>
      <c r="J57" s="118" t="n">
        <f aca="false">IF(SUM($H57)&lt;=0,"",100%)</f>
        <v>1</v>
      </c>
      <c r="K57" s="118" t="n">
        <v>31</v>
      </c>
      <c r="L57" s="118" t="n">
        <f aca="false">IF(SUM($K57)=0,"",$K57)</f>
        <v>31</v>
      </c>
      <c r="M57" s="118" t="n">
        <v>15</v>
      </c>
      <c r="N57" s="118" t="n">
        <f aca="false">IF(SUM($M57)=0,"",$M57)</f>
        <v>15</v>
      </c>
      <c r="O57" s="73" t="n">
        <f aca="false">IF(SUM($H57)&lt;=0,"",ROUND(SUM($H57)*SUM($J57),0))</f>
        <v>37</v>
      </c>
      <c r="P57" s="75" t="n">
        <f aca="false">IF(SUM($O57)&lt;=0,"",ROUND(SUM($O57)*SUM($L57),0))</f>
        <v>1147</v>
      </c>
      <c r="Q57" s="75" t="n">
        <f aca="false">IF(SUM($O57)&lt;=0,"",ROUND((SUM($O57)-SUM($P57))*SUM($N57),0))</f>
        <v>-16650</v>
      </c>
      <c r="R57" s="75" t="n">
        <f aca="false">IF(SUM($O57)&lt;=0,"",ROUND(SUM($O57)-SUM($P57)-SUM($Q57),0))</f>
        <v>15540</v>
      </c>
      <c r="S57" s="118" t="n">
        <f aca="false">_xlfn.IFNA(INDEX(Cascade!$BA:$BA,MATCH($E57,Cascade!$E:$E,0)),"")</f>
        <v>0.95</v>
      </c>
      <c r="T57" s="75" t="n">
        <f aca="false">IF(SUM($P57)&lt;=0,"",$P57)</f>
        <v>1147</v>
      </c>
      <c r="U57" s="75" t="str">
        <f aca="false">IF(SUM($Q57)&lt;=0,"",ROUND($Q57*$S57,0))</f>
        <v/>
      </c>
      <c r="V57" s="73" t="str">
        <f aca="false">_xlfn.IFNA(INDEX(Cascade!$BD:$BD,MATCH($E57,Cascade!$E:$E,0)),"")</f>
        <v/>
      </c>
      <c r="W57" s="118" t="str">
        <f aca="false">IF(OR(SUM($V57)&lt;=0,SUM($Q57)=0),"",SUM($Q57)/$V57)</f>
        <v/>
      </c>
      <c r="X57" s="118" t="str">
        <f aca="false">_xlfn.IFNA(INDEX(Cascade!$BL:$BL,MATCH($E57,Cascade!$E:$E,0)),"")</f>
        <v/>
      </c>
      <c r="Y57" s="118" t="str">
        <f aca="false">_xlfn.IFNA(INDEX(Cascade!$BM:$BM,MATCH($E57,Cascade!$E:$E,0)),"")</f>
        <v/>
      </c>
      <c r="Z57" s="118" t="str">
        <f aca="false">_xlfn.IFNA(INDEX(Cascade!$BN:$BN,MATCH($E57,Cascade!$E:$E,0)),"")</f>
        <v/>
      </c>
      <c r="AA57" s="118" t="str">
        <f aca="false">_xlfn.IFNA(INDEX(Cascade!$BP:$BP,MATCH($E57,Cascade!$E:$E,0)),"")</f>
        <v/>
      </c>
      <c r="AB57" s="118" t="str">
        <f aca="false">_xlfn.IFNA(INDEX(Cascade!$BR:$BR,MATCH($E57,Cascade!$E:$E,0)),"")</f>
        <v/>
      </c>
    </row>
    <row r="58" customFormat="false" ht="15" hidden="false" customHeight="false" outlineLevel="0" collapsed="false">
      <c r="A58" s="0" t="s">
        <v>142</v>
      </c>
      <c r="B58" s="0" t="s">
        <v>109</v>
      </c>
      <c r="C58" s="0" t="s">
        <v>86</v>
      </c>
      <c r="D58" s="0" t="s">
        <v>58</v>
      </c>
      <c r="E58" s="0" t="str">
        <f aca="false">B58&amp;"|"&amp;C58&amp;"|"&amp;D58</f>
        <v>Berea [#SNU] [#DREAMS] [wpg5evyl1OL]|50+|Male</v>
      </c>
      <c r="F58" s="73" t="n">
        <v>50</v>
      </c>
      <c r="G58" s="118" t="n">
        <f aca="false">IF(SUM($F58)&lt;=0,"",0%)</f>
        <v>0</v>
      </c>
      <c r="H58" s="75" t="n">
        <f aca="false">IF(SUM($F58)&lt;=0,"",$F58*(1+$G58))</f>
        <v>50</v>
      </c>
      <c r="I58" s="73" t="n">
        <v>4</v>
      </c>
      <c r="J58" s="118" t="n">
        <f aca="false">IF(SUM($H58)&lt;=0,"",100%)</f>
        <v>1</v>
      </c>
      <c r="K58" s="118" t="n">
        <v>44</v>
      </c>
      <c r="L58" s="118" t="n">
        <f aca="false">IF(SUM($K58)=0,"",$K58)</f>
        <v>44</v>
      </c>
      <c r="M58" s="118" t="n">
        <v>30</v>
      </c>
      <c r="N58" s="118" t="n">
        <f aca="false">IF(SUM($M58)=0,"",$M58)</f>
        <v>30</v>
      </c>
      <c r="O58" s="73" t="n">
        <f aca="false">IF(SUM($H58)&lt;=0,"",ROUND(SUM($H58)*SUM($J58),0))</f>
        <v>50</v>
      </c>
      <c r="P58" s="75" t="n">
        <f aca="false">IF(SUM($O58)&lt;=0,"",ROUND(SUM($O58)*SUM($L58),0))</f>
        <v>2200</v>
      </c>
      <c r="Q58" s="75" t="n">
        <f aca="false">IF(SUM($O58)&lt;=0,"",ROUND((SUM($O58)-SUM($P58))*SUM($N58),0))</f>
        <v>-64500</v>
      </c>
      <c r="R58" s="75" t="n">
        <f aca="false">IF(SUM($O58)&lt;=0,"",ROUND(SUM($O58)-SUM($P58)-SUM($Q58),0))</f>
        <v>62350</v>
      </c>
      <c r="S58" s="118" t="n">
        <f aca="false">_xlfn.IFNA(INDEX(Cascade!$BA:$BA,MATCH($E58,Cascade!$E:$E,0)),"")</f>
        <v>0.95</v>
      </c>
      <c r="T58" s="75" t="n">
        <f aca="false">IF(SUM($P58)&lt;=0,"",$P58)</f>
        <v>2200</v>
      </c>
      <c r="U58" s="75" t="str">
        <f aca="false">IF(SUM($Q58)&lt;=0,"",ROUND($Q58*$S58,0))</f>
        <v/>
      </c>
      <c r="V58" s="73" t="n">
        <f aca="false">_xlfn.IFNA(INDEX(Cascade!$BD:$BD,MATCH($E58,Cascade!$E:$E,0)),"")</f>
        <v>12</v>
      </c>
      <c r="W58" s="118" t="n">
        <f aca="false">IF(OR(SUM($V58)&lt;=0,SUM($Q58)=0),"",SUM($Q58)/$V58)</f>
        <v>-5375</v>
      </c>
      <c r="X58" s="118" t="n">
        <f aca="false">_xlfn.IFNA(INDEX(Cascade!$BL:$BL,MATCH($E58,Cascade!$E:$E,0)),"")</f>
        <v>0.333333333333333</v>
      </c>
      <c r="Y58" s="118" t="str">
        <f aca="false">_xlfn.IFNA(INDEX(Cascade!$BM:$BM,MATCH($E58,Cascade!$E:$E,0)),"")</f>
        <v/>
      </c>
      <c r="Z58" s="118" t="str">
        <f aca="false">_xlfn.IFNA(INDEX(Cascade!$BN:$BN,MATCH($E58,Cascade!$E:$E,0)),"")</f>
        <v/>
      </c>
      <c r="AA58" s="118" t="str">
        <f aca="false">_xlfn.IFNA(INDEX(Cascade!$BP:$BP,MATCH($E58,Cascade!$E:$E,0)),"")</f>
        <v/>
      </c>
      <c r="AB58" s="118" t="n">
        <f aca="false">_xlfn.IFNA(INDEX(Cascade!$BR:$BR,MATCH($E58,Cascade!$E:$E,0)),"")</f>
        <v>5375.66666666667</v>
      </c>
    </row>
    <row r="59" customFormat="false" ht="15" hidden="false" customHeight="false" outlineLevel="0" collapsed="false">
      <c r="A59" s="0" t="s">
        <v>143</v>
      </c>
      <c r="B59" s="0" t="s">
        <v>115</v>
      </c>
      <c r="C59" s="0" t="s">
        <v>54</v>
      </c>
      <c r="D59" s="0" t="s">
        <v>56</v>
      </c>
      <c r="E59" s="0" t="str">
        <f aca="false">B59&amp;"|"&amp;C59&amp;"|"&amp;D59</f>
        <v>Butha Buthe [#SNU] [mvPRqBFtVC0]|01-04|Female</v>
      </c>
      <c r="F59" s="73" t="n">
        <v>39</v>
      </c>
      <c r="G59" s="118" t="n">
        <f aca="false">IF(SUM($F59)&lt;=0,"",0%)</f>
        <v>0</v>
      </c>
      <c r="H59" s="75" t="n">
        <f aca="false">IF(SUM($F59)&lt;=0,"",$F59*(1+$G59))</f>
        <v>39</v>
      </c>
      <c r="I59" s="73"/>
      <c r="J59" s="118" t="n">
        <f aca="false">IF(SUM($H59)&lt;=0,"",100%)</f>
        <v>1</v>
      </c>
      <c r="K59" s="118"/>
      <c r="L59" s="118" t="str">
        <f aca="false">IF(SUM($K59)=0,"",$K59)</f>
        <v/>
      </c>
      <c r="M59" s="118"/>
      <c r="N59" s="118" t="str">
        <f aca="false">IF(SUM($M59)=0,"",$M59)</f>
        <v/>
      </c>
      <c r="O59" s="73" t="n">
        <f aca="false">IF(SUM($H59)&lt;=0,"",ROUND(SUM($H59)*SUM($J59),0))</f>
        <v>39</v>
      </c>
      <c r="P59" s="75" t="n">
        <f aca="false">IF(SUM($O59)&lt;=0,"",ROUND(SUM($O59)*SUM($L59),0))</f>
        <v>0</v>
      </c>
      <c r="Q59" s="75" t="n">
        <f aca="false">IF(SUM($O59)&lt;=0,"",ROUND((SUM($O59)-SUM($P59))*SUM($N59),0))</f>
        <v>0</v>
      </c>
      <c r="R59" s="75" t="n">
        <f aca="false">IF(SUM($O59)&lt;=0,"",ROUND(SUM($O59)-SUM($P59)-SUM($Q59),0))</f>
        <v>39</v>
      </c>
      <c r="S59" s="118" t="n">
        <f aca="false">_xlfn.IFNA(INDEX(Cascade!$BA:$BA,MATCH($E59,Cascade!$E:$E,0)),"")</f>
        <v>0.95</v>
      </c>
      <c r="T59" s="75" t="str">
        <f aca="false">IF(SUM($P59)&lt;=0,"",$P59)</f>
        <v/>
      </c>
      <c r="U59" s="75" t="str">
        <f aca="false">IF(SUM($Q59)&lt;=0,"",ROUND($Q59*$S59,0))</f>
        <v/>
      </c>
      <c r="V59" s="73" t="n">
        <f aca="false">_xlfn.IFNA(INDEX(Cascade!$BD:$BD,MATCH($E59,Cascade!$E:$E,0)),"")</f>
        <v>1</v>
      </c>
      <c r="W59" s="118" t="str">
        <f aca="false">IF(OR(SUM($V59)&lt;=0,SUM($Q59)=0),"",SUM($Q59)/$V59)</f>
        <v/>
      </c>
      <c r="X59" s="118" t="n">
        <f aca="false">_xlfn.IFNA(INDEX(Cascade!$BL:$BL,MATCH($E59,Cascade!$E:$E,0)),"")</f>
        <v>1</v>
      </c>
      <c r="Y59" s="118" t="str">
        <f aca="false">_xlfn.IFNA(INDEX(Cascade!$BM:$BM,MATCH($E59,Cascade!$E:$E,0)),"")</f>
        <v/>
      </c>
      <c r="Z59" s="118" t="str">
        <f aca="false">_xlfn.IFNA(INDEX(Cascade!$BN:$BN,MATCH($E59,Cascade!$E:$E,0)),"")</f>
        <v/>
      </c>
      <c r="AA59" s="118" t="str">
        <f aca="false">_xlfn.IFNA(INDEX(Cascade!$BP:$BP,MATCH($E59,Cascade!$E:$E,0)),"")</f>
        <v/>
      </c>
      <c r="AB59" s="118" t="str">
        <f aca="false">_xlfn.IFNA(INDEX(Cascade!$BR:$BR,MATCH($E59,Cascade!$E:$E,0)),"")</f>
        <v/>
      </c>
    </row>
    <row r="60" customFormat="false" ht="15" hidden="false" customHeight="false" outlineLevel="0" collapsed="false">
      <c r="A60" s="0" t="s">
        <v>143</v>
      </c>
      <c r="B60" s="0" t="s">
        <v>115</v>
      </c>
      <c r="C60" s="0" t="s">
        <v>54</v>
      </c>
      <c r="D60" s="0" t="s">
        <v>58</v>
      </c>
      <c r="E60" s="0" t="str">
        <f aca="false">B60&amp;"|"&amp;C60&amp;"|"&amp;D60</f>
        <v>Butha Buthe [#SNU] [mvPRqBFtVC0]|01-04|Male</v>
      </c>
      <c r="F60" s="73" t="n">
        <v>41</v>
      </c>
      <c r="G60" s="118" t="n">
        <f aca="false">IF(SUM($F60)&lt;=0,"",0%)</f>
        <v>0</v>
      </c>
      <c r="H60" s="75" t="n">
        <f aca="false">IF(SUM($F60)&lt;=0,"",$F60*(1+$G60))</f>
        <v>41</v>
      </c>
      <c r="I60" s="73"/>
      <c r="J60" s="118" t="n">
        <f aca="false">IF(SUM($H60)&lt;=0,"",100%)</f>
        <v>1</v>
      </c>
      <c r="K60" s="118"/>
      <c r="L60" s="118" t="str">
        <f aca="false">IF(SUM($K60)=0,"",$K60)</f>
        <v/>
      </c>
      <c r="M60" s="118"/>
      <c r="N60" s="118" t="str">
        <f aca="false">IF(SUM($M60)=0,"",$M60)</f>
        <v/>
      </c>
      <c r="O60" s="73" t="n">
        <f aca="false">IF(SUM($H60)&lt;=0,"",ROUND(SUM($H60)*SUM($J60),0))</f>
        <v>41</v>
      </c>
      <c r="P60" s="75" t="n">
        <f aca="false">IF(SUM($O60)&lt;=0,"",ROUND(SUM($O60)*SUM($L60),0))</f>
        <v>0</v>
      </c>
      <c r="Q60" s="75" t="n">
        <f aca="false">IF(SUM($O60)&lt;=0,"",ROUND((SUM($O60)-SUM($P60))*SUM($N60),0))</f>
        <v>0</v>
      </c>
      <c r="R60" s="75" t="n">
        <f aca="false">IF(SUM($O60)&lt;=0,"",ROUND(SUM($O60)-SUM($P60)-SUM($Q60),0))</f>
        <v>41</v>
      </c>
      <c r="S60" s="118" t="n">
        <f aca="false">_xlfn.IFNA(INDEX(Cascade!$BA:$BA,MATCH($E60,Cascade!$E:$E,0)),"")</f>
        <v>0.95</v>
      </c>
      <c r="T60" s="75" t="str">
        <f aca="false">IF(SUM($P60)&lt;=0,"",$P60)</f>
        <v/>
      </c>
      <c r="U60" s="75" t="str">
        <f aca="false">IF(SUM($Q60)&lt;=0,"",ROUND($Q60*$S60,0))</f>
        <v/>
      </c>
      <c r="V60" s="73" t="n">
        <f aca="false">_xlfn.IFNA(INDEX(Cascade!$BD:$BD,MATCH($E60,Cascade!$E:$E,0)),"")</f>
        <v>1</v>
      </c>
      <c r="W60" s="118" t="str">
        <f aca="false">IF(OR(SUM($V60)&lt;=0,SUM($Q60)=0),"",SUM($Q60)/$V60)</f>
        <v/>
      </c>
      <c r="X60" s="118" t="n">
        <f aca="false">_xlfn.IFNA(INDEX(Cascade!$BL:$BL,MATCH($E60,Cascade!$E:$E,0)),"")</f>
        <v>1</v>
      </c>
      <c r="Y60" s="118" t="str">
        <f aca="false">_xlfn.IFNA(INDEX(Cascade!$BM:$BM,MATCH($E60,Cascade!$E:$E,0)),"")</f>
        <v/>
      </c>
      <c r="Z60" s="118" t="str">
        <f aca="false">_xlfn.IFNA(INDEX(Cascade!$BN:$BN,MATCH($E60,Cascade!$E:$E,0)),"")</f>
        <v/>
      </c>
      <c r="AA60" s="118" t="str">
        <f aca="false">_xlfn.IFNA(INDEX(Cascade!$BP:$BP,MATCH($E60,Cascade!$E:$E,0)),"")</f>
        <v/>
      </c>
      <c r="AB60" s="118" t="str">
        <f aca="false">_xlfn.IFNA(INDEX(Cascade!$BR:$BR,MATCH($E60,Cascade!$E:$E,0)),"")</f>
        <v/>
      </c>
    </row>
    <row r="61" customFormat="false" ht="15" hidden="false" customHeight="false" outlineLevel="0" collapsed="false">
      <c r="A61" s="0" t="s">
        <v>143</v>
      </c>
      <c r="B61" s="0" t="s">
        <v>115</v>
      </c>
      <c r="C61" s="0" t="s">
        <v>83</v>
      </c>
      <c r="D61" s="0" t="s">
        <v>56</v>
      </c>
      <c r="E61" s="0" t="str">
        <f aca="false">B61&amp;"|"&amp;C61&amp;"|"&amp;D61</f>
        <v>Butha Buthe [#SNU] [mvPRqBFtVC0]|05-09|Female</v>
      </c>
      <c r="F61" s="73" t="n">
        <v>42</v>
      </c>
      <c r="G61" s="118" t="n">
        <f aca="false">IF(SUM($F61)&lt;=0,"",0%)</f>
        <v>0</v>
      </c>
      <c r="H61" s="75" t="n">
        <f aca="false">IF(SUM($F61)&lt;=0,"",$F61*(1+$G61))</f>
        <v>42</v>
      </c>
      <c r="I61" s="73"/>
      <c r="J61" s="118" t="n">
        <f aca="false">IF(SUM($H61)&lt;=0,"",100%)</f>
        <v>1</v>
      </c>
      <c r="K61" s="118"/>
      <c r="L61" s="118" t="str">
        <f aca="false">IF(SUM($K61)=0,"",$K61)</f>
        <v/>
      </c>
      <c r="M61" s="118"/>
      <c r="N61" s="118" t="str">
        <f aca="false">IF(SUM($M61)=0,"",$M61)</f>
        <v/>
      </c>
      <c r="O61" s="73" t="n">
        <f aca="false">IF(SUM($H61)&lt;=0,"",ROUND(SUM($H61)*SUM($J61),0))</f>
        <v>42</v>
      </c>
      <c r="P61" s="75" t="n">
        <f aca="false">IF(SUM($O61)&lt;=0,"",ROUND(SUM($O61)*SUM($L61),0))</f>
        <v>0</v>
      </c>
      <c r="Q61" s="75" t="n">
        <f aca="false">IF(SUM($O61)&lt;=0,"",ROUND((SUM($O61)-SUM($P61))*SUM($N61),0))</f>
        <v>0</v>
      </c>
      <c r="R61" s="75" t="n">
        <f aca="false">IF(SUM($O61)&lt;=0,"",ROUND(SUM($O61)-SUM($P61)-SUM($Q61),0))</f>
        <v>42</v>
      </c>
      <c r="S61" s="118" t="n">
        <f aca="false">_xlfn.IFNA(INDEX(Cascade!$BA:$BA,MATCH($E61,Cascade!$E:$E,0)),"")</f>
        <v>0.95</v>
      </c>
      <c r="T61" s="75" t="str">
        <f aca="false">IF(SUM($P61)&lt;=0,"",$P61)</f>
        <v/>
      </c>
      <c r="U61" s="75" t="str">
        <f aca="false">IF(SUM($Q61)&lt;=0,"",ROUND($Q61*$S61,0))</f>
        <v/>
      </c>
      <c r="V61" s="73" t="n">
        <f aca="false">_xlfn.IFNA(INDEX(Cascade!$BD:$BD,MATCH($E61,Cascade!$E:$E,0)),"")</f>
        <v>13</v>
      </c>
      <c r="W61" s="118" t="str">
        <f aca="false">IF(OR(SUM($V61)&lt;=0,SUM($Q61)=0),"",SUM($Q61)/$V61)</f>
        <v/>
      </c>
      <c r="X61" s="118" t="n">
        <f aca="false">_xlfn.IFNA(INDEX(Cascade!$BL:$BL,MATCH($E61,Cascade!$E:$E,0)),"")</f>
        <v>0.307692307692308</v>
      </c>
      <c r="Y61" s="118" t="str">
        <f aca="false">_xlfn.IFNA(INDEX(Cascade!$BM:$BM,MATCH($E61,Cascade!$E:$E,0)),"")</f>
        <v/>
      </c>
      <c r="Z61" s="118" t="str">
        <f aca="false">_xlfn.IFNA(INDEX(Cascade!$BN:$BN,MATCH($E61,Cascade!$E:$E,0)),"")</f>
        <v/>
      </c>
      <c r="AA61" s="118" t="str">
        <f aca="false">_xlfn.IFNA(INDEX(Cascade!$BP:$BP,MATCH($E61,Cascade!$E:$E,0)),"")</f>
        <v/>
      </c>
      <c r="AB61" s="118" t="n">
        <f aca="false">_xlfn.IFNA(INDEX(Cascade!$BR:$BR,MATCH($E61,Cascade!$E:$E,0)),"")</f>
        <v>0.692307692307692</v>
      </c>
    </row>
    <row r="62" customFormat="false" ht="15" hidden="false" customHeight="false" outlineLevel="0" collapsed="false">
      <c r="A62" s="0" t="s">
        <v>143</v>
      </c>
      <c r="B62" s="0" t="s">
        <v>115</v>
      </c>
      <c r="C62" s="0" t="s">
        <v>83</v>
      </c>
      <c r="D62" s="0" t="s">
        <v>58</v>
      </c>
      <c r="E62" s="0" t="str">
        <f aca="false">B62&amp;"|"&amp;C62&amp;"|"&amp;D62</f>
        <v>Butha Buthe [#SNU] [mvPRqBFtVC0]|05-09|Male</v>
      </c>
      <c r="F62" s="73" t="n">
        <v>49</v>
      </c>
      <c r="G62" s="118" t="n">
        <f aca="false">IF(SUM($F62)&lt;=0,"",0%)</f>
        <v>0</v>
      </c>
      <c r="H62" s="75" t="n">
        <f aca="false">IF(SUM($F62)&lt;=0,"",$F62*(1+$G62))</f>
        <v>49</v>
      </c>
      <c r="I62" s="73" t="n">
        <v>16</v>
      </c>
      <c r="J62" s="118" t="n">
        <f aca="false">IF(SUM($H62)&lt;=0,"",100%)</f>
        <v>1</v>
      </c>
      <c r="K62" s="118"/>
      <c r="L62" s="118" t="str">
        <f aca="false">IF(SUM($K62)=0,"",$K62)</f>
        <v/>
      </c>
      <c r="M62" s="118"/>
      <c r="N62" s="118" t="str">
        <f aca="false">IF(SUM($M62)=0,"",$M62)</f>
        <v/>
      </c>
      <c r="O62" s="73" t="n">
        <f aca="false">IF(SUM($H62)&lt;=0,"",ROUND(SUM($H62)*SUM($J62),0))</f>
        <v>49</v>
      </c>
      <c r="P62" s="75" t="n">
        <f aca="false">IF(SUM($O62)&lt;=0,"",ROUND(SUM($O62)*SUM($L62),0))</f>
        <v>0</v>
      </c>
      <c r="Q62" s="75" t="n">
        <f aca="false">IF(SUM($O62)&lt;=0,"",ROUND((SUM($O62)-SUM($P62))*SUM($N62),0))</f>
        <v>0</v>
      </c>
      <c r="R62" s="75" t="n">
        <f aca="false">IF(SUM($O62)&lt;=0,"",ROUND(SUM($O62)-SUM($P62)-SUM($Q62),0))</f>
        <v>49</v>
      </c>
      <c r="S62" s="118" t="n">
        <f aca="false">_xlfn.IFNA(INDEX(Cascade!$BA:$BA,MATCH($E62,Cascade!$E:$E,0)),"")</f>
        <v>0.95</v>
      </c>
      <c r="T62" s="75" t="str">
        <f aca="false">IF(SUM($P62)&lt;=0,"",$P62)</f>
        <v/>
      </c>
      <c r="U62" s="75" t="str">
        <f aca="false">IF(SUM($Q62)&lt;=0,"",ROUND($Q62*$S62,0))</f>
        <v/>
      </c>
      <c r="V62" s="73" t="n">
        <f aca="false">_xlfn.IFNA(INDEX(Cascade!$BD:$BD,MATCH($E62,Cascade!$E:$E,0)),"")</f>
        <v>6</v>
      </c>
      <c r="W62" s="118" t="str">
        <f aca="false">IF(OR(SUM($V62)&lt;=0,SUM($Q62)=0),"",SUM($Q62)/$V62)</f>
        <v/>
      </c>
      <c r="X62" s="118" t="n">
        <f aca="false">_xlfn.IFNA(INDEX(Cascade!$BL:$BL,MATCH($E62,Cascade!$E:$E,0)),"")</f>
        <v>0.333333333333333</v>
      </c>
      <c r="Y62" s="118" t="str">
        <f aca="false">_xlfn.IFNA(INDEX(Cascade!$BM:$BM,MATCH($E62,Cascade!$E:$E,0)),"")</f>
        <v/>
      </c>
      <c r="Z62" s="118" t="str">
        <f aca="false">_xlfn.IFNA(INDEX(Cascade!$BN:$BN,MATCH($E62,Cascade!$E:$E,0)),"")</f>
        <v/>
      </c>
      <c r="AA62" s="118" t="str">
        <f aca="false">_xlfn.IFNA(INDEX(Cascade!$BP:$BP,MATCH($E62,Cascade!$E:$E,0)),"")</f>
        <v/>
      </c>
      <c r="AB62" s="118" t="n">
        <f aca="false">_xlfn.IFNA(INDEX(Cascade!$BR:$BR,MATCH($E62,Cascade!$E:$E,0)),"")</f>
        <v>0.666666666666667</v>
      </c>
    </row>
    <row r="63" customFormat="false" ht="15" hidden="false" customHeight="false" outlineLevel="0" collapsed="false">
      <c r="A63" s="0" t="s">
        <v>143</v>
      </c>
      <c r="B63" s="0" t="s">
        <v>115</v>
      </c>
      <c r="C63" s="0" t="s">
        <v>61</v>
      </c>
      <c r="D63" s="0" t="s">
        <v>56</v>
      </c>
      <c r="E63" s="0" t="str">
        <f aca="false">B63&amp;"|"&amp;C63&amp;"|"&amp;D63</f>
        <v>Butha Buthe [#SNU] [mvPRqBFtVC0]|10-14|Female</v>
      </c>
      <c r="F63" s="73" t="n">
        <v>2</v>
      </c>
      <c r="G63" s="118" t="n">
        <f aca="false">IF(SUM($F63)&lt;=0,"",0%)</f>
        <v>0</v>
      </c>
      <c r="H63" s="75" t="n">
        <f aca="false">IF(SUM($F63)&lt;=0,"",$F63*(1+$G63))</f>
        <v>2</v>
      </c>
      <c r="I63" s="73"/>
      <c r="J63" s="118" t="n">
        <f aca="false">IF(SUM($H63)&lt;=0,"",100%)</f>
        <v>1</v>
      </c>
      <c r="K63" s="118"/>
      <c r="L63" s="118" t="str">
        <f aca="false">IF(SUM($K63)=0,"",$K63)</f>
        <v/>
      </c>
      <c r="M63" s="118"/>
      <c r="N63" s="118" t="str">
        <f aca="false">IF(SUM($M63)=0,"",$M63)</f>
        <v/>
      </c>
      <c r="O63" s="73" t="n">
        <f aca="false">IF(SUM($H63)&lt;=0,"",ROUND(SUM($H63)*SUM($J63),0))</f>
        <v>2</v>
      </c>
      <c r="P63" s="75" t="n">
        <f aca="false">IF(SUM($O63)&lt;=0,"",ROUND(SUM($O63)*SUM($L63),0))</f>
        <v>0</v>
      </c>
      <c r="Q63" s="75" t="n">
        <f aca="false">IF(SUM($O63)&lt;=0,"",ROUND((SUM($O63)-SUM($P63))*SUM($N63),0))</f>
        <v>0</v>
      </c>
      <c r="R63" s="75" t="n">
        <f aca="false">IF(SUM($O63)&lt;=0,"",ROUND(SUM($O63)-SUM($P63)-SUM($Q63),0))</f>
        <v>2</v>
      </c>
      <c r="S63" s="118" t="n">
        <f aca="false">_xlfn.IFNA(INDEX(Cascade!$BA:$BA,MATCH($E63,Cascade!$E:$E,0)),"")</f>
        <v>0.95</v>
      </c>
      <c r="T63" s="75" t="str">
        <f aca="false">IF(SUM($P63)&lt;=0,"",$P63)</f>
        <v/>
      </c>
      <c r="U63" s="75" t="str">
        <f aca="false">IF(SUM($Q63)&lt;=0,"",ROUND($Q63*$S63,0))</f>
        <v/>
      </c>
      <c r="V63" s="73" t="n">
        <f aca="false">_xlfn.IFNA(INDEX(Cascade!$BD:$BD,MATCH($E63,Cascade!$E:$E,0)),"")</f>
        <v>3</v>
      </c>
      <c r="W63" s="118" t="str">
        <f aca="false">IF(OR(SUM($V63)&lt;=0,SUM($Q63)=0),"",SUM($Q63)/$V63)</f>
        <v/>
      </c>
      <c r="X63" s="118" t="n">
        <f aca="false">_xlfn.IFNA(INDEX(Cascade!$BL:$BL,MATCH($E63,Cascade!$E:$E,0)),"")</f>
        <v>0.666666666666667</v>
      </c>
      <c r="Y63" s="118" t="str">
        <f aca="false">_xlfn.IFNA(INDEX(Cascade!$BM:$BM,MATCH($E63,Cascade!$E:$E,0)),"")</f>
        <v/>
      </c>
      <c r="Z63" s="118" t="str">
        <f aca="false">_xlfn.IFNA(INDEX(Cascade!$BN:$BN,MATCH($E63,Cascade!$E:$E,0)),"")</f>
        <v/>
      </c>
      <c r="AA63" s="118" t="str">
        <f aca="false">_xlfn.IFNA(INDEX(Cascade!$BP:$BP,MATCH($E63,Cascade!$E:$E,0)),"")</f>
        <v/>
      </c>
      <c r="AB63" s="118" t="n">
        <f aca="false">_xlfn.IFNA(INDEX(Cascade!$BR:$BR,MATCH($E63,Cascade!$E:$E,0)),"")</f>
        <v>0.333333333333333</v>
      </c>
    </row>
    <row r="64" customFormat="false" ht="15" hidden="false" customHeight="false" outlineLevel="0" collapsed="false">
      <c r="A64" s="0" t="s">
        <v>143</v>
      </c>
      <c r="B64" s="0" t="s">
        <v>115</v>
      </c>
      <c r="C64" s="0" t="s">
        <v>61</v>
      </c>
      <c r="D64" s="0" t="s">
        <v>58</v>
      </c>
      <c r="E64" s="0" t="str">
        <f aca="false">B64&amp;"|"&amp;C64&amp;"|"&amp;D64</f>
        <v>Butha Buthe [#SNU] [mvPRqBFtVC0]|10-14|Male</v>
      </c>
      <c r="F64" s="73" t="n">
        <v>7</v>
      </c>
      <c r="G64" s="118" t="n">
        <f aca="false">IF(SUM($F64)&lt;=0,"",0%)</f>
        <v>0</v>
      </c>
      <c r="H64" s="75" t="n">
        <f aca="false">IF(SUM($F64)&lt;=0,"",$F64*(1+$G64))</f>
        <v>7</v>
      </c>
      <c r="I64" s="73"/>
      <c r="J64" s="118" t="n">
        <f aca="false">IF(SUM($H64)&lt;=0,"",100%)</f>
        <v>1</v>
      </c>
      <c r="K64" s="118" t="n">
        <v>31</v>
      </c>
      <c r="L64" s="118" t="n">
        <f aca="false">IF(SUM($K64)=0,"",$K64)</f>
        <v>31</v>
      </c>
      <c r="M64" s="118"/>
      <c r="N64" s="118" t="str">
        <f aca="false">IF(SUM($M64)=0,"",$M64)</f>
        <v/>
      </c>
      <c r="O64" s="73" t="n">
        <f aca="false">IF(SUM($H64)&lt;=0,"",ROUND(SUM($H64)*SUM($J64),0))</f>
        <v>7</v>
      </c>
      <c r="P64" s="75" t="n">
        <f aca="false">IF(SUM($O64)&lt;=0,"",ROUND(SUM($O64)*SUM($L64),0))</f>
        <v>217</v>
      </c>
      <c r="Q64" s="75" t="n">
        <f aca="false">IF(SUM($O64)&lt;=0,"",ROUND((SUM($O64)-SUM($P64))*SUM($N64),0))</f>
        <v>-0</v>
      </c>
      <c r="R64" s="75" t="n">
        <f aca="false">IF(SUM($O64)&lt;=0,"",ROUND(SUM($O64)-SUM($P64)-SUM($Q64),0))</f>
        <v>-210</v>
      </c>
      <c r="S64" s="118" t="n">
        <f aca="false">_xlfn.IFNA(INDEX(Cascade!$BA:$BA,MATCH($E64,Cascade!$E:$E,0)),"")</f>
        <v>0.95</v>
      </c>
      <c r="T64" s="75" t="n">
        <f aca="false">IF(SUM($P64)&lt;=0,"",$P64)</f>
        <v>217</v>
      </c>
      <c r="U64" s="75" t="str">
        <f aca="false">IF(SUM($Q64)&lt;=0,"",ROUND($Q64*$S64,0))</f>
        <v/>
      </c>
      <c r="V64" s="73" t="str">
        <f aca="false">_xlfn.IFNA(INDEX(Cascade!$BD:$BD,MATCH($E64,Cascade!$E:$E,0)),"")</f>
        <v/>
      </c>
      <c r="W64" s="118" t="str">
        <f aca="false">IF(OR(SUM($V64)&lt;=0,SUM($Q64)=0),"",SUM($Q64)/$V64)</f>
        <v/>
      </c>
      <c r="X64" s="118" t="str">
        <f aca="false">_xlfn.IFNA(INDEX(Cascade!$BL:$BL,MATCH($E64,Cascade!$E:$E,0)),"")</f>
        <v/>
      </c>
      <c r="Y64" s="118" t="str">
        <f aca="false">_xlfn.IFNA(INDEX(Cascade!$BM:$BM,MATCH($E64,Cascade!$E:$E,0)),"")</f>
        <v/>
      </c>
      <c r="Z64" s="118" t="str">
        <f aca="false">_xlfn.IFNA(INDEX(Cascade!$BN:$BN,MATCH($E64,Cascade!$E:$E,0)),"")</f>
        <v/>
      </c>
      <c r="AA64" s="118" t="str">
        <f aca="false">_xlfn.IFNA(INDEX(Cascade!$BP:$BP,MATCH($E64,Cascade!$E:$E,0)),"")</f>
        <v/>
      </c>
      <c r="AB64" s="118" t="str">
        <f aca="false">_xlfn.IFNA(INDEX(Cascade!$BR:$BR,MATCH($E64,Cascade!$E:$E,0)),"")</f>
        <v/>
      </c>
    </row>
    <row r="65" customFormat="false" ht="15" hidden="false" customHeight="false" outlineLevel="0" collapsed="false">
      <c r="A65" s="0" t="s">
        <v>143</v>
      </c>
      <c r="B65" s="0" t="s">
        <v>115</v>
      </c>
      <c r="C65" s="0" t="s">
        <v>63</v>
      </c>
      <c r="D65" s="0" t="s">
        <v>56</v>
      </c>
      <c r="E65" s="0" t="str">
        <f aca="false">B65&amp;"|"&amp;C65&amp;"|"&amp;D65</f>
        <v>Butha Buthe [#SNU] [mvPRqBFtVC0]|15-19|Female</v>
      </c>
      <c r="F65" s="73" t="n">
        <v>48</v>
      </c>
      <c r="G65" s="118" t="n">
        <f aca="false">IF(SUM($F65)&lt;=0,"",0%)</f>
        <v>0</v>
      </c>
      <c r="H65" s="75" t="n">
        <f aca="false">IF(SUM($F65)&lt;=0,"",$F65*(1+$G65))</f>
        <v>48</v>
      </c>
      <c r="I65" s="73"/>
      <c r="J65" s="118" t="n">
        <f aca="false">IF(SUM($H65)&lt;=0,"",100%)</f>
        <v>1</v>
      </c>
      <c r="K65" s="118"/>
      <c r="L65" s="118" t="str">
        <f aca="false">IF(SUM($K65)=0,"",$K65)</f>
        <v/>
      </c>
      <c r="M65" s="118"/>
      <c r="N65" s="118" t="str">
        <f aca="false">IF(SUM($M65)=0,"",$M65)</f>
        <v/>
      </c>
      <c r="O65" s="73" t="n">
        <f aca="false">IF(SUM($H65)&lt;=0,"",ROUND(SUM($H65)*SUM($J65),0))</f>
        <v>48</v>
      </c>
      <c r="P65" s="75" t="n">
        <f aca="false">IF(SUM($O65)&lt;=0,"",ROUND(SUM($O65)*SUM($L65),0))</f>
        <v>0</v>
      </c>
      <c r="Q65" s="75" t="n">
        <f aca="false">IF(SUM($O65)&lt;=0,"",ROUND((SUM($O65)-SUM($P65))*SUM($N65),0))</f>
        <v>0</v>
      </c>
      <c r="R65" s="75" t="n">
        <f aca="false">IF(SUM($O65)&lt;=0,"",ROUND(SUM($O65)-SUM($P65)-SUM($Q65),0))</f>
        <v>48</v>
      </c>
      <c r="S65" s="118" t="n">
        <f aca="false">_xlfn.IFNA(INDEX(Cascade!$BA:$BA,MATCH($E65,Cascade!$E:$E,0)),"")</f>
        <v>0.95</v>
      </c>
      <c r="T65" s="75" t="str">
        <f aca="false">IF(SUM($P65)&lt;=0,"",$P65)</f>
        <v/>
      </c>
      <c r="U65" s="75" t="str">
        <f aca="false">IF(SUM($Q65)&lt;=0,"",ROUND($Q65*$S65,0))</f>
        <v/>
      </c>
      <c r="V65" s="73" t="n">
        <f aca="false">_xlfn.IFNA(INDEX(Cascade!$BD:$BD,MATCH($E65,Cascade!$E:$E,0)),"")</f>
        <v>6</v>
      </c>
      <c r="W65" s="118" t="str">
        <f aca="false">IF(OR(SUM($V65)&lt;=0,SUM($Q65)=0),"",SUM($Q65)/$V65)</f>
        <v/>
      </c>
      <c r="X65" s="118" t="n">
        <f aca="false">_xlfn.IFNA(INDEX(Cascade!$BL:$BL,MATCH($E65,Cascade!$E:$E,0)),"")</f>
        <v>0.5</v>
      </c>
      <c r="Y65" s="118" t="n">
        <f aca="false">_xlfn.IFNA(INDEX(Cascade!$BM:$BM,MATCH($E65,Cascade!$E:$E,0)),"")</f>
        <v>-493.5</v>
      </c>
      <c r="Z65" s="118" t="str">
        <f aca="false">_xlfn.IFNA(INDEX(Cascade!$BN:$BN,MATCH($E65,Cascade!$E:$E,0)),"")</f>
        <v/>
      </c>
      <c r="AA65" s="118" t="str">
        <f aca="false">_xlfn.IFNA(INDEX(Cascade!$BP:$BP,MATCH($E65,Cascade!$E:$E,0)),"")</f>
        <v/>
      </c>
      <c r="AB65" s="118" t="n">
        <f aca="false">_xlfn.IFNA(INDEX(Cascade!$BR:$BR,MATCH($E65,Cascade!$E:$E,0)),"")</f>
        <v>494</v>
      </c>
    </row>
    <row r="66" customFormat="false" ht="15" hidden="false" customHeight="false" outlineLevel="0" collapsed="false">
      <c r="A66" s="0" t="s">
        <v>143</v>
      </c>
      <c r="B66" s="0" t="s">
        <v>115</v>
      </c>
      <c r="C66" s="0" t="s">
        <v>63</v>
      </c>
      <c r="D66" s="0" t="s">
        <v>58</v>
      </c>
      <c r="E66" s="0" t="str">
        <f aca="false">B66&amp;"|"&amp;C66&amp;"|"&amp;D66</f>
        <v>Butha Buthe [#SNU] [mvPRqBFtVC0]|15-19|Male</v>
      </c>
      <c r="F66" s="73" t="n">
        <v>39</v>
      </c>
      <c r="G66" s="118" t="n">
        <f aca="false">IF(SUM($F66)&lt;=0,"",0%)</f>
        <v>0</v>
      </c>
      <c r="H66" s="75" t="n">
        <f aca="false">IF(SUM($F66)&lt;=0,"",$F66*(1+$G66))</f>
        <v>39</v>
      </c>
      <c r="I66" s="73"/>
      <c r="J66" s="118" t="n">
        <f aca="false">IF(SUM($H66)&lt;=0,"",100%)</f>
        <v>1</v>
      </c>
      <c r="K66" s="118"/>
      <c r="L66" s="118" t="str">
        <f aca="false">IF(SUM($K66)=0,"",$K66)</f>
        <v/>
      </c>
      <c r="M66" s="118"/>
      <c r="N66" s="118" t="str">
        <f aca="false">IF(SUM($M66)=0,"",$M66)</f>
        <v/>
      </c>
      <c r="O66" s="73" t="n">
        <f aca="false">IF(SUM($H66)&lt;=0,"",ROUND(SUM($H66)*SUM($J66),0))</f>
        <v>39</v>
      </c>
      <c r="P66" s="75" t="n">
        <f aca="false">IF(SUM($O66)&lt;=0,"",ROUND(SUM($O66)*SUM($L66),0))</f>
        <v>0</v>
      </c>
      <c r="Q66" s="75" t="n">
        <f aca="false">IF(SUM($O66)&lt;=0,"",ROUND((SUM($O66)-SUM($P66))*SUM($N66),0))</f>
        <v>0</v>
      </c>
      <c r="R66" s="75" t="n">
        <f aca="false">IF(SUM($O66)&lt;=0,"",ROUND(SUM($O66)-SUM($P66)-SUM($Q66),0))</f>
        <v>39</v>
      </c>
      <c r="S66" s="118" t="n">
        <f aca="false">_xlfn.IFNA(INDEX(Cascade!$BA:$BA,MATCH($E66,Cascade!$E:$E,0)),"")</f>
        <v>0.95</v>
      </c>
      <c r="T66" s="75" t="str">
        <f aca="false">IF(SUM($P66)&lt;=0,"",$P66)</f>
        <v/>
      </c>
      <c r="U66" s="75" t="str">
        <f aca="false">IF(SUM($Q66)&lt;=0,"",ROUND($Q66*$S66,0))</f>
        <v/>
      </c>
      <c r="V66" s="73" t="n">
        <f aca="false">_xlfn.IFNA(INDEX(Cascade!$BD:$BD,MATCH($E66,Cascade!$E:$E,0)),"")</f>
        <v>1</v>
      </c>
      <c r="W66" s="118" t="str">
        <f aca="false">IF(OR(SUM($V66)&lt;=0,SUM($Q66)=0),"",SUM($Q66)/$V66)</f>
        <v/>
      </c>
      <c r="X66" s="118" t="n">
        <f aca="false">_xlfn.IFNA(INDEX(Cascade!$BL:$BL,MATCH($E66,Cascade!$E:$E,0)),"")</f>
        <v>1</v>
      </c>
      <c r="Y66" s="118" t="str">
        <f aca="false">_xlfn.IFNA(INDEX(Cascade!$BM:$BM,MATCH($E66,Cascade!$E:$E,0)),"")</f>
        <v/>
      </c>
      <c r="Z66" s="118" t="str">
        <f aca="false">_xlfn.IFNA(INDEX(Cascade!$BN:$BN,MATCH($E66,Cascade!$E:$E,0)),"")</f>
        <v/>
      </c>
      <c r="AA66" s="118" t="str">
        <f aca="false">_xlfn.IFNA(INDEX(Cascade!$BP:$BP,MATCH($E66,Cascade!$E:$E,0)),"")</f>
        <v/>
      </c>
      <c r="AB66" s="118" t="str">
        <f aca="false">_xlfn.IFNA(INDEX(Cascade!$BR:$BR,MATCH($E66,Cascade!$E:$E,0)),"")</f>
        <v/>
      </c>
    </row>
    <row r="67" customFormat="false" ht="15" hidden="false" customHeight="false" outlineLevel="0" collapsed="false">
      <c r="A67" s="0" t="s">
        <v>143</v>
      </c>
      <c r="B67" s="0" t="s">
        <v>115</v>
      </c>
      <c r="C67" s="0" t="s">
        <v>66</v>
      </c>
      <c r="D67" s="0" t="s">
        <v>56</v>
      </c>
      <c r="E67" s="0" t="str">
        <f aca="false">B67&amp;"|"&amp;C67&amp;"|"&amp;D67</f>
        <v>Butha Buthe [#SNU] [mvPRqBFtVC0]|20-24|Female</v>
      </c>
      <c r="F67" s="73" t="n">
        <v>4</v>
      </c>
      <c r="G67" s="118" t="n">
        <f aca="false">IF(SUM($F67)&lt;=0,"",0%)</f>
        <v>0</v>
      </c>
      <c r="H67" s="75" t="n">
        <f aca="false">IF(SUM($F67)&lt;=0,"",$F67*(1+$G67))</f>
        <v>4</v>
      </c>
      <c r="I67" s="73" t="n">
        <v>41</v>
      </c>
      <c r="J67" s="118" t="n">
        <f aca="false">IF(SUM($H67)&lt;=0,"",100%)</f>
        <v>1</v>
      </c>
      <c r="K67" s="118"/>
      <c r="L67" s="118" t="str">
        <f aca="false">IF(SUM($K67)=0,"",$K67)</f>
        <v/>
      </c>
      <c r="M67" s="118" t="n">
        <v>29</v>
      </c>
      <c r="N67" s="118" t="n">
        <f aca="false">IF(SUM($M67)=0,"",$M67)</f>
        <v>29</v>
      </c>
      <c r="O67" s="73" t="n">
        <f aca="false">IF(SUM($H67)&lt;=0,"",ROUND(SUM($H67)*SUM($J67),0))</f>
        <v>4</v>
      </c>
      <c r="P67" s="75" t="n">
        <f aca="false">IF(SUM($O67)&lt;=0,"",ROUND(SUM($O67)*SUM($L67),0))</f>
        <v>0</v>
      </c>
      <c r="Q67" s="75" t="n">
        <f aca="false">IF(SUM($O67)&lt;=0,"",ROUND((SUM($O67)-SUM($P67))*SUM($N67),0))</f>
        <v>116</v>
      </c>
      <c r="R67" s="75" t="n">
        <f aca="false">IF(SUM($O67)&lt;=0,"",ROUND(SUM($O67)-SUM($P67)-SUM($Q67),0))</f>
        <v>-112</v>
      </c>
      <c r="S67" s="118" t="n">
        <f aca="false">_xlfn.IFNA(INDEX(Cascade!$BA:$BA,MATCH($E67,Cascade!$E:$E,0)),"")</f>
        <v>0.95</v>
      </c>
      <c r="T67" s="75" t="str">
        <f aca="false">IF(SUM($P67)&lt;=0,"",$P67)</f>
        <v/>
      </c>
      <c r="U67" s="75" t="n">
        <f aca="false">IF(SUM($Q67)&lt;=0,"",ROUND($Q67*$S67,0))</f>
        <v>110</v>
      </c>
      <c r="V67" s="73" t="n">
        <f aca="false">_xlfn.IFNA(INDEX(Cascade!$BD:$BD,MATCH($E67,Cascade!$E:$E,0)),"")</f>
        <v>15</v>
      </c>
      <c r="W67" s="118" t="n">
        <f aca="false">IF(OR(SUM($V67)&lt;=0,SUM($Q67)=0),"",SUM($Q67)/$V67)</f>
        <v>7.73333333333333</v>
      </c>
      <c r="X67" s="118" t="n">
        <f aca="false">_xlfn.IFNA(INDEX(Cascade!$BL:$BL,MATCH($E67,Cascade!$E:$E,0)),"")</f>
        <v>0.333333333333333</v>
      </c>
      <c r="Y67" s="118" t="n">
        <f aca="false">_xlfn.IFNA(INDEX(Cascade!$BM:$BM,MATCH($E67,Cascade!$E:$E,0)),"")</f>
        <v>-312</v>
      </c>
      <c r="Z67" s="118" t="str">
        <f aca="false">_xlfn.IFNA(INDEX(Cascade!$BN:$BN,MATCH($E67,Cascade!$E:$E,0)),"")</f>
        <v/>
      </c>
      <c r="AA67" s="118" t="str">
        <f aca="false">_xlfn.IFNA(INDEX(Cascade!$BP:$BP,MATCH($E67,Cascade!$E:$E,0)),"")</f>
        <v/>
      </c>
      <c r="AB67" s="118" t="n">
        <f aca="false">_xlfn.IFNA(INDEX(Cascade!$BR:$BR,MATCH($E67,Cascade!$E:$E,0)),"")</f>
        <v>304.933333333333</v>
      </c>
    </row>
    <row r="68" customFormat="false" ht="15" hidden="false" customHeight="false" outlineLevel="0" collapsed="false">
      <c r="A68" s="0" t="s">
        <v>143</v>
      </c>
      <c r="B68" s="0" t="s">
        <v>115</v>
      </c>
      <c r="C68" s="0" t="s">
        <v>66</v>
      </c>
      <c r="D68" s="0" t="s">
        <v>58</v>
      </c>
      <c r="E68" s="0" t="str">
        <f aca="false">B68&amp;"|"&amp;C68&amp;"|"&amp;D68</f>
        <v>Butha Buthe [#SNU] [mvPRqBFtVC0]|20-24|Male</v>
      </c>
      <c r="F68" s="73" t="n">
        <v>50</v>
      </c>
      <c r="G68" s="118" t="n">
        <f aca="false">IF(SUM($F68)&lt;=0,"",0%)</f>
        <v>0</v>
      </c>
      <c r="H68" s="75" t="n">
        <f aca="false">IF(SUM($F68)&lt;=0,"",$F68*(1+$G68))</f>
        <v>50</v>
      </c>
      <c r="I68" s="73"/>
      <c r="J68" s="118" t="n">
        <f aca="false">IF(SUM($H68)&lt;=0,"",100%)</f>
        <v>1</v>
      </c>
      <c r="K68" s="118" t="n">
        <v>26</v>
      </c>
      <c r="L68" s="118" t="n">
        <f aca="false">IF(SUM($K68)=0,"",$K68)</f>
        <v>26</v>
      </c>
      <c r="M68" s="118"/>
      <c r="N68" s="118" t="str">
        <f aca="false">IF(SUM($M68)=0,"",$M68)</f>
        <v/>
      </c>
      <c r="O68" s="73" t="n">
        <f aca="false">IF(SUM($H68)&lt;=0,"",ROUND(SUM($H68)*SUM($J68),0))</f>
        <v>50</v>
      </c>
      <c r="P68" s="75" t="n">
        <f aca="false">IF(SUM($O68)&lt;=0,"",ROUND(SUM($O68)*SUM($L68),0))</f>
        <v>1300</v>
      </c>
      <c r="Q68" s="75" t="n">
        <f aca="false">IF(SUM($O68)&lt;=0,"",ROUND((SUM($O68)-SUM($P68))*SUM($N68),0))</f>
        <v>-0</v>
      </c>
      <c r="R68" s="75" t="n">
        <f aca="false">IF(SUM($O68)&lt;=0,"",ROUND(SUM($O68)-SUM($P68)-SUM($Q68),0))</f>
        <v>-1250</v>
      </c>
      <c r="S68" s="118" t="n">
        <f aca="false">_xlfn.IFNA(INDEX(Cascade!$BA:$BA,MATCH($E68,Cascade!$E:$E,0)),"")</f>
        <v>0.95</v>
      </c>
      <c r="T68" s="75" t="n">
        <f aca="false">IF(SUM($P68)&lt;=0,"",$P68)</f>
        <v>1300</v>
      </c>
      <c r="U68" s="75" t="str">
        <f aca="false">IF(SUM($Q68)&lt;=0,"",ROUND($Q68*$S68,0))</f>
        <v/>
      </c>
      <c r="V68" s="73" t="n">
        <f aca="false">_xlfn.IFNA(INDEX(Cascade!$BD:$BD,MATCH($E68,Cascade!$E:$E,0)),"")</f>
        <v>4</v>
      </c>
      <c r="W68" s="118" t="str">
        <f aca="false">IF(OR(SUM($V68)&lt;=0,SUM($Q68)=0),"",SUM($Q68)/$V68)</f>
        <v/>
      </c>
      <c r="X68" s="118" t="n">
        <f aca="false">_xlfn.IFNA(INDEX(Cascade!$BL:$BL,MATCH($E68,Cascade!$E:$E,0)),"")</f>
        <v>0.25</v>
      </c>
      <c r="Y68" s="118" t="str">
        <f aca="false">_xlfn.IFNA(INDEX(Cascade!$BM:$BM,MATCH($E68,Cascade!$E:$E,0)),"")</f>
        <v/>
      </c>
      <c r="Z68" s="118" t="str">
        <f aca="false">_xlfn.IFNA(INDEX(Cascade!$BN:$BN,MATCH($E68,Cascade!$E:$E,0)),"")</f>
        <v/>
      </c>
      <c r="AA68" s="118" t="str">
        <f aca="false">_xlfn.IFNA(INDEX(Cascade!$BP:$BP,MATCH($E68,Cascade!$E:$E,0)),"")</f>
        <v/>
      </c>
      <c r="AB68" s="118" t="n">
        <f aca="false">_xlfn.IFNA(INDEX(Cascade!$BR:$BR,MATCH($E68,Cascade!$E:$E,0)),"")</f>
        <v>0.75</v>
      </c>
    </row>
    <row r="69" customFormat="false" ht="15" hidden="false" customHeight="false" outlineLevel="0" collapsed="false">
      <c r="A69" s="0" t="s">
        <v>143</v>
      </c>
      <c r="B69" s="0" t="s">
        <v>115</v>
      </c>
      <c r="C69" s="0" t="s">
        <v>69</v>
      </c>
      <c r="D69" s="0" t="s">
        <v>56</v>
      </c>
      <c r="E69" s="0" t="str">
        <f aca="false">B69&amp;"|"&amp;C69&amp;"|"&amp;D69</f>
        <v>Butha Buthe [#SNU] [mvPRqBFtVC0]|25-29|Female</v>
      </c>
      <c r="F69" s="73" t="n">
        <v>44</v>
      </c>
      <c r="G69" s="118" t="n">
        <f aca="false">IF(SUM($F69)&lt;=0,"",0%)</f>
        <v>0</v>
      </c>
      <c r="H69" s="75" t="n">
        <f aca="false">IF(SUM($F69)&lt;=0,"",$F69*(1+$G69))</f>
        <v>44</v>
      </c>
      <c r="I69" s="73" t="n">
        <v>14</v>
      </c>
      <c r="J69" s="118" t="n">
        <f aca="false">IF(SUM($H69)&lt;=0,"",100%)</f>
        <v>1</v>
      </c>
      <c r="K69" s="118" t="n">
        <v>12</v>
      </c>
      <c r="L69" s="118" t="n">
        <f aca="false">IF(SUM($K69)=0,"",$K69)</f>
        <v>12</v>
      </c>
      <c r="M69" s="118" t="n">
        <v>25</v>
      </c>
      <c r="N69" s="118" t="n">
        <f aca="false">IF(SUM($M69)=0,"",$M69)</f>
        <v>25</v>
      </c>
      <c r="O69" s="73" t="n">
        <f aca="false">IF(SUM($H69)&lt;=0,"",ROUND(SUM($H69)*SUM($J69),0))</f>
        <v>44</v>
      </c>
      <c r="P69" s="75" t="n">
        <f aca="false">IF(SUM($O69)&lt;=0,"",ROUND(SUM($O69)*SUM($L69),0))</f>
        <v>528</v>
      </c>
      <c r="Q69" s="75" t="n">
        <f aca="false">IF(SUM($O69)&lt;=0,"",ROUND((SUM($O69)-SUM($P69))*SUM($N69),0))</f>
        <v>-12100</v>
      </c>
      <c r="R69" s="75" t="n">
        <f aca="false">IF(SUM($O69)&lt;=0,"",ROUND(SUM($O69)-SUM($P69)-SUM($Q69),0))</f>
        <v>11616</v>
      </c>
      <c r="S69" s="118" t="n">
        <f aca="false">_xlfn.IFNA(INDEX(Cascade!$BA:$BA,MATCH($E69,Cascade!$E:$E,0)),"")</f>
        <v>0.95</v>
      </c>
      <c r="T69" s="75" t="n">
        <f aca="false">IF(SUM($P69)&lt;=0,"",$P69)</f>
        <v>528</v>
      </c>
      <c r="U69" s="75" t="str">
        <f aca="false">IF(SUM($Q69)&lt;=0,"",ROUND($Q69*$S69,0))</f>
        <v/>
      </c>
      <c r="V69" s="73" t="n">
        <f aca="false">_xlfn.IFNA(INDEX(Cascade!$BD:$BD,MATCH($E69,Cascade!$E:$E,0)),"")</f>
        <v>8</v>
      </c>
      <c r="W69" s="118" t="n">
        <f aca="false">IF(OR(SUM($V69)&lt;=0,SUM($Q69)=0),"",SUM($Q69)/$V69)</f>
        <v>-1512.5</v>
      </c>
      <c r="X69" s="118" t="n">
        <f aca="false">_xlfn.IFNA(INDEX(Cascade!$BL:$BL,MATCH($E69,Cascade!$E:$E,0)),"")</f>
        <v>0.25</v>
      </c>
      <c r="Y69" s="118" t="n">
        <f aca="false">_xlfn.IFNA(INDEX(Cascade!$BM:$BM,MATCH($E69,Cascade!$E:$E,0)),"")</f>
        <v>-3459.375</v>
      </c>
      <c r="Z69" s="118" t="str">
        <f aca="false">_xlfn.IFNA(INDEX(Cascade!$BN:$BN,MATCH($E69,Cascade!$E:$E,0)),"")</f>
        <v/>
      </c>
      <c r="AA69" s="118" t="str">
        <f aca="false">_xlfn.IFNA(INDEX(Cascade!$BP:$BP,MATCH($E69,Cascade!$E:$E,0)),"")</f>
        <v/>
      </c>
      <c r="AB69" s="118" t="n">
        <f aca="false">_xlfn.IFNA(INDEX(Cascade!$BR:$BR,MATCH($E69,Cascade!$E:$E,0)),"")</f>
        <v>4972.625</v>
      </c>
    </row>
    <row r="70" customFormat="false" ht="15" hidden="false" customHeight="false" outlineLevel="0" collapsed="false">
      <c r="A70" s="0" t="s">
        <v>143</v>
      </c>
      <c r="B70" s="0" t="s">
        <v>115</v>
      </c>
      <c r="C70" s="0" t="s">
        <v>69</v>
      </c>
      <c r="D70" s="0" t="s">
        <v>58</v>
      </c>
      <c r="E70" s="0" t="str">
        <f aca="false">B70&amp;"|"&amp;C70&amp;"|"&amp;D70</f>
        <v>Butha Buthe [#SNU] [mvPRqBFtVC0]|25-29|Male</v>
      </c>
      <c r="F70" s="73" t="n">
        <v>26</v>
      </c>
      <c r="G70" s="118" t="n">
        <f aca="false">IF(SUM($F70)&lt;=0,"",0%)</f>
        <v>0</v>
      </c>
      <c r="H70" s="75" t="n">
        <f aca="false">IF(SUM($F70)&lt;=0,"",$F70*(1+$G70))</f>
        <v>26</v>
      </c>
      <c r="I70" s="73" t="n">
        <v>34</v>
      </c>
      <c r="J70" s="118" t="n">
        <f aca="false">IF(SUM($H70)&lt;=0,"",100%)</f>
        <v>1</v>
      </c>
      <c r="K70" s="118" t="n">
        <v>24</v>
      </c>
      <c r="L70" s="118" t="n">
        <f aca="false">IF(SUM($K70)=0,"",$K70)</f>
        <v>24</v>
      </c>
      <c r="M70" s="118" t="n">
        <v>49</v>
      </c>
      <c r="N70" s="118" t="n">
        <f aca="false">IF(SUM($M70)=0,"",$M70)</f>
        <v>49</v>
      </c>
      <c r="O70" s="73" t="n">
        <f aca="false">IF(SUM($H70)&lt;=0,"",ROUND(SUM($H70)*SUM($J70),0))</f>
        <v>26</v>
      </c>
      <c r="P70" s="75" t="n">
        <f aca="false">IF(SUM($O70)&lt;=0,"",ROUND(SUM($O70)*SUM($L70),0))</f>
        <v>624</v>
      </c>
      <c r="Q70" s="75" t="n">
        <f aca="false">IF(SUM($O70)&lt;=0,"",ROUND((SUM($O70)-SUM($P70))*SUM($N70),0))</f>
        <v>-29302</v>
      </c>
      <c r="R70" s="75" t="n">
        <f aca="false">IF(SUM($O70)&lt;=0,"",ROUND(SUM($O70)-SUM($P70)-SUM($Q70),0))</f>
        <v>28704</v>
      </c>
      <c r="S70" s="118" t="n">
        <f aca="false">_xlfn.IFNA(INDEX(Cascade!$BA:$BA,MATCH($E70,Cascade!$E:$E,0)),"")</f>
        <v>0.95</v>
      </c>
      <c r="T70" s="75" t="n">
        <f aca="false">IF(SUM($P70)&lt;=0,"",$P70)</f>
        <v>624</v>
      </c>
      <c r="U70" s="75" t="str">
        <f aca="false">IF(SUM($Q70)&lt;=0,"",ROUND($Q70*$S70,0))</f>
        <v/>
      </c>
      <c r="V70" s="73" t="n">
        <f aca="false">_xlfn.IFNA(INDEX(Cascade!$BD:$BD,MATCH($E70,Cascade!$E:$E,0)),"")</f>
        <v>18</v>
      </c>
      <c r="W70" s="118" t="n">
        <f aca="false">IF(OR(SUM($V70)&lt;=0,SUM($Q70)=0),"",SUM($Q70)/$V70)</f>
        <v>-1627.88888888889</v>
      </c>
      <c r="X70" s="118" t="n">
        <f aca="false">_xlfn.IFNA(INDEX(Cascade!$BL:$BL,MATCH($E70,Cascade!$E:$E,0)),"")</f>
        <v>0.277777777777778</v>
      </c>
      <c r="Y70" s="118" t="str">
        <f aca="false">_xlfn.IFNA(INDEX(Cascade!$BM:$BM,MATCH($E70,Cascade!$E:$E,0)),"")</f>
        <v/>
      </c>
      <c r="Z70" s="118" t="str">
        <f aca="false">_xlfn.IFNA(INDEX(Cascade!$BN:$BN,MATCH($E70,Cascade!$E:$E,0)),"")</f>
        <v/>
      </c>
      <c r="AA70" s="118" t="str">
        <f aca="false">_xlfn.IFNA(INDEX(Cascade!$BP:$BP,MATCH($E70,Cascade!$E:$E,0)),"")</f>
        <v/>
      </c>
      <c r="AB70" s="118" t="n">
        <f aca="false">_xlfn.IFNA(INDEX(Cascade!$BR:$BR,MATCH($E70,Cascade!$E:$E,0)),"")</f>
        <v>1628.61111111111</v>
      </c>
    </row>
    <row r="71" customFormat="false" ht="15" hidden="false" customHeight="false" outlineLevel="0" collapsed="false">
      <c r="A71" s="0" t="s">
        <v>143</v>
      </c>
      <c r="B71" s="0" t="s">
        <v>115</v>
      </c>
      <c r="C71" s="0" t="s">
        <v>72</v>
      </c>
      <c r="D71" s="0" t="s">
        <v>56</v>
      </c>
      <c r="E71" s="0" t="str">
        <f aca="false">B71&amp;"|"&amp;C71&amp;"|"&amp;D71</f>
        <v>Butha Buthe [#SNU] [mvPRqBFtVC0]|30-34|Female</v>
      </c>
      <c r="F71" s="73" t="n">
        <v>7</v>
      </c>
      <c r="G71" s="118" t="n">
        <f aca="false">IF(SUM($F71)&lt;=0,"",0%)</f>
        <v>0</v>
      </c>
      <c r="H71" s="75" t="n">
        <f aca="false">IF(SUM($F71)&lt;=0,"",$F71*(1+$G71))</f>
        <v>7</v>
      </c>
      <c r="I71" s="73" t="n">
        <v>16</v>
      </c>
      <c r="J71" s="118" t="n">
        <f aca="false">IF(SUM($H71)&lt;=0,"",100%)</f>
        <v>1</v>
      </c>
      <c r="K71" s="118" t="n">
        <v>28</v>
      </c>
      <c r="L71" s="118" t="n">
        <f aca="false">IF(SUM($K71)=0,"",$K71)</f>
        <v>28</v>
      </c>
      <c r="M71" s="118" t="n">
        <v>40</v>
      </c>
      <c r="N71" s="118" t="n">
        <f aca="false">IF(SUM($M71)=0,"",$M71)</f>
        <v>40</v>
      </c>
      <c r="O71" s="73" t="n">
        <f aca="false">IF(SUM($H71)&lt;=0,"",ROUND(SUM($H71)*SUM($J71),0))</f>
        <v>7</v>
      </c>
      <c r="P71" s="75" t="n">
        <f aca="false">IF(SUM($O71)&lt;=0,"",ROUND(SUM($O71)*SUM($L71),0))</f>
        <v>196</v>
      </c>
      <c r="Q71" s="75" t="n">
        <f aca="false">IF(SUM($O71)&lt;=0,"",ROUND((SUM($O71)-SUM($P71))*SUM($N71),0))</f>
        <v>-7560</v>
      </c>
      <c r="R71" s="75" t="n">
        <f aca="false">IF(SUM($O71)&lt;=0,"",ROUND(SUM($O71)-SUM($P71)-SUM($Q71),0))</f>
        <v>7371</v>
      </c>
      <c r="S71" s="118" t="n">
        <f aca="false">_xlfn.IFNA(INDEX(Cascade!$BA:$BA,MATCH($E71,Cascade!$E:$E,0)),"")</f>
        <v>0.95</v>
      </c>
      <c r="T71" s="75" t="n">
        <f aca="false">IF(SUM($P71)&lt;=0,"",$P71)</f>
        <v>196</v>
      </c>
      <c r="U71" s="75" t="str">
        <f aca="false">IF(SUM($Q71)&lt;=0,"",ROUND($Q71*$S71,0))</f>
        <v/>
      </c>
      <c r="V71" s="73" t="n">
        <f aca="false">_xlfn.IFNA(INDEX(Cascade!$BD:$BD,MATCH($E71,Cascade!$E:$E,0)),"")</f>
        <v>17</v>
      </c>
      <c r="W71" s="118" t="n">
        <f aca="false">IF(OR(SUM($V71)&lt;=0,SUM($Q71)=0),"",SUM($Q71)/$V71)</f>
        <v>-444.705882352941</v>
      </c>
      <c r="X71" s="118" t="n">
        <f aca="false">_xlfn.IFNA(INDEX(Cascade!$BL:$BL,MATCH($E71,Cascade!$E:$E,0)),"")</f>
        <v>0.294117647058823</v>
      </c>
      <c r="Y71" s="118" t="n">
        <f aca="false">_xlfn.IFNA(INDEX(Cascade!$BM:$BM,MATCH($E71,Cascade!$E:$E,0)),"")</f>
        <v>-332.647058823529</v>
      </c>
      <c r="Z71" s="118" t="str">
        <f aca="false">_xlfn.IFNA(INDEX(Cascade!$BN:$BN,MATCH($E71,Cascade!$E:$E,0)),"")</f>
        <v/>
      </c>
      <c r="AA71" s="118" t="str">
        <f aca="false">_xlfn.IFNA(INDEX(Cascade!$BP:$BP,MATCH($E71,Cascade!$E:$E,0)),"")</f>
        <v/>
      </c>
      <c r="AB71" s="118" t="n">
        <f aca="false">_xlfn.IFNA(INDEX(Cascade!$BR:$BR,MATCH($E71,Cascade!$E:$E,0)),"")</f>
        <v>778.058823529412</v>
      </c>
    </row>
    <row r="72" customFormat="false" ht="15" hidden="false" customHeight="false" outlineLevel="0" collapsed="false">
      <c r="A72" s="0" t="s">
        <v>143</v>
      </c>
      <c r="B72" s="0" t="s">
        <v>115</v>
      </c>
      <c r="C72" s="0" t="s">
        <v>72</v>
      </c>
      <c r="D72" s="0" t="s">
        <v>58</v>
      </c>
      <c r="E72" s="0" t="str">
        <f aca="false">B72&amp;"|"&amp;C72&amp;"|"&amp;D72</f>
        <v>Butha Buthe [#SNU] [mvPRqBFtVC0]|30-34|Male</v>
      </c>
      <c r="F72" s="73" t="n">
        <v>21</v>
      </c>
      <c r="G72" s="118" t="n">
        <f aca="false">IF(SUM($F72)&lt;=0,"",0%)</f>
        <v>0</v>
      </c>
      <c r="H72" s="75" t="n">
        <f aca="false">IF(SUM($F72)&lt;=0,"",$F72*(1+$G72))</f>
        <v>21</v>
      </c>
      <c r="I72" s="73" t="n">
        <v>42</v>
      </c>
      <c r="J72" s="118" t="n">
        <f aca="false">IF(SUM($H72)&lt;=0,"",100%)</f>
        <v>1</v>
      </c>
      <c r="K72" s="118" t="n">
        <v>42</v>
      </c>
      <c r="L72" s="118" t="n">
        <f aca="false">IF(SUM($K72)=0,"",$K72)</f>
        <v>42</v>
      </c>
      <c r="M72" s="118" t="n">
        <v>6</v>
      </c>
      <c r="N72" s="118" t="n">
        <f aca="false">IF(SUM($M72)=0,"",$M72)</f>
        <v>6</v>
      </c>
      <c r="O72" s="73" t="n">
        <f aca="false">IF(SUM($H72)&lt;=0,"",ROUND(SUM($H72)*SUM($J72),0))</f>
        <v>21</v>
      </c>
      <c r="P72" s="75" t="n">
        <f aca="false">IF(SUM($O72)&lt;=0,"",ROUND(SUM($O72)*SUM($L72),0))</f>
        <v>882</v>
      </c>
      <c r="Q72" s="75" t="n">
        <f aca="false">IF(SUM($O72)&lt;=0,"",ROUND((SUM($O72)-SUM($P72))*SUM($N72),0))</f>
        <v>-5166</v>
      </c>
      <c r="R72" s="75" t="n">
        <f aca="false">IF(SUM($O72)&lt;=0,"",ROUND(SUM($O72)-SUM($P72)-SUM($Q72),0))</f>
        <v>4305</v>
      </c>
      <c r="S72" s="118" t="n">
        <f aca="false">_xlfn.IFNA(INDEX(Cascade!$BA:$BA,MATCH($E72,Cascade!$E:$E,0)),"")</f>
        <v>0.95</v>
      </c>
      <c r="T72" s="75" t="n">
        <f aca="false">IF(SUM($P72)&lt;=0,"",$P72)</f>
        <v>882</v>
      </c>
      <c r="U72" s="75" t="str">
        <f aca="false">IF(SUM($Q72)&lt;=0,"",ROUND($Q72*$S72,0))</f>
        <v/>
      </c>
      <c r="V72" s="73" t="n">
        <f aca="false">_xlfn.IFNA(INDEX(Cascade!$BD:$BD,MATCH($E72,Cascade!$E:$E,0)),"")</f>
        <v>31</v>
      </c>
      <c r="W72" s="118" t="n">
        <f aca="false">IF(OR(SUM($V72)&lt;=0,SUM($Q72)=0),"",SUM($Q72)/$V72)</f>
        <v>-166.645161290323</v>
      </c>
      <c r="X72" s="118" t="n">
        <f aca="false">_xlfn.IFNA(INDEX(Cascade!$BL:$BL,MATCH($E72,Cascade!$E:$E,0)),"")</f>
        <v>0.290322580645161</v>
      </c>
      <c r="Y72" s="118" t="str">
        <f aca="false">_xlfn.IFNA(INDEX(Cascade!$BM:$BM,MATCH($E72,Cascade!$E:$E,0)),"")</f>
        <v/>
      </c>
      <c r="Z72" s="118" t="str">
        <f aca="false">_xlfn.IFNA(INDEX(Cascade!$BN:$BN,MATCH($E72,Cascade!$E:$E,0)),"")</f>
        <v/>
      </c>
      <c r="AA72" s="118" t="str">
        <f aca="false">_xlfn.IFNA(INDEX(Cascade!$BP:$BP,MATCH($E72,Cascade!$E:$E,0)),"")</f>
        <v/>
      </c>
      <c r="AB72" s="118" t="n">
        <f aca="false">_xlfn.IFNA(INDEX(Cascade!$BR:$BR,MATCH($E72,Cascade!$E:$E,0)),"")</f>
        <v>167.354838709677</v>
      </c>
    </row>
    <row r="73" customFormat="false" ht="15" hidden="false" customHeight="false" outlineLevel="0" collapsed="false">
      <c r="A73" s="0" t="s">
        <v>143</v>
      </c>
      <c r="B73" s="0" t="s">
        <v>115</v>
      </c>
      <c r="C73" s="0" t="s">
        <v>75</v>
      </c>
      <c r="D73" s="0" t="s">
        <v>56</v>
      </c>
      <c r="E73" s="0" t="str">
        <f aca="false">B73&amp;"|"&amp;C73&amp;"|"&amp;D73</f>
        <v>Butha Buthe [#SNU] [mvPRqBFtVC0]|35-39|Female</v>
      </c>
      <c r="F73" s="73" t="n">
        <v>24</v>
      </c>
      <c r="G73" s="118" t="n">
        <f aca="false">IF(SUM($F73)&lt;=0,"",0%)</f>
        <v>0</v>
      </c>
      <c r="H73" s="75" t="n">
        <f aca="false">IF(SUM($F73)&lt;=0,"",$F73*(1+$G73))</f>
        <v>24</v>
      </c>
      <c r="I73" s="73" t="n">
        <v>12</v>
      </c>
      <c r="J73" s="118" t="n">
        <f aca="false">IF(SUM($H73)&lt;=0,"",100%)</f>
        <v>1</v>
      </c>
      <c r="K73" s="118" t="n">
        <v>14</v>
      </c>
      <c r="L73" s="118" t="n">
        <f aca="false">IF(SUM($K73)=0,"",$K73)</f>
        <v>14</v>
      </c>
      <c r="M73" s="118" t="n">
        <v>19</v>
      </c>
      <c r="N73" s="118" t="n">
        <f aca="false">IF(SUM($M73)=0,"",$M73)</f>
        <v>19</v>
      </c>
      <c r="O73" s="73" t="n">
        <f aca="false">IF(SUM($H73)&lt;=0,"",ROUND(SUM($H73)*SUM($J73),0))</f>
        <v>24</v>
      </c>
      <c r="P73" s="75" t="n">
        <f aca="false">IF(SUM($O73)&lt;=0,"",ROUND(SUM($O73)*SUM($L73),0))</f>
        <v>336</v>
      </c>
      <c r="Q73" s="75" t="n">
        <f aca="false">IF(SUM($O73)&lt;=0,"",ROUND((SUM($O73)-SUM($P73))*SUM($N73),0))</f>
        <v>-5928</v>
      </c>
      <c r="R73" s="75" t="n">
        <f aca="false">IF(SUM($O73)&lt;=0,"",ROUND(SUM($O73)-SUM($P73)-SUM($Q73),0))</f>
        <v>5616</v>
      </c>
      <c r="S73" s="118" t="n">
        <f aca="false">_xlfn.IFNA(INDEX(Cascade!$BA:$BA,MATCH($E73,Cascade!$E:$E,0)),"")</f>
        <v>0.95</v>
      </c>
      <c r="T73" s="75" t="n">
        <f aca="false">IF(SUM($P73)&lt;=0,"",$P73)</f>
        <v>336</v>
      </c>
      <c r="U73" s="75" t="str">
        <f aca="false">IF(SUM($Q73)&lt;=0,"",ROUND($Q73*$S73,0))</f>
        <v/>
      </c>
      <c r="V73" s="73" t="n">
        <f aca="false">_xlfn.IFNA(INDEX(Cascade!$BD:$BD,MATCH($E73,Cascade!$E:$E,0)),"")</f>
        <v>6</v>
      </c>
      <c r="W73" s="118" t="n">
        <f aca="false">IF(OR(SUM($V73)&lt;=0,SUM($Q73)=0),"",SUM($Q73)/$V73)</f>
        <v>-988</v>
      </c>
      <c r="X73" s="118" t="n">
        <f aca="false">_xlfn.IFNA(INDEX(Cascade!$BL:$BL,MATCH($E73,Cascade!$E:$E,0)),"")</f>
        <v>0.5</v>
      </c>
      <c r="Y73" s="118" t="n">
        <f aca="false">_xlfn.IFNA(INDEX(Cascade!$BM:$BM,MATCH($E73,Cascade!$E:$E,0)),"")</f>
        <v>-2786.66666666667</v>
      </c>
      <c r="Z73" s="118" t="str">
        <f aca="false">_xlfn.IFNA(INDEX(Cascade!$BN:$BN,MATCH($E73,Cascade!$E:$E,0)),"")</f>
        <v/>
      </c>
      <c r="AA73" s="118" t="str">
        <f aca="false">_xlfn.IFNA(INDEX(Cascade!$BP:$BP,MATCH($E73,Cascade!$E:$E,0)),"")</f>
        <v/>
      </c>
      <c r="AB73" s="118" t="n">
        <f aca="false">_xlfn.IFNA(INDEX(Cascade!$BR:$BR,MATCH($E73,Cascade!$E:$E,0)),"")</f>
        <v>3775.16666666667</v>
      </c>
    </row>
    <row r="74" customFormat="false" ht="15" hidden="false" customHeight="false" outlineLevel="0" collapsed="false">
      <c r="A74" s="0" t="s">
        <v>143</v>
      </c>
      <c r="B74" s="0" t="s">
        <v>115</v>
      </c>
      <c r="C74" s="0" t="s">
        <v>75</v>
      </c>
      <c r="D74" s="0" t="s">
        <v>58</v>
      </c>
      <c r="E74" s="0" t="str">
        <f aca="false">B74&amp;"|"&amp;C74&amp;"|"&amp;D74</f>
        <v>Butha Buthe [#SNU] [mvPRqBFtVC0]|35-39|Male</v>
      </c>
      <c r="F74" s="73" t="n">
        <v>23</v>
      </c>
      <c r="G74" s="118" t="n">
        <f aca="false">IF(SUM($F74)&lt;=0,"",0%)</f>
        <v>0</v>
      </c>
      <c r="H74" s="75" t="n">
        <f aca="false">IF(SUM($F74)&lt;=0,"",$F74*(1+$G74))</f>
        <v>23</v>
      </c>
      <c r="I74" s="73" t="n">
        <v>25</v>
      </c>
      <c r="J74" s="118" t="n">
        <f aca="false">IF(SUM($H74)&lt;=0,"",100%)</f>
        <v>1</v>
      </c>
      <c r="K74" s="118" t="n">
        <v>50</v>
      </c>
      <c r="L74" s="118" t="n">
        <f aca="false">IF(SUM($K74)=0,"",$K74)</f>
        <v>50</v>
      </c>
      <c r="M74" s="118" t="n">
        <v>39</v>
      </c>
      <c r="N74" s="118" t="n">
        <f aca="false">IF(SUM($M74)=0,"",$M74)</f>
        <v>39</v>
      </c>
      <c r="O74" s="73" t="n">
        <f aca="false">IF(SUM($H74)&lt;=0,"",ROUND(SUM($H74)*SUM($J74),0))</f>
        <v>23</v>
      </c>
      <c r="P74" s="75" t="n">
        <f aca="false">IF(SUM($O74)&lt;=0,"",ROUND(SUM($O74)*SUM($L74),0))</f>
        <v>1150</v>
      </c>
      <c r="Q74" s="75" t="n">
        <f aca="false">IF(SUM($O74)&lt;=0,"",ROUND((SUM($O74)-SUM($P74))*SUM($N74),0))</f>
        <v>-43953</v>
      </c>
      <c r="R74" s="75" t="n">
        <f aca="false">IF(SUM($O74)&lt;=0,"",ROUND(SUM($O74)-SUM($P74)-SUM($Q74),0))</f>
        <v>42826</v>
      </c>
      <c r="S74" s="118" t="n">
        <f aca="false">_xlfn.IFNA(INDEX(Cascade!$BA:$BA,MATCH($E74,Cascade!$E:$E,0)),"")</f>
        <v>0.95</v>
      </c>
      <c r="T74" s="75" t="n">
        <f aca="false">IF(SUM($P74)&lt;=0,"",$P74)</f>
        <v>1150</v>
      </c>
      <c r="U74" s="75" t="str">
        <f aca="false">IF(SUM($Q74)&lt;=0,"",ROUND($Q74*$S74,0))</f>
        <v/>
      </c>
      <c r="V74" s="73" t="str">
        <f aca="false">_xlfn.IFNA(INDEX(Cascade!$BD:$BD,MATCH($E74,Cascade!$E:$E,0)),"")</f>
        <v/>
      </c>
      <c r="W74" s="118" t="str">
        <f aca="false">IF(OR(SUM($V74)&lt;=0,SUM($Q74)=0),"",SUM($Q74)/$V74)</f>
        <v/>
      </c>
      <c r="X74" s="118" t="str">
        <f aca="false">_xlfn.IFNA(INDEX(Cascade!$BL:$BL,MATCH($E74,Cascade!$E:$E,0)),"")</f>
        <v/>
      </c>
      <c r="Y74" s="118" t="str">
        <f aca="false">_xlfn.IFNA(INDEX(Cascade!$BM:$BM,MATCH($E74,Cascade!$E:$E,0)),"")</f>
        <v/>
      </c>
      <c r="Z74" s="118" t="str">
        <f aca="false">_xlfn.IFNA(INDEX(Cascade!$BN:$BN,MATCH($E74,Cascade!$E:$E,0)),"")</f>
        <v/>
      </c>
      <c r="AA74" s="118" t="str">
        <f aca="false">_xlfn.IFNA(INDEX(Cascade!$BP:$BP,MATCH($E74,Cascade!$E:$E,0)),"")</f>
        <v/>
      </c>
      <c r="AB74" s="118" t="str">
        <f aca="false">_xlfn.IFNA(INDEX(Cascade!$BR:$BR,MATCH($E74,Cascade!$E:$E,0)),"")</f>
        <v/>
      </c>
    </row>
    <row r="75" customFormat="false" ht="15" hidden="false" customHeight="false" outlineLevel="0" collapsed="false">
      <c r="A75" s="0" t="s">
        <v>143</v>
      </c>
      <c r="B75" s="0" t="s">
        <v>115</v>
      </c>
      <c r="C75" s="0" t="s">
        <v>77</v>
      </c>
      <c r="D75" s="0" t="s">
        <v>56</v>
      </c>
      <c r="E75" s="0" t="str">
        <f aca="false">B75&amp;"|"&amp;C75&amp;"|"&amp;D75</f>
        <v>Butha Buthe [#SNU] [mvPRqBFtVC0]|40-44|Female</v>
      </c>
      <c r="F75" s="73" t="n">
        <v>16</v>
      </c>
      <c r="G75" s="118" t="n">
        <f aca="false">IF(SUM($F75)&lt;=0,"",0%)</f>
        <v>0</v>
      </c>
      <c r="H75" s="75" t="n">
        <f aca="false">IF(SUM($F75)&lt;=0,"",$F75*(1+$G75))</f>
        <v>16</v>
      </c>
      <c r="I75" s="73" t="n">
        <v>4</v>
      </c>
      <c r="J75" s="118" t="n">
        <f aca="false">IF(SUM($H75)&lt;=0,"",100%)</f>
        <v>1</v>
      </c>
      <c r="K75" s="118" t="n">
        <v>41</v>
      </c>
      <c r="L75" s="118" t="n">
        <f aca="false">IF(SUM($K75)=0,"",$K75)</f>
        <v>41</v>
      </c>
      <c r="M75" s="118" t="n">
        <v>14</v>
      </c>
      <c r="N75" s="118" t="n">
        <f aca="false">IF(SUM($M75)=0,"",$M75)</f>
        <v>14</v>
      </c>
      <c r="O75" s="73" t="n">
        <f aca="false">IF(SUM($H75)&lt;=0,"",ROUND(SUM($H75)*SUM($J75),0))</f>
        <v>16</v>
      </c>
      <c r="P75" s="75" t="n">
        <f aca="false">IF(SUM($O75)&lt;=0,"",ROUND(SUM($O75)*SUM($L75),0))</f>
        <v>656</v>
      </c>
      <c r="Q75" s="75" t="n">
        <f aca="false">IF(SUM($O75)&lt;=0,"",ROUND((SUM($O75)-SUM($P75))*SUM($N75),0))</f>
        <v>-8960</v>
      </c>
      <c r="R75" s="75" t="n">
        <f aca="false">IF(SUM($O75)&lt;=0,"",ROUND(SUM($O75)-SUM($P75)-SUM($Q75),0))</f>
        <v>8320</v>
      </c>
      <c r="S75" s="118" t="n">
        <f aca="false">_xlfn.IFNA(INDEX(Cascade!$BA:$BA,MATCH($E75,Cascade!$E:$E,0)),"")</f>
        <v>0.95</v>
      </c>
      <c r="T75" s="75" t="n">
        <f aca="false">IF(SUM($P75)&lt;=0,"",$P75)</f>
        <v>656</v>
      </c>
      <c r="U75" s="75" t="str">
        <f aca="false">IF(SUM($Q75)&lt;=0,"",ROUND($Q75*$S75,0))</f>
        <v/>
      </c>
      <c r="V75" s="73" t="n">
        <f aca="false">_xlfn.IFNA(INDEX(Cascade!$BD:$BD,MATCH($E75,Cascade!$E:$E,0)),"")</f>
        <v>1</v>
      </c>
      <c r="W75" s="118" t="n">
        <f aca="false">IF(OR(SUM($V75)&lt;=0,SUM($Q75)=0),"",SUM($Q75)/$V75)</f>
        <v>-8960</v>
      </c>
      <c r="X75" s="118" t="n">
        <f aca="false">_xlfn.IFNA(INDEX(Cascade!$BL:$BL,MATCH($E75,Cascade!$E:$E,0)),"")</f>
        <v>1</v>
      </c>
      <c r="Y75" s="118" t="n">
        <f aca="false">_xlfn.IFNA(INDEX(Cascade!$BM:$BM,MATCH($E75,Cascade!$E:$E,0)),"")</f>
        <v>-6720</v>
      </c>
      <c r="Z75" s="118" t="str">
        <f aca="false">_xlfn.IFNA(INDEX(Cascade!$BN:$BN,MATCH($E75,Cascade!$E:$E,0)),"")</f>
        <v/>
      </c>
      <c r="AA75" s="118" t="str">
        <f aca="false">_xlfn.IFNA(INDEX(Cascade!$BP:$BP,MATCH($E75,Cascade!$E:$E,0)),"")</f>
        <v/>
      </c>
      <c r="AB75" s="118" t="n">
        <f aca="false">_xlfn.IFNA(INDEX(Cascade!$BR:$BR,MATCH($E75,Cascade!$E:$E,0)),"")</f>
        <v>15680</v>
      </c>
    </row>
    <row r="76" customFormat="false" ht="15" hidden="false" customHeight="false" outlineLevel="0" collapsed="false">
      <c r="A76" s="0" t="s">
        <v>143</v>
      </c>
      <c r="B76" s="0" t="s">
        <v>115</v>
      </c>
      <c r="C76" s="0" t="s">
        <v>77</v>
      </c>
      <c r="D76" s="0" t="s">
        <v>58</v>
      </c>
      <c r="E76" s="0" t="str">
        <f aca="false">B76&amp;"|"&amp;C76&amp;"|"&amp;D76</f>
        <v>Butha Buthe [#SNU] [mvPRqBFtVC0]|40-44|Male</v>
      </c>
      <c r="F76" s="73" t="n">
        <v>21</v>
      </c>
      <c r="G76" s="118" t="n">
        <f aca="false">IF(SUM($F76)&lt;=0,"",0%)</f>
        <v>0</v>
      </c>
      <c r="H76" s="75" t="n">
        <f aca="false">IF(SUM($F76)&lt;=0,"",$F76*(1+$G76))</f>
        <v>21</v>
      </c>
      <c r="I76" s="73" t="n">
        <v>28</v>
      </c>
      <c r="J76" s="118" t="n">
        <f aca="false">IF(SUM($H76)&lt;=0,"",100%)</f>
        <v>1</v>
      </c>
      <c r="K76" s="118" t="n">
        <v>29</v>
      </c>
      <c r="L76" s="118" t="n">
        <f aca="false">IF(SUM($K76)=0,"",$K76)</f>
        <v>29</v>
      </c>
      <c r="M76" s="118" t="n">
        <v>32</v>
      </c>
      <c r="N76" s="118" t="n">
        <f aca="false">IF(SUM($M76)=0,"",$M76)</f>
        <v>32</v>
      </c>
      <c r="O76" s="73" t="n">
        <f aca="false">IF(SUM($H76)&lt;=0,"",ROUND(SUM($H76)*SUM($J76),0))</f>
        <v>21</v>
      </c>
      <c r="P76" s="75" t="n">
        <f aca="false">IF(SUM($O76)&lt;=0,"",ROUND(SUM($O76)*SUM($L76),0))</f>
        <v>609</v>
      </c>
      <c r="Q76" s="75" t="n">
        <f aca="false">IF(SUM($O76)&lt;=0,"",ROUND((SUM($O76)-SUM($P76))*SUM($N76),0))</f>
        <v>-18816</v>
      </c>
      <c r="R76" s="75" t="n">
        <f aca="false">IF(SUM($O76)&lt;=0,"",ROUND(SUM($O76)-SUM($P76)-SUM($Q76),0))</f>
        <v>18228</v>
      </c>
      <c r="S76" s="118" t="n">
        <f aca="false">_xlfn.IFNA(INDEX(Cascade!$BA:$BA,MATCH($E76,Cascade!$E:$E,0)),"")</f>
        <v>0.95</v>
      </c>
      <c r="T76" s="75" t="n">
        <f aca="false">IF(SUM($P76)&lt;=0,"",$P76)</f>
        <v>609</v>
      </c>
      <c r="U76" s="75" t="str">
        <f aca="false">IF(SUM($Q76)&lt;=0,"",ROUND($Q76*$S76,0))</f>
        <v/>
      </c>
      <c r="V76" s="73" t="n">
        <f aca="false">_xlfn.IFNA(INDEX(Cascade!$BD:$BD,MATCH($E76,Cascade!$E:$E,0)),"")</f>
        <v>15</v>
      </c>
      <c r="W76" s="118" t="n">
        <f aca="false">IF(OR(SUM($V76)&lt;=0,SUM($Q76)=0),"",SUM($Q76)/$V76)</f>
        <v>-1254.4</v>
      </c>
      <c r="X76" s="118" t="n">
        <f aca="false">_xlfn.IFNA(INDEX(Cascade!$BL:$BL,MATCH($E76,Cascade!$E:$E,0)),"")</f>
        <v>0.333333333333333</v>
      </c>
      <c r="Y76" s="118" t="str">
        <f aca="false">_xlfn.IFNA(INDEX(Cascade!$BM:$BM,MATCH($E76,Cascade!$E:$E,0)),"")</f>
        <v/>
      </c>
      <c r="Z76" s="118" t="str">
        <f aca="false">_xlfn.IFNA(INDEX(Cascade!$BN:$BN,MATCH($E76,Cascade!$E:$E,0)),"")</f>
        <v/>
      </c>
      <c r="AA76" s="118" t="str">
        <f aca="false">_xlfn.IFNA(INDEX(Cascade!$BP:$BP,MATCH($E76,Cascade!$E:$E,0)),"")</f>
        <v/>
      </c>
      <c r="AB76" s="118" t="n">
        <f aca="false">_xlfn.IFNA(INDEX(Cascade!$BR:$BR,MATCH($E76,Cascade!$E:$E,0)),"")</f>
        <v>1255.06666666667</v>
      </c>
    </row>
    <row r="77" customFormat="false" ht="15" hidden="false" customHeight="false" outlineLevel="0" collapsed="false">
      <c r="A77" s="0" t="s">
        <v>143</v>
      </c>
      <c r="B77" s="0" t="s">
        <v>115</v>
      </c>
      <c r="C77" s="0" t="s">
        <v>80</v>
      </c>
      <c r="D77" s="0" t="s">
        <v>56</v>
      </c>
      <c r="E77" s="0" t="str">
        <f aca="false">B77&amp;"|"&amp;C77&amp;"|"&amp;D77</f>
        <v>Butha Buthe [#SNU] [mvPRqBFtVC0]|45-49|Female</v>
      </c>
      <c r="F77" s="73" t="n">
        <v>8</v>
      </c>
      <c r="G77" s="118" t="n">
        <f aca="false">IF(SUM($F77)&lt;=0,"",0%)</f>
        <v>0</v>
      </c>
      <c r="H77" s="75" t="n">
        <f aca="false">IF(SUM($F77)&lt;=0,"",$F77*(1+$G77))</f>
        <v>8</v>
      </c>
      <c r="I77" s="73" t="n">
        <v>15</v>
      </c>
      <c r="J77" s="118" t="n">
        <f aca="false">IF(SUM($H77)&lt;=0,"",100%)</f>
        <v>1</v>
      </c>
      <c r="K77" s="118" t="n">
        <v>0</v>
      </c>
      <c r="L77" s="118" t="str">
        <f aca="false">IF(SUM($K77)=0,"",$K77)</f>
        <v/>
      </c>
      <c r="M77" s="118"/>
      <c r="N77" s="118" t="str">
        <f aca="false">IF(SUM($M77)=0,"",$M77)</f>
        <v/>
      </c>
      <c r="O77" s="73" t="n">
        <f aca="false">IF(SUM($H77)&lt;=0,"",ROUND(SUM($H77)*SUM($J77),0))</f>
        <v>8</v>
      </c>
      <c r="P77" s="75" t="n">
        <f aca="false">IF(SUM($O77)&lt;=0,"",ROUND(SUM($O77)*SUM($L77),0))</f>
        <v>0</v>
      </c>
      <c r="Q77" s="75" t="n">
        <f aca="false">IF(SUM($O77)&lt;=0,"",ROUND((SUM($O77)-SUM($P77))*SUM($N77),0))</f>
        <v>0</v>
      </c>
      <c r="R77" s="75" t="n">
        <f aca="false">IF(SUM($O77)&lt;=0,"",ROUND(SUM($O77)-SUM($P77)-SUM($Q77),0))</f>
        <v>8</v>
      </c>
      <c r="S77" s="118" t="n">
        <f aca="false">_xlfn.IFNA(INDEX(Cascade!$BA:$BA,MATCH($E77,Cascade!$E:$E,0)),"")</f>
        <v>0.95</v>
      </c>
      <c r="T77" s="75" t="str">
        <f aca="false">IF(SUM($P77)&lt;=0,"",$P77)</f>
        <v/>
      </c>
      <c r="U77" s="75" t="str">
        <f aca="false">IF(SUM($Q77)&lt;=0,"",ROUND($Q77*$S77,0))</f>
        <v/>
      </c>
      <c r="V77" s="73" t="n">
        <f aca="false">_xlfn.IFNA(INDEX(Cascade!$BD:$BD,MATCH($E77,Cascade!$E:$E,0)),"")</f>
        <v>1</v>
      </c>
      <c r="W77" s="118" t="str">
        <f aca="false">IF(OR(SUM($V77)&lt;=0,SUM($Q77)=0),"",SUM($Q77)/$V77)</f>
        <v/>
      </c>
      <c r="X77" s="118" t="n">
        <f aca="false">_xlfn.IFNA(INDEX(Cascade!$BL:$BL,MATCH($E77,Cascade!$E:$E,0)),"")</f>
        <v>1</v>
      </c>
      <c r="Y77" s="118" t="str">
        <f aca="false">_xlfn.IFNA(INDEX(Cascade!$BM:$BM,MATCH($E77,Cascade!$E:$E,0)),"")</f>
        <v/>
      </c>
      <c r="Z77" s="118" t="str">
        <f aca="false">_xlfn.IFNA(INDEX(Cascade!$BN:$BN,MATCH($E77,Cascade!$E:$E,0)),"")</f>
        <v/>
      </c>
      <c r="AA77" s="118" t="str">
        <f aca="false">_xlfn.IFNA(INDEX(Cascade!$BP:$BP,MATCH($E77,Cascade!$E:$E,0)),"")</f>
        <v/>
      </c>
      <c r="AB77" s="118" t="str">
        <f aca="false">_xlfn.IFNA(INDEX(Cascade!$BR:$BR,MATCH($E77,Cascade!$E:$E,0)),"")</f>
        <v/>
      </c>
    </row>
    <row r="78" customFormat="false" ht="15" hidden="false" customHeight="false" outlineLevel="0" collapsed="false">
      <c r="A78" s="0" t="s">
        <v>143</v>
      </c>
      <c r="B78" s="0" t="s">
        <v>115</v>
      </c>
      <c r="C78" s="0" t="s">
        <v>80</v>
      </c>
      <c r="D78" s="0" t="s">
        <v>58</v>
      </c>
      <c r="E78" s="0" t="str">
        <f aca="false">B78&amp;"|"&amp;C78&amp;"|"&amp;D78</f>
        <v>Butha Buthe [#SNU] [mvPRqBFtVC0]|45-49|Male</v>
      </c>
      <c r="F78" s="73" t="n">
        <v>42</v>
      </c>
      <c r="G78" s="118" t="n">
        <f aca="false">IF(SUM($F78)&lt;=0,"",0%)</f>
        <v>0</v>
      </c>
      <c r="H78" s="75" t="n">
        <f aca="false">IF(SUM($F78)&lt;=0,"",$F78*(1+$G78))</f>
        <v>42</v>
      </c>
      <c r="I78" s="73" t="n">
        <v>31</v>
      </c>
      <c r="J78" s="118" t="n">
        <f aca="false">IF(SUM($H78)&lt;=0,"",100%)</f>
        <v>1</v>
      </c>
      <c r="K78" s="118" t="n">
        <v>43</v>
      </c>
      <c r="L78" s="118" t="n">
        <f aca="false">IF(SUM($K78)=0,"",$K78)</f>
        <v>43</v>
      </c>
      <c r="M78" s="118" t="n">
        <v>10</v>
      </c>
      <c r="N78" s="118" t="n">
        <f aca="false">IF(SUM($M78)=0,"",$M78)</f>
        <v>10</v>
      </c>
      <c r="O78" s="73" t="n">
        <f aca="false">IF(SUM($H78)&lt;=0,"",ROUND(SUM($H78)*SUM($J78),0))</f>
        <v>42</v>
      </c>
      <c r="P78" s="75" t="n">
        <f aca="false">IF(SUM($O78)&lt;=0,"",ROUND(SUM($O78)*SUM($L78),0))</f>
        <v>1806</v>
      </c>
      <c r="Q78" s="75" t="n">
        <f aca="false">IF(SUM($O78)&lt;=0,"",ROUND((SUM($O78)-SUM($P78))*SUM($N78),0))</f>
        <v>-17640</v>
      </c>
      <c r="R78" s="75" t="n">
        <f aca="false">IF(SUM($O78)&lt;=0,"",ROUND(SUM($O78)-SUM($P78)-SUM($Q78),0))</f>
        <v>15876</v>
      </c>
      <c r="S78" s="118" t="n">
        <f aca="false">_xlfn.IFNA(INDEX(Cascade!$BA:$BA,MATCH($E78,Cascade!$E:$E,0)),"")</f>
        <v>0.95</v>
      </c>
      <c r="T78" s="75" t="n">
        <f aca="false">IF(SUM($P78)&lt;=0,"",$P78)</f>
        <v>1806</v>
      </c>
      <c r="U78" s="75" t="str">
        <f aca="false">IF(SUM($Q78)&lt;=0,"",ROUND($Q78*$S78,0))</f>
        <v/>
      </c>
      <c r="V78" s="73" t="n">
        <f aca="false">_xlfn.IFNA(INDEX(Cascade!$BD:$BD,MATCH($E78,Cascade!$E:$E,0)),"")</f>
        <v>3</v>
      </c>
      <c r="W78" s="118" t="n">
        <f aca="false">IF(OR(SUM($V78)&lt;=0,SUM($Q78)=0),"",SUM($Q78)/$V78)</f>
        <v>-5880</v>
      </c>
      <c r="X78" s="118" t="n">
        <f aca="false">_xlfn.IFNA(INDEX(Cascade!$BL:$BL,MATCH($E78,Cascade!$E:$E,0)),"")</f>
        <v>0.666666666666667</v>
      </c>
      <c r="Y78" s="118" t="str">
        <f aca="false">_xlfn.IFNA(INDEX(Cascade!$BM:$BM,MATCH($E78,Cascade!$E:$E,0)),"")</f>
        <v/>
      </c>
      <c r="Z78" s="118" t="str">
        <f aca="false">_xlfn.IFNA(INDEX(Cascade!$BN:$BN,MATCH($E78,Cascade!$E:$E,0)),"")</f>
        <v/>
      </c>
      <c r="AA78" s="118" t="str">
        <f aca="false">_xlfn.IFNA(INDEX(Cascade!$BP:$BP,MATCH($E78,Cascade!$E:$E,0)),"")</f>
        <v/>
      </c>
      <c r="AB78" s="118" t="n">
        <f aca="false">_xlfn.IFNA(INDEX(Cascade!$BR:$BR,MATCH($E78,Cascade!$E:$E,0)),"")</f>
        <v>5880.33333333333</v>
      </c>
    </row>
    <row r="79" customFormat="false" ht="15" hidden="false" customHeight="false" outlineLevel="0" collapsed="false">
      <c r="A79" s="0" t="s">
        <v>143</v>
      </c>
      <c r="B79" s="0" t="s">
        <v>115</v>
      </c>
      <c r="C79" s="0" t="s">
        <v>86</v>
      </c>
      <c r="D79" s="0" t="s">
        <v>56</v>
      </c>
      <c r="E79" s="0" t="str">
        <f aca="false">B79&amp;"|"&amp;C79&amp;"|"&amp;D79</f>
        <v>Butha Buthe [#SNU] [mvPRqBFtVC0]|50+|Female</v>
      </c>
      <c r="F79" s="73" t="n">
        <v>48</v>
      </c>
      <c r="G79" s="118" t="n">
        <f aca="false">IF(SUM($F79)&lt;=0,"",0%)</f>
        <v>0</v>
      </c>
      <c r="H79" s="75" t="n">
        <f aca="false">IF(SUM($F79)&lt;=0,"",$F79*(1+$G79))</f>
        <v>48</v>
      </c>
      <c r="I79" s="73" t="n">
        <v>14</v>
      </c>
      <c r="J79" s="118" t="n">
        <f aca="false">IF(SUM($H79)&lt;=0,"",100%)</f>
        <v>1</v>
      </c>
      <c r="K79" s="118" t="n">
        <v>0</v>
      </c>
      <c r="L79" s="118" t="str">
        <f aca="false">IF(SUM($K79)=0,"",$K79)</f>
        <v/>
      </c>
      <c r="M79" s="118" t="n">
        <v>9</v>
      </c>
      <c r="N79" s="118" t="n">
        <f aca="false">IF(SUM($M79)=0,"",$M79)</f>
        <v>9</v>
      </c>
      <c r="O79" s="73" t="n">
        <f aca="false">IF(SUM($H79)&lt;=0,"",ROUND(SUM($H79)*SUM($J79),0))</f>
        <v>48</v>
      </c>
      <c r="P79" s="75" t="n">
        <f aca="false">IF(SUM($O79)&lt;=0,"",ROUND(SUM($O79)*SUM($L79),0))</f>
        <v>0</v>
      </c>
      <c r="Q79" s="75" t="n">
        <f aca="false">IF(SUM($O79)&lt;=0,"",ROUND((SUM($O79)-SUM($P79))*SUM($N79),0))</f>
        <v>432</v>
      </c>
      <c r="R79" s="75" t="n">
        <f aca="false">IF(SUM($O79)&lt;=0,"",ROUND(SUM($O79)-SUM($P79)-SUM($Q79),0))</f>
        <v>-384</v>
      </c>
      <c r="S79" s="118" t="n">
        <f aca="false">_xlfn.IFNA(INDEX(Cascade!$BA:$BA,MATCH($E79,Cascade!$E:$E,0)),"")</f>
        <v>0.95</v>
      </c>
      <c r="T79" s="75" t="str">
        <f aca="false">IF(SUM($P79)&lt;=0,"",$P79)</f>
        <v/>
      </c>
      <c r="U79" s="75" t="n">
        <f aca="false">IF(SUM($Q79)&lt;=0,"",ROUND($Q79*$S79,0))</f>
        <v>410</v>
      </c>
      <c r="V79" s="73" t="n">
        <f aca="false">_xlfn.IFNA(INDEX(Cascade!$BD:$BD,MATCH($E79,Cascade!$E:$E,0)),"")</f>
        <v>6</v>
      </c>
      <c r="W79" s="118" t="n">
        <f aca="false">IF(OR(SUM($V79)&lt;=0,SUM($Q79)=0),"",SUM($Q79)/$V79)</f>
        <v>72</v>
      </c>
      <c r="X79" s="118" t="n">
        <f aca="false">_xlfn.IFNA(INDEX(Cascade!$BL:$BL,MATCH($E79,Cascade!$E:$E,0)),"")</f>
        <v>0.5</v>
      </c>
      <c r="Y79" s="118" t="str">
        <f aca="false">_xlfn.IFNA(INDEX(Cascade!$BM:$BM,MATCH($E79,Cascade!$E:$E,0)),"")</f>
        <v/>
      </c>
      <c r="Z79" s="118" t="str">
        <f aca="false">_xlfn.IFNA(INDEX(Cascade!$BN:$BN,MATCH($E79,Cascade!$E:$E,0)),"")</f>
        <v/>
      </c>
      <c r="AA79" s="118" t="str">
        <f aca="false">_xlfn.IFNA(INDEX(Cascade!$BP:$BP,MATCH($E79,Cascade!$E:$E,0)),"")</f>
        <v/>
      </c>
      <c r="AB79" s="118" t="n">
        <f aca="false">_xlfn.IFNA(INDEX(Cascade!$BR:$BR,MATCH($E79,Cascade!$E:$E,0)),"")</f>
        <v>-71.5</v>
      </c>
    </row>
    <row r="80" customFormat="false" ht="15" hidden="false" customHeight="false" outlineLevel="0" collapsed="false">
      <c r="A80" s="0" t="s">
        <v>143</v>
      </c>
      <c r="B80" s="0" t="s">
        <v>115</v>
      </c>
      <c r="C80" s="0" t="s">
        <v>86</v>
      </c>
      <c r="D80" s="0" t="s">
        <v>58</v>
      </c>
      <c r="E80" s="0" t="str">
        <f aca="false">B80&amp;"|"&amp;C80&amp;"|"&amp;D80</f>
        <v>Butha Buthe [#SNU] [mvPRqBFtVC0]|50+|Male</v>
      </c>
      <c r="F80" s="73" t="n">
        <v>44</v>
      </c>
      <c r="G80" s="118" t="n">
        <f aca="false">IF(SUM($F80)&lt;=0,"",0%)</f>
        <v>0</v>
      </c>
      <c r="H80" s="75" t="n">
        <f aca="false">IF(SUM($F80)&lt;=0,"",$F80*(1+$G80))</f>
        <v>44</v>
      </c>
      <c r="I80" s="73" t="n">
        <v>36</v>
      </c>
      <c r="J80" s="118" t="n">
        <f aca="false">IF(SUM($H80)&lt;=0,"",100%)</f>
        <v>1</v>
      </c>
      <c r="K80" s="118" t="n">
        <v>34</v>
      </c>
      <c r="L80" s="118" t="n">
        <f aca="false">IF(SUM($K80)=0,"",$K80)</f>
        <v>34</v>
      </c>
      <c r="M80" s="118" t="n">
        <v>10</v>
      </c>
      <c r="N80" s="118" t="n">
        <f aca="false">IF(SUM($M80)=0,"",$M80)</f>
        <v>10</v>
      </c>
      <c r="O80" s="73" t="n">
        <f aca="false">IF(SUM($H80)&lt;=0,"",ROUND(SUM($H80)*SUM($J80),0))</f>
        <v>44</v>
      </c>
      <c r="P80" s="75" t="n">
        <f aca="false">IF(SUM($O80)&lt;=0,"",ROUND(SUM($O80)*SUM($L80),0))</f>
        <v>1496</v>
      </c>
      <c r="Q80" s="75" t="n">
        <f aca="false">IF(SUM($O80)&lt;=0,"",ROUND((SUM($O80)-SUM($P80))*SUM($N80),0))</f>
        <v>-14520</v>
      </c>
      <c r="R80" s="75" t="n">
        <f aca="false">IF(SUM($O80)&lt;=0,"",ROUND(SUM($O80)-SUM($P80)-SUM($Q80),0))</f>
        <v>13068</v>
      </c>
      <c r="S80" s="118" t="n">
        <f aca="false">_xlfn.IFNA(INDEX(Cascade!$BA:$BA,MATCH($E80,Cascade!$E:$E,0)),"")</f>
        <v>0.95</v>
      </c>
      <c r="T80" s="75" t="n">
        <f aca="false">IF(SUM($P80)&lt;=0,"",$P80)</f>
        <v>1496</v>
      </c>
      <c r="U80" s="75" t="str">
        <f aca="false">IF(SUM($Q80)&lt;=0,"",ROUND($Q80*$S80,0))</f>
        <v/>
      </c>
      <c r="V80" s="73" t="n">
        <f aca="false">_xlfn.IFNA(INDEX(Cascade!$BD:$BD,MATCH($E80,Cascade!$E:$E,0)),"")</f>
        <v>13</v>
      </c>
      <c r="W80" s="118" t="n">
        <f aca="false">IF(OR(SUM($V80)&lt;=0,SUM($Q80)=0),"",SUM($Q80)/$V80)</f>
        <v>-1116.92307692308</v>
      </c>
      <c r="X80" s="118" t="n">
        <f aca="false">_xlfn.IFNA(INDEX(Cascade!$BL:$BL,MATCH($E80,Cascade!$E:$E,0)),"")</f>
        <v>0.538461538461538</v>
      </c>
      <c r="Y80" s="118" t="str">
        <f aca="false">_xlfn.IFNA(INDEX(Cascade!$BM:$BM,MATCH($E80,Cascade!$E:$E,0)),"")</f>
        <v/>
      </c>
      <c r="Z80" s="118" t="str">
        <f aca="false">_xlfn.IFNA(INDEX(Cascade!$BN:$BN,MATCH($E80,Cascade!$E:$E,0)),"")</f>
        <v/>
      </c>
      <c r="AA80" s="118" t="str">
        <f aca="false">_xlfn.IFNA(INDEX(Cascade!$BP:$BP,MATCH($E80,Cascade!$E:$E,0)),"")</f>
        <v/>
      </c>
      <c r="AB80" s="118" t="n">
        <f aca="false">_xlfn.IFNA(INDEX(Cascade!$BR:$BR,MATCH($E80,Cascade!$E:$E,0)),"")</f>
        <v>1117.38461538462</v>
      </c>
    </row>
    <row r="81" customFormat="false" ht="15" hidden="false" customHeight="false" outlineLevel="0" collapsed="false">
      <c r="A81" s="0" t="s">
        <v>144</v>
      </c>
      <c r="B81" s="0" t="s">
        <v>103</v>
      </c>
      <c r="C81" s="0" t="s">
        <v>54</v>
      </c>
      <c r="D81" s="0" t="s">
        <v>56</v>
      </c>
      <c r="E81" s="0" t="str">
        <f aca="false">B81&amp;"|"&amp;C81&amp;"|"&amp;D81</f>
        <v>Leribe [#SNU] [FjSmRywOWUp]|01-04|Female</v>
      </c>
      <c r="F81" s="73" t="n">
        <v>12</v>
      </c>
      <c r="G81" s="118" t="n">
        <f aca="false">IF(SUM($F81)&lt;=0,"",0%)</f>
        <v>0</v>
      </c>
      <c r="H81" s="75" t="n">
        <f aca="false">IF(SUM($F81)&lt;=0,"",$F81*(1+$G81))</f>
        <v>12</v>
      </c>
      <c r="I81" s="73"/>
      <c r="J81" s="118" t="n">
        <f aca="false">IF(SUM($H81)&lt;=0,"",100%)</f>
        <v>1</v>
      </c>
      <c r="K81" s="118"/>
      <c r="L81" s="118" t="str">
        <f aca="false">IF(SUM($K81)=0,"",$K81)</f>
        <v/>
      </c>
      <c r="M81" s="118"/>
      <c r="N81" s="118" t="str">
        <f aca="false">IF(SUM($M81)=0,"",$M81)</f>
        <v/>
      </c>
      <c r="O81" s="73" t="n">
        <f aca="false">IF(SUM($H81)&lt;=0,"",ROUND(SUM($H81)*SUM($J81),0))</f>
        <v>12</v>
      </c>
      <c r="P81" s="75" t="n">
        <f aca="false">IF(SUM($O81)&lt;=0,"",ROUND(SUM($O81)*SUM($L81),0))</f>
        <v>0</v>
      </c>
      <c r="Q81" s="75" t="n">
        <f aca="false">IF(SUM($O81)&lt;=0,"",ROUND((SUM($O81)-SUM($P81))*SUM($N81),0))</f>
        <v>0</v>
      </c>
      <c r="R81" s="75" t="n">
        <f aca="false">IF(SUM($O81)&lt;=0,"",ROUND(SUM($O81)-SUM($P81)-SUM($Q81),0))</f>
        <v>12</v>
      </c>
      <c r="S81" s="118" t="n">
        <f aca="false">_xlfn.IFNA(INDEX(Cascade!$BA:$BA,MATCH($E81,Cascade!$E:$E,0)),"")</f>
        <v>0.95</v>
      </c>
      <c r="T81" s="75" t="str">
        <f aca="false">IF(SUM($P81)&lt;=0,"",$P81)</f>
        <v/>
      </c>
      <c r="U81" s="75" t="str">
        <f aca="false">IF(SUM($Q81)&lt;=0,"",ROUND($Q81*$S81,0))</f>
        <v/>
      </c>
      <c r="V81" s="73" t="n">
        <f aca="false">_xlfn.IFNA(INDEX(Cascade!$BD:$BD,MATCH($E81,Cascade!$E:$E,0)),"")</f>
        <v>14</v>
      </c>
      <c r="W81" s="118" t="str">
        <f aca="false">IF(OR(SUM($V81)&lt;=0,SUM($Q81)=0),"",SUM($Q81)/$V81)</f>
        <v/>
      </c>
      <c r="X81" s="118" t="n">
        <f aca="false">_xlfn.IFNA(INDEX(Cascade!$BL:$BL,MATCH($E81,Cascade!$E:$E,0)),"")</f>
        <v>0.285714285714286</v>
      </c>
      <c r="Y81" s="118" t="str">
        <f aca="false">_xlfn.IFNA(INDEX(Cascade!$BM:$BM,MATCH($E81,Cascade!$E:$E,0)),"")</f>
        <v/>
      </c>
      <c r="Z81" s="118" t="str">
        <f aca="false">_xlfn.IFNA(INDEX(Cascade!$BN:$BN,MATCH($E81,Cascade!$E:$E,0)),"")</f>
        <v/>
      </c>
      <c r="AA81" s="118" t="str">
        <f aca="false">_xlfn.IFNA(INDEX(Cascade!$BP:$BP,MATCH($E81,Cascade!$E:$E,0)),"")</f>
        <v/>
      </c>
      <c r="AB81" s="118" t="n">
        <f aca="false">_xlfn.IFNA(INDEX(Cascade!$BR:$BR,MATCH($E81,Cascade!$E:$E,0)),"")</f>
        <v>0.714285714285714</v>
      </c>
    </row>
    <row r="82" customFormat="false" ht="15" hidden="false" customHeight="false" outlineLevel="0" collapsed="false">
      <c r="A82" s="0" t="s">
        <v>144</v>
      </c>
      <c r="B82" s="0" t="s">
        <v>103</v>
      </c>
      <c r="C82" s="0" t="s">
        <v>54</v>
      </c>
      <c r="D82" s="0" t="s">
        <v>58</v>
      </c>
      <c r="E82" s="0" t="str">
        <f aca="false">B82&amp;"|"&amp;C82&amp;"|"&amp;D82</f>
        <v>Leribe [#SNU] [FjSmRywOWUp]|01-04|Male</v>
      </c>
      <c r="F82" s="73" t="n">
        <v>24</v>
      </c>
      <c r="G82" s="118" t="n">
        <f aca="false">IF(SUM($F82)&lt;=0,"",0%)</f>
        <v>0</v>
      </c>
      <c r="H82" s="75" t="n">
        <f aca="false">IF(SUM($F82)&lt;=0,"",$F82*(1+$G82))</f>
        <v>24</v>
      </c>
      <c r="I82" s="73"/>
      <c r="J82" s="118" t="n">
        <f aca="false">IF(SUM($H82)&lt;=0,"",100%)</f>
        <v>1</v>
      </c>
      <c r="K82" s="118" t="n">
        <v>22</v>
      </c>
      <c r="L82" s="118" t="n">
        <f aca="false">IF(SUM($K82)=0,"",$K82)</f>
        <v>22</v>
      </c>
      <c r="M82" s="118"/>
      <c r="N82" s="118" t="str">
        <f aca="false">IF(SUM($M82)=0,"",$M82)</f>
        <v/>
      </c>
      <c r="O82" s="73" t="n">
        <f aca="false">IF(SUM($H82)&lt;=0,"",ROUND(SUM($H82)*SUM($J82),0))</f>
        <v>24</v>
      </c>
      <c r="P82" s="75" t="n">
        <f aca="false">IF(SUM($O82)&lt;=0,"",ROUND(SUM($O82)*SUM($L82),0))</f>
        <v>528</v>
      </c>
      <c r="Q82" s="75" t="n">
        <f aca="false">IF(SUM($O82)&lt;=0,"",ROUND((SUM($O82)-SUM($P82))*SUM($N82),0))</f>
        <v>-0</v>
      </c>
      <c r="R82" s="75" t="n">
        <f aca="false">IF(SUM($O82)&lt;=0,"",ROUND(SUM($O82)-SUM($P82)-SUM($Q82),0))</f>
        <v>-504</v>
      </c>
      <c r="S82" s="118" t="n">
        <f aca="false">_xlfn.IFNA(INDEX(Cascade!$BA:$BA,MATCH($E82,Cascade!$E:$E,0)),"")</f>
        <v>0.95</v>
      </c>
      <c r="T82" s="75" t="n">
        <f aca="false">IF(SUM($P82)&lt;=0,"",$P82)</f>
        <v>528</v>
      </c>
      <c r="U82" s="75" t="str">
        <f aca="false">IF(SUM($Q82)&lt;=0,"",ROUND($Q82*$S82,0))</f>
        <v/>
      </c>
      <c r="V82" s="73" t="n">
        <f aca="false">_xlfn.IFNA(INDEX(Cascade!$BD:$BD,MATCH($E82,Cascade!$E:$E,0)),"")</f>
        <v>8</v>
      </c>
      <c r="W82" s="118" t="str">
        <f aca="false">IF(OR(SUM($V82)&lt;=0,SUM($Q82)=0),"",SUM($Q82)/$V82)</f>
        <v/>
      </c>
      <c r="X82" s="118" t="n">
        <f aca="false">_xlfn.IFNA(INDEX(Cascade!$BL:$BL,MATCH($E82,Cascade!$E:$E,0)),"")</f>
        <v>0.25</v>
      </c>
      <c r="Y82" s="118" t="str">
        <f aca="false">_xlfn.IFNA(INDEX(Cascade!$BM:$BM,MATCH($E82,Cascade!$E:$E,0)),"")</f>
        <v/>
      </c>
      <c r="Z82" s="118" t="str">
        <f aca="false">_xlfn.IFNA(INDEX(Cascade!$BN:$BN,MATCH($E82,Cascade!$E:$E,0)),"")</f>
        <v/>
      </c>
      <c r="AA82" s="118" t="str">
        <f aca="false">_xlfn.IFNA(INDEX(Cascade!$BP:$BP,MATCH($E82,Cascade!$E:$E,0)),"")</f>
        <v/>
      </c>
      <c r="AB82" s="118" t="n">
        <f aca="false">_xlfn.IFNA(INDEX(Cascade!$BR:$BR,MATCH($E82,Cascade!$E:$E,0)),"")</f>
        <v>0.75</v>
      </c>
    </row>
    <row r="83" customFormat="false" ht="15" hidden="false" customHeight="false" outlineLevel="0" collapsed="false">
      <c r="A83" s="0" t="s">
        <v>144</v>
      </c>
      <c r="B83" s="0" t="s">
        <v>103</v>
      </c>
      <c r="C83" s="0" t="s">
        <v>83</v>
      </c>
      <c r="D83" s="0" t="s">
        <v>56</v>
      </c>
      <c r="E83" s="0" t="str">
        <f aca="false">B83&amp;"|"&amp;C83&amp;"|"&amp;D83</f>
        <v>Leribe [#SNU] [FjSmRywOWUp]|05-09|Female</v>
      </c>
      <c r="F83" s="73" t="n">
        <v>48</v>
      </c>
      <c r="G83" s="118" t="n">
        <f aca="false">IF(SUM($F83)&lt;=0,"",0%)</f>
        <v>0</v>
      </c>
      <c r="H83" s="75" t="n">
        <f aca="false">IF(SUM($F83)&lt;=0,"",$F83*(1+$G83))</f>
        <v>48</v>
      </c>
      <c r="I83" s="73" t="n">
        <v>5</v>
      </c>
      <c r="J83" s="118" t="n">
        <f aca="false">IF(SUM($H83)&lt;=0,"",100%)</f>
        <v>1</v>
      </c>
      <c r="K83" s="118"/>
      <c r="L83" s="118" t="str">
        <f aca="false">IF(SUM($K83)=0,"",$K83)</f>
        <v/>
      </c>
      <c r="M83" s="118"/>
      <c r="N83" s="118" t="str">
        <f aca="false">IF(SUM($M83)=0,"",$M83)</f>
        <v/>
      </c>
      <c r="O83" s="73" t="n">
        <f aca="false">IF(SUM($H83)&lt;=0,"",ROUND(SUM($H83)*SUM($J83),0))</f>
        <v>48</v>
      </c>
      <c r="P83" s="75" t="n">
        <f aca="false">IF(SUM($O83)&lt;=0,"",ROUND(SUM($O83)*SUM($L83),0))</f>
        <v>0</v>
      </c>
      <c r="Q83" s="75" t="n">
        <f aca="false">IF(SUM($O83)&lt;=0,"",ROUND((SUM($O83)-SUM($P83))*SUM($N83),0))</f>
        <v>0</v>
      </c>
      <c r="R83" s="75" t="n">
        <f aca="false">IF(SUM($O83)&lt;=0,"",ROUND(SUM($O83)-SUM($P83)-SUM($Q83),0))</f>
        <v>48</v>
      </c>
      <c r="S83" s="118" t="n">
        <f aca="false">_xlfn.IFNA(INDEX(Cascade!$BA:$BA,MATCH($E83,Cascade!$E:$E,0)),"")</f>
        <v>0.95</v>
      </c>
      <c r="T83" s="75" t="str">
        <f aca="false">IF(SUM($P83)&lt;=0,"",$P83)</f>
        <v/>
      </c>
      <c r="U83" s="75" t="str">
        <f aca="false">IF(SUM($Q83)&lt;=0,"",ROUND($Q83*$S83,0))</f>
        <v/>
      </c>
      <c r="V83" s="73" t="n">
        <f aca="false">_xlfn.IFNA(INDEX(Cascade!$BD:$BD,MATCH($E83,Cascade!$E:$E,0)),"")</f>
        <v>11</v>
      </c>
      <c r="W83" s="118" t="str">
        <f aca="false">IF(OR(SUM($V83)&lt;=0,SUM($Q83)=0),"",SUM($Q83)/$V83)</f>
        <v/>
      </c>
      <c r="X83" s="118" t="n">
        <f aca="false">_xlfn.IFNA(INDEX(Cascade!$BL:$BL,MATCH($E83,Cascade!$E:$E,0)),"")</f>
        <v>0.272727272727273</v>
      </c>
      <c r="Y83" s="118" t="str">
        <f aca="false">_xlfn.IFNA(INDEX(Cascade!$BM:$BM,MATCH($E83,Cascade!$E:$E,0)),"")</f>
        <v/>
      </c>
      <c r="Z83" s="118" t="str">
        <f aca="false">_xlfn.IFNA(INDEX(Cascade!$BN:$BN,MATCH($E83,Cascade!$E:$E,0)),"")</f>
        <v/>
      </c>
      <c r="AA83" s="118" t="str">
        <f aca="false">_xlfn.IFNA(INDEX(Cascade!$BP:$BP,MATCH($E83,Cascade!$E:$E,0)),"")</f>
        <v/>
      </c>
      <c r="AB83" s="118" t="n">
        <f aca="false">_xlfn.IFNA(INDEX(Cascade!$BR:$BR,MATCH($E83,Cascade!$E:$E,0)),"")</f>
        <v>0.727272727272727</v>
      </c>
    </row>
    <row r="84" customFormat="false" ht="15" hidden="false" customHeight="false" outlineLevel="0" collapsed="false">
      <c r="A84" s="0" t="s">
        <v>144</v>
      </c>
      <c r="B84" s="0" t="s">
        <v>103</v>
      </c>
      <c r="C84" s="0" t="s">
        <v>83</v>
      </c>
      <c r="D84" s="0" t="s">
        <v>58</v>
      </c>
      <c r="E84" s="0" t="str">
        <f aca="false">B84&amp;"|"&amp;C84&amp;"|"&amp;D84</f>
        <v>Leribe [#SNU] [FjSmRywOWUp]|05-09|Male</v>
      </c>
      <c r="F84" s="73" t="n">
        <v>8</v>
      </c>
      <c r="G84" s="118" t="n">
        <f aca="false">IF(SUM($F84)&lt;=0,"",0%)</f>
        <v>0</v>
      </c>
      <c r="H84" s="75" t="n">
        <f aca="false">IF(SUM($F84)&lt;=0,"",$F84*(1+$G84))</f>
        <v>8</v>
      </c>
      <c r="I84" s="73" t="n">
        <v>17</v>
      </c>
      <c r="J84" s="118" t="n">
        <f aca="false">IF(SUM($H84)&lt;=0,"",100%)</f>
        <v>1</v>
      </c>
      <c r="K84" s="118" t="n">
        <v>26</v>
      </c>
      <c r="L84" s="118" t="n">
        <f aca="false">IF(SUM($K84)=0,"",$K84)</f>
        <v>26</v>
      </c>
      <c r="M84" s="118"/>
      <c r="N84" s="118" t="str">
        <f aca="false">IF(SUM($M84)=0,"",$M84)</f>
        <v/>
      </c>
      <c r="O84" s="73" t="n">
        <f aca="false">IF(SUM($H84)&lt;=0,"",ROUND(SUM($H84)*SUM($J84),0))</f>
        <v>8</v>
      </c>
      <c r="P84" s="75" t="n">
        <f aca="false">IF(SUM($O84)&lt;=0,"",ROUND(SUM($O84)*SUM($L84),0))</f>
        <v>208</v>
      </c>
      <c r="Q84" s="75" t="n">
        <f aca="false">IF(SUM($O84)&lt;=0,"",ROUND((SUM($O84)-SUM($P84))*SUM($N84),0))</f>
        <v>-0</v>
      </c>
      <c r="R84" s="75" t="n">
        <f aca="false">IF(SUM($O84)&lt;=0,"",ROUND(SUM($O84)-SUM($P84)-SUM($Q84),0))</f>
        <v>-200</v>
      </c>
      <c r="S84" s="118" t="n">
        <f aca="false">_xlfn.IFNA(INDEX(Cascade!$BA:$BA,MATCH($E84,Cascade!$E:$E,0)),"")</f>
        <v>0.95</v>
      </c>
      <c r="T84" s="75" t="n">
        <f aca="false">IF(SUM($P84)&lt;=0,"",$P84)</f>
        <v>208</v>
      </c>
      <c r="U84" s="75" t="str">
        <f aca="false">IF(SUM($Q84)&lt;=0,"",ROUND($Q84*$S84,0))</f>
        <v/>
      </c>
      <c r="V84" s="73" t="n">
        <f aca="false">_xlfn.IFNA(INDEX(Cascade!$BD:$BD,MATCH($E84,Cascade!$E:$E,0)),"")</f>
        <v>7</v>
      </c>
      <c r="W84" s="118" t="str">
        <f aca="false">IF(OR(SUM($V84)&lt;=0,SUM($Q84)=0),"",SUM($Q84)/$V84)</f>
        <v/>
      </c>
      <c r="X84" s="118" t="n">
        <f aca="false">_xlfn.IFNA(INDEX(Cascade!$BL:$BL,MATCH($E84,Cascade!$E:$E,0)),"")</f>
        <v>0.285714285714286</v>
      </c>
      <c r="Y84" s="118" t="str">
        <f aca="false">_xlfn.IFNA(INDEX(Cascade!$BM:$BM,MATCH($E84,Cascade!$E:$E,0)),"")</f>
        <v/>
      </c>
      <c r="Z84" s="118" t="str">
        <f aca="false">_xlfn.IFNA(INDEX(Cascade!$BN:$BN,MATCH($E84,Cascade!$E:$E,0)),"")</f>
        <v/>
      </c>
      <c r="AA84" s="118" t="str">
        <f aca="false">_xlfn.IFNA(INDEX(Cascade!$BP:$BP,MATCH($E84,Cascade!$E:$E,0)),"")</f>
        <v/>
      </c>
      <c r="AB84" s="118" t="n">
        <f aca="false">_xlfn.IFNA(INDEX(Cascade!$BR:$BR,MATCH($E84,Cascade!$E:$E,0)),"")</f>
        <v>0.714285714285714</v>
      </c>
    </row>
    <row r="85" customFormat="false" ht="15" hidden="false" customHeight="false" outlineLevel="0" collapsed="false">
      <c r="A85" s="0" t="s">
        <v>144</v>
      </c>
      <c r="B85" s="0" t="s">
        <v>103</v>
      </c>
      <c r="C85" s="0" t="s">
        <v>61</v>
      </c>
      <c r="D85" s="0" t="s">
        <v>56</v>
      </c>
      <c r="E85" s="0" t="str">
        <f aca="false">B85&amp;"|"&amp;C85&amp;"|"&amp;D85</f>
        <v>Leribe [#SNU] [FjSmRywOWUp]|10-14|Female</v>
      </c>
      <c r="F85" s="73" t="n">
        <v>41</v>
      </c>
      <c r="G85" s="118" t="n">
        <f aca="false">IF(SUM($F85)&lt;=0,"",0%)</f>
        <v>0</v>
      </c>
      <c r="H85" s="75" t="n">
        <f aca="false">IF(SUM($F85)&lt;=0,"",$F85*(1+$G85))</f>
        <v>41</v>
      </c>
      <c r="I85" s="73"/>
      <c r="J85" s="118" t="n">
        <f aca="false">IF(SUM($H85)&lt;=0,"",100%)</f>
        <v>1</v>
      </c>
      <c r="K85" s="118" t="n">
        <v>13</v>
      </c>
      <c r="L85" s="118" t="n">
        <f aca="false">IF(SUM($K85)=0,"",$K85)</f>
        <v>13</v>
      </c>
      <c r="M85" s="118" t="n">
        <v>21</v>
      </c>
      <c r="N85" s="118" t="n">
        <f aca="false">IF(SUM($M85)=0,"",$M85)</f>
        <v>21</v>
      </c>
      <c r="O85" s="73" t="n">
        <f aca="false">IF(SUM($H85)&lt;=0,"",ROUND(SUM($H85)*SUM($J85),0))</f>
        <v>41</v>
      </c>
      <c r="P85" s="75" t="n">
        <f aca="false">IF(SUM($O85)&lt;=0,"",ROUND(SUM($O85)*SUM($L85),0))</f>
        <v>533</v>
      </c>
      <c r="Q85" s="75" t="n">
        <f aca="false">IF(SUM($O85)&lt;=0,"",ROUND((SUM($O85)-SUM($P85))*SUM($N85),0))</f>
        <v>-10332</v>
      </c>
      <c r="R85" s="75" t="n">
        <f aca="false">IF(SUM($O85)&lt;=0,"",ROUND(SUM($O85)-SUM($P85)-SUM($Q85),0))</f>
        <v>9840</v>
      </c>
      <c r="S85" s="118" t="n">
        <f aca="false">_xlfn.IFNA(INDEX(Cascade!$BA:$BA,MATCH($E85,Cascade!$E:$E,0)),"")</f>
        <v>0.95</v>
      </c>
      <c r="T85" s="75" t="n">
        <f aca="false">IF(SUM($P85)&lt;=0,"",$P85)</f>
        <v>533</v>
      </c>
      <c r="U85" s="75" t="str">
        <f aca="false">IF(SUM($Q85)&lt;=0,"",ROUND($Q85*$S85,0))</f>
        <v/>
      </c>
      <c r="V85" s="73" t="n">
        <f aca="false">_xlfn.IFNA(INDEX(Cascade!$BD:$BD,MATCH($E85,Cascade!$E:$E,0)),"")</f>
        <v>5</v>
      </c>
      <c r="W85" s="118" t="n">
        <f aca="false">IF(OR(SUM($V85)&lt;=0,SUM($Q85)=0),"",SUM($Q85)/$V85)</f>
        <v>-2066.4</v>
      </c>
      <c r="X85" s="118" t="n">
        <f aca="false">_xlfn.IFNA(INDEX(Cascade!$BL:$BL,MATCH($E85,Cascade!$E:$E,0)),"")</f>
        <v>0.8</v>
      </c>
      <c r="Y85" s="118" t="str">
        <f aca="false">_xlfn.IFNA(INDEX(Cascade!$BM:$BM,MATCH($E85,Cascade!$E:$E,0)),"")</f>
        <v/>
      </c>
      <c r="Z85" s="118" t="str">
        <f aca="false">_xlfn.IFNA(INDEX(Cascade!$BN:$BN,MATCH($E85,Cascade!$E:$E,0)),"")</f>
        <v/>
      </c>
      <c r="AA85" s="118" t="str">
        <f aca="false">_xlfn.IFNA(INDEX(Cascade!$BP:$BP,MATCH($E85,Cascade!$E:$E,0)),"")</f>
        <v/>
      </c>
      <c r="AB85" s="118" t="n">
        <f aca="false">_xlfn.IFNA(INDEX(Cascade!$BR:$BR,MATCH($E85,Cascade!$E:$E,0)),"")</f>
        <v>2066.6</v>
      </c>
    </row>
    <row r="86" customFormat="false" ht="15" hidden="false" customHeight="false" outlineLevel="0" collapsed="false">
      <c r="A86" s="0" t="s">
        <v>144</v>
      </c>
      <c r="B86" s="0" t="s">
        <v>103</v>
      </c>
      <c r="C86" s="0" t="s">
        <v>61</v>
      </c>
      <c r="D86" s="0" t="s">
        <v>58</v>
      </c>
      <c r="E86" s="0" t="str">
        <f aca="false">B86&amp;"|"&amp;C86&amp;"|"&amp;D86</f>
        <v>Leribe [#SNU] [FjSmRywOWUp]|10-14|Male</v>
      </c>
      <c r="F86" s="73" t="n">
        <v>29</v>
      </c>
      <c r="G86" s="118" t="n">
        <f aca="false">IF(SUM($F86)&lt;=0,"",0%)</f>
        <v>0</v>
      </c>
      <c r="H86" s="75" t="n">
        <f aca="false">IF(SUM($F86)&lt;=0,"",$F86*(1+$G86))</f>
        <v>29</v>
      </c>
      <c r="I86" s="73" t="n">
        <v>5</v>
      </c>
      <c r="J86" s="118" t="n">
        <f aca="false">IF(SUM($H86)&lt;=0,"",100%)</f>
        <v>1</v>
      </c>
      <c r="K86" s="118" t="n">
        <v>42</v>
      </c>
      <c r="L86" s="118" t="n">
        <f aca="false">IF(SUM($K86)=0,"",$K86)</f>
        <v>42</v>
      </c>
      <c r="M86" s="118"/>
      <c r="N86" s="118" t="str">
        <f aca="false">IF(SUM($M86)=0,"",$M86)</f>
        <v/>
      </c>
      <c r="O86" s="73" t="n">
        <f aca="false">IF(SUM($H86)&lt;=0,"",ROUND(SUM($H86)*SUM($J86),0))</f>
        <v>29</v>
      </c>
      <c r="P86" s="75" t="n">
        <f aca="false">IF(SUM($O86)&lt;=0,"",ROUND(SUM($O86)*SUM($L86),0))</f>
        <v>1218</v>
      </c>
      <c r="Q86" s="75" t="n">
        <f aca="false">IF(SUM($O86)&lt;=0,"",ROUND((SUM($O86)-SUM($P86))*SUM($N86),0))</f>
        <v>-0</v>
      </c>
      <c r="R86" s="75" t="n">
        <f aca="false">IF(SUM($O86)&lt;=0,"",ROUND(SUM($O86)-SUM($P86)-SUM($Q86),0))</f>
        <v>-1189</v>
      </c>
      <c r="S86" s="118" t="n">
        <f aca="false">_xlfn.IFNA(INDEX(Cascade!$BA:$BA,MATCH($E86,Cascade!$E:$E,0)),"")</f>
        <v>0.95</v>
      </c>
      <c r="T86" s="75" t="n">
        <f aca="false">IF(SUM($P86)&lt;=0,"",$P86)</f>
        <v>1218</v>
      </c>
      <c r="U86" s="75" t="str">
        <f aca="false">IF(SUM($Q86)&lt;=0,"",ROUND($Q86*$S86,0))</f>
        <v/>
      </c>
      <c r="V86" s="73" t="n">
        <f aca="false">_xlfn.IFNA(INDEX(Cascade!$BD:$BD,MATCH($E86,Cascade!$E:$E,0)),"")</f>
        <v>1</v>
      </c>
      <c r="W86" s="118" t="str">
        <f aca="false">IF(OR(SUM($V86)&lt;=0,SUM($Q86)=0),"",SUM($Q86)/$V86)</f>
        <v/>
      </c>
      <c r="X86" s="118" t="n">
        <f aca="false">_xlfn.IFNA(INDEX(Cascade!$BL:$BL,MATCH($E86,Cascade!$E:$E,0)),"")</f>
        <v>1</v>
      </c>
      <c r="Y86" s="118" t="str">
        <f aca="false">_xlfn.IFNA(INDEX(Cascade!$BM:$BM,MATCH($E86,Cascade!$E:$E,0)),"")</f>
        <v/>
      </c>
      <c r="Z86" s="118" t="str">
        <f aca="false">_xlfn.IFNA(INDEX(Cascade!$BN:$BN,MATCH($E86,Cascade!$E:$E,0)),"")</f>
        <v/>
      </c>
      <c r="AA86" s="118" t="str">
        <f aca="false">_xlfn.IFNA(INDEX(Cascade!$BP:$BP,MATCH($E86,Cascade!$E:$E,0)),"")</f>
        <v/>
      </c>
      <c r="AB86" s="118" t="str">
        <f aca="false">_xlfn.IFNA(INDEX(Cascade!$BR:$BR,MATCH($E86,Cascade!$E:$E,0)),"")</f>
        <v/>
      </c>
    </row>
    <row r="87" customFormat="false" ht="15" hidden="false" customHeight="false" outlineLevel="0" collapsed="false">
      <c r="A87" s="0" t="s">
        <v>144</v>
      </c>
      <c r="B87" s="0" t="s">
        <v>103</v>
      </c>
      <c r="C87" s="0" t="s">
        <v>63</v>
      </c>
      <c r="D87" s="0" t="s">
        <v>56</v>
      </c>
      <c r="E87" s="0" t="str">
        <f aca="false">B87&amp;"|"&amp;C87&amp;"|"&amp;D87</f>
        <v>Leribe [#SNU] [FjSmRywOWUp]|15-19|Female</v>
      </c>
      <c r="F87" s="73" t="n">
        <v>11</v>
      </c>
      <c r="G87" s="118" t="n">
        <f aca="false">IF(SUM($F87)&lt;=0,"",0%)</f>
        <v>0</v>
      </c>
      <c r="H87" s="75" t="n">
        <f aca="false">IF(SUM($F87)&lt;=0,"",$F87*(1+$G87))</f>
        <v>11</v>
      </c>
      <c r="I87" s="73"/>
      <c r="J87" s="118" t="n">
        <f aca="false">IF(SUM($H87)&lt;=0,"",100%)</f>
        <v>1</v>
      </c>
      <c r="K87" s="118" t="n">
        <v>22</v>
      </c>
      <c r="L87" s="118" t="n">
        <f aca="false">IF(SUM($K87)=0,"",$K87)</f>
        <v>22</v>
      </c>
      <c r="M87" s="118" t="n">
        <v>49</v>
      </c>
      <c r="N87" s="118" t="n">
        <f aca="false">IF(SUM($M87)=0,"",$M87)</f>
        <v>49</v>
      </c>
      <c r="O87" s="73" t="n">
        <f aca="false">IF(SUM($H87)&lt;=0,"",ROUND(SUM($H87)*SUM($J87),0))</f>
        <v>11</v>
      </c>
      <c r="P87" s="75" t="n">
        <f aca="false">IF(SUM($O87)&lt;=0,"",ROUND(SUM($O87)*SUM($L87),0))</f>
        <v>242</v>
      </c>
      <c r="Q87" s="75" t="n">
        <f aca="false">IF(SUM($O87)&lt;=0,"",ROUND((SUM($O87)-SUM($P87))*SUM($N87),0))</f>
        <v>-11319</v>
      </c>
      <c r="R87" s="75" t="n">
        <f aca="false">IF(SUM($O87)&lt;=0,"",ROUND(SUM($O87)-SUM($P87)-SUM($Q87),0))</f>
        <v>11088</v>
      </c>
      <c r="S87" s="118" t="n">
        <f aca="false">_xlfn.IFNA(INDEX(Cascade!$BA:$BA,MATCH($E87,Cascade!$E:$E,0)),"")</f>
        <v>0.95</v>
      </c>
      <c r="T87" s="75" t="n">
        <f aca="false">IF(SUM($P87)&lt;=0,"",$P87)</f>
        <v>242</v>
      </c>
      <c r="U87" s="75" t="str">
        <f aca="false">IF(SUM($Q87)&lt;=0,"",ROUND($Q87*$S87,0))</f>
        <v/>
      </c>
      <c r="V87" s="73" t="n">
        <f aca="false">_xlfn.IFNA(INDEX(Cascade!$BD:$BD,MATCH($E87,Cascade!$E:$E,0)),"")</f>
        <v>2</v>
      </c>
      <c r="W87" s="118" t="n">
        <f aca="false">IF(OR(SUM($V87)&lt;=0,SUM($Q87)=0),"",SUM($Q87)/$V87)</f>
        <v>-5659.5</v>
      </c>
      <c r="X87" s="118" t="n">
        <f aca="false">_xlfn.IFNA(INDEX(Cascade!$BL:$BL,MATCH($E87,Cascade!$E:$E,0)),"")</f>
        <v>0.5</v>
      </c>
      <c r="Y87" s="118" t="n">
        <f aca="false">_xlfn.IFNA(INDEX(Cascade!$BM:$BM,MATCH($E87,Cascade!$E:$E,0)),"")</f>
        <v>-589</v>
      </c>
      <c r="Z87" s="118" t="str">
        <f aca="false">_xlfn.IFNA(INDEX(Cascade!$BN:$BN,MATCH($E87,Cascade!$E:$E,0)),"")</f>
        <v/>
      </c>
      <c r="AA87" s="118" t="str">
        <f aca="false">_xlfn.IFNA(INDEX(Cascade!$BP:$BP,MATCH($E87,Cascade!$E:$E,0)),"")</f>
        <v/>
      </c>
      <c r="AB87" s="118" t="n">
        <f aca="false">_xlfn.IFNA(INDEX(Cascade!$BR:$BR,MATCH($E87,Cascade!$E:$E,0)),"")</f>
        <v>6249</v>
      </c>
    </row>
    <row r="88" customFormat="false" ht="15" hidden="false" customHeight="false" outlineLevel="0" collapsed="false">
      <c r="A88" s="0" t="s">
        <v>144</v>
      </c>
      <c r="B88" s="0" t="s">
        <v>103</v>
      </c>
      <c r="C88" s="0" t="s">
        <v>63</v>
      </c>
      <c r="D88" s="0" t="s">
        <v>58</v>
      </c>
      <c r="E88" s="0" t="str">
        <f aca="false">B88&amp;"|"&amp;C88&amp;"|"&amp;D88</f>
        <v>Leribe [#SNU] [FjSmRywOWUp]|15-19|Male</v>
      </c>
      <c r="F88" s="73" t="n">
        <v>18</v>
      </c>
      <c r="G88" s="118" t="n">
        <f aca="false">IF(SUM($F88)&lt;=0,"",0%)</f>
        <v>0</v>
      </c>
      <c r="H88" s="75" t="n">
        <f aca="false">IF(SUM($F88)&lt;=0,"",$F88*(1+$G88))</f>
        <v>18</v>
      </c>
      <c r="I88" s="73" t="n">
        <v>13</v>
      </c>
      <c r="J88" s="118" t="n">
        <f aca="false">IF(SUM($H88)&lt;=0,"",100%)</f>
        <v>1</v>
      </c>
      <c r="K88" s="118" t="n">
        <v>45</v>
      </c>
      <c r="L88" s="118" t="n">
        <f aca="false">IF(SUM($K88)=0,"",$K88)</f>
        <v>45</v>
      </c>
      <c r="M88" s="118" t="n">
        <v>39</v>
      </c>
      <c r="N88" s="118" t="n">
        <f aca="false">IF(SUM($M88)=0,"",$M88)</f>
        <v>39</v>
      </c>
      <c r="O88" s="73" t="n">
        <f aca="false">IF(SUM($H88)&lt;=0,"",ROUND(SUM($H88)*SUM($J88),0))</f>
        <v>18</v>
      </c>
      <c r="P88" s="75" t="n">
        <f aca="false">IF(SUM($O88)&lt;=0,"",ROUND(SUM($O88)*SUM($L88),0))</f>
        <v>810</v>
      </c>
      <c r="Q88" s="75" t="n">
        <f aca="false">IF(SUM($O88)&lt;=0,"",ROUND((SUM($O88)-SUM($P88))*SUM($N88),0))</f>
        <v>-30888</v>
      </c>
      <c r="R88" s="75" t="n">
        <f aca="false">IF(SUM($O88)&lt;=0,"",ROUND(SUM($O88)-SUM($P88)-SUM($Q88),0))</f>
        <v>30096</v>
      </c>
      <c r="S88" s="118" t="n">
        <f aca="false">_xlfn.IFNA(INDEX(Cascade!$BA:$BA,MATCH($E88,Cascade!$E:$E,0)),"")</f>
        <v>0.95</v>
      </c>
      <c r="T88" s="75" t="n">
        <f aca="false">IF(SUM($P88)&lt;=0,"",$P88)</f>
        <v>810</v>
      </c>
      <c r="U88" s="75" t="str">
        <f aca="false">IF(SUM($Q88)&lt;=0,"",ROUND($Q88*$S88,0))</f>
        <v/>
      </c>
      <c r="V88" s="73" t="n">
        <f aca="false">_xlfn.IFNA(INDEX(Cascade!$BD:$BD,MATCH($E88,Cascade!$E:$E,0)),"")</f>
        <v>1</v>
      </c>
      <c r="W88" s="118" t="n">
        <f aca="false">IF(OR(SUM($V88)&lt;=0,SUM($Q88)=0),"",SUM($Q88)/$V88)</f>
        <v>-30888</v>
      </c>
      <c r="X88" s="118" t="n">
        <f aca="false">_xlfn.IFNA(INDEX(Cascade!$BL:$BL,MATCH($E88,Cascade!$E:$E,0)),"")</f>
        <v>1</v>
      </c>
      <c r="Y88" s="118" t="str">
        <f aca="false">_xlfn.IFNA(INDEX(Cascade!$BM:$BM,MATCH($E88,Cascade!$E:$E,0)),"")</f>
        <v/>
      </c>
      <c r="Z88" s="118" t="str">
        <f aca="false">_xlfn.IFNA(INDEX(Cascade!$BN:$BN,MATCH($E88,Cascade!$E:$E,0)),"")</f>
        <v/>
      </c>
      <c r="AA88" s="118" t="str">
        <f aca="false">_xlfn.IFNA(INDEX(Cascade!$BP:$BP,MATCH($E88,Cascade!$E:$E,0)),"")</f>
        <v/>
      </c>
      <c r="AB88" s="118" t="n">
        <f aca="false">_xlfn.IFNA(INDEX(Cascade!$BR:$BR,MATCH($E88,Cascade!$E:$E,0)),"")</f>
        <v>30888</v>
      </c>
    </row>
    <row r="89" customFormat="false" ht="15" hidden="false" customHeight="false" outlineLevel="0" collapsed="false">
      <c r="A89" s="0" t="s">
        <v>144</v>
      </c>
      <c r="B89" s="0" t="s">
        <v>103</v>
      </c>
      <c r="C89" s="0" t="s">
        <v>66</v>
      </c>
      <c r="D89" s="0" t="s">
        <v>56</v>
      </c>
      <c r="E89" s="0" t="str">
        <f aca="false">B89&amp;"|"&amp;C89&amp;"|"&amp;D89</f>
        <v>Leribe [#SNU] [FjSmRywOWUp]|20-24|Female</v>
      </c>
      <c r="F89" s="73" t="n">
        <v>21</v>
      </c>
      <c r="G89" s="118" t="n">
        <f aca="false">IF(SUM($F89)&lt;=0,"",0%)</f>
        <v>0</v>
      </c>
      <c r="H89" s="75" t="n">
        <f aca="false">IF(SUM($F89)&lt;=0,"",$F89*(1+$G89))</f>
        <v>21</v>
      </c>
      <c r="I89" s="73" t="n">
        <v>17</v>
      </c>
      <c r="J89" s="118" t="n">
        <f aca="false">IF(SUM($H89)&lt;=0,"",100%)</f>
        <v>1</v>
      </c>
      <c r="K89" s="118" t="n">
        <v>13</v>
      </c>
      <c r="L89" s="118" t="n">
        <f aca="false">IF(SUM($K89)=0,"",$K89)</f>
        <v>13</v>
      </c>
      <c r="M89" s="118"/>
      <c r="N89" s="118" t="str">
        <f aca="false">IF(SUM($M89)=0,"",$M89)</f>
        <v/>
      </c>
      <c r="O89" s="73" t="n">
        <f aca="false">IF(SUM($H89)&lt;=0,"",ROUND(SUM($H89)*SUM($J89),0))</f>
        <v>21</v>
      </c>
      <c r="P89" s="75" t="n">
        <f aca="false">IF(SUM($O89)&lt;=0,"",ROUND(SUM($O89)*SUM($L89),0))</f>
        <v>273</v>
      </c>
      <c r="Q89" s="75" t="n">
        <f aca="false">IF(SUM($O89)&lt;=0,"",ROUND((SUM($O89)-SUM($P89))*SUM($N89),0))</f>
        <v>-0</v>
      </c>
      <c r="R89" s="75" t="n">
        <f aca="false">IF(SUM($O89)&lt;=0,"",ROUND(SUM($O89)-SUM($P89)-SUM($Q89),0))</f>
        <v>-252</v>
      </c>
      <c r="S89" s="118" t="n">
        <f aca="false">_xlfn.IFNA(INDEX(Cascade!$BA:$BA,MATCH($E89,Cascade!$E:$E,0)),"")</f>
        <v>0.95</v>
      </c>
      <c r="T89" s="75" t="n">
        <f aca="false">IF(SUM($P89)&lt;=0,"",$P89)</f>
        <v>273</v>
      </c>
      <c r="U89" s="75" t="str">
        <f aca="false">IF(SUM($Q89)&lt;=0,"",ROUND($Q89*$S89,0))</f>
        <v/>
      </c>
      <c r="V89" s="73" t="n">
        <f aca="false">_xlfn.IFNA(INDEX(Cascade!$BD:$BD,MATCH($E89,Cascade!$E:$E,0)),"")</f>
        <v>17</v>
      </c>
      <c r="W89" s="118" t="str">
        <f aca="false">IF(OR(SUM($V89)&lt;=0,SUM($Q89)=0),"",SUM($Q89)/$V89)</f>
        <v/>
      </c>
      <c r="X89" s="118" t="n">
        <f aca="false">_xlfn.IFNA(INDEX(Cascade!$BL:$BL,MATCH($E89,Cascade!$E:$E,0)),"")</f>
        <v>0.294117647058823</v>
      </c>
      <c r="Y89" s="118" t="n">
        <f aca="false">_xlfn.IFNA(INDEX(Cascade!$BM:$BM,MATCH($E89,Cascade!$E:$E,0)),"")</f>
        <v>-1.17647058823529</v>
      </c>
      <c r="Z89" s="118" t="str">
        <f aca="false">_xlfn.IFNA(INDEX(Cascade!$BN:$BN,MATCH($E89,Cascade!$E:$E,0)),"")</f>
        <v/>
      </c>
      <c r="AA89" s="118" t="str">
        <f aca="false">_xlfn.IFNA(INDEX(Cascade!$BP:$BP,MATCH($E89,Cascade!$E:$E,0)),"")</f>
        <v/>
      </c>
      <c r="AB89" s="118" t="n">
        <f aca="false">_xlfn.IFNA(INDEX(Cascade!$BR:$BR,MATCH($E89,Cascade!$E:$E,0)),"")</f>
        <v>1.88235294117647</v>
      </c>
    </row>
    <row r="90" customFormat="false" ht="15" hidden="false" customHeight="false" outlineLevel="0" collapsed="false">
      <c r="A90" s="0" t="s">
        <v>144</v>
      </c>
      <c r="B90" s="0" t="s">
        <v>103</v>
      </c>
      <c r="C90" s="0" t="s">
        <v>66</v>
      </c>
      <c r="D90" s="0" t="s">
        <v>58</v>
      </c>
      <c r="E90" s="0" t="str">
        <f aca="false">B90&amp;"|"&amp;C90&amp;"|"&amp;D90</f>
        <v>Leribe [#SNU] [FjSmRywOWUp]|20-24|Male</v>
      </c>
      <c r="F90" s="73" t="n">
        <v>46</v>
      </c>
      <c r="G90" s="118" t="n">
        <f aca="false">IF(SUM($F90)&lt;=0,"",0%)</f>
        <v>0</v>
      </c>
      <c r="H90" s="75" t="n">
        <f aca="false">IF(SUM($F90)&lt;=0,"",$F90*(1+$G90))</f>
        <v>46</v>
      </c>
      <c r="I90" s="73" t="n">
        <v>15</v>
      </c>
      <c r="J90" s="118" t="n">
        <f aca="false">IF(SUM($H90)&lt;=0,"",100%)</f>
        <v>1</v>
      </c>
      <c r="K90" s="118" t="n">
        <v>14</v>
      </c>
      <c r="L90" s="118" t="n">
        <f aca="false">IF(SUM($K90)=0,"",$K90)</f>
        <v>14</v>
      </c>
      <c r="M90" s="118"/>
      <c r="N90" s="118" t="str">
        <f aca="false">IF(SUM($M90)=0,"",$M90)</f>
        <v/>
      </c>
      <c r="O90" s="73" t="n">
        <f aca="false">IF(SUM($H90)&lt;=0,"",ROUND(SUM($H90)*SUM($J90),0))</f>
        <v>46</v>
      </c>
      <c r="P90" s="75" t="n">
        <f aca="false">IF(SUM($O90)&lt;=0,"",ROUND(SUM($O90)*SUM($L90),0))</f>
        <v>644</v>
      </c>
      <c r="Q90" s="75" t="n">
        <f aca="false">IF(SUM($O90)&lt;=0,"",ROUND((SUM($O90)-SUM($P90))*SUM($N90),0))</f>
        <v>-0</v>
      </c>
      <c r="R90" s="75" t="n">
        <f aca="false">IF(SUM($O90)&lt;=0,"",ROUND(SUM($O90)-SUM($P90)-SUM($Q90),0))</f>
        <v>-598</v>
      </c>
      <c r="S90" s="118" t="n">
        <f aca="false">_xlfn.IFNA(INDEX(Cascade!$BA:$BA,MATCH($E90,Cascade!$E:$E,0)),"")</f>
        <v>0.95</v>
      </c>
      <c r="T90" s="75" t="n">
        <f aca="false">IF(SUM($P90)&lt;=0,"",$P90)</f>
        <v>644</v>
      </c>
      <c r="U90" s="75" t="str">
        <f aca="false">IF(SUM($Q90)&lt;=0,"",ROUND($Q90*$S90,0))</f>
        <v/>
      </c>
      <c r="V90" s="73" t="n">
        <f aca="false">_xlfn.IFNA(INDEX(Cascade!$BD:$BD,MATCH($E90,Cascade!$E:$E,0)),"")</f>
        <v>1</v>
      </c>
      <c r="W90" s="118" t="str">
        <f aca="false">IF(OR(SUM($V90)&lt;=0,SUM($Q90)=0),"",SUM($Q90)/$V90)</f>
        <v/>
      </c>
      <c r="X90" s="118" t="str">
        <f aca="false">_xlfn.IFNA(INDEX(Cascade!$BL:$BL,MATCH($E90,Cascade!$E:$E,0)),"")</f>
        <v/>
      </c>
      <c r="Y90" s="118" t="str">
        <f aca="false">_xlfn.IFNA(INDEX(Cascade!$BM:$BM,MATCH($E90,Cascade!$E:$E,0)),"")</f>
        <v/>
      </c>
      <c r="Z90" s="118" t="str">
        <f aca="false">_xlfn.IFNA(INDEX(Cascade!$BN:$BN,MATCH($E90,Cascade!$E:$E,0)),"")</f>
        <v/>
      </c>
      <c r="AA90" s="118" t="str">
        <f aca="false">_xlfn.IFNA(INDEX(Cascade!$BP:$BP,MATCH($E90,Cascade!$E:$E,0)),"")</f>
        <v/>
      </c>
      <c r="AB90" s="118" t="n">
        <f aca="false">_xlfn.IFNA(INDEX(Cascade!$BR:$BR,MATCH($E90,Cascade!$E:$E,0)),"")</f>
        <v>1</v>
      </c>
    </row>
    <row r="91" customFormat="false" ht="15" hidden="false" customHeight="false" outlineLevel="0" collapsed="false">
      <c r="A91" s="0" t="s">
        <v>144</v>
      </c>
      <c r="B91" s="0" t="s">
        <v>103</v>
      </c>
      <c r="C91" s="0" t="s">
        <v>69</v>
      </c>
      <c r="D91" s="0" t="s">
        <v>56</v>
      </c>
      <c r="E91" s="0" t="str">
        <f aca="false">B91&amp;"|"&amp;C91&amp;"|"&amp;D91</f>
        <v>Leribe [#SNU] [FjSmRywOWUp]|25-29|Female</v>
      </c>
      <c r="F91" s="73" t="n">
        <v>49</v>
      </c>
      <c r="G91" s="118" t="n">
        <f aca="false">IF(SUM($F91)&lt;=0,"",0%)</f>
        <v>0</v>
      </c>
      <c r="H91" s="75" t="n">
        <f aca="false">IF(SUM($F91)&lt;=0,"",$F91*(1+$G91))</f>
        <v>49</v>
      </c>
      <c r="I91" s="73" t="n">
        <v>14</v>
      </c>
      <c r="J91" s="118" t="n">
        <f aca="false">IF(SUM($H91)&lt;=0,"",100%)</f>
        <v>1</v>
      </c>
      <c r="K91" s="118" t="n">
        <v>36</v>
      </c>
      <c r="L91" s="118" t="n">
        <f aca="false">IF(SUM($K91)=0,"",$K91)</f>
        <v>36</v>
      </c>
      <c r="M91" s="118" t="n">
        <v>7</v>
      </c>
      <c r="N91" s="118" t="n">
        <f aca="false">IF(SUM($M91)=0,"",$M91)</f>
        <v>7</v>
      </c>
      <c r="O91" s="73" t="n">
        <f aca="false">IF(SUM($H91)&lt;=0,"",ROUND(SUM($H91)*SUM($J91),0))</f>
        <v>49</v>
      </c>
      <c r="P91" s="75" t="n">
        <f aca="false">IF(SUM($O91)&lt;=0,"",ROUND(SUM($O91)*SUM($L91),0))</f>
        <v>1764</v>
      </c>
      <c r="Q91" s="75" t="n">
        <f aca="false">IF(SUM($O91)&lt;=0,"",ROUND((SUM($O91)-SUM($P91))*SUM($N91),0))</f>
        <v>-12005</v>
      </c>
      <c r="R91" s="75" t="n">
        <f aca="false">IF(SUM($O91)&lt;=0,"",ROUND(SUM($O91)-SUM($P91)-SUM($Q91),0))</f>
        <v>10290</v>
      </c>
      <c r="S91" s="118" t="n">
        <f aca="false">_xlfn.IFNA(INDEX(Cascade!$BA:$BA,MATCH($E91,Cascade!$E:$E,0)),"")</f>
        <v>0.95</v>
      </c>
      <c r="T91" s="75" t="n">
        <f aca="false">IF(SUM($P91)&lt;=0,"",$P91)</f>
        <v>1764</v>
      </c>
      <c r="U91" s="75" t="str">
        <f aca="false">IF(SUM($Q91)&lt;=0,"",ROUND($Q91*$S91,0))</f>
        <v/>
      </c>
      <c r="V91" s="73" t="n">
        <f aca="false">_xlfn.IFNA(INDEX(Cascade!$BD:$BD,MATCH($E91,Cascade!$E:$E,0)),"")</f>
        <v>6</v>
      </c>
      <c r="W91" s="118" t="n">
        <f aca="false">IF(OR(SUM($V91)&lt;=0,SUM($Q91)=0),"",SUM($Q91)/$V91)</f>
        <v>-2000.83333333333</v>
      </c>
      <c r="X91" s="118" t="n">
        <f aca="false">_xlfn.IFNA(INDEX(Cascade!$BL:$BL,MATCH($E91,Cascade!$E:$E,0)),"")</f>
        <v>0.333333333333333</v>
      </c>
      <c r="Y91" s="118" t="n">
        <f aca="false">_xlfn.IFNA(INDEX(Cascade!$BM:$BM,MATCH($E91,Cascade!$E:$E,0)),"")</f>
        <v>-3432</v>
      </c>
      <c r="Z91" s="118" t="str">
        <f aca="false">_xlfn.IFNA(INDEX(Cascade!$BN:$BN,MATCH($E91,Cascade!$E:$E,0)),"")</f>
        <v/>
      </c>
      <c r="AA91" s="118" t="str">
        <f aca="false">_xlfn.IFNA(INDEX(Cascade!$BP:$BP,MATCH($E91,Cascade!$E:$E,0)),"")</f>
        <v/>
      </c>
      <c r="AB91" s="118" t="n">
        <f aca="false">_xlfn.IFNA(INDEX(Cascade!$BR:$BR,MATCH($E91,Cascade!$E:$E,0)),"")</f>
        <v>5433.5</v>
      </c>
    </row>
    <row r="92" customFormat="false" ht="15" hidden="false" customHeight="false" outlineLevel="0" collapsed="false">
      <c r="A92" s="0" t="s">
        <v>144</v>
      </c>
      <c r="B92" s="0" t="s">
        <v>103</v>
      </c>
      <c r="C92" s="0" t="s">
        <v>69</v>
      </c>
      <c r="D92" s="0" t="s">
        <v>58</v>
      </c>
      <c r="E92" s="0" t="str">
        <f aca="false">B92&amp;"|"&amp;C92&amp;"|"&amp;D92</f>
        <v>Leribe [#SNU] [FjSmRywOWUp]|25-29|Male</v>
      </c>
      <c r="F92" s="73" t="n">
        <v>24</v>
      </c>
      <c r="G92" s="118" t="n">
        <f aca="false">IF(SUM($F92)&lt;=0,"",0%)</f>
        <v>0</v>
      </c>
      <c r="H92" s="75" t="n">
        <f aca="false">IF(SUM($F92)&lt;=0,"",$F92*(1+$G92))</f>
        <v>24</v>
      </c>
      <c r="I92" s="73" t="n">
        <v>47</v>
      </c>
      <c r="J92" s="118" t="n">
        <f aca="false">IF(SUM($H92)&lt;=0,"",100%)</f>
        <v>1</v>
      </c>
      <c r="K92" s="118" t="n">
        <v>32</v>
      </c>
      <c r="L92" s="118" t="n">
        <f aca="false">IF(SUM($K92)=0,"",$K92)</f>
        <v>32</v>
      </c>
      <c r="M92" s="118" t="n">
        <v>28</v>
      </c>
      <c r="N92" s="118" t="n">
        <f aca="false">IF(SUM($M92)=0,"",$M92)</f>
        <v>28</v>
      </c>
      <c r="O92" s="73" t="n">
        <f aca="false">IF(SUM($H92)&lt;=0,"",ROUND(SUM($H92)*SUM($J92),0))</f>
        <v>24</v>
      </c>
      <c r="P92" s="75" t="n">
        <f aca="false">IF(SUM($O92)&lt;=0,"",ROUND(SUM($O92)*SUM($L92),0))</f>
        <v>768</v>
      </c>
      <c r="Q92" s="75" t="n">
        <f aca="false">IF(SUM($O92)&lt;=0,"",ROUND((SUM($O92)-SUM($P92))*SUM($N92),0))</f>
        <v>-20832</v>
      </c>
      <c r="R92" s="75" t="n">
        <f aca="false">IF(SUM($O92)&lt;=0,"",ROUND(SUM($O92)-SUM($P92)-SUM($Q92),0))</f>
        <v>20088</v>
      </c>
      <c r="S92" s="118" t="n">
        <f aca="false">_xlfn.IFNA(INDEX(Cascade!$BA:$BA,MATCH($E92,Cascade!$E:$E,0)),"")</f>
        <v>0.95</v>
      </c>
      <c r="T92" s="75" t="n">
        <f aca="false">IF(SUM($P92)&lt;=0,"",$P92)</f>
        <v>768</v>
      </c>
      <c r="U92" s="75" t="str">
        <f aca="false">IF(SUM($Q92)&lt;=0,"",ROUND($Q92*$S92,0))</f>
        <v/>
      </c>
      <c r="V92" s="73" t="n">
        <f aca="false">_xlfn.IFNA(INDEX(Cascade!$BD:$BD,MATCH($E92,Cascade!$E:$E,0)),"")</f>
        <v>5</v>
      </c>
      <c r="W92" s="118" t="n">
        <f aca="false">IF(OR(SUM($V92)&lt;=0,SUM($Q92)=0),"",SUM($Q92)/$V92)</f>
        <v>-4166.4</v>
      </c>
      <c r="X92" s="118" t="n">
        <f aca="false">_xlfn.IFNA(INDEX(Cascade!$BL:$BL,MATCH($E92,Cascade!$E:$E,0)),"")</f>
        <v>0.4</v>
      </c>
      <c r="Y92" s="118" t="str">
        <f aca="false">_xlfn.IFNA(INDEX(Cascade!$BM:$BM,MATCH($E92,Cascade!$E:$E,0)),"")</f>
        <v/>
      </c>
      <c r="Z92" s="118" t="str">
        <f aca="false">_xlfn.IFNA(INDEX(Cascade!$BN:$BN,MATCH($E92,Cascade!$E:$E,0)),"")</f>
        <v/>
      </c>
      <c r="AA92" s="118" t="str">
        <f aca="false">_xlfn.IFNA(INDEX(Cascade!$BP:$BP,MATCH($E92,Cascade!$E:$E,0)),"")</f>
        <v/>
      </c>
      <c r="AB92" s="118" t="n">
        <f aca="false">_xlfn.IFNA(INDEX(Cascade!$BR:$BR,MATCH($E92,Cascade!$E:$E,0)),"")</f>
        <v>4167</v>
      </c>
    </row>
    <row r="93" customFormat="false" ht="15" hidden="false" customHeight="false" outlineLevel="0" collapsed="false">
      <c r="A93" s="0" t="s">
        <v>144</v>
      </c>
      <c r="B93" s="0" t="s">
        <v>103</v>
      </c>
      <c r="C93" s="0" t="s">
        <v>72</v>
      </c>
      <c r="D93" s="0" t="s">
        <v>56</v>
      </c>
      <c r="E93" s="0" t="str">
        <f aca="false">B93&amp;"|"&amp;C93&amp;"|"&amp;D93</f>
        <v>Leribe [#SNU] [FjSmRywOWUp]|30-34|Female</v>
      </c>
      <c r="F93" s="73" t="n">
        <v>4</v>
      </c>
      <c r="G93" s="118" t="n">
        <f aca="false">IF(SUM($F93)&lt;=0,"",0%)</f>
        <v>0</v>
      </c>
      <c r="H93" s="75" t="n">
        <f aca="false">IF(SUM($F93)&lt;=0,"",$F93*(1+$G93))</f>
        <v>4</v>
      </c>
      <c r="I93" s="73" t="n">
        <v>14</v>
      </c>
      <c r="J93" s="118" t="n">
        <f aca="false">IF(SUM($H93)&lt;=0,"",100%)</f>
        <v>1</v>
      </c>
      <c r="K93" s="118" t="n">
        <v>3</v>
      </c>
      <c r="L93" s="118" t="n">
        <f aca="false">IF(SUM($K93)=0,"",$K93)</f>
        <v>3</v>
      </c>
      <c r="M93" s="118" t="n">
        <v>36</v>
      </c>
      <c r="N93" s="118" t="n">
        <f aca="false">IF(SUM($M93)=0,"",$M93)</f>
        <v>36</v>
      </c>
      <c r="O93" s="73" t="n">
        <f aca="false">IF(SUM($H93)&lt;=0,"",ROUND(SUM($H93)*SUM($J93),0))</f>
        <v>4</v>
      </c>
      <c r="P93" s="75" t="n">
        <f aca="false">IF(SUM($O93)&lt;=0,"",ROUND(SUM($O93)*SUM($L93),0))</f>
        <v>12</v>
      </c>
      <c r="Q93" s="75" t="n">
        <f aca="false">IF(SUM($O93)&lt;=0,"",ROUND((SUM($O93)-SUM($P93))*SUM($N93),0))</f>
        <v>-288</v>
      </c>
      <c r="R93" s="75" t="n">
        <f aca="false">IF(SUM($O93)&lt;=0,"",ROUND(SUM($O93)-SUM($P93)-SUM($Q93),0))</f>
        <v>280</v>
      </c>
      <c r="S93" s="118" t="n">
        <f aca="false">_xlfn.IFNA(INDEX(Cascade!$BA:$BA,MATCH($E93,Cascade!$E:$E,0)),"")</f>
        <v>0.95</v>
      </c>
      <c r="T93" s="75" t="n">
        <f aca="false">IF(SUM($P93)&lt;=0,"",$P93)</f>
        <v>12</v>
      </c>
      <c r="U93" s="75" t="str">
        <f aca="false">IF(SUM($Q93)&lt;=0,"",ROUND($Q93*$S93,0))</f>
        <v/>
      </c>
      <c r="V93" s="73" t="n">
        <f aca="false">_xlfn.IFNA(INDEX(Cascade!$BD:$BD,MATCH($E93,Cascade!$E:$E,0)),"")</f>
        <v>18</v>
      </c>
      <c r="W93" s="118" t="n">
        <f aca="false">IF(OR(SUM($V93)&lt;=0,SUM($Q93)=0),"",SUM($Q93)/$V93)</f>
        <v>-16</v>
      </c>
      <c r="X93" s="118" t="n">
        <f aca="false">_xlfn.IFNA(INDEX(Cascade!$BL:$BL,MATCH($E93,Cascade!$E:$E,0)),"")</f>
        <v>0.277777777777778</v>
      </c>
      <c r="Y93" s="118" t="n">
        <f aca="false">_xlfn.IFNA(INDEX(Cascade!$BM:$BM,MATCH($E93,Cascade!$E:$E,0)),"")</f>
        <v>-1815.72222222222</v>
      </c>
      <c r="Z93" s="118" t="str">
        <f aca="false">_xlfn.IFNA(INDEX(Cascade!$BN:$BN,MATCH($E93,Cascade!$E:$E,0)),"")</f>
        <v/>
      </c>
      <c r="AA93" s="118" t="str">
        <f aca="false">_xlfn.IFNA(INDEX(Cascade!$BP:$BP,MATCH($E93,Cascade!$E:$E,0)),"")</f>
        <v/>
      </c>
      <c r="AB93" s="118" t="n">
        <f aca="false">_xlfn.IFNA(INDEX(Cascade!$BR:$BR,MATCH($E93,Cascade!$E:$E,0)),"")</f>
        <v>1832.44444444444</v>
      </c>
    </row>
    <row r="94" customFormat="false" ht="15" hidden="false" customHeight="false" outlineLevel="0" collapsed="false">
      <c r="A94" s="0" t="s">
        <v>144</v>
      </c>
      <c r="B94" s="0" t="s">
        <v>103</v>
      </c>
      <c r="C94" s="0" t="s">
        <v>72</v>
      </c>
      <c r="D94" s="0" t="s">
        <v>58</v>
      </c>
      <c r="E94" s="0" t="str">
        <f aca="false">B94&amp;"|"&amp;C94&amp;"|"&amp;D94</f>
        <v>Leribe [#SNU] [FjSmRywOWUp]|30-34|Male</v>
      </c>
      <c r="F94" s="73" t="n">
        <v>46</v>
      </c>
      <c r="G94" s="118" t="n">
        <f aca="false">IF(SUM($F94)&lt;=0,"",0%)</f>
        <v>0</v>
      </c>
      <c r="H94" s="75" t="n">
        <f aca="false">IF(SUM($F94)&lt;=0,"",$F94*(1+$G94))</f>
        <v>46</v>
      </c>
      <c r="I94" s="73" t="n">
        <v>13</v>
      </c>
      <c r="J94" s="118" t="n">
        <f aca="false">IF(SUM($H94)&lt;=0,"",100%)</f>
        <v>1</v>
      </c>
      <c r="K94" s="118" t="n">
        <v>36</v>
      </c>
      <c r="L94" s="118" t="n">
        <f aca="false">IF(SUM($K94)=0,"",$K94)</f>
        <v>36</v>
      </c>
      <c r="M94" s="118" t="n">
        <v>22</v>
      </c>
      <c r="N94" s="118" t="n">
        <f aca="false">IF(SUM($M94)=0,"",$M94)</f>
        <v>22</v>
      </c>
      <c r="O94" s="73" t="n">
        <f aca="false">IF(SUM($H94)&lt;=0,"",ROUND(SUM($H94)*SUM($J94),0))</f>
        <v>46</v>
      </c>
      <c r="P94" s="75" t="n">
        <f aca="false">IF(SUM($O94)&lt;=0,"",ROUND(SUM($O94)*SUM($L94),0))</f>
        <v>1656</v>
      </c>
      <c r="Q94" s="75" t="n">
        <f aca="false">IF(SUM($O94)&lt;=0,"",ROUND((SUM($O94)-SUM($P94))*SUM($N94),0))</f>
        <v>-35420</v>
      </c>
      <c r="R94" s="75" t="n">
        <f aca="false">IF(SUM($O94)&lt;=0,"",ROUND(SUM($O94)-SUM($P94)-SUM($Q94),0))</f>
        <v>33810</v>
      </c>
      <c r="S94" s="118" t="n">
        <f aca="false">_xlfn.IFNA(INDEX(Cascade!$BA:$BA,MATCH($E94,Cascade!$E:$E,0)),"")</f>
        <v>0.95</v>
      </c>
      <c r="T94" s="75" t="n">
        <f aca="false">IF(SUM($P94)&lt;=0,"",$P94)</f>
        <v>1656</v>
      </c>
      <c r="U94" s="75" t="str">
        <f aca="false">IF(SUM($Q94)&lt;=0,"",ROUND($Q94*$S94,0))</f>
        <v/>
      </c>
      <c r="V94" s="73" t="n">
        <f aca="false">_xlfn.IFNA(INDEX(Cascade!$BD:$BD,MATCH($E94,Cascade!$E:$E,0)),"")</f>
        <v>31</v>
      </c>
      <c r="W94" s="118" t="n">
        <f aca="false">IF(OR(SUM($V94)&lt;=0,SUM($Q94)=0),"",SUM($Q94)/$V94)</f>
        <v>-1142.58064516129</v>
      </c>
      <c r="X94" s="118" t="n">
        <f aca="false">_xlfn.IFNA(INDEX(Cascade!$BL:$BL,MATCH($E94,Cascade!$E:$E,0)),"")</f>
        <v>0.290322580645161</v>
      </c>
      <c r="Y94" s="118" t="str">
        <f aca="false">_xlfn.IFNA(INDEX(Cascade!$BM:$BM,MATCH($E94,Cascade!$E:$E,0)),"")</f>
        <v/>
      </c>
      <c r="Z94" s="118" t="str">
        <f aca="false">_xlfn.IFNA(INDEX(Cascade!$BN:$BN,MATCH($E94,Cascade!$E:$E,0)),"")</f>
        <v/>
      </c>
      <c r="AA94" s="118" t="str">
        <f aca="false">_xlfn.IFNA(INDEX(Cascade!$BP:$BP,MATCH($E94,Cascade!$E:$E,0)),"")</f>
        <v/>
      </c>
      <c r="AB94" s="118" t="n">
        <f aca="false">_xlfn.IFNA(INDEX(Cascade!$BR:$BR,MATCH($E94,Cascade!$E:$E,0)),"")</f>
        <v>1143.29032258065</v>
      </c>
    </row>
    <row r="95" customFormat="false" ht="15" hidden="false" customHeight="false" outlineLevel="0" collapsed="false">
      <c r="A95" s="0" t="s">
        <v>144</v>
      </c>
      <c r="B95" s="0" t="s">
        <v>103</v>
      </c>
      <c r="C95" s="0" t="s">
        <v>75</v>
      </c>
      <c r="D95" s="0" t="s">
        <v>56</v>
      </c>
      <c r="E95" s="0" t="str">
        <f aca="false">B95&amp;"|"&amp;C95&amp;"|"&amp;D95</f>
        <v>Leribe [#SNU] [FjSmRywOWUp]|35-39|Female</v>
      </c>
      <c r="F95" s="73" t="n">
        <v>10</v>
      </c>
      <c r="G95" s="118" t="n">
        <f aca="false">IF(SUM($F95)&lt;=0,"",0%)</f>
        <v>0</v>
      </c>
      <c r="H95" s="75" t="n">
        <f aca="false">IF(SUM($F95)&lt;=0,"",$F95*(1+$G95))</f>
        <v>10</v>
      </c>
      <c r="I95" s="73" t="n">
        <v>39</v>
      </c>
      <c r="J95" s="118" t="n">
        <f aca="false">IF(SUM($H95)&lt;=0,"",100%)</f>
        <v>1</v>
      </c>
      <c r="K95" s="118" t="n">
        <v>42</v>
      </c>
      <c r="L95" s="118" t="n">
        <f aca="false">IF(SUM($K95)=0,"",$K95)</f>
        <v>42</v>
      </c>
      <c r="M95" s="118" t="n">
        <v>6</v>
      </c>
      <c r="N95" s="118" t="n">
        <f aca="false">IF(SUM($M95)=0,"",$M95)</f>
        <v>6</v>
      </c>
      <c r="O95" s="73" t="n">
        <f aca="false">IF(SUM($H95)&lt;=0,"",ROUND(SUM($H95)*SUM($J95),0))</f>
        <v>10</v>
      </c>
      <c r="P95" s="75" t="n">
        <f aca="false">IF(SUM($O95)&lt;=0,"",ROUND(SUM($O95)*SUM($L95),0))</f>
        <v>420</v>
      </c>
      <c r="Q95" s="75" t="n">
        <f aca="false">IF(SUM($O95)&lt;=0,"",ROUND((SUM($O95)-SUM($P95))*SUM($N95),0))</f>
        <v>-2460</v>
      </c>
      <c r="R95" s="75" t="n">
        <f aca="false">IF(SUM($O95)&lt;=0,"",ROUND(SUM($O95)-SUM($P95)-SUM($Q95),0))</f>
        <v>2050</v>
      </c>
      <c r="S95" s="118" t="n">
        <f aca="false">_xlfn.IFNA(INDEX(Cascade!$BA:$BA,MATCH($E95,Cascade!$E:$E,0)),"")</f>
        <v>0.95</v>
      </c>
      <c r="T95" s="75" t="n">
        <f aca="false">IF(SUM($P95)&lt;=0,"",$P95)</f>
        <v>420</v>
      </c>
      <c r="U95" s="75" t="str">
        <f aca="false">IF(SUM($Q95)&lt;=0,"",ROUND($Q95*$S95,0))</f>
        <v/>
      </c>
      <c r="V95" s="73" t="n">
        <f aca="false">_xlfn.IFNA(INDEX(Cascade!$BD:$BD,MATCH($E95,Cascade!$E:$E,0)),"")</f>
        <v>2</v>
      </c>
      <c r="W95" s="118" t="n">
        <f aca="false">IF(OR(SUM($V95)&lt;=0,SUM($Q95)=0),"",SUM($Q95)/$V95)</f>
        <v>-1230</v>
      </c>
      <c r="X95" s="118" t="n">
        <f aca="false">_xlfn.IFNA(INDEX(Cascade!$BL:$BL,MATCH($E95,Cascade!$E:$E,0)),"")</f>
        <v>0.5</v>
      </c>
      <c r="Y95" s="118" t="n">
        <f aca="false">_xlfn.IFNA(INDEX(Cascade!$BM:$BM,MATCH($E95,Cascade!$E:$E,0)),"")</f>
        <v>-2925</v>
      </c>
      <c r="Z95" s="118" t="str">
        <f aca="false">_xlfn.IFNA(INDEX(Cascade!$BN:$BN,MATCH($E95,Cascade!$E:$E,0)),"")</f>
        <v/>
      </c>
      <c r="AA95" s="118" t="str">
        <f aca="false">_xlfn.IFNA(INDEX(Cascade!$BP:$BP,MATCH($E95,Cascade!$E:$E,0)),"")</f>
        <v/>
      </c>
      <c r="AB95" s="118" t="n">
        <f aca="false">_xlfn.IFNA(INDEX(Cascade!$BR:$BR,MATCH($E95,Cascade!$E:$E,0)),"")</f>
        <v>4155.5</v>
      </c>
    </row>
    <row r="96" customFormat="false" ht="15" hidden="false" customHeight="false" outlineLevel="0" collapsed="false">
      <c r="A96" s="0" t="s">
        <v>144</v>
      </c>
      <c r="B96" s="0" t="s">
        <v>103</v>
      </c>
      <c r="C96" s="0" t="s">
        <v>75</v>
      </c>
      <c r="D96" s="0" t="s">
        <v>58</v>
      </c>
      <c r="E96" s="0" t="str">
        <f aca="false">B96&amp;"|"&amp;C96&amp;"|"&amp;D96</f>
        <v>Leribe [#SNU] [FjSmRywOWUp]|35-39|Male</v>
      </c>
      <c r="F96" s="73" t="n">
        <v>3</v>
      </c>
      <c r="G96" s="118" t="n">
        <f aca="false">IF(SUM($F96)&lt;=0,"",0%)</f>
        <v>0</v>
      </c>
      <c r="H96" s="75" t="n">
        <f aca="false">IF(SUM($F96)&lt;=0,"",$F96*(1+$G96))</f>
        <v>3</v>
      </c>
      <c r="I96" s="73" t="n">
        <v>14</v>
      </c>
      <c r="J96" s="118" t="n">
        <f aca="false">IF(SUM($H96)&lt;=0,"",100%)</f>
        <v>1</v>
      </c>
      <c r="K96" s="118" t="n">
        <v>28</v>
      </c>
      <c r="L96" s="118" t="n">
        <f aca="false">IF(SUM($K96)=0,"",$K96)</f>
        <v>28</v>
      </c>
      <c r="M96" s="118" t="n">
        <v>41</v>
      </c>
      <c r="N96" s="118" t="n">
        <f aca="false">IF(SUM($M96)=0,"",$M96)</f>
        <v>41</v>
      </c>
      <c r="O96" s="73" t="n">
        <f aca="false">IF(SUM($H96)&lt;=0,"",ROUND(SUM($H96)*SUM($J96),0))</f>
        <v>3</v>
      </c>
      <c r="P96" s="75" t="n">
        <f aca="false">IF(SUM($O96)&lt;=0,"",ROUND(SUM($O96)*SUM($L96),0))</f>
        <v>84</v>
      </c>
      <c r="Q96" s="75" t="n">
        <f aca="false">IF(SUM($O96)&lt;=0,"",ROUND((SUM($O96)-SUM($P96))*SUM($N96),0))</f>
        <v>-3321</v>
      </c>
      <c r="R96" s="75" t="n">
        <f aca="false">IF(SUM($O96)&lt;=0,"",ROUND(SUM($O96)-SUM($P96)-SUM($Q96),0))</f>
        <v>3240</v>
      </c>
      <c r="S96" s="118" t="n">
        <f aca="false">_xlfn.IFNA(INDEX(Cascade!$BA:$BA,MATCH($E96,Cascade!$E:$E,0)),"")</f>
        <v>0.95</v>
      </c>
      <c r="T96" s="75" t="n">
        <f aca="false">IF(SUM($P96)&lt;=0,"",$P96)</f>
        <v>84</v>
      </c>
      <c r="U96" s="75" t="str">
        <f aca="false">IF(SUM($Q96)&lt;=0,"",ROUND($Q96*$S96,0))</f>
        <v/>
      </c>
      <c r="V96" s="73" t="str">
        <f aca="false">_xlfn.IFNA(INDEX(Cascade!$BD:$BD,MATCH($E96,Cascade!$E:$E,0)),"")</f>
        <v/>
      </c>
      <c r="W96" s="118" t="str">
        <f aca="false">IF(OR(SUM($V96)&lt;=0,SUM($Q96)=0),"",SUM($Q96)/$V96)</f>
        <v/>
      </c>
      <c r="X96" s="118" t="str">
        <f aca="false">_xlfn.IFNA(INDEX(Cascade!$BL:$BL,MATCH($E96,Cascade!$E:$E,0)),"")</f>
        <v/>
      </c>
      <c r="Y96" s="118" t="str">
        <f aca="false">_xlfn.IFNA(INDEX(Cascade!$BM:$BM,MATCH($E96,Cascade!$E:$E,0)),"")</f>
        <v/>
      </c>
      <c r="Z96" s="118" t="str">
        <f aca="false">_xlfn.IFNA(INDEX(Cascade!$BN:$BN,MATCH($E96,Cascade!$E:$E,0)),"")</f>
        <v/>
      </c>
      <c r="AA96" s="118" t="str">
        <f aca="false">_xlfn.IFNA(INDEX(Cascade!$BP:$BP,MATCH($E96,Cascade!$E:$E,0)),"")</f>
        <v/>
      </c>
      <c r="AB96" s="118" t="str">
        <f aca="false">_xlfn.IFNA(INDEX(Cascade!$BR:$BR,MATCH($E96,Cascade!$E:$E,0)),"")</f>
        <v/>
      </c>
    </row>
    <row r="97" customFormat="false" ht="15" hidden="false" customHeight="false" outlineLevel="0" collapsed="false">
      <c r="A97" s="0" t="s">
        <v>144</v>
      </c>
      <c r="B97" s="0" t="s">
        <v>103</v>
      </c>
      <c r="C97" s="0" t="s">
        <v>77</v>
      </c>
      <c r="D97" s="0" t="s">
        <v>56</v>
      </c>
      <c r="E97" s="0" t="str">
        <f aca="false">B97&amp;"|"&amp;C97&amp;"|"&amp;D97</f>
        <v>Leribe [#SNU] [FjSmRywOWUp]|40-44|Female</v>
      </c>
      <c r="F97" s="73" t="n">
        <v>50</v>
      </c>
      <c r="G97" s="118" t="n">
        <f aca="false">IF(SUM($F97)&lt;=0,"",0%)</f>
        <v>0</v>
      </c>
      <c r="H97" s="75" t="n">
        <f aca="false">IF(SUM($F97)&lt;=0,"",$F97*(1+$G97))</f>
        <v>50</v>
      </c>
      <c r="I97" s="73" t="n">
        <v>10</v>
      </c>
      <c r="J97" s="118" t="n">
        <f aca="false">IF(SUM($H97)&lt;=0,"",100%)</f>
        <v>1</v>
      </c>
      <c r="K97" s="118" t="n">
        <v>6</v>
      </c>
      <c r="L97" s="118" t="n">
        <f aca="false">IF(SUM($K97)=0,"",$K97)</f>
        <v>6</v>
      </c>
      <c r="M97" s="118" t="n">
        <v>49</v>
      </c>
      <c r="N97" s="118" t="n">
        <f aca="false">IF(SUM($M97)=0,"",$M97)</f>
        <v>49</v>
      </c>
      <c r="O97" s="73" t="n">
        <f aca="false">IF(SUM($H97)&lt;=0,"",ROUND(SUM($H97)*SUM($J97),0))</f>
        <v>50</v>
      </c>
      <c r="P97" s="75" t="n">
        <f aca="false">IF(SUM($O97)&lt;=0,"",ROUND(SUM($O97)*SUM($L97),0))</f>
        <v>300</v>
      </c>
      <c r="Q97" s="75" t="n">
        <f aca="false">IF(SUM($O97)&lt;=0,"",ROUND((SUM($O97)-SUM($P97))*SUM($N97),0))</f>
        <v>-12250</v>
      </c>
      <c r="R97" s="75" t="n">
        <f aca="false">IF(SUM($O97)&lt;=0,"",ROUND(SUM($O97)-SUM($P97)-SUM($Q97),0))</f>
        <v>12000</v>
      </c>
      <c r="S97" s="118" t="n">
        <f aca="false">_xlfn.IFNA(INDEX(Cascade!$BA:$BA,MATCH($E97,Cascade!$E:$E,0)),"")</f>
        <v>0.95</v>
      </c>
      <c r="T97" s="75" t="n">
        <f aca="false">IF(SUM($P97)&lt;=0,"",$P97)</f>
        <v>300</v>
      </c>
      <c r="U97" s="75" t="str">
        <f aca="false">IF(SUM($Q97)&lt;=0,"",ROUND($Q97*$S97,0))</f>
        <v/>
      </c>
      <c r="V97" s="73" t="str">
        <f aca="false">_xlfn.IFNA(INDEX(Cascade!$BD:$BD,MATCH($E97,Cascade!$E:$E,0)),"")</f>
        <v/>
      </c>
      <c r="W97" s="118" t="str">
        <f aca="false">IF(OR(SUM($V97)&lt;=0,SUM($Q97)=0),"",SUM($Q97)/$V97)</f>
        <v/>
      </c>
      <c r="X97" s="118" t="str">
        <f aca="false">_xlfn.IFNA(INDEX(Cascade!$BL:$BL,MATCH($E97,Cascade!$E:$E,0)),"")</f>
        <v/>
      </c>
      <c r="Y97" s="118" t="str">
        <f aca="false">_xlfn.IFNA(INDEX(Cascade!$BM:$BM,MATCH($E97,Cascade!$E:$E,0)),"")</f>
        <v/>
      </c>
      <c r="Z97" s="118" t="str">
        <f aca="false">_xlfn.IFNA(INDEX(Cascade!$BN:$BN,MATCH($E97,Cascade!$E:$E,0)),"")</f>
        <v/>
      </c>
      <c r="AA97" s="118" t="str">
        <f aca="false">_xlfn.IFNA(INDEX(Cascade!$BP:$BP,MATCH($E97,Cascade!$E:$E,0)),"")</f>
        <v/>
      </c>
      <c r="AB97" s="118" t="str">
        <f aca="false">_xlfn.IFNA(INDEX(Cascade!$BR:$BR,MATCH($E97,Cascade!$E:$E,0)),"")</f>
        <v/>
      </c>
    </row>
    <row r="98" customFormat="false" ht="15" hidden="false" customHeight="false" outlineLevel="0" collapsed="false">
      <c r="A98" s="0" t="s">
        <v>144</v>
      </c>
      <c r="B98" s="0" t="s">
        <v>103</v>
      </c>
      <c r="C98" s="0" t="s">
        <v>77</v>
      </c>
      <c r="D98" s="0" t="s">
        <v>58</v>
      </c>
      <c r="E98" s="0" t="str">
        <f aca="false">B98&amp;"|"&amp;C98&amp;"|"&amp;D98</f>
        <v>Leribe [#SNU] [FjSmRywOWUp]|40-44|Male</v>
      </c>
      <c r="F98" s="73" t="n">
        <v>32</v>
      </c>
      <c r="G98" s="118" t="n">
        <f aca="false">IF(SUM($F98)&lt;=0,"",0%)</f>
        <v>0</v>
      </c>
      <c r="H98" s="75" t="n">
        <f aca="false">IF(SUM($F98)&lt;=0,"",$F98*(1+$G98))</f>
        <v>32</v>
      </c>
      <c r="I98" s="73" t="n">
        <v>30</v>
      </c>
      <c r="J98" s="118" t="n">
        <f aca="false">IF(SUM($H98)&lt;=0,"",100%)</f>
        <v>1</v>
      </c>
      <c r="K98" s="118" t="n">
        <v>16</v>
      </c>
      <c r="L98" s="118" t="n">
        <f aca="false">IF(SUM($K98)=0,"",$K98)</f>
        <v>16</v>
      </c>
      <c r="M98" s="118" t="n">
        <v>35</v>
      </c>
      <c r="N98" s="118" t="n">
        <f aca="false">IF(SUM($M98)=0,"",$M98)</f>
        <v>35</v>
      </c>
      <c r="O98" s="73" t="n">
        <f aca="false">IF(SUM($H98)&lt;=0,"",ROUND(SUM($H98)*SUM($J98),0))</f>
        <v>32</v>
      </c>
      <c r="P98" s="75" t="n">
        <f aca="false">IF(SUM($O98)&lt;=0,"",ROUND(SUM($O98)*SUM($L98),0))</f>
        <v>512</v>
      </c>
      <c r="Q98" s="75" t="n">
        <f aca="false">IF(SUM($O98)&lt;=0,"",ROUND((SUM($O98)-SUM($P98))*SUM($N98),0))</f>
        <v>-16800</v>
      </c>
      <c r="R98" s="75" t="n">
        <f aca="false">IF(SUM($O98)&lt;=0,"",ROUND(SUM($O98)-SUM($P98)-SUM($Q98),0))</f>
        <v>16320</v>
      </c>
      <c r="S98" s="118" t="n">
        <f aca="false">_xlfn.IFNA(INDEX(Cascade!$BA:$BA,MATCH($E98,Cascade!$E:$E,0)),"")</f>
        <v>0.95</v>
      </c>
      <c r="T98" s="75" t="n">
        <f aca="false">IF(SUM($P98)&lt;=0,"",$P98)</f>
        <v>512</v>
      </c>
      <c r="U98" s="75" t="str">
        <f aca="false">IF(SUM($Q98)&lt;=0,"",ROUND($Q98*$S98,0))</f>
        <v/>
      </c>
      <c r="V98" s="73" t="n">
        <f aca="false">_xlfn.IFNA(INDEX(Cascade!$BD:$BD,MATCH($E98,Cascade!$E:$E,0)),"")</f>
        <v>13</v>
      </c>
      <c r="W98" s="118" t="n">
        <f aca="false">IF(OR(SUM($V98)&lt;=0,SUM($Q98)=0),"",SUM($Q98)/$V98)</f>
        <v>-1292.30769230769</v>
      </c>
      <c r="X98" s="118" t="n">
        <f aca="false">_xlfn.IFNA(INDEX(Cascade!$BL:$BL,MATCH($E98,Cascade!$E:$E,0)),"")</f>
        <v>0.538461538461538</v>
      </c>
      <c r="Y98" s="118" t="str">
        <f aca="false">_xlfn.IFNA(INDEX(Cascade!$BM:$BM,MATCH($E98,Cascade!$E:$E,0)),"")</f>
        <v/>
      </c>
      <c r="Z98" s="118" t="str">
        <f aca="false">_xlfn.IFNA(INDEX(Cascade!$BN:$BN,MATCH($E98,Cascade!$E:$E,0)),"")</f>
        <v/>
      </c>
      <c r="AA98" s="118" t="str">
        <f aca="false">_xlfn.IFNA(INDEX(Cascade!$BP:$BP,MATCH($E98,Cascade!$E:$E,0)),"")</f>
        <v/>
      </c>
      <c r="AB98" s="118" t="n">
        <f aca="false">_xlfn.IFNA(INDEX(Cascade!$BR:$BR,MATCH($E98,Cascade!$E:$E,0)),"")</f>
        <v>1292.76923076923</v>
      </c>
    </row>
    <row r="99" customFormat="false" ht="15" hidden="false" customHeight="false" outlineLevel="0" collapsed="false">
      <c r="A99" s="0" t="s">
        <v>144</v>
      </c>
      <c r="B99" s="0" t="s">
        <v>103</v>
      </c>
      <c r="C99" s="0" t="s">
        <v>80</v>
      </c>
      <c r="D99" s="0" t="s">
        <v>56</v>
      </c>
      <c r="E99" s="0" t="str">
        <f aca="false">B99&amp;"|"&amp;C99&amp;"|"&amp;D99</f>
        <v>Leribe [#SNU] [FjSmRywOWUp]|45-49|Female</v>
      </c>
      <c r="F99" s="73" t="n">
        <v>2</v>
      </c>
      <c r="G99" s="118" t="n">
        <f aca="false">IF(SUM($F99)&lt;=0,"",0%)</f>
        <v>0</v>
      </c>
      <c r="H99" s="75" t="n">
        <f aca="false">IF(SUM($F99)&lt;=0,"",$F99*(1+$G99))</f>
        <v>2</v>
      </c>
      <c r="I99" s="73" t="n">
        <v>38</v>
      </c>
      <c r="J99" s="118" t="n">
        <f aca="false">IF(SUM($H99)&lt;=0,"",100%)</f>
        <v>1</v>
      </c>
      <c r="K99" s="118" t="n">
        <v>46</v>
      </c>
      <c r="L99" s="118" t="n">
        <f aca="false">IF(SUM($K99)=0,"",$K99)</f>
        <v>46</v>
      </c>
      <c r="M99" s="118" t="n">
        <v>42</v>
      </c>
      <c r="N99" s="118" t="n">
        <f aca="false">IF(SUM($M99)=0,"",$M99)</f>
        <v>42</v>
      </c>
      <c r="O99" s="73" t="n">
        <f aca="false">IF(SUM($H99)&lt;=0,"",ROUND(SUM($H99)*SUM($J99),0))</f>
        <v>2</v>
      </c>
      <c r="P99" s="75" t="n">
        <f aca="false">IF(SUM($O99)&lt;=0,"",ROUND(SUM($O99)*SUM($L99),0))</f>
        <v>92</v>
      </c>
      <c r="Q99" s="75" t="n">
        <f aca="false">IF(SUM($O99)&lt;=0,"",ROUND((SUM($O99)-SUM($P99))*SUM($N99),0))</f>
        <v>-3780</v>
      </c>
      <c r="R99" s="75" t="n">
        <f aca="false">IF(SUM($O99)&lt;=0,"",ROUND(SUM($O99)-SUM($P99)-SUM($Q99),0))</f>
        <v>3690</v>
      </c>
      <c r="S99" s="118" t="n">
        <f aca="false">_xlfn.IFNA(INDEX(Cascade!$BA:$BA,MATCH($E99,Cascade!$E:$E,0)),"")</f>
        <v>0.95</v>
      </c>
      <c r="T99" s="75" t="n">
        <f aca="false">IF(SUM($P99)&lt;=0,"",$P99)</f>
        <v>92</v>
      </c>
      <c r="U99" s="75" t="str">
        <f aca="false">IF(SUM($Q99)&lt;=0,"",ROUND($Q99*$S99,0))</f>
        <v/>
      </c>
      <c r="V99" s="73" t="n">
        <f aca="false">_xlfn.IFNA(INDEX(Cascade!$BD:$BD,MATCH($E99,Cascade!$E:$E,0)),"")</f>
        <v>1</v>
      </c>
      <c r="W99" s="118" t="n">
        <f aca="false">IF(OR(SUM($V99)&lt;=0,SUM($Q99)=0),"",SUM($Q99)/$V99)</f>
        <v>-3780</v>
      </c>
      <c r="X99" s="118" t="n">
        <f aca="false">_xlfn.IFNA(INDEX(Cascade!$BL:$BL,MATCH($E99,Cascade!$E:$E,0)),"")</f>
        <v>1</v>
      </c>
      <c r="Y99" s="118" t="str">
        <f aca="false">_xlfn.IFNA(INDEX(Cascade!$BM:$BM,MATCH($E99,Cascade!$E:$E,0)),"")</f>
        <v/>
      </c>
      <c r="Z99" s="118" t="str">
        <f aca="false">_xlfn.IFNA(INDEX(Cascade!$BN:$BN,MATCH($E99,Cascade!$E:$E,0)),"")</f>
        <v/>
      </c>
      <c r="AA99" s="118" t="str">
        <f aca="false">_xlfn.IFNA(INDEX(Cascade!$BP:$BP,MATCH($E99,Cascade!$E:$E,0)),"")</f>
        <v/>
      </c>
      <c r="AB99" s="118" t="n">
        <f aca="false">_xlfn.IFNA(INDEX(Cascade!$BR:$BR,MATCH($E99,Cascade!$E:$E,0)),"")</f>
        <v>3780</v>
      </c>
    </row>
    <row r="100" customFormat="false" ht="15" hidden="false" customHeight="false" outlineLevel="0" collapsed="false">
      <c r="A100" s="0" t="s">
        <v>144</v>
      </c>
      <c r="B100" s="0" t="s">
        <v>103</v>
      </c>
      <c r="C100" s="0" t="s">
        <v>80</v>
      </c>
      <c r="D100" s="0" t="s">
        <v>58</v>
      </c>
      <c r="E100" s="0" t="str">
        <f aca="false">B100&amp;"|"&amp;C100&amp;"|"&amp;D100</f>
        <v>Leribe [#SNU] [FjSmRywOWUp]|45-49|Male</v>
      </c>
      <c r="F100" s="73" t="n">
        <v>45</v>
      </c>
      <c r="G100" s="118" t="n">
        <f aca="false">IF(SUM($F100)&lt;=0,"",0%)</f>
        <v>0</v>
      </c>
      <c r="H100" s="75" t="n">
        <f aca="false">IF(SUM($F100)&lt;=0,"",$F100*(1+$G100))</f>
        <v>45</v>
      </c>
      <c r="I100" s="73" t="n">
        <v>17</v>
      </c>
      <c r="J100" s="118" t="n">
        <f aca="false">IF(SUM($H100)&lt;=0,"",100%)</f>
        <v>1</v>
      </c>
      <c r="K100" s="118" t="n">
        <v>0</v>
      </c>
      <c r="L100" s="118" t="str">
        <f aca="false">IF(SUM($K100)=0,"",$K100)</f>
        <v/>
      </c>
      <c r="M100" s="118" t="n">
        <v>34</v>
      </c>
      <c r="N100" s="118" t="n">
        <f aca="false">IF(SUM($M100)=0,"",$M100)</f>
        <v>34</v>
      </c>
      <c r="O100" s="73" t="n">
        <f aca="false">IF(SUM($H100)&lt;=0,"",ROUND(SUM($H100)*SUM($J100),0))</f>
        <v>45</v>
      </c>
      <c r="P100" s="75" t="n">
        <f aca="false">IF(SUM($O100)&lt;=0,"",ROUND(SUM($O100)*SUM($L100),0))</f>
        <v>0</v>
      </c>
      <c r="Q100" s="75" t="n">
        <f aca="false">IF(SUM($O100)&lt;=0,"",ROUND((SUM($O100)-SUM($P100))*SUM($N100),0))</f>
        <v>1530</v>
      </c>
      <c r="R100" s="75" t="n">
        <f aca="false">IF(SUM($O100)&lt;=0,"",ROUND(SUM($O100)-SUM($P100)-SUM($Q100),0))</f>
        <v>-1485</v>
      </c>
      <c r="S100" s="118" t="n">
        <f aca="false">_xlfn.IFNA(INDEX(Cascade!$BA:$BA,MATCH($E100,Cascade!$E:$E,0)),"")</f>
        <v>0.95</v>
      </c>
      <c r="T100" s="75" t="str">
        <f aca="false">IF(SUM($P100)&lt;=0,"",$P100)</f>
        <v/>
      </c>
      <c r="U100" s="75" t="n">
        <f aca="false">IF(SUM($Q100)&lt;=0,"",ROUND($Q100*$S100,0))</f>
        <v>1454</v>
      </c>
      <c r="V100" s="73" t="n">
        <f aca="false">_xlfn.IFNA(INDEX(Cascade!$BD:$BD,MATCH($E100,Cascade!$E:$E,0)),"")</f>
        <v>5</v>
      </c>
      <c r="W100" s="118" t="n">
        <f aca="false">IF(OR(SUM($V100)&lt;=0,SUM($Q100)=0),"",SUM($Q100)/$V100)</f>
        <v>306</v>
      </c>
      <c r="X100" s="118" t="n">
        <f aca="false">_xlfn.IFNA(INDEX(Cascade!$BL:$BL,MATCH($E100,Cascade!$E:$E,0)),"")</f>
        <v>0.6</v>
      </c>
      <c r="Y100" s="118" t="str">
        <f aca="false">_xlfn.IFNA(INDEX(Cascade!$BM:$BM,MATCH($E100,Cascade!$E:$E,0)),"")</f>
        <v/>
      </c>
      <c r="Z100" s="118" t="str">
        <f aca="false">_xlfn.IFNA(INDEX(Cascade!$BN:$BN,MATCH($E100,Cascade!$E:$E,0)),"")</f>
        <v/>
      </c>
      <c r="AA100" s="118" t="str">
        <f aca="false">_xlfn.IFNA(INDEX(Cascade!$BP:$BP,MATCH($E100,Cascade!$E:$E,0)),"")</f>
        <v/>
      </c>
      <c r="AB100" s="118" t="n">
        <f aca="false">_xlfn.IFNA(INDEX(Cascade!$BR:$BR,MATCH($E100,Cascade!$E:$E,0)),"")</f>
        <v>-305.6</v>
      </c>
    </row>
    <row r="101" customFormat="false" ht="15" hidden="false" customHeight="false" outlineLevel="0" collapsed="false">
      <c r="A101" s="0" t="s">
        <v>144</v>
      </c>
      <c r="B101" s="0" t="s">
        <v>103</v>
      </c>
      <c r="C101" s="0" t="s">
        <v>86</v>
      </c>
      <c r="D101" s="0" t="s">
        <v>56</v>
      </c>
      <c r="E101" s="0" t="str">
        <f aca="false">B101&amp;"|"&amp;C101&amp;"|"&amp;D101</f>
        <v>Leribe [#SNU] [FjSmRywOWUp]|50+|Female</v>
      </c>
      <c r="F101" s="73" t="n">
        <v>43</v>
      </c>
      <c r="G101" s="118" t="n">
        <f aca="false">IF(SUM($F101)&lt;=0,"",0%)</f>
        <v>0</v>
      </c>
      <c r="H101" s="75" t="n">
        <f aca="false">IF(SUM($F101)&lt;=0,"",$F101*(1+$G101))</f>
        <v>43</v>
      </c>
      <c r="I101" s="73" t="n">
        <v>26</v>
      </c>
      <c r="J101" s="118" t="n">
        <f aca="false">IF(SUM($H101)&lt;=0,"",100%)</f>
        <v>1</v>
      </c>
      <c r="K101" s="118" t="n">
        <v>2</v>
      </c>
      <c r="L101" s="118" t="n">
        <f aca="false">IF(SUM($K101)=0,"",$K101)</f>
        <v>2</v>
      </c>
      <c r="M101" s="118" t="n">
        <v>45</v>
      </c>
      <c r="N101" s="118" t="n">
        <f aca="false">IF(SUM($M101)=0,"",$M101)</f>
        <v>45</v>
      </c>
      <c r="O101" s="73" t="n">
        <f aca="false">IF(SUM($H101)&lt;=0,"",ROUND(SUM($H101)*SUM($J101),0))</f>
        <v>43</v>
      </c>
      <c r="P101" s="75" t="n">
        <f aca="false">IF(SUM($O101)&lt;=0,"",ROUND(SUM($O101)*SUM($L101),0))</f>
        <v>86</v>
      </c>
      <c r="Q101" s="75" t="n">
        <f aca="false">IF(SUM($O101)&lt;=0,"",ROUND((SUM($O101)-SUM($P101))*SUM($N101),0))</f>
        <v>-1935</v>
      </c>
      <c r="R101" s="75" t="n">
        <f aca="false">IF(SUM($O101)&lt;=0,"",ROUND(SUM($O101)-SUM($P101)-SUM($Q101),0))</f>
        <v>1892</v>
      </c>
      <c r="S101" s="118" t="n">
        <f aca="false">_xlfn.IFNA(INDEX(Cascade!$BA:$BA,MATCH($E101,Cascade!$E:$E,0)),"")</f>
        <v>0.95</v>
      </c>
      <c r="T101" s="75" t="n">
        <f aca="false">IF(SUM($P101)&lt;=0,"",$P101)</f>
        <v>86</v>
      </c>
      <c r="U101" s="75" t="str">
        <f aca="false">IF(SUM($Q101)&lt;=0,"",ROUND($Q101*$S101,0))</f>
        <v/>
      </c>
      <c r="V101" s="73" t="n">
        <f aca="false">_xlfn.IFNA(INDEX(Cascade!$BD:$BD,MATCH($E101,Cascade!$E:$E,0)),"")</f>
        <v>7</v>
      </c>
      <c r="W101" s="118" t="n">
        <f aca="false">IF(OR(SUM($V101)&lt;=0,SUM($Q101)=0),"",SUM($Q101)/$V101)</f>
        <v>-276.428571428571</v>
      </c>
      <c r="X101" s="118" t="n">
        <f aca="false">_xlfn.IFNA(INDEX(Cascade!$BL:$BL,MATCH($E101,Cascade!$E:$E,0)),"")</f>
        <v>0.571428571428571</v>
      </c>
      <c r="Y101" s="118" t="str">
        <f aca="false">_xlfn.IFNA(INDEX(Cascade!$BM:$BM,MATCH($E101,Cascade!$E:$E,0)),"")</f>
        <v/>
      </c>
      <c r="Z101" s="118" t="str">
        <f aca="false">_xlfn.IFNA(INDEX(Cascade!$BN:$BN,MATCH($E101,Cascade!$E:$E,0)),"")</f>
        <v/>
      </c>
      <c r="AA101" s="118" t="str">
        <f aca="false">_xlfn.IFNA(INDEX(Cascade!$BP:$BP,MATCH($E101,Cascade!$E:$E,0)),"")</f>
        <v/>
      </c>
      <c r="AB101" s="118" t="n">
        <f aca="false">_xlfn.IFNA(INDEX(Cascade!$BR:$BR,MATCH($E101,Cascade!$E:$E,0)),"")</f>
        <v>276.857142857143</v>
      </c>
    </row>
    <row r="102" customFormat="false" ht="15" hidden="false" customHeight="false" outlineLevel="0" collapsed="false">
      <c r="A102" s="0" t="s">
        <v>144</v>
      </c>
      <c r="B102" s="0" t="s">
        <v>103</v>
      </c>
      <c r="C102" s="0" t="s">
        <v>86</v>
      </c>
      <c r="D102" s="0" t="s">
        <v>58</v>
      </c>
      <c r="E102" s="0" t="str">
        <f aca="false">B102&amp;"|"&amp;C102&amp;"|"&amp;D102</f>
        <v>Leribe [#SNU] [FjSmRywOWUp]|50+|Male</v>
      </c>
      <c r="F102" s="73" t="n">
        <v>2</v>
      </c>
      <c r="G102" s="118" t="n">
        <f aca="false">IF(SUM($F102)&lt;=0,"",0%)</f>
        <v>0</v>
      </c>
      <c r="H102" s="75" t="n">
        <f aca="false">IF(SUM($F102)&lt;=0,"",$F102*(1+$G102))</f>
        <v>2</v>
      </c>
      <c r="I102" s="73" t="n">
        <v>21</v>
      </c>
      <c r="J102" s="118" t="n">
        <f aca="false">IF(SUM($H102)&lt;=0,"",100%)</f>
        <v>1</v>
      </c>
      <c r="K102" s="118" t="n">
        <v>26</v>
      </c>
      <c r="L102" s="118" t="n">
        <f aca="false">IF(SUM($K102)=0,"",$K102)</f>
        <v>26</v>
      </c>
      <c r="M102" s="118" t="n">
        <v>36</v>
      </c>
      <c r="N102" s="118" t="n">
        <f aca="false">IF(SUM($M102)=0,"",$M102)</f>
        <v>36</v>
      </c>
      <c r="O102" s="73" t="n">
        <f aca="false">IF(SUM($H102)&lt;=0,"",ROUND(SUM($H102)*SUM($J102),0))</f>
        <v>2</v>
      </c>
      <c r="P102" s="75" t="n">
        <f aca="false">IF(SUM($O102)&lt;=0,"",ROUND(SUM($O102)*SUM($L102),0))</f>
        <v>52</v>
      </c>
      <c r="Q102" s="75" t="n">
        <f aca="false">IF(SUM($O102)&lt;=0,"",ROUND((SUM($O102)-SUM($P102))*SUM($N102),0))</f>
        <v>-1800</v>
      </c>
      <c r="R102" s="75" t="n">
        <f aca="false">IF(SUM($O102)&lt;=0,"",ROUND(SUM($O102)-SUM($P102)-SUM($Q102),0))</f>
        <v>1750</v>
      </c>
      <c r="S102" s="118" t="n">
        <f aca="false">_xlfn.IFNA(INDEX(Cascade!$BA:$BA,MATCH($E102,Cascade!$E:$E,0)),"")</f>
        <v>0.95</v>
      </c>
      <c r="T102" s="75" t="n">
        <f aca="false">IF(SUM($P102)&lt;=0,"",$P102)</f>
        <v>52</v>
      </c>
      <c r="U102" s="75" t="str">
        <f aca="false">IF(SUM($Q102)&lt;=0,"",ROUND($Q102*$S102,0))</f>
        <v/>
      </c>
      <c r="V102" s="73" t="n">
        <f aca="false">_xlfn.IFNA(INDEX(Cascade!$BD:$BD,MATCH($E102,Cascade!$E:$E,0)),"")</f>
        <v>5</v>
      </c>
      <c r="W102" s="118" t="n">
        <f aca="false">IF(OR(SUM($V102)&lt;=0,SUM($Q102)=0),"",SUM($Q102)/$V102)</f>
        <v>-360</v>
      </c>
      <c r="X102" s="118" t="n">
        <f aca="false">_xlfn.IFNA(INDEX(Cascade!$BL:$BL,MATCH($E102,Cascade!$E:$E,0)),"")</f>
        <v>0.4</v>
      </c>
      <c r="Y102" s="118" t="str">
        <f aca="false">_xlfn.IFNA(INDEX(Cascade!$BM:$BM,MATCH($E102,Cascade!$E:$E,0)),"")</f>
        <v/>
      </c>
      <c r="Z102" s="118" t="str">
        <f aca="false">_xlfn.IFNA(INDEX(Cascade!$BN:$BN,MATCH($E102,Cascade!$E:$E,0)),"")</f>
        <v/>
      </c>
      <c r="AA102" s="118" t="str">
        <f aca="false">_xlfn.IFNA(INDEX(Cascade!$BP:$BP,MATCH($E102,Cascade!$E:$E,0)),"")</f>
        <v/>
      </c>
      <c r="AB102" s="118" t="n">
        <f aca="false">_xlfn.IFNA(INDEX(Cascade!$BR:$BR,MATCH($E102,Cascade!$E:$E,0)),"")</f>
        <v>360.6</v>
      </c>
    </row>
    <row r="103" customFormat="false" ht="15" hidden="false" customHeight="false" outlineLevel="0" collapsed="false">
      <c r="A103" s="0" t="s">
        <v>145</v>
      </c>
      <c r="B103" s="0" t="s">
        <v>107</v>
      </c>
      <c r="C103" s="0" t="s">
        <v>54</v>
      </c>
      <c r="D103" s="0" t="s">
        <v>56</v>
      </c>
      <c r="E103" s="0" t="str">
        <f aca="false">B103&amp;"|"&amp;C103&amp;"|"&amp;D103</f>
        <v>Mafeteng [#SNU] [#DREAMS] [DiFv5WXIHM5]|01-04|Female</v>
      </c>
      <c r="F103" s="73" t="n">
        <v>43</v>
      </c>
      <c r="G103" s="118" t="n">
        <f aca="false">IF(SUM($F103)&lt;=0,"",0%)</f>
        <v>0</v>
      </c>
      <c r="H103" s="75" t="n">
        <f aca="false">IF(SUM($F103)&lt;=0,"",$F103*(1+$G103))</f>
        <v>43</v>
      </c>
      <c r="I103" s="73"/>
      <c r="J103" s="118" t="n">
        <f aca="false">IF(SUM($H103)&lt;=0,"",100%)</f>
        <v>1</v>
      </c>
      <c r="K103" s="118"/>
      <c r="L103" s="118" t="str">
        <f aca="false">IF(SUM($K103)=0,"",$K103)</f>
        <v/>
      </c>
      <c r="M103" s="118"/>
      <c r="N103" s="118" t="str">
        <f aca="false">IF(SUM($M103)=0,"",$M103)</f>
        <v/>
      </c>
      <c r="O103" s="73" t="n">
        <f aca="false">IF(SUM($H103)&lt;=0,"",ROUND(SUM($H103)*SUM($J103),0))</f>
        <v>43</v>
      </c>
      <c r="P103" s="75" t="n">
        <f aca="false">IF(SUM($O103)&lt;=0,"",ROUND(SUM($O103)*SUM($L103),0))</f>
        <v>0</v>
      </c>
      <c r="Q103" s="75" t="n">
        <f aca="false">IF(SUM($O103)&lt;=0,"",ROUND((SUM($O103)-SUM($P103))*SUM($N103),0))</f>
        <v>0</v>
      </c>
      <c r="R103" s="75" t="n">
        <f aca="false">IF(SUM($O103)&lt;=0,"",ROUND(SUM($O103)-SUM($P103)-SUM($Q103),0))</f>
        <v>43</v>
      </c>
      <c r="S103" s="118" t="n">
        <f aca="false">_xlfn.IFNA(INDEX(Cascade!$BA:$BA,MATCH($E103,Cascade!$E:$E,0)),"")</f>
        <v>0.95</v>
      </c>
      <c r="T103" s="75" t="str">
        <f aca="false">IF(SUM($P103)&lt;=0,"",$P103)</f>
        <v/>
      </c>
      <c r="U103" s="75" t="str">
        <f aca="false">IF(SUM($Q103)&lt;=0,"",ROUND($Q103*$S103,0))</f>
        <v/>
      </c>
      <c r="V103" s="73" t="n">
        <f aca="false">_xlfn.IFNA(INDEX(Cascade!$BD:$BD,MATCH($E103,Cascade!$E:$E,0)),"")</f>
        <v>4</v>
      </c>
      <c r="W103" s="118" t="str">
        <f aca="false">IF(OR(SUM($V103)&lt;=0,SUM($Q103)=0),"",SUM($Q103)/$V103)</f>
        <v/>
      </c>
      <c r="X103" s="118" t="n">
        <f aca="false">_xlfn.IFNA(INDEX(Cascade!$BL:$BL,MATCH($E103,Cascade!$E:$E,0)),"")</f>
        <v>0.25</v>
      </c>
      <c r="Y103" s="118" t="str">
        <f aca="false">_xlfn.IFNA(INDEX(Cascade!$BM:$BM,MATCH($E103,Cascade!$E:$E,0)),"")</f>
        <v/>
      </c>
      <c r="Z103" s="118" t="str">
        <f aca="false">_xlfn.IFNA(INDEX(Cascade!$BN:$BN,MATCH($E103,Cascade!$E:$E,0)),"")</f>
        <v/>
      </c>
      <c r="AA103" s="118" t="str">
        <f aca="false">_xlfn.IFNA(INDEX(Cascade!$BP:$BP,MATCH($E103,Cascade!$E:$E,0)),"")</f>
        <v/>
      </c>
      <c r="AB103" s="118" t="n">
        <f aca="false">_xlfn.IFNA(INDEX(Cascade!$BR:$BR,MATCH($E103,Cascade!$E:$E,0)),"")</f>
        <v>0.75</v>
      </c>
    </row>
    <row r="104" customFormat="false" ht="15" hidden="false" customHeight="false" outlineLevel="0" collapsed="false">
      <c r="A104" s="0" t="s">
        <v>145</v>
      </c>
      <c r="B104" s="0" t="s">
        <v>107</v>
      </c>
      <c r="C104" s="0" t="s">
        <v>54</v>
      </c>
      <c r="D104" s="0" t="s">
        <v>58</v>
      </c>
      <c r="E104" s="0" t="str">
        <f aca="false">B104&amp;"|"&amp;C104&amp;"|"&amp;D104</f>
        <v>Mafeteng [#SNU] [#DREAMS] [DiFv5WXIHM5]|01-04|Male</v>
      </c>
      <c r="F104" s="73" t="n">
        <v>1</v>
      </c>
      <c r="G104" s="118" t="n">
        <f aca="false">IF(SUM($F104)&lt;=0,"",0%)</f>
        <v>0</v>
      </c>
      <c r="H104" s="75" t="n">
        <f aca="false">IF(SUM($F104)&lt;=0,"",$F104*(1+$G104))</f>
        <v>1</v>
      </c>
      <c r="I104" s="73"/>
      <c r="J104" s="118" t="n">
        <f aca="false">IF(SUM($H104)&lt;=0,"",100%)</f>
        <v>1</v>
      </c>
      <c r="K104" s="118"/>
      <c r="L104" s="118" t="str">
        <f aca="false">IF(SUM($K104)=0,"",$K104)</f>
        <v/>
      </c>
      <c r="M104" s="118"/>
      <c r="N104" s="118" t="str">
        <f aca="false">IF(SUM($M104)=0,"",$M104)</f>
        <v/>
      </c>
      <c r="O104" s="73" t="n">
        <f aca="false">IF(SUM($H104)&lt;=0,"",ROUND(SUM($H104)*SUM($J104),0))</f>
        <v>1</v>
      </c>
      <c r="P104" s="75" t="n">
        <f aca="false">IF(SUM($O104)&lt;=0,"",ROUND(SUM($O104)*SUM($L104),0))</f>
        <v>0</v>
      </c>
      <c r="Q104" s="75" t="n">
        <f aca="false">IF(SUM($O104)&lt;=0,"",ROUND((SUM($O104)-SUM($P104))*SUM($N104),0))</f>
        <v>0</v>
      </c>
      <c r="R104" s="75" t="n">
        <f aca="false">IF(SUM($O104)&lt;=0,"",ROUND(SUM($O104)-SUM($P104)-SUM($Q104),0))</f>
        <v>1</v>
      </c>
      <c r="S104" s="118" t="n">
        <f aca="false">_xlfn.IFNA(INDEX(Cascade!$BA:$BA,MATCH($E104,Cascade!$E:$E,0)),"")</f>
        <v>0.95</v>
      </c>
      <c r="T104" s="75" t="str">
        <f aca="false">IF(SUM($P104)&lt;=0,"",$P104)</f>
        <v/>
      </c>
      <c r="U104" s="75" t="str">
        <f aca="false">IF(SUM($Q104)&lt;=0,"",ROUND($Q104*$S104,0))</f>
        <v/>
      </c>
      <c r="V104" s="73" t="n">
        <f aca="false">_xlfn.IFNA(INDEX(Cascade!$BD:$BD,MATCH($E104,Cascade!$E:$E,0)),"")</f>
        <v>14</v>
      </c>
      <c r="W104" s="118" t="str">
        <f aca="false">IF(OR(SUM($V104)&lt;=0,SUM($Q104)=0),"",SUM($Q104)/$V104)</f>
        <v/>
      </c>
      <c r="X104" s="118" t="n">
        <f aca="false">_xlfn.IFNA(INDEX(Cascade!$BL:$BL,MATCH($E104,Cascade!$E:$E,0)),"")</f>
        <v>0.285714285714286</v>
      </c>
      <c r="Y104" s="118" t="str">
        <f aca="false">_xlfn.IFNA(INDEX(Cascade!$BM:$BM,MATCH($E104,Cascade!$E:$E,0)),"")</f>
        <v/>
      </c>
      <c r="Z104" s="118" t="str">
        <f aca="false">_xlfn.IFNA(INDEX(Cascade!$BN:$BN,MATCH($E104,Cascade!$E:$E,0)),"")</f>
        <v/>
      </c>
      <c r="AA104" s="118" t="str">
        <f aca="false">_xlfn.IFNA(INDEX(Cascade!$BP:$BP,MATCH($E104,Cascade!$E:$E,0)),"")</f>
        <v/>
      </c>
      <c r="AB104" s="118" t="n">
        <f aca="false">_xlfn.IFNA(INDEX(Cascade!$BR:$BR,MATCH($E104,Cascade!$E:$E,0)),"")</f>
        <v>0.714285714285714</v>
      </c>
    </row>
    <row r="105" customFormat="false" ht="15" hidden="false" customHeight="false" outlineLevel="0" collapsed="false">
      <c r="A105" s="0" t="s">
        <v>145</v>
      </c>
      <c r="B105" s="0" t="s">
        <v>107</v>
      </c>
      <c r="C105" s="0" t="s">
        <v>83</v>
      </c>
      <c r="D105" s="0" t="s">
        <v>56</v>
      </c>
      <c r="E105" s="0" t="str">
        <f aca="false">B105&amp;"|"&amp;C105&amp;"|"&amp;D105</f>
        <v>Mafeteng [#SNU] [#DREAMS] [DiFv5WXIHM5]|05-09|Female</v>
      </c>
      <c r="F105" s="73" t="n">
        <v>28</v>
      </c>
      <c r="G105" s="118" t="n">
        <f aca="false">IF(SUM($F105)&lt;=0,"",0%)</f>
        <v>0</v>
      </c>
      <c r="H105" s="75" t="n">
        <f aca="false">IF(SUM($F105)&lt;=0,"",$F105*(1+$G105))</f>
        <v>28</v>
      </c>
      <c r="I105" s="73"/>
      <c r="J105" s="118" t="n">
        <f aca="false">IF(SUM($H105)&lt;=0,"",100%)</f>
        <v>1</v>
      </c>
      <c r="K105" s="118" t="n">
        <v>44</v>
      </c>
      <c r="L105" s="118" t="n">
        <f aca="false">IF(SUM($K105)=0,"",$K105)</f>
        <v>44</v>
      </c>
      <c r="M105" s="118" t="n">
        <v>31</v>
      </c>
      <c r="N105" s="118" t="n">
        <f aca="false">IF(SUM($M105)=0,"",$M105)</f>
        <v>31</v>
      </c>
      <c r="O105" s="73" t="n">
        <f aca="false">IF(SUM($H105)&lt;=0,"",ROUND(SUM($H105)*SUM($J105),0))</f>
        <v>28</v>
      </c>
      <c r="P105" s="75" t="n">
        <f aca="false">IF(SUM($O105)&lt;=0,"",ROUND(SUM($O105)*SUM($L105),0))</f>
        <v>1232</v>
      </c>
      <c r="Q105" s="75" t="n">
        <f aca="false">IF(SUM($O105)&lt;=0,"",ROUND((SUM($O105)-SUM($P105))*SUM($N105),0))</f>
        <v>-37324</v>
      </c>
      <c r="R105" s="75" t="n">
        <f aca="false">IF(SUM($O105)&lt;=0,"",ROUND(SUM($O105)-SUM($P105)-SUM($Q105),0))</f>
        <v>36120</v>
      </c>
      <c r="S105" s="118" t="n">
        <f aca="false">_xlfn.IFNA(INDEX(Cascade!$BA:$BA,MATCH($E105,Cascade!$E:$E,0)),"")</f>
        <v>0.95</v>
      </c>
      <c r="T105" s="75" t="n">
        <f aca="false">IF(SUM($P105)&lt;=0,"",$P105)</f>
        <v>1232</v>
      </c>
      <c r="U105" s="75" t="str">
        <f aca="false">IF(SUM($Q105)&lt;=0,"",ROUND($Q105*$S105,0))</f>
        <v/>
      </c>
      <c r="V105" s="73" t="n">
        <f aca="false">_xlfn.IFNA(INDEX(Cascade!$BD:$BD,MATCH($E105,Cascade!$E:$E,0)),"")</f>
        <v>9</v>
      </c>
      <c r="W105" s="118" t="n">
        <f aca="false">IF(OR(SUM($V105)&lt;=0,SUM($Q105)=0),"",SUM($Q105)/$V105)</f>
        <v>-4147.11111111111</v>
      </c>
      <c r="X105" s="118" t="n">
        <f aca="false">_xlfn.IFNA(INDEX(Cascade!$BL:$BL,MATCH($E105,Cascade!$E:$E,0)),"")</f>
        <v>0.333333333333333</v>
      </c>
      <c r="Y105" s="118" t="str">
        <f aca="false">_xlfn.IFNA(INDEX(Cascade!$BM:$BM,MATCH($E105,Cascade!$E:$E,0)),"")</f>
        <v/>
      </c>
      <c r="Z105" s="118" t="str">
        <f aca="false">_xlfn.IFNA(INDEX(Cascade!$BN:$BN,MATCH($E105,Cascade!$E:$E,0)),"")</f>
        <v/>
      </c>
      <c r="AA105" s="118" t="str">
        <f aca="false">_xlfn.IFNA(INDEX(Cascade!$BP:$BP,MATCH($E105,Cascade!$E:$E,0)),"")</f>
        <v/>
      </c>
      <c r="AB105" s="118" t="n">
        <f aca="false">_xlfn.IFNA(INDEX(Cascade!$BR:$BR,MATCH($E105,Cascade!$E:$E,0)),"")</f>
        <v>4147.77777777778</v>
      </c>
    </row>
    <row r="106" customFormat="false" ht="15" hidden="false" customHeight="false" outlineLevel="0" collapsed="false">
      <c r="A106" s="0" t="s">
        <v>145</v>
      </c>
      <c r="B106" s="0" t="s">
        <v>107</v>
      </c>
      <c r="C106" s="0" t="s">
        <v>83</v>
      </c>
      <c r="D106" s="0" t="s">
        <v>58</v>
      </c>
      <c r="E106" s="0" t="str">
        <f aca="false">B106&amp;"|"&amp;C106&amp;"|"&amp;D106</f>
        <v>Mafeteng [#SNU] [#DREAMS] [DiFv5WXIHM5]|05-09|Male</v>
      </c>
      <c r="F106" s="73" t="n">
        <v>13</v>
      </c>
      <c r="G106" s="118" t="n">
        <f aca="false">IF(SUM($F106)&lt;=0,"",0%)</f>
        <v>0</v>
      </c>
      <c r="H106" s="75" t="n">
        <f aca="false">IF(SUM($F106)&lt;=0,"",$F106*(1+$G106))</f>
        <v>13</v>
      </c>
      <c r="I106" s="73"/>
      <c r="J106" s="118" t="n">
        <f aca="false">IF(SUM($H106)&lt;=0,"",100%)</f>
        <v>1</v>
      </c>
      <c r="K106" s="118" t="n">
        <v>2</v>
      </c>
      <c r="L106" s="118" t="n">
        <f aca="false">IF(SUM($K106)=0,"",$K106)</f>
        <v>2</v>
      </c>
      <c r="M106" s="118"/>
      <c r="N106" s="118" t="str">
        <f aca="false">IF(SUM($M106)=0,"",$M106)</f>
        <v/>
      </c>
      <c r="O106" s="73" t="n">
        <f aca="false">IF(SUM($H106)&lt;=0,"",ROUND(SUM($H106)*SUM($J106),0))</f>
        <v>13</v>
      </c>
      <c r="P106" s="75" t="n">
        <f aca="false">IF(SUM($O106)&lt;=0,"",ROUND(SUM($O106)*SUM($L106),0))</f>
        <v>26</v>
      </c>
      <c r="Q106" s="75" t="n">
        <f aca="false">IF(SUM($O106)&lt;=0,"",ROUND((SUM($O106)-SUM($P106))*SUM($N106),0))</f>
        <v>-0</v>
      </c>
      <c r="R106" s="75" t="n">
        <f aca="false">IF(SUM($O106)&lt;=0,"",ROUND(SUM($O106)-SUM($P106)-SUM($Q106),0))</f>
        <v>-13</v>
      </c>
      <c r="S106" s="118" t="n">
        <f aca="false">_xlfn.IFNA(INDEX(Cascade!$BA:$BA,MATCH($E106,Cascade!$E:$E,0)),"")</f>
        <v>0.95</v>
      </c>
      <c r="T106" s="75" t="n">
        <f aca="false">IF(SUM($P106)&lt;=0,"",$P106)</f>
        <v>26</v>
      </c>
      <c r="U106" s="75" t="str">
        <f aca="false">IF(SUM($Q106)&lt;=0,"",ROUND($Q106*$S106,0))</f>
        <v/>
      </c>
      <c r="V106" s="73" t="n">
        <f aca="false">_xlfn.IFNA(INDEX(Cascade!$BD:$BD,MATCH($E106,Cascade!$E:$E,0)),"")</f>
        <v>1</v>
      </c>
      <c r="W106" s="118" t="str">
        <f aca="false">IF(OR(SUM($V106)&lt;=0,SUM($Q106)=0),"",SUM($Q106)/$V106)</f>
        <v/>
      </c>
      <c r="X106" s="118" t="str">
        <f aca="false">_xlfn.IFNA(INDEX(Cascade!$BL:$BL,MATCH($E106,Cascade!$E:$E,0)),"")</f>
        <v/>
      </c>
      <c r="Y106" s="118" t="str">
        <f aca="false">_xlfn.IFNA(INDEX(Cascade!$BM:$BM,MATCH($E106,Cascade!$E:$E,0)),"")</f>
        <v/>
      </c>
      <c r="Z106" s="118" t="str">
        <f aca="false">_xlfn.IFNA(INDEX(Cascade!$BN:$BN,MATCH($E106,Cascade!$E:$E,0)),"")</f>
        <v/>
      </c>
      <c r="AA106" s="118" t="str">
        <f aca="false">_xlfn.IFNA(INDEX(Cascade!$BP:$BP,MATCH($E106,Cascade!$E:$E,0)),"")</f>
        <v/>
      </c>
      <c r="AB106" s="118" t="n">
        <f aca="false">_xlfn.IFNA(INDEX(Cascade!$BR:$BR,MATCH($E106,Cascade!$E:$E,0)),"")</f>
        <v>1</v>
      </c>
    </row>
    <row r="107" customFormat="false" ht="15" hidden="false" customHeight="false" outlineLevel="0" collapsed="false">
      <c r="A107" s="0" t="s">
        <v>145</v>
      </c>
      <c r="B107" s="0" t="s">
        <v>107</v>
      </c>
      <c r="C107" s="0" t="s">
        <v>61</v>
      </c>
      <c r="D107" s="0" t="s">
        <v>56</v>
      </c>
      <c r="E107" s="0" t="str">
        <f aca="false">B107&amp;"|"&amp;C107&amp;"|"&amp;D107</f>
        <v>Mafeteng [#SNU] [#DREAMS] [DiFv5WXIHM5]|10-14|Female</v>
      </c>
      <c r="F107" s="73" t="n">
        <v>32</v>
      </c>
      <c r="G107" s="118" t="n">
        <f aca="false">IF(SUM($F107)&lt;=0,"",0%)</f>
        <v>0</v>
      </c>
      <c r="H107" s="75" t="n">
        <f aca="false">IF(SUM($F107)&lt;=0,"",$F107*(1+$G107))</f>
        <v>32</v>
      </c>
      <c r="I107" s="73"/>
      <c r="J107" s="118" t="n">
        <f aca="false">IF(SUM($H107)&lt;=0,"",100%)</f>
        <v>1</v>
      </c>
      <c r="K107" s="118" t="n">
        <v>49</v>
      </c>
      <c r="L107" s="118" t="n">
        <f aca="false">IF(SUM($K107)=0,"",$K107)</f>
        <v>49</v>
      </c>
      <c r="M107" s="118"/>
      <c r="N107" s="118" t="str">
        <f aca="false">IF(SUM($M107)=0,"",$M107)</f>
        <v/>
      </c>
      <c r="O107" s="73" t="n">
        <f aca="false">IF(SUM($H107)&lt;=0,"",ROUND(SUM($H107)*SUM($J107),0))</f>
        <v>32</v>
      </c>
      <c r="P107" s="75" t="n">
        <f aca="false">IF(SUM($O107)&lt;=0,"",ROUND(SUM($O107)*SUM($L107),0))</f>
        <v>1568</v>
      </c>
      <c r="Q107" s="75" t="n">
        <f aca="false">IF(SUM($O107)&lt;=0,"",ROUND((SUM($O107)-SUM($P107))*SUM($N107),0))</f>
        <v>-0</v>
      </c>
      <c r="R107" s="75" t="n">
        <f aca="false">IF(SUM($O107)&lt;=0,"",ROUND(SUM($O107)-SUM($P107)-SUM($Q107),0))</f>
        <v>-1536</v>
      </c>
      <c r="S107" s="118" t="n">
        <f aca="false">_xlfn.IFNA(INDEX(Cascade!$BA:$BA,MATCH($E107,Cascade!$E:$E,0)),"")</f>
        <v>0.95</v>
      </c>
      <c r="T107" s="75" t="n">
        <f aca="false">IF(SUM($P107)&lt;=0,"",$P107)</f>
        <v>1568</v>
      </c>
      <c r="U107" s="75" t="str">
        <f aca="false">IF(SUM($Q107)&lt;=0,"",ROUND($Q107*$S107,0))</f>
        <v/>
      </c>
      <c r="V107" s="73" t="n">
        <f aca="false">_xlfn.IFNA(INDEX(Cascade!$BD:$BD,MATCH($E107,Cascade!$E:$E,0)),"")</f>
        <v>6</v>
      </c>
      <c r="W107" s="118" t="str">
        <f aca="false">IF(OR(SUM($V107)&lt;=0,SUM($Q107)=0),"",SUM($Q107)/$V107)</f>
        <v/>
      </c>
      <c r="X107" s="118" t="n">
        <f aca="false">_xlfn.IFNA(INDEX(Cascade!$BL:$BL,MATCH($E107,Cascade!$E:$E,0)),"")</f>
        <v>0.833333333333333</v>
      </c>
      <c r="Y107" s="118" t="str">
        <f aca="false">_xlfn.IFNA(INDEX(Cascade!$BM:$BM,MATCH($E107,Cascade!$E:$E,0)),"")</f>
        <v/>
      </c>
      <c r="Z107" s="118" t="str">
        <f aca="false">_xlfn.IFNA(INDEX(Cascade!$BN:$BN,MATCH($E107,Cascade!$E:$E,0)),"")</f>
        <v/>
      </c>
      <c r="AA107" s="118" t="str">
        <f aca="false">_xlfn.IFNA(INDEX(Cascade!$BP:$BP,MATCH($E107,Cascade!$E:$E,0)),"")</f>
        <v/>
      </c>
      <c r="AB107" s="118" t="n">
        <f aca="false">_xlfn.IFNA(INDEX(Cascade!$BR:$BR,MATCH($E107,Cascade!$E:$E,0)),"")</f>
        <v>0.166666666666667</v>
      </c>
    </row>
    <row r="108" customFormat="false" ht="15" hidden="false" customHeight="false" outlineLevel="0" collapsed="false">
      <c r="A108" s="0" t="s">
        <v>145</v>
      </c>
      <c r="B108" s="0" t="s">
        <v>107</v>
      </c>
      <c r="C108" s="0" t="s">
        <v>61</v>
      </c>
      <c r="D108" s="0" t="s">
        <v>58</v>
      </c>
      <c r="E108" s="0" t="str">
        <f aca="false">B108&amp;"|"&amp;C108&amp;"|"&amp;D108</f>
        <v>Mafeteng [#SNU] [#DREAMS] [DiFv5WXIHM5]|10-14|Male</v>
      </c>
      <c r="F108" s="73" t="n">
        <v>14</v>
      </c>
      <c r="G108" s="118" t="n">
        <f aca="false">IF(SUM($F108)&lt;=0,"",0%)</f>
        <v>0</v>
      </c>
      <c r="H108" s="75" t="n">
        <f aca="false">IF(SUM($F108)&lt;=0,"",$F108*(1+$G108))</f>
        <v>14</v>
      </c>
      <c r="I108" s="73" t="n">
        <v>22</v>
      </c>
      <c r="J108" s="118" t="n">
        <f aca="false">IF(SUM($H108)&lt;=0,"",100%)</f>
        <v>1</v>
      </c>
      <c r="K108" s="118" t="n">
        <v>21</v>
      </c>
      <c r="L108" s="118" t="n">
        <f aca="false">IF(SUM($K108)=0,"",$K108)</f>
        <v>21</v>
      </c>
      <c r="M108" s="118"/>
      <c r="N108" s="118" t="str">
        <f aca="false">IF(SUM($M108)=0,"",$M108)</f>
        <v/>
      </c>
      <c r="O108" s="73" t="n">
        <f aca="false">IF(SUM($H108)&lt;=0,"",ROUND(SUM($H108)*SUM($J108),0))</f>
        <v>14</v>
      </c>
      <c r="P108" s="75" t="n">
        <f aca="false">IF(SUM($O108)&lt;=0,"",ROUND(SUM($O108)*SUM($L108),0))</f>
        <v>294</v>
      </c>
      <c r="Q108" s="75" t="n">
        <f aca="false">IF(SUM($O108)&lt;=0,"",ROUND((SUM($O108)-SUM($P108))*SUM($N108),0))</f>
        <v>-0</v>
      </c>
      <c r="R108" s="75" t="n">
        <f aca="false">IF(SUM($O108)&lt;=0,"",ROUND(SUM($O108)-SUM($P108)-SUM($Q108),0))</f>
        <v>-280</v>
      </c>
      <c r="S108" s="118" t="n">
        <f aca="false">_xlfn.IFNA(INDEX(Cascade!$BA:$BA,MATCH($E108,Cascade!$E:$E,0)),"")</f>
        <v>0.95</v>
      </c>
      <c r="T108" s="75" t="n">
        <f aca="false">IF(SUM($P108)&lt;=0,"",$P108)</f>
        <v>294</v>
      </c>
      <c r="U108" s="75" t="str">
        <f aca="false">IF(SUM($Q108)&lt;=0,"",ROUND($Q108*$S108,0))</f>
        <v/>
      </c>
      <c r="V108" s="73" t="n">
        <f aca="false">_xlfn.IFNA(INDEX(Cascade!$BD:$BD,MATCH($E108,Cascade!$E:$E,0)),"")</f>
        <v>5</v>
      </c>
      <c r="W108" s="118" t="str">
        <f aca="false">IF(OR(SUM($V108)&lt;=0,SUM($Q108)=0),"",SUM($Q108)/$V108)</f>
        <v/>
      </c>
      <c r="X108" s="118" t="n">
        <f aca="false">_xlfn.IFNA(INDEX(Cascade!$BL:$BL,MATCH($E108,Cascade!$E:$E,0)),"")</f>
        <v>0.8</v>
      </c>
      <c r="Y108" s="118" t="str">
        <f aca="false">_xlfn.IFNA(INDEX(Cascade!$BM:$BM,MATCH($E108,Cascade!$E:$E,0)),"")</f>
        <v/>
      </c>
      <c r="Z108" s="118" t="str">
        <f aca="false">_xlfn.IFNA(INDEX(Cascade!$BN:$BN,MATCH($E108,Cascade!$E:$E,0)),"")</f>
        <v/>
      </c>
      <c r="AA108" s="118" t="str">
        <f aca="false">_xlfn.IFNA(INDEX(Cascade!$BP:$BP,MATCH($E108,Cascade!$E:$E,0)),"")</f>
        <v/>
      </c>
      <c r="AB108" s="118" t="n">
        <f aca="false">_xlfn.IFNA(INDEX(Cascade!$BR:$BR,MATCH($E108,Cascade!$E:$E,0)),"")</f>
        <v>0.2</v>
      </c>
    </row>
    <row r="109" customFormat="false" ht="15" hidden="false" customHeight="false" outlineLevel="0" collapsed="false">
      <c r="A109" s="0" t="s">
        <v>145</v>
      </c>
      <c r="B109" s="0" t="s">
        <v>107</v>
      </c>
      <c r="C109" s="0" t="s">
        <v>63</v>
      </c>
      <c r="D109" s="0" t="s">
        <v>56</v>
      </c>
      <c r="E109" s="0" t="str">
        <f aca="false">B109&amp;"|"&amp;C109&amp;"|"&amp;D109</f>
        <v>Mafeteng [#SNU] [#DREAMS] [DiFv5WXIHM5]|15-19|Female</v>
      </c>
      <c r="F109" s="73" t="n">
        <v>3</v>
      </c>
      <c r="G109" s="118" t="n">
        <f aca="false">IF(SUM($F109)&lt;=0,"",0%)</f>
        <v>0</v>
      </c>
      <c r="H109" s="75" t="n">
        <f aca="false">IF(SUM($F109)&lt;=0,"",$F109*(1+$G109))</f>
        <v>3</v>
      </c>
      <c r="I109" s="73"/>
      <c r="J109" s="118" t="n">
        <f aca="false">IF(SUM($H109)&lt;=0,"",100%)</f>
        <v>1</v>
      </c>
      <c r="K109" s="118" t="n">
        <v>23</v>
      </c>
      <c r="L109" s="118" t="n">
        <f aca="false">IF(SUM($K109)=0,"",$K109)</f>
        <v>23</v>
      </c>
      <c r="M109" s="118"/>
      <c r="N109" s="118" t="str">
        <f aca="false">IF(SUM($M109)=0,"",$M109)</f>
        <v/>
      </c>
      <c r="O109" s="73" t="n">
        <f aca="false">IF(SUM($H109)&lt;=0,"",ROUND(SUM($H109)*SUM($J109),0))</f>
        <v>3</v>
      </c>
      <c r="P109" s="75" t="n">
        <f aca="false">IF(SUM($O109)&lt;=0,"",ROUND(SUM($O109)*SUM($L109),0))</f>
        <v>69</v>
      </c>
      <c r="Q109" s="75" t="n">
        <f aca="false">IF(SUM($O109)&lt;=0,"",ROUND((SUM($O109)-SUM($P109))*SUM($N109),0))</f>
        <v>-0</v>
      </c>
      <c r="R109" s="75" t="n">
        <f aca="false">IF(SUM($O109)&lt;=0,"",ROUND(SUM($O109)-SUM($P109)-SUM($Q109),0))</f>
        <v>-66</v>
      </c>
      <c r="S109" s="118" t="n">
        <f aca="false">_xlfn.IFNA(INDEX(Cascade!$BA:$BA,MATCH($E109,Cascade!$E:$E,0)),"")</f>
        <v>0.95</v>
      </c>
      <c r="T109" s="75" t="n">
        <f aca="false">IF(SUM($P109)&lt;=0,"",$P109)</f>
        <v>69</v>
      </c>
      <c r="U109" s="75" t="str">
        <f aca="false">IF(SUM($Q109)&lt;=0,"",ROUND($Q109*$S109,0))</f>
        <v/>
      </c>
      <c r="V109" s="73" t="n">
        <f aca="false">_xlfn.IFNA(INDEX(Cascade!$BD:$BD,MATCH($E109,Cascade!$E:$E,0)),"")</f>
        <v>12</v>
      </c>
      <c r="W109" s="118" t="str">
        <f aca="false">IF(OR(SUM($V109)&lt;=0,SUM($Q109)=0),"",SUM($Q109)/$V109)</f>
        <v/>
      </c>
      <c r="X109" s="118" t="n">
        <f aca="false">_xlfn.IFNA(INDEX(Cascade!$BL:$BL,MATCH($E109,Cascade!$E:$E,0)),"")</f>
        <v>0.5</v>
      </c>
      <c r="Y109" s="118" t="n">
        <f aca="false">_xlfn.IFNA(INDEX(Cascade!$BM:$BM,MATCH($E109,Cascade!$E:$E,0)),"")</f>
        <v>-216.666666666667</v>
      </c>
      <c r="Z109" s="118" t="str">
        <f aca="false">_xlfn.IFNA(INDEX(Cascade!$BN:$BN,MATCH($E109,Cascade!$E:$E,0)),"")</f>
        <v/>
      </c>
      <c r="AA109" s="118" t="str">
        <f aca="false">_xlfn.IFNA(INDEX(Cascade!$BP:$BP,MATCH($E109,Cascade!$E:$E,0)),"")</f>
        <v/>
      </c>
      <c r="AB109" s="118" t="n">
        <f aca="false">_xlfn.IFNA(INDEX(Cascade!$BR:$BR,MATCH($E109,Cascade!$E:$E,0)),"")</f>
        <v>217.166666666667</v>
      </c>
    </row>
    <row r="110" customFormat="false" ht="15" hidden="false" customHeight="false" outlineLevel="0" collapsed="false">
      <c r="A110" s="0" t="s">
        <v>145</v>
      </c>
      <c r="B110" s="0" t="s">
        <v>107</v>
      </c>
      <c r="C110" s="0" t="s">
        <v>63</v>
      </c>
      <c r="D110" s="0" t="s">
        <v>58</v>
      </c>
      <c r="E110" s="0" t="str">
        <f aca="false">B110&amp;"|"&amp;C110&amp;"|"&amp;D110</f>
        <v>Mafeteng [#SNU] [#DREAMS] [DiFv5WXIHM5]|15-19|Male</v>
      </c>
      <c r="F110" s="73" t="n">
        <v>11</v>
      </c>
      <c r="G110" s="118" t="n">
        <f aca="false">IF(SUM($F110)&lt;=0,"",0%)</f>
        <v>0</v>
      </c>
      <c r="H110" s="75" t="n">
        <f aca="false">IF(SUM($F110)&lt;=0,"",$F110*(1+$G110))</f>
        <v>11</v>
      </c>
      <c r="I110" s="73" t="n">
        <v>11</v>
      </c>
      <c r="J110" s="118" t="n">
        <f aca="false">IF(SUM($H110)&lt;=0,"",100%)</f>
        <v>1</v>
      </c>
      <c r="K110" s="118" t="n">
        <v>33</v>
      </c>
      <c r="L110" s="118" t="n">
        <f aca="false">IF(SUM($K110)=0,"",$K110)</f>
        <v>33</v>
      </c>
      <c r="M110" s="118"/>
      <c r="N110" s="118" t="str">
        <f aca="false">IF(SUM($M110)=0,"",$M110)</f>
        <v/>
      </c>
      <c r="O110" s="73" t="n">
        <f aca="false">IF(SUM($H110)&lt;=0,"",ROUND(SUM($H110)*SUM($J110),0))</f>
        <v>11</v>
      </c>
      <c r="P110" s="75" t="n">
        <f aca="false">IF(SUM($O110)&lt;=0,"",ROUND(SUM($O110)*SUM($L110),0))</f>
        <v>363</v>
      </c>
      <c r="Q110" s="75" t="n">
        <f aca="false">IF(SUM($O110)&lt;=0,"",ROUND((SUM($O110)-SUM($P110))*SUM($N110),0))</f>
        <v>-0</v>
      </c>
      <c r="R110" s="75" t="n">
        <f aca="false">IF(SUM($O110)&lt;=0,"",ROUND(SUM($O110)-SUM($P110)-SUM($Q110),0))</f>
        <v>-352</v>
      </c>
      <c r="S110" s="118" t="n">
        <f aca="false">_xlfn.IFNA(INDEX(Cascade!$BA:$BA,MATCH($E110,Cascade!$E:$E,0)),"")</f>
        <v>0.95</v>
      </c>
      <c r="T110" s="75" t="n">
        <f aca="false">IF(SUM($P110)&lt;=0,"",$P110)</f>
        <v>363</v>
      </c>
      <c r="U110" s="75" t="str">
        <f aca="false">IF(SUM($Q110)&lt;=0,"",ROUND($Q110*$S110,0))</f>
        <v/>
      </c>
      <c r="V110" s="73" t="str">
        <f aca="false">_xlfn.IFNA(INDEX(Cascade!$BD:$BD,MATCH($E110,Cascade!$E:$E,0)),"")</f>
        <v/>
      </c>
      <c r="W110" s="118" t="str">
        <f aca="false">IF(OR(SUM($V110)&lt;=0,SUM($Q110)=0),"",SUM($Q110)/$V110)</f>
        <v/>
      </c>
      <c r="X110" s="118" t="str">
        <f aca="false">_xlfn.IFNA(INDEX(Cascade!$BL:$BL,MATCH($E110,Cascade!$E:$E,0)),"")</f>
        <v/>
      </c>
      <c r="Y110" s="118" t="str">
        <f aca="false">_xlfn.IFNA(INDEX(Cascade!$BM:$BM,MATCH($E110,Cascade!$E:$E,0)),"")</f>
        <v/>
      </c>
      <c r="Z110" s="118" t="str">
        <f aca="false">_xlfn.IFNA(INDEX(Cascade!$BN:$BN,MATCH($E110,Cascade!$E:$E,0)),"")</f>
        <v/>
      </c>
      <c r="AA110" s="118" t="str">
        <f aca="false">_xlfn.IFNA(INDEX(Cascade!$BP:$BP,MATCH($E110,Cascade!$E:$E,0)),"")</f>
        <v/>
      </c>
      <c r="AB110" s="118" t="str">
        <f aca="false">_xlfn.IFNA(INDEX(Cascade!$BR:$BR,MATCH($E110,Cascade!$E:$E,0)),"")</f>
        <v/>
      </c>
    </row>
    <row r="111" customFormat="false" ht="15" hidden="false" customHeight="false" outlineLevel="0" collapsed="false">
      <c r="A111" s="0" t="s">
        <v>145</v>
      </c>
      <c r="B111" s="0" t="s">
        <v>107</v>
      </c>
      <c r="C111" s="0" t="s">
        <v>66</v>
      </c>
      <c r="D111" s="0" t="s">
        <v>56</v>
      </c>
      <c r="E111" s="0" t="str">
        <f aca="false">B111&amp;"|"&amp;C111&amp;"|"&amp;D111</f>
        <v>Mafeteng [#SNU] [#DREAMS] [DiFv5WXIHM5]|20-24|Female</v>
      </c>
      <c r="F111" s="73" t="n">
        <v>43</v>
      </c>
      <c r="G111" s="118" t="n">
        <f aca="false">IF(SUM($F111)&lt;=0,"",0%)</f>
        <v>0</v>
      </c>
      <c r="H111" s="75" t="n">
        <f aca="false">IF(SUM($F111)&lt;=0,"",$F111*(1+$G111))</f>
        <v>43</v>
      </c>
      <c r="I111" s="73"/>
      <c r="J111" s="118" t="n">
        <f aca="false">IF(SUM($H111)&lt;=0,"",100%)</f>
        <v>1</v>
      </c>
      <c r="K111" s="118" t="n">
        <v>42</v>
      </c>
      <c r="L111" s="118" t="n">
        <f aca="false">IF(SUM($K111)=0,"",$K111)</f>
        <v>42</v>
      </c>
      <c r="M111" s="118" t="n">
        <v>14</v>
      </c>
      <c r="N111" s="118" t="n">
        <f aca="false">IF(SUM($M111)=0,"",$M111)</f>
        <v>14</v>
      </c>
      <c r="O111" s="73" t="n">
        <f aca="false">IF(SUM($H111)&lt;=0,"",ROUND(SUM($H111)*SUM($J111),0))</f>
        <v>43</v>
      </c>
      <c r="P111" s="75" t="n">
        <f aca="false">IF(SUM($O111)&lt;=0,"",ROUND(SUM($O111)*SUM($L111),0))</f>
        <v>1806</v>
      </c>
      <c r="Q111" s="75" t="n">
        <f aca="false">IF(SUM($O111)&lt;=0,"",ROUND((SUM($O111)-SUM($P111))*SUM($N111),0))</f>
        <v>-24682</v>
      </c>
      <c r="R111" s="75" t="n">
        <f aca="false">IF(SUM($O111)&lt;=0,"",ROUND(SUM($O111)-SUM($P111)-SUM($Q111),0))</f>
        <v>22919</v>
      </c>
      <c r="S111" s="118" t="n">
        <f aca="false">_xlfn.IFNA(INDEX(Cascade!$BA:$BA,MATCH($E111,Cascade!$E:$E,0)),"")</f>
        <v>0.95</v>
      </c>
      <c r="T111" s="75" t="n">
        <f aca="false">IF(SUM($P111)&lt;=0,"",$P111)</f>
        <v>1806</v>
      </c>
      <c r="U111" s="75" t="str">
        <f aca="false">IF(SUM($Q111)&lt;=0,"",ROUND($Q111*$S111,0))</f>
        <v/>
      </c>
      <c r="V111" s="73" t="n">
        <f aca="false">_xlfn.IFNA(INDEX(Cascade!$BD:$BD,MATCH($E111,Cascade!$E:$E,0)),"")</f>
        <v>18</v>
      </c>
      <c r="W111" s="118" t="n">
        <f aca="false">IF(OR(SUM($V111)&lt;=0,SUM($Q111)=0),"",SUM($Q111)/$V111)</f>
        <v>-1371.22222222222</v>
      </c>
      <c r="X111" s="118" t="n">
        <f aca="false">_xlfn.IFNA(INDEX(Cascade!$BL:$BL,MATCH($E111,Cascade!$E:$E,0)),"")</f>
        <v>0.277777777777778</v>
      </c>
      <c r="Y111" s="118" t="n">
        <f aca="false">_xlfn.IFNA(INDEX(Cascade!$BM:$BM,MATCH($E111,Cascade!$E:$E,0)),"")</f>
        <v>-1384.88888888889</v>
      </c>
      <c r="Z111" s="118" t="str">
        <f aca="false">_xlfn.IFNA(INDEX(Cascade!$BN:$BN,MATCH($E111,Cascade!$E:$E,0)),"")</f>
        <v/>
      </c>
      <c r="AA111" s="118" t="str">
        <f aca="false">_xlfn.IFNA(INDEX(Cascade!$BP:$BP,MATCH($E111,Cascade!$E:$E,0)),"")</f>
        <v/>
      </c>
      <c r="AB111" s="118" t="n">
        <f aca="false">_xlfn.IFNA(INDEX(Cascade!$BR:$BR,MATCH($E111,Cascade!$E:$E,0)),"")</f>
        <v>2756.83333333333</v>
      </c>
    </row>
    <row r="112" customFormat="false" ht="15" hidden="false" customHeight="false" outlineLevel="0" collapsed="false">
      <c r="A112" s="0" t="s">
        <v>145</v>
      </c>
      <c r="B112" s="0" t="s">
        <v>107</v>
      </c>
      <c r="C112" s="0" t="s">
        <v>66</v>
      </c>
      <c r="D112" s="0" t="s">
        <v>58</v>
      </c>
      <c r="E112" s="0" t="str">
        <f aca="false">B112&amp;"|"&amp;C112&amp;"|"&amp;D112</f>
        <v>Mafeteng [#SNU] [#DREAMS] [DiFv5WXIHM5]|20-24|Male</v>
      </c>
      <c r="F112" s="73" t="n">
        <v>25</v>
      </c>
      <c r="G112" s="118" t="n">
        <f aca="false">IF(SUM($F112)&lt;=0,"",0%)</f>
        <v>0</v>
      </c>
      <c r="H112" s="75" t="n">
        <f aca="false">IF(SUM($F112)&lt;=0,"",$F112*(1+$G112))</f>
        <v>25</v>
      </c>
      <c r="I112" s="73"/>
      <c r="J112" s="118" t="n">
        <f aca="false">IF(SUM($H112)&lt;=0,"",100%)</f>
        <v>1</v>
      </c>
      <c r="K112" s="118" t="n">
        <v>43</v>
      </c>
      <c r="L112" s="118" t="n">
        <f aca="false">IF(SUM($K112)=0,"",$K112)</f>
        <v>43</v>
      </c>
      <c r="M112" s="118" t="n">
        <v>18</v>
      </c>
      <c r="N112" s="118" t="n">
        <f aca="false">IF(SUM($M112)=0,"",$M112)</f>
        <v>18</v>
      </c>
      <c r="O112" s="73" t="n">
        <f aca="false">IF(SUM($H112)&lt;=0,"",ROUND(SUM($H112)*SUM($J112),0))</f>
        <v>25</v>
      </c>
      <c r="P112" s="75" t="n">
        <f aca="false">IF(SUM($O112)&lt;=0,"",ROUND(SUM($O112)*SUM($L112),0))</f>
        <v>1075</v>
      </c>
      <c r="Q112" s="75" t="n">
        <f aca="false">IF(SUM($O112)&lt;=0,"",ROUND((SUM($O112)-SUM($P112))*SUM($N112),0))</f>
        <v>-18900</v>
      </c>
      <c r="R112" s="75" t="n">
        <f aca="false">IF(SUM($O112)&lt;=0,"",ROUND(SUM($O112)-SUM($P112)-SUM($Q112),0))</f>
        <v>17850</v>
      </c>
      <c r="S112" s="118" t="n">
        <f aca="false">_xlfn.IFNA(INDEX(Cascade!$BA:$BA,MATCH($E112,Cascade!$E:$E,0)),"")</f>
        <v>0.95</v>
      </c>
      <c r="T112" s="75" t="n">
        <f aca="false">IF(SUM($P112)&lt;=0,"",$P112)</f>
        <v>1075</v>
      </c>
      <c r="U112" s="75" t="str">
        <f aca="false">IF(SUM($Q112)&lt;=0,"",ROUND($Q112*$S112,0))</f>
        <v/>
      </c>
      <c r="V112" s="73" t="n">
        <f aca="false">_xlfn.IFNA(INDEX(Cascade!$BD:$BD,MATCH($E112,Cascade!$E:$E,0)),"")</f>
        <v>4</v>
      </c>
      <c r="W112" s="118" t="n">
        <f aca="false">IF(OR(SUM($V112)&lt;=0,SUM($Q112)=0),"",SUM($Q112)/$V112)</f>
        <v>-4725</v>
      </c>
      <c r="X112" s="118" t="n">
        <f aca="false">_xlfn.IFNA(INDEX(Cascade!$BL:$BL,MATCH($E112,Cascade!$E:$E,0)),"")</f>
        <v>0.25</v>
      </c>
      <c r="Y112" s="118" t="str">
        <f aca="false">_xlfn.IFNA(INDEX(Cascade!$BM:$BM,MATCH($E112,Cascade!$E:$E,0)),"")</f>
        <v/>
      </c>
      <c r="Z112" s="118" t="str">
        <f aca="false">_xlfn.IFNA(INDEX(Cascade!$BN:$BN,MATCH($E112,Cascade!$E:$E,0)),"")</f>
        <v/>
      </c>
      <c r="AA112" s="118" t="str">
        <f aca="false">_xlfn.IFNA(INDEX(Cascade!$BP:$BP,MATCH($E112,Cascade!$E:$E,0)),"")</f>
        <v/>
      </c>
      <c r="AB112" s="118" t="n">
        <f aca="false">_xlfn.IFNA(INDEX(Cascade!$BR:$BR,MATCH($E112,Cascade!$E:$E,0)),"")</f>
        <v>4725.75</v>
      </c>
    </row>
    <row r="113" customFormat="false" ht="15" hidden="false" customHeight="false" outlineLevel="0" collapsed="false">
      <c r="A113" s="0" t="s">
        <v>145</v>
      </c>
      <c r="B113" s="0" t="s">
        <v>107</v>
      </c>
      <c r="C113" s="0" t="s">
        <v>69</v>
      </c>
      <c r="D113" s="0" t="s">
        <v>56</v>
      </c>
      <c r="E113" s="0" t="str">
        <f aca="false">B113&amp;"|"&amp;C113&amp;"|"&amp;D113</f>
        <v>Mafeteng [#SNU] [#DREAMS] [DiFv5WXIHM5]|25-29|Female</v>
      </c>
      <c r="F113" s="73" t="n">
        <v>28</v>
      </c>
      <c r="G113" s="118" t="n">
        <f aca="false">IF(SUM($F113)&lt;=0,"",0%)</f>
        <v>0</v>
      </c>
      <c r="H113" s="75" t="n">
        <f aca="false">IF(SUM($F113)&lt;=0,"",$F113*(1+$G113))</f>
        <v>28</v>
      </c>
      <c r="I113" s="73" t="n">
        <v>49</v>
      </c>
      <c r="J113" s="118" t="n">
        <f aca="false">IF(SUM($H113)&lt;=0,"",100%)</f>
        <v>1</v>
      </c>
      <c r="K113" s="118" t="n">
        <v>20</v>
      </c>
      <c r="L113" s="118" t="n">
        <f aca="false">IF(SUM($K113)=0,"",$K113)</f>
        <v>20</v>
      </c>
      <c r="M113" s="118" t="n">
        <v>44</v>
      </c>
      <c r="N113" s="118" t="n">
        <f aca="false">IF(SUM($M113)=0,"",$M113)</f>
        <v>44</v>
      </c>
      <c r="O113" s="73" t="n">
        <f aca="false">IF(SUM($H113)&lt;=0,"",ROUND(SUM($H113)*SUM($J113),0))</f>
        <v>28</v>
      </c>
      <c r="P113" s="75" t="n">
        <f aca="false">IF(SUM($O113)&lt;=0,"",ROUND(SUM($O113)*SUM($L113),0))</f>
        <v>560</v>
      </c>
      <c r="Q113" s="75" t="n">
        <f aca="false">IF(SUM($O113)&lt;=0,"",ROUND((SUM($O113)-SUM($P113))*SUM($N113),0))</f>
        <v>-23408</v>
      </c>
      <c r="R113" s="75" t="n">
        <f aca="false">IF(SUM($O113)&lt;=0,"",ROUND(SUM($O113)-SUM($P113)-SUM($Q113),0))</f>
        <v>22876</v>
      </c>
      <c r="S113" s="118" t="n">
        <f aca="false">_xlfn.IFNA(INDEX(Cascade!$BA:$BA,MATCH($E113,Cascade!$E:$E,0)),"")</f>
        <v>0.95</v>
      </c>
      <c r="T113" s="75" t="n">
        <f aca="false">IF(SUM($P113)&lt;=0,"",$P113)</f>
        <v>560</v>
      </c>
      <c r="U113" s="75" t="str">
        <f aca="false">IF(SUM($Q113)&lt;=0,"",ROUND($Q113*$S113,0))</f>
        <v/>
      </c>
      <c r="V113" s="73" t="n">
        <f aca="false">_xlfn.IFNA(INDEX(Cascade!$BD:$BD,MATCH($E113,Cascade!$E:$E,0)),"")</f>
        <v>13</v>
      </c>
      <c r="W113" s="118" t="n">
        <f aca="false">IF(OR(SUM($V113)&lt;=0,SUM($Q113)=0),"",SUM($Q113)/$V113)</f>
        <v>-1800.61538461538</v>
      </c>
      <c r="X113" s="118" t="n">
        <f aca="false">_xlfn.IFNA(INDEX(Cascade!$BL:$BL,MATCH($E113,Cascade!$E:$E,0)),"")</f>
        <v>0.307692307692308</v>
      </c>
      <c r="Y113" s="118" t="n">
        <f aca="false">_xlfn.IFNA(INDEX(Cascade!$BM:$BM,MATCH($E113,Cascade!$E:$E,0)),"")</f>
        <v>-1287.69230769231</v>
      </c>
      <c r="Z113" s="118" t="str">
        <f aca="false">_xlfn.IFNA(INDEX(Cascade!$BN:$BN,MATCH($E113,Cascade!$E:$E,0)),"")</f>
        <v/>
      </c>
      <c r="AA113" s="118" t="str">
        <f aca="false">_xlfn.IFNA(INDEX(Cascade!$BP:$BP,MATCH($E113,Cascade!$E:$E,0)),"")</f>
        <v/>
      </c>
      <c r="AB113" s="118" t="n">
        <f aca="false">_xlfn.IFNA(INDEX(Cascade!$BR:$BR,MATCH($E113,Cascade!$E:$E,0)),"")</f>
        <v>3089</v>
      </c>
    </row>
    <row r="114" customFormat="false" ht="15" hidden="false" customHeight="false" outlineLevel="0" collapsed="false">
      <c r="A114" s="0" t="s">
        <v>145</v>
      </c>
      <c r="B114" s="0" t="s">
        <v>107</v>
      </c>
      <c r="C114" s="0" t="s">
        <v>69</v>
      </c>
      <c r="D114" s="0" t="s">
        <v>58</v>
      </c>
      <c r="E114" s="0" t="str">
        <f aca="false">B114&amp;"|"&amp;C114&amp;"|"&amp;D114</f>
        <v>Mafeteng [#SNU] [#DREAMS] [DiFv5WXIHM5]|25-29|Male</v>
      </c>
      <c r="F114" s="73" t="n">
        <v>11</v>
      </c>
      <c r="G114" s="118" t="n">
        <f aca="false">IF(SUM($F114)&lt;=0,"",0%)</f>
        <v>0</v>
      </c>
      <c r="H114" s="75" t="n">
        <f aca="false">IF(SUM($F114)&lt;=0,"",$F114*(1+$G114))</f>
        <v>11</v>
      </c>
      <c r="I114" s="73" t="n">
        <v>48</v>
      </c>
      <c r="J114" s="118" t="n">
        <f aca="false">IF(SUM($H114)&lt;=0,"",100%)</f>
        <v>1</v>
      </c>
      <c r="K114" s="118" t="n">
        <v>42</v>
      </c>
      <c r="L114" s="118" t="n">
        <f aca="false">IF(SUM($K114)=0,"",$K114)</f>
        <v>42</v>
      </c>
      <c r="M114" s="118" t="n">
        <v>24</v>
      </c>
      <c r="N114" s="118" t="n">
        <f aca="false">IF(SUM($M114)=0,"",$M114)</f>
        <v>24</v>
      </c>
      <c r="O114" s="73" t="n">
        <f aca="false">IF(SUM($H114)&lt;=0,"",ROUND(SUM($H114)*SUM($J114),0))</f>
        <v>11</v>
      </c>
      <c r="P114" s="75" t="n">
        <f aca="false">IF(SUM($O114)&lt;=0,"",ROUND(SUM($O114)*SUM($L114),0))</f>
        <v>462</v>
      </c>
      <c r="Q114" s="75" t="n">
        <f aca="false">IF(SUM($O114)&lt;=0,"",ROUND((SUM($O114)-SUM($P114))*SUM($N114),0))</f>
        <v>-10824</v>
      </c>
      <c r="R114" s="75" t="n">
        <f aca="false">IF(SUM($O114)&lt;=0,"",ROUND(SUM($O114)-SUM($P114)-SUM($Q114),0))</f>
        <v>10373</v>
      </c>
      <c r="S114" s="118" t="n">
        <f aca="false">_xlfn.IFNA(INDEX(Cascade!$BA:$BA,MATCH($E114,Cascade!$E:$E,0)),"")</f>
        <v>0.95</v>
      </c>
      <c r="T114" s="75" t="n">
        <f aca="false">IF(SUM($P114)&lt;=0,"",$P114)</f>
        <v>462</v>
      </c>
      <c r="U114" s="75" t="str">
        <f aca="false">IF(SUM($Q114)&lt;=0,"",ROUND($Q114*$S114,0))</f>
        <v/>
      </c>
      <c r="V114" s="73" t="n">
        <f aca="false">_xlfn.IFNA(INDEX(Cascade!$BD:$BD,MATCH($E114,Cascade!$E:$E,0)),"")</f>
        <v>20</v>
      </c>
      <c r="W114" s="118" t="n">
        <f aca="false">IF(OR(SUM($V114)&lt;=0,SUM($Q114)=0),"",SUM($Q114)/$V114)</f>
        <v>-541.2</v>
      </c>
      <c r="X114" s="118" t="n">
        <f aca="false">_xlfn.IFNA(INDEX(Cascade!$BL:$BL,MATCH($E114,Cascade!$E:$E,0)),"")</f>
        <v>0.3</v>
      </c>
      <c r="Y114" s="118" t="str">
        <f aca="false">_xlfn.IFNA(INDEX(Cascade!$BM:$BM,MATCH($E114,Cascade!$E:$E,0)),"")</f>
        <v/>
      </c>
      <c r="Z114" s="118" t="str">
        <f aca="false">_xlfn.IFNA(INDEX(Cascade!$BN:$BN,MATCH($E114,Cascade!$E:$E,0)),"")</f>
        <v/>
      </c>
      <c r="AA114" s="118" t="str">
        <f aca="false">_xlfn.IFNA(INDEX(Cascade!$BP:$BP,MATCH($E114,Cascade!$E:$E,0)),"")</f>
        <v/>
      </c>
      <c r="AB114" s="118" t="n">
        <f aca="false">_xlfn.IFNA(INDEX(Cascade!$BR:$BR,MATCH($E114,Cascade!$E:$E,0)),"")</f>
        <v>541.9</v>
      </c>
    </row>
    <row r="115" customFormat="false" ht="15" hidden="false" customHeight="false" outlineLevel="0" collapsed="false">
      <c r="A115" s="0" t="s">
        <v>145</v>
      </c>
      <c r="B115" s="0" t="s">
        <v>107</v>
      </c>
      <c r="C115" s="0" t="s">
        <v>72</v>
      </c>
      <c r="D115" s="0" t="s">
        <v>56</v>
      </c>
      <c r="E115" s="0" t="str">
        <f aca="false">B115&amp;"|"&amp;C115&amp;"|"&amp;D115</f>
        <v>Mafeteng [#SNU] [#DREAMS] [DiFv5WXIHM5]|30-34|Female</v>
      </c>
      <c r="F115" s="73" t="n">
        <v>12</v>
      </c>
      <c r="G115" s="118" t="n">
        <f aca="false">IF(SUM($F115)&lt;=0,"",0%)</f>
        <v>0</v>
      </c>
      <c r="H115" s="75" t="n">
        <f aca="false">IF(SUM($F115)&lt;=0,"",$F115*(1+$G115))</f>
        <v>12</v>
      </c>
      <c r="I115" s="73" t="n">
        <v>38</v>
      </c>
      <c r="J115" s="118" t="n">
        <f aca="false">IF(SUM($H115)&lt;=0,"",100%)</f>
        <v>1</v>
      </c>
      <c r="K115" s="118" t="n">
        <v>19</v>
      </c>
      <c r="L115" s="118" t="n">
        <f aca="false">IF(SUM($K115)=0,"",$K115)</f>
        <v>19</v>
      </c>
      <c r="M115" s="118" t="n">
        <v>24</v>
      </c>
      <c r="N115" s="118" t="n">
        <f aca="false">IF(SUM($M115)=0,"",$M115)</f>
        <v>24</v>
      </c>
      <c r="O115" s="73" t="n">
        <f aca="false">IF(SUM($H115)&lt;=0,"",ROUND(SUM($H115)*SUM($J115),0))</f>
        <v>12</v>
      </c>
      <c r="P115" s="75" t="n">
        <f aca="false">IF(SUM($O115)&lt;=0,"",ROUND(SUM($O115)*SUM($L115),0))</f>
        <v>228</v>
      </c>
      <c r="Q115" s="75" t="n">
        <f aca="false">IF(SUM($O115)&lt;=0,"",ROUND((SUM($O115)-SUM($P115))*SUM($N115),0))</f>
        <v>-5184</v>
      </c>
      <c r="R115" s="75" t="n">
        <f aca="false">IF(SUM($O115)&lt;=0,"",ROUND(SUM($O115)-SUM($P115)-SUM($Q115),0))</f>
        <v>4968</v>
      </c>
      <c r="S115" s="118" t="n">
        <f aca="false">_xlfn.IFNA(INDEX(Cascade!$BA:$BA,MATCH($E115,Cascade!$E:$E,0)),"")</f>
        <v>0.95</v>
      </c>
      <c r="T115" s="75" t="n">
        <f aca="false">IF(SUM($P115)&lt;=0,"",$P115)</f>
        <v>228</v>
      </c>
      <c r="U115" s="75" t="str">
        <f aca="false">IF(SUM($Q115)&lt;=0,"",ROUND($Q115*$S115,0))</f>
        <v/>
      </c>
      <c r="V115" s="73" t="n">
        <f aca="false">_xlfn.IFNA(INDEX(Cascade!$BD:$BD,MATCH($E115,Cascade!$E:$E,0)),"")</f>
        <v>24</v>
      </c>
      <c r="W115" s="118" t="n">
        <f aca="false">IF(OR(SUM($V115)&lt;=0,SUM($Q115)=0),"",SUM($Q115)/$V115)</f>
        <v>-216</v>
      </c>
      <c r="X115" s="118" t="n">
        <f aca="false">_xlfn.IFNA(INDEX(Cascade!$BL:$BL,MATCH($E115,Cascade!$E:$E,0)),"")</f>
        <v>0.291666666666667</v>
      </c>
      <c r="Y115" s="118" t="n">
        <f aca="false">_xlfn.IFNA(INDEX(Cascade!$BM:$BM,MATCH($E115,Cascade!$E:$E,0)),"")</f>
        <v>-15</v>
      </c>
      <c r="Z115" s="118" t="str">
        <f aca="false">_xlfn.IFNA(INDEX(Cascade!$BN:$BN,MATCH($E115,Cascade!$E:$E,0)),"")</f>
        <v/>
      </c>
      <c r="AA115" s="118" t="str">
        <f aca="false">_xlfn.IFNA(INDEX(Cascade!$BP:$BP,MATCH($E115,Cascade!$E:$E,0)),"")</f>
        <v/>
      </c>
      <c r="AB115" s="118" t="n">
        <f aca="false">_xlfn.IFNA(INDEX(Cascade!$BR:$BR,MATCH($E115,Cascade!$E:$E,0)),"")</f>
        <v>231.708333333333</v>
      </c>
    </row>
    <row r="116" customFormat="false" ht="15" hidden="false" customHeight="false" outlineLevel="0" collapsed="false">
      <c r="A116" s="0" t="s">
        <v>145</v>
      </c>
      <c r="B116" s="0" t="s">
        <v>107</v>
      </c>
      <c r="C116" s="0" t="s">
        <v>72</v>
      </c>
      <c r="D116" s="0" t="s">
        <v>58</v>
      </c>
      <c r="E116" s="0" t="str">
        <f aca="false">B116&amp;"|"&amp;C116&amp;"|"&amp;D116</f>
        <v>Mafeteng [#SNU] [#DREAMS] [DiFv5WXIHM5]|30-34|Male</v>
      </c>
      <c r="F116" s="73" t="n">
        <v>43</v>
      </c>
      <c r="G116" s="118" t="n">
        <f aca="false">IF(SUM($F116)&lt;=0,"",0%)</f>
        <v>0</v>
      </c>
      <c r="H116" s="75" t="n">
        <f aca="false">IF(SUM($F116)&lt;=0,"",$F116*(1+$G116))</f>
        <v>43</v>
      </c>
      <c r="I116" s="73" t="n">
        <v>21</v>
      </c>
      <c r="J116" s="118" t="n">
        <f aca="false">IF(SUM($H116)&lt;=0,"",100%)</f>
        <v>1</v>
      </c>
      <c r="K116" s="118" t="n">
        <v>41</v>
      </c>
      <c r="L116" s="118" t="n">
        <f aca="false">IF(SUM($K116)=0,"",$K116)</f>
        <v>41</v>
      </c>
      <c r="M116" s="118" t="n">
        <v>23</v>
      </c>
      <c r="N116" s="118" t="n">
        <f aca="false">IF(SUM($M116)=0,"",$M116)</f>
        <v>23</v>
      </c>
      <c r="O116" s="73" t="n">
        <f aca="false">IF(SUM($H116)&lt;=0,"",ROUND(SUM($H116)*SUM($J116),0))</f>
        <v>43</v>
      </c>
      <c r="P116" s="75" t="n">
        <f aca="false">IF(SUM($O116)&lt;=0,"",ROUND(SUM($O116)*SUM($L116),0))</f>
        <v>1763</v>
      </c>
      <c r="Q116" s="75" t="n">
        <f aca="false">IF(SUM($O116)&lt;=0,"",ROUND((SUM($O116)-SUM($P116))*SUM($N116),0))</f>
        <v>-39560</v>
      </c>
      <c r="R116" s="75" t="n">
        <f aca="false">IF(SUM($O116)&lt;=0,"",ROUND(SUM($O116)-SUM($P116)-SUM($Q116),0))</f>
        <v>37840</v>
      </c>
      <c r="S116" s="118" t="n">
        <f aca="false">_xlfn.IFNA(INDEX(Cascade!$BA:$BA,MATCH($E116,Cascade!$E:$E,0)),"")</f>
        <v>0.95</v>
      </c>
      <c r="T116" s="75" t="n">
        <f aca="false">IF(SUM($P116)&lt;=0,"",$P116)</f>
        <v>1763</v>
      </c>
      <c r="U116" s="75" t="str">
        <f aca="false">IF(SUM($Q116)&lt;=0,"",ROUND($Q116*$S116,0))</f>
        <v/>
      </c>
      <c r="V116" s="73" t="n">
        <f aca="false">_xlfn.IFNA(INDEX(Cascade!$BD:$BD,MATCH($E116,Cascade!$E:$E,0)),"")</f>
        <v>39</v>
      </c>
      <c r="W116" s="118" t="n">
        <f aca="false">IF(OR(SUM($V116)&lt;=0,SUM($Q116)=0),"",SUM($Q116)/$V116)</f>
        <v>-1014.35897435897</v>
      </c>
      <c r="X116" s="118" t="n">
        <f aca="false">_xlfn.IFNA(INDEX(Cascade!$BL:$BL,MATCH($E116,Cascade!$E:$E,0)),"")</f>
        <v>0.307692307692308</v>
      </c>
      <c r="Y116" s="118" t="str">
        <f aca="false">_xlfn.IFNA(INDEX(Cascade!$BM:$BM,MATCH($E116,Cascade!$E:$E,0)),"")</f>
        <v/>
      </c>
      <c r="Z116" s="118" t="str">
        <f aca="false">_xlfn.IFNA(INDEX(Cascade!$BN:$BN,MATCH($E116,Cascade!$E:$E,0)),"")</f>
        <v/>
      </c>
      <c r="AA116" s="118" t="str">
        <f aca="false">_xlfn.IFNA(INDEX(Cascade!$BP:$BP,MATCH($E116,Cascade!$E:$E,0)),"")</f>
        <v/>
      </c>
      <c r="AB116" s="118" t="n">
        <f aca="false">_xlfn.IFNA(INDEX(Cascade!$BR:$BR,MATCH($E116,Cascade!$E:$E,0)),"")</f>
        <v>1015.05128205128</v>
      </c>
    </row>
    <row r="117" customFormat="false" ht="15" hidden="false" customHeight="false" outlineLevel="0" collapsed="false">
      <c r="A117" s="0" t="s">
        <v>145</v>
      </c>
      <c r="B117" s="0" t="s">
        <v>107</v>
      </c>
      <c r="C117" s="0" t="s">
        <v>75</v>
      </c>
      <c r="D117" s="0" t="s">
        <v>56</v>
      </c>
      <c r="E117" s="0" t="str">
        <f aca="false">B117&amp;"|"&amp;C117&amp;"|"&amp;D117</f>
        <v>Mafeteng [#SNU] [#DREAMS] [DiFv5WXIHM5]|35-39|Female</v>
      </c>
      <c r="F117" s="73" t="n">
        <v>23</v>
      </c>
      <c r="G117" s="118" t="n">
        <f aca="false">IF(SUM($F117)&lt;=0,"",0%)</f>
        <v>0</v>
      </c>
      <c r="H117" s="75" t="n">
        <f aca="false">IF(SUM($F117)&lt;=0,"",$F117*(1+$G117))</f>
        <v>23</v>
      </c>
      <c r="I117" s="73" t="n">
        <v>19</v>
      </c>
      <c r="J117" s="118" t="n">
        <f aca="false">IF(SUM($H117)&lt;=0,"",100%)</f>
        <v>1</v>
      </c>
      <c r="K117" s="118" t="n">
        <v>40</v>
      </c>
      <c r="L117" s="118" t="n">
        <f aca="false">IF(SUM($K117)=0,"",$K117)</f>
        <v>40</v>
      </c>
      <c r="M117" s="118" t="n">
        <v>10</v>
      </c>
      <c r="N117" s="118" t="n">
        <f aca="false">IF(SUM($M117)=0,"",$M117)</f>
        <v>10</v>
      </c>
      <c r="O117" s="73" t="n">
        <f aca="false">IF(SUM($H117)&lt;=0,"",ROUND(SUM($H117)*SUM($J117),0))</f>
        <v>23</v>
      </c>
      <c r="P117" s="75" t="n">
        <f aca="false">IF(SUM($O117)&lt;=0,"",ROUND(SUM($O117)*SUM($L117),0))</f>
        <v>920</v>
      </c>
      <c r="Q117" s="75" t="n">
        <f aca="false">IF(SUM($O117)&lt;=0,"",ROUND((SUM($O117)-SUM($P117))*SUM($N117),0))</f>
        <v>-8970</v>
      </c>
      <c r="R117" s="75" t="n">
        <f aca="false">IF(SUM($O117)&lt;=0,"",ROUND(SUM($O117)-SUM($P117)-SUM($Q117),0))</f>
        <v>8073</v>
      </c>
      <c r="S117" s="118" t="n">
        <f aca="false">_xlfn.IFNA(INDEX(Cascade!$BA:$BA,MATCH($E117,Cascade!$E:$E,0)),"")</f>
        <v>0.95</v>
      </c>
      <c r="T117" s="75" t="n">
        <f aca="false">IF(SUM($P117)&lt;=0,"",$P117)</f>
        <v>920</v>
      </c>
      <c r="U117" s="75" t="str">
        <f aca="false">IF(SUM($Q117)&lt;=0,"",ROUND($Q117*$S117,0))</f>
        <v/>
      </c>
      <c r="V117" s="73" t="str">
        <f aca="false">_xlfn.IFNA(INDEX(Cascade!$BD:$BD,MATCH($E117,Cascade!$E:$E,0)),"")</f>
        <v/>
      </c>
      <c r="W117" s="118" t="str">
        <f aca="false">IF(OR(SUM($V117)&lt;=0,SUM($Q117)=0),"",SUM($Q117)/$V117)</f>
        <v/>
      </c>
      <c r="X117" s="118" t="str">
        <f aca="false">_xlfn.IFNA(INDEX(Cascade!$BL:$BL,MATCH($E117,Cascade!$E:$E,0)),"")</f>
        <v/>
      </c>
      <c r="Y117" s="118" t="str">
        <f aca="false">_xlfn.IFNA(INDEX(Cascade!$BM:$BM,MATCH($E117,Cascade!$E:$E,0)),"")</f>
        <v/>
      </c>
      <c r="Z117" s="118" t="str">
        <f aca="false">_xlfn.IFNA(INDEX(Cascade!$BN:$BN,MATCH($E117,Cascade!$E:$E,0)),"")</f>
        <v/>
      </c>
      <c r="AA117" s="118" t="str">
        <f aca="false">_xlfn.IFNA(INDEX(Cascade!$BP:$BP,MATCH($E117,Cascade!$E:$E,0)),"")</f>
        <v/>
      </c>
      <c r="AB117" s="118" t="str">
        <f aca="false">_xlfn.IFNA(INDEX(Cascade!$BR:$BR,MATCH($E117,Cascade!$E:$E,0)),"")</f>
        <v/>
      </c>
    </row>
    <row r="118" customFormat="false" ht="15" hidden="false" customHeight="false" outlineLevel="0" collapsed="false">
      <c r="A118" s="0" t="s">
        <v>145</v>
      </c>
      <c r="B118" s="0" t="s">
        <v>107</v>
      </c>
      <c r="C118" s="0" t="s">
        <v>75</v>
      </c>
      <c r="D118" s="0" t="s">
        <v>58</v>
      </c>
      <c r="E118" s="0" t="str">
        <f aca="false">B118&amp;"|"&amp;C118&amp;"|"&amp;D118</f>
        <v>Mafeteng [#SNU] [#DREAMS] [DiFv5WXIHM5]|35-39|Male</v>
      </c>
      <c r="F118" s="73" t="n">
        <v>5</v>
      </c>
      <c r="G118" s="118" t="n">
        <f aca="false">IF(SUM($F118)&lt;=0,"",0%)</f>
        <v>0</v>
      </c>
      <c r="H118" s="75" t="n">
        <f aca="false">IF(SUM($F118)&lt;=0,"",$F118*(1+$G118))</f>
        <v>5</v>
      </c>
      <c r="I118" s="73" t="n">
        <v>18</v>
      </c>
      <c r="J118" s="118" t="n">
        <f aca="false">IF(SUM($H118)&lt;=0,"",100%)</f>
        <v>1</v>
      </c>
      <c r="K118" s="118" t="n">
        <v>19</v>
      </c>
      <c r="L118" s="118" t="n">
        <f aca="false">IF(SUM($K118)=0,"",$K118)</f>
        <v>19</v>
      </c>
      <c r="M118" s="118" t="n">
        <v>37</v>
      </c>
      <c r="N118" s="118" t="n">
        <f aca="false">IF(SUM($M118)=0,"",$M118)</f>
        <v>37</v>
      </c>
      <c r="O118" s="73" t="n">
        <f aca="false">IF(SUM($H118)&lt;=0,"",ROUND(SUM($H118)*SUM($J118),0))</f>
        <v>5</v>
      </c>
      <c r="P118" s="75" t="n">
        <f aca="false">IF(SUM($O118)&lt;=0,"",ROUND(SUM($O118)*SUM($L118),0))</f>
        <v>95</v>
      </c>
      <c r="Q118" s="75" t="n">
        <f aca="false">IF(SUM($O118)&lt;=0,"",ROUND((SUM($O118)-SUM($P118))*SUM($N118),0))</f>
        <v>-3330</v>
      </c>
      <c r="R118" s="75" t="n">
        <f aca="false">IF(SUM($O118)&lt;=0,"",ROUND(SUM($O118)-SUM($P118)-SUM($Q118),0))</f>
        <v>3240</v>
      </c>
      <c r="S118" s="118" t="n">
        <f aca="false">_xlfn.IFNA(INDEX(Cascade!$BA:$BA,MATCH($E118,Cascade!$E:$E,0)),"")</f>
        <v>0.95</v>
      </c>
      <c r="T118" s="75" t="n">
        <f aca="false">IF(SUM($P118)&lt;=0,"",$P118)</f>
        <v>95</v>
      </c>
      <c r="U118" s="75" t="str">
        <f aca="false">IF(SUM($Q118)&lt;=0,"",ROUND($Q118*$S118,0))</f>
        <v/>
      </c>
      <c r="V118" s="73" t="n">
        <f aca="false">_xlfn.IFNA(INDEX(Cascade!$BD:$BD,MATCH($E118,Cascade!$E:$E,0)),"")</f>
        <v>19</v>
      </c>
      <c r="W118" s="118" t="n">
        <f aca="false">IF(OR(SUM($V118)&lt;=0,SUM($Q118)=0),"",SUM($Q118)/$V118)</f>
        <v>-175.263157894737</v>
      </c>
      <c r="X118" s="118" t="n">
        <f aca="false">_xlfn.IFNA(INDEX(Cascade!$BL:$BL,MATCH($E118,Cascade!$E:$E,0)),"")</f>
        <v>0.31578947368421</v>
      </c>
      <c r="Y118" s="118" t="str">
        <f aca="false">_xlfn.IFNA(INDEX(Cascade!$BM:$BM,MATCH($E118,Cascade!$E:$E,0)),"")</f>
        <v/>
      </c>
      <c r="Z118" s="118" t="str">
        <f aca="false">_xlfn.IFNA(INDEX(Cascade!$BN:$BN,MATCH($E118,Cascade!$E:$E,0)),"")</f>
        <v/>
      </c>
      <c r="AA118" s="118" t="str">
        <f aca="false">_xlfn.IFNA(INDEX(Cascade!$BP:$BP,MATCH($E118,Cascade!$E:$E,0)),"")</f>
        <v/>
      </c>
      <c r="AB118" s="118" t="n">
        <f aca="false">_xlfn.IFNA(INDEX(Cascade!$BR:$BR,MATCH($E118,Cascade!$E:$E,0)),"")</f>
        <v>175.947368421053</v>
      </c>
    </row>
    <row r="119" customFormat="false" ht="15" hidden="false" customHeight="false" outlineLevel="0" collapsed="false">
      <c r="A119" s="0" t="s">
        <v>145</v>
      </c>
      <c r="B119" s="0" t="s">
        <v>107</v>
      </c>
      <c r="C119" s="0" t="s">
        <v>77</v>
      </c>
      <c r="D119" s="0" t="s">
        <v>56</v>
      </c>
      <c r="E119" s="0" t="str">
        <f aca="false">B119&amp;"|"&amp;C119&amp;"|"&amp;D119</f>
        <v>Mafeteng [#SNU] [#DREAMS] [DiFv5WXIHM5]|40-44|Female</v>
      </c>
      <c r="F119" s="73" t="n">
        <v>13</v>
      </c>
      <c r="G119" s="118" t="n">
        <f aca="false">IF(SUM($F119)&lt;=0,"",0%)</f>
        <v>0</v>
      </c>
      <c r="H119" s="75" t="n">
        <f aca="false">IF(SUM($F119)&lt;=0,"",$F119*(1+$G119))</f>
        <v>13</v>
      </c>
      <c r="I119" s="73" t="n">
        <v>22</v>
      </c>
      <c r="J119" s="118" t="n">
        <f aca="false">IF(SUM($H119)&lt;=0,"",100%)</f>
        <v>1</v>
      </c>
      <c r="K119" s="118" t="n">
        <v>13</v>
      </c>
      <c r="L119" s="118" t="n">
        <f aca="false">IF(SUM($K119)=0,"",$K119)</f>
        <v>13</v>
      </c>
      <c r="M119" s="118"/>
      <c r="N119" s="118" t="str">
        <f aca="false">IF(SUM($M119)=0,"",$M119)</f>
        <v/>
      </c>
      <c r="O119" s="73" t="n">
        <f aca="false">IF(SUM($H119)&lt;=0,"",ROUND(SUM($H119)*SUM($J119),0))</f>
        <v>13</v>
      </c>
      <c r="P119" s="75" t="n">
        <f aca="false">IF(SUM($O119)&lt;=0,"",ROUND(SUM($O119)*SUM($L119),0))</f>
        <v>169</v>
      </c>
      <c r="Q119" s="75" t="n">
        <f aca="false">IF(SUM($O119)&lt;=0,"",ROUND((SUM($O119)-SUM($P119))*SUM($N119),0))</f>
        <v>-0</v>
      </c>
      <c r="R119" s="75" t="n">
        <f aca="false">IF(SUM($O119)&lt;=0,"",ROUND(SUM($O119)-SUM($P119)-SUM($Q119),0))</f>
        <v>-156</v>
      </c>
      <c r="S119" s="118" t="n">
        <f aca="false">_xlfn.IFNA(INDEX(Cascade!$BA:$BA,MATCH($E119,Cascade!$E:$E,0)),"")</f>
        <v>0.95</v>
      </c>
      <c r="T119" s="75" t="n">
        <f aca="false">IF(SUM($P119)&lt;=0,"",$P119)</f>
        <v>169</v>
      </c>
      <c r="U119" s="75" t="str">
        <f aca="false">IF(SUM($Q119)&lt;=0,"",ROUND($Q119*$S119,0))</f>
        <v/>
      </c>
      <c r="V119" s="73" t="n">
        <f aca="false">_xlfn.IFNA(INDEX(Cascade!$BD:$BD,MATCH($E119,Cascade!$E:$E,0)),"")</f>
        <v>1</v>
      </c>
      <c r="W119" s="118" t="str">
        <f aca="false">IF(OR(SUM($V119)&lt;=0,SUM($Q119)=0),"",SUM($Q119)/$V119)</f>
        <v/>
      </c>
      <c r="X119" s="118" t="n">
        <f aca="false">_xlfn.IFNA(INDEX(Cascade!$BL:$BL,MATCH($E119,Cascade!$E:$E,0)),"")</f>
        <v>1</v>
      </c>
      <c r="Y119" s="118" t="n">
        <f aca="false">_xlfn.IFNA(INDEX(Cascade!$BM:$BM,MATCH($E119,Cascade!$E:$E,0)),"")</f>
        <v>-5600</v>
      </c>
      <c r="Z119" s="118" t="str">
        <f aca="false">_xlfn.IFNA(INDEX(Cascade!$BN:$BN,MATCH($E119,Cascade!$E:$E,0)),"")</f>
        <v/>
      </c>
      <c r="AA119" s="118" t="str">
        <f aca="false">_xlfn.IFNA(INDEX(Cascade!$BP:$BP,MATCH($E119,Cascade!$E:$E,0)),"")</f>
        <v/>
      </c>
      <c r="AB119" s="118" t="n">
        <f aca="false">_xlfn.IFNA(INDEX(Cascade!$BR:$BR,MATCH($E119,Cascade!$E:$E,0)),"")</f>
        <v>5600</v>
      </c>
    </row>
    <row r="120" customFormat="false" ht="15" hidden="false" customHeight="false" outlineLevel="0" collapsed="false">
      <c r="A120" s="0" t="s">
        <v>145</v>
      </c>
      <c r="B120" s="0" t="s">
        <v>107</v>
      </c>
      <c r="C120" s="0" t="s">
        <v>77</v>
      </c>
      <c r="D120" s="0" t="s">
        <v>58</v>
      </c>
      <c r="E120" s="0" t="str">
        <f aca="false">B120&amp;"|"&amp;C120&amp;"|"&amp;D120</f>
        <v>Mafeteng [#SNU] [#DREAMS] [DiFv5WXIHM5]|40-44|Male</v>
      </c>
      <c r="F120" s="73" t="n">
        <v>33</v>
      </c>
      <c r="G120" s="118" t="n">
        <f aca="false">IF(SUM($F120)&lt;=0,"",0%)</f>
        <v>0</v>
      </c>
      <c r="H120" s="75" t="n">
        <f aca="false">IF(SUM($F120)&lt;=0,"",$F120*(1+$G120))</f>
        <v>33</v>
      </c>
      <c r="I120" s="73" t="n">
        <v>18</v>
      </c>
      <c r="J120" s="118" t="n">
        <f aca="false">IF(SUM($H120)&lt;=0,"",100%)</f>
        <v>1</v>
      </c>
      <c r="K120" s="118" t="n">
        <v>35</v>
      </c>
      <c r="L120" s="118" t="n">
        <f aca="false">IF(SUM($K120)=0,"",$K120)</f>
        <v>35</v>
      </c>
      <c r="M120" s="118" t="n">
        <v>29</v>
      </c>
      <c r="N120" s="118" t="n">
        <f aca="false">IF(SUM($M120)=0,"",$M120)</f>
        <v>29</v>
      </c>
      <c r="O120" s="73" t="n">
        <f aca="false">IF(SUM($H120)&lt;=0,"",ROUND(SUM($H120)*SUM($J120),0))</f>
        <v>33</v>
      </c>
      <c r="P120" s="75" t="n">
        <f aca="false">IF(SUM($O120)&lt;=0,"",ROUND(SUM($O120)*SUM($L120),0))</f>
        <v>1155</v>
      </c>
      <c r="Q120" s="75" t="n">
        <f aca="false">IF(SUM($O120)&lt;=0,"",ROUND((SUM($O120)-SUM($P120))*SUM($N120),0))</f>
        <v>-32538</v>
      </c>
      <c r="R120" s="75" t="n">
        <f aca="false">IF(SUM($O120)&lt;=0,"",ROUND(SUM($O120)-SUM($P120)-SUM($Q120),0))</f>
        <v>31416</v>
      </c>
      <c r="S120" s="118" t="n">
        <f aca="false">_xlfn.IFNA(INDEX(Cascade!$BA:$BA,MATCH($E120,Cascade!$E:$E,0)),"")</f>
        <v>0.95</v>
      </c>
      <c r="T120" s="75" t="n">
        <f aca="false">IF(SUM($P120)&lt;=0,"",$P120)</f>
        <v>1155</v>
      </c>
      <c r="U120" s="75" t="str">
        <f aca="false">IF(SUM($Q120)&lt;=0,"",ROUND($Q120*$S120,0))</f>
        <v/>
      </c>
      <c r="V120" s="73" t="n">
        <f aca="false">_xlfn.IFNA(INDEX(Cascade!$BD:$BD,MATCH($E120,Cascade!$E:$E,0)),"")</f>
        <v>14</v>
      </c>
      <c r="W120" s="118" t="n">
        <f aca="false">IF(OR(SUM($V120)&lt;=0,SUM($Q120)=0),"",SUM($Q120)/$V120)</f>
        <v>-2324.14285714286</v>
      </c>
      <c r="X120" s="118" t="n">
        <f aca="false">_xlfn.IFNA(INDEX(Cascade!$BL:$BL,MATCH($E120,Cascade!$E:$E,0)),"")</f>
        <v>0.285714285714286</v>
      </c>
      <c r="Y120" s="118" t="str">
        <f aca="false">_xlfn.IFNA(INDEX(Cascade!$BM:$BM,MATCH($E120,Cascade!$E:$E,0)),"")</f>
        <v/>
      </c>
      <c r="Z120" s="118" t="str">
        <f aca="false">_xlfn.IFNA(INDEX(Cascade!$BN:$BN,MATCH($E120,Cascade!$E:$E,0)),"")</f>
        <v/>
      </c>
      <c r="AA120" s="118" t="str">
        <f aca="false">_xlfn.IFNA(INDEX(Cascade!$BP:$BP,MATCH($E120,Cascade!$E:$E,0)),"")</f>
        <v/>
      </c>
      <c r="AB120" s="118" t="n">
        <f aca="false">_xlfn.IFNA(INDEX(Cascade!$BR:$BR,MATCH($E120,Cascade!$E:$E,0)),"")</f>
        <v>2324.85714285714</v>
      </c>
    </row>
    <row r="121" customFormat="false" ht="15" hidden="false" customHeight="false" outlineLevel="0" collapsed="false">
      <c r="A121" s="0" t="s">
        <v>145</v>
      </c>
      <c r="B121" s="0" t="s">
        <v>107</v>
      </c>
      <c r="C121" s="0" t="s">
        <v>80</v>
      </c>
      <c r="D121" s="0" t="s">
        <v>56</v>
      </c>
      <c r="E121" s="0" t="str">
        <f aca="false">B121&amp;"|"&amp;C121&amp;"|"&amp;D121</f>
        <v>Mafeteng [#SNU] [#DREAMS] [DiFv5WXIHM5]|45-49|Female</v>
      </c>
      <c r="F121" s="73" t="n">
        <v>9</v>
      </c>
      <c r="G121" s="118" t="n">
        <f aca="false">IF(SUM($F121)&lt;=0,"",0%)</f>
        <v>0</v>
      </c>
      <c r="H121" s="75" t="n">
        <f aca="false">IF(SUM($F121)&lt;=0,"",$F121*(1+$G121))</f>
        <v>9</v>
      </c>
      <c r="I121" s="73" t="n">
        <v>4</v>
      </c>
      <c r="J121" s="118" t="n">
        <f aca="false">IF(SUM($H121)&lt;=0,"",100%)</f>
        <v>1</v>
      </c>
      <c r="K121" s="118" t="n">
        <v>27</v>
      </c>
      <c r="L121" s="118" t="n">
        <f aca="false">IF(SUM($K121)=0,"",$K121)</f>
        <v>27</v>
      </c>
      <c r="M121" s="118" t="n">
        <v>41</v>
      </c>
      <c r="N121" s="118" t="n">
        <f aca="false">IF(SUM($M121)=0,"",$M121)</f>
        <v>41</v>
      </c>
      <c r="O121" s="73" t="n">
        <f aca="false">IF(SUM($H121)&lt;=0,"",ROUND(SUM($H121)*SUM($J121),0))</f>
        <v>9</v>
      </c>
      <c r="P121" s="75" t="n">
        <f aca="false">IF(SUM($O121)&lt;=0,"",ROUND(SUM($O121)*SUM($L121),0))</f>
        <v>243</v>
      </c>
      <c r="Q121" s="75" t="n">
        <f aca="false">IF(SUM($O121)&lt;=0,"",ROUND((SUM($O121)-SUM($P121))*SUM($N121),0))</f>
        <v>-9594</v>
      </c>
      <c r="R121" s="75" t="n">
        <f aca="false">IF(SUM($O121)&lt;=0,"",ROUND(SUM($O121)-SUM($P121)-SUM($Q121),0))</f>
        <v>9360</v>
      </c>
      <c r="S121" s="118" t="n">
        <f aca="false">_xlfn.IFNA(INDEX(Cascade!$BA:$BA,MATCH($E121,Cascade!$E:$E,0)),"")</f>
        <v>0.95</v>
      </c>
      <c r="T121" s="75" t="n">
        <f aca="false">IF(SUM($P121)&lt;=0,"",$P121)</f>
        <v>243</v>
      </c>
      <c r="U121" s="75" t="str">
        <f aca="false">IF(SUM($Q121)&lt;=0,"",ROUND($Q121*$S121,0))</f>
        <v/>
      </c>
      <c r="V121" s="73" t="n">
        <f aca="false">_xlfn.IFNA(INDEX(Cascade!$BD:$BD,MATCH($E121,Cascade!$E:$E,0)),"")</f>
        <v>1</v>
      </c>
      <c r="W121" s="118" t="n">
        <f aca="false">IF(OR(SUM($V121)&lt;=0,SUM($Q121)=0),"",SUM($Q121)/$V121)</f>
        <v>-9594</v>
      </c>
      <c r="X121" s="118" t="n">
        <f aca="false">_xlfn.IFNA(INDEX(Cascade!$BL:$BL,MATCH($E121,Cascade!$E:$E,0)),"")</f>
        <v>1</v>
      </c>
      <c r="Y121" s="118" t="str">
        <f aca="false">_xlfn.IFNA(INDEX(Cascade!$BM:$BM,MATCH($E121,Cascade!$E:$E,0)),"")</f>
        <v/>
      </c>
      <c r="Z121" s="118" t="str">
        <f aca="false">_xlfn.IFNA(INDEX(Cascade!$BN:$BN,MATCH($E121,Cascade!$E:$E,0)),"")</f>
        <v/>
      </c>
      <c r="AA121" s="118" t="str">
        <f aca="false">_xlfn.IFNA(INDEX(Cascade!$BP:$BP,MATCH($E121,Cascade!$E:$E,0)),"")</f>
        <v/>
      </c>
      <c r="AB121" s="118" t="n">
        <f aca="false">_xlfn.IFNA(INDEX(Cascade!$BR:$BR,MATCH($E121,Cascade!$E:$E,0)),"")</f>
        <v>9594</v>
      </c>
    </row>
    <row r="122" customFormat="false" ht="15" hidden="false" customHeight="false" outlineLevel="0" collapsed="false">
      <c r="A122" s="0" t="s">
        <v>145</v>
      </c>
      <c r="B122" s="0" t="s">
        <v>107</v>
      </c>
      <c r="C122" s="0" t="s">
        <v>80</v>
      </c>
      <c r="D122" s="0" t="s">
        <v>58</v>
      </c>
      <c r="E122" s="0" t="str">
        <f aca="false">B122&amp;"|"&amp;C122&amp;"|"&amp;D122</f>
        <v>Mafeteng [#SNU] [#DREAMS] [DiFv5WXIHM5]|45-49|Male</v>
      </c>
      <c r="F122" s="73" t="n">
        <v>18</v>
      </c>
      <c r="G122" s="118" t="n">
        <f aca="false">IF(SUM($F122)&lt;=0,"",0%)</f>
        <v>0</v>
      </c>
      <c r="H122" s="75" t="n">
        <f aca="false">IF(SUM($F122)&lt;=0,"",$F122*(1+$G122))</f>
        <v>18</v>
      </c>
      <c r="I122" s="73" t="n">
        <v>25</v>
      </c>
      <c r="J122" s="118" t="n">
        <f aca="false">IF(SUM($H122)&lt;=0,"",100%)</f>
        <v>1</v>
      </c>
      <c r="K122" s="118" t="n">
        <v>8</v>
      </c>
      <c r="L122" s="118" t="n">
        <f aca="false">IF(SUM($K122)=0,"",$K122)</f>
        <v>8</v>
      </c>
      <c r="M122" s="118" t="n">
        <v>29</v>
      </c>
      <c r="N122" s="118" t="n">
        <f aca="false">IF(SUM($M122)=0,"",$M122)</f>
        <v>29</v>
      </c>
      <c r="O122" s="73" t="n">
        <f aca="false">IF(SUM($H122)&lt;=0,"",ROUND(SUM($H122)*SUM($J122),0))</f>
        <v>18</v>
      </c>
      <c r="P122" s="75" t="n">
        <f aca="false">IF(SUM($O122)&lt;=0,"",ROUND(SUM($O122)*SUM($L122),0))</f>
        <v>144</v>
      </c>
      <c r="Q122" s="75" t="n">
        <f aca="false">IF(SUM($O122)&lt;=0,"",ROUND((SUM($O122)-SUM($P122))*SUM($N122),0))</f>
        <v>-3654</v>
      </c>
      <c r="R122" s="75" t="n">
        <f aca="false">IF(SUM($O122)&lt;=0,"",ROUND(SUM($O122)-SUM($P122)-SUM($Q122),0))</f>
        <v>3528</v>
      </c>
      <c r="S122" s="118" t="n">
        <f aca="false">_xlfn.IFNA(INDEX(Cascade!$BA:$BA,MATCH($E122,Cascade!$E:$E,0)),"")</f>
        <v>0.95</v>
      </c>
      <c r="T122" s="75" t="n">
        <f aca="false">IF(SUM($P122)&lt;=0,"",$P122)</f>
        <v>144</v>
      </c>
      <c r="U122" s="75" t="str">
        <f aca="false">IF(SUM($Q122)&lt;=0,"",ROUND($Q122*$S122,0))</f>
        <v/>
      </c>
      <c r="V122" s="73" t="n">
        <f aca="false">_xlfn.IFNA(INDEX(Cascade!$BD:$BD,MATCH($E122,Cascade!$E:$E,0)),"")</f>
        <v>2</v>
      </c>
      <c r="W122" s="118" t="n">
        <f aca="false">IF(OR(SUM($V122)&lt;=0,SUM($Q122)=0),"",SUM($Q122)/$V122)</f>
        <v>-1827</v>
      </c>
      <c r="X122" s="118" t="n">
        <f aca="false">_xlfn.IFNA(INDEX(Cascade!$BL:$BL,MATCH($E122,Cascade!$E:$E,0)),"")</f>
        <v>0.5</v>
      </c>
      <c r="Y122" s="118" t="str">
        <f aca="false">_xlfn.IFNA(INDEX(Cascade!$BM:$BM,MATCH($E122,Cascade!$E:$E,0)),"")</f>
        <v/>
      </c>
      <c r="Z122" s="118" t="str">
        <f aca="false">_xlfn.IFNA(INDEX(Cascade!$BN:$BN,MATCH($E122,Cascade!$E:$E,0)),"")</f>
        <v/>
      </c>
      <c r="AA122" s="118" t="str">
        <f aca="false">_xlfn.IFNA(INDEX(Cascade!$BP:$BP,MATCH($E122,Cascade!$E:$E,0)),"")</f>
        <v/>
      </c>
      <c r="AB122" s="118" t="n">
        <f aca="false">_xlfn.IFNA(INDEX(Cascade!$BR:$BR,MATCH($E122,Cascade!$E:$E,0)),"")</f>
        <v>1827.5</v>
      </c>
    </row>
    <row r="123" customFormat="false" ht="15" hidden="false" customHeight="false" outlineLevel="0" collapsed="false">
      <c r="A123" s="0" t="s">
        <v>145</v>
      </c>
      <c r="B123" s="0" t="s">
        <v>107</v>
      </c>
      <c r="C123" s="0" t="s">
        <v>86</v>
      </c>
      <c r="D123" s="0" t="s">
        <v>56</v>
      </c>
      <c r="E123" s="0" t="str">
        <f aca="false">B123&amp;"|"&amp;C123&amp;"|"&amp;D123</f>
        <v>Mafeteng [#SNU] [#DREAMS] [DiFv5WXIHM5]|50+|Female</v>
      </c>
      <c r="F123" s="73" t="n">
        <v>30</v>
      </c>
      <c r="G123" s="118" t="n">
        <f aca="false">IF(SUM($F123)&lt;=0,"",0%)</f>
        <v>0</v>
      </c>
      <c r="H123" s="75" t="n">
        <f aca="false">IF(SUM($F123)&lt;=0,"",$F123*(1+$G123))</f>
        <v>30</v>
      </c>
      <c r="I123" s="73" t="n">
        <v>37</v>
      </c>
      <c r="J123" s="118" t="n">
        <f aca="false">IF(SUM($H123)&lt;=0,"",100%)</f>
        <v>1</v>
      </c>
      <c r="K123" s="118" t="n">
        <v>34</v>
      </c>
      <c r="L123" s="118" t="n">
        <f aca="false">IF(SUM($K123)=0,"",$K123)</f>
        <v>34</v>
      </c>
      <c r="M123" s="118"/>
      <c r="N123" s="118" t="str">
        <f aca="false">IF(SUM($M123)=0,"",$M123)</f>
        <v/>
      </c>
      <c r="O123" s="73" t="n">
        <f aca="false">IF(SUM($H123)&lt;=0,"",ROUND(SUM($H123)*SUM($J123),0))</f>
        <v>30</v>
      </c>
      <c r="P123" s="75" t="n">
        <f aca="false">IF(SUM($O123)&lt;=0,"",ROUND(SUM($O123)*SUM($L123),0))</f>
        <v>1020</v>
      </c>
      <c r="Q123" s="75" t="n">
        <f aca="false">IF(SUM($O123)&lt;=0,"",ROUND((SUM($O123)-SUM($P123))*SUM($N123),0))</f>
        <v>-0</v>
      </c>
      <c r="R123" s="75" t="n">
        <f aca="false">IF(SUM($O123)&lt;=0,"",ROUND(SUM($O123)-SUM($P123)-SUM($Q123),0))</f>
        <v>-990</v>
      </c>
      <c r="S123" s="118" t="n">
        <f aca="false">_xlfn.IFNA(INDEX(Cascade!$BA:$BA,MATCH($E123,Cascade!$E:$E,0)),"")</f>
        <v>0.95</v>
      </c>
      <c r="T123" s="75" t="n">
        <f aca="false">IF(SUM($P123)&lt;=0,"",$P123)</f>
        <v>1020</v>
      </c>
      <c r="U123" s="75" t="str">
        <f aca="false">IF(SUM($Q123)&lt;=0,"",ROUND($Q123*$S123,0))</f>
        <v/>
      </c>
      <c r="V123" s="73" t="n">
        <f aca="false">_xlfn.IFNA(INDEX(Cascade!$BD:$BD,MATCH($E123,Cascade!$E:$E,0)),"")</f>
        <v>4</v>
      </c>
      <c r="W123" s="118" t="str">
        <f aca="false">IF(OR(SUM($V123)&lt;=0,SUM($Q123)=0),"",SUM($Q123)/$V123)</f>
        <v/>
      </c>
      <c r="X123" s="118" t="n">
        <f aca="false">_xlfn.IFNA(INDEX(Cascade!$BL:$BL,MATCH($E123,Cascade!$E:$E,0)),"")</f>
        <v>0.5</v>
      </c>
      <c r="Y123" s="118" t="str">
        <f aca="false">_xlfn.IFNA(INDEX(Cascade!$BM:$BM,MATCH($E123,Cascade!$E:$E,0)),"")</f>
        <v/>
      </c>
      <c r="Z123" s="118" t="str">
        <f aca="false">_xlfn.IFNA(INDEX(Cascade!$BN:$BN,MATCH($E123,Cascade!$E:$E,0)),"")</f>
        <v/>
      </c>
      <c r="AA123" s="118" t="str">
        <f aca="false">_xlfn.IFNA(INDEX(Cascade!$BP:$BP,MATCH($E123,Cascade!$E:$E,0)),"")</f>
        <v/>
      </c>
      <c r="AB123" s="118" t="n">
        <f aca="false">_xlfn.IFNA(INDEX(Cascade!$BR:$BR,MATCH($E123,Cascade!$E:$E,0)),"")</f>
        <v>0.5</v>
      </c>
    </row>
    <row r="124" customFormat="false" ht="15" hidden="false" customHeight="false" outlineLevel="0" collapsed="false">
      <c r="A124" s="0" t="s">
        <v>145</v>
      </c>
      <c r="B124" s="0" t="s">
        <v>107</v>
      </c>
      <c r="C124" s="0" t="s">
        <v>86</v>
      </c>
      <c r="D124" s="0" t="s">
        <v>58</v>
      </c>
      <c r="E124" s="0" t="str">
        <f aca="false">B124&amp;"|"&amp;C124&amp;"|"&amp;D124</f>
        <v>Mafeteng [#SNU] [#DREAMS] [DiFv5WXIHM5]|50+|Male</v>
      </c>
      <c r="F124" s="73" t="n">
        <v>5</v>
      </c>
      <c r="G124" s="118" t="n">
        <f aca="false">IF(SUM($F124)&lt;=0,"",0%)</f>
        <v>0</v>
      </c>
      <c r="H124" s="75" t="n">
        <f aca="false">IF(SUM($F124)&lt;=0,"",$F124*(1+$G124))</f>
        <v>5</v>
      </c>
      <c r="I124" s="73" t="n">
        <v>30</v>
      </c>
      <c r="J124" s="118" t="n">
        <f aca="false">IF(SUM($H124)&lt;=0,"",100%)</f>
        <v>1</v>
      </c>
      <c r="K124" s="118" t="n">
        <v>30</v>
      </c>
      <c r="L124" s="118" t="n">
        <f aca="false">IF(SUM($K124)=0,"",$K124)</f>
        <v>30</v>
      </c>
      <c r="M124" s="118" t="n">
        <v>18</v>
      </c>
      <c r="N124" s="118" t="n">
        <f aca="false">IF(SUM($M124)=0,"",$M124)</f>
        <v>18</v>
      </c>
      <c r="O124" s="73" t="n">
        <f aca="false">IF(SUM($H124)&lt;=0,"",ROUND(SUM($H124)*SUM($J124),0))</f>
        <v>5</v>
      </c>
      <c r="P124" s="75" t="n">
        <f aca="false">IF(SUM($O124)&lt;=0,"",ROUND(SUM($O124)*SUM($L124),0))</f>
        <v>150</v>
      </c>
      <c r="Q124" s="75" t="n">
        <f aca="false">IF(SUM($O124)&lt;=0,"",ROUND((SUM($O124)-SUM($P124))*SUM($N124),0))</f>
        <v>-2610</v>
      </c>
      <c r="R124" s="75" t="n">
        <f aca="false">IF(SUM($O124)&lt;=0,"",ROUND(SUM($O124)-SUM($P124)-SUM($Q124),0))</f>
        <v>2465</v>
      </c>
      <c r="S124" s="118" t="n">
        <f aca="false">_xlfn.IFNA(INDEX(Cascade!$BA:$BA,MATCH($E124,Cascade!$E:$E,0)),"")</f>
        <v>0.95</v>
      </c>
      <c r="T124" s="75" t="n">
        <f aca="false">IF(SUM($P124)&lt;=0,"",$P124)</f>
        <v>150</v>
      </c>
      <c r="U124" s="75" t="str">
        <f aca="false">IF(SUM($Q124)&lt;=0,"",ROUND($Q124*$S124,0))</f>
        <v/>
      </c>
      <c r="V124" s="73" t="n">
        <f aca="false">_xlfn.IFNA(INDEX(Cascade!$BD:$BD,MATCH($E124,Cascade!$E:$E,0)),"")</f>
        <v>4</v>
      </c>
      <c r="W124" s="118" t="n">
        <f aca="false">IF(OR(SUM($V124)&lt;=0,SUM($Q124)=0),"",SUM($Q124)/$V124)</f>
        <v>-652.5</v>
      </c>
      <c r="X124" s="118" t="n">
        <f aca="false">_xlfn.IFNA(INDEX(Cascade!$BL:$BL,MATCH($E124,Cascade!$E:$E,0)),"")</f>
        <v>0.25</v>
      </c>
      <c r="Y124" s="118" t="str">
        <f aca="false">_xlfn.IFNA(INDEX(Cascade!$BM:$BM,MATCH($E124,Cascade!$E:$E,0)),"")</f>
        <v/>
      </c>
      <c r="Z124" s="118" t="str">
        <f aca="false">_xlfn.IFNA(INDEX(Cascade!$BN:$BN,MATCH($E124,Cascade!$E:$E,0)),"")</f>
        <v/>
      </c>
      <c r="AA124" s="118" t="str">
        <f aca="false">_xlfn.IFNA(INDEX(Cascade!$BP:$BP,MATCH($E124,Cascade!$E:$E,0)),"")</f>
        <v/>
      </c>
      <c r="AB124" s="118" t="n">
        <f aca="false">_xlfn.IFNA(INDEX(Cascade!$BR:$BR,MATCH($E124,Cascade!$E:$E,0)),"")</f>
        <v>653.25</v>
      </c>
    </row>
    <row r="125" customFormat="false" ht="15" hidden="false" customHeight="false" outlineLevel="0" collapsed="false">
      <c r="A125" s="0" t="s">
        <v>146</v>
      </c>
      <c r="B125" s="0" t="s">
        <v>45</v>
      </c>
      <c r="C125" s="0" t="s">
        <v>54</v>
      </c>
      <c r="D125" s="0" t="s">
        <v>56</v>
      </c>
      <c r="E125" s="0" t="str">
        <f aca="false">B125&amp;"|"&amp;C125&amp;"|"&amp;D125</f>
        <v>Maseru [#SNU] [#DREAMS] [tKOXiaNhAyJ]|01-04|Female</v>
      </c>
      <c r="F125" s="73" t="n">
        <v>7</v>
      </c>
      <c r="G125" s="118" t="n">
        <f aca="false">IF(SUM($F125)&lt;=0,"",0%)</f>
        <v>0</v>
      </c>
      <c r="H125" s="75" t="n">
        <f aca="false">IF(SUM($F125)&lt;=0,"",$F125*(1+$G125))</f>
        <v>7</v>
      </c>
      <c r="I125" s="73"/>
      <c r="J125" s="118" t="n">
        <f aca="false">IF(SUM($H125)&lt;=0,"",100%)</f>
        <v>1</v>
      </c>
      <c r="K125" s="118" t="n">
        <v>40</v>
      </c>
      <c r="L125" s="118" t="n">
        <f aca="false">IF(SUM($K125)=0,"",$K125)</f>
        <v>40</v>
      </c>
      <c r="M125" s="118" t="n">
        <v>17</v>
      </c>
      <c r="N125" s="118" t="n">
        <f aca="false">IF(SUM($M125)=0,"",$M125)</f>
        <v>17</v>
      </c>
      <c r="O125" s="73" t="n">
        <f aca="false">IF(SUM($H125)&lt;=0,"",ROUND(SUM($H125)*SUM($J125),0))</f>
        <v>7</v>
      </c>
      <c r="P125" s="75" t="n">
        <f aca="false">IF(SUM($O125)&lt;=0,"",ROUND(SUM($O125)*SUM($L125),0))</f>
        <v>280</v>
      </c>
      <c r="Q125" s="75" t="n">
        <f aca="false">IF(SUM($O125)&lt;=0,"",ROUND((SUM($O125)-SUM($P125))*SUM($N125),0))</f>
        <v>-4641</v>
      </c>
      <c r="R125" s="75" t="n">
        <f aca="false">IF(SUM($O125)&lt;=0,"",ROUND(SUM($O125)-SUM($P125)-SUM($Q125),0))</f>
        <v>4368</v>
      </c>
      <c r="S125" s="118" t="n">
        <f aca="false">_xlfn.IFNA(INDEX(Cascade!$BA:$BA,MATCH($E125,Cascade!$E:$E,0)),"")</f>
        <v>0.95</v>
      </c>
      <c r="T125" s="75" t="n">
        <f aca="false">IF(SUM($P125)&lt;=0,"",$P125)</f>
        <v>280</v>
      </c>
      <c r="U125" s="75" t="str">
        <f aca="false">IF(SUM($Q125)&lt;=0,"",ROUND($Q125*$S125,0))</f>
        <v/>
      </c>
      <c r="V125" s="73" t="n">
        <f aca="false">_xlfn.IFNA(INDEX(Cascade!$BD:$BD,MATCH($E125,Cascade!$E:$E,0)),"")</f>
        <v>13</v>
      </c>
      <c r="W125" s="118" t="n">
        <f aca="false">IF(OR(SUM($V125)&lt;=0,SUM($Q125)=0),"",SUM($Q125)/$V125)</f>
        <v>-357</v>
      </c>
      <c r="X125" s="118" t="n">
        <f aca="false">_xlfn.IFNA(INDEX(Cascade!$BL:$BL,MATCH($E125,Cascade!$E:$E,0)),"")</f>
        <v>0.307692307692308</v>
      </c>
      <c r="Y125" s="118" t="str">
        <f aca="false">_xlfn.IFNA(INDEX(Cascade!$BM:$BM,MATCH($E125,Cascade!$E:$E,0)),"")</f>
        <v/>
      </c>
      <c r="Z125" s="118" t="str">
        <f aca="false">_xlfn.IFNA(INDEX(Cascade!$BN:$BN,MATCH($E125,Cascade!$E:$E,0)),"")</f>
        <v/>
      </c>
      <c r="AA125" s="118" t="str">
        <f aca="false">_xlfn.IFNA(INDEX(Cascade!$BP:$BP,MATCH($E125,Cascade!$E:$E,0)),"")</f>
        <v/>
      </c>
      <c r="AB125" s="118" t="n">
        <f aca="false">_xlfn.IFNA(INDEX(Cascade!$BR:$BR,MATCH($E125,Cascade!$E:$E,0)),"")</f>
        <v>357.692307692308</v>
      </c>
    </row>
    <row r="126" customFormat="false" ht="15" hidden="false" customHeight="false" outlineLevel="0" collapsed="false">
      <c r="A126" s="0" t="s">
        <v>146</v>
      </c>
      <c r="B126" s="0" t="s">
        <v>45</v>
      </c>
      <c r="C126" s="0" t="s">
        <v>54</v>
      </c>
      <c r="D126" s="0" t="s">
        <v>58</v>
      </c>
      <c r="E126" s="0" t="str">
        <f aca="false">B126&amp;"|"&amp;C126&amp;"|"&amp;D126</f>
        <v>Maseru [#SNU] [#DREAMS] [tKOXiaNhAyJ]|01-04|Male</v>
      </c>
      <c r="F126" s="73" t="n">
        <v>40</v>
      </c>
      <c r="G126" s="118" t="n">
        <f aca="false">IF(SUM($F126)&lt;=0,"",0%)</f>
        <v>0</v>
      </c>
      <c r="H126" s="75" t="n">
        <f aca="false">IF(SUM($F126)&lt;=0,"",$F126*(1+$G126))</f>
        <v>40</v>
      </c>
      <c r="I126" s="73"/>
      <c r="J126" s="118" t="n">
        <f aca="false">IF(SUM($H126)&lt;=0,"",100%)</f>
        <v>1</v>
      </c>
      <c r="K126" s="118" t="n">
        <v>1</v>
      </c>
      <c r="L126" s="118" t="n">
        <f aca="false">IF(SUM($K126)=0,"",$K126)</f>
        <v>1</v>
      </c>
      <c r="M126" s="118"/>
      <c r="N126" s="118" t="str">
        <f aca="false">IF(SUM($M126)=0,"",$M126)</f>
        <v/>
      </c>
      <c r="O126" s="73" t="n">
        <f aca="false">IF(SUM($H126)&lt;=0,"",ROUND(SUM($H126)*SUM($J126),0))</f>
        <v>40</v>
      </c>
      <c r="P126" s="75" t="n">
        <f aca="false">IF(SUM($O126)&lt;=0,"",ROUND(SUM($O126)*SUM($L126),0))</f>
        <v>40</v>
      </c>
      <c r="Q126" s="75" t="n">
        <f aca="false">IF(SUM($O126)&lt;=0,"",ROUND((SUM($O126)-SUM($P126))*SUM($N126),0))</f>
        <v>0</v>
      </c>
      <c r="R126" s="75" t="n">
        <f aca="false">IF(SUM($O126)&lt;=0,"",ROUND(SUM($O126)-SUM($P126)-SUM($Q126),0))</f>
        <v>0</v>
      </c>
      <c r="S126" s="118" t="n">
        <f aca="false">_xlfn.IFNA(INDEX(Cascade!$BA:$BA,MATCH($E126,Cascade!$E:$E,0)),"")</f>
        <v>0.95</v>
      </c>
      <c r="T126" s="75" t="n">
        <f aca="false">IF(SUM($P126)&lt;=0,"",$P126)</f>
        <v>40</v>
      </c>
      <c r="U126" s="75" t="str">
        <f aca="false">IF(SUM($Q126)&lt;=0,"",ROUND($Q126*$S126,0))</f>
        <v/>
      </c>
      <c r="V126" s="73" t="n">
        <f aca="false">_xlfn.IFNA(INDEX(Cascade!$BD:$BD,MATCH($E126,Cascade!$E:$E,0)),"")</f>
        <v>15</v>
      </c>
      <c r="W126" s="118" t="str">
        <f aca="false">IF(OR(SUM($V126)&lt;=0,SUM($Q126)=0),"",SUM($Q126)/$V126)</f>
        <v/>
      </c>
      <c r="X126" s="118" t="n">
        <f aca="false">_xlfn.IFNA(INDEX(Cascade!$BL:$BL,MATCH($E126,Cascade!$E:$E,0)),"")</f>
        <v>0.333333333333333</v>
      </c>
      <c r="Y126" s="118" t="str">
        <f aca="false">_xlfn.IFNA(INDEX(Cascade!$BM:$BM,MATCH($E126,Cascade!$E:$E,0)),"")</f>
        <v/>
      </c>
      <c r="Z126" s="118" t="str">
        <f aca="false">_xlfn.IFNA(INDEX(Cascade!$BN:$BN,MATCH($E126,Cascade!$E:$E,0)),"")</f>
        <v/>
      </c>
      <c r="AA126" s="118" t="str">
        <f aca="false">_xlfn.IFNA(INDEX(Cascade!$BP:$BP,MATCH($E126,Cascade!$E:$E,0)),"")</f>
        <v/>
      </c>
      <c r="AB126" s="118" t="n">
        <f aca="false">_xlfn.IFNA(INDEX(Cascade!$BR:$BR,MATCH($E126,Cascade!$E:$E,0)),"")</f>
        <v>0.666666666666667</v>
      </c>
    </row>
    <row r="127" customFormat="false" ht="15" hidden="false" customHeight="false" outlineLevel="0" collapsed="false">
      <c r="A127" s="0" t="s">
        <v>146</v>
      </c>
      <c r="B127" s="0" t="s">
        <v>45</v>
      </c>
      <c r="C127" s="0" t="s">
        <v>83</v>
      </c>
      <c r="D127" s="0" t="s">
        <v>56</v>
      </c>
      <c r="E127" s="0" t="str">
        <f aca="false">B127&amp;"|"&amp;C127&amp;"|"&amp;D127</f>
        <v>Maseru [#SNU] [#DREAMS] [tKOXiaNhAyJ]|05-09|Female</v>
      </c>
      <c r="F127" s="73" t="n">
        <v>9</v>
      </c>
      <c r="G127" s="118" t="n">
        <f aca="false">IF(SUM($F127)&lt;=0,"",0%)</f>
        <v>0</v>
      </c>
      <c r="H127" s="75" t="n">
        <f aca="false">IF(SUM($F127)&lt;=0,"",$F127*(1+$G127))</f>
        <v>9</v>
      </c>
      <c r="I127" s="73" t="n">
        <v>8</v>
      </c>
      <c r="J127" s="118" t="n">
        <f aca="false">IF(SUM($H127)&lt;=0,"",100%)</f>
        <v>1</v>
      </c>
      <c r="K127" s="118" t="n">
        <v>38</v>
      </c>
      <c r="L127" s="118" t="n">
        <f aca="false">IF(SUM($K127)=0,"",$K127)</f>
        <v>38</v>
      </c>
      <c r="M127" s="118"/>
      <c r="N127" s="118" t="str">
        <f aca="false">IF(SUM($M127)=0,"",$M127)</f>
        <v/>
      </c>
      <c r="O127" s="73" t="n">
        <f aca="false">IF(SUM($H127)&lt;=0,"",ROUND(SUM($H127)*SUM($J127),0))</f>
        <v>9</v>
      </c>
      <c r="P127" s="75" t="n">
        <f aca="false">IF(SUM($O127)&lt;=0,"",ROUND(SUM($O127)*SUM($L127),0))</f>
        <v>342</v>
      </c>
      <c r="Q127" s="75" t="n">
        <f aca="false">IF(SUM($O127)&lt;=0,"",ROUND((SUM($O127)-SUM($P127))*SUM($N127),0))</f>
        <v>-0</v>
      </c>
      <c r="R127" s="75" t="n">
        <f aca="false">IF(SUM($O127)&lt;=0,"",ROUND(SUM($O127)-SUM($P127)-SUM($Q127),0))</f>
        <v>-333</v>
      </c>
      <c r="S127" s="118" t="n">
        <f aca="false">_xlfn.IFNA(INDEX(Cascade!$BA:$BA,MATCH($E127,Cascade!$E:$E,0)),"")</f>
        <v>0.95</v>
      </c>
      <c r="T127" s="75" t="n">
        <f aca="false">IF(SUM($P127)&lt;=0,"",$P127)</f>
        <v>342</v>
      </c>
      <c r="U127" s="75" t="str">
        <f aca="false">IF(SUM($Q127)&lt;=0,"",ROUND($Q127*$S127,0))</f>
        <v/>
      </c>
      <c r="V127" s="73" t="n">
        <f aca="false">_xlfn.IFNA(INDEX(Cascade!$BD:$BD,MATCH($E127,Cascade!$E:$E,0)),"")</f>
        <v>15</v>
      </c>
      <c r="W127" s="118" t="str">
        <f aca="false">IF(OR(SUM($V127)&lt;=0,SUM($Q127)=0),"",SUM($Q127)/$V127)</f>
        <v/>
      </c>
      <c r="X127" s="118" t="n">
        <f aca="false">_xlfn.IFNA(INDEX(Cascade!$BL:$BL,MATCH($E127,Cascade!$E:$E,0)),"")</f>
        <v>0.333333333333333</v>
      </c>
      <c r="Y127" s="118" t="str">
        <f aca="false">_xlfn.IFNA(INDEX(Cascade!$BM:$BM,MATCH($E127,Cascade!$E:$E,0)),"")</f>
        <v/>
      </c>
      <c r="Z127" s="118" t="str">
        <f aca="false">_xlfn.IFNA(INDEX(Cascade!$BN:$BN,MATCH($E127,Cascade!$E:$E,0)),"")</f>
        <v/>
      </c>
      <c r="AA127" s="118" t="str">
        <f aca="false">_xlfn.IFNA(INDEX(Cascade!$BP:$BP,MATCH($E127,Cascade!$E:$E,0)),"")</f>
        <v/>
      </c>
      <c r="AB127" s="118" t="n">
        <f aca="false">_xlfn.IFNA(INDEX(Cascade!$BR:$BR,MATCH($E127,Cascade!$E:$E,0)),"")</f>
        <v>0.666666666666667</v>
      </c>
    </row>
    <row r="128" customFormat="false" ht="15" hidden="false" customHeight="false" outlineLevel="0" collapsed="false">
      <c r="A128" s="0" t="s">
        <v>146</v>
      </c>
      <c r="B128" s="0" t="s">
        <v>45</v>
      </c>
      <c r="C128" s="0" t="s">
        <v>83</v>
      </c>
      <c r="D128" s="0" t="s">
        <v>58</v>
      </c>
      <c r="E128" s="0" t="str">
        <f aca="false">B128&amp;"|"&amp;C128&amp;"|"&amp;D128</f>
        <v>Maseru [#SNU] [#DREAMS] [tKOXiaNhAyJ]|05-09|Male</v>
      </c>
      <c r="F128" s="73" t="n">
        <v>10</v>
      </c>
      <c r="G128" s="118" t="n">
        <f aca="false">IF(SUM($F128)&lt;=0,"",0%)</f>
        <v>0</v>
      </c>
      <c r="H128" s="75" t="n">
        <f aca="false">IF(SUM($F128)&lt;=0,"",$F128*(1+$G128))</f>
        <v>10</v>
      </c>
      <c r="I128" s="73"/>
      <c r="J128" s="118" t="n">
        <f aca="false">IF(SUM($H128)&lt;=0,"",100%)</f>
        <v>1</v>
      </c>
      <c r="K128" s="118" t="n">
        <v>4</v>
      </c>
      <c r="L128" s="118" t="n">
        <f aca="false">IF(SUM($K128)=0,"",$K128)</f>
        <v>4</v>
      </c>
      <c r="M128" s="118"/>
      <c r="N128" s="118" t="str">
        <f aca="false">IF(SUM($M128)=0,"",$M128)</f>
        <v/>
      </c>
      <c r="O128" s="73" t="n">
        <f aca="false">IF(SUM($H128)&lt;=0,"",ROUND(SUM($H128)*SUM($J128),0))</f>
        <v>10</v>
      </c>
      <c r="P128" s="75" t="n">
        <f aca="false">IF(SUM($O128)&lt;=0,"",ROUND(SUM($O128)*SUM($L128),0))</f>
        <v>40</v>
      </c>
      <c r="Q128" s="75" t="n">
        <f aca="false">IF(SUM($O128)&lt;=0,"",ROUND((SUM($O128)-SUM($P128))*SUM($N128),0))</f>
        <v>-0</v>
      </c>
      <c r="R128" s="75" t="n">
        <f aca="false">IF(SUM($O128)&lt;=0,"",ROUND(SUM($O128)-SUM($P128)-SUM($Q128),0))</f>
        <v>-30</v>
      </c>
      <c r="S128" s="118" t="n">
        <f aca="false">_xlfn.IFNA(INDEX(Cascade!$BA:$BA,MATCH($E128,Cascade!$E:$E,0)),"")</f>
        <v>0.95</v>
      </c>
      <c r="T128" s="75" t="n">
        <f aca="false">IF(SUM($P128)&lt;=0,"",$P128)</f>
        <v>40</v>
      </c>
      <c r="U128" s="75" t="str">
        <f aca="false">IF(SUM($Q128)&lt;=0,"",ROUND($Q128*$S128,0))</f>
        <v/>
      </c>
      <c r="V128" s="73" t="str">
        <f aca="false">_xlfn.IFNA(INDEX(Cascade!$BD:$BD,MATCH($E128,Cascade!$E:$E,0)),"")</f>
        <v/>
      </c>
      <c r="W128" s="118" t="str">
        <f aca="false">IF(OR(SUM($V128)&lt;=0,SUM($Q128)=0),"",SUM($Q128)/$V128)</f>
        <v/>
      </c>
      <c r="X128" s="118" t="str">
        <f aca="false">_xlfn.IFNA(INDEX(Cascade!$BL:$BL,MATCH($E128,Cascade!$E:$E,0)),"")</f>
        <v/>
      </c>
      <c r="Y128" s="118" t="str">
        <f aca="false">_xlfn.IFNA(INDEX(Cascade!$BM:$BM,MATCH($E128,Cascade!$E:$E,0)),"")</f>
        <v/>
      </c>
      <c r="Z128" s="118" t="str">
        <f aca="false">_xlfn.IFNA(INDEX(Cascade!$BN:$BN,MATCH($E128,Cascade!$E:$E,0)),"")</f>
        <v/>
      </c>
      <c r="AA128" s="118" t="str">
        <f aca="false">_xlfn.IFNA(INDEX(Cascade!$BP:$BP,MATCH($E128,Cascade!$E:$E,0)),"")</f>
        <v/>
      </c>
      <c r="AB128" s="118" t="str">
        <f aca="false">_xlfn.IFNA(INDEX(Cascade!$BR:$BR,MATCH($E128,Cascade!$E:$E,0)),"")</f>
        <v/>
      </c>
    </row>
    <row r="129" customFormat="false" ht="15" hidden="false" customHeight="false" outlineLevel="0" collapsed="false">
      <c r="A129" s="0" t="s">
        <v>146</v>
      </c>
      <c r="B129" s="0" t="s">
        <v>45</v>
      </c>
      <c r="C129" s="0" t="s">
        <v>61</v>
      </c>
      <c r="D129" s="0" t="s">
        <v>56</v>
      </c>
      <c r="E129" s="0" t="str">
        <f aca="false">B129&amp;"|"&amp;C129&amp;"|"&amp;D129</f>
        <v>Maseru [#SNU] [#DREAMS] [tKOXiaNhAyJ]|10-14|Female</v>
      </c>
      <c r="F129" s="73" t="n">
        <v>15</v>
      </c>
      <c r="G129" s="118" t="n">
        <f aca="false">IF(SUM($F129)&lt;=0,"",0%)</f>
        <v>0</v>
      </c>
      <c r="H129" s="75" t="n">
        <f aca="false">IF(SUM($F129)&lt;=0,"",$F129*(1+$G129))</f>
        <v>15</v>
      </c>
      <c r="I129" s="73"/>
      <c r="J129" s="118" t="n">
        <f aca="false">IF(SUM($H129)&lt;=0,"",100%)</f>
        <v>1</v>
      </c>
      <c r="K129" s="118" t="n">
        <v>23</v>
      </c>
      <c r="L129" s="118" t="n">
        <f aca="false">IF(SUM($K129)=0,"",$K129)</f>
        <v>23</v>
      </c>
      <c r="M129" s="118" t="n">
        <v>23</v>
      </c>
      <c r="N129" s="118" t="n">
        <f aca="false">IF(SUM($M129)=0,"",$M129)</f>
        <v>23</v>
      </c>
      <c r="O129" s="73" t="n">
        <f aca="false">IF(SUM($H129)&lt;=0,"",ROUND(SUM($H129)*SUM($J129),0))</f>
        <v>15</v>
      </c>
      <c r="P129" s="75" t="n">
        <f aca="false">IF(SUM($O129)&lt;=0,"",ROUND(SUM($O129)*SUM($L129),0))</f>
        <v>345</v>
      </c>
      <c r="Q129" s="75" t="n">
        <f aca="false">IF(SUM($O129)&lt;=0,"",ROUND((SUM($O129)-SUM($P129))*SUM($N129),0))</f>
        <v>-7590</v>
      </c>
      <c r="R129" s="75" t="n">
        <f aca="false">IF(SUM($O129)&lt;=0,"",ROUND(SUM($O129)-SUM($P129)-SUM($Q129),0))</f>
        <v>7260</v>
      </c>
      <c r="S129" s="118" t="n">
        <f aca="false">_xlfn.IFNA(INDEX(Cascade!$BA:$BA,MATCH($E129,Cascade!$E:$E,0)),"")</f>
        <v>0.95</v>
      </c>
      <c r="T129" s="75" t="n">
        <f aca="false">IF(SUM($P129)&lt;=0,"",$P129)</f>
        <v>345</v>
      </c>
      <c r="U129" s="75" t="str">
        <f aca="false">IF(SUM($Q129)&lt;=0,"",ROUND($Q129*$S129,0))</f>
        <v/>
      </c>
      <c r="V129" s="73" t="n">
        <f aca="false">_xlfn.IFNA(INDEX(Cascade!$BD:$BD,MATCH($E129,Cascade!$E:$E,0)),"")</f>
        <v>5</v>
      </c>
      <c r="W129" s="118" t="n">
        <f aca="false">IF(OR(SUM($V129)&lt;=0,SUM($Q129)=0),"",SUM($Q129)/$V129)</f>
        <v>-1518</v>
      </c>
      <c r="X129" s="118" t="n">
        <f aca="false">_xlfn.IFNA(INDEX(Cascade!$BL:$BL,MATCH($E129,Cascade!$E:$E,0)),"")</f>
        <v>0.6</v>
      </c>
      <c r="Y129" s="118" t="str">
        <f aca="false">_xlfn.IFNA(INDEX(Cascade!$BM:$BM,MATCH($E129,Cascade!$E:$E,0)),"")</f>
        <v/>
      </c>
      <c r="Z129" s="118" t="str">
        <f aca="false">_xlfn.IFNA(INDEX(Cascade!$BN:$BN,MATCH($E129,Cascade!$E:$E,0)),"")</f>
        <v/>
      </c>
      <c r="AA129" s="118" t="str">
        <f aca="false">_xlfn.IFNA(INDEX(Cascade!$BP:$BP,MATCH($E129,Cascade!$E:$E,0)),"")</f>
        <v/>
      </c>
      <c r="AB129" s="118" t="n">
        <f aca="false">_xlfn.IFNA(INDEX(Cascade!$BR:$BR,MATCH($E129,Cascade!$E:$E,0)),"")</f>
        <v>1518.4</v>
      </c>
    </row>
    <row r="130" customFormat="false" ht="15" hidden="false" customHeight="false" outlineLevel="0" collapsed="false">
      <c r="A130" s="0" t="s">
        <v>146</v>
      </c>
      <c r="B130" s="0" t="s">
        <v>45</v>
      </c>
      <c r="C130" s="0" t="s">
        <v>61</v>
      </c>
      <c r="D130" s="0" t="s">
        <v>58</v>
      </c>
      <c r="E130" s="0" t="str">
        <f aca="false">B130&amp;"|"&amp;C130&amp;"|"&amp;D130</f>
        <v>Maseru [#SNU] [#DREAMS] [tKOXiaNhAyJ]|10-14|Male</v>
      </c>
      <c r="F130" s="73" t="n">
        <v>41</v>
      </c>
      <c r="G130" s="118" t="n">
        <f aca="false">IF(SUM($F130)&lt;=0,"",0%)</f>
        <v>0</v>
      </c>
      <c r="H130" s="75" t="n">
        <f aca="false">IF(SUM($F130)&lt;=0,"",$F130*(1+$G130))</f>
        <v>41</v>
      </c>
      <c r="I130" s="73"/>
      <c r="J130" s="118" t="n">
        <f aca="false">IF(SUM($H130)&lt;=0,"",100%)</f>
        <v>1</v>
      </c>
      <c r="K130" s="118" t="n">
        <v>14</v>
      </c>
      <c r="L130" s="118" t="n">
        <f aca="false">IF(SUM($K130)=0,"",$K130)</f>
        <v>14</v>
      </c>
      <c r="M130" s="118"/>
      <c r="N130" s="118" t="str">
        <f aca="false">IF(SUM($M130)=0,"",$M130)</f>
        <v/>
      </c>
      <c r="O130" s="73" t="n">
        <f aca="false">IF(SUM($H130)&lt;=0,"",ROUND(SUM($H130)*SUM($J130),0))</f>
        <v>41</v>
      </c>
      <c r="P130" s="75" t="n">
        <f aca="false">IF(SUM($O130)&lt;=0,"",ROUND(SUM($O130)*SUM($L130),0))</f>
        <v>574</v>
      </c>
      <c r="Q130" s="75" t="n">
        <f aca="false">IF(SUM($O130)&lt;=0,"",ROUND((SUM($O130)-SUM($P130))*SUM($N130),0))</f>
        <v>-0</v>
      </c>
      <c r="R130" s="75" t="n">
        <f aca="false">IF(SUM($O130)&lt;=0,"",ROUND(SUM($O130)-SUM($P130)-SUM($Q130),0))</f>
        <v>-533</v>
      </c>
      <c r="S130" s="118" t="n">
        <f aca="false">_xlfn.IFNA(INDEX(Cascade!$BA:$BA,MATCH($E130,Cascade!$E:$E,0)),"")</f>
        <v>0.95</v>
      </c>
      <c r="T130" s="75" t="n">
        <f aca="false">IF(SUM($P130)&lt;=0,"",$P130)</f>
        <v>574</v>
      </c>
      <c r="U130" s="75" t="str">
        <f aca="false">IF(SUM($Q130)&lt;=0,"",ROUND($Q130*$S130,0))</f>
        <v/>
      </c>
      <c r="V130" s="73" t="n">
        <f aca="false">_xlfn.IFNA(INDEX(Cascade!$BD:$BD,MATCH($E130,Cascade!$E:$E,0)),"")</f>
        <v>11</v>
      </c>
      <c r="W130" s="118" t="str">
        <f aca="false">IF(OR(SUM($V130)&lt;=0,SUM($Q130)=0),"",SUM($Q130)/$V130)</f>
        <v/>
      </c>
      <c r="X130" s="118" t="n">
        <f aca="false">_xlfn.IFNA(INDEX(Cascade!$BL:$BL,MATCH($E130,Cascade!$E:$E,0)),"")</f>
        <v>0.545454545454545</v>
      </c>
      <c r="Y130" s="118" t="str">
        <f aca="false">_xlfn.IFNA(INDEX(Cascade!$BM:$BM,MATCH($E130,Cascade!$E:$E,0)),"")</f>
        <v/>
      </c>
      <c r="Z130" s="118" t="str">
        <f aca="false">_xlfn.IFNA(INDEX(Cascade!$BN:$BN,MATCH($E130,Cascade!$E:$E,0)),"")</f>
        <v/>
      </c>
      <c r="AA130" s="118" t="str">
        <f aca="false">_xlfn.IFNA(INDEX(Cascade!$BP:$BP,MATCH($E130,Cascade!$E:$E,0)),"")</f>
        <v/>
      </c>
      <c r="AB130" s="118" t="n">
        <f aca="false">_xlfn.IFNA(INDEX(Cascade!$BR:$BR,MATCH($E130,Cascade!$E:$E,0)),"")</f>
        <v>0.454545454545455</v>
      </c>
    </row>
    <row r="131" customFormat="false" ht="15" hidden="false" customHeight="false" outlineLevel="0" collapsed="false">
      <c r="A131" s="0" t="s">
        <v>146</v>
      </c>
      <c r="B131" s="0" t="s">
        <v>45</v>
      </c>
      <c r="C131" s="0" t="s">
        <v>63</v>
      </c>
      <c r="D131" s="0" t="s">
        <v>56</v>
      </c>
      <c r="E131" s="0" t="str">
        <f aca="false">B131&amp;"|"&amp;C131&amp;"|"&amp;D131</f>
        <v>Maseru [#SNU] [#DREAMS] [tKOXiaNhAyJ]|15-19|Female</v>
      </c>
      <c r="F131" s="73" t="n">
        <v>13</v>
      </c>
      <c r="G131" s="118" t="n">
        <f aca="false">IF(SUM($F131)&lt;=0,"",0%)</f>
        <v>0</v>
      </c>
      <c r="H131" s="75" t="n">
        <f aca="false">IF(SUM($F131)&lt;=0,"",$F131*(1+$G131))</f>
        <v>13</v>
      </c>
      <c r="I131" s="73"/>
      <c r="J131" s="118" t="n">
        <f aca="false">IF(SUM($H131)&lt;=0,"",100%)</f>
        <v>1</v>
      </c>
      <c r="K131" s="118" t="n">
        <v>12</v>
      </c>
      <c r="L131" s="118" t="n">
        <f aca="false">IF(SUM($K131)=0,"",$K131)</f>
        <v>12</v>
      </c>
      <c r="M131" s="118" t="n">
        <v>15</v>
      </c>
      <c r="N131" s="118" t="n">
        <f aca="false">IF(SUM($M131)=0,"",$M131)</f>
        <v>15</v>
      </c>
      <c r="O131" s="73" t="n">
        <f aca="false">IF(SUM($H131)&lt;=0,"",ROUND(SUM($H131)*SUM($J131),0))</f>
        <v>13</v>
      </c>
      <c r="P131" s="75" t="n">
        <f aca="false">IF(SUM($O131)&lt;=0,"",ROUND(SUM($O131)*SUM($L131),0))</f>
        <v>156</v>
      </c>
      <c r="Q131" s="75" t="n">
        <f aca="false">IF(SUM($O131)&lt;=0,"",ROUND((SUM($O131)-SUM($P131))*SUM($N131),0))</f>
        <v>-2145</v>
      </c>
      <c r="R131" s="75" t="n">
        <f aca="false">IF(SUM($O131)&lt;=0,"",ROUND(SUM($O131)-SUM($P131)-SUM($Q131),0))</f>
        <v>2002</v>
      </c>
      <c r="S131" s="118" t="n">
        <f aca="false">_xlfn.IFNA(INDEX(Cascade!$BA:$BA,MATCH($E131,Cascade!$E:$E,0)),"")</f>
        <v>0.95</v>
      </c>
      <c r="T131" s="75" t="n">
        <f aca="false">IF(SUM($P131)&lt;=0,"",$P131)</f>
        <v>156</v>
      </c>
      <c r="U131" s="75" t="str">
        <f aca="false">IF(SUM($Q131)&lt;=0,"",ROUND($Q131*$S131,0))</f>
        <v/>
      </c>
      <c r="V131" s="73" t="n">
        <f aca="false">_xlfn.IFNA(INDEX(Cascade!$BD:$BD,MATCH($E131,Cascade!$E:$E,0)),"")</f>
        <v>14</v>
      </c>
      <c r="W131" s="118" t="n">
        <f aca="false">IF(OR(SUM($V131)&lt;=0,SUM($Q131)=0),"",SUM($Q131)/$V131)</f>
        <v>-153.214285714286</v>
      </c>
      <c r="X131" s="118" t="n">
        <f aca="false">_xlfn.IFNA(INDEX(Cascade!$BL:$BL,MATCH($E131,Cascade!$E:$E,0)),"")</f>
        <v>0.285714285714286</v>
      </c>
      <c r="Y131" s="118" t="n">
        <f aca="false">_xlfn.IFNA(INDEX(Cascade!$BM:$BM,MATCH($E131,Cascade!$E:$E,0)),"")</f>
        <v>-276.857142857143</v>
      </c>
      <c r="Z131" s="118" t="str">
        <f aca="false">_xlfn.IFNA(INDEX(Cascade!$BN:$BN,MATCH($E131,Cascade!$E:$E,0)),"")</f>
        <v/>
      </c>
      <c r="AA131" s="118" t="str">
        <f aca="false">_xlfn.IFNA(INDEX(Cascade!$BP:$BP,MATCH($E131,Cascade!$E:$E,0)),"")</f>
        <v/>
      </c>
      <c r="AB131" s="118" t="n">
        <f aca="false">_xlfn.IFNA(INDEX(Cascade!$BR:$BR,MATCH($E131,Cascade!$E:$E,0)),"")</f>
        <v>430.785714285714</v>
      </c>
    </row>
    <row r="132" customFormat="false" ht="15" hidden="false" customHeight="false" outlineLevel="0" collapsed="false">
      <c r="A132" s="0" t="s">
        <v>146</v>
      </c>
      <c r="B132" s="0" t="s">
        <v>45</v>
      </c>
      <c r="C132" s="0" t="s">
        <v>63</v>
      </c>
      <c r="D132" s="0" t="s">
        <v>58</v>
      </c>
      <c r="E132" s="0" t="str">
        <f aca="false">B132&amp;"|"&amp;C132&amp;"|"&amp;D132</f>
        <v>Maseru [#SNU] [#DREAMS] [tKOXiaNhAyJ]|15-19|Male</v>
      </c>
      <c r="F132" s="73" t="n">
        <v>47</v>
      </c>
      <c r="G132" s="118" t="n">
        <f aca="false">IF(SUM($F132)&lt;=0,"",0%)</f>
        <v>0</v>
      </c>
      <c r="H132" s="75" t="n">
        <f aca="false">IF(SUM($F132)&lt;=0,"",$F132*(1+$G132))</f>
        <v>47</v>
      </c>
      <c r="I132" s="73" t="n">
        <v>20</v>
      </c>
      <c r="J132" s="118" t="n">
        <f aca="false">IF(SUM($H132)&lt;=0,"",100%)</f>
        <v>1</v>
      </c>
      <c r="K132" s="118" t="n">
        <v>43</v>
      </c>
      <c r="L132" s="118" t="n">
        <f aca="false">IF(SUM($K132)=0,"",$K132)</f>
        <v>43</v>
      </c>
      <c r="M132" s="118"/>
      <c r="N132" s="118" t="str">
        <f aca="false">IF(SUM($M132)=0,"",$M132)</f>
        <v/>
      </c>
      <c r="O132" s="73" t="n">
        <f aca="false">IF(SUM($H132)&lt;=0,"",ROUND(SUM($H132)*SUM($J132),0))</f>
        <v>47</v>
      </c>
      <c r="P132" s="75" t="n">
        <f aca="false">IF(SUM($O132)&lt;=0,"",ROUND(SUM($O132)*SUM($L132),0))</f>
        <v>2021</v>
      </c>
      <c r="Q132" s="75" t="n">
        <f aca="false">IF(SUM($O132)&lt;=0,"",ROUND((SUM($O132)-SUM($P132))*SUM($N132),0))</f>
        <v>-0</v>
      </c>
      <c r="R132" s="75" t="n">
        <f aca="false">IF(SUM($O132)&lt;=0,"",ROUND(SUM($O132)-SUM($P132)-SUM($Q132),0))</f>
        <v>-1974</v>
      </c>
      <c r="S132" s="118" t="n">
        <f aca="false">_xlfn.IFNA(INDEX(Cascade!$BA:$BA,MATCH($E132,Cascade!$E:$E,0)),"")</f>
        <v>0.95</v>
      </c>
      <c r="T132" s="75" t="n">
        <f aca="false">IF(SUM($P132)&lt;=0,"",$P132)</f>
        <v>2021</v>
      </c>
      <c r="U132" s="75" t="str">
        <f aca="false">IF(SUM($Q132)&lt;=0,"",ROUND($Q132*$S132,0))</f>
        <v/>
      </c>
      <c r="V132" s="73" t="n">
        <f aca="false">_xlfn.IFNA(INDEX(Cascade!$BD:$BD,MATCH($E132,Cascade!$E:$E,0)),"")</f>
        <v>1</v>
      </c>
      <c r="W132" s="118" t="str">
        <f aca="false">IF(OR(SUM($V132)&lt;=0,SUM($Q132)=0),"",SUM($Q132)/$V132)</f>
        <v/>
      </c>
      <c r="X132" s="118" t="n">
        <f aca="false">_xlfn.IFNA(INDEX(Cascade!$BL:$BL,MATCH($E132,Cascade!$E:$E,0)),"")</f>
        <v>1</v>
      </c>
      <c r="Y132" s="118" t="str">
        <f aca="false">_xlfn.IFNA(INDEX(Cascade!$BM:$BM,MATCH($E132,Cascade!$E:$E,0)),"")</f>
        <v/>
      </c>
      <c r="Z132" s="118" t="str">
        <f aca="false">_xlfn.IFNA(INDEX(Cascade!$BN:$BN,MATCH($E132,Cascade!$E:$E,0)),"")</f>
        <v/>
      </c>
      <c r="AA132" s="118" t="str">
        <f aca="false">_xlfn.IFNA(INDEX(Cascade!$BP:$BP,MATCH($E132,Cascade!$E:$E,0)),"")</f>
        <v/>
      </c>
      <c r="AB132" s="118" t="str">
        <f aca="false">_xlfn.IFNA(INDEX(Cascade!$BR:$BR,MATCH($E132,Cascade!$E:$E,0)),"")</f>
        <v/>
      </c>
    </row>
    <row r="133" customFormat="false" ht="15" hidden="false" customHeight="false" outlineLevel="0" collapsed="false">
      <c r="A133" s="0" t="s">
        <v>146</v>
      </c>
      <c r="B133" s="0" t="s">
        <v>45</v>
      </c>
      <c r="C133" s="0" t="s">
        <v>66</v>
      </c>
      <c r="D133" s="0" t="s">
        <v>56</v>
      </c>
      <c r="E133" s="0" t="str">
        <f aca="false">B133&amp;"|"&amp;C133&amp;"|"&amp;D133</f>
        <v>Maseru [#SNU] [#DREAMS] [tKOXiaNhAyJ]|20-24|Female</v>
      </c>
      <c r="F133" s="73" t="n">
        <v>0</v>
      </c>
      <c r="G133" s="118" t="str">
        <f aca="false">IF(SUM($F133)&lt;=0,"",0%)</f>
        <v/>
      </c>
      <c r="H133" s="75" t="str">
        <f aca="false">IF(SUM($F133)&lt;=0,"",$F133*(1+$G133))</f>
        <v/>
      </c>
      <c r="I133" s="73" t="n">
        <v>36</v>
      </c>
      <c r="J133" s="118" t="str">
        <f aca="false">IF(SUM($H133)&lt;=0,"",100%)</f>
        <v/>
      </c>
      <c r="K133" s="118" t="n">
        <v>42</v>
      </c>
      <c r="L133" s="118" t="n">
        <f aca="false">IF(SUM($K133)=0,"",$K133)</f>
        <v>42</v>
      </c>
      <c r="M133" s="118" t="n">
        <v>27</v>
      </c>
      <c r="N133" s="118" t="n">
        <f aca="false">IF(SUM($M133)=0,"",$M133)</f>
        <v>27</v>
      </c>
      <c r="O133" s="73" t="str">
        <f aca="false">IF(SUM($H133)&lt;=0,"",ROUND(SUM($H133)*SUM($J133),0))</f>
        <v/>
      </c>
      <c r="P133" s="75" t="str">
        <f aca="false">IF(SUM($O133)&lt;=0,"",ROUND(SUM($O133)*SUM($L133),0))</f>
        <v/>
      </c>
      <c r="Q133" s="75" t="str">
        <f aca="false">IF(SUM($O133)&lt;=0,"",ROUND((SUM($O133)-SUM($P133))*SUM($N133),0))</f>
        <v/>
      </c>
      <c r="R133" s="75" t="str">
        <f aca="false">IF(SUM($O133)&lt;=0,"",ROUND(SUM($O133)-SUM($P133)-SUM($Q133),0))</f>
        <v/>
      </c>
      <c r="S133" s="118" t="n">
        <f aca="false">_xlfn.IFNA(INDEX(Cascade!$BA:$BA,MATCH($E133,Cascade!$E:$E,0)),"")</f>
        <v>0.95</v>
      </c>
      <c r="T133" s="75" t="str">
        <f aca="false">IF(SUM($P133)&lt;=0,"",$P133)</f>
        <v/>
      </c>
      <c r="U133" s="75" t="str">
        <f aca="false">IF(SUM($Q133)&lt;=0,"",ROUND($Q133*$S133,0))</f>
        <v/>
      </c>
      <c r="V133" s="73" t="n">
        <f aca="false">_xlfn.IFNA(INDEX(Cascade!$BD:$BD,MATCH($E133,Cascade!$E:$E,0)),"")</f>
        <v>9</v>
      </c>
      <c r="W133" s="118" t="str">
        <f aca="false">IF(OR(SUM($V133)&lt;=0,SUM($Q133)=0),"",SUM($Q133)/$V133)</f>
        <v/>
      </c>
      <c r="X133" s="118" t="n">
        <f aca="false">_xlfn.IFNA(INDEX(Cascade!$BL:$BL,MATCH($E133,Cascade!$E:$E,0)),"")</f>
        <v>0.333333333333333</v>
      </c>
      <c r="Y133" s="118" t="n">
        <f aca="false">_xlfn.IFNA(INDEX(Cascade!$BM:$BM,MATCH($E133,Cascade!$E:$E,0)),"")</f>
        <v>-46</v>
      </c>
      <c r="Z133" s="118" t="str">
        <f aca="false">_xlfn.IFNA(INDEX(Cascade!$BN:$BN,MATCH($E133,Cascade!$E:$E,0)),"")</f>
        <v/>
      </c>
      <c r="AA133" s="118" t="str">
        <f aca="false">_xlfn.IFNA(INDEX(Cascade!$BP:$BP,MATCH($E133,Cascade!$E:$E,0)),"")</f>
        <v/>
      </c>
      <c r="AB133" s="118" t="n">
        <f aca="false">_xlfn.IFNA(INDEX(Cascade!$BR:$BR,MATCH($E133,Cascade!$E:$E,0)),"")</f>
        <v>46.6666666666667</v>
      </c>
    </row>
    <row r="134" customFormat="false" ht="15" hidden="false" customHeight="false" outlineLevel="0" collapsed="false">
      <c r="A134" s="0" t="s">
        <v>146</v>
      </c>
      <c r="B134" s="0" t="s">
        <v>45</v>
      </c>
      <c r="C134" s="0" t="s">
        <v>66</v>
      </c>
      <c r="D134" s="0" t="s">
        <v>58</v>
      </c>
      <c r="E134" s="0" t="str">
        <f aca="false">B134&amp;"|"&amp;C134&amp;"|"&amp;D134</f>
        <v>Maseru [#SNU] [#DREAMS] [tKOXiaNhAyJ]|20-24|Male</v>
      </c>
      <c r="F134" s="73" t="n">
        <v>35</v>
      </c>
      <c r="G134" s="118" t="n">
        <f aca="false">IF(SUM($F134)&lt;=0,"",0%)</f>
        <v>0</v>
      </c>
      <c r="H134" s="75" t="n">
        <f aca="false">IF(SUM($F134)&lt;=0,"",$F134*(1+$G134))</f>
        <v>35</v>
      </c>
      <c r="I134" s="73" t="n">
        <v>20</v>
      </c>
      <c r="J134" s="118" t="n">
        <f aca="false">IF(SUM($H134)&lt;=0,"",100%)</f>
        <v>1</v>
      </c>
      <c r="K134" s="118" t="n">
        <v>45</v>
      </c>
      <c r="L134" s="118" t="n">
        <f aca="false">IF(SUM($K134)=0,"",$K134)</f>
        <v>45</v>
      </c>
      <c r="M134" s="118" t="n">
        <v>41</v>
      </c>
      <c r="N134" s="118" t="n">
        <f aca="false">IF(SUM($M134)=0,"",$M134)</f>
        <v>41</v>
      </c>
      <c r="O134" s="73" t="n">
        <f aca="false">IF(SUM($H134)&lt;=0,"",ROUND(SUM($H134)*SUM($J134),0))</f>
        <v>35</v>
      </c>
      <c r="P134" s="75" t="n">
        <f aca="false">IF(SUM($O134)&lt;=0,"",ROUND(SUM($O134)*SUM($L134),0))</f>
        <v>1575</v>
      </c>
      <c r="Q134" s="75" t="n">
        <f aca="false">IF(SUM($O134)&lt;=0,"",ROUND((SUM($O134)-SUM($P134))*SUM($N134),0))</f>
        <v>-63140</v>
      </c>
      <c r="R134" s="75" t="n">
        <f aca="false">IF(SUM($O134)&lt;=0,"",ROUND(SUM($O134)-SUM($P134)-SUM($Q134),0))</f>
        <v>61600</v>
      </c>
      <c r="S134" s="118" t="n">
        <f aca="false">_xlfn.IFNA(INDEX(Cascade!$BA:$BA,MATCH($E134,Cascade!$E:$E,0)),"")</f>
        <v>0.95</v>
      </c>
      <c r="T134" s="75" t="n">
        <f aca="false">IF(SUM($P134)&lt;=0,"",$P134)</f>
        <v>1575</v>
      </c>
      <c r="U134" s="75" t="str">
        <f aca="false">IF(SUM($Q134)&lt;=0,"",ROUND($Q134*$S134,0))</f>
        <v/>
      </c>
      <c r="V134" s="73" t="n">
        <f aca="false">_xlfn.IFNA(INDEX(Cascade!$BD:$BD,MATCH($E134,Cascade!$E:$E,0)),"")</f>
        <v>9</v>
      </c>
      <c r="W134" s="118" t="n">
        <f aca="false">IF(OR(SUM($V134)&lt;=0,SUM($Q134)=0),"",SUM($Q134)/$V134)</f>
        <v>-7015.55555555556</v>
      </c>
      <c r="X134" s="118" t="n">
        <f aca="false">_xlfn.IFNA(INDEX(Cascade!$BL:$BL,MATCH($E134,Cascade!$E:$E,0)),"")</f>
        <v>0.333333333333333</v>
      </c>
      <c r="Y134" s="118" t="str">
        <f aca="false">_xlfn.IFNA(INDEX(Cascade!$BM:$BM,MATCH($E134,Cascade!$E:$E,0)),"")</f>
        <v/>
      </c>
      <c r="Z134" s="118" t="str">
        <f aca="false">_xlfn.IFNA(INDEX(Cascade!$BN:$BN,MATCH($E134,Cascade!$E:$E,0)),"")</f>
        <v/>
      </c>
      <c r="AA134" s="118" t="str">
        <f aca="false">_xlfn.IFNA(INDEX(Cascade!$BP:$BP,MATCH($E134,Cascade!$E:$E,0)),"")</f>
        <v/>
      </c>
      <c r="AB134" s="118" t="n">
        <f aca="false">_xlfn.IFNA(INDEX(Cascade!$BR:$BR,MATCH($E134,Cascade!$E:$E,0)),"")</f>
        <v>7016.22222222222</v>
      </c>
    </row>
    <row r="135" customFormat="false" ht="15" hidden="false" customHeight="false" outlineLevel="0" collapsed="false">
      <c r="A135" s="0" t="s">
        <v>146</v>
      </c>
      <c r="B135" s="0" t="s">
        <v>45</v>
      </c>
      <c r="C135" s="0" t="s">
        <v>69</v>
      </c>
      <c r="D135" s="0" t="s">
        <v>56</v>
      </c>
      <c r="E135" s="0" t="str">
        <f aca="false">B135&amp;"|"&amp;C135&amp;"|"&amp;D135</f>
        <v>Maseru [#SNU] [#DREAMS] [tKOXiaNhAyJ]|25-29|Female</v>
      </c>
      <c r="F135" s="73" t="n">
        <v>8</v>
      </c>
      <c r="G135" s="118" t="n">
        <f aca="false">IF(SUM($F135)&lt;=0,"",0%)</f>
        <v>0</v>
      </c>
      <c r="H135" s="75" t="n">
        <f aca="false">IF(SUM($F135)&lt;=0,"",$F135*(1+$G135))</f>
        <v>8</v>
      </c>
      <c r="I135" s="73" t="n">
        <v>21</v>
      </c>
      <c r="J135" s="118" t="n">
        <f aca="false">IF(SUM($H135)&lt;=0,"",100%)</f>
        <v>1</v>
      </c>
      <c r="K135" s="118" t="n">
        <v>46</v>
      </c>
      <c r="L135" s="118" t="n">
        <f aca="false">IF(SUM($K135)=0,"",$K135)</f>
        <v>46</v>
      </c>
      <c r="M135" s="118" t="n">
        <v>7</v>
      </c>
      <c r="N135" s="118" t="n">
        <f aca="false">IF(SUM($M135)=0,"",$M135)</f>
        <v>7</v>
      </c>
      <c r="O135" s="73" t="n">
        <f aca="false">IF(SUM($H135)&lt;=0,"",ROUND(SUM($H135)*SUM($J135),0))</f>
        <v>8</v>
      </c>
      <c r="P135" s="75" t="n">
        <f aca="false">IF(SUM($O135)&lt;=0,"",ROUND(SUM($O135)*SUM($L135),0))</f>
        <v>368</v>
      </c>
      <c r="Q135" s="75" t="n">
        <f aca="false">IF(SUM($O135)&lt;=0,"",ROUND((SUM($O135)-SUM($P135))*SUM($N135),0))</f>
        <v>-2520</v>
      </c>
      <c r="R135" s="75" t="n">
        <f aca="false">IF(SUM($O135)&lt;=0,"",ROUND(SUM($O135)-SUM($P135)-SUM($Q135),0))</f>
        <v>2160</v>
      </c>
      <c r="S135" s="118" t="n">
        <f aca="false">_xlfn.IFNA(INDEX(Cascade!$BA:$BA,MATCH($E135,Cascade!$E:$E,0)),"")</f>
        <v>0.95</v>
      </c>
      <c r="T135" s="75" t="n">
        <f aca="false">IF(SUM($P135)&lt;=0,"",$P135)</f>
        <v>368</v>
      </c>
      <c r="U135" s="75" t="str">
        <f aca="false">IF(SUM($Q135)&lt;=0,"",ROUND($Q135*$S135,0))</f>
        <v/>
      </c>
      <c r="V135" s="73" t="n">
        <f aca="false">_xlfn.IFNA(INDEX(Cascade!$BD:$BD,MATCH($E135,Cascade!$E:$E,0)),"")</f>
        <v>2</v>
      </c>
      <c r="W135" s="118" t="n">
        <f aca="false">IF(OR(SUM($V135)&lt;=0,SUM($Q135)=0),"",SUM($Q135)/$V135)</f>
        <v>-1260</v>
      </c>
      <c r="X135" s="118" t="n">
        <f aca="false">_xlfn.IFNA(INDEX(Cascade!$BL:$BL,MATCH($E135,Cascade!$E:$E,0)),"")</f>
        <v>0.5</v>
      </c>
      <c r="Y135" s="118" t="n">
        <f aca="false">_xlfn.IFNA(INDEX(Cascade!$BM:$BM,MATCH($E135,Cascade!$E:$E,0)),"")</f>
        <v>-31820</v>
      </c>
      <c r="Z135" s="118" t="str">
        <f aca="false">_xlfn.IFNA(INDEX(Cascade!$BN:$BN,MATCH($E135,Cascade!$E:$E,0)),"")</f>
        <v/>
      </c>
      <c r="AA135" s="118" t="str">
        <f aca="false">_xlfn.IFNA(INDEX(Cascade!$BP:$BP,MATCH($E135,Cascade!$E:$E,0)),"")</f>
        <v/>
      </c>
      <c r="AB135" s="118" t="n">
        <f aca="false">_xlfn.IFNA(INDEX(Cascade!$BR:$BR,MATCH($E135,Cascade!$E:$E,0)),"")</f>
        <v>33080.5</v>
      </c>
    </row>
    <row r="136" customFormat="false" ht="15" hidden="false" customHeight="false" outlineLevel="0" collapsed="false">
      <c r="A136" s="0" t="s">
        <v>146</v>
      </c>
      <c r="B136" s="0" t="s">
        <v>45</v>
      </c>
      <c r="C136" s="0" t="s">
        <v>69</v>
      </c>
      <c r="D136" s="0" t="s">
        <v>58</v>
      </c>
      <c r="E136" s="0" t="str">
        <f aca="false">B136&amp;"|"&amp;C136&amp;"|"&amp;D136</f>
        <v>Maseru [#SNU] [#DREAMS] [tKOXiaNhAyJ]|25-29|Male</v>
      </c>
      <c r="F136" s="73" t="n">
        <v>27</v>
      </c>
      <c r="G136" s="118" t="n">
        <f aca="false">IF(SUM($F136)&lt;=0,"",0%)</f>
        <v>0</v>
      </c>
      <c r="H136" s="75" t="n">
        <f aca="false">IF(SUM($F136)&lt;=0,"",$F136*(1+$G136))</f>
        <v>27</v>
      </c>
      <c r="I136" s="73" t="n">
        <v>31</v>
      </c>
      <c r="J136" s="118" t="n">
        <f aca="false">IF(SUM($H136)&lt;=0,"",100%)</f>
        <v>1</v>
      </c>
      <c r="K136" s="118" t="n">
        <v>47</v>
      </c>
      <c r="L136" s="118" t="n">
        <f aca="false">IF(SUM($K136)=0,"",$K136)</f>
        <v>47</v>
      </c>
      <c r="M136" s="118" t="n">
        <v>44</v>
      </c>
      <c r="N136" s="118" t="n">
        <f aca="false">IF(SUM($M136)=0,"",$M136)</f>
        <v>44</v>
      </c>
      <c r="O136" s="73" t="n">
        <f aca="false">IF(SUM($H136)&lt;=0,"",ROUND(SUM($H136)*SUM($J136),0))</f>
        <v>27</v>
      </c>
      <c r="P136" s="75" t="n">
        <f aca="false">IF(SUM($O136)&lt;=0,"",ROUND(SUM($O136)*SUM($L136),0))</f>
        <v>1269</v>
      </c>
      <c r="Q136" s="75" t="n">
        <f aca="false">IF(SUM($O136)&lt;=0,"",ROUND((SUM($O136)-SUM($P136))*SUM($N136),0))</f>
        <v>-54648</v>
      </c>
      <c r="R136" s="75" t="n">
        <f aca="false">IF(SUM($O136)&lt;=0,"",ROUND(SUM($O136)-SUM($P136)-SUM($Q136),0))</f>
        <v>53406</v>
      </c>
      <c r="S136" s="118" t="n">
        <f aca="false">_xlfn.IFNA(INDEX(Cascade!$BA:$BA,MATCH($E136,Cascade!$E:$E,0)),"")</f>
        <v>0.95</v>
      </c>
      <c r="T136" s="75" t="n">
        <f aca="false">IF(SUM($P136)&lt;=0,"",$P136)</f>
        <v>1269</v>
      </c>
      <c r="U136" s="75" t="str">
        <f aca="false">IF(SUM($Q136)&lt;=0,"",ROUND($Q136*$S136,0))</f>
        <v/>
      </c>
      <c r="V136" s="73" t="n">
        <f aca="false">_xlfn.IFNA(INDEX(Cascade!$BD:$BD,MATCH($E136,Cascade!$E:$E,0)),"")</f>
        <v>20</v>
      </c>
      <c r="W136" s="118" t="n">
        <f aca="false">IF(OR(SUM($V136)&lt;=0,SUM($Q136)=0),"",SUM($Q136)/$V136)</f>
        <v>-2732.4</v>
      </c>
      <c r="X136" s="118" t="n">
        <f aca="false">_xlfn.IFNA(INDEX(Cascade!$BL:$BL,MATCH($E136,Cascade!$E:$E,0)),"")</f>
        <v>0.3</v>
      </c>
      <c r="Y136" s="118" t="str">
        <f aca="false">_xlfn.IFNA(INDEX(Cascade!$BM:$BM,MATCH($E136,Cascade!$E:$E,0)),"")</f>
        <v/>
      </c>
      <c r="Z136" s="118" t="str">
        <f aca="false">_xlfn.IFNA(INDEX(Cascade!$BN:$BN,MATCH($E136,Cascade!$E:$E,0)),"")</f>
        <v/>
      </c>
      <c r="AA136" s="118" t="str">
        <f aca="false">_xlfn.IFNA(INDEX(Cascade!$BP:$BP,MATCH($E136,Cascade!$E:$E,0)),"")</f>
        <v/>
      </c>
      <c r="AB136" s="118" t="n">
        <f aca="false">_xlfn.IFNA(INDEX(Cascade!$BR:$BR,MATCH($E136,Cascade!$E:$E,0)),"")</f>
        <v>2733.1</v>
      </c>
    </row>
    <row r="137" customFormat="false" ht="15" hidden="false" customHeight="false" outlineLevel="0" collapsed="false">
      <c r="A137" s="0" t="s">
        <v>146</v>
      </c>
      <c r="B137" s="0" t="s">
        <v>45</v>
      </c>
      <c r="C137" s="0" t="s">
        <v>72</v>
      </c>
      <c r="D137" s="0" t="s">
        <v>56</v>
      </c>
      <c r="E137" s="0" t="str">
        <f aca="false">B137&amp;"|"&amp;C137&amp;"|"&amp;D137</f>
        <v>Maseru [#SNU] [#DREAMS] [tKOXiaNhAyJ]|30-34|Female</v>
      </c>
      <c r="F137" s="73" t="n">
        <v>15</v>
      </c>
      <c r="G137" s="118" t="n">
        <f aca="false">IF(SUM($F137)&lt;=0,"",0%)</f>
        <v>0</v>
      </c>
      <c r="H137" s="75" t="n">
        <f aca="false">IF(SUM($F137)&lt;=0,"",$F137*(1+$G137))</f>
        <v>15</v>
      </c>
      <c r="I137" s="73" t="n">
        <v>37</v>
      </c>
      <c r="J137" s="118" t="n">
        <f aca="false">IF(SUM($H137)&lt;=0,"",100%)</f>
        <v>1</v>
      </c>
      <c r="K137" s="118" t="n">
        <v>28</v>
      </c>
      <c r="L137" s="118" t="n">
        <f aca="false">IF(SUM($K137)=0,"",$K137)</f>
        <v>28</v>
      </c>
      <c r="M137" s="118" t="n">
        <v>4</v>
      </c>
      <c r="N137" s="118" t="n">
        <f aca="false">IF(SUM($M137)=0,"",$M137)</f>
        <v>4</v>
      </c>
      <c r="O137" s="73" t="n">
        <f aca="false">IF(SUM($H137)&lt;=0,"",ROUND(SUM($H137)*SUM($J137),0))</f>
        <v>15</v>
      </c>
      <c r="P137" s="75" t="n">
        <f aca="false">IF(SUM($O137)&lt;=0,"",ROUND(SUM($O137)*SUM($L137),0))</f>
        <v>420</v>
      </c>
      <c r="Q137" s="75" t="n">
        <f aca="false">IF(SUM($O137)&lt;=0,"",ROUND((SUM($O137)-SUM($P137))*SUM($N137),0))</f>
        <v>-1620</v>
      </c>
      <c r="R137" s="75" t="n">
        <f aca="false">IF(SUM($O137)&lt;=0,"",ROUND(SUM($O137)-SUM($P137)-SUM($Q137),0))</f>
        <v>1215</v>
      </c>
      <c r="S137" s="118" t="n">
        <f aca="false">_xlfn.IFNA(INDEX(Cascade!$BA:$BA,MATCH($E137,Cascade!$E:$E,0)),"")</f>
        <v>0.95</v>
      </c>
      <c r="T137" s="75" t="n">
        <f aca="false">IF(SUM($P137)&lt;=0,"",$P137)</f>
        <v>420</v>
      </c>
      <c r="U137" s="75" t="str">
        <f aca="false">IF(SUM($Q137)&lt;=0,"",ROUND($Q137*$S137,0))</f>
        <v/>
      </c>
      <c r="V137" s="73" t="n">
        <f aca="false">_xlfn.IFNA(INDEX(Cascade!$BD:$BD,MATCH($E137,Cascade!$E:$E,0)),"")</f>
        <v>12</v>
      </c>
      <c r="W137" s="118" t="n">
        <f aca="false">IF(OR(SUM($V137)&lt;=0,SUM($Q137)=0),"",SUM($Q137)/$V137)</f>
        <v>-135</v>
      </c>
      <c r="X137" s="118" t="n">
        <f aca="false">_xlfn.IFNA(INDEX(Cascade!$BL:$BL,MATCH($E137,Cascade!$E:$E,0)),"")</f>
        <v>0.333333333333333</v>
      </c>
      <c r="Y137" s="118" t="n">
        <f aca="false">_xlfn.IFNA(INDEX(Cascade!$BM:$BM,MATCH($E137,Cascade!$E:$E,0)),"")</f>
        <v>-2127.5</v>
      </c>
      <c r="Z137" s="118" t="str">
        <f aca="false">_xlfn.IFNA(INDEX(Cascade!$BN:$BN,MATCH($E137,Cascade!$E:$E,0)),"")</f>
        <v/>
      </c>
      <c r="AA137" s="118" t="str">
        <f aca="false">_xlfn.IFNA(INDEX(Cascade!$BP:$BP,MATCH($E137,Cascade!$E:$E,0)),"")</f>
        <v/>
      </c>
      <c r="AB137" s="118" t="n">
        <f aca="false">_xlfn.IFNA(INDEX(Cascade!$BR:$BR,MATCH($E137,Cascade!$E:$E,0)),"")</f>
        <v>2263.16666666667</v>
      </c>
    </row>
    <row r="138" customFormat="false" ht="15" hidden="false" customHeight="false" outlineLevel="0" collapsed="false">
      <c r="A138" s="0" t="s">
        <v>146</v>
      </c>
      <c r="B138" s="0" t="s">
        <v>45</v>
      </c>
      <c r="C138" s="0" t="s">
        <v>72</v>
      </c>
      <c r="D138" s="0" t="s">
        <v>58</v>
      </c>
      <c r="E138" s="0" t="str">
        <f aca="false">B138&amp;"|"&amp;C138&amp;"|"&amp;D138</f>
        <v>Maseru [#SNU] [#DREAMS] [tKOXiaNhAyJ]|30-34|Male</v>
      </c>
      <c r="F138" s="73" t="n">
        <v>38</v>
      </c>
      <c r="G138" s="118" t="n">
        <f aca="false">IF(SUM($F138)&lt;=0,"",0%)</f>
        <v>0</v>
      </c>
      <c r="H138" s="75" t="n">
        <f aca="false">IF(SUM($F138)&lt;=0,"",$F138*(1+$G138))</f>
        <v>38</v>
      </c>
      <c r="I138" s="73" t="n">
        <v>45</v>
      </c>
      <c r="J138" s="118" t="n">
        <f aca="false">IF(SUM($H138)&lt;=0,"",100%)</f>
        <v>1</v>
      </c>
      <c r="K138" s="118" t="n">
        <v>34</v>
      </c>
      <c r="L138" s="118" t="n">
        <f aca="false">IF(SUM($K138)=0,"",$K138)</f>
        <v>34</v>
      </c>
      <c r="M138" s="118" t="n">
        <v>46</v>
      </c>
      <c r="N138" s="118" t="n">
        <f aca="false">IF(SUM($M138)=0,"",$M138)</f>
        <v>46</v>
      </c>
      <c r="O138" s="73" t="n">
        <f aca="false">IF(SUM($H138)&lt;=0,"",ROUND(SUM($H138)*SUM($J138),0))</f>
        <v>38</v>
      </c>
      <c r="P138" s="75" t="n">
        <f aca="false">IF(SUM($O138)&lt;=0,"",ROUND(SUM($O138)*SUM($L138),0))</f>
        <v>1292</v>
      </c>
      <c r="Q138" s="75" t="n">
        <f aca="false">IF(SUM($O138)&lt;=0,"",ROUND((SUM($O138)-SUM($P138))*SUM($N138),0))</f>
        <v>-57684</v>
      </c>
      <c r="R138" s="75" t="n">
        <f aca="false">IF(SUM($O138)&lt;=0,"",ROUND(SUM($O138)-SUM($P138)-SUM($Q138),0))</f>
        <v>56430</v>
      </c>
      <c r="S138" s="118" t="n">
        <f aca="false">_xlfn.IFNA(INDEX(Cascade!$BA:$BA,MATCH($E138,Cascade!$E:$E,0)),"")</f>
        <v>0.95</v>
      </c>
      <c r="T138" s="75" t="n">
        <f aca="false">IF(SUM($P138)&lt;=0,"",$P138)</f>
        <v>1292</v>
      </c>
      <c r="U138" s="75" t="str">
        <f aca="false">IF(SUM($Q138)&lt;=0,"",ROUND($Q138*$S138,0))</f>
        <v/>
      </c>
      <c r="V138" s="73" t="n">
        <f aca="false">_xlfn.IFNA(INDEX(Cascade!$BD:$BD,MATCH($E138,Cascade!$E:$E,0)),"")</f>
        <v>21</v>
      </c>
      <c r="W138" s="118" t="n">
        <f aca="false">IF(OR(SUM($V138)&lt;=0,SUM($Q138)=0),"",SUM($Q138)/$V138)</f>
        <v>-2746.85714285714</v>
      </c>
      <c r="X138" s="118" t="n">
        <f aca="false">_xlfn.IFNA(INDEX(Cascade!$BL:$BL,MATCH($E138,Cascade!$E:$E,0)),"")</f>
        <v>0.285714285714286</v>
      </c>
      <c r="Y138" s="118" t="str">
        <f aca="false">_xlfn.IFNA(INDEX(Cascade!$BM:$BM,MATCH($E138,Cascade!$E:$E,0)),"")</f>
        <v/>
      </c>
      <c r="Z138" s="118" t="str">
        <f aca="false">_xlfn.IFNA(INDEX(Cascade!$BN:$BN,MATCH($E138,Cascade!$E:$E,0)),"")</f>
        <v/>
      </c>
      <c r="AA138" s="118" t="str">
        <f aca="false">_xlfn.IFNA(INDEX(Cascade!$BP:$BP,MATCH($E138,Cascade!$E:$E,0)),"")</f>
        <v/>
      </c>
      <c r="AB138" s="118" t="n">
        <f aca="false">_xlfn.IFNA(INDEX(Cascade!$BR:$BR,MATCH($E138,Cascade!$E:$E,0)),"")</f>
        <v>2747.57142857143</v>
      </c>
    </row>
    <row r="139" customFormat="false" ht="15" hidden="false" customHeight="false" outlineLevel="0" collapsed="false">
      <c r="A139" s="0" t="s">
        <v>146</v>
      </c>
      <c r="B139" s="0" t="s">
        <v>45</v>
      </c>
      <c r="C139" s="0" t="s">
        <v>75</v>
      </c>
      <c r="D139" s="0" t="s">
        <v>56</v>
      </c>
      <c r="E139" s="0" t="str">
        <f aca="false">B139&amp;"|"&amp;C139&amp;"|"&amp;D139</f>
        <v>Maseru [#SNU] [#DREAMS] [tKOXiaNhAyJ]|35-39|Female</v>
      </c>
      <c r="F139" s="73" t="n">
        <v>36</v>
      </c>
      <c r="G139" s="118" t="n">
        <f aca="false">IF(SUM($F139)&lt;=0,"",0%)</f>
        <v>0</v>
      </c>
      <c r="H139" s="75" t="n">
        <f aca="false">IF(SUM($F139)&lt;=0,"",$F139*(1+$G139))</f>
        <v>36</v>
      </c>
      <c r="I139" s="73" t="n">
        <v>2</v>
      </c>
      <c r="J139" s="118" t="n">
        <f aca="false">IF(SUM($H139)&lt;=0,"",100%)</f>
        <v>1</v>
      </c>
      <c r="K139" s="118" t="n">
        <v>19</v>
      </c>
      <c r="L139" s="118" t="n">
        <f aca="false">IF(SUM($K139)=0,"",$K139)</f>
        <v>19</v>
      </c>
      <c r="M139" s="118" t="n">
        <v>0</v>
      </c>
      <c r="N139" s="118" t="str">
        <f aca="false">IF(SUM($M139)=0,"",$M139)</f>
        <v/>
      </c>
      <c r="O139" s="73" t="n">
        <f aca="false">IF(SUM($H139)&lt;=0,"",ROUND(SUM($H139)*SUM($J139),0))</f>
        <v>36</v>
      </c>
      <c r="P139" s="75" t="n">
        <f aca="false">IF(SUM($O139)&lt;=0,"",ROUND(SUM($O139)*SUM($L139),0))</f>
        <v>684</v>
      </c>
      <c r="Q139" s="75" t="n">
        <f aca="false">IF(SUM($O139)&lt;=0,"",ROUND((SUM($O139)-SUM($P139))*SUM($N139),0))</f>
        <v>-0</v>
      </c>
      <c r="R139" s="75" t="n">
        <f aca="false">IF(SUM($O139)&lt;=0,"",ROUND(SUM($O139)-SUM($P139)-SUM($Q139),0))</f>
        <v>-648</v>
      </c>
      <c r="S139" s="118" t="n">
        <f aca="false">_xlfn.IFNA(INDEX(Cascade!$BA:$BA,MATCH($E139,Cascade!$E:$E,0)),"")</f>
        <v>0.95</v>
      </c>
      <c r="T139" s="75" t="n">
        <f aca="false">IF(SUM($P139)&lt;=0,"",$P139)</f>
        <v>684</v>
      </c>
      <c r="U139" s="75" t="str">
        <f aca="false">IF(SUM($Q139)&lt;=0,"",ROUND($Q139*$S139,0))</f>
        <v/>
      </c>
      <c r="V139" s="73" t="n">
        <f aca="false">_xlfn.IFNA(INDEX(Cascade!$BD:$BD,MATCH($E139,Cascade!$E:$E,0)),"")</f>
        <v>2</v>
      </c>
      <c r="W139" s="118" t="str">
        <f aca="false">IF(OR(SUM($V139)&lt;=0,SUM($Q139)=0),"",SUM($Q139)/$V139)</f>
        <v/>
      </c>
      <c r="X139" s="118" t="n">
        <f aca="false">_xlfn.IFNA(INDEX(Cascade!$BL:$BL,MATCH($E139,Cascade!$E:$E,0)),"")</f>
        <v>1</v>
      </c>
      <c r="Y139" s="118" t="n">
        <f aca="false">_xlfn.IFNA(INDEX(Cascade!$BM:$BM,MATCH($E139,Cascade!$E:$E,0)),"")</f>
        <v>-4662</v>
      </c>
      <c r="Z139" s="118" t="str">
        <f aca="false">_xlfn.IFNA(INDEX(Cascade!$BN:$BN,MATCH($E139,Cascade!$E:$E,0)),"")</f>
        <v/>
      </c>
      <c r="AA139" s="118" t="str">
        <f aca="false">_xlfn.IFNA(INDEX(Cascade!$BP:$BP,MATCH($E139,Cascade!$E:$E,0)),"")</f>
        <v/>
      </c>
      <c r="AB139" s="118" t="n">
        <f aca="false">_xlfn.IFNA(INDEX(Cascade!$BR:$BR,MATCH($E139,Cascade!$E:$E,0)),"")</f>
        <v>4662</v>
      </c>
    </row>
    <row r="140" customFormat="false" ht="15" hidden="false" customHeight="false" outlineLevel="0" collapsed="false">
      <c r="A140" s="0" t="s">
        <v>146</v>
      </c>
      <c r="B140" s="0" t="s">
        <v>45</v>
      </c>
      <c r="C140" s="0" t="s">
        <v>75</v>
      </c>
      <c r="D140" s="0" t="s">
        <v>58</v>
      </c>
      <c r="E140" s="0" t="str">
        <f aca="false">B140&amp;"|"&amp;C140&amp;"|"&amp;D140</f>
        <v>Maseru [#SNU] [#DREAMS] [tKOXiaNhAyJ]|35-39|Male</v>
      </c>
      <c r="F140" s="73" t="n">
        <v>15</v>
      </c>
      <c r="G140" s="118" t="n">
        <f aca="false">IF(SUM($F140)&lt;=0,"",0%)</f>
        <v>0</v>
      </c>
      <c r="H140" s="75" t="n">
        <f aca="false">IF(SUM($F140)&lt;=0,"",$F140*(1+$G140))</f>
        <v>15</v>
      </c>
      <c r="I140" s="73" t="n">
        <v>31</v>
      </c>
      <c r="J140" s="118" t="n">
        <f aca="false">IF(SUM($H140)&lt;=0,"",100%)</f>
        <v>1</v>
      </c>
      <c r="K140" s="118" t="n">
        <v>38</v>
      </c>
      <c r="L140" s="118" t="n">
        <f aca="false">IF(SUM($K140)=0,"",$K140)</f>
        <v>38</v>
      </c>
      <c r="M140" s="118" t="n">
        <v>34</v>
      </c>
      <c r="N140" s="118" t="n">
        <f aca="false">IF(SUM($M140)=0,"",$M140)</f>
        <v>34</v>
      </c>
      <c r="O140" s="73" t="n">
        <f aca="false">IF(SUM($H140)&lt;=0,"",ROUND(SUM($H140)*SUM($J140),0))</f>
        <v>15</v>
      </c>
      <c r="P140" s="75" t="n">
        <f aca="false">IF(SUM($O140)&lt;=0,"",ROUND(SUM($O140)*SUM($L140),0))</f>
        <v>570</v>
      </c>
      <c r="Q140" s="75" t="n">
        <f aca="false">IF(SUM($O140)&lt;=0,"",ROUND((SUM($O140)-SUM($P140))*SUM($N140),0))</f>
        <v>-18870</v>
      </c>
      <c r="R140" s="75" t="n">
        <f aca="false">IF(SUM($O140)&lt;=0,"",ROUND(SUM($O140)-SUM($P140)-SUM($Q140),0))</f>
        <v>18315</v>
      </c>
      <c r="S140" s="118" t="n">
        <f aca="false">_xlfn.IFNA(INDEX(Cascade!$BA:$BA,MATCH($E140,Cascade!$E:$E,0)),"")</f>
        <v>0.95</v>
      </c>
      <c r="T140" s="75" t="n">
        <f aca="false">IF(SUM($P140)&lt;=0,"",$P140)</f>
        <v>570</v>
      </c>
      <c r="U140" s="75" t="str">
        <f aca="false">IF(SUM($Q140)&lt;=0,"",ROUND($Q140*$S140,0))</f>
        <v/>
      </c>
      <c r="V140" s="73" t="n">
        <f aca="false">_xlfn.IFNA(INDEX(Cascade!$BD:$BD,MATCH($E140,Cascade!$E:$E,0)),"")</f>
        <v>18</v>
      </c>
      <c r="W140" s="118" t="n">
        <f aca="false">IF(OR(SUM($V140)&lt;=0,SUM($Q140)=0),"",SUM($Q140)/$V140)</f>
        <v>-1048.33333333333</v>
      </c>
      <c r="X140" s="118" t="n">
        <f aca="false">_xlfn.IFNA(INDEX(Cascade!$BL:$BL,MATCH($E140,Cascade!$E:$E,0)),"")</f>
        <v>0.277777777777778</v>
      </c>
      <c r="Y140" s="118" t="str">
        <f aca="false">_xlfn.IFNA(INDEX(Cascade!$BM:$BM,MATCH($E140,Cascade!$E:$E,0)),"")</f>
        <v/>
      </c>
      <c r="Z140" s="118" t="str">
        <f aca="false">_xlfn.IFNA(INDEX(Cascade!$BN:$BN,MATCH($E140,Cascade!$E:$E,0)),"")</f>
        <v/>
      </c>
      <c r="AA140" s="118" t="str">
        <f aca="false">_xlfn.IFNA(INDEX(Cascade!$BP:$BP,MATCH($E140,Cascade!$E:$E,0)),"")</f>
        <v/>
      </c>
      <c r="AB140" s="118" t="n">
        <f aca="false">_xlfn.IFNA(INDEX(Cascade!$BR:$BR,MATCH($E140,Cascade!$E:$E,0)),"")</f>
        <v>1049.05555555556</v>
      </c>
    </row>
    <row r="141" customFormat="false" ht="15" hidden="false" customHeight="false" outlineLevel="0" collapsed="false">
      <c r="A141" s="0" t="s">
        <v>146</v>
      </c>
      <c r="B141" s="0" t="s">
        <v>45</v>
      </c>
      <c r="C141" s="0" t="s">
        <v>77</v>
      </c>
      <c r="D141" s="0" t="s">
        <v>56</v>
      </c>
      <c r="E141" s="0" t="str">
        <f aca="false">B141&amp;"|"&amp;C141&amp;"|"&amp;D141</f>
        <v>Maseru [#SNU] [#DREAMS] [tKOXiaNhAyJ]|40-44|Female</v>
      </c>
      <c r="F141" s="73" t="n">
        <v>44</v>
      </c>
      <c r="G141" s="118" t="n">
        <f aca="false">IF(SUM($F141)&lt;=0,"",0%)</f>
        <v>0</v>
      </c>
      <c r="H141" s="75" t="n">
        <f aca="false">IF(SUM($F141)&lt;=0,"",$F141*(1+$G141))</f>
        <v>44</v>
      </c>
      <c r="I141" s="73" t="n">
        <v>13</v>
      </c>
      <c r="J141" s="118" t="n">
        <f aca="false">IF(SUM($H141)&lt;=0,"",100%)</f>
        <v>1</v>
      </c>
      <c r="K141" s="118" t="n">
        <v>8</v>
      </c>
      <c r="L141" s="118" t="n">
        <f aca="false">IF(SUM($K141)=0,"",$K141)</f>
        <v>8</v>
      </c>
      <c r="M141" s="118" t="n">
        <v>22</v>
      </c>
      <c r="N141" s="118" t="n">
        <f aca="false">IF(SUM($M141)=0,"",$M141)</f>
        <v>22</v>
      </c>
      <c r="O141" s="73" t="n">
        <f aca="false">IF(SUM($H141)&lt;=0,"",ROUND(SUM($H141)*SUM($J141),0))</f>
        <v>44</v>
      </c>
      <c r="P141" s="75" t="n">
        <f aca="false">IF(SUM($O141)&lt;=0,"",ROUND(SUM($O141)*SUM($L141),0))</f>
        <v>352</v>
      </c>
      <c r="Q141" s="75" t="n">
        <f aca="false">IF(SUM($O141)&lt;=0,"",ROUND((SUM($O141)-SUM($P141))*SUM($N141),0))</f>
        <v>-6776</v>
      </c>
      <c r="R141" s="75" t="n">
        <f aca="false">IF(SUM($O141)&lt;=0,"",ROUND(SUM($O141)-SUM($P141)-SUM($Q141),0))</f>
        <v>6468</v>
      </c>
      <c r="S141" s="118" t="n">
        <f aca="false">_xlfn.IFNA(INDEX(Cascade!$BA:$BA,MATCH($E141,Cascade!$E:$E,0)),"")</f>
        <v>0.95</v>
      </c>
      <c r="T141" s="75" t="n">
        <f aca="false">IF(SUM($P141)&lt;=0,"",$P141)</f>
        <v>352</v>
      </c>
      <c r="U141" s="75" t="str">
        <f aca="false">IF(SUM($Q141)&lt;=0,"",ROUND($Q141*$S141,0))</f>
        <v/>
      </c>
      <c r="V141" s="73" t="str">
        <f aca="false">_xlfn.IFNA(INDEX(Cascade!$BD:$BD,MATCH($E141,Cascade!$E:$E,0)),"")</f>
        <v/>
      </c>
      <c r="W141" s="118" t="str">
        <f aca="false">IF(OR(SUM($V141)&lt;=0,SUM($Q141)=0),"",SUM($Q141)/$V141)</f>
        <v/>
      </c>
      <c r="X141" s="118" t="str">
        <f aca="false">_xlfn.IFNA(INDEX(Cascade!$BL:$BL,MATCH($E141,Cascade!$E:$E,0)),"")</f>
        <v/>
      </c>
      <c r="Y141" s="118" t="str">
        <f aca="false">_xlfn.IFNA(INDEX(Cascade!$BM:$BM,MATCH($E141,Cascade!$E:$E,0)),"")</f>
        <v/>
      </c>
      <c r="Z141" s="118" t="str">
        <f aca="false">_xlfn.IFNA(INDEX(Cascade!$BN:$BN,MATCH($E141,Cascade!$E:$E,0)),"")</f>
        <v/>
      </c>
      <c r="AA141" s="118" t="str">
        <f aca="false">_xlfn.IFNA(INDEX(Cascade!$BP:$BP,MATCH($E141,Cascade!$E:$E,0)),"")</f>
        <v/>
      </c>
      <c r="AB141" s="118" t="str">
        <f aca="false">_xlfn.IFNA(INDEX(Cascade!$BR:$BR,MATCH($E141,Cascade!$E:$E,0)),"")</f>
        <v/>
      </c>
    </row>
    <row r="142" customFormat="false" ht="15" hidden="false" customHeight="false" outlineLevel="0" collapsed="false">
      <c r="A142" s="0" t="s">
        <v>146</v>
      </c>
      <c r="B142" s="0" t="s">
        <v>45</v>
      </c>
      <c r="C142" s="0" t="s">
        <v>77</v>
      </c>
      <c r="D142" s="0" t="s">
        <v>58</v>
      </c>
      <c r="E142" s="0" t="str">
        <f aca="false">B142&amp;"|"&amp;C142&amp;"|"&amp;D142</f>
        <v>Maseru [#SNU] [#DREAMS] [tKOXiaNhAyJ]|40-44|Male</v>
      </c>
      <c r="F142" s="73" t="n">
        <v>26</v>
      </c>
      <c r="G142" s="118" t="n">
        <f aca="false">IF(SUM($F142)&lt;=0,"",0%)</f>
        <v>0</v>
      </c>
      <c r="H142" s="75" t="n">
        <f aca="false">IF(SUM($F142)&lt;=0,"",$F142*(1+$G142))</f>
        <v>26</v>
      </c>
      <c r="I142" s="73" t="n">
        <v>48</v>
      </c>
      <c r="J142" s="118" t="n">
        <f aca="false">IF(SUM($H142)&lt;=0,"",100%)</f>
        <v>1</v>
      </c>
      <c r="K142" s="118" t="n">
        <v>2</v>
      </c>
      <c r="L142" s="118" t="n">
        <f aca="false">IF(SUM($K142)=0,"",$K142)</f>
        <v>2</v>
      </c>
      <c r="M142" s="118" t="n">
        <v>44</v>
      </c>
      <c r="N142" s="118" t="n">
        <f aca="false">IF(SUM($M142)=0,"",$M142)</f>
        <v>44</v>
      </c>
      <c r="O142" s="73" t="n">
        <f aca="false">IF(SUM($H142)&lt;=0,"",ROUND(SUM($H142)*SUM($J142),0))</f>
        <v>26</v>
      </c>
      <c r="P142" s="75" t="n">
        <f aca="false">IF(SUM($O142)&lt;=0,"",ROUND(SUM($O142)*SUM($L142),0))</f>
        <v>52</v>
      </c>
      <c r="Q142" s="75" t="n">
        <f aca="false">IF(SUM($O142)&lt;=0,"",ROUND((SUM($O142)-SUM($P142))*SUM($N142),0))</f>
        <v>-1144</v>
      </c>
      <c r="R142" s="75" t="n">
        <f aca="false">IF(SUM($O142)&lt;=0,"",ROUND(SUM($O142)-SUM($P142)-SUM($Q142),0))</f>
        <v>1118</v>
      </c>
      <c r="S142" s="118" t="n">
        <f aca="false">_xlfn.IFNA(INDEX(Cascade!$BA:$BA,MATCH($E142,Cascade!$E:$E,0)),"")</f>
        <v>0.95</v>
      </c>
      <c r="T142" s="75" t="n">
        <f aca="false">IF(SUM($P142)&lt;=0,"",$P142)</f>
        <v>52</v>
      </c>
      <c r="U142" s="75" t="str">
        <f aca="false">IF(SUM($Q142)&lt;=0,"",ROUND($Q142*$S142,0))</f>
        <v/>
      </c>
      <c r="V142" s="73" t="n">
        <f aca="false">_xlfn.IFNA(INDEX(Cascade!$BD:$BD,MATCH($E142,Cascade!$E:$E,0)),"")</f>
        <v>5</v>
      </c>
      <c r="W142" s="118" t="n">
        <f aca="false">IF(OR(SUM($V142)&lt;=0,SUM($Q142)=0),"",SUM($Q142)/$V142)</f>
        <v>-228.8</v>
      </c>
      <c r="X142" s="118" t="n">
        <f aca="false">_xlfn.IFNA(INDEX(Cascade!$BL:$BL,MATCH($E142,Cascade!$E:$E,0)),"")</f>
        <v>0.8</v>
      </c>
      <c r="Y142" s="118" t="str">
        <f aca="false">_xlfn.IFNA(INDEX(Cascade!$BM:$BM,MATCH($E142,Cascade!$E:$E,0)),"")</f>
        <v/>
      </c>
      <c r="Z142" s="118" t="str">
        <f aca="false">_xlfn.IFNA(INDEX(Cascade!$BN:$BN,MATCH($E142,Cascade!$E:$E,0)),"")</f>
        <v/>
      </c>
      <c r="AA142" s="118" t="str">
        <f aca="false">_xlfn.IFNA(INDEX(Cascade!$BP:$BP,MATCH($E142,Cascade!$E:$E,0)),"")</f>
        <v/>
      </c>
      <c r="AB142" s="118" t="n">
        <f aca="false">_xlfn.IFNA(INDEX(Cascade!$BR:$BR,MATCH($E142,Cascade!$E:$E,0)),"")</f>
        <v>229</v>
      </c>
    </row>
    <row r="143" customFormat="false" ht="15" hidden="false" customHeight="false" outlineLevel="0" collapsed="false">
      <c r="A143" s="0" t="s">
        <v>146</v>
      </c>
      <c r="B143" s="0" t="s">
        <v>45</v>
      </c>
      <c r="C143" s="0" t="s">
        <v>80</v>
      </c>
      <c r="D143" s="0" t="s">
        <v>56</v>
      </c>
      <c r="E143" s="0" t="str">
        <f aca="false">B143&amp;"|"&amp;C143&amp;"|"&amp;D143</f>
        <v>Maseru [#SNU] [#DREAMS] [tKOXiaNhAyJ]|45-49|Female</v>
      </c>
      <c r="F143" s="73" t="n">
        <v>12</v>
      </c>
      <c r="G143" s="118" t="n">
        <f aca="false">IF(SUM($F143)&lt;=0,"",0%)</f>
        <v>0</v>
      </c>
      <c r="H143" s="75" t="n">
        <f aca="false">IF(SUM($F143)&lt;=0,"",$F143*(1+$G143))</f>
        <v>12</v>
      </c>
      <c r="I143" s="73" t="n">
        <v>0</v>
      </c>
      <c r="J143" s="118" t="n">
        <f aca="false">IF(SUM($H143)&lt;=0,"",100%)</f>
        <v>1</v>
      </c>
      <c r="K143" s="118" t="n">
        <v>8</v>
      </c>
      <c r="L143" s="118" t="n">
        <f aca="false">IF(SUM($K143)=0,"",$K143)</f>
        <v>8</v>
      </c>
      <c r="M143" s="118" t="n">
        <v>7</v>
      </c>
      <c r="N143" s="118" t="n">
        <f aca="false">IF(SUM($M143)=0,"",$M143)</f>
        <v>7</v>
      </c>
      <c r="O143" s="73" t="n">
        <f aca="false">IF(SUM($H143)&lt;=0,"",ROUND(SUM($H143)*SUM($J143),0))</f>
        <v>12</v>
      </c>
      <c r="P143" s="75" t="n">
        <f aca="false">IF(SUM($O143)&lt;=0,"",ROUND(SUM($O143)*SUM($L143),0))</f>
        <v>96</v>
      </c>
      <c r="Q143" s="75" t="n">
        <f aca="false">IF(SUM($O143)&lt;=0,"",ROUND((SUM($O143)-SUM($P143))*SUM($N143),0))</f>
        <v>-588</v>
      </c>
      <c r="R143" s="75" t="n">
        <f aca="false">IF(SUM($O143)&lt;=0,"",ROUND(SUM($O143)-SUM($P143)-SUM($Q143),0))</f>
        <v>504</v>
      </c>
      <c r="S143" s="118" t="n">
        <f aca="false">_xlfn.IFNA(INDEX(Cascade!$BA:$BA,MATCH($E143,Cascade!$E:$E,0)),"")</f>
        <v>0.95</v>
      </c>
      <c r="T143" s="75" t="n">
        <f aca="false">IF(SUM($P143)&lt;=0,"",$P143)</f>
        <v>96</v>
      </c>
      <c r="U143" s="75" t="str">
        <f aca="false">IF(SUM($Q143)&lt;=0,"",ROUND($Q143*$S143,0))</f>
        <v/>
      </c>
      <c r="V143" s="73" t="str">
        <f aca="false">_xlfn.IFNA(INDEX(Cascade!$BD:$BD,MATCH($E143,Cascade!$E:$E,0)),"")</f>
        <v/>
      </c>
      <c r="W143" s="118" t="str">
        <f aca="false">IF(OR(SUM($V143)&lt;=0,SUM($Q143)=0),"",SUM($Q143)/$V143)</f>
        <v/>
      </c>
      <c r="X143" s="118" t="str">
        <f aca="false">_xlfn.IFNA(INDEX(Cascade!$BL:$BL,MATCH($E143,Cascade!$E:$E,0)),"")</f>
        <v/>
      </c>
      <c r="Y143" s="118" t="str">
        <f aca="false">_xlfn.IFNA(INDEX(Cascade!$BM:$BM,MATCH($E143,Cascade!$E:$E,0)),"")</f>
        <v/>
      </c>
      <c r="Z143" s="118" t="str">
        <f aca="false">_xlfn.IFNA(INDEX(Cascade!$BN:$BN,MATCH($E143,Cascade!$E:$E,0)),"")</f>
        <v/>
      </c>
      <c r="AA143" s="118" t="str">
        <f aca="false">_xlfn.IFNA(INDEX(Cascade!$BP:$BP,MATCH($E143,Cascade!$E:$E,0)),"")</f>
        <v/>
      </c>
      <c r="AB143" s="118" t="str">
        <f aca="false">_xlfn.IFNA(INDEX(Cascade!$BR:$BR,MATCH($E143,Cascade!$E:$E,0)),"")</f>
        <v/>
      </c>
    </row>
    <row r="144" customFormat="false" ht="15" hidden="false" customHeight="false" outlineLevel="0" collapsed="false">
      <c r="A144" s="0" t="s">
        <v>146</v>
      </c>
      <c r="B144" s="0" t="s">
        <v>45</v>
      </c>
      <c r="C144" s="0" t="s">
        <v>80</v>
      </c>
      <c r="D144" s="0" t="s">
        <v>58</v>
      </c>
      <c r="E144" s="0" t="str">
        <f aca="false">B144&amp;"|"&amp;C144&amp;"|"&amp;D144</f>
        <v>Maseru [#SNU] [#DREAMS] [tKOXiaNhAyJ]|45-49|Male</v>
      </c>
      <c r="F144" s="73" t="n">
        <v>43</v>
      </c>
      <c r="G144" s="118" t="n">
        <f aca="false">IF(SUM($F144)&lt;=0,"",0%)</f>
        <v>0</v>
      </c>
      <c r="H144" s="75" t="n">
        <f aca="false">IF(SUM($F144)&lt;=0,"",$F144*(1+$G144))</f>
        <v>43</v>
      </c>
      <c r="I144" s="73" t="n">
        <v>24</v>
      </c>
      <c r="J144" s="118" t="n">
        <f aca="false">IF(SUM($H144)&lt;=0,"",100%)</f>
        <v>1</v>
      </c>
      <c r="K144" s="118" t="n">
        <v>10</v>
      </c>
      <c r="L144" s="118" t="n">
        <f aca="false">IF(SUM($K144)=0,"",$K144)</f>
        <v>10</v>
      </c>
      <c r="M144" s="118" t="n">
        <v>22</v>
      </c>
      <c r="N144" s="118" t="n">
        <f aca="false">IF(SUM($M144)=0,"",$M144)</f>
        <v>22</v>
      </c>
      <c r="O144" s="73" t="n">
        <f aca="false">IF(SUM($H144)&lt;=0,"",ROUND(SUM($H144)*SUM($J144),0))</f>
        <v>43</v>
      </c>
      <c r="P144" s="75" t="n">
        <f aca="false">IF(SUM($O144)&lt;=0,"",ROUND(SUM($O144)*SUM($L144),0))</f>
        <v>430</v>
      </c>
      <c r="Q144" s="75" t="n">
        <f aca="false">IF(SUM($O144)&lt;=0,"",ROUND((SUM($O144)-SUM($P144))*SUM($N144),0))</f>
        <v>-8514</v>
      </c>
      <c r="R144" s="75" t="n">
        <f aca="false">IF(SUM($O144)&lt;=0,"",ROUND(SUM($O144)-SUM($P144)-SUM($Q144),0))</f>
        <v>8127</v>
      </c>
      <c r="S144" s="118" t="n">
        <f aca="false">_xlfn.IFNA(INDEX(Cascade!$BA:$BA,MATCH($E144,Cascade!$E:$E,0)),"")</f>
        <v>0.95</v>
      </c>
      <c r="T144" s="75" t="n">
        <f aca="false">IF(SUM($P144)&lt;=0,"",$P144)</f>
        <v>430</v>
      </c>
      <c r="U144" s="75" t="str">
        <f aca="false">IF(SUM($Q144)&lt;=0,"",ROUND($Q144*$S144,0))</f>
        <v/>
      </c>
      <c r="V144" s="73" t="n">
        <f aca="false">_xlfn.IFNA(INDEX(Cascade!$BD:$BD,MATCH($E144,Cascade!$E:$E,0)),"")</f>
        <v>7</v>
      </c>
      <c r="W144" s="118" t="n">
        <f aca="false">IF(OR(SUM($V144)&lt;=0,SUM($Q144)=0),"",SUM($Q144)/$V144)</f>
        <v>-1216.28571428571</v>
      </c>
      <c r="X144" s="118" t="n">
        <f aca="false">_xlfn.IFNA(INDEX(Cascade!$BL:$BL,MATCH($E144,Cascade!$E:$E,0)),"")</f>
        <v>0.571428571428571</v>
      </c>
      <c r="Y144" s="118" t="str">
        <f aca="false">_xlfn.IFNA(INDEX(Cascade!$BM:$BM,MATCH($E144,Cascade!$E:$E,0)),"")</f>
        <v/>
      </c>
      <c r="Z144" s="118" t="str">
        <f aca="false">_xlfn.IFNA(INDEX(Cascade!$BN:$BN,MATCH($E144,Cascade!$E:$E,0)),"")</f>
        <v/>
      </c>
      <c r="AA144" s="118" t="str">
        <f aca="false">_xlfn.IFNA(INDEX(Cascade!$BP:$BP,MATCH($E144,Cascade!$E:$E,0)),"")</f>
        <v/>
      </c>
      <c r="AB144" s="118" t="n">
        <f aca="false">_xlfn.IFNA(INDEX(Cascade!$BR:$BR,MATCH($E144,Cascade!$E:$E,0)),"")</f>
        <v>1216.71428571429</v>
      </c>
    </row>
    <row r="145" customFormat="false" ht="15" hidden="false" customHeight="false" outlineLevel="0" collapsed="false">
      <c r="A145" s="0" t="s">
        <v>146</v>
      </c>
      <c r="B145" s="0" t="s">
        <v>45</v>
      </c>
      <c r="C145" s="0" t="s">
        <v>86</v>
      </c>
      <c r="D145" s="0" t="s">
        <v>56</v>
      </c>
      <c r="E145" s="0" t="str">
        <f aca="false">B145&amp;"|"&amp;C145&amp;"|"&amp;D145</f>
        <v>Maseru [#SNU] [#DREAMS] [tKOXiaNhAyJ]|50+|Female</v>
      </c>
      <c r="F145" s="73" t="n">
        <v>19</v>
      </c>
      <c r="G145" s="118" t="n">
        <f aca="false">IF(SUM($F145)&lt;=0,"",0%)</f>
        <v>0</v>
      </c>
      <c r="H145" s="75" t="n">
        <f aca="false">IF(SUM($F145)&lt;=0,"",$F145*(1+$G145))</f>
        <v>19</v>
      </c>
      <c r="I145" s="73" t="n">
        <v>35</v>
      </c>
      <c r="J145" s="118" t="n">
        <f aca="false">IF(SUM($H145)&lt;=0,"",100%)</f>
        <v>1</v>
      </c>
      <c r="K145" s="118" t="n">
        <v>3</v>
      </c>
      <c r="L145" s="118" t="n">
        <f aca="false">IF(SUM($K145)=0,"",$K145)</f>
        <v>3</v>
      </c>
      <c r="M145" s="118" t="n">
        <v>47</v>
      </c>
      <c r="N145" s="118" t="n">
        <f aca="false">IF(SUM($M145)=0,"",$M145)</f>
        <v>47</v>
      </c>
      <c r="O145" s="73" t="n">
        <f aca="false">IF(SUM($H145)&lt;=0,"",ROUND(SUM($H145)*SUM($J145),0))</f>
        <v>19</v>
      </c>
      <c r="P145" s="75" t="n">
        <f aca="false">IF(SUM($O145)&lt;=0,"",ROUND(SUM($O145)*SUM($L145),0))</f>
        <v>57</v>
      </c>
      <c r="Q145" s="75" t="n">
        <f aca="false">IF(SUM($O145)&lt;=0,"",ROUND((SUM($O145)-SUM($P145))*SUM($N145),0))</f>
        <v>-1786</v>
      </c>
      <c r="R145" s="75" t="n">
        <f aca="false">IF(SUM($O145)&lt;=0,"",ROUND(SUM($O145)-SUM($P145)-SUM($Q145),0))</f>
        <v>1748</v>
      </c>
      <c r="S145" s="118" t="n">
        <f aca="false">_xlfn.IFNA(INDEX(Cascade!$BA:$BA,MATCH($E145,Cascade!$E:$E,0)),"")</f>
        <v>0.95</v>
      </c>
      <c r="T145" s="75" t="n">
        <f aca="false">IF(SUM($P145)&lt;=0,"",$P145)</f>
        <v>57</v>
      </c>
      <c r="U145" s="75" t="str">
        <f aca="false">IF(SUM($Q145)&lt;=0,"",ROUND($Q145*$S145,0))</f>
        <v/>
      </c>
      <c r="V145" s="73" t="n">
        <f aca="false">_xlfn.IFNA(INDEX(Cascade!$BD:$BD,MATCH($E145,Cascade!$E:$E,0)),"")</f>
        <v>9</v>
      </c>
      <c r="W145" s="118" t="n">
        <f aca="false">IF(OR(SUM($V145)&lt;=0,SUM($Q145)=0),"",SUM($Q145)/$V145)</f>
        <v>-198.444444444444</v>
      </c>
      <c r="X145" s="118" t="n">
        <f aca="false">_xlfn.IFNA(INDEX(Cascade!$BL:$BL,MATCH($E145,Cascade!$E:$E,0)),"")</f>
        <v>0.555555555555556</v>
      </c>
      <c r="Y145" s="118" t="str">
        <f aca="false">_xlfn.IFNA(INDEX(Cascade!$BM:$BM,MATCH($E145,Cascade!$E:$E,0)),"")</f>
        <v/>
      </c>
      <c r="Z145" s="118" t="str">
        <f aca="false">_xlfn.IFNA(INDEX(Cascade!$BN:$BN,MATCH($E145,Cascade!$E:$E,0)),"")</f>
        <v/>
      </c>
      <c r="AA145" s="118" t="str">
        <f aca="false">_xlfn.IFNA(INDEX(Cascade!$BP:$BP,MATCH($E145,Cascade!$E:$E,0)),"")</f>
        <v/>
      </c>
      <c r="AB145" s="118" t="n">
        <f aca="false">_xlfn.IFNA(INDEX(Cascade!$BR:$BR,MATCH($E145,Cascade!$E:$E,0)),"")</f>
        <v>198.888888888889</v>
      </c>
    </row>
    <row r="146" customFormat="false" ht="15" hidden="false" customHeight="false" outlineLevel="0" collapsed="false">
      <c r="A146" s="0" t="s">
        <v>146</v>
      </c>
      <c r="B146" s="0" t="s">
        <v>45</v>
      </c>
      <c r="C146" s="0" t="s">
        <v>86</v>
      </c>
      <c r="D146" s="0" t="s">
        <v>58</v>
      </c>
      <c r="E146" s="0" t="str">
        <f aca="false">B146&amp;"|"&amp;C146&amp;"|"&amp;D146</f>
        <v>Maseru [#SNU] [#DREAMS] [tKOXiaNhAyJ]|50+|Male</v>
      </c>
      <c r="F146" s="73" t="n">
        <v>6</v>
      </c>
      <c r="G146" s="118" t="n">
        <f aca="false">IF(SUM($F146)&lt;=0,"",0%)</f>
        <v>0</v>
      </c>
      <c r="H146" s="75" t="n">
        <f aca="false">IF(SUM($F146)&lt;=0,"",$F146*(1+$G146))</f>
        <v>6</v>
      </c>
      <c r="I146" s="73" t="n">
        <v>37</v>
      </c>
      <c r="J146" s="118" t="n">
        <f aca="false">IF(SUM($H146)&lt;=0,"",100%)</f>
        <v>1</v>
      </c>
      <c r="K146" s="118" t="n">
        <v>23</v>
      </c>
      <c r="L146" s="118" t="n">
        <f aca="false">IF(SUM($K146)=0,"",$K146)</f>
        <v>23</v>
      </c>
      <c r="M146" s="118" t="n">
        <v>20</v>
      </c>
      <c r="N146" s="118" t="n">
        <f aca="false">IF(SUM($M146)=0,"",$M146)</f>
        <v>20</v>
      </c>
      <c r="O146" s="73" t="n">
        <f aca="false">IF(SUM($H146)&lt;=0,"",ROUND(SUM($H146)*SUM($J146),0))</f>
        <v>6</v>
      </c>
      <c r="P146" s="75" t="n">
        <f aca="false">IF(SUM($O146)&lt;=0,"",ROUND(SUM($O146)*SUM($L146),0))</f>
        <v>138</v>
      </c>
      <c r="Q146" s="75" t="n">
        <f aca="false">IF(SUM($O146)&lt;=0,"",ROUND((SUM($O146)-SUM($P146))*SUM($N146),0))</f>
        <v>-2640</v>
      </c>
      <c r="R146" s="75" t="n">
        <f aca="false">IF(SUM($O146)&lt;=0,"",ROUND(SUM($O146)-SUM($P146)-SUM($Q146),0))</f>
        <v>2508</v>
      </c>
      <c r="S146" s="118" t="n">
        <f aca="false">_xlfn.IFNA(INDEX(Cascade!$BA:$BA,MATCH($E146,Cascade!$E:$E,0)),"")</f>
        <v>0.95</v>
      </c>
      <c r="T146" s="75" t="n">
        <f aca="false">IF(SUM($P146)&lt;=0,"",$P146)</f>
        <v>138</v>
      </c>
      <c r="U146" s="75" t="str">
        <f aca="false">IF(SUM($Q146)&lt;=0,"",ROUND($Q146*$S146,0))</f>
        <v/>
      </c>
      <c r="V146" s="73" t="n">
        <f aca="false">_xlfn.IFNA(INDEX(Cascade!$BD:$BD,MATCH($E146,Cascade!$E:$E,0)),"")</f>
        <v>4</v>
      </c>
      <c r="W146" s="118" t="n">
        <f aca="false">IF(OR(SUM($V146)&lt;=0,SUM($Q146)=0),"",SUM($Q146)/$V146)</f>
        <v>-660</v>
      </c>
      <c r="X146" s="118" t="n">
        <f aca="false">_xlfn.IFNA(INDEX(Cascade!$BL:$BL,MATCH($E146,Cascade!$E:$E,0)),"")</f>
        <v>0.5</v>
      </c>
      <c r="Y146" s="118" t="str">
        <f aca="false">_xlfn.IFNA(INDEX(Cascade!$BM:$BM,MATCH($E146,Cascade!$E:$E,0)),"")</f>
        <v/>
      </c>
      <c r="Z146" s="118" t="str">
        <f aca="false">_xlfn.IFNA(INDEX(Cascade!$BN:$BN,MATCH($E146,Cascade!$E:$E,0)),"")</f>
        <v/>
      </c>
      <c r="AA146" s="118" t="str">
        <f aca="false">_xlfn.IFNA(INDEX(Cascade!$BP:$BP,MATCH($E146,Cascade!$E:$E,0)),"")</f>
        <v/>
      </c>
      <c r="AB146" s="118" t="n">
        <f aca="false">_xlfn.IFNA(INDEX(Cascade!$BR:$BR,MATCH($E146,Cascade!$E:$E,0)),"")</f>
        <v>660.5</v>
      </c>
    </row>
    <row r="147" customFormat="false" ht="15" hidden="false" customHeight="false" outlineLevel="0" collapsed="false">
      <c r="A147" s="0" t="s">
        <v>147</v>
      </c>
      <c r="B147" s="0" t="s">
        <v>105</v>
      </c>
      <c r="C147" s="0" t="s">
        <v>54</v>
      </c>
      <c r="D147" s="0" t="s">
        <v>56</v>
      </c>
      <c r="E147" s="0" t="str">
        <f aca="false">B147&amp;"|"&amp;C147&amp;"|"&amp;D147</f>
        <v>Mohale's Hoek [#SNU] [#DREAMS] [YGI7vISD2kJ]|01-04|Female</v>
      </c>
      <c r="F147" s="73" t="n">
        <v>14</v>
      </c>
      <c r="G147" s="118" t="n">
        <f aca="false">IF(SUM($F147)&lt;=0,"",0%)</f>
        <v>0</v>
      </c>
      <c r="H147" s="75" t="n">
        <f aca="false">IF(SUM($F147)&lt;=0,"",$F147*(1+$G147))</f>
        <v>14</v>
      </c>
      <c r="I147" s="73"/>
      <c r="J147" s="118" t="n">
        <f aca="false">IF(SUM($H147)&lt;=0,"",100%)</f>
        <v>1</v>
      </c>
      <c r="K147" s="118"/>
      <c r="L147" s="118" t="str">
        <f aca="false">IF(SUM($K147)=0,"",$K147)</f>
        <v/>
      </c>
      <c r="M147" s="118"/>
      <c r="N147" s="118" t="str">
        <f aca="false">IF(SUM($M147)=0,"",$M147)</f>
        <v/>
      </c>
      <c r="O147" s="73" t="n">
        <f aca="false">IF(SUM($H147)&lt;=0,"",ROUND(SUM($H147)*SUM($J147),0))</f>
        <v>14</v>
      </c>
      <c r="P147" s="75" t="n">
        <f aca="false">IF(SUM($O147)&lt;=0,"",ROUND(SUM($O147)*SUM($L147),0))</f>
        <v>0</v>
      </c>
      <c r="Q147" s="75" t="n">
        <f aca="false">IF(SUM($O147)&lt;=0,"",ROUND((SUM($O147)-SUM($P147))*SUM($N147),0))</f>
        <v>0</v>
      </c>
      <c r="R147" s="75" t="n">
        <f aca="false">IF(SUM($O147)&lt;=0,"",ROUND(SUM($O147)-SUM($P147)-SUM($Q147),0))</f>
        <v>14</v>
      </c>
      <c r="S147" s="118" t="n">
        <f aca="false">_xlfn.IFNA(INDEX(Cascade!$BA:$BA,MATCH($E147,Cascade!$E:$E,0)),"")</f>
        <v>0.95</v>
      </c>
      <c r="T147" s="75" t="str">
        <f aca="false">IF(SUM($P147)&lt;=0,"",$P147)</f>
        <v/>
      </c>
      <c r="U147" s="75" t="str">
        <f aca="false">IF(SUM($Q147)&lt;=0,"",ROUND($Q147*$S147,0))</f>
        <v/>
      </c>
      <c r="V147" s="73" t="n">
        <f aca="false">_xlfn.IFNA(INDEX(Cascade!$BD:$BD,MATCH($E147,Cascade!$E:$E,0)),"")</f>
        <v>16</v>
      </c>
      <c r="W147" s="118" t="str">
        <f aca="false">IF(OR(SUM($V147)&lt;=0,SUM($Q147)=0),"",SUM($Q147)/$V147)</f>
        <v/>
      </c>
      <c r="X147" s="118" t="n">
        <f aca="false">_xlfn.IFNA(INDEX(Cascade!$BL:$BL,MATCH($E147,Cascade!$E:$E,0)),"")</f>
        <v>0.3125</v>
      </c>
      <c r="Y147" s="118" t="str">
        <f aca="false">_xlfn.IFNA(INDEX(Cascade!$BM:$BM,MATCH($E147,Cascade!$E:$E,0)),"")</f>
        <v/>
      </c>
      <c r="Z147" s="118" t="str">
        <f aca="false">_xlfn.IFNA(INDEX(Cascade!$BN:$BN,MATCH($E147,Cascade!$E:$E,0)),"")</f>
        <v/>
      </c>
      <c r="AA147" s="118" t="str">
        <f aca="false">_xlfn.IFNA(INDEX(Cascade!$BP:$BP,MATCH($E147,Cascade!$E:$E,0)),"")</f>
        <v/>
      </c>
      <c r="AB147" s="118" t="n">
        <f aca="false">_xlfn.IFNA(INDEX(Cascade!$BR:$BR,MATCH($E147,Cascade!$E:$E,0)),"")</f>
        <v>0.6875</v>
      </c>
    </row>
    <row r="148" customFormat="false" ht="15" hidden="false" customHeight="false" outlineLevel="0" collapsed="false">
      <c r="A148" s="0" t="s">
        <v>147</v>
      </c>
      <c r="B148" s="0" t="s">
        <v>105</v>
      </c>
      <c r="C148" s="0" t="s">
        <v>54</v>
      </c>
      <c r="D148" s="0" t="s">
        <v>58</v>
      </c>
      <c r="E148" s="0" t="str">
        <f aca="false">B148&amp;"|"&amp;C148&amp;"|"&amp;D148</f>
        <v>Mohale's Hoek [#SNU] [#DREAMS] [YGI7vISD2kJ]|01-04|Male</v>
      </c>
      <c r="F148" s="73" t="n">
        <v>42</v>
      </c>
      <c r="G148" s="118" t="n">
        <f aca="false">IF(SUM($F148)&lt;=0,"",0%)</f>
        <v>0</v>
      </c>
      <c r="H148" s="75" t="n">
        <f aca="false">IF(SUM($F148)&lt;=0,"",$F148*(1+$G148))</f>
        <v>42</v>
      </c>
      <c r="I148" s="73"/>
      <c r="J148" s="118" t="n">
        <f aca="false">IF(SUM($H148)&lt;=0,"",100%)</f>
        <v>1</v>
      </c>
      <c r="K148" s="118"/>
      <c r="L148" s="118" t="str">
        <f aca="false">IF(SUM($K148)=0,"",$K148)</f>
        <v/>
      </c>
      <c r="M148" s="118"/>
      <c r="N148" s="118" t="str">
        <f aca="false">IF(SUM($M148)=0,"",$M148)</f>
        <v/>
      </c>
      <c r="O148" s="73" t="n">
        <f aca="false">IF(SUM($H148)&lt;=0,"",ROUND(SUM($H148)*SUM($J148),0))</f>
        <v>42</v>
      </c>
      <c r="P148" s="75" t="n">
        <f aca="false">IF(SUM($O148)&lt;=0,"",ROUND(SUM($O148)*SUM($L148),0))</f>
        <v>0</v>
      </c>
      <c r="Q148" s="75" t="n">
        <f aca="false">IF(SUM($O148)&lt;=0,"",ROUND((SUM($O148)-SUM($P148))*SUM($N148),0))</f>
        <v>0</v>
      </c>
      <c r="R148" s="75" t="n">
        <f aca="false">IF(SUM($O148)&lt;=0,"",ROUND(SUM($O148)-SUM($P148)-SUM($Q148),0))</f>
        <v>42</v>
      </c>
      <c r="S148" s="118" t="n">
        <f aca="false">_xlfn.IFNA(INDEX(Cascade!$BA:$BA,MATCH($E148,Cascade!$E:$E,0)),"")</f>
        <v>0.95</v>
      </c>
      <c r="T148" s="75" t="str">
        <f aca="false">IF(SUM($P148)&lt;=0,"",$P148)</f>
        <v/>
      </c>
      <c r="U148" s="75" t="str">
        <f aca="false">IF(SUM($Q148)&lt;=0,"",ROUND($Q148*$S148,0))</f>
        <v/>
      </c>
      <c r="V148" s="73" t="n">
        <f aca="false">_xlfn.IFNA(INDEX(Cascade!$BD:$BD,MATCH($E148,Cascade!$E:$E,0)),"")</f>
        <v>5</v>
      </c>
      <c r="W148" s="118" t="str">
        <f aca="false">IF(OR(SUM($V148)&lt;=0,SUM($Q148)=0),"",SUM($Q148)/$V148)</f>
        <v/>
      </c>
      <c r="X148" s="118" t="n">
        <f aca="false">_xlfn.IFNA(INDEX(Cascade!$BL:$BL,MATCH($E148,Cascade!$E:$E,0)),"")</f>
        <v>0.4</v>
      </c>
      <c r="Y148" s="118" t="str">
        <f aca="false">_xlfn.IFNA(INDEX(Cascade!$BM:$BM,MATCH($E148,Cascade!$E:$E,0)),"")</f>
        <v/>
      </c>
      <c r="Z148" s="118" t="str">
        <f aca="false">_xlfn.IFNA(INDEX(Cascade!$BN:$BN,MATCH($E148,Cascade!$E:$E,0)),"")</f>
        <v/>
      </c>
      <c r="AA148" s="118" t="str">
        <f aca="false">_xlfn.IFNA(INDEX(Cascade!$BP:$BP,MATCH($E148,Cascade!$E:$E,0)),"")</f>
        <v/>
      </c>
      <c r="AB148" s="118" t="n">
        <f aca="false">_xlfn.IFNA(INDEX(Cascade!$BR:$BR,MATCH($E148,Cascade!$E:$E,0)),"")</f>
        <v>0.6</v>
      </c>
    </row>
    <row r="149" customFormat="false" ht="15" hidden="false" customHeight="false" outlineLevel="0" collapsed="false">
      <c r="A149" s="0" t="s">
        <v>147</v>
      </c>
      <c r="B149" s="0" t="s">
        <v>105</v>
      </c>
      <c r="C149" s="0" t="s">
        <v>83</v>
      </c>
      <c r="D149" s="0" t="s">
        <v>56</v>
      </c>
      <c r="E149" s="0" t="str">
        <f aca="false">B149&amp;"|"&amp;C149&amp;"|"&amp;D149</f>
        <v>Mohale's Hoek [#SNU] [#DREAMS] [YGI7vISD2kJ]|05-09|Female</v>
      </c>
      <c r="F149" s="73" t="n">
        <v>35</v>
      </c>
      <c r="G149" s="118" t="n">
        <f aca="false">IF(SUM($F149)&lt;=0,"",0%)</f>
        <v>0</v>
      </c>
      <c r="H149" s="75" t="n">
        <f aca="false">IF(SUM($F149)&lt;=0,"",$F149*(1+$G149))</f>
        <v>35</v>
      </c>
      <c r="I149" s="73"/>
      <c r="J149" s="118" t="n">
        <f aca="false">IF(SUM($H149)&lt;=0,"",100%)</f>
        <v>1</v>
      </c>
      <c r="K149" s="118"/>
      <c r="L149" s="118" t="str">
        <f aca="false">IF(SUM($K149)=0,"",$K149)</f>
        <v/>
      </c>
      <c r="M149" s="118"/>
      <c r="N149" s="118" t="str">
        <f aca="false">IF(SUM($M149)=0,"",$M149)</f>
        <v/>
      </c>
      <c r="O149" s="73" t="n">
        <f aca="false">IF(SUM($H149)&lt;=0,"",ROUND(SUM($H149)*SUM($J149),0))</f>
        <v>35</v>
      </c>
      <c r="P149" s="75" t="n">
        <f aca="false">IF(SUM($O149)&lt;=0,"",ROUND(SUM($O149)*SUM($L149),0))</f>
        <v>0</v>
      </c>
      <c r="Q149" s="75" t="n">
        <f aca="false">IF(SUM($O149)&lt;=0,"",ROUND((SUM($O149)-SUM($P149))*SUM($N149),0))</f>
        <v>0</v>
      </c>
      <c r="R149" s="75" t="n">
        <f aca="false">IF(SUM($O149)&lt;=0,"",ROUND(SUM($O149)-SUM($P149)-SUM($Q149),0))</f>
        <v>35</v>
      </c>
      <c r="S149" s="118" t="n">
        <f aca="false">_xlfn.IFNA(INDEX(Cascade!$BA:$BA,MATCH($E149,Cascade!$E:$E,0)),"")</f>
        <v>0.95</v>
      </c>
      <c r="T149" s="75" t="str">
        <f aca="false">IF(SUM($P149)&lt;=0,"",$P149)</f>
        <v/>
      </c>
      <c r="U149" s="75" t="str">
        <f aca="false">IF(SUM($Q149)&lt;=0,"",ROUND($Q149*$S149,0))</f>
        <v/>
      </c>
      <c r="V149" s="73" t="n">
        <f aca="false">_xlfn.IFNA(INDEX(Cascade!$BD:$BD,MATCH($E149,Cascade!$E:$E,0)),"")</f>
        <v>20</v>
      </c>
      <c r="W149" s="118" t="str">
        <f aca="false">IF(OR(SUM($V149)&lt;=0,SUM($Q149)=0),"",SUM($Q149)/$V149)</f>
        <v/>
      </c>
      <c r="X149" s="118" t="n">
        <f aca="false">_xlfn.IFNA(INDEX(Cascade!$BL:$BL,MATCH($E149,Cascade!$E:$E,0)),"")</f>
        <v>0.3</v>
      </c>
      <c r="Y149" s="118" t="str">
        <f aca="false">_xlfn.IFNA(INDEX(Cascade!$BM:$BM,MATCH($E149,Cascade!$E:$E,0)),"")</f>
        <v/>
      </c>
      <c r="Z149" s="118" t="str">
        <f aca="false">_xlfn.IFNA(INDEX(Cascade!$BN:$BN,MATCH($E149,Cascade!$E:$E,0)),"")</f>
        <v/>
      </c>
      <c r="AA149" s="118" t="str">
        <f aca="false">_xlfn.IFNA(INDEX(Cascade!$BP:$BP,MATCH($E149,Cascade!$E:$E,0)),"")</f>
        <v/>
      </c>
      <c r="AB149" s="118" t="n">
        <f aca="false">_xlfn.IFNA(INDEX(Cascade!$BR:$BR,MATCH($E149,Cascade!$E:$E,0)),"")</f>
        <v>0.7</v>
      </c>
    </row>
    <row r="150" customFormat="false" ht="15" hidden="false" customHeight="false" outlineLevel="0" collapsed="false">
      <c r="A150" s="0" t="s">
        <v>147</v>
      </c>
      <c r="B150" s="0" t="s">
        <v>105</v>
      </c>
      <c r="C150" s="0" t="s">
        <v>83</v>
      </c>
      <c r="D150" s="0" t="s">
        <v>58</v>
      </c>
      <c r="E150" s="0" t="str">
        <f aca="false">B150&amp;"|"&amp;C150&amp;"|"&amp;D150</f>
        <v>Mohale's Hoek [#SNU] [#DREAMS] [YGI7vISD2kJ]|05-09|Male</v>
      </c>
      <c r="F150" s="73" t="n">
        <v>28</v>
      </c>
      <c r="G150" s="118" t="n">
        <f aca="false">IF(SUM($F150)&lt;=0,"",0%)</f>
        <v>0</v>
      </c>
      <c r="H150" s="75" t="n">
        <f aca="false">IF(SUM($F150)&lt;=0,"",$F150*(1+$G150))</f>
        <v>28</v>
      </c>
      <c r="I150" s="73"/>
      <c r="J150" s="118" t="n">
        <f aca="false">IF(SUM($H150)&lt;=0,"",100%)</f>
        <v>1</v>
      </c>
      <c r="K150" s="118"/>
      <c r="L150" s="118" t="str">
        <f aca="false">IF(SUM($K150)=0,"",$K150)</f>
        <v/>
      </c>
      <c r="M150" s="118"/>
      <c r="N150" s="118" t="str">
        <f aca="false">IF(SUM($M150)=0,"",$M150)</f>
        <v/>
      </c>
      <c r="O150" s="73" t="n">
        <f aca="false">IF(SUM($H150)&lt;=0,"",ROUND(SUM($H150)*SUM($J150),0))</f>
        <v>28</v>
      </c>
      <c r="P150" s="75" t="n">
        <f aca="false">IF(SUM($O150)&lt;=0,"",ROUND(SUM($O150)*SUM($L150),0))</f>
        <v>0</v>
      </c>
      <c r="Q150" s="75" t="n">
        <f aca="false">IF(SUM($O150)&lt;=0,"",ROUND((SUM($O150)-SUM($P150))*SUM($N150),0))</f>
        <v>0</v>
      </c>
      <c r="R150" s="75" t="n">
        <f aca="false">IF(SUM($O150)&lt;=0,"",ROUND(SUM($O150)-SUM($P150)-SUM($Q150),0))</f>
        <v>28</v>
      </c>
      <c r="S150" s="118" t="n">
        <f aca="false">_xlfn.IFNA(INDEX(Cascade!$BA:$BA,MATCH($E150,Cascade!$E:$E,0)),"")</f>
        <v>0.95</v>
      </c>
      <c r="T150" s="75" t="str">
        <f aca="false">IF(SUM($P150)&lt;=0,"",$P150)</f>
        <v/>
      </c>
      <c r="U150" s="75" t="str">
        <f aca="false">IF(SUM($Q150)&lt;=0,"",ROUND($Q150*$S150,0))</f>
        <v/>
      </c>
      <c r="V150" s="73" t="n">
        <f aca="false">_xlfn.IFNA(INDEX(Cascade!$BD:$BD,MATCH($E150,Cascade!$E:$E,0)),"")</f>
        <v>2</v>
      </c>
      <c r="W150" s="118" t="str">
        <f aca="false">IF(OR(SUM($V150)&lt;=0,SUM($Q150)=0),"",SUM($Q150)/$V150)</f>
        <v/>
      </c>
      <c r="X150" s="118" t="n">
        <f aca="false">_xlfn.IFNA(INDEX(Cascade!$BL:$BL,MATCH($E150,Cascade!$E:$E,0)),"")</f>
        <v>0.5</v>
      </c>
      <c r="Y150" s="118" t="str">
        <f aca="false">_xlfn.IFNA(INDEX(Cascade!$BM:$BM,MATCH($E150,Cascade!$E:$E,0)),"")</f>
        <v/>
      </c>
      <c r="Z150" s="118" t="str">
        <f aca="false">_xlfn.IFNA(INDEX(Cascade!$BN:$BN,MATCH($E150,Cascade!$E:$E,0)),"")</f>
        <v/>
      </c>
      <c r="AA150" s="118" t="str">
        <f aca="false">_xlfn.IFNA(INDEX(Cascade!$BP:$BP,MATCH($E150,Cascade!$E:$E,0)),"")</f>
        <v/>
      </c>
      <c r="AB150" s="118" t="n">
        <f aca="false">_xlfn.IFNA(INDEX(Cascade!$BR:$BR,MATCH($E150,Cascade!$E:$E,0)),"")</f>
        <v>0.5</v>
      </c>
    </row>
    <row r="151" customFormat="false" ht="15" hidden="false" customHeight="false" outlineLevel="0" collapsed="false">
      <c r="A151" s="0" t="s">
        <v>147</v>
      </c>
      <c r="B151" s="0" t="s">
        <v>105</v>
      </c>
      <c r="C151" s="0" t="s">
        <v>61</v>
      </c>
      <c r="D151" s="0" t="s">
        <v>56</v>
      </c>
      <c r="E151" s="0" t="str">
        <f aca="false">B151&amp;"|"&amp;C151&amp;"|"&amp;D151</f>
        <v>Mohale's Hoek [#SNU] [#DREAMS] [YGI7vISD2kJ]|10-14|Female</v>
      </c>
      <c r="F151" s="73" t="n">
        <v>17</v>
      </c>
      <c r="G151" s="118" t="n">
        <f aca="false">IF(SUM($F151)&lt;=0,"",0%)</f>
        <v>0</v>
      </c>
      <c r="H151" s="75" t="n">
        <f aca="false">IF(SUM($F151)&lt;=0,"",$F151*(1+$G151))</f>
        <v>17</v>
      </c>
      <c r="I151" s="73"/>
      <c r="J151" s="118" t="n">
        <f aca="false">IF(SUM($H151)&lt;=0,"",100%)</f>
        <v>1</v>
      </c>
      <c r="K151" s="118"/>
      <c r="L151" s="118" t="str">
        <f aca="false">IF(SUM($K151)=0,"",$K151)</f>
        <v/>
      </c>
      <c r="M151" s="118"/>
      <c r="N151" s="118" t="str">
        <f aca="false">IF(SUM($M151)=0,"",$M151)</f>
        <v/>
      </c>
      <c r="O151" s="73" t="n">
        <f aca="false">IF(SUM($H151)&lt;=0,"",ROUND(SUM($H151)*SUM($J151),0))</f>
        <v>17</v>
      </c>
      <c r="P151" s="75" t="n">
        <f aca="false">IF(SUM($O151)&lt;=0,"",ROUND(SUM($O151)*SUM($L151),0))</f>
        <v>0</v>
      </c>
      <c r="Q151" s="75" t="n">
        <f aca="false">IF(SUM($O151)&lt;=0,"",ROUND((SUM($O151)-SUM($P151))*SUM($N151),0))</f>
        <v>0</v>
      </c>
      <c r="R151" s="75" t="n">
        <f aca="false">IF(SUM($O151)&lt;=0,"",ROUND(SUM($O151)-SUM($P151)-SUM($Q151),0))</f>
        <v>17</v>
      </c>
      <c r="S151" s="118" t="n">
        <f aca="false">_xlfn.IFNA(INDEX(Cascade!$BA:$BA,MATCH($E151,Cascade!$E:$E,0)),"")</f>
        <v>0.95</v>
      </c>
      <c r="T151" s="75" t="str">
        <f aca="false">IF(SUM($P151)&lt;=0,"",$P151)</f>
        <v/>
      </c>
      <c r="U151" s="75" t="str">
        <f aca="false">IF(SUM($Q151)&lt;=0,"",ROUND($Q151*$S151,0))</f>
        <v/>
      </c>
      <c r="V151" s="73" t="n">
        <f aca="false">_xlfn.IFNA(INDEX(Cascade!$BD:$BD,MATCH($E151,Cascade!$E:$E,0)),"")</f>
        <v>5</v>
      </c>
      <c r="W151" s="118" t="str">
        <f aca="false">IF(OR(SUM($V151)&lt;=0,SUM($Q151)=0),"",SUM($Q151)/$V151)</f>
        <v/>
      </c>
      <c r="X151" s="118" t="n">
        <f aca="false">_xlfn.IFNA(INDEX(Cascade!$BL:$BL,MATCH($E151,Cascade!$E:$E,0)),"")</f>
        <v>0.6</v>
      </c>
      <c r="Y151" s="118" t="str">
        <f aca="false">_xlfn.IFNA(INDEX(Cascade!$BM:$BM,MATCH($E151,Cascade!$E:$E,0)),"")</f>
        <v/>
      </c>
      <c r="Z151" s="118" t="str">
        <f aca="false">_xlfn.IFNA(INDEX(Cascade!$BN:$BN,MATCH($E151,Cascade!$E:$E,0)),"")</f>
        <v/>
      </c>
      <c r="AA151" s="118" t="str">
        <f aca="false">_xlfn.IFNA(INDEX(Cascade!$BP:$BP,MATCH($E151,Cascade!$E:$E,0)),"")</f>
        <v/>
      </c>
      <c r="AB151" s="118" t="n">
        <f aca="false">_xlfn.IFNA(INDEX(Cascade!$BR:$BR,MATCH($E151,Cascade!$E:$E,0)),"")</f>
        <v>0.4</v>
      </c>
    </row>
    <row r="152" customFormat="false" ht="15" hidden="false" customHeight="false" outlineLevel="0" collapsed="false">
      <c r="A152" s="0" t="s">
        <v>147</v>
      </c>
      <c r="B152" s="0" t="s">
        <v>105</v>
      </c>
      <c r="C152" s="0" t="s">
        <v>61</v>
      </c>
      <c r="D152" s="0" t="s">
        <v>58</v>
      </c>
      <c r="E152" s="0" t="str">
        <f aca="false">B152&amp;"|"&amp;C152&amp;"|"&amp;D152</f>
        <v>Mohale's Hoek [#SNU] [#DREAMS] [YGI7vISD2kJ]|10-14|Male</v>
      </c>
      <c r="F152" s="73" t="n">
        <v>18</v>
      </c>
      <c r="G152" s="118" t="n">
        <f aca="false">IF(SUM($F152)&lt;=0,"",0%)</f>
        <v>0</v>
      </c>
      <c r="H152" s="75" t="n">
        <f aca="false">IF(SUM($F152)&lt;=0,"",$F152*(1+$G152))</f>
        <v>18</v>
      </c>
      <c r="I152" s="73"/>
      <c r="J152" s="118" t="n">
        <f aca="false">IF(SUM($H152)&lt;=0,"",100%)</f>
        <v>1</v>
      </c>
      <c r="K152" s="118" t="n">
        <v>4</v>
      </c>
      <c r="L152" s="118" t="n">
        <f aca="false">IF(SUM($K152)=0,"",$K152)</f>
        <v>4</v>
      </c>
      <c r="M152" s="118"/>
      <c r="N152" s="118" t="str">
        <f aca="false">IF(SUM($M152)=0,"",$M152)</f>
        <v/>
      </c>
      <c r="O152" s="73" t="n">
        <f aca="false">IF(SUM($H152)&lt;=0,"",ROUND(SUM($H152)*SUM($J152),0))</f>
        <v>18</v>
      </c>
      <c r="P152" s="75" t="n">
        <f aca="false">IF(SUM($O152)&lt;=0,"",ROUND(SUM($O152)*SUM($L152),0))</f>
        <v>72</v>
      </c>
      <c r="Q152" s="75" t="n">
        <f aca="false">IF(SUM($O152)&lt;=0,"",ROUND((SUM($O152)-SUM($P152))*SUM($N152),0))</f>
        <v>-0</v>
      </c>
      <c r="R152" s="75" t="n">
        <f aca="false">IF(SUM($O152)&lt;=0,"",ROUND(SUM($O152)-SUM($P152)-SUM($Q152),0))</f>
        <v>-54</v>
      </c>
      <c r="S152" s="118" t="n">
        <f aca="false">_xlfn.IFNA(INDEX(Cascade!$BA:$BA,MATCH($E152,Cascade!$E:$E,0)),"")</f>
        <v>0.95</v>
      </c>
      <c r="T152" s="75" t="n">
        <f aca="false">IF(SUM($P152)&lt;=0,"",$P152)</f>
        <v>72</v>
      </c>
      <c r="U152" s="75" t="str">
        <f aca="false">IF(SUM($Q152)&lt;=0,"",ROUND($Q152*$S152,0))</f>
        <v/>
      </c>
      <c r="V152" s="73" t="n">
        <f aca="false">_xlfn.IFNA(INDEX(Cascade!$BD:$BD,MATCH($E152,Cascade!$E:$E,0)),"")</f>
        <v>9</v>
      </c>
      <c r="W152" s="118" t="str">
        <f aca="false">IF(OR(SUM($V152)&lt;=0,SUM($Q152)=0),"",SUM($Q152)/$V152)</f>
        <v/>
      </c>
      <c r="X152" s="118" t="n">
        <f aca="false">_xlfn.IFNA(INDEX(Cascade!$BL:$BL,MATCH($E152,Cascade!$E:$E,0)),"")</f>
        <v>0.555555555555556</v>
      </c>
      <c r="Y152" s="118" t="str">
        <f aca="false">_xlfn.IFNA(INDEX(Cascade!$BM:$BM,MATCH($E152,Cascade!$E:$E,0)),"")</f>
        <v/>
      </c>
      <c r="Z152" s="118" t="str">
        <f aca="false">_xlfn.IFNA(INDEX(Cascade!$BN:$BN,MATCH($E152,Cascade!$E:$E,0)),"")</f>
        <v/>
      </c>
      <c r="AA152" s="118" t="str">
        <f aca="false">_xlfn.IFNA(INDEX(Cascade!$BP:$BP,MATCH($E152,Cascade!$E:$E,0)),"")</f>
        <v/>
      </c>
      <c r="AB152" s="118" t="n">
        <f aca="false">_xlfn.IFNA(INDEX(Cascade!$BR:$BR,MATCH($E152,Cascade!$E:$E,0)),"")</f>
        <v>0.444444444444444</v>
      </c>
    </row>
    <row r="153" customFormat="false" ht="15" hidden="false" customHeight="false" outlineLevel="0" collapsed="false">
      <c r="A153" s="0" t="s">
        <v>147</v>
      </c>
      <c r="B153" s="0" t="s">
        <v>105</v>
      </c>
      <c r="C153" s="0" t="s">
        <v>63</v>
      </c>
      <c r="D153" s="0" t="s">
        <v>56</v>
      </c>
      <c r="E153" s="0" t="str">
        <f aca="false">B153&amp;"|"&amp;C153&amp;"|"&amp;D153</f>
        <v>Mohale's Hoek [#SNU] [#DREAMS] [YGI7vISD2kJ]|15-19|Female</v>
      </c>
      <c r="F153" s="73" t="n">
        <v>2</v>
      </c>
      <c r="G153" s="118" t="n">
        <f aca="false">IF(SUM($F153)&lt;=0,"",0%)</f>
        <v>0</v>
      </c>
      <c r="H153" s="75" t="n">
        <f aca="false">IF(SUM($F153)&lt;=0,"",$F153*(1+$G153))</f>
        <v>2</v>
      </c>
      <c r="I153" s="73"/>
      <c r="J153" s="118" t="n">
        <f aca="false">IF(SUM($H153)&lt;=0,"",100%)</f>
        <v>1</v>
      </c>
      <c r="K153" s="118" t="n">
        <v>4</v>
      </c>
      <c r="L153" s="118" t="n">
        <f aca="false">IF(SUM($K153)=0,"",$K153)</f>
        <v>4</v>
      </c>
      <c r="M153" s="118"/>
      <c r="N153" s="118" t="str">
        <f aca="false">IF(SUM($M153)=0,"",$M153)</f>
        <v/>
      </c>
      <c r="O153" s="73" t="n">
        <f aca="false">IF(SUM($H153)&lt;=0,"",ROUND(SUM($H153)*SUM($J153),0))</f>
        <v>2</v>
      </c>
      <c r="P153" s="75" t="n">
        <f aca="false">IF(SUM($O153)&lt;=0,"",ROUND(SUM($O153)*SUM($L153),0))</f>
        <v>8</v>
      </c>
      <c r="Q153" s="75" t="n">
        <f aca="false">IF(SUM($O153)&lt;=0,"",ROUND((SUM($O153)-SUM($P153))*SUM($N153),0))</f>
        <v>-0</v>
      </c>
      <c r="R153" s="75" t="n">
        <f aca="false">IF(SUM($O153)&lt;=0,"",ROUND(SUM($O153)-SUM($P153)-SUM($Q153),0))</f>
        <v>-6</v>
      </c>
      <c r="S153" s="118" t="n">
        <f aca="false">_xlfn.IFNA(INDEX(Cascade!$BA:$BA,MATCH($E153,Cascade!$E:$E,0)),"")</f>
        <v>0.95</v>
      </c>
      <c r="T153" s="75" t="n">
        <f aca="false">IF(SUM($P153)&lt;=0,"",$P153)</f>
        <v>8</v>
      </c>
      <c r="U153" s="75" t="str">
        <f aca="false">IF(SUM($Q153)&lt;=0,"",ROUND($Q153*$S153,0))</f>
        <v/>
      </c>
      <c r="V153" s="73" t="n">
        <f aca="false">_xlfn.IFNA(INDEX(Cascade!$BD:$BD,MATCH($E153,Cascade!$E:$E,0)),"")</f>
        <v>7</v>
      </c>
      <c r="W153" s="118" t="str">
        <f aca="false">IF(OR(SUM($V153)&lt;=0,SUM($Q153)=0),"",SUM($Q153)/$V153)</f>
        <v/>
      </c>
      <c r="X153" s="118" t="n">
        <f aca="false">_xlfn.IFNA(INDEX(Cascade!$BL:$BL,MATCH($E153,Cascade!$E:$E,0)),"")</f>
        <v>0.285714285714286</v>
      </c>
      <c r="Y153" s="118" t="n">
        <f aca="false">_xlfn.IFNA(INDEX(Cascade!$BM:$BM,MATCH($E153,Cascade!$E:$E,0)),"")</f>
        <v>-432</v>
      </c>
      <c r="Z153" s="118" t="str">
        <f aca="false">_xlfn.IFNA(INDEX(Cascade!$BN:$BN,MATCH($E153,Cascade!$E:$E,0)),"")</f>
        <v/>
      </c>
      <c r="AA153" s="118" t="str">
        <f aca="false">_xlfn.IFNA(INDEX(Cascade!$BP:$BP,MATCH($E153,Cascade!$E:$E,0)),"")</f>
        <v/>
      </c>
      <c r="AB153" s="118" t="n">
        <f aca="false">_xlfn.IFNA(INDEX(Cascade!$BR:$BR,MATCH($E153,Cascade!$E:$E,0)),"")</f>
        <v>432.714285714286</v>
      </c>
    </row>
    <row r="154" customFormat="false" ht="15" hidden="false" customHeight="false" outlineLevel="0" collapsed="false">
      <c r="A154" s="0" t="s">
        <v>147</v>
      </c>
      <c r="B154" s="0" t="s">
        <v>105</v>
      </c>
      <c r="C154" s="0" t="s">
        <v>63</v>
      </c>
      <c r="D154" s="0" t="s">
        <v>58</v>
      </c>
      <c r="E154" s="0" t="str">
        <f aca="false">B154&amp;"|"&amp;C154&amp;"|"&amp;D154</f>
        <v>Mohale's Hoek [#SNU] [#DREAMS] [YGI7vISD2kJ]|15-19|Male</v>
      </c>
      <c r="F154" s="73" t="n">
        <v>30</v>
      </c>
      <c r="G154" s="118" t="n">
        <f aca="false">IF(SUM($F154)&lt;=0,"",0%)</f>
        <v>0</v>
      </c>
      <c r="H154" s="75" t="n">
        <f aca="false">IF(SUM($F154)&lt;=0,"",$F154*(1+$G154))</f>
        <v>30</v>
      </c>
      <c r="I154" s="73"/>
      <c r="J154" s="118" t="n">
        <f aca="false">IF(SUM($H154)&lt;=0,"",100%)</f>
        <v>1</v>
      </c>
      <c r="K154" s="118" t="n">
        <v>27</v>
      </c>
      <c r="L154" s="118" t="n">
        <f aca="false">IF(SUM($K154)=0,"",$K154)</f>
        <v>27</v>
      </c>
      <c r="M154" s="118"/>
      <c r="N154" s="118" t="str">
        <f aca="false">IF(SUM($M154)=0,"",$M154)</f>
        <v/>
      </c>
      <c r="O154" s="73" t="n">
        <f aca="false">IF(SUM($H154)&lt;=0,"",ROUND(SUM($H154)*SUM($J154),0))</f>
        <v>30</v>
      </c>
      <c r="P154" s="75" t="n">
        <f aca="false">IF(SUM($O154)&lt;=0,"",ROUND(SUM($O154)*SUM($L154),0))</f>
        <v>810</v>
      </c>
      <c r="Q154" s="75" t="n">
        <f aca="false">IF(SUM($O154)&lt;=0,"",ROUND((SUM($O154)-SUM($P154))*SUM($N154),0))</f>
        <v>-0</v>
      </c>
      <c r="R154" s="75" t="n">
        <f aca="false">IF(SUM($O154)&lt;=0,"",ROUND(SUM($O154)-SUM($P154)-SUM($Q154),0))</f>
        <v>-780</v>
      </c>
      <c r="S154" s="118" t="n">
        <f aca="false">_xlfn.IFNA(INDEX(Cascade!$BA:$BA,MATCH($E154,Cascade!$E:$E,0)),"")</f>
        <v>0.95</v>
      </c>
      <c r="T154" s="75" t="n">
        <f aca="false">IF(SUM($P154)&lt;=0,"",$P154)</f>
        <v>810</v>
      </c>
      <c r="U154" s="75" t="str">
        <f aca="false">IF(SUM($Q154)&lt;=0,"",ROUND($Q154*$S154,0))</f>
        <v/>
      </c>
      <c r="V154" s="73" t="n">
        <f aca="false">_xlfn.IFNA(INDEX(Cascade!$BD:$BD,MATCH($E154,Cascade!$E:$E,0)),"")</f>
        <v>1</v>
      </c>
      <c r="W154" s="118" t="str">
        <f aca="false">IF(OR(SUM($V154)&lt;=0,SUM($Q154)=0),"",SUM($Q154)/$V154)</f>
        <v/>
      </c>
      <c r="X154" s="118" t="n">
        <f aca="false">_xlfn.IFNA(INDEX(Cascade!$BL:$BL,MATCH($E154,Cascade!$E:$E,0)),"")</f>
        <v>1</v>
      </c>
      <c r="Y154" s="118" t="str">
        <f aca="false">_xlfn.IFNA(INDEX(Cascade!$BM:$BM,MATCH($E154,Cascade!$E:$E,0)),"")</f>
        <v/>
      </c>
      <c r="Z154" s="118" t="str">
        <f aca="false">_xlfn.IFNA(INDEX(Cascade!$BN:$BN,MATCH($E154,Cascade!$E:$E,0)),"")</f>
        <v/>
      </c>
      <c r="AA154" s="118" t="str">
        <f aca="false">_xlfn.IFNA(INDEX(Cascade!$BP:$BP,MATCH($E154,Cascade!$E:$E,0)),"")</f>
        <v/>
      </c>
      <c r="AB154" s="118" t="str">
        <f aca="false">_xlfn.IFNA(INDEX(Cascade!$BR:$BR,MATCH($E154,Cascade!$E:$E,0)),"")</f>
        <v/>
      </c>
    </row>
    <row r="155" customFormat="false" ht="15" hidden="false" customHeight="false" outlineLevel="0" collapsed="false">
      <c r="A155" s="0" t="s">
        <v>147</v>
      </c>
      <c r="B155" s="0" t="s">
        <v>105</v>
      </c>
      <c r="C155" s="0" t="s">
        <v>66</v>
      </c>
      <c r="D155" s="0" t="s">
        <v>56</v>
      </c>
      <c r="E155" s="0" t="str">
        <f aca="false">B155&amp;"|"&amp;C155&amp;"|"&amp;D155</f>
        <v>Mohale's Hoek [#SNU] [#DREAMS] [YGI7vISD2kJ]|20-24|Female</v>
      </c>
      <c r="F155" s="73" t="n">
        <v>49</v>
      </c>
      <c r="G155" s="118" t="n">
        <f aca="false">IF(SUM($F155)&lt;=0,"",0%)</f>
        <v>0</v>
      </c>
      <c r="H155" s="75" t="n">
        <f aca="false">IF(SUM($F155)&lt;=0,"",$F155*(1+$G155))</f>
        <v>49</v>
      </c>
      <c r="I155" s="73" t="n">
        <v>8</v>
      </c>
      <c r="J155" s="118" t="n">
        <f aca="false">IF(SUM($H155)&lt;=0,"",100%)</f>
        <v>1</v>
      </c>
      <c r="K155" s="118" t="n">
        <v>30</v>
      </c>
      <c r="L155" s="118" t="n">
        <f aca="false">IF(SUM($K155)=0,"",$K155)</f>
        <v>30</v>
      </c>
      <c r="M155" s="118"/>
      <c r="N155" s="118" t="str">
        <f aca="false">IF(SUM($M155)=0,"",$M155)</f>
        <v/>
      </c>
      <c r="O155" s="73" t="n">
        <f aca="false">IF(SUM($H155)&lt;=0,"",ROUND(SUM($H155)*SUM($J155),0))</f>
        <v>49</v>
      </c>
      <c r="P155" s="75" t="n">
        <f aca="false">IF(SUM($O155)&lt;=0,"",ROUND(SUM($O155)*SUM($L155),0))</f>
        <v>1470</v>
      </c>
      <c r="Q155" s="75" t="n">
        <f aca="false">IF(SUM($O155)&lt;=0,"",ROUND((SUM($O155)-SUM($P155))*SUM($N155),0))</f>
        <v>-0</v>
      </c>
      <c r="R155" s="75" t="n">
        <f aca="false">IF(SUM($O155)&lt;=0,"",ROUND(SUM($O155)-SUM($P155)-SUM($Q155),0))</f>
        <v>-1421</v>
      </c>
      <c r="S155" s="118" t="n">
        <f aca="false">_xlfn.IFNA(INDEX(Cascade!$BA:$BA,MATCH($E155,Cascade!$E:$E,0)),"")</f>
        <v>0.95</v>
      </c>
      <c r="T155" s="75" t="n">
        <f aca="false">IF(SUM($P155)&lt;=0,"",$P155)</f>
        <v>1470</v>
      </c>
      <c r="U155" s="75" t="str">
        <f aca="false">IF(SUM($Q155)&lt;=0,"",ROUND($Q155*$S155,0))</f>
        <v/>
      </c>
      <c r="V155" s="73" t="n">
        <f aca="false">_xlfn.IFNA(INDEX(Cascade!$BD:$BD,MATCH($E155,Cascade!$E:$E,0)),"")</f>
        <v>15</v>
      </c>
      <c r="W155" s="118" t="str">
        <f aca="false">IF(OR(SUM($V155)&lt;=0,SUM($Q155)=0),"",SUM($Q155)/$V155)</f>
        <v/>
      </c>
      <c r="X155" s="118" t="n">
        <f aca="false">_xlfn.IFNA(INDEX(Cascade!$BL:$BL,MATCH($E155,Cascade!$E:$E,0)),"")</f>
        <v>0.333333333333333</v>
      </c>
      <c r="Y155" s="118" t="n">
        <f aca="false">_xlfn.IFNA(INDEX(Cascade!$BM:$BM,MATCH($E155,Cascade!$E:$E,0)),"")</f>
        <v>-357</v>
      </c>
      <c r="Z155" s="118" t="str">
        <f aca="false">_xlfn.IFNA(INDEX(Cascade!$BN:$BN,MATCH($E155,Cascade!$E:$E,0)),"")</f>
        <v/>
      </c>
      <c r="AA155" s="118" t="str">
        <f aca="false">_xlfn.IFNA(INDEX(Cascade!$BP:$BP,MATCH($E155,Cascade!$E:$E,0)),"")</f>
        <v/>
      </c>
      <c r="AB155" s="118" t="n">
        <f aca="false">_xlfn.IFNA(INDEX(Cascade!$BR:$BR,MATCH($E155,Cascade!$E:$E,0)),"")</f>
        <v>357.666666666667</v>
      </c>
    </row>
    <row r="156" customFormat="false" ht="15" hidden="false" customHeight="false" outlineLevel="0" collapsed="false">
      <c r="A156" s="0" t="s">
        <v>147</v>
      </c>
      <c r="B156" s="0" t="s">
        <v>105</v>
      </c>
      <c r="C156" s="0" t="s">
        <v>66</v>
      </c>
      <c r="D156" s="0" t="s">
        <v>58</v>
      </c>
      <c r="E156" s="0" t="str">
        <f aca="false">B156&amp;"|"&amp;C156&amp;"|"&amp;D156</f>
        <v>Mohale's Hoek [#SNU] [#DREAMS] [YGI7vISD2kJ]|20-24|Male</v>
      </c>
      <c r="F156" s="73" t="n">
        <v>40</v>
      </c>
      <c r="G156" s="118" t="n">
        <f aca="false">IF(SUM($F156)&lt;=0,"",0%)</f>
        <v>0</v>
      </c>
      <c r="H156" s="75" t="n">
        <f aca="false">IF(SUM($F156)&lt;=0,"",$F156*(1+$G156))</f>
        <v>40</v>
      </c>
      <c r="I156" s="73"/>
      <c r="J156" s="118" t="n">
        <f aca="false">IF(SUM($H156)&lt;=0,"",100%)</f>
        <v>1</v>
      </c>
      <c r="K156" s="118"/>
      <c r="L156" s="118" t="str">
        <f aca="false">IF(SUM($K156)=0,"",$K156)</f>
        <v/>
      </c>
      <c r="M156" s="118" t="n">
        <v>25</v>
      </c>
      <c r="N156" s="118" t="n">
        <f aca="false">IF(SUM($M156)=0,"",$M156)</f>
        <v>25</v>
      </c>
      <c r="O156" s="73" t="n">
        <f aca="false">IF(SUM($H156)&lt;=0,"",ROUND(SUM($H156)*SUM($J156),0))</f>
        <v>40</v>
      </c>
      <c r="P156" s="75" t="n">
        <f aca="false">IF(SUM($O156)&lt;=0,"",ROUND(SUM($O156)*SUM($L156),0))</f>
        <v>0</v>
      </c>
      <c r="Q156" s="75" t="n">
        <f aca="false">IF(SUM($O156)&lt;=0,"",ROUND((SUM($O156)-SUM($P156))*SUM($N156),0))</f>
        <v>1000</v>
      </c>
      <c r="R156" s="75" t="n">
        <f aca="false">IF(SUM($O156)&lt;=0,"",ROUND(SUM($O156)-SUM($P156)-SUM($Q156),0))</f>
        <v>-960</v>
      </c>
      <c r="S156" s="118" t="n">
        <f aca="false">_xlfn.IFNA(INDEX(Cascade!$BA:$BA,MATCH($E156,Cascade!$E:$E,0)),"")</f>
        <v>0.95</v>
      </c>
      <c r="T156" s="75" t="str">
        <f aca="false">IF(SUM($P156)&lt;=0,"",$P156)</f>
        <v/>
      </c>
      <c r="U156" s="75" t="n">
        <f aca="false">IF(SUM($Q156)&lt;=0,"",ROUND($Q156*$S156,0))</f>
        <v>950</v>
      </c>
      <c r="V156" s="73" t="n">
        <f aca="false">_xlfn.IFNA(INDEX(Cascade!$BD:$BD,MATCH($E156,Cascade!$E:$E,0)),"")</f>
        <v>33</v>
      </c>
      <c r="W156" s="118" t="n">
        <f aca="false">IF(OR(SUM($V156)&lt;=0,SUM($Q156)=0),"",SUM($Q156)/$V156)</f>
        <v>30.3030303030303</v>
      </c>
      <c r="X156" s="118" t="n">
        <f aca="false">_xlfn.IFNA(INDEX(Cascade!$BL:$BL,MATCH($E156,Cascade!$E:$E,0)),"")</f>
        <v>0.303030303030303</v>
      </c>
      <c r="Y156" s="118" t="str">
        <f aca="false">_xlfn.IFNA(INDEX(Cascade!$BM:$BM,MATCH($E156,Cascade!$E:$E,0)),"")</f>
        <v/>
      </c>
      <c r="Z156" s="118" t="str">
        <f aca="false">_xlfn.IFNA(INDEX(Cascade!$BN:$BN,MATCH($E156,Cascade!$E:$E,0)),"")</f>
        <v/>
      </c>
      <c r="AA156" s="118" t="str">
        <f aca="false">_xlfn.IFNA(INDEX(Cascade!$BP:$BP,MATCH($E156,Cascade!$E:$E,0)),"")</f>
        <v/>
      </c>
      <c r="AB156" s="118" t="n">
        <f aca="false">_xlfn.IFNA(INDEX(Cascade!$BR:$BR,MATCH($E156,Cascade!$E:$E,0)),"")</f>
        <v>-29.6060606060606</v>
      </c>
    </row>
    <row r="157" customFormat="false" ht="15" hidden="false" customHeight="false" outlineLevel="0" collapsed="false">
      <c r="A157" s="0" t="s">
        <v>147</v>
      </c>
      <c r="B157" s="0" t="s">
        <v>105</v>
      </c>
      <c r="C157" s="0" t="s">
        <v>69</v>
      </c>
      <c r="D157" s="0" t="s">
        <v>56</v>
      </c>
      <c r="E157" s="0" t="str">
        <f aca="false">B157&amp;"|"&amp;C157&amp;"|"&amp;D157</f>
        <v>Mohale's Hoek [#SNU] [#DREAMS] [YGI7vISD2kJ]|25-29|Female</v>
      </c>
      <c r="F157" s="73" t="n">
        <v>49</v>
      </c>
      <c r="G157" s="118" t="n">
        <f aca="false">IF(SUM($F157)&lt;=0,"",0%)</f>
        <v>0</v>
      </c>
      <c r="H157" s="75" t="n">
        <f aca="false">IF(SUM($F157)&lt;=0,"",$F157*(1+$G157))</f>
        <v>49</v>
      </c>
      <c r="I157" s="73" t="n">
        <v>11</v>
      </c>
      <c r="J157" s="118" t="n">
        <f aca="false">IF(SUM($H157)&lt;=0,"",100%)</f>
        <v>1</v>
      </c>
      <c r="K157" s="118" t="n">
        <v>7</v>
      </c>
      <c r="L157" s="118" t="n">
        <f aca="false">IF(SUM($K157)=0,"",$K157)</f>
        <v>7</v>
      </c>
      <c r="M157" s="118" t="n">
        <v>36</v>
      </c>
      <c r="N157" s="118" t="n">
        <f aca="false">IF(SUM($M157)=0,"",$M157)</f>
        <v>36</v>
      </c>
      <c r="O157" s="73" t="n">
        <f aca="false">IF(SUM($H157)&lt;=0,"",ROUND(SUM($H157)*SUM($J157),0))</f>
        <v>49</v>
      </c>
      <c r="P157" s="75" t="n">
        <f aca="false">IF(SUM($O157)&lt;=0,"",ROUND(SUM($O157)*SUM($L157),0))</f>
        <v>343</v>
      </c>
      <c r="Q157" s="75" t="n">
        <f aca="false">IF(SUM($O157)&lt;=0,"",ROUND((SUM($O157)-SUM($P157))*SUM($N157),0))</f>
        <v>-10584</v>
      </c>
      <c r="R157" s="75" t="n">
        <f aca="false">IF(SUM($O157)&lt;=0,"",ROUND(SUM($O157)-SUM($P157)-SUM($Q157),0))</f>
        <v>10290</v>
      </c>
      <c r="S157" s="118" t="n">
        <f aca="false">_xlfn.IFNA(INDEX(Cascade!$BA:$BA,MATCH($E157,Cascade!$E:$E,0)),"")</f>
        <v>0.95</v>
      </c>
      <c r="T157" s="75" t="n">
        <f aca="false">IF(SUM($P157)&lt;=0,"",$P157)</f>
        <v>343</v>
      </c>
      <c r="U157" s="75" t="str">
        <f aca="false">IF(SUM($Q157)&lt;=0,"",ROUND($Q157*$S157,0))</f>
        <v/>
      </c>
      <c r="V157" s="73" t="n">
        <f aca="false">_xlfn.IFNA(INDEX(Cascade!$BD:$BD,MATCH($E157,Cascade!$E:$E,0)),"")</f>
        <v>1</v>
      </c>
      <c r="W157" s="118" t="n">
        <f aca="false">IF(OR(SUM($V157)&lt;=0,SUM($Q157)=0),"",SUM($Q157)/$V157)</f>
        <v>-10584</v>
      </c>
      <c r="X157" s="118" t="str">
        <f aca="false">_xlfn.IFNA(INDEX(Cascade!$BL:$BL,MATCH($E157,Cascade!$E:$E,0)),"")</f>
        <v/>
      </c>
      <c r="Y157" s="118" t="n">
        <f aca="false">_xlfn.IFNA(INDEX(Cascade!$BM:$BM,MATCH($E157,Cascade!$E:$E,0)),"")</f>
        <v>-512</v>
      </c>
      <c r="Z157" s="118" t="str">
        <f aca="false">_xlfn.IFNA(INDEX(Cascade!$BN:$BN,MATCH($E157,Cascade!$E:$E,0)),"")</f>
        <v/>
      </c>
      <c r="AA157" s="118" t="str">
        <f aca="false">_xlfn.IFNA(INDEX(Cascade!$BP:$BP,MATCH($E157,Cascade!$E:$E,0)),"")</f>
        <v/>
      </c>
      <c r="AB157" s="118" t="n">
        <f aca="false">_xlfn.IFNA(INDEX(Cascade!$BR:$BR,MATCH($E157,Cascade!$E:$E,0)),"")</f>
        <v>11097</v>
      </c>
    </row>
    <row r="158" customFormat="false" ht="15" hidden="false" customHeight="false" outlineLevel="0" collapsed="false">
      <c r="A158" s="0" t="s">
        <v>147</v>
      </c>
      <c r="B158" s="0" t="s">
        <v>105</v>
      </c>
      <c r="C158" s="0" t="s">
        <v>69</v>
      </c>
      <c r="D158" s="0" t="s">
        <v>58</v>
      </c>
      <c r="E158" s="0" t="str">
        <f aca="false">B158&amp;"|"&amp;C158&amp;"|"&amp;D158</f>
        <v>Mohale's Hoek [#SNU] [#DREAMS] [YGI7vISD2kJ]|25-29|Male</v>
      </c>
      <c r="F158" s="73" t="n">
        <v>39</v>
      </c>
      <c r="G158" s="118" t="n">
        <f aca="false">IF(SUM($F158)&lt;=0,"",0%)</f>
        <v>0</v>
      </c>
      <c r="H158" s="75" t="n">
        <f aca="false">IF(SUM($F158)&lt;=0,"",$F158*(1+$G158))</f>
        <v>39</v>
      </c>
      <c r="I158" s="73" t="n">
        <v>33</v>
      </c>
      <c r="J158" s="118" t="n">
        <f aca="false">IF(SUM($H158)&lt;=0,"",100%)</f>
        <v>1</v>
      </c>
      <c r="K158" s="118" t="n">
        <v>14</v>
      </c>
      <c r="L158" s="118" t="n">
        <f aca="false">IF(SUM($K158)=0,"",$K158)</f>
        <v>14</v>
      </c>
      <c r="M158" s="118" t="n">
        <v>17</v>
      </c>
      <c r="N158" s="118" t="n">
        <f aca="false">IF(SUM($M158)=0,"",$M158)</f>
        <v>17</v>
      </c>
      <c r="O158" s="73" t="n">
        <f aca="false">IF(SUM($H158)&lt;=0,"",ROUND(SUM($H158)*SUM($J158),0))</f>
        <v>39</v>
      </c>
      <c r="P158" s="75" t="n">
        <f aca="false">IF(SUM($O158)&lt;=0,"",ROUND(SUM($O158)*SUM($L158),0))</f>
        <v>546</v>
      </c>
      <c r="Q158" s="75" t="n">
        <f aca="false">IF(SUM($O158)&lt;=0,"",ROUND((SUM($O158)-SUM($P158))*SUM($N158),0))</f>
        <v>-8619</v>
      </c>
      <c r="R158" s="75" t="n">
        <f aca="false">IF(SUM($O158)&lt;=0,"",ROUND(SUM($O158)-SUM($P158)-SUM($Q158),0))</f>
        <v>8112</v>
      </c>
      <c r="S158" s="118" t="n">
        <f aca="false">_xlfn.IFNA(INDEX(Cascade!$BA:$BA,MATCH($E158,Cascade!$E:$E,0)),"")</f>
        <v>0.95</v>
      </c>
      <c r="T158" s="75" t="n">
        <f aca="false">IF(SUM($P158)&lt;=0,"",$P158)</f>
        <v>546</v>
      </c>
      <c r="U158" s="75" t="str">
        <f aca="false">IF(SUM($Q158)&lt;=0,"",ROUND($Q158*$S158,0))</f>
        <v/>
      </c>
      <c r="V158" s="73" t="n">
        <f aca="false">_xlfn.IFNA(INDEX(Cascade!$BD:$BD,MATCH($E158,Cascade!$E:$E,0)),"")</f>
        <v>8</v>
      </c>
      <c r="W158" s="118" t="n">
        <f aca="false">IF(OR(SUM($V158)&lt;=0,SUM($Q158)=0),"",SUM($Q158)/$V158)</f>
        <v>-1077.375</v>
      </c>
      <c r="X158" s="118" t="n">
        <f aca="false">_xlfn.IFNA(INDEX(Cascade!$BL:$BL,MATCH($E158,Cascade!$E:$E,0)),"")</f>
        <v>0.25</v>
      </c>
      <c r="Y158" s="118" t="str">
        <f aca="false">_xlfn.IFNA(INDEX(Cascade!$BM:$BM,MATCH($E158,Cascade!$E:$E,0)),"")</f>
        <v/>
      </c>
      <c r="Z158" s="118" t="str">
        <f aca="false">_xlfn.IFNA(INDEX(Cascade!$BN:$BN,MATCH($E158,Cascade!$E:$E,0)),"")</f>
        <v/>
      </c>
      <c r="AA158" s="118" t="str">
        <f aca="false">_xlfn.IFNA(INDEX(Cascade!$BP:$BP,MATCH($E158,Cascade!$E:$E,0)),"")</f>
        <v/>
      </c>
      <c r="AB158" s="118" t="n">
        <f aca="false">_xlfn.IFNA(INDEX(Cascade!$BR:$BR,MATCH($E158,Cascade!$E:$E,0)),"")</f>
        <v>1078.125</v>
      </c>
    </row>
    <row r="159" customFormat="false" ht="15" hidden="false" customHeight="false" outlineLevel="0" collapsed="false">
      <c r="A159" s="0" t="s">
        <v>147</v>
      </c>
      <c r="B159" s="0" t="s">
        <v>105</v>
      </c>
      <c r="C159" s="0" t="s">
        <v>72</v>
      </c>
      <c r="D159" s="0" t="s">
        <v>56</v>
      </c>
      <c r="E159" s="0" t="str">
        <f aca="false">B159&amp;"|"&amp;C159&amp;"|"&amp;D159</f>
        <v>Mohale's Hoek [#SNU] [#DREAMS] [YGI7vISD2kJ]|30-34|Female</v>
      </c>
      <c r="F159" s="73" t="n">
        <v>23</v>
      </c>
      <c r="G159" s="118" t="n">
        <f aca="false">IF(SUM($F159)&lt;=0,"",0%)</f>
        <v>0</v>
      </c>
      <c r="H159" s="75" t="n">
        <f aca="false">IF(SUM($F159)&lt;=0,"",$F159*(1+$G159))</f>
        <v>23</v>
      </c>
      <c r="I159" s="73" t="n">
        <v>14</v>
      </c>
      <c r="J159" s="118" t="n">
        <f aca="false">IF(SUM($H159)&lt;=0,"",100%)</f>
        <v>1</v>
      </c>
      <c r="K159" s="118" t="n">
        <v>40</v>
      </c>
      <c r="L159" s="118" t="n">
        <f aca="false">IF(SUM($K159)=0,"",$K159)</f>
        <v>40</v>
      </c>
      <c r="M159" s="118" t="n">
        <v>29</v>
      </c>
      <c r="N159" s="118" t="n">
        <f aca="false">IF(SUM($M159)=0,"",$M159)</f>
        <v>29</v>
      </c>
      <c r="O159" s="73" t="n">
        <f aca="false">IF(SUM($H159)&lt;=0,"",ROUND(SUM($H159)*SUM($J159),0))</f>
        <v>23</v>
      </c>
      <c r="P159" s="75" t="n">
        <f aca="false">IF(SUM($O159)&lt;=0,"",ROUND(SUM($O159)*SUM($L159),0))</f>
        <v>920</v>
      </c>
      <c r="Q159" s="75" t="n">
        <f aca="false">IF(SUM($O159)&lt;=0,"",ROUND((SUM($O159)-SUM($P159))*SUM($N159),0))</f>
        <v>-26013</v>
      </c>
      <c r="R159" s="75" t="n">
        <f aca="false">IF(SUM($O159)&lt;=0,"",ROUND(SUM($O159)-SUM($P159)-SUM($Q159),0))</f>
        <v>25116</v>
      </c>
      <c r="S159" s="118" t="n">
        <f aca="false">_xlfn.IFNA(INDEX(Cascade!$BA:$BA,MATCH($E159,Cascade!$E:$E,0)),"")</f>
        <v>0.95</v>
      </c>
      <c r="T159" s="75" t="n">
        <f aca="false">IF(SUM($P159)&lt;=0,"",$P159)</f>
        <v>920</v>
      </c>
      <c r="U159" s="75" t="str">
        <f aca="false">IF(SUM($Q159)&lt;=0,"",ROUND($Q159*$S159,0))</f>
        <v/>
      </c>
      <c r="V159" s="73" t="n">
        <f aca="false">_xlfn.IFNA(INDEX(Cascade!$BD:$BD,MATCH($E159,Cascade!$E:$E,0)),"")</f>
        <v>7</v>
      </c>
      <c r="W159" s="118" t="n">
        <f aca="false">IF(OR(SUM($V159)&lt;=0,SUM($Q159)=0),"",SUM($Q159)/$V159)</f>
        <v>-3716.14285714286</v>
      </c>
      <c r="X159" s="118" t="n">
        <f aca="false">_xlfn.IFNA(INDEX(Cascade!$BL:$BL,MATCH($E159,Cascade!$E:$E,0)),"")</f>
        <v>0.285714285714286</v>
      </c>
      <c r="Y159" s="118" t="n">
        <f aca="false">_xlfn.IFNA(INDEX(Cascade!$BM:$BM,MATCH($E159,Cascade!$E:$E,0)),"")</f>
        <v>-3390.85714285714</v>
      </c>
      <c r="Z159" s="118" t="str">
        <f aca="false">_xlfn.IFNA(INDEX(Cascade!$BN:$BN,MATCH($E159,Cascade!$E:$E,0)),"")</f>
        <v/>
      </c>
      <c r="AA159" s="118" t="str">
        <f aca="false">_xlfn.IFNA(INDEX(Cascade!$BP:$BP,MATCH($E159,Cascade!$E:$E,0)),"")</f>
        <v/>
      </c>
      <c r="AB159" s="118" t="n">
        <f aca="false">_xlfn.IFNA(INDEX(Cascade!$BR:$BR,MATCH($E159,Cascade!$E:$E,0)),"")</f>
        <v>7107.71428571429</v>
      </c>
    </row>
    <row r="160" customFormat="false" ht="15" hidden="false" customHeight="false" outlineLevel="0" collapsed="false">
      <c r="A160" s="0" t="s">
        <v>147</v>
      </c>
      <c r="B160" s="0" t="s">
        <v>105</v>
      </c>
      <c r="C160" s="0" t="s">
        <v>72</v>
      </c>
      <c r="D160" s="0" t="s">
        <v>58</v>
      </c>
      <c r="E160" s="0" t="str">
        <f aca="false">B160&amp;"|"&amp;C160&amp;"|"&amp;D160</f>
        <v>Mohale's Hoek [#SNU] [#DREAMS] [YGI7vISD2kJ]|30-34|Male</v>
      </c>
      <c r="F160" s="73" t="n">
        <v>49</v>
      </c>
      <c r="G160" s="118" t="n">
        <f aca="false">IF(SUM($F160)&lt;=0,"",0%)</f>
        <v>0</v>
      </c>
      <c r="H160" s="75" t="n">
        <f aca="false">IF(SUM($F160)&lt;=0,"",$F160*(1+$G160))</f>
        <v>49</v>
      </c>
      <c r="I160" s="73" t="n">
        <v>9</v>
      </c>
      <c r="J160" s="118" t="n">
        <f aca="false">IF(SUM($H160)&lt;=0,"",100%)</f>
        <v>1</v>
      </c>
      <c r="K160" s="118" t="n">
        <v>31</v>
      </c>
      <c r="L160" s="118" t="n">
        <f aca="false">IF(SUM($K160)=0,"",$K160)</f>
        <v>31</v>
      </c>
      <c r="M160" s="118" t="n">
        <v>33</v>
      </c>
      <c r="N160" s="118" t="n">
        <f aca="false">IF(SUM($M160)=0,"",$M160)</f>
        <v>33</v>
      </c>
      <c r="O160" s="73" t="n">
        <f aca="false">IF(SUM($H160)&lt;=0,"",ROUND(SUM($H160)*SUM($J160),0))</f>
        <v>49</v>
      </c>
      <c r="P160" s="75" t="n">
        <f aca="false">IF(SUM($O160)&lt;=0,"",ROUND(SUM($O160)*SUM($L160),0))</f>
        <v>1519</v>
      </c>
      <c r="Q160" s="75" t="n">
        <f aca="false">IF(SUM($O160)&lt;=0,"",ROUND((SUM($O160)-SUM($P160))*SUM($N160),0))</f>
        <v>-48510</v>
      </c>
      <c r="R160" s="75" t="n">
        <f aca="false">IF(SUM($O160)&lt;=0,"",ROUND(SUM($O160)-SUM($P160)-SUM($Q160),0))</f>
        <v>47040</v>
      </c>
      <c r="S160" s="118" t="n">
        <f aca="false">_xlfn.IFNA(INDEX(Cascade!$BA:$BA,MATCH($E160,Cascade!$E:$E,0)),"")</f>
        <v>0.95</v>
      </c>
      <c r="T160" s="75" t="n">
        <f aca="false">IF(SUM($P160)&lt;=0,"",$P160)</f>
        <v>1519</v>
      </c>
      <c r="U160" s="75" t="str">
        <f aca="false">IF(SUM($Q160)&lt;=0,"",ROUND($Q160*$S160,0))</f>
        <v/>
      </c>
      <c r="V160" s="73" t="n">
        <f aca="false">_xlfn.IFNA(INDEX(Cascade!$BD:$BD,MATCH($E160,Cascade!$E:$E,0)),"")</f>
        <v>16</v>
      </c>
      <c r="W160" s="118" t="n">
        <f aca="false">IF(OR(SUM($V160)&lt;=0,SUM($Q160)=0),"",SUM($Q160)/$V160)</f>
        <v>-3031.875</v>
      </c>
      <c r="X160" s="118" t="n">
        <f aca="false">_xlfn.IFNA(INDEX(Cascade!$BL:$BL,MATCH($E160,Cascade!$E:$E,0)),"")</f>
        <v>0.3125</v>
      </c>
      <c r="Y160" s="118" t="str">
        <f aca="false">_xlfn.IFNA(INDEX(Cascade!$BM:$BM,MATCH($E160,Cascade!$E:$E,0)),"")</f>
        <v/>
      </c>
      <c r="Z160" s="118" t="str">
        <f aca="false">_xlfn.IFNA(INDEX(Cascade!$BN:$BN,MATCH($E160,Cascade!$E:$E,0)),"")</f>
        <v/>
      </c>
      <c r="AA160" s="118" t="str">
        <f aca="false">_xlfn.IFNA(INDEX(Cascade!$BP:$BP,MATCH($E160,Cascade!$E:$E,0)),"")</f>
        <v/>
      </c>
      <c r="AB160" s="118" t="n">
        <f aca="false">_xlfn.IFNA(INDEX(Cascade!$BR:$BR,MATCH($E160,Cascade!$E:$E,0)),"")</f>
        <v>3032.5625</v>
      </c>
    </row>
    <row r="161" customFormat="false" ht="15" hidden="false" customHeight="false" outlineLevel="0" collapsed="false">
      <c r="A161" s="0" t="s">
        <v>147</v>
      </c>
      <c r="B161" s="0" t="s">
        <v>105</v>
      </c>
      <c r="C161" s="0" t="s">
        <v>75</v>
      </c>
      <c r="D161" s="0" t="s">
        <v>56</v>
      </c>
      <c r="E161" s="0" t="str">
        <f aca="false">B161&amp;"|"&amp;C161&amp;"|"&amp;D161</f>
        <v>Mohale's Hoek [#SNU] [#DREAMS] [YGI7vISD2kJ]|35-39|Female</v>
      </c>
      <c r="F161" s="73" t="n">
        <v>25</v>
      </c>
      <c r="G161" s="118" t="n">
        <f aca="false">IF(SUM($F161)&lt;=0,"",0%)</f>
        <v>0</v>
      </c>
      <c r="H161" s="75" t="n">
        <f aca="false">IF(SUM($F161)&lt;=0,"",$F161*(1+$G161))</f>
        <v>25</v>
      </c>
      <c r="I161" s="73" t="n">
        <v>29</v>
      </c>
      <c r="J161" s="118" t="n">
        <f aca="false">IF(SUM($H161)&lt;=0,"",100%)</f>
        <v>1</v>
      </c>
      <c r="K161" s="118" t="n">
        <v>46</v>
      </c>
      <c r="L161" s="118" t="n">
        <f aca="false">IF(SUM($K161)=0,"",$K161)</f>
        <v>46</v>
      </c>
      <c r="M161" s="118" t="n">
        <v>11</v>
      </c>
      <c r="N161" s="118" t="n">
        <f aca="false">IF(SUM($M161)=0,"",$M161)</f>
        <v>11</v>
      </c>
      <c r="O161" s="73" t="n">
        <f aca="false">IF(SUM($H161)&lt;=0,"",ROUND(SUM($H161)*SUM($J161),0))</f>
        <v>25</v>
      </c>
      <c r="P161" s="75" t="n">
        <f aca="false">IF(SUM($O161)&lt;=0,"",ROUND(SUM($O161)*SUM($L161),0))</f>
        <v>1150</v>
      </c>
      <c r="Q161" s="75" t="n">
        <f aca="false">IF(SUM($O161)&lt;=0,"",ROUND((SUM($O161)-SUM($P161))*SUM($N161),0))</f>
        <v>-12375</v>
      </c>
      <c r="R161" s="75" t="n">
        <f aca="false">IF(SUM($O161)&lt;=0,"",ROUND(SUM($O161)-SUM($P161)-SUM($Q161),0))</f>
        <v>11250</v>
      </c>
      <c r="S161" s="118" t="n">
        <f aca="false">_xlfn.IFNA(INDEX(Cascade!$BA:$BA,MATCH($E161,Cascade!$E:$E,0)),"")</f>
        <v>0.95</v>
      </c>
      <c r="T161" s="75" t="n">
        <f aca="false">IF(SUM($P161)&lt;=0,"",$P161)</f>
        <v>1150</v>
      </c>
      <c r="U161" s="75" t="str">
        <f aca="false">IF(SUM($Q161)&lt;=0,"",ROUND($Q161*$S161,0))</f>
        <v/>
      </c>
      <c r="V161" s="73" t="n">
        <f aca="false">_xlfn.IFNA(INDEX(Cascade!$BD:$BD,MATCH($E161,Cascade!$E:$E,0)),"")</f>
        <v>4</v>
      </c>
      <c r="W161" s="118" t="n">
        <f aca="false">IF(OR(SUM($V161)&lt;=0,SUM($Q161)=0),"",SUM($Q161)/$V161)</f>
        <v>-3093.75</v>
      </c>
      <c r="X161" s="118" t="n">
        <f aca="false">_xlfn.IFNA(INDEX(Cascade!$BL:$BL,MATCH($E161,Cascade!$E:$E,0)),"")</f>
        <v>0.5</v>
      </c>
      <c r="Y161" s="118" t="n">
        <f aca="false">_xlfn.IFNA(INDEX(Cascade!$BM:$BM,MATCH($E161,Cascade!$E:$E,0)),"")</f>
        <v>-98</v>
      </c>
      <c r="Z161" s="118" t="str">
        <f aca="false">_xlfn.IFNA(INDEX(Cascade!$BN:$BN,MATCH($E161,Cascade!$E:$E,0)),"")</f>
        <v/>
      </c>
      <c r="AA161" s="118" t="str">
        <f aca="false">_xlfn.IFNA(INDEX(Cascade!$BP:$BP,MATCH($E161,Cascade!$E:$E,0)),"")</f>
        <v/>
      </c>
      <c r="AB161" s="118" t="n">
        <f aca="false">_xlfn.IFNA(INDEX(Cascade!$BR:$BR,MATCH($E161,Cascade!$E:$E,0)),"")</f>
        <v>3192.25</v>
      </c>
    </row>
    <row r="162" customFormat="false" ht="15" hidden="false" customHeight="false" outlineLevel="0" collapsed="false">
      <c r="A162" s="0" t="s">
        <v>147</v>
      </c>
      <c r="B162" s="0" t="s">
        <v>105</v>
      </c>
      <c r="C162" s="0" t="s">
        <v>75</v>
      </c>
      <c r="D162" s="0" t="s">
        <v>58</v>
      </c>
      <c r="E162" s="0" t="str">
        <f aca="false">B162&amp;"|"&amp;C162&amp;"|"&amp;D162</f>
        <v>Mohale's Hoek [#SNU] [#DREAMS] [YGI7vISD2kJ]|35-39|Male</v>
      </c>
      <c r="F162" s="73" t="n">
        <v>20</v>
      </c>
      <c r="G162" s="118" t="n">
        <f aca="false">IF(SUM($F162)&lt;=0,"",0%)</f>
        <v>0</v>
      </c>
      <c r="H162" s="75" t="n">
        <f aca="false">IF(SUM($F162)&lt;=0,"",$F162*(1+$G162))</f>
        <v>20</v>
      </c>
      <c r="I162" s="73" t="n">
        <v>14</v>
      </c>
      <c r="J162" s="118" t="n">
        <f aca="false">IF(SUM($H162)&lt;=0,"",100%)</f>
        <v>1</v>
      </c>
      <c r="K162" s="118" t="n">
        <v>4</v>
      </c>
      <c r="L162" s="118" t="n">
        <f aca="false">IF(SUM($K162)=0,"",$K162)</f>
        <v>4</v>
      </c>
      <c r="M162" s="118" t="n">
        <v>1</v>
      </c>
      <c r="N162" s="118" t="n">
        <f aca="false">IF(SUM($M162)=0,"",$M162)</f>
        <v>1</v>
      </c>
      <c r="O162" s="73" t="n">
        <f aca="false">IF(SUM($H162)&lt;=0,"",ROUND(SUM($H162)*SUM($J162),0))</f>
        <v>20</v>
      </c>
      <c r="P162" s="75" t="n">
        <f aca="false">IF(SUM($O162)&lt;=0,"",ROUND(SUM($O162)*SUM($L162),0))</f>
        <v>80</v>
      </c>
      <c r="Q162" s="75" t="n">
        <f aca="false">IF(SUM($O162)&lt;=0,"",ROUND((SUM($O162)-SUM($P162))*SUM($N162),0))</f>
        <v>-60</v>
      </c>
      <c r="R162" s="75" t="n">
        <f aca="false">IF(SUM($O162)&lt;=0,"",ROUND(SUM($O162)-SUM($P162)-SUM($Q162),0))</f>
        <v>0</v>
      </c>
      <c r="S162" s="118" t="n">
        <f aca="false">_xlfn.IFNA(INDEX(Cascade!$BA:$BA,MATCH($E162,Cascade!$E:$E,0)),"")</f>
        <v>0.95</v>
      </c>
      <c r="T162" s="75" t="n">
        <f aca="false">IF(SUM($P162)&lt;=0,"",$P162)</f>
        <v>80</v>
      </c>
      <c r="U162" s="75" t="str">
        <f aca="false">IF(SUM($Q162)&lt;=0,"",ROUND($Q162*$S162,0))</f>
        <v/>
      </c>
      <c r="V162" s="73" t="n">
        <f aca="false">_xlfn.IFNA(INDEX(Cascade!$BD:$BD,MATCH($E162,Cascade!$E:$E,0)),"")</f>
        <v>24</v>
      </c>
      <c r="W162" s="118" t="n">
        <f aca="false">IF(OR(SUM($V162)&lt;=0,SUM($Q162)=0),"",SUM($Q162)/$V162)</f>
        <v>-2.5</v>
      </c>
      <c r="X162" s="118" t="n">
        <f aca="false">_xlfn.IFNA(INDEX(Cascade!$BL:$BL,MATCH($E162,Cascade!$E:$E,0)),"")</f>
        <v>0.291666666666667</v>
      </c>
      <c r="Y162" s="118" t="str">
        <f aca="false">_xlfn.IFNA(INDEX(Cascade!$BM:$BM,MATCH($E162,Cascade!$E:$E,0)),"")</f>
        <v/>
      </c>
      <c r="Z162" s="118" t="str">
        <f aca="false">_xlfn.IFNA(INDEX(Cascade!$BN:$BN,MATCH($E162,Cascade!$E:$E,0)),"")</f>
        <v/>
      </c>
      <c r="AA162" s="118" t="str">
        <f aca="false">_xlfn.IFNA(INDEX(Cascade!$BP:$BP,MATCH($E162,Cascade!$E:$E,0)),"")</f>
        <v/>
      </c>
      <c r="AB162" s="118" t="n">
        <f aca="false">_xlfn.IFNA(INDEX(Cascade!$BR:$BR,MATCH($E162,Cascade!$E:$E,0)),"")</f>
        <v>3.20833333333333</v>
      </c>
    </row>
    <row r="163" customFormat="false" ht="15" hidden="false" customHeight="false" outlineLevel="0" collapsed="false">
      <c r="A163" s="0" t="s">
        <v>147</v>
      </c>
      <c r="B163" s="0" t="s">
        <v>105</v>
      </c>
      <c r="C163" s="0" t="s">
        <v>77</v>
      </c>
      <c r="D163" s="0" t="s">
        <v>56</v>
      </c>
      <c r="E163" s="0" t="str">
        <f aca="false">B163&amp;"|"&amp;C163&amp;"|"&amp;D163</f>
        <v>Mohale's Hoek [#SNU] [#DREAMS] [YGI7vISD2kJ]|40-44|Female</v>
      </c>
      <c r="F163" s="73" t="n">
        <v>33</v>
      </c>
      <c r="G163" s="118" t="n">
        <f aca="false">IF(SUM($F163)&lt;=0,"",0%)</f>
        <v>0</v>
      </c>
      <c r="H163" s="75" t="n">
        <f aca="false">IF(SUM($F163)&lt;=0,"",$F163*(1+$G163))</f>
        <v>33</v>
      </c>
      <c r="I163" s="73" t="n">
        <v>37</v>
      </c>
      <c r="J163" s="118" t="n">
        <f aca="false">IF(SUM($H163)&lt;=0,"",100%)</f>
        <v>1</v>
      </c>
      <c r="K163" s="118" t="n">
        <v>21</v>
      </c>
      <c r="L163" s="118" t="n">
        <f aca="false">IF(SUM($K163)=0,"",$K163)</f>
        <v>21</v>
      </c>
      <c r="M163" s="118" t="n">
        <v>29</v>
      </c>
      <c r="N163" s="118" t="n">
        <f aca="false">IF(SUM($M163)=0,"",$M163)</f>
        <v>29</v>
      </c>
      <c r="O163" s="73" t="n">
        <f aca="false">IF(SUM($H163)&lt;=0,"",ROUND(SUM($H163)*SUM($J163),0))</f>
        <v>33</v>
      </c>
      <c r="P163" s="75" t="n">
        <f aca="false">IF(SUM($O163)&lt;=0,"",ROUND(SUM($O163)*SUM($L163),0))</f>
        <v>693</v>
      </c>
      <c r="Q163" s="75" t="n">
        <f aca="false">IF(SUM($O163)&lt;=0,"",ROUND((SUM($O163)-SUM($P163))*SUM($N163),0))</f>
        <v>-19140</v>
      </c>
      <c r="R163" s="75" t="n">
        <f aca="false">IF(SUM($O163)&lt;=0,"",ROUND(SUM($O163)-SUM($P163)-SUM($Q163),0))</f>
        <v>18480</v>
      </c>
      <c r="S163" s="118" t="n">
        <f aca="false">_xlfn.IFNA(INDEX(Cascade!$BA:$BA,MATCH($E163,Cascade!$E:$E,0)),"")</f>
        <v>0.95</v>
      </c>
      <c r="T163" s="75" t="n">
        <f aca="false">IF(SUM($P163)&lt;=0,"",$P163)</f>
        <v>693</v>
      </c>
      <c r="U163" s="75" t="str">
        <f aca="false">IF(SUM($Q163)&lt;=0,"",ROUND($Q163*$S163,0))</f>
        <v/>
      </c>
      <c r="V163" s="73" t="n">
        <f aca="false">_xlfn.IFNA(INDEX(Cascade!$BD:$BD,MATCH($E163,Cascade!$E:$E,0)),"")</f>
        <v>2</v>
      </c>
      <c r="W163" s="118" t="n">
        <f aca="false">IF(OR(SUM($V163)&lt;=0,SUM($Q163)=0),"",SUM($Q163)/$V163)</f>
        <v>-9570</v>
      </c>
      <c r="X163" s="118" t="n">
        <f aca="false">_xlfn.IFNA(INDEX(Cascade!$BL:$BL,MATCH($E163,Cascade!$E:$E,0)),"")</f>
        <v>1</v>
      </c>
      <c r="Y163" s="118" t="n">
        <f aca="false">_xlfn.IFNA(INDEX(Cascade!$BM:$BM,MATCH($E163,Cascade!$E:$E,0)),"")</f>
        <v>-14355</v>
      </c>
      <c r="Z163" s="118" t="str">
        <f aca="false">_xlfn.IFNA(INDEX(Cascade!$BN:$BN,MATCH($E163,Cascade!$E:$E,0)),"")</f>
        <v/>
      </c>
      <c r="AA163" s="118" t="str">
        <f aca="false">_xlfn.IFNA(INDEX(Cascade!$BP:$BP,MATCH($E163,Cascade!$E:$E,0)),"")</f>
        <v/>
      </c>
      <c r="AB163" s="118" t="n">
        <f aca="false">_xlfn.IFNA(INDEX(Cascade!$BR:$BR,MATCH($E163,Cascade!$E:$E,0)),"")</f>
        <v>23925</v>
      </c>
    </row>
    <row r="164" customFormat="false" ht="15" hidden="false" customHeight="false" outlineLevel="0" collapsed="false">
      <c r="A164" s="0" t="s">
        <v>147</v>
      </c>
      <c r="B164" s="0" t="s">
        <v>105</v>
      </c>
      <c r="C164" s="0" t="s">
        <v>77</v>
      </c>
      <c r="D164" s="0" t="s">
        <v>58</v>
      </c>
      <c r="E164" s="0" t="str">
        <f aca="false">B164&amp;"|"&amp;C164&amp;"|"&amp;D164</f>
        <v>Mohale's Hoek [#SNU] [#DREAMS] [YGI7vISD2kJ]|40-44|Male</v>
      </c>
      <c r="F164" s="73" t="n">
        <v>6</v>
      </c>
      <c r="G164" s="118" t="n">
        <f aca="false">IF(SUM($F164)&lt;=0,"",0%)</f>
        <v>0</v>
      </c>
      <c r="H164" s="75" t="n">
        <f aca="false">IF(SUM($F164)&lt;=0,"",$F164*(1+$G164))</f>
        <v>6</v>
      </c>
      <c r="I164" s="73" t="n">
        <v>41</v>
      </c>
      <c r="J164" s="118" t="n">
        <f aca="false">IF(SUM($H164)&lt;=0,"",100%)</f>
        <v>1</v>
      </c>
      <c r="K164" s="118" t="n">
        <v>48</v>
      </c>
      <c r="L164" s="118" t="n">
        <f aca="false">IF(SUM($K164)=0,"",$K164)</f>
        <v>48</v>
      </c>
      <c r="M164" s="118" t="n">
        <v>31</v>
      </c>
      <c r="N164" s="118" t="n">
        <f aca="false">IF(SUM($M164)=0,"",$M164)</f>
        <v>31</v>
      </c>
      <c r="O164" s="73" t="n">
        <f aca="false">IF(SUM($H164)&lt;=0,"",ROUND(SUM($H164)*SUM($J164),0))</f>
        <v>6</v>
      </c>
      <c r="P164" s="75" t="n">
        <f aca="false">IF(SUM($O164)&lt;=0,"",ROUND(SUM($O164)*SUM($L164),0))</f>
        <v>288</v>
      </c>
      <c r="Q164" s="75" t="n">
        <f aca="false">IF(SUM($O164)&lt;=0,"",ROUND((SUM($O164)-SUM($P164))*SUM($N164),0))</f>
        <v>-8742</v>
      </c>
      <c r="R164" s="75" t="n">
        <f aca="false">IF(SUM($O164)&lt;=0,"",ROUND(SUM($O164)-SUM($P164)-SUM($Q164),0))</f>
        <v>8460</v>
      </c>
      <c r="S164" s="118" t="n">
        <f aca="false">_xlfn.IFNA(INDEX(Cascade!$BA:$BA,MATCH($E164,Cascade!$E:$E,0)),"")</f>
        <v>0.95</v>
      </c>
      <c r="T164" s="75" t="n">
        <f aca="false">IF(SUM($P164)&lt;=0,"",$P164)</f>
        <v>288</v>
      </c>
      <c r="U164" s="75" t="str">
        <f aca="false">IF(SUM($Q164)&lt;=0,"",ROUND($Q164*$S164,0))</f>
        <v/>
      </c>
      <c r="V164" s="73" t="n">
        <f aca="false">_xlfn.IFNA(INDEX(Cascade!$BD:$BD,MATCH($E164,Cascade!$E:$E,0)),"")</f>
        <v>21</v>
      </c>
      <c r="W164" s="118" t="n">
        <f aca="false">IF(OR(SUM($V164)&lt;=0,SUM($Q164)=0),"",SUM($Q164)/$V164)</f>
        <v>-416.285714285714</v>
      </c>
      <c r="X164" s="118" t="n">
        <f aca="false">_xlfn.IFNA(INDEX(Cascade!$BL:$BL,MATCH($E164,Cascade!$E:$E,0)),"")</f>
        <v>0.285714285714286</v>
      </c>
      <c r="Y164" s="118" t="str">
        <f aca="false">_xlfn.IFNA(INDEX(Cascade!$BM:$BM,MATCH($E164,Cascade!$E:$E,0)),"")</f>
        <v/>
      </c>
      <c r="Z164" s="118" t="str">
        <f aca="false">_xlfn.IFNA(INDEX(Cascade!$BN:$BN,MATCH($E164,Cascade!$E:$E,0)),"")</f>
        <v/>
      </c>
      <c r="AA164" s="118" t="str">
        <f aca="false">_xlfn.IFNA(INDEX(Cascade!$BP:$BP,MATCH($E164,Cascade!$E:$E,0)),"")</f>
        <v/>
      </c>
      <c r="AB164" s="118" t="n">
        <f aca="false">_xlfn.IFNA(INDEX(Cascade!$BR:$BR,MATCH($E164,Cascade!$E:$E,0)),"")</f>
        <v>417</v>
      </c>
    </row>
    <row r="165" customFormat="false" ht="15" hidden="false" customHeight="false" outlineLevel="0" collapsed="false">
      <c r="A165" s="0" t="s">
        <v>147</v>
      </c>
      <c r="B165" s="0" t="s">
        <v>105</v>
      </c>
      <c r="C165" s="0" t="s">
        <v>80</v>
      </c>
      <c r="D165" s="0" t="s">
        <v>56</v>
      </c>
      <c r="E165" s="0" t="str">
        <f aca="false">B165&amp;"|"&amp;C165&amp;"|"&amp;D165</f>
        <v>Mohale's Hoek [#SNU] [#DREAMS] [YGI7vISD2kJ]|45-49|Female</v>
      </c>
      <c r="F165" s="73" t="n">
        <v>18</v>
      </c>
      <c r="G165" s="118" t="n">
        <f aca="false">IF(SUM($F165)&lt;=0,"",0%)</f>
        <v>0</v>
      </c>
      <c r="H165" s="75" t="n">
        <f aca="false">IF(SUM($F165)&lt;=0,"",$F165*(1+$G165))</f>
        <v>18</v>
      </c>
      <c r="I165" s="73" t="n">
        <v>9</v>
      </c>
      <c r="J165" s="118" t="n">
        <f aca="false">IF(SUM($H165)&lt;=0,"",100%)</f>
        <v>1</v>
      </c>
      <c r="K165" s="118" t="n">
        <v>31</v>
      </c>
      <c r="L165" s="118" t="n">
        <f aca="false">IF(SUM($K165)=0,"",$K165)</f>
        <v>31</v>
      </c>
      <c r="M165" s="118"/>
      <c r="N165" s="118" t="str">
        <f aca="false">IF(SUM($M165)=0,"",$M165)</f>
        <v/>
      </c>
      <c r="O165" s="73" t="n">
        <f aca="false">IF(SUM($H165)&lt;=0,"",ROUND(SUM($H165)*SUM($J165),0))</f>
        <v>18</v>
      </c>
      <c r="P165" s="75" t="n">
        <f aca="false">IF(SUM($O165)&lt;=0,"",ROUND(SUM($O165)*SUM($L165),0))</f>
        <v>558</v>
      </c>
      <c r="Q165" s="75" t="n">
        <f aca="false">IF(SUM($O165)&lt;=0,"",ROUND((SUM($O165)-SUM($P165))*SUM($N165),0))</f>
        <v>-0</v>
      </c>
      <c r="R165" s="75" t="n">
        <f aca="false">IF(SUM($O165)&lt;=0,"",ROUND(SUM($O165)-SUM($P165)-SUM($Q165),0))</f>
        <v>-540</v>
      </c>
      <c r="S165" s="118" t="n">
        <f aca="false">_xlfn.IFNA(INDEX(Cascade!$BA:$BA,MATCH($E165,Cascade!$E:$E,0)),"")</f>
        <v>0.95</v>
      </c>
      <c r="T165" s="75" t="n">
        <f aca="false">IF(SUM($P165)&lt;=0,"",$P165)</f>
        <v>558</v>
      </c>
      <c r="U165" s="75" t="str">
        <f aca="false">IF(SUM($Q165)&lt;=0,"",ROUND($Q165*$S165,0))</f>
        <v/>
      </c>
      <c r="V165" s="73" t="str">
        <f aca="false">_xlfn.IFNA(INDEX(Cascade!$BD:$BD,MATCH($E165,Cascade!$E:$E,0)),"")</f>
        <v/>
      </c>
      <c r="W165" s="118" t="str">
        <f aca="false">IF(OR(SUM($V165)&lt;=0,SUM($Q165)=0),"",SUM($Q165)/$V165)</f>
        <v/>
      </c>
      <c r="X165" s="118" t="str">
        <f aca="false">_xlfn.IFNA(INDEX(Cascade!$BL:$BL,MATCH($E165,Cascade!$E:$E,0)),"")</f>
        <v/>
      </c>
      <c r="Y165" s="118" t="str">
        <f aca="false">_xlfn.IFNA(INDEX(Cascade!$BM:$BM,MATCH($E165,Cascade!$E:$E,0)),"")</f>
        <v/>
      </c>
      <c r="Z165" s="118" t="str">
        <f aca="false">_xlfn.IFNA(INDEX(Cascade!$BN:$BN,MATCH($E165,Cascade!$E:$E,0)),"")</f>
        <v/>
      </c>
      <c r="AA165" s="118" t="str">
        <f aca="false">_xlfn.IFNA(INDEX(Cascade!$BP:$BP,MATCH($E165,Cascade!$E:$E,0)),"")</f>
        <v/>
      </c>
      <c r="AB165" s="118" t="str">
        <f aca="false">_xlfn.IFNA(INDEX(Cascade!$BR:$BR,MATCH($E165,Cascade!$E:$E,0)),"")</f>
        <v/>
      </c>
    </row>
    <row r="166" customFormat="false" ht="15" hidden="false" customHeight="false" outlineLevel="0" collapsed="false">
      <c r="A166" s="0" t="s">
        <v>147</v>
      </c>
      <c r="B166" s="0" t="s">
        <v>105</v>
      </c>
      <c r="C166" s="0" t="s">
        <v>80</v>
      </c>
      <c r="D166" s="0" t="s">
        <v>58</v>
      </c>
      <c r="E166" s="0" t="str">
        <f aca="false">B166&amp;"|"&amp;C166&amp;"|"&amp;D166</f>
        <v>Mohale's Hoek [#SNU] [#DREAMS] [YGI7vISD2kJ]|45-49|Male</v>
      </c>
      <c r="F166" s="73" t="n">
        <v>24</v>
      </c>
      <c r="G166" s="118" t="n">
        <f aca="false">IF(SUM($F166)&lt;=0,"",0%)</f>
        <v>0</v>
      </c>
      <c r="H166" s="75" t="n">
        <f aca="false">IF(SUM($F166)&lt;=0,"",$F166*(1+$G166))</f>
        <v>24</v>
      </c>
      <c r="I166" s="73" t="n">
        <v>5</v>
      </c>
      <c r="J166" s="118" t="n">
        <f aca="false">IF(SUM($H166)&lt;=0,"",100%)</f>
        <v>1</v>
      </c>
      <c r="K166" s="118" t="n">
        <v>34</v>
      </c>
      <c r="L166" s="118" t="n">
        <f aca="false">IF(SUM($K166)=0,"",$K166)</f>
        <v>34</v>
      </c>
      <c r="M166" s="118" t="n">
        <v>35</v>
      </c>
      <c r="N166" s="118" t="n">
        <f aca="false">IF(SUM($M166)=0,"",$M166)</f>
        <v>35</v>
      </c>
      <c r="O166" s="73" t="n">
        <f aca="false">IF(SUM($H166)&lt;=0,"",ROUND(SUM($H166)*SUM($J166),0))</f>
        <v>24</v>
      </c>
      <c r="P166" s="75" t="n">
        <f aca="false">IF(SUM($O166)&lt;=0,"",ROUND(SUM($O166)*SUM($L166),0))</f>
        <v>816</v>
      </c>
      <c r="Q166" s="75" t="n">
        <f aca="false">IF(SUM($O166)&lt;=0,"",ROUND((SUM($O166)-SUM($P166))*SUM($N166),0))</f>
        <v>-27720</v>
      </c>
      <c r="R166" s="75" t="n">
        <f aca="false">IF(SUM($O166)&lt;=0,"",ROUND(SUM($O166)-SUM($P166)-SUM($Q166),0))</f>
        <v>26928</v>
      </c>
      <c r="S166" s="118" t="n">
        <f aca="false">_xlfn.IFNA(INDEX(Cascade!$BA:$BA,MATCH($E166,Cascade!$E:$E,0)),"")</f>
        <v>0.95</v>
      </c>
      <c r="T166" s="75" t="n">
        <f aca="false">IF(SUM($P166)&lt;=0,"",$P166)</f>
        <v>816</v>
      </c>
      <c r="U166" s="75" t="str">
        <f aca="false">IF(SUM($Q166)&lt;=0,"",ROUND($Q166*$S166,0))</f>
        <v/>
      </c>
      <c r="V166" s="73" t="n">
        <f aca="false">_xlfn.IFNA(INDEX(Cascade!$BD:$BD,MATCH($E166,Cascade!$E:$E,0)),"")</f>
        <v>2</v>
      </c>
      <c r="W166" s="118" t="n">
        <f aca="false">IF(OR(SUM($V166)&lt;=0,SUM($Q166)=0),"",SUM($Q166)/$V166)</f>
        <v>-13860</v>
      </c>
      <c r="X166" s="118" t="n">
        <f aca="false">_xlfn.IFNA(INDEX(Cascade!$BL:$BL,MATCH($E166,Cascade!$E:$E,0)),"")</f>
        <v>0.5</v>
      </c>
      <c r="Y166" s="118" t="str">
        <f aca="false">_xlfn.IFNA(INDEX(Cascade!$BM:$BM,MATCH($E166,Cascade!$E:$E,0)),"")</f>
        <v/>
      </c>
      <c r="Z166" s="118" t="str">
        <f aca="false">_xlfn.IFNA(INDEX(Cascade!$BN:$BN,MATCH($E166,Cascade!$E:$E,0)),"")</f>
        <v/>
      </c>
      <c r="AA166" s="118" t="str">
        <f aca="false">_xlfn.IFNA(INDEX(Cascade!$BP:$BP,MATCH($E166,Cascade!$E:$E,0)),"")</f>
        <v/>
      </c>
      <c r="AB166" s="118" t="n">
        <f aca="false">_xlfn.IFNA(INDEX(Cascade!$BR:$BR,MATCH($E166,Cascade!$E:$E,0)),"")</f>
        <v>13860.5</v>
      </c>
    </row>
    <row r="167" customFormat="false" ht="15" hidden="false" customHeight="false" outlineLevel="0" collapsed="false">
      <c r="A167" s="0" t="s">
        <v>147</v>
      </c>
      <c r="B167" s="0" t="s">
        <v>105</v>
      </c>
      <c r="C167" s="0" t="s">
        <v>86</v>
      </c>
      <c r="D167" s="0" t="s">
        <v>56</v>
      </c>
      <c r="E167" s="0" t="str">
        <f aca="false">B167&amp;"|"&amp;C167&amp;"|"&amp;D167</f>
        <v>Mohale's Hoek [#SNU] [#DREAMS] [YGI7vISD2kJ]|50+|Female</v>
      </c>
      <c r="F167" s="73" t="n">
        <v>35</v>
      </c>
      <c r="G167" s="118" t="n">
        <f aca="false">IF(SUM($F167)&lt;=0,"",0%)</f>
        <v>0</v>
      </c>
      <c r="H167" s="75" t="n">
        <f aca="false">IF(SUM($F167)&lt;=0,"",$F167*(1+$G167))</f>
        <v>35</v>
      </c>
      <c r="I167" s="73" t="n">
        <v>4</v>
      </c>
      <c r="J167" s="118" t="n">
        <f aca="false">IF(SUM($H167)&lt;=0,"",100%)</f>
        <v>1</v>
      </c>
      <c r="K167" s="118" t="n">
        <v>13</v>
      </c>
      <c r="L167" s="118" t="n">
        <f aca="false">IF(SUM($K167)=0,"",$K167)</f>
        <v>13</v>
      </c>
      <c r="M167" s="118" t="n">
        <v>46</v>
      </c>
      <c r="N167" s="118" t="n">
        <f aca="false">IF(SUM($M167)=0,"",$M167)</f>
        <v>46</v>
      </c>
      <c r="O167" s="73" t="n">
        <f aca="false">IF(SUM($H167)&lt;=0,"",ROUND(SUM($H167)*SUM($J167),0))</f>
        <v>35</v>
      </c>
      <c r="P167" s="75" t="n">
        <f aca="false">IF(SUM($O167)&lt;=0,"",ROUND(SUM($O167)*SUM($L167),0))</f>
        <v>455</v>
      </c>
      <c r="Q167" s="75" t="n">
        <f aca="false">IF(SUM($O167)&lt;=0,"",ROUND((SUM($O167)-SUM($P167))*SUM($N167),0))</f>
        <v>-19320</v>
      </c>
      <c r="R167" s="75" t="n">
        <f aca="false">IF(SUM($O167)&lt;=0,"",ROUND(SUM($O167)-SUM($P167)-SUM($Q167),0))</f>
        <v>18900</v>
      </c>
      <c r="S167" s="118" t="n">
        <f aca="false">_xlfn.IFNA(INDEX(Cascade!$BA:$BA,MATCH($E167,Cascade!$E:$E,0)),"")</f>
        <v>0.95</v>
      </c>
      <c r="T167" s="75" t="n">
        <f aca="false">IF(SUM($P167)&lt;=0,"",$P167)</f>
        <v>455</v>
      </c>
      <c r="U167" s="75" t="str">
        <f aca="false">IF(SUM($Q167)&lt;=0,"",ROUND($Q167*$S167,0))</f>
        <v/>
      </c>
      <c r="V167" s="73" t="n">
        <f aca="false">_xlfn.IFNA(INDEX(Cascade!$BD:$BD,MATCH($E167,Cascade!$E:$E,0)),"")</f>
        <v>12</v>
      </c>
      <c r="W167" s="118" t="n">
        <f aca="false">IF(OR(SUM($V167)&lt;=0,SUM($Q167)=0),"",SUM($Q167)/$V167)</f>
        <v>-1610</v>
      </c>
      <c r="X167" s="118" t="n">
        <f aca="false">_xlfn.IFNA(INDEX(Cascade!$BL:$BL,MATCH($E167,Cascade!$E:$E,0)),"")</f>
        <v>0.5</v>
      </c>
      <c r="Y167" s="118" t="str">
        <f aca="false">_xlfn.IFNA(INDEX(Cascade!$BM:$BM,MATCH($E167,Cascade!$E:$E,0)),"")</f>
        <v/>
      </c>
      <c r="Z167" s="118" t="str">
        <f aca="false">_xlfn.IFNA(INDEX(Cascade!$BN:$BN,MATCH($E167,Cascade!$E:$E,0)),"")</f>
        <v/>
      </c>
      <c r="AA167" s="118" t="str">
        <f aca="false">_xlfn.IFNA(INDEX(Cascade!$BP:$BP,MATCH($E167,Cascade!$E:$E,0)),"")</f>
        <v/>
      </c>
      <c r="AB167" s="118" t="n">
        <f aca="false">_xlfn.IFNA(INDEX(Cascade!$BR:$BR,MATCH($E167,Cascade!$E:$E,0)),"")</f>
        <v>1610.5</v>
      </c>
    </row>
    <row r="168" customFormat="false" ht="15" hidden="false" customHeight="false" outlineLevel="0" collapsed="false">
      <c r="A168" s="0" t="s">
        <v>147</v>
      </c>
      <c r="B168" s="0" t="s">
        <v>105</v>
      </c>
      <c r="C168" s="0" t="s">
        <v>86</v>
      </c>
      <c r="D168" s="0" t="s">
        <v>58</v>
      </c>
      <c r="E168" s="0" t="str">
        <f aca="false">B168&amp;"|"&amp;C168&amp;"|"&amp;D168</f>
        <v>Mohale's Hoek [#SNU] [#DREAMS] [YGI7vISD2kJ]|50+|Male</v>
      </c>
      <c r="F168" s="73" t="n">
        <v>36</v>
      </c>
      <c r="G168" s="118" t="n">
        <f aca="false">IF(SUM($F168)&lt;=0,"",0%)</f>
        <v>0</v>
      </c>
      <c r="H168" s="75" t="n">
        <f aca="false">IF(SUM($F168)&lt;=0,"",$F168*(1+$G168))</f>
        <v>36</v>
      </c>
      <c r="I168" s="73" t="n">
        <v>6</v>
      </c>
      <c r="J168" s="118" t="n">
        <f aca="false">IF(SUM($H168)&lt;=0,"",100%)</f>
        <v>1</v>
      </c>
      <c r="K168" s="118" t="n">
        <v>1</v>
      </c>
      <c r="L168" s="118" t="n">
        <f aca="false">IF(SUM($K168)=0,"",$K168)</f>
        <v>1</v>
      </c>
      <c r="M168" s="118" t="n">
        <v>1</v>
      </c>
      <c r="N168" s="118" t="n">
        <f aca="false">IF(SUM($M168)=0,"",$M168)</f>
        <v>1</v>
      </c>
      <c r="O168" s="73" t="n">
        <f aca="false">IF(SUM($H168)&lt;=0,"",ROUND(SUM($H168)*SUM($J168),0))</f>
        <v>36</v>
      </c>
      <c r="P168" s="75" t="n">
        <f aca="false">IF(SUM($O168)&lt;=0,"",ROUND(SUM($O168)*SUM($L168),0))</f>
        <v>36</v>
      </c>
      <c r="Q168" s="75" t="n">
        <f aca="false">IF(SUM($O168)&lt;=0,"",ROUND((SUM($O168)-SUM($P168))*SUM($N168),0))</f>
        <v>0</v>
      </c>
      <c r="R168" s="75" t="n">
        <f aca="false">IF(SUM($O168)&lt;=0,"",ROUND(SUM($O168)-SUM($P168)-SUM($Q168),0))</f>
        <v>0</v>
      </c>
      <c r="S168" s="118" t="n">
        <f aca="false">_xlfn.IFNA(INDEX(Cascade!$BA:$BA,MATCH($E168,Cascade!$E:$E,0)),"")</f>
        <v>0.95</v>
      </c>
      <c r="T168" s="75" t="n">
        <f aca="false">IF(SUM($P168)&lt;=0,"",$P168)</f>
        <v>36</v>
      </c>
      <c r="U168" s="75" t="str">
        <f aca="false">IF(SUM($Q168)&lt;=0,"",ROUND($Q168*$S168,0))</f>
        <v/>
      </c>
      <c r="V168" s="73" t="n">
        <f aca="false">_xlfn.IFNA(INDEX(Cascade!$BD:$BD,MATCH($E168,Cascade!$E:$E,0)),"")</f>
        <v>8</v>
      </c>
      <c r="W168" s="118" t="str">
        <f aca="false">IF(OR(SUM($V168)&lt;=0,SUM($Q168)=0),"",SUM($Q168)/$V168)</f>
        <v/>
      </c>
      <c r="X168" s="118" t="n">
        <f aca="false">_xlfn.IFNA(INDEX(Cascade!$BL:$BL,MATCH($E168,Cascade!$E:$E,0)),"")</f>
        <v>0.25</v>
      </c>
      <c r="Y168" s="118" t="str">
        <f aca="false">_xlfn.IFNA(INDEX(Cascade!$BM:$BM,MATCH($E168,Cascade!$E:$E,0)),"")</f>
        <v/>
      </c>
      <c r="Z168" s="118" t="str">
        <f aca="false">_xlfn.IFNA(INDEX(Cascade!$BN:$BN,MATCH($E168,Cascade!$E:$E,0)),"")</f>
        <v/>
      </c>
      <c r="AA168" s="118" t="str">
        <f aca="false">_xlfn.IFNA(INDEX(Cascade!$BP:$BP,MATCH($E168,Cascade!$E:$E,0)),"")</f>
        <v/>
      </c>
      <c r="AB168" s="118" t="n">
        <f aca="false">_xlfn.IFNA(INDEX(Cascade!$BR:$BR,MATCH($E168,Cascade!$E:$E,0)),"")</f>
        <v>0.75</v>
      </c>
    </row>
    <row r="169" customFormat="false" ht="15" hidden="false" customHeight="false" outlineLevel="0" collapsed="false">
      <c r="A169" s="0" t="s">
        <v>148</v>
      </c>
      <c r="B169" s="0" t="s">
        <v>113</v>
      </c>
      <c r="C169" s="0" t="s">
        <v>54</v>
      </c>
      <c r="D169" s="0" t="s">
        <v>56</v>
      </c>
      <c r="E169" s="0" t="str">
        <f aca="false">B169&amp;"|"&amp;C169&amp;"|"&amp;D169</f>
        <v>Mokhotlong [#SNU] [tjhYqc1MlVo]|01-04|Female</v>
      </c>
      <c r="F169" s="73" t="n">
        <v>26</v>
      </c>
      <c r="G169" s="118" t="n">
        <f aca="false">IF(SUM($F169)&lt;=0,"",0%)</f>
        <v>0</v>
      </c>
      <c r="H169" s="75" t="n">
        <f aca="false">IF(SUM($F169)&lt;=0,"",$F169*(1+$G169))</f>
        <v>26</v>
      </c>
      <c r="I169" s="73"/>
      <c r="J169" s="118" t="n">
        <f aca="false">IF(SUM($H169)&lt;=0,"",100%)</f>
        <v>1</v>
      </c>
      <c r="K169" s="118"/>
      <c r="L169" s="118" t="str">
        <f aca="false">IF(SUM($K169)=0,"",$K169)</f>
        <v/>
      </c>
      <c r="M169" s="118"/>
      <c r="N169" s="118" t="str">
        <f aca="false">IF(SUM($M169)=0,"",$M169)</f>
        <v/>
      </c>
      <c r="O169" s="73" t="n">
        <f aca="false">IF(SUM($H169)&lt;=0,"",ROUND(SUM($H169)*SUM($J169),0))</f>
        <v>26</v>
      </c>
      <c r="P169" s="75" t="n">
        <f aca="false">IF(SUM($O169)&lt;=0,"",ROUND(SUM($O169)*SUM($L169),0))</f>
        <v>0</v>
      </c>
      <c r="Q169" s="75" t="n">
        <f aca="false">IF(SUM($O169)&lt;=0,"",ROUND((SUM($O169)-SUM($P169))*SUM($N169),0))</f>
        <v>0</v>
      </c>
      <c r="R169" s="75" t="n">
        <f aca="false">IF(SUM($O169)&lt;=0,"",ROUND(SUM($O169)-SUM($P169)-SUM($Q169),0))</f>
        <v>26</v>
      </c>
      <c r="S169" s="118" t="n">
        <f aca="false">_xlfn.IFNA(INDEX(Cascade!$BA:$BA,MATCH($E169,Cascade!$E:$E,0)),"")</f>
        <v>0.95</v>
      </c>
      <c r="T169" s="75" t="str">
        <f aca="false">IF(SUM($P169)&lt;=0,"",$P169)</f>
        <v/>
      </c>
      <c r="U169" s="75" t="str">
        <f aca="false">IF(SUM($Q169)&lt;=0,"",ROUND($Q169*$S169,0))</f>
        <v/>
      </c>
      <c r="V169" s="73" t="n">
        <f aca="false">_xlfn.IFNA(INDEX(Cascade!$BD:$BD,MATCH($E169,Cascade!$E:$E,0)),"")</f>
        <v>13</v>
      </c>
      <c r="W169" s="118" t="str">
        <f aca="false">IF(OR(SUM($V169)&lt;=0,SUM($Q169)=0),"",SUM($Q169)/$V169)</f>
        <v/>
      </c>
      <c r="X169" s="118" t="n">
        <f aca="false">_xlfn.IFNA(INDEX(Cascade!$BL:$BL,MATCH($E169,Cascade!$E:$E,0)),"")</f>
        <v>0.307692307692308</v>
      </c>
      <c r="Y169" s="118" t="str">
        <f aca="false">_xlfn.IFNA(INDEX(Cascade!$BM:$BM,MATCH($E169,Cascade!$E:$E,0)),"")</f>
        <v/>
      </c>
      <c r="Z169" s="118" t="str">
        <f aca="false">_xlfn.IFNA(INDEX(Cascade!$BN:$BN,MATCH($E169,Cascade!$E:$E,0)),"")</f>
        <v/>
      </c>
      <c r="AA169" s="118" t="str">
        <f aca="false">_xlfn.IFNA(INDEX(Cascade!$BP:$BP,MATCH($E169,Cascade!$E:$E,0)),"")</f>
        <v/>
      </c>
      <c r="AB169" s="118" t="n">
        <f aca="false">_xlfn.IFNA(INDEX(Cascade!$BR:$BR,MATCH($E169,Cascade!$E:$E,0)),"")</f>
        <v>0.692307692307692</v>
      </c>
    </row>
    <row r="170" customFormat="false" ht="15" hidden="false" customHeight="false" outlineLevel="0" collapsed="false">
      <c r="A170" s="0" t="s">
        <v>148</v>
      </c>
      <c r="B170" s="0" t="s">
        <v>113</v>
      </c>
      <c r="C170" s="0" t="s">
        <v>54</v>
      </c>
      <c r="D170" s="0" t="s">
        <v>58</v>
      </c>
      <c r="E170" s="0" t="str">
        <f aca="false">B170&amp;"|"&amp;C170&amp;"|"&amp;D170</f>
        <v>Mokhotlong [#SNU] [tjhYqc1MlVo]|01-04|Male</v>
      </c>
      <c r="F170" s="73" t="n">
        <v>30</v>
      </c>
      <c r="G170" s="118" t="n">
        <f aca="false">IF(SUM($F170)&lt;=0,"",0%)</f>
        <v>0</v>
      </c>
      <c r="H170" s="75" t="n">
        <f aca="false">IF(SUM($F170)&lt;=0,"",$F170*(1+$G170))</f>
        <v>30</v>
      </c>
      <c r="I170" s="73"/>
      <c r="J170" s="118" t="n">
        <f aca="false">IF(SUM($H170)&lt;=0,"",100%)</f>
        <v>1</v>
      </c>
      <c r="K170" s="118"/>
      <c r="L170" s="118" t="str">
        <f aca="false">IF(SUM($K170)=0,"",$K170)</f>
        <v/>
      </c>
      <c r="M170" s="118"/>
      <c r="N170" s="118" t="str">
        <f aca="false">IF(SUM($M170)=0,"",$M170)</f>
        <v/>
      </c>
      <c r="O170" s="73" t="n">
        <f aca="false">IF(SUM($H170)&lt;=0,"",ROUND(SUM($H170)*SUM($J170),0))</f>
        <v>30</v>
      </c>
      <c r="P170" s="75" t="n">
        <f aca="false">IF(SUM($O170)&lt;=0,"",ROUND(SUM($O170)*SUM($L170),0))</f>
        <v>0</v>
      </c>
      <c r="Q170" s="75" t="n">
        <f aca="false">IF(SUM($O170)&lt;=0,"",ROUND((SUM($O170)-SUM($P170))*SUM($N170),0))</f>
        <v>0</v>
      </c>
      <c r="R170" s="75" t="n">
        <f aca="false">IF(SUM($O170)&lt;=0,"",ROUND(SUM($O170)-SUM($P170)-SUM($Q170),0))</f>
        <v>30</v>
      </c>
      <c r="S170" s="118" t="n">
        <f aca="false">_xlfn.IFNA(INDEX(Cascade!$BA:$BA,MATCH($E170,Cascade!$E:$E,0)),"")</f>
        <v>0.95</v>
      </c>
      <c r="T170" s="75" t="str">
        <f aca="false">IF(SUM($P170)&lt;=0,"",$P170)</f>
        <v/>
      </c>
      <c r="U170" s="75" t="str">
        <f aca="false">IF(SUM($Q170)&lt;=0,"",ROUND($Q170*$S170,0))</f>
        <v/>
      </c>
      <c r="V170" s="73" t="n">
        <f aca="false">_xlfn.IFNA(INDEX(Cascade!$BD:$BD,MATCH($E170,Cascade!$E:$E,0)),"")</f>
        <v>4</v>
      </c>
      <c r="W170" s="118" t="str">
        <f aca="false">IF(OR(SUM($V170)&lt;=0,SUM($Q170)=0),"",SUM($Q170)/$V170)</f>
        <v/>
      </c>
      <c r="X170" s="118" t="n">
        <f aca="false">_xlfn.IFNA(INDEX(Cascade!$BL:$BL,MATCH($E170,Cascade!$E:$E,0)),"")</f>
        <v>0.5</v>
      </c>
      <c r="Y170" s="118" t="str">
        <f aca="false">_xlfn.IFNA(INDEX(Cascade!$BM:$BM,MATCH($E170,Cascade!$E:$E,0)),"")</f>
        <v/>
      </c>
      <c r="Z170" s="118" t="str">
        <f aca="false">_xlfn.IFNA(INDEX(Cascade!$BN:$BN,MATCH($E170,Cascade!$E:$E,0)),"")</f>
        <v/>
      </c>
      <c r="AA170" s="118" t="str">
        <f aca="false">_xlfn.IFNA(INDEX(Cascade!$BP:$BP,MATCH($E170,Cascade!$E:$E,0)),"")</f>
        <v/>
      </c>
      <c r="AB170" s="118" t="n">
        <f aca="false">_xlfn.IFNA(INDEX(Cascade!$BR:$BR,MATCH($E170,Cascade!$E:$E,0)),"")</f>
        <v>0.5</v>
      </c>
    </row>
    <row r="171" customFormat="false" ht="15" hidden="false" customHeight="false" outlineLevel="0" collapsed="false">
      <c r="A171" s="0" t="s">
        <v>148</v>
      </c>
      <c r="B171" s="0" t="s">
        <v>113</v>
      </c>
      <c r="C171" s="0" t="s">
        <v>83</v>
      </c>
      <c r="D171" s="0" t="s">
        <v>56</v>
      </c>
      <c r="E171" s="0" t="str">
        <f aca="false">B171&amp;"|"&amp;C171&amp;"|"&amp;D171</f>
        <v>Mokhotlong [#SNU] [tjhYqc1MlVo]|05-09|Female</v>
      </c>
      <c r="F171" s="73" t="n">
        <v>43</v>
      </c>
      <c r="G171" s="118" t="n">
        <f aca="false">IF(SUM($F171)&lt;=0,"",0%)</f>
        <v>0</v>
      </c>
      <c r="H171" s="75" t="n">
        <f aca="false">IF(SUM($F171)&lt;=0,"",$F171*(1+$G171))</f>
        <v>43</v>
      </c>
      <c r="I171" s="73"/>
      <c r="J171" s="118" t="n">
        <f aca="false">IF(SUM($H171)&lt;=0,"",100%)</f>
        <v>1</v>
      </c>
      <c r="K171" s="118"/>
      <c r="L171" s="118" t="str">
        <f aca="false">IF(SUM($K171)=0,"",$K171)</f>
        <v/>
      </c>
      <c r="M171" s="118"/>
      <c r="N171" s="118" t="str">
        <f aca="false">IF(SUM($M171)=0,"",$M171)</f>
        <v/>
      </c>
      <c r="O171" s="73" t="n">
        <f aca="false">IF(SUM($H171)&lt;=0,"",ROUND(SUM($H171)*SUM($J171),0))</f>
        <v>43</v>
      </c>
      <c r="P171" s="75" t="n">
        <f aca="false">IF(SUM($O171)&lt;=0,"",ROUND(SUM($O171)*SUM($L171),0))</f>
        <v>0</v>
      </c>
      <c r="Q171" s="75" t="n">
        <f aca="false">IF(SUM($O171)&lt;=0,"",ROUND((SUM($O171)-SUM($P171))*SUM($N171),0))</f>
        <v>0</v>
      </c>
      <c r="R171" s="75" t="n">
        <f aca="false">IF(SUM($O171)&lt;=0,"",ROUND(SUM($O171)-SUM($P171)-SUM($Q171),0))</f>
        <v>43</v>
      </c>
      <c r="S171" s="118" t="n">
        <f aca="false">_xlfn.IFNA(INDEX(Cascade!$BA:$BA,MATCH($E171,Cascade!$E:$E,0)),"")</f>
        <v>0.95</v>
      </c>
      <c r="T171" s="75" t="str">
        <f aca="false">IF(SUM($P171)&lt;=0,"",$P171)</f>
        <v/>
      </c>
      <c r="U171" s="75" t="str">
        <f aca="false">IF(SUM($Q171)&lt;=0,"",ROUND($Q171*$S171,0))</f>
        <v/>
      </c>
      <c r="V171" s="73" t="n">
        <f aca="false">_xlfn.IFNA(INDEX(Cascade!$BD:$BD,MATCH($E171,Cascade!$E:$E,0)),"")</f>
        <v>12</v>
      </c>
      <c r="W171" s="118" t="str">
        <f aca="false">IF(OR(SUM($V171)&lt;=0,SUM($Q171)=0),"",SUM($Q171)/$V171)</f>
        <v/>
      </c>
      <c r="X171" s="118" t="n">
        <f aca="false">_xlfn.IFNA(INDEX(Cascade!$BL:$BL,MATCH($E171,Cascade!$E:$E,0)),"")</f>
        <v>0.333333333333333</v>
      </c>
      <c r="Y171" s="118" t="str">
        <f aca="false">_xlfn.IFNA(INDEX(Cascade!$BM:$BM,MATCH($E171,Cascade!$E:$E,0)),"")</f>
        <v/>
      </c>
      <c r="Z171" s="118" t="str">
        <f aca="false">_xlfn.IFNA(INDEX(Cascade!$BN:$BN,MATCH($E171,Cascade!$E:$E,0)),"")</f>
        <v/>
      </c>
      <c r="AA171" s="118" t="str">
        <f aca="false">_xlfn.IFNA(INDEX(Cascade!$BP:$BP,MATCH($E171,Cascade!$E:$E,0)),"")</f>
        <v/>
      </c>
      <c r="AB171" s="118" t="n">
        <f aca="false">_xlfn.IFNA(INDEX(Cascade!$BR:$BR,MATCH($E171,Cascade!$E:$E,0)),"")</f>
        <v>0.666666666666667</v>
      </c>
    </row>
    <row r="172" customFormat="false" ht="15" hidden="false" customHeight="false" outlineLevel="0" collapsed="false">
      <c r="A172" s="0" t="s">
        <v>148</v>
      </c>
      <c r="B172" s="0" t="s">
        <v>113</v>
      </c>
      <c r="C172" s="0" t="s">
        <v>83</v>
      </c>
      <c r="D172" s="0" t="s">
        <v>58</v>
      </c>
      <c r="E172" s="0" t="str">
        <f aca="false">B172&amp;"|"&amp;C172&amp;"|"&amp;D172</f>
        <v>Mokhotlong [#SNU] [tjhYqc1MlVo]|05-09|Male</v>
      </c>
      <c r="F172" s="73" t="n">
        <v>16</v>
      </c>
      <c r="G172" s="118" t="n">
        <f aca="false">IF(SUM($F172)&lt;=0,"",0%)</f>
        <v>0</v>
      </c>
      <c r="H172" s="75" t="n">
        <f aca="false">IF(SUM($F172)&lt;=0,"",$F172*(1+$G172))</f>
        <v>16</v>
      </c>
      <c r="I172" s="73"/>
      <c r="J172" s="118" t="n">
        <f aca="false">IF(SUM($H172)&lt;=0,"",100%)</f>
        <v>1</v>
      </c>
      <c r="K172" s="118"/>
      <c r="L172" s="118" t="str">
        <f aca="false">IF(SUM($K172)=0,"",$K172)</f>
        <v/>
      </c>
      <c r="M172" s="118"/>
      <c r="N172" s="118" t="str">
        <f aca="false">IF(SUM($M172)=0,"",$M172)</f>
        <v/>
      </c>
      <c r="O172" s="73" t="n">
        <f aca="false">IF(SUM($H172)&lt;=0,"",ROUND(SUM($H172)*SUM($J172),0))</f>
        <v>16</v>
      </c>
      <c r="P172" s="75" t="n">
        <f aca="false">IF(SUM($O172)&lt;=0,"",ROUND(SUM($O172)*SUM($L172),0))</f>
        <v>0</v>
      </c>
      <c r="Q172" s="75" t="n">
        <f aca="false">IF(SUM($O172)&lt;=0,"",ROUND((SUM($O172)-SUM($P172))*SUM($N172),0))</f>
        <v>0</v>
      </c>
      <c r="R172" s="75" t="n">
        <f aca="false">IF(SUM($O172)&lt;=0,"",ROUND(SUM($O172)-SUM($P172)-SUM($Q172),0))</f>
        <v>16</v>
      </c>
      <c r="S172" s="118" t="n">
        <f aca="false">_xlfn.IFNA(INDEX(Cascade!$BA:$BA,MATCH($E172,Cascade!$E:$E,0)),"")</f>
        <v>0.95</v>
      </c>
      <c r="T172" s="75" t="str">
        <f aca="false">IF(SUM($P172)&lt;=0,"",$P172)</f>
        <v/>
      </c>
      <c r="U172" s="75" t="str">
        <f aca="false">IF(SUM($Q172)&lt;=0,"",ROUND($Q172*$S172,0))</f>
        <v/>
      </c>
      <c r="V172" s="73" t="n">
        <f aca="false">_xlfn.IFNA(INDEX(Cascade!$BD:$BD,MATCH($E172,Cascade!$E:$E,0)),"")</f>
        <v>18</v>
      </c>
      <c r="W172" s="118" t="str">
        <f aca="false">IF(OR(SUM($V172)&lt;=0,SUM($Q172)=0),"",SUM($Q172)/$V172)</f>
        <v/>
      </c>
      <c r="X172" s="118" t="n">
        <f aca="false">_xlfn.IFNA(INDEX(Cascade!$BL:$BL,MATCH($E172,Cascade!$E:$E,0)),"")</f>
        <v>0.277777777777778</v>
      </c>
      <c r="Y172" s="118" t="str">
        <f aca="false">_xlfn.IFNA(INDEX(Cascade!$BM:$BM,MATCH($E172,Cascade!$E:$E,0)),"")</f>
        <v/>
      </c>
      <c r="Z172" s="118" t="str">
        <f aca="false">_xlfn.IFNA(INDEX(Cascade!$BN:$BN,MATCH($E172,Cascade!$E:$E,0)),"")</f>
        <v/>
      </c>
      <c r="AA172" s="118" t="str">
        <f aca="false">_xlfn.IFNA(INDEX(Cascade!$BP:$BP,MATCH($E172,Cascade!$E:$E,0)),"")</f>
        <v/>
      </c>
      <c r="AB172" s="118" t="n">
        <f aca="false">_xlfn.IFNA(INDEX(Cascade!$BR:$BR,MATCH($E172,Cascade!$E:$E,0)),"")</f>
        <v>0.722222222222222</v>
      </c>
    </row>
    <row r="173" customFormat="false" ht="15" hidden="false" customHeight="false" outlineLevel="0" collapsed="false">
      <c r="A173" s="0" t="s">
        <v>148</v>
      </c>
      <c r="B173" s="0" t="s">
        <v>113</v>
      </c>
      <c r="C173" s="0" t="s">
        <v>61</v>
      </c>
      <c r="D173" s="0" t="s">
        <v>56</v>
      </c>
      <c r="E173" s="0" t="str">
        <f aca="false">B173&amp;"|"&amp;C173&amp;"|"&amp;D173</f>
        <v>Mokhotlong [#SNU] [tjhYqc1MlVo]|10-14|Female</v>
      </c>
      <c r="F173" s="73" t="n">
        <v>37</v>
      </c>
      <c r="G173" s="118" t="n">
        <f aca="false">IF(SUM($F173)&lt;=0,"",0%)</f>
        <v>0</v>
      </c>
      <c r="H173" s="75" t="n">
        <f aca="false">IF(SUM($F173)&lt;=0,"",$F173*(1+$G173))</f>
        <v>37</v>
      </c>
      <c r="I173" s="73"/>
      <c r="J173" s="118" t="n">
        <f aca="false">IF(SUM($H173)&lt;=0,"",100%)</f>
        <v>1</v>
      </c>
      <c r="K173" s="118"/>
      <c r="L173" s="118" t="str">
        <f aca="false">IF(SUM($K173)=0,"",$K173)</f>
        <v/>
      </c>
      <c r="M173" s="118"/>
      <c r="N173" s="118" t="str">
        <f aca="false">IF(SUM($M173)=0,"",$M173)</f>
        <v/>
      </c>
      <c r="O173" s="73" t="n">
        <f aca="false">IF(SUM($H173)&lt;=0,"",ROUND(SUM($H173)*SUM($J173),0))</f>
        <v>37</v>
      </c>
      <c r="P173" s="75" t="n">
        <f aca="false">IF(SUM($O173)&lt;=0,"",ROUND(SUM($O173)*SUM($L173),0))</f>
        <v>0</v>
      </c>
      <c r="Q173" s="75" t="n">
        <f aca="false">IF(SUM($O173)&lt;=0,"",ROUND((SUM($O173)-SUM($P173))*SUM($N173),0))</f>
        <v>0</v>
      </c>
      <c r="R173" s="75" t="n">
        <f aca="false">IF(SUM($O173)&lt;=0,"",ROUND(SUM($O173)-SUM($P173)-SUM($Q173),0))</f>
        <v>37</v>
      </c>
      <c r="S173" s="118" t="n">
        <f aca="false">_xlfn.IFNA(INDEX(Cascade!$BA:$BA,MATCH($E173,Cascade!$E:$E,0)),"")</f>
        <v>0.95</v>
      </c>
      <c r="T173" s="75" t="str">
        <f aca="false">IF(SUM($P173)&lt;=0,"",$P173)</f>
        <v/>
      </c>
      <c r="U173" s="75" t="str">
        <f aca="false">IF(SUM($Q173)&lt;=0,"",ROUND($Q173*$S173,0))</f>
        <v/>
      </c>
      <c r="V173" s="73" t="n">
        <f aca="false">_xlfn.IFNA(INDEX(Cascade!$BD:$BD,MATCH($E173,Cascade!$E:$E,0)),"")</f>
        <v>6</v>
      </c>
      <c r="W173" s="118" t="str">
        <f aca="false">IF(OR(SUM($V173)&lt;=0,SUM($Q173)=0),"",SUM($Q173)/$V173)</f>
        <v/>
      </c>
      <c r="X173" s="118" t="n">
        <f aca="false">_xlfn.IFNA(INDEX(Cascade!$BL:$BL,MATCH($E173,Cascade!$E:$E,0)),"")</f>
        <v>0.5</v>
      </c>
      <c r="Y173" s="118" t="str">
        <f aca="false">_xlfn.IFNA(INDEX(Cascade!$BM:$BM,MATCH($E173,Cascade!$E:$E,0)),"")</f>
        <v/>
      </c>
      <c r="Z173" s="118" t="str">
        <f aca="false">_xlfn.IFNA(INDEX(Cascade!$BN:$BN,MATCH($E173,Cascade!$E:$E,0)),"")</f>
        <v/>
      </c>
      <c r="AA173" s="118" t="str">
        <f aca="false">_xlfn.IFNA(INDEX(Cascade!$BP:$BP,MATCH($E173,Cascade!$E:$E,0)),"")</f>
        <v/>
      </c>
      <c r="AB173" s="118" t="n">
        <f aca="false">_xlfn.IFNA(INDEX(Cascade!$BR:$BR,MATCH($E173,Cascade!$E:$E,0)),"")</f>
        <v>0.5</v>
      </c>
    </row>
    <row r="174" customFormat="false" ht="15" hidden="false" customHeight="false" outlineLevel="0" collapsed="false">
      <c r="A174" s="0" t="s">
        <v>148</v>
      </c>
      <c r="B174" s="0" t="s">
        <v>113</v>
      </c>
      <c r="C174" s="0" t="s">
        <v>61</v>
      </c>
      <c r="D174" s="0" t="s">
        <v>58</v>
      </c>
      <c r="E174" s="0" t="str">
        <f aca="false">B174&amp;"|"&amp;C174&amp;"|"&amp;D174</f>
        <v>Mokhotlong [#SNU] [tjhYqc1MlVo]|10-14|Male</v>
      </c>
      <c r="F174" s="73" t="n">
        <v>40</v>
      </c>
      <c r="G174" s="118" t="n">
        <f aca="false">IF(SUM($F174)&lt;=0,"",0%)</f>
        <v>0</v>
      </c>
      <c r="H174" s="75" t="n">
        <f aca="false">IF(SUM($F174)&lt;=0,"",$F174*(1+$G174))</f>
        <v>40</v>
      </c>
      <c r="I174" s="73" t="n">
        <v>12</v>
      </c>
      <c r="J174" s="118" t="n">
        <f aca="false">IF(SUM($H174)&lt;=0,"",100%)</f>
        <v>1</v>
      </c>
      <c r="K174" s="118"/>
      <c r="L174" s="118" t="str">
        <f aca="false">IF(SUM($K174)=0,"",$K174)</f>
        <v/>
      </c>
      <c r="M174" s="118" t="n">
        <v>27</v>
      </c>
      <c r="N174" s="118" t="n">
        <f aca="false">IF(SUM($M174)=0,"",$M174)</f>
        <v>27</v>
      </c>
      <c r="O174" s="73" t="n">
        <f aca="false">IF(SUM($H174)&lt;=0,"",ROUND(SUM($H174)*SUM($J174),0))</f>
        <v>40</v>
      </c>
      <c r="P174" s="75" t="n">
        <f aca="false">IF(SUM($O174)&lt;=0,"",ROUND(SUM($O174)*SUM($L174),0))</f>
        <v>0</v>
      </c>
      <c r="Q174" s="75" t="n">
        <f aca="false">IF(SUM($O174)&lt;=0,"",ROUND((SUM($O174)-SUM($P174))*SUM($N174),0))</f>
        <v>1080</v>
      </c>
      <c r="R174" s="75" t="n">
        <f aca="false">IF(SUM($O174)&lt;=0,"",ROUND(SUM($O174)-SUM($P174)-SUM($Q174),0))</f>
        <v>-1040</v>
      </c>
      <c r="S174" s="118" t="n">
        <f aca="false">_xlfn.IFNA(INDEX(Cascade!$BA:$BA,MATCH($E174,Cascade!$E:$E,0)),"")</f>
        <v>0.95</v>
      </c>
      <c r="T174" s="75" t="str">
        <f aca="false">IF(SUM($P174)&lt;=0,"",$P174)</f>
        <v/>
      </c>
      <c r="U174" s="75" t="n">
        <f aca="false">IF(SUM($Q174)&lt;=0,"",ROUND($Q174*$S174,0))</f>
        <v>1026</v>
      </c>
      <c r="V174" s="73" t="n">
        <f aca="false">_xlfn.IFNA(INDEX(Cascade!$BD:$BD,MATCH($E174,Cascade!$E:$E,0)),"")</f>
        <v>1</v>
      </c>
      <c r="W174" s="118" t="n">
        <f aca="false">IF(OR(SUM($V174)&lt;=0,SUM($Q174)=0),"",SUM($Q174)/$V174)</f>
        <v>1080</v>
      </c>
      <c r="X174" s="118" t="n">
        <f aca="false">_xlfn.IFNA(INDEX(Cascade!$BL:$BL,MATCH($E174,Cascade!$E:$E,0)),"")</f>
        <v>1</v>
      </c>
      <c r="Y174" s="118" t="str">
        <f aca="false">_xlfn.IFNA(INDEX(Cascade!$BM:$BM,MATCH($E174,Cascade!$E:$E,0)),"")</f>
        <v/>
      </c>
      <c r="Z174" s="118" t="str">
        <f aca="false">_xlfn.IFNA(INDEX(Cascade!$BN:$BN,MATCH($E174,Cascade!$E:$E,0)),"")</f>
        <v/>
      </c>
      <c r="AA174" s="118" t="str">
        <f aca="false">_xlfn.IFNA(INDEX(Cascade!$BP:$BP,MATCH($E174,Cascade!$E:$E,0)),"")</f>
        <v/>
      </c>
      <c r="AB174" s="118" t="n">
        <f aca="false">_xlfn.IFNA(INDEX(Cascade!$BR:$BR,MATCH($E174,Cascade!$E:$E,0)),"")</f>
        <v>-1080</v>
      </c>
    </row>
    <row r="175" customFormat="false" ht="15" hidden="false" customHeight="false" outlineLevel="0" collapsed="false">
      <c r="A175" s="0" t="s">
        <v>148</v>
      </c>
      <c r="B175" s="0" t="s">
        <v>113</v>
      </c>
      <c r="C175" s="0" t="s">
        <v>63</v>
      </c>
      <c r="D175" s="0" t="s">
        <v>56</v>
      </c>
      <c r="E175" s="0" t="str">
        <f aca="false">B175&amp;"|"&amp;C175&amp;"|"&amp;D175</f>
        <v>Mokhotlong [#SNU] [tjhYqc1MlVo]|15-19|Female</v>
      </c>
      <c r="F175" s="73" t="n">
        <v>10</v>
      </c>
      <c r="G175" s="118" t="n">
        <f aca="false">IF(SUM($F175)&lt;=0,"",0%)</f>
        <v>0</v>
      </c>
      <c r="H175" s="75" t="n">
        <f aca="false">IF(SUM($F175)&lt;=0,"",$F175*(1+$G175))</f>
        <v>10</v>
      </c>
      <c r="I175" s="73"/>
      <c r="J175" s="118" t="n">
        <f aca="false">IF(SUM($H175)&lt;=0,"",100%)</f>
        <v>1</v>
      </c>
      <c r="K175" s="118" t="n">
        <v>46</v>
      </c>
      <c r="L175" s="118" t="n">
        <f aca="false">IF(SUM($K175)=0,"",$K175)</f>
        <v>46</v>
      </c>
      <c r="M175" s="118"/>
      <c r="N175" s="118" t="str">
        <f aca="false">IF(SUM($M175)=0,"",$M175)</f>
        <v/>
      </c>
      <c r="O175" s="73" t="n">
        <f aca="false">IF(SUM($H175)&lt;=0,"",ROUND(SUM($H175)*SUM($J175),0))</f>
        <v>10</v>
      </c>
      <c r="P175" s="75" t="n">
        <f aca="false">IF(SUM($O175)&lt;=0,"",ROUND(SUM($O175)*SUM($L175),0))</f>
        <v>460</v>
      </c>
      <c r="Q175" s="75" t="n">
        <f aca="false">IF(SUM($O175)&lt;=0,"",ROUND((SUM($O175)-SUM($P175))*SUM($N175),0))</f>
        <v>-0</v>
      </c>
      <c r="R175" s="75" t="n">
        <f aca="false">IF(SUM($O175)&lt;=0,"",ROUND(SUM($O175)-SUM($P175)-SUM($Q175),0))</f>
        <v>-450</v>
      </c>
      <c r="S175" s="118" t="n">
        <f aca="false">_xlfn.IFNA(INDEX(Cascade!$BA:$BA,MATCH($E175,Cascade!$E:$E,0)),"")</f>
        <v>0.95</v>
      </c>
      <c r="T175" s="75" t="n">
        <f aca="false">IF(SUM($P175)&lt;=0,"",$P175)</f>
        <v>460</v>
      </c>
      <c r="U175" s="75" t="str">
        <f aca="false">IF(SUM($Q175)&lt;=0,"",ROUND($Q175*$S175,0))</f>
        <v/>
      </c>
      <c r="V175" s="73" t="n">
        <f aca="false">_xlfn.IFNA(INDEX(Cascade!$BD:$BD,MATCH($E175,Cascade!$E:$E,0)),"")</f>
        <v>20</v>
      </c>
      <c r="W175" s="118" t="str">
        <f aca="false">IF(OR(SUM($V175)&lt;=0,SUM($Q175)=0),"",SUM($Q175)/$V175)</f>
        <v/>
      </c>
      <c r="X175" s="118" t="n">
        <f aca="false">_xlfn.IFNA(INDEX(Cascade!$BL:$BL,MATCH($E175,Cascade!$E:$E,0)),"")</f>
        <v>0.3</v>
      </c>
      <c r="Y175" s="118" t="n">
        <f aca="false">_xlfn.IFNA(INDEX(Cascade!$BM:$BM,MATCH($E175,Cascade!$E:$E,0)),"")</f>
        <v>-64.8</v>
      </c>
      <c r="Z175" s="118" t="str">
        <f aca="false">_xlfn.IFNA(INDEX(Cascade!$BN:$BN,MATCH($E175,Cascade!$E:$E,0)),"")</f>
        <v/>
      </c>
      <c r="AA175" s="118" t="str">
        <f aca="false">_xlfn.IFNA(INDEX(Cascade!$BP:$BP,MATCH($E175,Cascade!$E:$E,0)),"")</f>
        <v/>
      </c>
      <c r="AB175" s="118" t="n">
        <f aca="false">_xlfn.IFNA(INDEX(Cascade!$BR:$BR,MATCH($E175,Cascade!$E:$E,0)),"")</f>
        <v>65.5</v>
      </c>
    </row>
    <row r="176" customFormat="false" ht="15" hidden="false" customHeight="false" outlineLevel="0" collapsed="false">
      <c r="A176" s="0" t="s">
        <v>148</v>
      </c>
      <c r="B176" s="0" t="s">
        <v>113</v>
      </c>
      <c r="C176" s="0" t="s">
        <v>63</v>
      </c>
      <c r="D176" s="0" t="s">
        <v>58</v>
      </c>
      <c r="E176" s="0" t="str">
        <f aca="false">B176&amp;"|"&amp;C176&amp;"|"&amp;D176</f>
        <v>Mokhotlong [#SNU] [tjhYqc1MlVo]|15-19|Male</v>
      </c>
      <c r="F176" s="73" t="n">
        <v>33</v>
      </c>
      <c r="G176" s="118" t="n">
        <f aca="false">IF(SUM($F176)&lt;=0,"",0%)</f>
        <v>0</v>
      </c>
      <c r="H176" s="75" t="n">
        <f aca="false">IF(SUM($F176)&lt;=0,"",$F176*(1+$G176))</f>
        <v>33</v>
      </c>
      <c r="I176" s="73"/>
      <c r="J176" s="118" t="n">
        <f aca="false">IF(SUM($H176)&lt;=0,"",100%)</f>
        <v>1</v>
      </c>
      <c r="K176" s="118"/>
      <c r="L176" s="118" t="str">
        <f aca="false">IF(SUM($K176)=0,"",$K176)</f>
        <v/>
      </c>
      <c r="M176" s="118"/>
      <c r="N176" s="118" t="str">
        <f aca="false">IF(SUM($M176)=0,"",$M176)</f>
        <v/>
      </c>
      <c r="O176" s="73" t="n">
        <f aca="false">IF(SUM($H176)&lt;=0,"",ROUND(SUM($H176)*SUM($J176),0))</f>
        <v>33</v>
      </c>
      <c r="P176" s="75" t="n">
        <f aca="false">IF(SUM($O176)&lt;=0,"",ROUND(SUM($O176)*SUM($L176),0))</f>
        <v>0</v>
      </c>
      <c r="Q176" s="75" t="n">
        <f aca="false">IF(SUM($O176)&lt;=0,"",ROUND((SUM($O176)-SUM($P176))*SUM($N176),0))</f>
        <v>0</v>
      </c>
      <c r="R176" s="75" t="n">
        <f aca="false">IF(SUM($O176)&lt;=0,"",ROUND(SUM($O176)-SUM($P176)-SUM($Q176),0))</f>
        <v>33</v>
      </c>
      <c r="S176" s="118" t="n">
        <f aca="false">_xlfn.IFNA(INDEX(Cascade!$BA:$BA,MATCH($E176,Cascade!$E:$E,0)),"")</f>
        <v>0.95</v>
      </c>
      <c r="T176" s="75" t="str">
        <f aca="false">IF(SUM($P176)&lt;=0,"",$P176)</f>
        <v/>
      </c>
      <c r="U176" s="75" t="str">
        <f aca="false">IF(SUM($Q176)&lt;=0,"",ROUND($Q176*$S176,0))</f>
        <v/>
      </c>
      <c r="V176" s="73" t="n">
        <f aca="false">_xlfn.IFNA(INDEX(Cascade!$BD:$BD,MATCH($E176,Cascade!$E:$E,0)),"")</f>
        <v>2</v>
      </c>
      <c r="W176" s="118" t="str">
        <f aca="false">IF(OR(SUM($V176)&lt;=0,SUM($Q176)=0),"",SUM($Q176)/$V176)</f>
        <v/>
      </c>
      <c r="X176" s="118" t="n">
        <f aca="false">_xlfn.IFNA(INDEX(Cascade!$BL:$BL,MATCH($E176,Cascade!$E:$E,0)),"")</f>
        <v>1</v>
      </c>
      <c r="Y176" s="118" t="str">
        <f aca="false">_xlfn.IFNA(INDEX(Cascade!$BM:$BM,MATCH($E176,Cascade!$E:$E,0)),"")</f>
        <v/>
      </c>
      <c r="Z176" s="118" t="str">
        <f aca="false">_xlfn.IFNA(INDEX(Cascade!$BN:$BN,MATCH($E176,Cascade!$E:$E,0)),"")</f>
        <v/>
      </c>
      <c r="AA176" s="118" t="str">
        <f aca="false">_xlfn.IFNA(INDEX(Cascade!$BP:$BP,MATCH($E176,Cascade!$E:$E,0)),"")</f>
        <v/>
      </c>
      <c r="AB176" s="118" t="str">
        <f aca="false">_xlfn.IFNA(INDEX(Cascade!$BR:$BR,MATCH($E176,Cascade!$E:$E,0)),"")</f>
        <v/>
      </c>
    </row>
    <row r="177" customFormat="false" ht="15" hidden="false" customHeight="false" outlineLevel="0" collapsed="false">
      <c r="A177" s="0" t="s">
        <v>148</v>
      </c>
      <c r="B177" s="0" t="s">
        <v>113</v>
      </c>
      <c r="C177" s="0" t="s">
        <v>66</v>
      </c>
      <c r="D177" s="0" t="s">
        <v>56</v>
      </c>
      <c r="E177" s="0" t="str">
        <f aca="false">B177&amp;"|"&amp;C177&amp;"|"&amp;D177</f>
        <v>Mokhotlong [#SNU] [tjhYqc1MlVo]|20-24|Female</v>
      </c>
      <c r="F177" s="73" t="n">
        <v>30</v>
      </c>
      <c r="G177" s="118" t="n">
        <f aca="false">IF(SUM($F177)&lt;=0,"",0%)</f>
        <v>0</v>
      </c>
      <c r="H177" s="75" t="n">
        <f aca="false">IF(SUM($F177)&lt;=0,"",$F177*(1+$G177))</f>
        <v>30</v>
      </c>
      <c r="I177" s="73"/>
      <c r="J177" s="118" t="n">
        <f aca="false">IF(SUM($H177)&lt;=0,"",100%)</f>
        <v>1</v>
      </c>
      <c r="K177" s="118" t="n">
        <v>32</v>
      </c>
      <c r="L177" s="118" t="n">
        <f aca="false">IF(SUM($K177)=0,"",$K177)</f>
        <v>32</v>
      </c>
      <c r="M177" s="118" t="n">
        <v>48</v>
      </c>
      <c r="N177" s="118" t="n">
        <f aca="false">IF(SUM($M177)=0,"",$M177)</f>
        <v>48</v>
      </c>
      <c r="O177" s="73" t="n">
        <f aca="false">IF(SUM($H177)&lt;=0,"",ROUND(SUM($H177)*SUM($J177),0))</f>
        <v>30</v>
      </c>
      <c r="P177" s="75" t="n">
        <f aca="false">IF(SUM($O177)&lt;=0,"",ROUND(SUM($O177)*SUM($L177),0))</f>
        <v>960</v>
      </c>
      <c r="Q177" s="75" t="n">
        <f aca="false">IF(SUM($O177)&lt;=0,"",ROUND((SUM($O177)-SUM($P177))*SUM($N177),0))</f>
        <v>-44640</v>
      </c>
      <c r="R177" s="75" t="n">
        <f aca="false">IF(SUM($O177)&lt;=0,"",ROUND(SUM($O177)-SUM($P177)-SUM($Q177),0))</f>
        <v>43710</v>
      </c>
      <c r="S177" s="118" t="n">
        <f aca="false">_xlfn.IFNA(INDEX(Cascade!$BA:$BA,MATCH($E177,Cascade!$E:$E,0)),"")</f>
        <v>0.95</v>
      </c>
      <c r="T177" s="75" t="n">
        <f aca="false">IF(SUM($P177)&lt;=0,"",$P177)</f>
        <v>960</v>
      </c>
      <c r="U177" s="75" t="str">
        <f aca="false">IF(SUM($Q177)&lt;=0,"",ROUND($Q177*$S177,0))</f>
        <v/>
      </c>
      <c r="V177" s="73" t="n">
        <f aca="false">_xlfn.IFNA(INDEX(Cascade!$BD:$BD,MATCH($E177,Cascade!$E:$E,0)),"")</f>
        <v>2</v>
      </c>
      <c r="W177" s="118" t="n">
        <f aca="false">IF(OR(SUM($V177)&lt;=0,SUM($Q177)=0),"",SUM($Q177)/$V177)</f>
        <v>-22320</v>
      </c>
      <c r="X177" s="118" t="n">
        <f aca="false">_xlfn.IFNA(INDEX(Cascade!$BL:$BL,MATCH($E177,Cascade!$E:$E,0)),"")</f>
        <v>0.5</v>
      </c>
      <c r="Y177" s="118" t="n">
        <f aca="false">_xlfn.IFNA(INDEX(Cascade!$BM:$BM,MATCH($E177,Cascade!$E:$E,0)),"")</f>
        <v>-7560</v>
      </c>
      <c r="Z177" s="118" t="str">
        <f aca="false">_xlfn.IFNA(INDEX(Cascade!$BN:$BN,MATCH($E177,Cascade!$E:$E,0)),"")</f>
        <v/>
      </c>
      <c r="AA177" s="118" t="str">
        <f aca="false">_xlfn.IFNA(INDEX(Cascade!$BP:$BP,MATCH($E177,Cascade!$E:$E,0)),"")</f>
        <v/>
      </c>
      <c r="AB177" s="118" t="n">
        <f aca="false">_xlfn.IFNA(INDEX(Cascade!$BR:$BR,MATCH($E177,Cascade!$E:$E,0)),"")</f>
        <v>29880.5</v>
      </c>
    </row>
    <row r="178" customFormat="false" ht="15" hidden="false" customHeight="false" outlineLevel="0" collapsed="false">
      <c r="A178" s="0" t="s">
        <v>148</v>
      </c>
      <c r="B178" s="0" t="s">
        <v>113</v>
      </c>
      <c r="C178" s="0" t="s">
        <v>66</v>
      </c>
      <c r="D178" s="0" t="s">
        <v>58</v>
      </c>
      <c r="E178" s="0" t="str">
        <f aca="false">B178&amp;"|"&amp;C178&amp;"|"&amp;D178</f>
        <v>Mokhotlong [#SNU] [tjhYqc1MlVo]|20-24|Male</v>
      </c>
      <c r="F178" s="73" t="n">
        <v>35</v>
      </c>
      <c r="G178" s="118" t="n">
        <f aca="false">IF(SUM($F178)&lt;=0,"",0%)</f>
        <v>0</v>
      </c>
      <c r="H178" s="75" t="n">
        <f aca="false">IF(SUM($F178)&lt;=0,"",$F178*(1+$G178))</f>
        <v>35</v>
      </c>
      <c r="I178" s="73"/>
      <c r="J178" s="118" t="n">
        <f aca="false">IF(SUM($H178)&lt;=0,"",100%)</f>
        <v>1</v>
      </c>
      <c r="K178" s="118"/>
      <c r="L178" s="118" t="str">
        <f aca="false">IF(SUM($K178)=0,"",$K178)</f>
        <v/>
      </c>
      <c r="M178" s="118"/>
      <c r="N178" s="118" t="str">
        <f aca="false">IF(SUM($M178)=0,"",$M178)</f>
        <v/>
      </c>
      <c r="O178" s="73" t="n">
        <f aca="false">IF(SUM($H178)&lt;=0,"",ROUND(SUM($H178)*SUM($J178),0))</f>
        <v>35</v>
      </c>
      <c r="P178" s="75" t="n">
        <f aca="false">IF(SUM($O178)&lt;=0,"",ROUND(SUM($O178)*SUM($L178),0))</f>
        <v>0</v>
      </c>
      <c r="Q178" s="75" t="n">
        <f aca="false">IF(SUM($O178)&lt;=0,"",ROUND((SUM($O178)-SUM($P178))*SUM($N178),0))</f>
        <v>0</v>
      </c>
      <c r="R178" s="75" t="n">
        <f aca="false">IF(SUM($O178)&lt;=0,"",ROUND(SUM($O178)-SUM($P178)-SUM($Q178),0))</f>
        <v>35</v>
      </c>
      <c r="S178" s="118" t="n">
        <f aca="false">_xlfn.IFNA(INDEX(Cascade!$BA:$BA,MATCH($E178,Cascade!$E:$E,0)),"")</f>
        <v>0.95</v>
      </c>
      <c r="T178" s="75" t="str">
        <f aca="false">IF(SUM($P178)&lt;=0,"",$P178)</f>
        <v/>
      </c>
      <c r="U178" s="75" t="str">
        <f aca="false">IF(SUM($Q178)&lt;=0,"",ROUND($Q178*$S178,0))</f>
        <v/>
      </c>
      <c r="V178" s="73" t="n">
        <f aca="false">_xlfn.IFNA(INDEX(Cascade!$BD:$BD,MATCH($E178,Cascade!$E:$E,0)),"")</f>
        <v>24</v>
      </c>
      <c r="W178" s="118" t="str">
        <f aca="false">IF(OR(SUM($V178)&lt;=0,SUM($Q178)=0),"",SUM($Q178)/$V178)</f>
        <v/>
      </c>
      <c r="X178" s="118" t="n">
        <f aca="false">_xlfn.IFNA(INDEX(Cascade!$BL:$BL,MATCH($E178,Cascade!$E:$E,0)),"")</f>
        <v>0.291666666666667</v>
      </c>
      <c r="Y178" s="118" t="str">
        <f aca="false">_xlfn.IFNA(INDEX(Cascade!$BM:$BM,MATCH($E178,Cascade!$E:$E,0)),"")</f>
        <v/>
      </c>
      <c r="Z178" s="118" t="str">
        <f aca="false">_xlfn.IFNA(INDEX(Cascade!$BN:$BN,MATCH($E178,Cascade!$E:$E,0)),"")</f>
        <v/>
      </c>
      <c r="AA178" s="118" t="str">
        <f aca="false">_xlfn.IFNA(INDEX(Cascade!$BP:$BP,MATCH($E178,Cascade!$E:$E,0)),"")</f>
        <v/>
      </c>
      <c r="AB178" s="118" t="n">
        <f aca="false">_xlfn.IFNA(INDEX(Cascade!$BR:$BR,MATCH($E178,Cascade!$E:$E,0)),"")</f>
        <v>0.708333333333333</v>
      </c>
    </row>
    <row r="179" customFormat="false" ht="15" hidden="false" customHeight="false" outlineLevel="0" collapsed="false">
      <c r="A179" s="0" t="s">
        <v>148</v>
      </c>
      <c r="B179" s="0" t="s">
        <v>113</v>
      </c>
      <c r="C179" s="0" t="s">
        <v>69</v>
      </c>
      <c r="D179" s="0" t="s">
        <v>56</v>
      </c>
      <c r="E179" s="0" t="str">
        <f aca="false">B179&amp;"|"&amp;C179&amp;"|"&amp;D179</f>
        <v>Mokhotlong [#SNU] [tjhYqc1MlVo]|25-29|Female</v>
      </c>
      <c r="F179" s="73" t="n">
        <v>14</v>
      </c>
      <c r="G179" s="118" t="n">
        <f aca="false">IF(SUM($F179)&lt;=0,"",0%)</f>
        <v>0</v>
      </c>
      <c r="H179" s="75" t="n">
        <f aca="false">IF(SUM($F179)&lt;=0,"",$F179*(1+$G179))</f>
        <v>14</v>
      </c>
      <c r="I179" s="73"/>
      <c r="J179" s="118" t="n">
        <f aca="false">IF(SUM($H179)&lt;=0,"",100%)</f>
        <v>1</v>
      </c>
      <c r="K179" s="118" t="n">
        <v>6</v>
      </c>
      <c r="L179" s="118" t="n">
        <f aca="false">IF(SUM($K179)=0,"",$K179)</f>
        <v>6</v>
      </c>
      <c r="M179" s="118" t="n">
        <v>3</v>
      </c>
      <c r="N179" s="118" t="n">
        <f aca="false">IF(SUM($M179)=0,"",$M179)</f>
        <v>3</v>
      </c>
      <c r="O179" s="73" t="n">
        <f aca="false">IF(SUM($H179)&lt;=0,"",ROUND(SUM($H179)*SUM($J179),0))</f>
        <v>14</v>
      </c>
      <c r="P179" s="75" t="n">
        <f aca="false">IF(SUM($O179)&lt;=0,"",ROUND(SUM($O179)*SUM($L179),0))</f>
        <v>84</v>
      </c>
      <c r="Q179" s="75" t="n">
        <f aca="false">IF(SUM($O179)&lt;=0,"",ROUND((SUM($O179)-SUM($P179))*SUM($N179),0))</f>
        <v>-210</v>
      </c>
      <c r="R179" s="75" t="n">
        <f aca="false">IF(SUM($O179)&lt;=0,"",ROUND(SUM($O179)-SUM($P179)-SUM($Q179),0))</f>
        <v>140</v>
      </c>
      <c r="S179" s="118" t="n">
        <f aca="false">_xlfn.IFNA(INDEX(Cascade!$BA:$BA,MATCH($E179,Cascade!$E:$E,0)),"")</f>
        <v>0.95</v>
      </c>
      <c r="T179" s="75" t="n">
        <f aca="false">IF(SUM($P179)&lt;=0,"",$P179)</f>
        <v>84</v>
      </c>
      <c r="U179" s="75" t="str">
        <f aca="false">IF(SUM($Q179)&lt;=0,"",ROUND($Q179*$S179,0))</f>
        <v/>
      </c>
      <c r="V179" s="73" t="n">
        <f aca="false">_xlfn.IFNA(INDEX(Cascade!$BD:$BD,MATCH($E179,Cascade!$E:$E,0)),"")</f>
        <v>20</v>
      </c>
      <c r="W179" s="118" t="n">
        <f aca="false">IF(OR(SUM($V179)&lt;=0,SUM($Q179)=0),"",SUM($Q179)/$V179)</f>
        <v>-10.5</v>
      </c>
      <c r="X179" s="118" t="n">
        <f aca="false">_xlfn.IFNA(INDEX(Cascade!$BL:$BL,MATCH($E179,Cascade!$E:$E,0)),"")</f>
        <v>0.3</v>
      </c>
      <c r="Y179" s="118" t="n">
        <f aca="false">_xlfn.IFNA(INDEX(Cascade!$BM:$BM,MATCH($E179,Cascade!$E:$E,0)),"")</f>
        <v>-629</v>
      </c>
      <c r="Z179" s="118" t="str">
        <f aca="false">_xlfn.IFNA(INDEX(Cascade!$BN:$BN,MATCH($E179,Cascade!$E:$E,0)),"")</f>
        <v/>
      </c>
      <c r="AA179" s="118" t="str">
        <f aca="false">_xlfn.IFNA(INDEX(Cascade!$BP:$BP,MATCH($E179,Cascade!$E:$E,0)),"")</f>
        <v/>
      </c>
      <c r="AB179" s="118" t="n">
        <f aca="false">_xlfn.IFNA(INDEX(Cascade!$BR:$BR,MATCH($E179,Cascade!$E:$E,0)),"")</f>
        <v>640.2</v>
      </c>
    </row>
    <row r="180" customFormat="false" ht="15" hidden="false" customHeight="false" outlineLevel="0" collapsed="false">
      <c r="A180" s="0" t="s">
        <v>148</v>
      </c>
      <c r="B180" s="0" t="s">
        <v>113</v>
      </c>
      <c r="C180" s="0" t="s">
        <v>69</v>
      </c>
      <c r="D180" s="0" t="s">
        <v>58</v>
      </c>
      <c r="E180" s="0" t="str">
        <f aca="false">B180&amp;"|"&amp;C180&amp;"|"&amp;D180</f>
        <v>Mokhotlong [#SNU] [tjhYqc1MlVo]|25-29|Male</v>
      </c>
      <c r="F180" s="73" t="n">
        <v>34</v>
      </c>
      <c r="G180" s="118" t="n">
        <f aca="false">IF(SUM($F180)&lt;=0,"",0%)</f>
        <v>0</v>
      </c>
      <c r="H180" s="75" t="n">
        <f aca="false">IF(SUM($F180)&lt;=0,"",$F180*(1+$G180))</f>
        <v>34</v>
      </c>
      <c r="I180" s="73" t="n">
        <v>16</v>
      </c>
      <c r="J180" s="118" t="n">
        <f aca="false">IF(SUM($H180)&lt;=0,"",100%)</f>
        <v>1</v>
      </c>
      <c r="K180" s="118" t="n">
        <v>20</v>
      </c>
      <c r="L180" s="118" t="n">
        <f aca="false">IF(SUM($K180)=0,"",$K180)</f>
        <v>20</v>
      </c>
      <c r="M180" s="118" t="n">
        <v>46</v>
      </c>
      <c r="N180" s="118" t="n">
        <f aca="false">IF(SUM($M180)=0,"",$M180)</f>
        <v>46</v>
      </c>
      <c r="O180" s="73" t="n">
        <f aca="false">IF(SUM($H180)&lt;=0,"",ROUND(SUM($H180)*SUM($J180),0))</f>
        <v>34</v>
      </c>
      <c r="P180" s="75" t="n">
        <f aca="false">IF(SUM($O180)&lt;=0,"",ROUND(SUM($O180)*SUM($L180),0))</f>
        <v>680</v>
      </c>
      <c r="Q180" s="75" t="n">
        <f aca="false">IF(SUM($O180)&lt;=0,"",ROUND((SUM($O180)-SUM($P180))*SUM($N180),0))</f>
        <v>-29716</v>
      </c>
      <c r="R180" s="75" t="n">
        <f aca="false">IF(SUM($O180)&lt;=0,"",ROUND(SUM($O180)-SUM($P180)-SUM($Q180),0))</f>
        <v>29070</v>
      </c>
      <c r="S180" s="118" t="n">
        <f aca="false">_xlfn.IFNA(INDEX(Cascade!$BA:$BA,MATCH($E180,Cascade!$E:$E,0)),"")</f>
        <v>0.95</v>
      </c>
      <c r="T180" s="75" t="n">
        <f aca="false">IF(SUM($P180)&lt;=0,"",$P180)</f>
        <v>680</v>
      </c>
      <c r="U180" s="75" t="str">
        <f aca="false">IF(SUM($Q180)&lt;=0,"",ROUND($Q180*$S180,0))</f>
        <v/>
      </c>
      <c r="V180" s="73" t="n">
        <f aca="false">_xlfn.IFNA(INDEX(Cascade!$BD:$BD,MATCH($E180,Cascade!$E:$E,0)),"")</f>
        <v>46</v>
      </c>
      <c r="W180" s="118" t="n">
        <f aca="false">IF(OR(SUM($V180)&lt;=0,SUM($Q180)=0),"",SUM($Q180)/$V180)</f>
        <v>-646</v>
      </c>
      <c r="X180" s="118" t="n">
        <f aca="false">_xlfn.IFNA(INDEX(Cascade!$BL:$BL,MATCH($E180,Cascade!$E:$E,0)),"")</f>
        <v>0.304347826086957</v>
      </c>
      <c r="Y180" s="118" t="str">
        <f aca="false">_xlfn.IFNA(INDEX(Cascade!$BM:$BM,MATCH($E180,Cascade!$E:$E,0)),"")</f>
        <v/>
      </c>
      <c r="Z180" s="118" t="str">
        <f aca="false">_xlfn.IFNA(INDEX(Cascade!$BN:$BN,MATCH($E180,Cascade!$E:$E,0)),"")</f>
        <v/>
      </c>
      <c r="AA180" s="118" t="str">
        <f aca="false">_xlfn.IFNA(INDEX(Cascade!$BP:$BP,MATCH($E180,Cascade!$E:$E,0)),"")</f>
        <v/>
      </c>
      <c r="AB180" s="118" t="n">
        <f aca="false">_xlfn.IFNA(INDEX(Cascade!$BR:$BR,MATCH($E180,Cascade!$E:$E,0)),"")</f>
        <v>646.695652173913</v>
      </c>
    </row>
    <row r="181" customFormat="false" ht="15" hidden="false" customHeight="false" outlineLevel="0" collapsed="false">
      <c r="A181" s="0" t="s">
        <v>148</v>
      </c>
      <c r="B181" s="0" t="s">
        <v>113</v>
      </c>
      <c r="C181" s="0" t="s">
        <v>72</v>
      </c>
      <c r="D181" s="0" t="s">
        <v>56</v>
      </c>
      <c r="E181" s="0" t="str">
        <f aca="false">B181&amp;"|"&amp;C181&amp;"|"&amp;D181</f>
        <v>Mokhotlong [#SNU] [tjhYqc1MlVo]|30-34|Female</v>
      </c>
      <c r="F181" s="73" t="n">
        <v>16</v>
      </c>
      <c r="G181" s="118" t="n">
        <f aca="false">IF(SUM($F181)&lt;=0,"",0%)</f>
        <v>0</v>
      </c>
      <c r="H181" s="75" t="n">
        <f aca="false">IF(SUM($F181)&lt;=0,"",$F181*(1+$G181))</f>
        <v>16</v>
      </c>
      <c r="I181" s="73" t="n">
        <v>37</v>
      </c>
      <c r="J181" s="118" t="n">
        <f aca="false">IF(SUM($H181)&lt;=0,"",100%)</f>
        <v>1</v>
      </c>
      <c r="K181" s="118" t="n">
        <v>19</v>
      </c>
      <c r="L181" s="118" t="n">
        <f aca="false">IF(SUM($K181)=0,"",$K181)</f>
        <v>19</v>
      </c>
      <c r="M181" s="118"/>
      <c r="N181" s="118" t="str">
        <f aca="false">IF(SUM($M181)=0,"",$M181)</f>
        <v/>
      </c>
      <c r="O181" s="73" t="n">
        <f aca="false">IF(SUM($H181)&lt;=0,"",ROUND(SUM($H181)*SUM($J181),0))</f>
        <v>16</v>
      </c>
      <c r="P181" s="75" t="n">
        <f aca="false">IF(SUM($O181)&lt;=0,"",ROUND(SUM($O181)*SUM($L181),0))</f>
        <v>304</v>
      </c>
      <c r="Q181" s="75" t="n">
        <f aca="false">IF(SUM($O181)&lt;=0,"",ROUND((SUM($O181)-SUM($P181))*SUM($N181),0))</f>
        <v>-0</v>
      </c>
      <c r="R181" s="75" t="n">
        <f aca="false">IF(SUM($O181)&lt;=0,"",ROUND(SUM($O181)-SUM($P181)-SUM($Q181),0))</f>
        <v>-288</v>
      </c>
      <c r="S181" s="118" t="n">
        <f aca="false">_xlfn.IFNA(INDEX(Cascade!$BA:$BA,MATCH($E181,Cascade!$E:$E,0)),"")</f>
        <v>0.95</v>
      </c>
      <c r="T181" s="75" t="n">
        <f aca="false">IF(SUM($P181)&lt;=0,"",$P181)</f>
        <v>304</v>
      </c>
      <c r="U181" s="75" t="str">
        <f aca="false">IF(SUM($Q181)&lt;=0,"",ROUND($Q181*$S181,0))</f>
        <v/>
      </c>
      <c r="V181" s="73" t="n">
        <f aca="false">_xlfn.IFNA(INDEX(Cascade!$BD:$BD,MATCH($E181,Cascade!$E:$E,0)),"")</f>
        <v>22</v>
      </c>
      <c r="W181" s="118" t="str">
        <f aca="false">IF(OR(SUM($V181)&lt;=0,SUM($Q181)=0),"",SUM($Q181)/$V181)</f>
        <v/>
      </c>
      <c r="X181" s="118" t="n">
        <f aca="false">_xlfn.IFNA(INDEX(Cascade!$BL:$BL,MATCH($E181,Cascade!$E:$E,0)),"")</f>
        <v>0.318181818181818</v>
      </c>
      <c r="Y181" s="118" t="n">
        <f aca="false">_xlfn.IFNA(INDEX(Cascade!$BM:$BM,MATCH($E181,Cascade!$E:$E,0)),"")</f>
        <v>-238</v>
      </c>
      <c r="Z181" s="118" t="str">
        <f aca="false">_xlfn.IFNA(INDEX(Cascade!$BN:$BN,MATCH($E181,Cascade!$E:$E,0)),"")</f>
        <v/>
      </c>
      <c r="AA181" s="118" t="str">
        <f aca="false">_xlfn.IFNA(INDEX(Cascade!$BP:$BP,MATCH($E181,Cascade!$E:$E,0)),"")</f>
        <v/>
      </c>
      <c r="AB181" s="118" t="n">
        <f aca="false">_xlfn.IFNA(INDEX(Cascade!$BR:$BR,MATCH($E181,Cascade!$E:$E,0)),"")</f>
        <v>238.681818181818</v>
      </c>
    </row>
    <row r="182" customFormat="false" ht="15" hidden="false" customHeight="false" outlineLevel="0" collapsed="false">
      <c r="A182" s="0" t="s">
        <v>148</v>
      </c>
      <c r="B182" s="0" t="s">
        <v>113</v>
      </c>
      <c r="C182" s="0" t="s">
        <v>72</v>
      </c>
      <c r="D182" s="0" t="s">
        <v>58</v>
      </c>
      <c r="E182" s="0" t="str">
        <f aca="false">B182&amp;"|"&amp;C182&amp;"|"&amp;D182</f>
        <v>Mokhotlong [#SNU] [tjhYqc1MlVo]|30-34|Male</v>
      </c>
      <c r="F182" s="73" t="n">
        <v>31</v>
      </c>
      <c r="G182" s="118" t="n">
        <f aca="false">IF(SUM($F182)&lt;=0,"",0%)</f>
        <v>0</v>
      </c>
      <c r="H182" s="75" t="n">
        <f aca="false">IF(SUM($F182)&lt;=0,"",$F182*(1+$G182))</f>
        <v>31</v>
      </c>
      <c r="I182" s="73" t="n">
        <v>38</v>
      </c>
      <c r="J182" s="118" t="n">
        <f aca="false">IF(SUM($H182)&lt;=0,"",100%)</f>
        <v>1</v>
      </c>
      <c r="K182" s="118" t="n">
        <v>49</v>
      </c>
      <c r="L182" s="118" t="n">
        <f aca="false">IF(SUM($K182)=0,"",$K182)</f>
        <v>49</v>
      </c>
      <c r="M182" s="118"/>
      <c r="N182" s="118" t="str">
        <f aca="false">IF(SUM($M182)=0,"",$M182)</f>
        <v/>
      </c>
      <c r="O182" s="73" t="n">
        <f aca="false">IF(SUM($H182)&lt;=0,"",ROUND(SUM($H182)*SUM($J182),0))</f>
        <v>31</v>
      </c>
      <c r="P182" s="75" t="n">
        <f aca="false">IF(SUM($O182)&lt;=0,"",ROUND(SUM($O182)*SUM($L182),0))</f>
        <v>1519</v>
      </c>
      <c r="Q182" s="75" t="n">
        <f aca="false">IF(SUM($O182)&lt;=0,"",ROUND((SUM($O182)-SUM($P182))*SUM($N182),0))</f>
        <v>-0</v>
      </c>
      <c r="R182" s="75" t="n">
        <f aca="false">IF(SUM($O182)&lt;=0,"",ROUND(SUM($O182)-SUM($P182)-SUM($Q182),0))</f>
        <v>-1488</v>
      </c>
      <c r="S182" s="118" t="n">
        <f aca="false">_xlfn.IFNA(INDEX(Cascade!$BA:$BA,MATCH($E182,Cascade!$E:$E,0)),"")</f>
        <v>0.95</v>
      </c>
      <c r="T182" s="75" t="n">
        <f aca="false">IF(SUM($P182)&lt;=0,"",$P182)</f>
        <v>1519</v>
      </c>
      <c r="U182" s="75" t="str">
        <f aca="false">IF(SUM($Q182)&lt;=0,"",ROUND($Q182*$S182,0))</f>
        <v/>
      </c>
      <c r="V182" s="73" t="n">
        <f aca="false">_xlfn.IFNA(INDEX(Cascade!$BD:$BD,MATCH($E182,Cascade!$E:$E,0)),"")</f>
        <v>4</v>
      </c>
      <c r="W182" s="118" t="str">
        <f aca="false">IF(OR(SUM($V182)&lt;=0,SUM($Q182)=0),"",SUM($Q182)/$V182)</f>
        <v/>
      </c>
      <c r="X182" s="118" t="n">
        <f aca="false">_xlfn.IFNA(INDEX(Cascade!$BL:$BL,MATCH($E182,Cascade!$E:$E,0)),"")</f>
        <v>0.25</v>
      </c>
      <c r="Y182" s="118" t="str">
        <f aca="false">_xlfn.IFNA(INDEX(Cascade!$BM:$BM,MATCH($E182,Cascade!$E:$E,0)),"")</f>
        <v/>
      </c>
      <c r="Z182" s="118" t="str">
        <f aca="false">_xlfn.IFNA(INDEX(Cascade!$BN:$BN,MATCH($E182,Cascade!$E:$E,0)),"")</f>
        <v/>
      </c>
      <c r="AA182" s="118" t="str">
        <f aca="false">_xlfn.IFNA(INDEX(Cascade!$BP:$BP,MATCH($E182,Cascade!$E:$E,0)),"")</f>
        <v/>
      </c>
      <c r="AB182" s="118" t="n">
        <f aca="false">_xlfn.IFNA(INDEX(Cascade!$BR:$BR,MATCH($E182,Cascade!$E:$E,0)),"")</f>
        <v>0.75</v>
      </c>
    </row>
    <row r="183" customFormat="false" ht="15" hidden="false" customHeight="false" outlineLevel="0" collapsed="false">
      <c r="A183" s="0" t="s">
        <v>148</v>
      </c>
      <c r="B183" s="0" t="s">
        <v>113</v>
      </c>
      <c r="C183" s="0" t="s">
        <v>75</v>
      </c>
      <c r="D183" s="0" t="s">
        <v>56</v>
      </c>
      <c r="E183" s="0" t="str">
        <f aca="false">B183&amp;"|"&amp;C183&amp;"|"&amp;D183</f>
        <v>Mokhotlong [#SNU] [tjhYqc1MlVo]|35-39|Female</v>
      </c>
      <c r="F183" s="73" t="n">
        <v>36</v>
      </c>
      <c r="G183" s="118" t="n">
        <f aca="false">IF(SUM($F183)&lt;=0,"",0%)</f>
        <v>0</v>
      </c>
      <c r="H183" s="75" t="n">
        <f aca="false">IF(SUM($F183)&lt;=0,"",$F183*(1+$G183))</f>
        <v>36</v>
      </c>
      <c r="I183" s="73" t="n">
        <v>26</v>
      </c>
      <c r="J183" s="118" t="n">
        <f aca="false">IF(SUM($H183)&lt;=0,"",100%)</f>
        <v>1</v>
      </c>
      <c r="K183" s="118" t="n">
        <v>37</v>
      </c>
      <c r="L183" s="118" t="n">
        <f aca="false">IF(SUM($K183)=0,"",$K183)</f>
        <v>37</v>
      </c>
      <c r="M183" s="118"/>
      <c r="N183" s="118" t="str">
        <f aca="false">IF(SUM($M183)=0,"",$M183)</f>
        <v/>
      </c>
      <c r="O183" s="73" t="n">
        <f aca="false">IF(SUM($H183)&lt;=0,"",ROUND(SUM($H183)*SUM($J183),0))</f>
        <v>36</v>
      </c>
      <c r="P183" s="75" t="n">
        <f aca="false">IF(SUM($O183)&lt;=0,"",ROUND(SUM($O183)*SUM($L183),0))</f>
        <v>1332</v>
      </c>
      <c r="Q183" s="75" t="n">
        <f aca="false">IF(SUM($O183)&lt;=0,"",ROUND((SUM($O183)-SUM($P183))*SUM($N183),0))</f>
        <v>-0</v>
      </c>
      <c r="R183" s="75" t="n">
        <f aca="false">IF(SUM($O183)&lt;=0,"",ROUND(SUM($O183)-SUM($P183)-SUM($Q183),0))</f>
        <v>-1296</v>
      </c>
      <c r="S183" s="118" t="n">
        <f aca="false">_xlfn.IFNA(INDEX(Cascade!$BA:$BA,MATCH($E183,Cascade!$E:$E,0)),"")</f>
        <v>0.95</v>
      </c>
      <c r="T183" s="75" t="n">
        <f aca="false">IF(SUM($P183)&lt;=0,"",$P183)</f>
        <v>1332</v>
      </c>
      <c r="U183" s="75" t="str">
        <f aca="false">IF(SUM($Q183)&lt;=0,"",ROUND($Q183*$S183,0))</f>
        <v/>
      </c>
      <c r="V183" s="73" t="n">
        <f aca="false">_xlfn.IFNA(INDEX(Cascade!$BD:$BD,MATCH($E183,Cascade!$E:$E,0)),"")</f>
        <v>3</v>
      </c>
      <c r="W183" s="118" t="str">
        <f aca="false">IF(OR(SUM($V183)&lt;=0,SUM($Q183)=0),"",SUM($Q183)/$V183)</f>
        <v/>
      </c>
      <c r="X183" s="118" t="n">
        <f aca="false">_xlfn.IFNA(INDEX(Cascade!$BL:$BL,MATCH($E183,Cascade!$E:$E,0)),"")</f>
        <v>0.666666666666667</v>
      </c>
      <c r="Y183" s="118" t="n">
        <f aca="false">_xlfn.IFNA(INDEX(Cascade!$BM:$BM,MATCH($E183,Cascade!$E:$E,0)),"")</f>
        <v>-264</v>
      </c>
      <c r="Z183" s="118" t="str">
        <f aca="false">_xlfn.IFNA(INDEX(Cascade!$BN:$BN,MATCH($E183,Cascade!$E:$E,0)),"")</f>
        <v/>
      </c>
      <c r="AA183" s="118" t="str">
        <f aca="false">_xlfn.IFNA(INDEX(Cascade!$BP:$BP,MATCH($E183,Cascade!$E:$E,0)),"")</f>
        <v/>
      </c>
      <c r="AB183" s="118" t="n">
        <f aca="false">_xlfn.IFNA(INDEX(Cascade!$BR:$BR,MATCH($E183,Cascade!$E:$E,0)),"")</f>
        <v>264.333333333333</v>
      </c>
    </row>
    <row r="184" customFormat="false" ht="15" hidden="false" customHeight="false" outlineLevel="0" collapsed="false">
      <c r="A184" s="0" t="s">
        <v>148</v>
      </c>
      <c r="B184" s="0" t="s">
        <v>113</v>
      </c>
      <c r="C184" s="0" t="s">
        <v>75</v>
      </c>
      <c r="D184" s="0" t="s">
        <v>58</v>
      </c>
      <c r="E184" s="0" t="str">
        <f aca="false">B184&amp;"|"&amp;C184&amp;"|"&amp;D184</f>
        <v>Mokhotlong [#SNU] [tjhYqc1MlVo]|35-39|Male</v>
      </c>
      <c r="F184" s="73" t="n">
        <v>18</v>
      </c>
      <c r="G184" s="118" t="n">
        <f aca="false">IF(SUM($F184)&lt;=0,"",0%)</f>
        <v>0</v>
      </c>
      <c r="H184" s="75" t="n">
        <f aca="false">IF(SUM($F184)&lt;=0,"",$F184*(1+$G184))</f>
        <v>18</v>
      </c>
      <c r="I184" s="73" t="n">
        <v>37</v>
      </c>
      <c r="J184" s="118" t="n">
        <f aca="false">IF(SUM($H184)&lt;=0,"",100%)</f>
        <v>1</v>
      </c>
      <c r="K184" s="118" t="n">
        <v>29</v>
      </c>
      <c r="L184" s="118" t="n">
        <f aca="false">IF(SUM($K184)=0,"",$K184)</f>
        <v>29</v>
      </c>
      <c r="M184" s="118" t="n">
        <v>39</v>
      </c>
      <c r="N184" s="118" t="n">
        <f aca="false">IF(SUM($M184)=0,"",$M184)</f>
        <v>39</v>
      </c>
      <c r="O184" s="73" t="n">
        <f aca="false">IF(SUM($H184)&lt;=0,"",ROUND(SUM($H184)*SUM($J184),0))</f>
        <v>18</v>
      </c>
      <c r="P184" s="75" t="n">
        <f aca="false">IF(SUM($O184)&lt;=0,"",ROUND(SUM($O184)*SUM($L184),0))</f>
        <v>522</v>
      </c>
      <c r="Q184" s="75" t="n">
        <f aca="false">IF(SUM($O184)&lt;=0,"",ROUND((SUM($O184)-SUM($P184))*SUM($N184),0))</f>
        <v>-19656</v>
      </c>
      <c r="R184" s="75" t="n">
        <f aca="false">IF(SUM($O184)&lt;=0,"",ROUND(SUM($O184)-SUM($P184)-SUM($Q184),0))</f>
        <v>19152</v>
      </c>
      <c r="S184" s="118" t="n">
        <f aca="false">_xlfn.IFNA(INDEX(Cascade!$BA:$BA,MATCH($E184,Cascade!$E:$E,0)),"")</f>
        <v>0.95</v>
      </c>
      <c r="T184" s="75" t="n">
        <f aca="false">IF(SUM($P184)&lt;=0,"",$P184)</f>
        <v>522</v>
      </c>
      <c r="U184" s="75" t="str">
        <f aca="false">IF(SUM($Q184)&lt;=0,"",ROUND($Q184*$S184,0))</f>
        <v/>
      </c>
      <c r="V184" s="73" t="n">
        <f aca="false">_xlfn.IFNA(INDEX(Cascade!$BD:$BD,MATCH($E184,Cascade!$E:$E,0)),"")</f>
        <v>21</v>
      </c>
      <c r="W184" s="118" t="n">
        <f aca="false">IF(OR(SUM($V184)&lt;=0,SUM($Q184)=0),"",SUM($Q184)/$V184)</f>
        <v>-936</v>
      </c>
      <c r="X184" s="118" t="n">
        <f aca="false">_xlfn.IFNA(INDEX(Cascade!$BL:$BL,MATCH($E184,Cascade!$E:$E,0)),"")</f>
        <v>0.285714285714286</v>
      </c>
      <c r="Y184" s="118" t="str">
        <f aca="false">_xlfn.IFNA(INDEX(Cascade!$BM:$BM,MATCH($E184,Cascade!$E:$E,0)),"")</f>
        <v/>
      </c>
      <c r="Z184" s="118" t="str">
        <f aca="false">_xlfn.IFNA(INDEX(Cascade!$BN:$BN,MATCH($E184,Cascade!$E:$E,0)),"")</f>
        <v/>
      </c>
      <c r="AA184" s="118" t="str">
        <f aca="false">_xlfn.IFNA(INDEX(Cascade!$BP:$BP,MATCH($E184,Cascade!$E:$E,0)),"")</f>
        <v/>
      </c>
      <c r="AB184" s="118" t="n">
        <f aca="false">_xlfn.IFNA(INDEX(Cascade!$BR:$BR,MATCH($E184,Cascade!$E:$E,0)),"")</f>
        <v>936.714285714286</v>
      </c>
    </row>
    <row r="185" customFormat="false" ht="15" hidden="false" customHeight="false" outlineLevel="0" collapsed="false">
      <c r="A185" s="0" t="s">
        <v>148</v>
      </c>
      <c r="B185" s="0" t="s">
        <v>113</v>
      </c>
      <c r="C185" s="0" t="s">
        <v>77</v>
      </c>
      <c r="D185" s="0" t="s">
        <v>56</v>
      </c>
      <c r="E185" s="0" t="str">
        <f aca="false">B185&amp;"|"&amp;C185&amp;"|"&amp;D185</f>
        <v>Mokhotlong [#SNU] [tjhYqc1MlVo]|40-44|Female</v>
      </c>
      <c r="F185" s="73" t="n">
        <v>26</v>
      </c>
      <c r="G185" s="118" t="n">
        <f aca="false">IF(SUM($F185)&lt;=0,"",0%)</f>
        <v>0</v>
      </c>
      <c r="H185" s="75" t="n">
        <f aca="false">IF(SUM($F185)&lt;=0,"",$F185*(1+$G185))</f>
        <v>26</v>
      </c>
      <c r="I185" s="73"/>
      <c r="J185" s="118" t="n">
        <f aca="false">IF(SUM($H185)&lt;=0,"",100%)</f>
        <v>1</v>
      </c>
      <c r="K185" s="118" t="n">
        <v>48</v>
      </c>
      <c r="L185" s="118" t="n">
        <f aca="false">IF(SUM($K185)=0,"",$K185)</f>
        <v>48</v>
      </c>
      <c r="M185" s="118"/>
      <c r="N185" s="118" t="str">
        <f aca="false">IF(SUM($M185)=0,"",$M185)</f>
        <v/>
      </c>
      <c r="O185" s="73" t="n">
        <f aca="false">IF(SUM($H185)&lt;=0,"",ROUND(SUM($H185)*SUM($J185),0))</f>
        <v>26</v>
      </c>
      <c r="P185" s="75" t="n">
        <f aca="false">IF(SUM($O185)&lt;=0,"",ROUND(SUM($O185)*SUM($L185),0))</f>
        <v>1248</v>
      </c>
      <c r="Q185" s="75" t="n">
        <f aca="false">IF(SUM($O185)&lt;=0,"",ROUND((SUM($O185)-SUM($P185))*SUM($N185),0))</f>
        <v>-0</v>
      </c>
      <c r="R185" s="75" t="n">
        <f aca="false">IF(SUM($O185)&lt;=0,"",ROUND(SUM($O185)-SUM($P185)-SUM($Q185),0))</f>
        <v>-1222</v>
      </c>
      <c r="S185" s="118" t="n">
        <f aca="false">_xlfn.IFNA(INDEX(Cascade!$BA:$BA,MATCH($E185,Cascade!$E:$E,0)),"")</f>
        <v>0.95</v>
      </c>
      <c r="T185" s="75" t="n">
        <f aca="false">IF(SUM($P185)&lt;=0,"",$P185)</f>
        <v>1248</v>
      </c>
      <c r="U185" s="75" t="str">
        <f aca="false">IF(SUM($Q185)&lt;=0,"",ROUND($Q185*$S185,0))</f>
        <v/>
      </c>
      <c r="V185" s="73" t="str">
        <f aca="false">_xlfn.IFNA(INDEX(Cascade!$BD:$BD,MATCH($E185,Cascade!$E:$E,0)),"")</f>
        <v/>
      </c>
      <c r="W185" s="118" t="str">
        <f aca="false">IF(OR(SUM($V185)&lt;=0,SUM($Q185)=0),"",SUM($Q185)/$V185)</f>
        <v/>
      </c>
      <c r="X185" s="118" t="str">
        <f aca="false">_xlfn.IFNA(INDEX(Cascade!$BL:$BL,MATCH($E185,Cascade!$E:$E,0)),"")</f>
        <v/>
      </c>
      <c r="Y185" s="118" t="str">
        <f aca="false">_xlfn.IFNA(INDEX(Cascade!$BM:$BM,MATCH($E185,Cascade!$E:$E,0)),"")</f>
        <v/>
      </c>
      <c r="Z185" s="118" t="str">
        <f aca="false">_xlfn.IFNA(INDEX(Cascade!$BN:$BN,MATCH($E185,Cascade!$E:$E,0)),"")</f>
        <v/>
      </c>
      <c r="AA185" s="118" t="str">
        <f aca="false">_xlfn.IFNA(INDEX(Cascade!$BP:$BP,MATCH($E185,Cascade!$E:$E,0)),"")</f>
        <v/>
      </c>
      <c r="AB185" s="118" t="str">
        <f aca="false">_xlfn.IFNA(INDEX(Cascade!$BR:$BR,MATCH($E185,Cascade!$E:$E,0)),"")</f>
        <v/>
      </c>
    </row>
    <row r="186" customFormat="false" ht="15" hidden="false" customHeight="false" outlineLevel="0" collapsed="false">
      <c r="A186" s="0" t="s">
        <v>148</v>
      </c>
      <c r="B186" s="0" t="s">
        <v>113</v>
      </c>
      <c r="C186" s="0" t="s">
        <v>77</v>
      </c>
      <c r="D186" s="0" t="s">
        <v>58</v>
      </c>
      <c r="E186" s="0" t="str">
        <f aca="false">B186&amp;"|"&amp;C186&amp;"|"&amp;D186</f>
        <v>Mokhotlong [#SNU] [tjhYqc1MlVo]|40-44|Male</v>
      </c>
      <c r="F186" s="73" t="n">
        <v>42</v>
      </c>
      <c r="G186" s="118" t="n">
        <f aca="false">IF(SUM($F186)&lt;=0,"",0%)</f>
        <v>0</v>
      </c>
      <c r="H186" s="75" t="n">
        <f aca="false">IF(SUM($F186)&lt;=0,"",$F186*(1+$G186))</f>
        <v>42</v>
      </c>
      <c r="I186" s="73" t="n">
        <v>39</v>
      </c>
      <c r="J186" s="118" t="n">
        <f aca="false">IF(SUM($H186)&lt;=0,"",100%)</f>
        <v>1</v>
      </c>
      <c r="K186" s="118" t="n">
        <v>41</v>
      </c>
      <c r="L186" s="118" t="n">
        <f aca="false">IF(SUM($K186)=0,"",$K186)</f>
        <v>41</v>
      </c>
      <c r="M186" s="118"/>
      <c r="N186" s="118" t="str">
        <f aca="false">IF(SUM($M186)=0,"",$M186)</f>
        <v/>
      </c>
      <c r="O186" s="73" t="n">
        <f aca="false">IF(SUM($H186)&lt;=0,"",ROUND(SUM($H186)*SUM($J186),0))</f>
        <v>42</v>
      </c>
      <c r="P186" s="75" t="n">
        <f aca="false">IF(SUM($O186)&lt;=0,"",ROUND(SUM($O186)*SUM($L186),0))</f>
        <v>1722</v>
      </c>
      <c r="Q186" s="75" t="n">
        <f aca="false">IF(SUM($O186)&lt;=0,"",ROUND((SUM($O186)-SUM($P186))*SUM($N186),0))</f>
        <v>-0</v>
      </c>
      <c r="R186" s="75" t="n">
        <f aca="false">IF(SUM($O186)&lt;=0,"",ROUND(SUM($O186)-SUM($P186)-SUM($Q186),0))</f>
        <v>-1680</v>
      </c>
      <c r="S186" s="118" t="n">
        <f aca="false">_xlfn.IFNA(INDEX(Cascade!$BA:$BA,MATCH($E186,Cascade!$E:$E,0)),"")</f>
        <v>0.95</v>
      </c>
      <c r="T186" s="75" t="n">
        <f aca="false">IF(SUM($P186)&lt;=0,"",$P186)</f>
        <v>1722</v>
      </c>
      <c r="U186" s="75" t="str">
        <f aca="false">IF(SUM($Q186)&lt;=0,"",ROUND($Q186*$S186,0))</f>
        <v/>
      </c>
      <c r="V186" s="73" t="str">
        <f aca="false">_xlfn.IFNA(INDEX(Cascade!$BD:$BD,MATCH($E186,Cascade!$E:$E,0)),"")</f>
        <v/>
      </c>
      <c r="W186" s="118" t="str">
        <f aca="false">IF(OR(SUM($V186)&lt;=0,SUM($Q186)=0),"",SUM($Q186)/$V186)</f>
        <v/>
      </c>
      <c r="X186" s="118" t="str">
        <f aca="false">_xlfn.IFNA(INDEX(Cascade!$BL:$BL,MATCH($E186,Cascade!$E:$E,0)),"")</f>
        <v/>
      </c>
      <c r="Y186" s="118" t="str">
        <f aca="false">_xlfn.IFNA(INDEX(Cascade!$BM:$BM,MATCH($E186,Cascade!$E:$E,0)),"")</f>
        <v/>
      </c>
      <c r="Z186" s="118" t="str">
        <f aca="false">_xlfn.IFNA(INDEX(Cascade!$BN:$BN,MATCH($E186,Cascade!$E:$E,0)),"")</f>
        <v/>
      </c>
      <c r="AA186" s="118" t="str">
        <f aca="false">_xlfn.IFNA(INDEX(Cascade!$BP:$BP,MATCH($E186,Cascade!$E:$E,0)),"")</f>
        <v/>
      </c>
      <c r="AB186" s="118" t="str">
        <f aca="false">_xlfn.IFNA(INDEX(Cascade!$BR:$BR,MATCH($E186,Cascade!$E:$E,0)),"")</f>
        <v/>
      </c>
    </row>
    <row r="187" customFormat="false" ht="15" hidden="false" customHeight="false" outlineLevel="0" collapsed="false">
      <c r="A187" s="0" t="s">
        <v>148</v>
      </c>
      <c r="B187" s="0" t="s">
        <v>113</v>
      </c>
      <c r="C187" s="0" t="s">
        <v>80</v>
      </c>
      <c r="D187" s="0" t="s">
        <v>56</v>
      </c>
      <c r="E187" s="0" t="str">
        <f aca="false">B187&amp;"|"&amp;C187&amp;"|"&amp;D187</f>
        <v>Mokhotlong [#SNU] [tjhYqc1MlVo]|45-49|Female</v>
      </c>
      <c r="F187" s="73" t="n">
        <v>47</v>
      </c>
      <c r="G187" s="118" t="n">
        <f aca="false">IF(SUM($F187)&lt;=0,"",0%)</f>
        <v>0</v>
      </c>
      <c r="H187" s="75" t="n">
        <f aca="false">IF(SUM($F187)&lt;=0,"",$F187*(1+$G187))</f>
        <v>47</v>
      </c>
      <c r="I187" s="73" t="n">
        <v>26</v>
      </c>
      <c r="J187" s="118" t="n">
        <f aca="false">IF(SUM($H187)&lt;=0,"",100%)</f>
        <v>1</v>
      </c>
      <c r="K187" s="118" t="n">
        <v>14</v>
      </c>
      <c r="L187" s="118" t="n">
        <f aca="false">IF(SUM($K187)=0,"",$K187)</f>
        <v>14</v>
      </c>
      <c r="M187" s="118" t="n">
        <v>11</v>
      </c>
      <c r="N187" s="118" t="n">
        <f aca="false">IF(SUM($M187)=0,"",$M187)</f>
        <v>11</v>
      </c>
      <c r="O187" s="73" t="n">
        <f aca="false">IF(SUM($H187)&lt;=0,"",ROUND(SUM($H187)*SUM($J187),0))</f>
        <v>47</v>
      </c>
      <c r="P187" s="75" t="n">
        <f aca="false">IF(SUM($O187)&lt;=0,"",ROUND(SUM($O187)*SUM($L187),0))</f>
        <v>658</v>
      </c>
      <c r="Q187" s="75" t="n">
        <f aca="false">IF(SUM($O187)&lt;=0,"",ROUND((SUM($O187)-SUM($P187))*SUM($N187),0))</f>
        <v>-6721</v>
      </c>
      <c r="R187" s="75" t="n">
        <f aca="false">IF(SUM($O187)&lt;=0,"",ROUND(SUM($O187)-SUM($P187)-SUM($Q187),0))</f>
        <v>6110</v>
      </c>
      <c r="S187" s="118" t="n">
        <f aca="false">_xlfn.IFNA(INDEX(Cascade!$BA:$BA,MATCH($E187,Cascade!$E:$E,0)),"")</f>
        <v>0.95</v>
      </c>
      <c r="T187" s="75" t="n">
        <f aca="false">IF(SUM($P187)&lt;=0,"",$P187)</f>
        <v>658</v>
      </c>
      <c r="U187" s="75" t="str">
        <f aca="false">IF(SUM($Q187)&lt;=0,"",ROUND($Q187*$S187,0))</f>
        <v/>
      </c>
      <c r="V187" s="73" t="str">
        <f aca="false">_xlfn.IFNA(INDEX(Cascade!$BD:$BD,MATCH($E187,Cascade!$E:$E,0)),"")</f>
        <v/>
      </c>
      <c r="W187" s="118" t="str">
        <f aca="false">IF(OR(SUM($V187)&lt;=0,SUM($Q187)=0),"",SUM($Q187)/$V187)</f>
        <v/>
      </c>
      <c r="X187" s="118" t="str">
        <f aca="false">_xlfn.IFNA(INDEX(Cascade!$BL:$BL,MATCH($E187,Cascade!$E:$E,0)),"")</f>
        <v/>
      </c>
      <c r="Y187" s="118" t="str">
        <f aca="false">_xlfn.IFNA(INDEX(Cascade!$BM:$BM,MATCH($E187,Cascade!$E:$E,0)),"")</f>
        <v/>
      </c>
      <c r="Z187" s="118" t="str">
        <f aca="false">_xlfn.IFNA(INDEX(Cascade!$BN:$BN,MATCH($E187,Cascade!$E:$E,0)),"")</f>
        <v/>
      </c>
      <c r="AA187" s="118" t="str">
        <f aca="false">_xlfn.IFNA(INDEX(Cascade!$BP:$BP,MATCH($E187,Cascade!$E:$E,0)),"")</f>
        <v/>
      </c>
      <c r="AB187" s="118" t="str">
        <f aca="false">_xlfn.IFNA(INDEX(Cascade!$BR:$BR,MATCH($E187,Cascade!$E:$E,0)),"")</f>
        <v/>
      </c>
    </row>
    <row r="188" customFormat="false" ht="15" hidden="false" customHeight="false" outlineLevel="0" collapsed="false">
      <c r="A188" s="0" t="s">
        <v>148</v>
      </c>
      <c r="B188" s="0" t="s">
        <v>113</v>
      </c>
      <c r="C188" s="0" t="s">
        <v>80</v>
      </c>
      <c r="D188" s="0" t="s">
        <v>58</v>
      </c>
      <c r="E188" s="0" t="str">
        <f aca="false">B188&amp;"|"&amp;C188&amp;"|"&amp;D188</f>
        <v>Mokhotlong [#SNU] [tjhYqc1MlVo]|45-49|Male</v>
      </c>
      <c r="F188" s="73" t="n">
        <v>48</v>
      </c>
      <c r="G188" s="118" t="n">
        <f aca="false">IF(SUM($F188)&lt;=0,"",0%)</f>
        <v>0</v>
      </c>
      <c r="H188" s="75" t="n">
        <f aca="false">IF(SUM($F188)&lt;=0,"",$F188*(1+$G188))</f>
        <v>48</v>
      </c>
      <c r="I188" s="73" t="n">
        <v>32</v>
      </c>
      <c r="J188" s="118" t="n">
        <f aca="false">IF(SUM($H188)&lt;=0,"",100%)</f>
        <v>1</v>
      </c>
      <c r="K188" s="118" t="n">
        <v>16</v>
      </c>
      <c r="L188" s="118" t="n">
        <f aca="false">IF(SUM($K188)=0,"",$K188)</f>
        <v>16</v>
      </c>
      <c r="M188" s="118" t="n">
        <v>10</v>
      </c>
      <c r="N188" s="118" t="n">
        <f aca="false">IF(SUM($M188)=0,"",$M188)</f>
        <v>10</v>
      </c>
      <c r="O188" s="73" t="n">
        <f aca="false">IF(SUM($H188)&lt;=0,"",ROUND(SUM($H188)*SUM($J188),0))</f>
        <v>48</v>
      </c>
      <c r="P188" s="75" t="n">
        <f aca="false">IF(SUM($O188)&lt;=0,"",ROUND(SUM($O188)*SUM($L188),0))</f>
        <v>768</v>
      </c>
      <c r="Q188" s="75" t="n">
        <f aca="false">IF(SUM($O188)&lt;=0,"",ROUND((SUM($O188)-SUM($P188))*SUM($N188),0))</f>
        <v>-7200</v>
      </c>
      <c r="R188" s="75" t="n">
        <f aca="false">IF(SUM($O188)&lt;=0,"",ROUND(SUM($O188)-SUM($P188)-SUM($Q188),0))</f>
        <v>6480</v>
      </c>
      <c r="S188" s="118" t="n">
        <f aca="false">_xlfn.IFNA(INDEX(Cascade!$BA:$BA,MATCH($E188,Cascade!$E:$E,0)),"")</f>
        <v>0.95</v>
      </c>
      <c r="T188" s="75" t="n">
        <f aca="false">IF(SUM($P188)&lt;=0,"",$P188)</f>
        <v>768</v>
      </c>
      <c r="U188" s="75" t="str">
        <f aca="false">IF(SUM($Q188)&lt;=0,"",ROUND($Q188*$S188,0))</f>
        <v/>
      </c>
      <c r="V188" s="73" t="n">
        <f aca="false">_xlfn.IFNA(INDEX(Cascade!$BD:$BD,MATCH($E188,Cascade!$E:$E,0)),"")</f>
        <v>9</v>
      </c>
      <c r="W188" s="118" t="n">
        <f aca="false">IF(OR(SUM($V188)&lt;=0,SUM($Q188)=0),"",SUM($Q188)/$V188)</f>
        <v>-800</v>
      </c>
      <c r="X188" s="118" t="n">
        <f aca="false">_xlfn.IFNA(INDEX(Cascade!$BL:$BL,MATCH($E188,Cascade!$E:$E,0)),"")</f>
        <v>0.555555555555556</v>
      </c>
      <c r="Y188" s="118" t="str">
        <f aca="false">_xlfn.IFNA(INDEX(Cascade!$BM:$BM,MATCH($E188,Cascade!$E:$E,0)),"")</f>
        <v/>
      </c>
      <c r="Z188" s="118" t="str">
        <f aca="false">_xlfn.IFNA(INDEX(Cascade!$BN:$BN,MATCH($E188,Cascade!$E:$E,0)),"")</f>
        <v/>
      </c>
      <c r="AA188" s="118" t="str">
        <f aca="false">_xlfn.IFNA(INDEX(Cascade!$BP:$BP,MATCH($E188,Cascade!$E:$E,0)),"")</f>
        <v/>
      </c>
      <c r="AB188" s="118" t="n">
        <f aca="false">_xlfn.IFNA(INDEX(Cascade!$BR:$BR,MATCH($E188,Cascade!$E:$E,0)),"")</f>
        <v>800.444444444445</v>
      </c>
    </row>
    <row r="189" customFormat="false" ht="15" hidden="false" customHeight="false" outlineLevel="0" collapsed="false">
      <c r="A189" s="0" t="s">
        <v>148</v>
      </c>
      <c r="B189" s="0" t="s">
        <v>113</v>
      </c>
      <c r="C189" s="0" t="s">
        <v>86</v>
      </c>
      <c r="D189" s="0" t="s">
        <v>56</v>
      </c>
      <c r="E189" s="0" t="str">
        <f aca="false">B189&amp;"|"&amp;C189&amp;"|"&amp;D189</f>
        <v>Mokhotlong [#SNU] [tjhYqc1MlVo]|50+|Female</v>
      </c>
      <c r="F189" s="73" t="n">
        <v>4</v>
      </c>
      <c r="G189" s="118" t="n">
        <f aca="false">IF(SUM($F189)&lt;=0,"",0%)</f>
        <v>0</v>
      </c>
      <c r="H189" s="75" t="n">
        <f aca="false">IF(SUM($F189)&lt;=0,"",$F189*(1+$G189))</f>
        <v>4</v>
      </c>
      <c r="I189" s="73" t="n">
        <v>35</v>
      </c>
      <c r="J189" s="118" t="n">
        <f aca="false">IF(SUM($H189)&lt;=0,"",100%)</f>
        <v>1</v>
      </c>
      <c r="K189" s="118" t="n">
        <v>45</v>
      </c>
      <c r="L189" s="118" t="n">
        <f aca="false">IF(SUM($K189)=0,"",$K189)</f>
        <v>45</v>
      </c>
      <c r="M189" s="118"/>
      <c r="N189" s="118" t="str">
        <f aca="false">IF(SUM($M189)=0,"",$M189)</f>
        <v/>
      </c>
      <c r="O189" s="73" t="n">
        <f aca="false">IF(SUM($H189)&lt;=0,"",ROUND(SUM($H189)*SUM($J189),0))</f>
        <v>4</v>
      </c>
      <c r="P189" s="75" t="n">
        <f aca="false">IF(SUM($O189)&lt;=0,"",ROUND(SUM($O189)*SUM($L189),0))</f>
        <v>180</v>
      </c>
      <c r="Q189" s="75" t="n">
        <f aca="false">IF(SUM($O189)&lt;=0,"",ROUND((SUM($O189)-SUM($P189))*SUM($N189),0))</f>
        <v>-0</v>
      </c>
      <c r="R189" s="75" t="n">
        <f aca="false">IF(SUM($O189)&lt;=0,"",ROUND(SUM($O189)-SUM($P189)-SUM($Q189),0))</f>
        <v>-176</v>
      </c>
      <c r="S189" s="118" t="n">
        <f aca="false">_xlfn.IFNA(INDEX(Cascade!$BA:$BA,MATCH($E189,Cascade!$E:$E,0)),"")</f>
        <v>0.95</v>
      </c>
      <c r="T189" s="75" t="n">
        <f aca="false">IF(SUM($P189)&lt;=0,"",$P189)</f>
        <v>180</v>
      </c>
      <c r="U189" s="75" t="str">
        <f aca="false">IF(SUM($Q189)&lt;=0,"",ROUND($Q189*$S189,0))</f>
        <v/>
      </c>
      <c r="V189" s="73" t="n">
        <f aca="false">_xlfn.IFNA(INDEX(Cascade!$BD:$BD,MATCH($E189,Cascade!$E:$E,0)),"")</f>
        <v>9</v>
      </c>
      <c r="W189" s="118" t="str">
        <f aca="false">IF(OR(SUM($V189)&lt;=0,SUM($Q189)=0),"",SUM($Q189)/$V189)</f>
        <v/>
      </c>
      <c r="X189" s="118" t="n">
        <f aca="false">_xlfn.IFNA(INDEX(Cascade!$BL:$BL,MATCH($E189,Cascade!$E:$E,0)),"")</f>
        <v>0.555555555555556</v>
      </c>
      <c r="Y189" s="118" t="str">
        <f aca="false">_xlfn.IFNA(INDEX(Cascade!$BM:$BM,MATCH($E189,Cascade!$E:$E,0)),"")</f>
        <v/>
      </c>
      <c r="Z189" s="118" t="str">
        <f aca="false">_xlfn.IFNA(INDEX(Cascade!$BN:$BN,MATCH($E189,Cascade!$E:$E,0)),"")</f>
        <v/>
      </c>
      <c r="AA189" s="118" t="str">
        <f aca="false">_xlfn.IFNA(INDEX(Cascade!$BP:$BP,MATCH($E189,Cascade!$E:$E,0)),"")</f>
        <v/>
      </c>
      <c r="AB189" s="118" t="n">
        <f aca="false">_xlfn.IFNA(INDEX(Cascade!$BR:$BR,MATCH($E189,Cascade!$E:$E,0)),"")</f>
        <v>0.444444444444444</v>
      </c>
    </row>
    <row r="190" customFormat="false" ht="15" hidden="false" customHeight="false" outlineLevel="0" collapsed="false">
      <c r="A190" s="0" t="s">
        <v>148</v>
      </c>
      <c r="B190" s="0" t="s">
        <v>113</v>
      </c>
      <c r="C190" s="0" t="s">
        <v>86</v>
      </c>
      <c r="D190" s="0" t="s">
        <v>58</v>
      </c>
      <c r="E190" s="0" t="str">
        <f aca="false">B190&amp;"|"&amp;C190&amp;"|"&amp;D190</f>
        <v>Mokhotlong [#SNU] [tjhYqc1MlVo]|50+|Male</v>
      </c>
      <c r="F190" s="73" t="n">
        <v>9</v>
      </c>
      <c r="G190" s="118" t="n">
        <f aca="false">IF(SUM($F190)&lt;=0,"",0%)</f>
        <v>0</v>
      </c>
      <c r="H190" s="75" t="n">
        <f aca="false">IF(SUM($F190)&lt;=0,"",$F190*(1+$G190))</f>
        <v>9</v>
      </c>
      <c r="I190" s="73" t="n">
        <v>39</v>
      </c>
      <c r="J190" s="118" t="n">
        <f aca="false">IF(SUM($H190)&lt;=0,"",100%)</f>
        <v>1</v>
      </c>
      <c r="K190" s="118" t="n">
        <v>43</v>
      </c>
      <c r="L190" s="118" t="n">
        <f aca="false">IF(SUM($K190)=0,"",$K190)</f>
        <v>43</v>
      </c>
      <c r="M190" s="118"/>
      <c r="N190" s="118" t="str">
        <f aca="false">IF(SUM($M190)=0,"",$M190)</f>
        <v/>
      </c>
      <c r="O190" s="73" t="n">
        <f aca="false">IF(SUM($H190)&lt;=0,"",ROUND(SUM($H190)*SUM($J190),0))</f>
        <v>9</v>
      </c>
      <c r="P190" s="75" t="n">
        <f aca="false">IF(SUM($O190)&lt;=0,"",ROUND(SUM($O190)*SUM($L190),0))</f>
        <v>387</v>
      </c>
      <c r="Q190" s="75" t="n">
        <f aca="false">IF(SUM($O190)&lt;=0,"",ROUND((SUM($O190)-SUM($P190))*SUM($N190),0))</f>
        <v>-0</v>
      </c>
      <c r="R190" s="75" t="n">
        <f aca="false">IF(SUM($O190)&lt;=0,"",ROUND(SUM($O190)-SUM($P190)-SUM($Q190),0))</f>
        <v>-378</v>
      </c>
      <c r="S190" s="118" t="n">
        <f aca="false">_xlfn.IFNA(INDEX(Cascade!$BA:$BA,MATCH($E190,Cascade!$E:$E,0)),"")</f>
        <v>0.95</v>
      </c>
      <c r="T190" s="75" t="n">
        <f aca="false">IF(SUM($P190)&lt;=0,"",$P190)</f>
        <v>387</v>
      </c>
      <c r="U190" s="75" t="str">
        <f aca="false">IF(SUM($Q190)&lt;=0,"",ROUND($Q190*$S190,0))</f>
        <v/>
      </c>
      <c r="V190" s="73" t="n">
        <f aca="false">_xlfn.IFNA(INDEX(Cascade!$BD:$BD,MATCH($E190,Cascade!$E:$E,0)),"")</f>
        <v>2</v>
      </c>
      <c r="W190" s="118" t="str">
        <f aca="false">IF(OR(SUM($V190)&lt;=0,SUM($Q190)=0),"",SUM($Q190)/$V190)</f>
        <v/>
      </c>
      <c r="X190" s="118" t="n">
        <f aca="false">_xlfn.IFNA(INDEX(Cascade!$BL:$BL,MATCH($E190,Cascade!$E:$E,0)),"")</f>
        <v>0.5</v>
      </c>
      <c r="Y190" s="118" t="str">
        <f aca="false">_xlfn.IFNA(INDEX(Cascade!$BM:$BM,MATCH($E190,Cascade!$E:$E,0)),"")</f>
        <v/>
      </c>
      <c r="Z190" s="118" t="str">
        <f aca="false">_xlfn.IFNA(INDEX(Cascade!$BN:$BN,MATCH($E190,Cascade!$E:$E,0)),"")</f>
        <v/>
      </c>
      <c r="AA190" s="118" t="str">
        <f aca="false">_xlfn.IFNA(INDEX(Cascade!$BP:$BP,MATCH($E190,Cascade!$E:$E,0)),"")</f>
        <v/>
      </c>
      <c r="AB190" s="118" t="n">
        <f aca="false">_xlfn.IFNA(INDEX(Cascade!$BR:$BR,MATCH($E190,Cascade!$E:$E,0)),"")</f>
        <v>0.5</v>
      </c>
    </row>
    <row r="191" customFormat="false" ht="15" hidden="false" customHeight="false" outlineLevel="0" collapsed="false">
      <c r="A191" s="0" t="s">
        <v>149</v>
      </c>
      <c r="B191" s="0" t="s">
        <v>111</v>
      </c>
      <c r="C191" s="0" t="s">
        <v>54</v>
      </c>
      <c r="D191" s="0" t="s">
        <v>56</v>
      </c>
      <c r="E191" s="0" t="str">
        <f aca="false">B191&amp;"|"&amp;C191&amp;"|"&amp;D191</f>
        <v>Qacha's Nek [#SNU] [zTaMbxvQtJ6]|01-04|Female</v>
      </c>
      <c r="F191" s="73" t="n">
        <v>49</v>
      </c>
      <c r="G191" s="118" t="n">
        <f aca="false">IF(SUM($F191)&lt;=0,"",0%)</f>
        <v>0</v>
      </c>
      <c r="H191" s="75" t="n">
        <f aca="false">IF(SUM($F191)&lt;=0,"",$F191*(1+$G191))</f>
        <v>49</v>
      </c>
      <c r="I191" s="73"/>
      <c r="J191" s="118" t="n">
        <f aca="false">IF(SUM($H191)&lt;=0,"",100%)</f>
        <v>1</v>
      </c>
      <c r="K191" s="118"/>
      <c r="L191" s="118" t="str">
        <f aca="false">IF(SUM($K191)=0,"",$K191)</f>
        <v/>
      </c>
      <c r="M191" s="118"/>
      <c r="N191" s="118" t="str">
        <f aca="false">IF(SUM($M191)=0,"",$M191)</f>
        <v/>
      </c>
      <c r="O191" s="73" t="n">
        <f aca="false">IF(SUM($H191)&lt;=0,"",ROUND(SUM($H191)*SUM($J191),0))</f>
        <v>49</v>
      </c>
      <c r="P191" s="75" t="n">
        <f aca="false">IF(SUM($O191)&lt;=0,"",ROUND(SUM($O191)*SUM($L191),0))</f>
        <v>0</v>
      </c>
      <c r="Q191" s="75" t="n">
        <f aca="false">IF(SUM($O191)&lt;=0,"",ROUND((SUM($O191)-SUM($P191))*SUM($N191),0))</f>
        <v>0</v>
      </c>
      <c r="R191" s="75" t="n">
        <f aca="false">IF(SUM($O191)&lt;=0,"",ROUND(SUM($O191)-SUM($P191)-SUM($Q191),0))</f>
        <v>49</v>
      </c>
      <c r="S191" s="118" t="n">
        <f aca="false">_xlfn.IFNA(INDEX(Cascade!$BA:$BA,MATCH($E191,Cascade!$E:$E,0)),"")</f>
        <v>0.95</v>
      </c>
      <c r="T191" s="75" t="str">
        <f aca="false">IF(SUM($P191)&lt;=0,"",$P191)</f>
        <v/>
      </c>
      <c r="U191" s="75" t="str">
        <f aca="false">IF(SUM($Q191)&lt;=0,"",ROUND($Q191*$S191,0))</f>
        <v/>
      </c>
      <c r="V191" s="73" t="n">
        <f aca="false">_xlfn.IFNA(INDEX(Cascade!$BD:$BD,MATCH($E191,Cascade!$E:$E,0)),"")</f>
        <v>1</v>
      </c>
      <c r="W191" s="118" t="str">
        <f aca="false">IF(OR(SUM($V191)&lt;=0,SUM($Q191)=0),"",SUM($Q191)/$V191)</f>
        <v/>
      </c>
      <c r="X191" s="118" t="n">
        <f aca="false">_xlfn.IFNA(INDEX(Cascade!$BL:$BL,MATCH($E191,Cascade!$E:$E,0)),"")</f>
        <v>1</v>
      </c>
      <c r="Y191" s="118" t="str">
        <f aca="false">_xlfn.IFNA(INDEX(Cascade!$BM:$BM,MATCH($E191,Cascade!$E:$E,0)),"")</f>
        <v/>
      </c>
      <c r="Z191" s="118" t="str">
        <f aca="false">_xlfn.IFNA(INDEX(Cascade!$BN:$BN,MATCH($E191,Cascade!$E:$E,0)),"")</f>
        <v/>
      </c>
      <c r="AA191" s="118" t="str">
        <f aca="false">_xlfn.IFNA(INDEX(Cascade!$BP:$BP,MATCH($E191,Cascade!$E:$E,0)),"")</f>
        <v/>
      </c>
      <c r="AB191" s="118" t="str">
        <f aca="false">_xlfn.IFNA(INDEX(Cascade!$BR:$BR,MATCH($E191,Cascade!$E:$E,0)),"")</f>
        <v/>
      </c>
    </row>
    <row r="192" customFormat="false" ht="15" hidden="false" customHeight="false" outlineLevel="0" collapsed="false">
      <c r="A192" s="0" t="s">
        <v>149</v>
      </c>
      <c r="B192" s="0" t="s">
        <v>111</v>
      </c>
      <c r="C192" s="0" t="s">
        <v>54</v>
      </c>
      <c r="D192" s="0" t="s">
        <v>58</v>
      </c>
      <c r="E192" s="0" t="str">
        <f aca="false">B192&amp;"|"&amp;C192&amp;"|"&amp;D192</f>
        <v>Qacha's Nek [#SNU] [zTaMbxvQtJ6]|01-04|Male</v>
      </c>
      <c r="F192" s="73" t="n">
        <v>12</v>
      </c>
      <c r="G192" s="118" t="n">
        <f aca="false">IF(SUM($F192)&lt;=0,"",0%)</f>
        <v>0</v>
      </c>
      <c r="H192" s="75" t="n">
        <f aca="false">IF(SUM($F192)&lt;=0,"",$F192*(1+$G192))</f>
        <v>12</v>
      </c>
      <c r="I192" s="73"/>
      <c r="J192" s="118" t="n">
        <f aca="false">IF(SUM($H192)&lt;=0,"",100%)</f>
        <v>1</v>
      </c>
      <c r="K192" s="118"/>
      <c r="L192" s="118" t="str">
        <f aca="false">IF(SUM($K192)=0,"",$K192)</f>
        <v/>
      </c>
      <c r="M192" s="118"/>
      <c r="N192" s="118" t="str">
        <f aca="false">IF(SUM($M192)=0,"",$M192)</f>
        <v/>
      </c>
      <c r="O192" s="73" t="n">
        <f aca="false">IF(SUM($H192)&lt;=0,"",ROUND(SUM($H192)*SUM($J192),0))</f>
        <v>12</v>
      </c>
      <c r="P192" s="75" t="n">
        <f aca="false">IF(SUM($O192)&lt;=0,"",ROUND(SUM($O192)*SUM($L192),0))</f>
        <v>0</v>
      </c>
      <c r="Q192" s="75" t="n">
        <f aca="false">IF(SUM($O192)&lt;=0,"",ROUND((SUM($O192)-SUM($P192))*SUM($N192),0))</f>
        <v>0</v>
      </c>
      <c r="R192" s="75" t="n">
        <f aca="false">IF(SUM($O192)&lt;=0,"",ROUND(SUM($O192)-SUM($P192)-SUM($Q192),0))</f>
        <v>12</v>
      </c>
      <c r="S192" s="118" t="n">
        <f aca="false">_xlfn.IFNA(INDEX(Cascade!$BA:$BA,MATCH($E192,Cascade!$E:$E,0)),"")</f>
        <v>0.95</v>
      </c>
      <c r="T192" s="75" t="str">
        <f aca="false">IF(SUM($P192)&lt;=0,"",$P192)</f>
        <v/>
      </c>
      <c r="U192" s="75" t="str">
        <f aca="false">IF(SUM($Q192)&lt;=0,"",ROUND($Q192*$S192,0))</f>
        <v/>
      </c>
      <c r="V192" s="73" t="n">
        <f aca="false">_xlfn.IFNA(INDEX(Cascade!$BD:$BD,MATCH($E192,Cascade!$E:$E,0)),"")</f>
        <v>9</v>
      </c>
      <c r="W192" s="118" t="str">
        <f aca="false">IF(OR(SUM($V192)&lt;=0,SUM($Q192)=0),"",SUM($Q192)/$V192)</f>
        <v/>
      </c>
      <c r="X192" s="118" t="n">
        <f aca="false">_xlfn.IFNA(INDEX(Cascade!$BL:$BL,MATCH($E192,Cascade!$E:$E,0)),"")</f>
        <v>0.333333333333333</v>
      </c>
      <c r="Y192" s="118" t="str">
        <f aca="false">_xlfn.IFNA(INDEX(Cascade!$BM:$BM,MATCH($E192,Cascade!$E:$E,0)),"")</f>
        <v/>
      </c>
      <c r="Z192" s="118" t="str">
        <f aca="false">_xlfn.IFNA(INDEX(Cascade!$BN:$BN,MATCH($E192,Cascade!$E:$E,0)),"")</f>
        <v/>
      </c>
      <c r="AA192" s="118" t="str">
        <f aca="false">_xlfn.IFNA(INDEX(Cascade!$BP:$BP,MATCH($E192,Cascade!$E:$E,0)),"")</f>
        <v/>
      </c>
      <c r="AB192" s="118" t="n">
        <f aca="false">_xlfn.IFNA(INDEX(Cascade!$BR:$BR,MATCH($E192,Cascade!$E:$E,0)),"")</f>
        <v>0.666666666666667</v>
      </c>
    </row>
    <row r="193" customFormat="false" ht="15" hidden="false" customHeight="false" outlineLevel="0" collapsed="false">
      <c r="A193" s="0" t="s">
        <v>149</v>
      </c>
      <c r="B193" s="0" t="s">
        <v>111</v>
      </c>
      <c r="C193" s="0" t="s">
        <v>83</v>
      </c>
      <c r="D193" s="0" t="s">
        <v>56</v>
      </c>
      <c r="E193" s="0" t="str">
        <f aca="false">B193&amp;"|"&amp;C193&amp;"|"&amp;D193</f>
        <v>Qacha's Nek [#SNU] [zTaMbxvQtJ6]|05-09|Female</v>
      </c>
      <c r="F193" s="73" t="n">
        <v>7</v>
      </c>
      <c r="G193" s="118" t="n">
        <f aca="false">IF(SUM($F193)&lt;=0,"",0%)</f>
        <v>0</v>
      </c>
      <c r="H193" s="75" t="n">
        <f aca="false">IF(SUM($F193)&lt;=0,"",$F193*(1+$G193))</f>
        <v>7</v>
      </c>
      <c r="I193" s="73" t="n">
        <v>43</v>
      </c>
      <c r="J193" s="118" t="n">
        <f aca="false">IF(SUM($H193)&lt;=0,"",100%)</f>
        <v>1</v>
      </c>
      <c r="K193" s="118"/>
      <c r="L193" s="118" t="str">
        <f aca="false">IF(SUM($K193)=0,"",$K193)</f>
        <v/>
      </c>
      <c r="M193" s="118"/>
      <c r="N193" s="118" t="str">
        <f aca="false">IF(SUM($M193)=0,"",$M193)</f>
        <v/>
      </c>
      <c r="O193" s="73" t="n">
        <f aca="false">IF(SUM($H193)&lt;=0,"",ROUND(SUM($H193)*SUM($J193),0))</f>
        <v>7</v>
      </c>
      <c r="P193" s="75" t="n">
        <f aca="false">IF(SUM($O193)&lt;=0,"",ROUND(SUM($O193)*SUM($L193),0))</f>
        <v>0</v>
      </c>
      <c r="Q193" s="75" t="n">
        <f aca="false">IF(SUM($O193)&lt;=0,"",ROUND((SUM($O193)-SUM($P193))*SUM($N193),0))</f>
        <v>0</v>
      </c>
      <c r="R193" s="75" t="n">
        <f aca="false">IF(SUM($O193)&lt;=0,"",ROUND(SUM($O193)-SUM($P193)-SUM($Q193),0))</f>
        <v>7</v>
      </c>
      <c r="S193" s="118" t="n">
        <f aca="false">_xlfn.IFNA(INDEX(Cascade!$BA:$BA,MATCH($E193,Cascade!$E:$E,0)),"")</f>
        <v>0.95</v>
      </c>
      <c r="T193" s="75" t="str">
        <f aca="false">IF(SUM($P193)&lt;=0,"",$P193)</f>
        <v/>
      </c>
      <c r="U193" s="75" t="str">
        <f aca="false">IF(SUM($Q193)&lt;=0,"",ROUND($Q193*$S193,0))</f>
        <v/>
      </c>
      <c r="V193" s="73" t="n">
        <f aca="false">_xlfn.IFNA(INDEX(Cascade!$BD:$BD,MATCH($E193,Cascade!$E:$E,0)),"")</f>
        <v>12</v>
      </c>
      <c r="W193" s="118" t="str">
        <f aca="false">IF(OR(SUM($V193)&lt;=0,SUM($Q193)=0),"",SUM($Q193)/$V193)</f>
        <v/>
      </c>
      <c r="X193" s="118" t="n">
        <f aca="false">_xlfn.IFNA(INDEX(Cascade!$BL:$BL,MATCH($E193,Cascade!$E:$E,0)),"")</f>
        <v>0.333333333333333</v>
      </c>
      <c r="Y193" s="118" t="str">
        <f aca="false">_xlfn.IFNA(INDEX(Cascade!$BM:$BM,MATCH($E193,Cascade!$E:$E,0)),"")</f>
        <v/>
      </c>
      <c r="Z193" s="118" t="str">
        <f aca="false">_xlfn.IFNA(INDEX(Cascade!$BN:$BN,MATCH($E193,Cascade!$E:$E,0)),"")</f>
        <v/>
      </c>
      <c r="AA193" s="118" t="str">
        <f aca="false">_xlfn.IFNA(INDEX(Cascade!$BP:$BP,MATCH($E193,Cascade!$E:$E,0)),"")</f>
        <v/>
      </c>
      <c r="AB193" s="118" t="n">
        <f aca="false">_xlfn.IFNA(INDEX(Cascade!$BR:$BR,MATCH($E193,Cascade!$E:$E,0)),"")</f>
        <v>0.666666666666667</v>
      </c>
    </row>
    <row r="194" customFormat="false" ht="15" hidden="false" customHeight="false" outlineLevel="0" collapsed="false">
      <c r="A194" s="0" t="s">
        <v>149</v>
      </c>
      <c r="B194" s="0" t="s">
        <v>111</v>
      </c>
      <c r="C194" s="0" t="s">
        <v>83</v>
      </c>
      <c r="D194" s="0" t="s">
        <v>58</v>
      </c>
      <c r="E194" s="0" t="str">
        <f aca="false">B194&amp;"|"&amp;C194&amp;"|"&amp;D194</f>
        <v>Qacha's Nek [#SNU] [zTaMbxvQtJ6]|05-09|Male</v>
      </c>
      <c r="F194" s="73" t="n">
        <v>1</v>
      </c>
      <c r="G194" s="118" t="n">
        <f aca="false">IF(SUM($F194)&lt;=0,"",0%)</f>
        <v>0</v>
      </c>
      <c r="H194" s="75" t="n">
        <f aca="false">IF(SUM($F194)&lt;=0,"",$F194*(1+$G194))</f>
        <v>1</v>
      </c>
      <c r="I194" s="73"/>
      <c r="J194" s="118" t="n">
        <f aca="false">IF(SUM($H194)&lt;=0,"",100%)</f>
        <v>1</v>
      </c>
      <c r="K194" s="118" t="n">
        <v>34</v>
      </c>
      <c r="L194" s="118" t="n">
        <f aca="false">IF(SUM($K194)=0,"",$K194)</f>
        <v>34</v>
      </c>
      <c r="M194" s="118"/>
      <c r="N194" s="118" t="str">
        <f aca="false">IF(SUM($M194)=0,"",$M194)</f>
        <v/>
      </c>
      <c r="O194" s="73" t="n">
        <f aca="false">IF(SUM($H194)&lt;=0,"",ROUND(SUM($H194)*SUM($J194),0))</f>
        <v>1</v>
      </c>
      <c r="P194" s="75" t="n">
        <f aca="false">IF(SUM($O194)&lt;=0,"",ROUND(SUM($O194)*SUM($L194),0))</f>
        <v>34</v>
      </c>
      <c r="Q194" s="75" t="n">
        <f aca="false">IF(SUM($O194)&lt;=0,"",ROUND((SUM($O194)-SUM($P194))*SUM($N194),0))</f>
        <v>-0</v>
      </c>
      <c r="R194" s="75" t="n">
        <f aca="false">IF(SUM($O194)&lt;=0,"",ROUND(SUM($O194)-SUM($P194)-SUM($Q194),0))</f>
        <v>-33</v>
      </c>
      <c r="S194" s="118" t="n">
        <f aca="false">_xlfn.IFNA(INDEX(Cascade!$BA:$BA,MATCH($E194,Cascade!$E:$E,0)),"")</f>
        <v>0.95</v>
      </c>
      <c r="T194" s="75" t="n">
        <f aca="false">IF(SUM($P194)&lt;=0,"",$P194)</f>
        <v>34</v>
      </c>
      <c r="U194" s="75" t="str">
        <f aca="false">IF(SUM($Q194)&lt;=0,"",ROUND($Q194*$S194,0))</f>
        <v/>
      </c>
      <c r="V194" s="73" t="n">
        <f aca="false">_xlfn.IFNA(INDEX(Cascade!$BD:$BD,MATCH($E194,Cascade!$E:$E,0)),"")</f>
        <v>11</v>
      </c>
      <c r="W194" s="118" t="str">
        <f aca="false">IF(OR(SUM($V194)&lt;=0,SUM($Q194)=0),"",SUM($Q194)/$V194)</f>
        <v/>
      </c>
      <c r="X194" s="118" t="n">
        <f aca="false">_xlfn.IFNA(INDEX(Cascade!$BL:$BL,MATCH($E194,Cascade!$E:$E,0)),"")</f>
        <v>0.545454545454545</v>
      </c>
      <c r="Y194" s="118" t="str">
        <f aca="false">_xlfn.IFNA(INDEX(Cascade!$BM:$BM,MATCH($E194,Cascade!$E:$E,0)),"")</f>
        <v/>
      </c>
      <c r="Z194" s="118" t="str">
        <f aca="false">_xlfn.IFNA(INDEX(Cascade!$BN:$BN,MATCH($E194,Cascade!$E:$E,0)),"")</f>
        <v/>
      </c>
      <c r="AA194" s="118" t="str">
        <f aca="false">_xlfn.IFNA(INDEX(Cascade!$BP:$BP,MATCH($E194,Cascade!$E:$E,0)),"")</f>
        <v/>
      </c>
      <c r="AB194" s="118" t="n">
        <f aca="false">_xlfn.IFNA(INDEX(Cascade!$BR:$BR,MATCH($E194,Cascade!$E:$E,0)),"")</f>
        <v>0.454545454545455</v>
      </c>
    </row>
    <row r="195" customFormat="false" ht="15" hidden="false" customHeight="false" outlineLevel="0" collapsed="false">
      <c r="A195" s="0" t="s">
        <v>149</v>
      </c>
      <c r="B195" s="0" t="s">
        <v>111</v>
      </c>
      <c r="C195" s="0" t="s">
        <v>61</v>
      </c>
      <c r="D195" s="0" t="s">
        <v>56</v>
      </c>
      <c r="E195" s="0" t="str">
        <f aca="false">B195&amp;"|"&amp;C195&amp;"|"&amp;D195</f>
        <v>Qacha's Nek [#SNU] [zTaMbxvQtJ6]|10-14|Female</v>
      </c>
      <c r="F195" s="73" t="n">
        <v>18</v>
      </c>
      <c r="G195" s="118" t="n">
        <f aca="false">IF(SUM($F195)&lt;=0,"",0%)</f>
        <v>0</v>
      </c>
      <c r="H195" s="75" t="n">
        <f aca="false">IF(SUM($F195)&lt;=0,"",$F195*(1+$G195))</f>
        <v>18</v>
      </c>
      <c r="I195" s="73"/>
      <c r="J195" s="118" t="n">
        <f aca="false">IF(SUM($H195)&lt;=0,"",100%)</f>
        <v>1</v>
      </c>
      <c r="K195" s="118" t="n">
        <v>37</v>
      </c>
      <c r="L195" s="118" t="n">
        <f aca="false">IF(SUM($K195)=0,"",$K195)</f>
        <v>37</v>
      </c>
      <c r="M195" s="118"/>
      <c r="N195" s="118" t="str">
        <f aca="false">IF(SUM($M195)=0,"",$M195)</f>
        <v/>
      </c>
      <c r="O195" s="73" t="n">
        <f aca="false">IF(SUM($H195)&lt;=0,"",ROUND(SUM($H195)*SUM($J195),0))</f>
        <v>18</v>
      </c>
      <c r="P195" s="75" t="n">
        <f aca="false">IF(SUM($O195)&lt;=0,"",ROUND(SUM($O195)*SUM($L195),0))</f>
        <v>666</v>
      </c>
      <c r="Q195" s="75" t="n">
        <f aca="false">IF(SUM($O195)&lt;=0,"",ROUND((SUM($O195)-SUM($P195))*SUM($N195),0))</f>
        <v>-0</v>
      </c>
      <c r="R195" s="75" t="n">
        <f aca="false">IF(SUM($O195)&lt;=0,"",ROUND(SUM($O195)-SUM($P195)-SUM($Q195),0))</f>
        <v>-648</v>
      </c>
      <c r="S195" s="118" t="n">
        <f aca="false">_xlfn.IFNA(INDEX(Cascade!$BA:$BA,MATCH($E195,Cascade!$E:$E,0)),"")</f>
        <v>0.95</v>
      </c>
      <c r="T195" s="75" t="n">
        <f aca="false">IF(SUM($P195)&lt;=0,"",$P195)</f>
        <v>666</v>
      </c>
      <c r="U195" s="75" t="str">
        <f aca="false">IF(SUM($Q195)&lt;=0,"",ROUND($Q195*$S195,0))</f>
        <v/>
      </c>
      <c r="V195" s="73" t="n">
        <f aca="false">_xlfn.IFNA(INDEX(Cascade!$BD:$BD,MATCH($E195,Cascade!$E:$E,0)),"")</f>
        <v>4</v>
      </c>
      <c r="W195" s="118" t="str">
        <f aca="false">IF(OR(SUM($V195)&lt;=0,SUM($Q195)=0),"",SUM($Q195)/$V195)</f>
        <v/>
      </c>
      <c r="X195" s="118" t="n">
        <f aca="false">_xlfn.IFNA(INDEX(Cascade!$BL:$BL,MATCH($E195,Cascade!$E:$E,0)),"")</f>
        <v>0.75</v>
      </c>
      <c r="Y195" s="118" t="str">
        <f aca="false">_xlfn.IFNA(INDEX(Cascade!$BM:$BM,MATCH($E195,Cascade!$E:$E,0)),"")</f>
        <v/>
      </c>
      <c r="Z195" s="118" t="str">
        <f aca="false">_xlfn.IFNA(INDEX(Cascade!$BN:$BN,MATCH($E195,Cascade!$E:$E,0)),"")</f>
        <v/>
      </c>
      <c r="AA195" s="118" t="str">
        <f aca="false">_xlfn.IFNA(INDEX(Cascade!$BP:$BP,MATCH($E195,Cascade!$E:$E,0)),"")</f>
        <v/>
      </c>
      <c r="AB195" s="118" t="n">
        <f aca="false">_xlfn.IFNA(INDEX(Cascade!$BR:$BR,MATCH($E195,Cascade!$E:$E,0)),"")</f>
        <v>0.25</v>
      </c>
    </row>
    <row r="196" customFormat="false" ht="15" hidden="false" customHeight="false" outlineLevel="0" collapsed="false">
      <c r="A196" s="0" t="s">
        <v>149</v>
      </c>
      <c r="B196" s="0" t="s">
        <v>111</v>
      </c>
      <c r="C196" s="0" t="s">
        <v>61</v>
      </c>
      <c r="D196" s="0" t="s">
        <v>58</v>
      </c>
      <c r="E196" s="0" t="str">
        <f aca="false">B196&amp;"|"&amp;C196&amp;"|"&amp;D196</f>
        <v>Qacha's Nek [#SNU] [zTaMbxvQtJ6]|10-14|Male</v>
      </c>
      <c r="F196" s="73" t="n">
        <v>43</v>
      </c>
      <c r="G196" s="118" t="n">
        <f aca="false">IF(SUM($F196)&lt;=0,"",0%)</f>
        <v>0</v>
      </c>
      <c r="H196" s="75" t="n">
        <f aca="false">IF(SUM($F196)&lt;=0,"",$F196*(1+$G196))</f>
        <v>43</v>
      </c>
      <c r="I196" s="73" t="n">
        <v>18</v>
      </c>
      <c r="J196" s="118" t="n">
        <f aca="false">IF(SUM($H196)&lt;=0,"",100%)</f>
        <v>1</v>
      </c>
      <c r="K196" s="118" t="n">
        <v>46</v>
      </c>
      <c r="L196" s="118" t="n">
        <f aca="false">IF(SUM($K196)=0,"",$K196)</f>
        <v>46</v>
      </c>
      <c r="M196" s="118" t="n">
        <v>20</v>
      </c>
      <c r="N196" s="118" t="n">
        <f aca="false">IF(SUM($M196)=0,"",$M196)</f>
        <v>20</v>
      </c>
      <c r="O196" s="73" t="n">
        <f aca="false">IF(SUM($H196)&lt;=0,"",ROUND(SUM($H196)*SUM($J196),0))</f>
        <v>43</v>
      </c>
      <c r="P196" s="75" t="n">
        <f aca="false">IF(SUM($O196)&lt;=0,"",ROUND(SUM($O196)*SUM($L196),0))</f>
        <v>1978</v>
      </c>
      <c r="Q196" s="75" t="n">
        <f aca="false">IF(SUM($O196)&lt;=0,"",ROUND((SUM($O196)-SUM($P196))*SUM($N196),0))</f>
        <v>-38700</v>
      </c>
      <c r="R196" s="75" t="n">
        <f aca="false">IF(SUM($O196)&lt;=0,"",ROUND(SUM($O196)-SUM($P196)-SUM($Q196),0))</f>
        <v>36765</v>
      </c>
      <c r="S196" s="118" t="n">
        <f aca="false">_xlfn.IFNA(INDEX(Cascade!$BA:$BA,MATCH($E196,Cascade!$E:$E,0)),"")</f>
        <v>0.95</v>
      </c>
      <c r="T196" s="75" t="n">
        <f aca="false">IF(SUM($P196)&lt;=0,"",$P196)</f>
        <v>1978</v>
      </c>
      <c r="U196" s="75" t="str">
        <f aca="false">IF(SUM($Q196)&lt;=0,"",ROUND($Q196*$S196,0))</f>
        <v/>
      </c>
      <c r="V196" s="73" t="n">
        <f aca="false">_xlfn.IFNA(INDEX(Cascade!$BD:$BD,MATCH($E196,Cascade!$E:$E,0)),"")</f>
        <v>2</v>
      </c>
      <c r="W196" s="118" t="n">
        <f aca="false">IF(OR(SUM($V196)&lt;=0,SUM($Q196)=0),"",SUM($Q196)/$V196)</f>
        <v>-19350</v>
      </c>
      <c r="X196" s="118" t="n">
        <f aca="false">_xlfn.IFNA(INDEX(Cascade!$BL:$BL,MATCH($E196,Cascade!$E:$E,0)),"")</f>
        <v>1</v>
      </c>
      <c r="Y196" s="118" t="str">
        <f aca="false">_xlfn.IFNA(INDEX(Cascade!$BM:$BM,MATCH($E196,Cascade!$E:$E,0)),"")</f>
        <v/>
      </c>
      <c r="Z196" s="118" t="str">
        <f aca="false">_xlfn.IFNA(INDEX(Cascade!$BN:$BN,MATCH($E196,Cascade!$E:$E,0)),"")</f>
        <v/>
      </c>
      <c r="AA196" s="118" t="str">
        <f aca="false">_xlfn.IFNA(INDEX(Cascade!$BP:$BP,MATCH($E196,Cascade!$E:$E,0)),"")</f>
        <v/>
      </c>
      <c r="AB196" s="118" t="n">
        <f aca="false">_xlfn.IFNA(INDEX(Cascade!$BR:$BR,MATCH($E196,Cascade!$E:$E,0)),"")</f>
        <v>19350</v>
      </c>
    </row>
    <row r="197" customFormat="false" ht="15" hidden="false" customHeight="false" outlineLevel="0" collapsed="false">
      <c r="A197" s="0" t="s">
        <v>149</v>
      </c>
      <c r="B197" s="0" t="s">
        <v>111</v>
      </c>
      <c r="C197" s="0" t="s">
        <v>63</v>
      </c>
      <c r="D197" s="0" t="s">
        <v>56</v>
      </c>
      <c r="E197" s="0" t="str">
        <f aca="false">B197&amp;"|"&amp;C197&amp;"|"&amp;D197</f>
        <v>Qacha's Nek [#SNU] [zTaMbxvQtJ6]|15-19|Female</v>
      </c>
      <c r="F197" s="73" t="n">
        <v>3</v>
      </c>
      <c r="G197" s="118" t="n">
        <f aca="false">IF(SUM($F197)&lt;=0,"",0%)</f>
        <v>0</v>
      </c>
      <c r="H197" s="75" t="n">
        <f aca="false">IF(SUM($F197)&lt;=0,"",$F197*(1+$G197))</f>
        <v>3</v>
      </c>
      <c r="I197" s="73"/>
      <c r="J197" s="118" t="n">
        <f aca="false">IF(SUM($H197)&lt;=0,"",100%)</f>
        <v>1</v>
      </c>
      <c r="K197" s="118" t="n">
        <v>49</v>
      </c>
      <c r="L197" s="118" t="n">
        <f aca="false">IF(SUM($K197)=0,"",$K197)</f>
        <v>49</v>
      </c>
      <c r="M197" s="118"/>
      <c r="N197" s="118" t="str">
        <f aca="false">IF(SUM($M197)=0,"",$M197)</f>
        <v/>
      </c>
      <c r="O197" s="73" t="n">
        <f aca="false">IF(SUM($H197)&lt;=0,"",ROUND(SUM($H197)*SUM($J197),0))</f>
        <v>3</v>
      </c>
      <c r="P197" s="75" t="n">
        <f aca="false">IF(SUM($O197)&lt;=0,"",ROUND(SUM($O197)*SUM($L197),0))</f>
        <v>147</v>
      </c>
      <c r="Q197" s="75" t="n">
        <f aca="false">IF(SUM($O197)&lt;=0,"",ROUND((SUM($O197)-SUM($P197))*SUM($N197),0))</f>
        <v>-0</v>
      </c>
      <c r="R197" s="75" t="n">
        <f aca="false">IF(SUM($O197)&lt;=0,"",ROUND(SUM($O197)-SUM($P197)-SUM($Q197),0))</f>
        <v>-144</v>
      </c>
      <c r="S197" s="118" t="n">
        <f aca="false">_xlfn.IFNA(INDEX(Cascade!$BA:$BA,MATCH($E197,Cascade!$E:$E,0)),"")</f>
        <v>0.95</v>
      </c>
      <c r="T197" s="75" t="n">
        <f aca="false">IF(SUM($P197)&lt;=0,"",$P197)</f>
        <v>147</v>
      </c>
      <c r="U197" s="75" t="str">
        <f aca="false">IF(SUM($Q197)&lt;=0,"",ROUND($Q197*$S197,0))</f>
        <v/>
      </c>
      <c r="V197" s="73" t="n">
        <f aca="false">_xlfn.IFNA(INDEX(Cascade!$BD:$BD,MATCH($E197,Cascade!$E:$E,0)),"")</f>
        <v>9</v>
      </c>
      <c r="W197" s="118" t="str">
        <f aca="false">IF(OR(SUM($V197)&lt;=0,SUM($Q197)=0),"",SUM($Q197)/$V197)</f>
        <v/>
      </c>
      <c r="X197" s="118" t="n">
        <f aca="false">_xlfn.IFNA(INDEX(Cascade!$BL:$BL,MATCH($E197,Cascade!$E:$E,0)),"")</f>
        <v>0.555555555555556</v>
      </c>
      <c r="Y197" s="118" t="n">
        <f aca="false">_xlfn.IFNA(INDEX(Cascade!$BM:$BM,MATCH($E197,Cascade!$E:$E,0)),"")</f>
        <v>-1560</v>
      </c>
      <c r="Z197" s="118" t="str">
        <f aca="false">_xlfn.IFNA(INDEX(Cascade!$BN:$BN,MATCH($E197,Cascade!$E:$E,0)),"")</f>
        <v/>
      </c>
      <c r="AA197" s="118" t="str">
        <f aca="false">_xlfn.IFNA(INDEX(Cascade!$BP:$BP,MATCH($E197,Cascade!$E:$E,0)),"")</f>
        <v/>
      </c>
      <c r="AB197" s="118" t="n">
        <f aca="false">_xlfn.IFNA(INDEX(Cascade!$BR:$BR,MATCH($E197,Cascade!$E:$E,0)),"")</f>
        <v>1560.44444444444</v>
      </c>
    </row>
    <row r="198" customFormat="false" ht="15" hidden="false" customHeight="false" outlineLevel="0" collapsed="false">
      <c r="A198" s="0" t="s">
        <v>149</v>
      </c>
      <c r="B198" s="0" t="s">
        <v>111</v>
      </c>
      <c r="C198" s="0" t="s">
        <v>63</v>
      </c>
      <c r="D198" s="0" t="s">
        <v>58</v>
      </c>
      <c r="E198" s="0" t="str">
        <f aca="false">B198&amp;"|"&amp;C198&amp;"|"&amp;D198</f>
        <v>Qacha's Nek [#SNU] [zTaMbxvQtJ6]|15-19|Male</v>
      </c>
      <c r="F198" s="73" t="n">
        <v>20</v>
      </c>
      <c r="G198" s="118" t="n">
        <f aca="false">IF(SUM($F198)&lt;=0,"",0%)</f>
        <v>0</v>
      </c>
      <c r="H198" s="75" t="n">
        <f aca="false">IF(SUM($F198)&lt;=0,"",$F198*(1+$G198))</f>
        <v>20</v>
      </c>
      <c r="I198" s="73"/>
      <c r="J198" s="118" t="n">
        <f aca="false">IF(SUM($H198)&lt;=0,"",100%)</f>
        <v>1</v>
      </c>
      <c r="K198" s="118"/>
      <c r="L198" s="118" t="str">
        <f aca="false">IF(SUM($K198)=0,"",$K198)</f>
        <v/>
      </c>
      <c r="M198" s="118"/>
      <c r="N198" s="118" t="str">
        <f aca="false">IF(SUM($M198)=0,"",$M198)</f>
        <v/>
      </c>
      <c r="O198" s="73" t="n">
        <f aca="false">IF(SUM($H198)&lt;=0,"",ROUND(SUM($H198)*SUM($J198),0))</f>
        <v>20</v>
      </c>
      <c r="P198" s="75" t="n">
        <f aca="false">IF(SUM($O198)&lt;=0,"",ROUND(SUM($O198)*SUM($L198),0))</f>
        <v>0</v>
      </c>
      <c r="Q198" s="75" t="n">
        <f aca="false">IF(SUM($O198)&lt;=0,"",ROUND((SUM($O198)-SUM($P198))*SUM($N198),0))</f>
        <v>0</v>
      </c>
      <c r="R198" s="75" t="n">
        <f aca="false">IF(SUM($O198)&lt;=0,"",ROUND(SUM($O198)-SUM($P198)-SUM($Q198),0))</f>
        <v>20</v>
      </c>
      <c r="S198" s="118" t="n">
        <f aca="false">_xlfn.IFNA(INDEX(Cascade!$BA:$BA,MATCH($E198,Cascade!$E:$E,0)),"")</f>
        <v>0.95</v>
      </c>
      <c r="T198" s="75" t="str">
        <f aca="false">IF(SUM($P198)&lt;=0,"",$P198)</f>
        <v/>
      </c>
      <c r="U198" s="75" t="str">
        <f aca="false">IF(SUM($Q198)&lt;=0,"",ROUND($Q198*$S198,0))</f>
        <v/>
      </c>
      <c r="V198" s="73" t="n">
        <f aca="false">_xlfn.IFNA(INDEX(Cascade!$BD:$BD,MATCH($E198,Cascade!$E:$E,0)),"")</f>
        <v>1</v>
      </c>
      <c r="W198" s="118" t="str">
        <f aca="false">IF(OR(SUM($V198)&lt;=0,SUM($Q198)=0),"",SUM($Q198)/$V198)</f>
        <v/>
      </c>
      <c r="X198" s="118" t="n">
        <f aca="false">_xlfn.IFNA(INDEX(Cascade!$BL:$BL,MATCH($E198,Cascade!$E:$E,0)),"")</f>
        <v>1</v>
      </c>
      <c r="Y198" s="118" t="str">
        <f aca="false">_xlfn.IFNA(INDEX(Cascade!$BM:$BM,MATCH($E198,Cascade!$E:$E,0)),"")</f>
        <v/>
      </c>
      <c r="Z198" s="118" t="str">
        <f aca="false">_xlfn.IFNA(INDEX(Cascade!$BN:$BN,MATCH($E198,Cascade!$E:$E,0)),"")</f>
        <v/>
      </c>
      <c r="AA198" s="118" t="str">
        <f aca="false">_xlfn.IFNA(INDEX(Cascade!$BP:$BP,MATCH($E198,Cascade!$E:$E,0)),"")</f>
        <v/>
      </c>
      <c r="AB198" s="118" t="str">
        <f aca="false">_xlfn.IFNA(INDEX(Cascade!$BR:$BR,MATCH($E198,Cascade!$E:$E,0)),"")</f>
        <v/>
      </c>
    </row>
    <row r="199" customFormat="false" ht="15" hidden="false" customHeight="false" outlineLevel="0" collapsed="false">
      <c r="A199" s="0" t="s">
        <v>149</v>
      </c>
      <c r="B199" s="0" t="s">
        <v>111</v>
      </c>
      <c r="C199" s="0" t="s">
        <v>66</v>
      </c>
      <c r="D199" s="0" t="s">
        <v>56</v>
      </c>
      <c r="E199" s="0" t="str">
        <f aca="false">B199&amp;"|"&amp;C199&amp;"|"&amp;D199</f>
        <v>Qacha's Nek [#SNU] [zTaMbxvQtJ6]|20-24|Female</v>
      </c>
      <c r="F199" s="73" t="n">
        <v>6</v>
      </c>
      <c r="G199" s="118" t="n">
        <f aca="false">IF(SUM($F199)&lt;=0,"",0%)</f>
        <v>0</v>
      </c>
      <c r="H199" s="75" t="n">
        <f aca="false">IF(SUM($F199)&lt;=0,"",$F199*(1+$G199))</f>
        <v>6</v>
      </c>
      <c r="I199" s="73"/>
      <c r="J199" s="118" t="n">
        <f aca="false">IF(SUM($H199)&lt;=0,"",100%)</f>
        <v>1</v>
      </c>
      <c r="K199" s="118" t="n">
        <v>2</v>
      </c>
      <c r="L199" s="118" t="n">
        <f aca="false">IF(SUM($K199)=0,"",$K199)</f>
        <v>2</v>
      </c>
      <c r="M199" s="118" t="n">
        <v>29</v>
      </c>
      <c r="N199" s="118" t="n">
        <f aca="false">IF(SUM($M199)=0,"",$M199)</f>
        <v>29</v>
      </c>
      <c r="O199" s="73" t="n">
        <f aca="false">IF(SUM($H199)&lt;=0,"",ROUND(SUM($H199)*SUM($J199),0))</f>
        <v>6</v>
      </c>
      <c r="P199" s="75" t="n">
        <f aca="false">IF(SUM($O199)&lt;=0,"",ROUND(SUM($O199)*SUM($L199),0))</f>
        <v>12</v>
      </c>
      <c r="Q199" s="75" t="n">
        <f aca="false">IF(SUM($O199)&lt;=0,"",ROUND((SUM($O199)-SUM($P199))*SUM($N199),0))</f>
        <v>-174</v>
      </c>
      <c r="R199" s="75" t="n">
        <f aca="false">IF(SUM($O199)&lt;=0,"",ROUND(SUM($O199)-SUM($P199)-SUM($Q199),0))</f>
        <v>168</v>
      </c>
      <c r="S199" s="118" t="n">
        <f aca="false">_xlfn.IFNA(INDEX(Cascade!$BA:$BA,MATCH($E199,Cascade!$E:$E,0)),"")</f>
        <v>0.95</v>
      </c>
      <c r="T199" s="75" t="n">
        <f aca="false">IF(SUM($P199)&lt;=0,"",$P199)</f>
        <v>12</v>
      </c>
      <c r="U199" s="75" t="str">
        <f aca="false">IF(SUM($Q199)&lt;=0,"",ROUND($Q199*$S199,0))</f>
        <v/>
      </c>
      <c r="V199" s="73" t="n">
        <f aca="false">_xlfn.IFNA(INDEX(Cascade!$BD:$BD,MATCH($E199,Cascade!$E:$E,0)),"")</f>
        <v>5</v>
      </c>
      <c r="W199" s="118" t="n">
        <f aca="false">IF(OR(SUM($V199)&lt;=0,SUM($Q199)=0),"",SUM($Q199)/$V199)</f>
        <v>-34.8</v>
      </c>
      <c r="X199" s="118" t="n">
        <f aca="false">_xlfn.IFNA(INDEX(Cascade!$BL:$BL,MATCH($E199,Cascade!$E:$E,0)),"")</f>
        <v>0.4</v>
      </c>
      <c r="Y199" s="118" t="n">
        <f aca="false">_xlfn.IFNA(INDEX(Cascade!$BM:$BM,MATCH($E199,Cascade!$E:$E,0)),"")</f>
        <v>-1161</v>
      </c>
      <c r="Z199" s="118" t="str">
        <f aca="false">_xlfn.IFNA(INDEX(Cascade!$BN:$BN,MATCH($E199,Cascade!$E:$E,0)),"")</f>
        <v/>
      </c>
      <c r="AA199" s="118" t="str">
        <f aca="false">_xlfn.IFNA(INDEX(Cascade!$BP:$BP,MATCH($E199,Cascade!$E:$E,0)),"")</f>
        <v/>
      </c>
      <c r="AB199" s="118" t="n">
        <f aca="false">_xlfn.IFNA(INDEX(Cascade!$BR:$BR,MATCH($E199,Cascade!$E:$E,0)),"")</f>
        <v>1196.4</v>
      </c>
    </row>
    <row r="200" customFormat="false" ht="15" hidden="false" customHeight="false" outlineLevel="0" collapsed="false">
      <c r="A200" s="0" t="s">
        <v>149</v>
      </c>
      <c r="B200" s="0" t="s">
        <v>111</v>
      </c>
      <c r="C200" s="0" t="s">
        <v>66</v>
      </c>
      <c r="D200" s="0" t="s">
        <v>58</v>
      </c>
      <c r="E200" s="0" t="str">
        <f aca="false">B200&amp;"|"&amp;C200&amp;"|"&amp;D200</f>
        <v>Qacha's Nek [#SNU] [zTaMbxvQtJ6]|20-24|Male</v>
      </c>
      <c r="F200" s="73" t="n">
        <v>33</v>
      </c>
      <c r="G200" s="118" t="n">
        <f aca="false">IF(SUM($F200)&lt;=0,"",0%)</f>
        <v>0</v>
      </c>
      <c r="H200" s="75" t="n">
        <f aca="false">IF(SUM($F200)&lt;=0,"",$F200*(1+$G200))</f>
        <v>33</v>
      </c>
      <c r="I200" s="73" t="n">
        <v>25</v>
      </c>
      <c r="J200" s="118" t="n">
        <f aca="false">IF(SUM($H200)&lt;=0,"",100%)</f>
        <v>1</v>
      </c>
      <c r="K200" s="118" t="n">
        <v>30</v>
      </c>
      <c r="L200" s="118" t="n">
        <f aca="false">IF(SUM($K200)=0,"",$K200)</f>
        <v>30</v>
      </c>
      <c r="M200" s="118"/>
      <c r="N200" s="118" t="str">
        <f aca="false">IF(SUM($M200)=0,"",$M200)</f>
        <v/>
      </c>
      <c r="O200" s="73" t="n">
        <f aca="false">IF(SUM($H200)&lt;=0,"",ROUND(SUM($H200)*SUM($J200),0))</f>
        <v>33</v>
      </c>
      <c r="P200" s="75" t="n">
        <f aca="false">IF(SUM($O200)&lt;=0,"",ROUND(SUM($O200)*SUM($L200),0))</f>
        <v>990</v>
      </c>
      <c r="Q200" s="75" t="n">
        <f aca="false">IF(SUM($O200)&lt;=0,"",ROUND((SUM($O200)-SUM($P200))*SUM($N200),0))</f>
        <v>-0</v>
      </c>
      <c r="R200" s="75" t="n">
        <f aca="false">IF(SUM($O200)&lt;=0,"",ROUND(SUM($O200)-SUM($P200)-SUM($Q200),0))</f>
        <v>-957</v>
      </c>
      <c r="S200" s="118" t="n">
        <f aca="false">_xlfn.IFNA(INDEX(Cascade!$BA:$BA,MATCH($E200,Cascade!$E:$E,0)),"")</f>
        <v>0.95</v>
      </c>
      <c r="T200" s="75" t="n">
        <f aca="false">IF(SUM($P200)&lt;=0,"",$P200)</f>
        <v>990</v>
      </c>
      <c r="U200" s="75" t="str">
        <f aca="false">IF(SUM($Q200)&lt;=0,"",ROUND($Q200*$S200,0))</f>
        <v/>
      </c>
      <c r="V200" s="73" t="n">
        <f aca="false">_xlfn.IFNA(INDEX(Cascade!$BD:$BD,MATCH($E200,Cascade!$E:$E,0)),"")</f>
        <v>29</v>
      </c>
      <c r="W200" s="118" t="str">
        <f aca="false">IF(OR(SUM($V200)&lt;=0,SUM($Q200)=0),"",SUM($Q200)/$V200)</f>
        <v/>
      </c>
      <c r="X200" s="118" t="n">
        <f aca="false">_xlfn.IFNA(INDEX(Cascade!$BL:$BL,MATCH($E200,Cascade!$E:$E,0)),"")</f>
        <v>0.310344827586207</v>
      </c>
      <c r="Y200" s="118" t="str">
        <f aca="false">_xlfn.IFNA(INDEX(Cascade!$BM:$BM,MATCH($E200,Cascade!$E:$E,0)),"")</f>
        <v/>
      </c>
      <c r="Z200" s="118" t="str">
        <f aca="false">_xlfn.IFNA(INDEX(Cascade!$BN:$BN,MATCH($E200,Cascade!$E:$E,0)),"")</f>
        <v/>
      </c>
      <c r="AA200" s="118" t="str">
        <f aca="false">_xlfn.IFNA(INDEX(Cascade!$BP:$BP,MATCH($E200,Cascade!$E:$E,0)),"")</f>
        <v/>
      </c>
      <c r="AB200" s="118" t="n">
        <f aca="false">_xlfn.IFNA(INDEX(Cascade!$BR:$BR,MATCH($E200,Cascade!$E:$E,0)),"")</f>
        <v>0.689655172413793</v>
      </c>
    </row>
    <row r="201" customFormat="false" ht="15" hidden="false" customHeight="false" outlineLevel="0" collapsed="false">
      <c r="A201" s="0" t="s">
        <v>149</v>
      </c>
      <c r="B201" s="0" t="s">
        <v>111</v>
      </c>
      <c r="C201" s="0" t="s">
        <v>69</v>
      </c>
      <c r="D201" s="0" t="s">
        <v>56</v>
      </c>
      <c r="E201" s="0" t="str">
        <f aca="false">B201&amp;"|"&amp;C201&amp;"|"&amp;D201</f>
        <v>Qacha's Nek [#SNU] [zTaMbxvQtJ6]|25-29|Female</v>
      </c>
      <c r="F201" s="73" t="n">
        <v>43</v>
      </c>
      <c r="G201" s="118" t="n">
        <f aca="false">IF(SUM($F201)&lt;=0,"",0%)</f>
        <v>0</v>
      </c>
      <c r="H201" s="75" t="n">
        <f aca="false">IF(SUM($F201)&lt;=0,"",$F201*(1+$G201))</f>
        <v>43</v>
      </c>
      <c r="I201" s="73" t="n">
        <v>37</v>
      </c>
      <c r="J201" s="118" t="n">
        <f aca="false">IF(SUM($H201)&lt;=0,"",100%)</f>
        <v>1</v>
      </c>
      <c r="K201" s="118" t="n">
        <v>16</v>
      </c>
      <c r="L201" s="118" t="n">
        <f aca="false">IF(SUM($K201)=0,"",$K201)</f>
        <v>16</v>
      </c>
      <c r="M201" s="118" t="n">
        <v>26</v>
      </c>
      <c r="N201" s="118" t="n">
        <f aca="false">IF(SUM($M201)=0,"",$M201)</f>
        <v>26</v>
      </c>
      <c r="O201" s="73" t="n">
        <f aca="false">IF(SUM($H201)&lt;=0,"",ROUND(SUM($H201)*SUM($J201),0))</f>
        <v>43</v>
      </c>
      <c r="P201" s="75" t="n">
        <f aca="false">IF(SUM($O201)&lt;=0,"",ROUND(SUM($O201)*SUM($L201),0))</f>
        <v>688</v>
      </c>
      <c r="Q201" s="75" t="n">
        <f aca="false">IF(SUM($O201)&lt;=0,"",ROUND((SUM($O201)-SUM($P201))*SUM($N201),0))</f>
        <v>-16770</v>
      </c>
      <c r="R201" s="75" t="n">
        <f aca="false">IF(SUM($O201)&lt;=0,"",ROUND(SUM($O201)-SUM($P201)-SUM($Q201),0))</f>
        <v>16125</v>
      </c>
      <c r="S201" s="118" t="n">
        <f aca="false">_xlfn.IFNA(INDEX(Cascade!$BA:$BA,MATCH($E201,Cascade!$E:$E,0)),"")</f>
        <v>0.95</v>
      </c>
      <c r="T201" s="75" t="n">
        <f aca="false">IF(SUM($P201)&lt;=0,"",$P201)</f>
        <v>688</v>
      </c>
      <c r="U201" s="75" t="str">
        <f aca="false">IF(SUM($Q201)&lt;=0,"",ROUND($Q201*$S201,0))</f>
        <v/>
      </c>
      <c r="V201" s="73" t="n">
        <f aca="false">_xlfn.IFNA(INDEX(Cascade!$BD:$BD,MATCH($E201,Cascade!$E:$E,0)),"")</f>
        <v>32</v>
      </c>
      <c r="W201" s="118" t="n">
        <f aca="false">IF(OR(SUM($V201)&lt;=0,SUM($Q201)=0),"",SUM($Q201)/$V201)</f>
        <v>-524.0625</v>
      </c>
      <c r="X201" s="118" t="n">
        <f aca="false">_xlfn.IFNA(INDEX(Cascade!$BL:$BL,MATCH($E201,Cascade!$E:$E,0)),"")</f>
        <v>0.3125</v>
      </c>
      <c r="Y201" s="118" t="n">
        <f aca="false">_xlfn.IFNA(INDEX(Cascade!$BM:$BM,MATCH($E201,Cascade!$E:$E,0)),"")</f>
        <v>-52.53125</v>
      </c>
      <c r="Z201" s="118" t="str">
        <f aca="false">_xlfn.IFNA(INDEX(Cascade!$BN:$BN,MATCH($E201,Cascade!$E:$E,0)),"")</f>
        <v/>
      </c>
      <c r="AA201" s="118" t="str">
        <f aca="false">_xlfn.IFNA(INDEX(Cascade!$BP:$BP,MATCH($E201,Cascade!$E:$E,0)),"")</f>
        <v/>
      </c>
      <c r="AB201" s="118" t="n">
        <f aca="false">_xlfn.IFNA(INDEX(Cascade!$BR:$BR,MATCH($E201,Cascade!$E:$E,0)),"")</f>
        <v>577.28125</v>
      </c>
    </row>
    <row r="202" customFormat="false" ht="15" hidden="false" customHeight="false" outlineLevel="0" collapsed="false">
      <c r="A202" s="0" t="s">
        <v>149</v>
      </c>
      <c r="B202" s="0" t="s">
        <v>111</v>
      </c>
      <c r="C202" s="0" t="s">
        <v>69</v>
      </c>
      <c r="D202" s="0" t="s">
        <v>58</v>
      </c>
      <c r="E202" s="0" t="str">
        <f aca="false">B202&amp;"|"&amp;C202&amp;"|"&amp;D202</f>
        <v>Qacha's Nek [#SNU] [zTaMbxvQtJ6]|25-29|Male</v>
      </c>
      <c r="F202" s="73" t="n">
        <v>47</v>
      </c>
      <c r="G202" s="118" t="n">
        <f aca="false">IF(SUM($F202)&lt;=0,"",0%)</f>
        <v>0</v>
      </c>
      <c r="H202" s="75" t="n">
        <f aca="false">IF(SUM($F202)&lt;=0,"",$F202*(1+$G202))</f>
        <v>47</v>
      </c>
      <c r="I202" s="73" t="n">
        <v>23</v>
      </c>
      <c r="J202" s="118" t="n">
        <f aca="false">IF(SUM($H202)&lt;=0,"",100%)</f>
        <v>1</v>
      </c>
      <c r="K202" s="118" t="n">
        <v>24</v>
      </c>
      <c r="L202" s="118" t="n">
        <f aca="false">IF(SUM($K202)=0,"",$K202)</f>
        <v>24</v>
      </c>
      <c r="M202" s="118" t="n">
        <v>10</v>
      </c>
      <c r="N202" s="118" t="n">
        <f aca="false">IF(SUM($M202)=0,"",$M202)</f>
        <v>10</v>
      </c>
      <c r="O202" s="73" t="n">
        <f aca="false">IF(SUM($H202)&lt;=0,"",ROUND(SUM($H202)*SUM($J202),0))</f>
        <v>47</v>
      </c>
      <c r="P202" s="75" t="n">
        <f aca="false">IF(SUM($O202)&lt;=0,"",ROUND(SUM($O202)*SUM($L202),0))</f>
        <v>1128</v>
      </c>
      <c r="Q202" s="75" t="n">
        <f aca="false">IF(SUM($O202)&lt;=0,"",ROUND((SUM($O202)-SUM($P202))*SUM($N202),0))</f>
        <v>-10810</v>
      </c>
      <c r="R202" s="75" t="n">
        <f aca="false">IF(SUM($O202)&lt;=0,"",ROUND(SUM($O202)-SUM($P202)-SUM($Q202),0))</f>
        <v>9729</v>
      </c>
      <c r="S202" s="118" t="n">
        <f aca="false">_xlfn.IFNA(INDEX(Cascade!$BA:$BA,MATCH($E202,Cascade!$E:$E,0)),"")</f>
        <v>0.95</v>
      </c>
      <c r="T202" s="75" t="n">
        <f aca="false">IF(SUM($P202)&lt;=0,"",$P202)</f>
        <v>1128</v>
      </c>
      <c r="U202" s="75" t="str">
        <f aca="false">IF(SUM($Q202)&lt;=0,"",ROUND($Q202*$S202,0))</f>
        <v/>
      </c>
      <c r="V202" s="73" t="n">
        <f aca="false">_xlfn.IFNA(INDEX(Cascade!$BD:$BD,MATCH($E202,Cascade!$E:$E,0)),"")</f>
        <v>63</v>
      </c>
      <c r="W202" s="118" t="n">
        <f aca="false">IF(OR(SUM($V202)&lt;=0,SUM($Q202)=0),"",SUM($Q202)/$V202)</f>
        <v>-171.587301587302</v>
      </c>
      <c r="X202" s="118" t="n">
        <f aca="false">_xlfn.IFNA(INDEX(Cascade!$BL:$BL,MATCH($E202,Cascade!$E:$E,0)),"")</f>
        <v>0.301587301587302</v>
      </c>
      <c r="Y202" s="118" t="str">
        <f aca="false">_xlfn.IFNA(INDEX(Cascade!$BM:$BM,MATCH($E202,Cascade!$E:$E,0)),"")</f>
        <v/>
      </c>
      <c r="Z202" s="118" t="str">
        <f aca="false">_xlfn.IFNA(INDEX(Cascade!$BN:$BN,MATCH($E202,Cascade!$E:$E,0)),"")</f>
        <v/>
      </c>
      <c r="AA202" s="118" t="str">
        <f aca="false">_xlfn.IFNA(INDEX(Cascade!$BP:$BP,MATCH($E202,Cascade!$E:$E,0)),"")</f>
        <v/>
      </c>
      <c r="AB202" s="118" t="n">
        <f aca="false">_xlfn.IFNA(INDEX(Cascade!$BR:$BR,MATCH($E202,Cascade!$E:$E,0)),"")</f>
        <v>172.285714285714</v>
      </c>
    </row>
    <row r="203" customFormat="false" ht="15" hidden="false" customHeight="false" outlineLevel="0" collapsed="false">
      <c r="A203" s="0" t="s">
        <v>149</v>
      </c>
      <c r="B203" s="0" t="s">
        <v>111</v>
      </c>
      <c r="C203" s="0" t="s">
        <v>72</v>
      </c>
      <c r="D203" s="0" t="s">
        <v>56</v>
      </c>
      <c r="E203" s="0" t="str">
        <f aca="false">B203&amp;"|"&amp;C203&amp;"|"&amp;D203</f>
        <v>Qacha's Nek [#SNU] [zTaMbxvQtJ6]|30-34|Female</v>
      </c>
      <c r="F203" s="73" t="n">
        <v>3</v>
      </c>
      <c r="G203" s="118" t="n">
        <f aca="false">IF(SUM($F203)&lt;=0,"",0%)</f>
        <v>0</v>
      </c>
      <c r="H203" s="75" t="n">
        <f aca="false">IF(SUM($F203)&lt;=0,"",$F203*(1+$G203))</f>
        <v>3</v>
      </c>
      <c r="I203" s="73"/>
      <c r="J203" s="118" t="n">
        <f aca="false">IF(SUM($H203)&lt;=0,"",100%)</f>
        <v>1</v>
      </c>
      <c r="K203" s="118" t="n">
        <v>10</v>
      </c>
      <c r="L203" s="118" t="n">
        <f aca="false">IF(SUM($K203)=0,"",$K203)</f>
        <v>10</v>
      </c>
      <c r="M203" s="118" t="n">
        <v>17</v>
      </c>
      <c r="N203" s="118" t="n">
        <f aca="false">IF(SUM($M203)=0,"",$M203)</f>
        <v>17</v>
      </c>
      <c r="O203" s="73" t="n">
        <f aca="false">IF(SUM($H203)&lt;=0,"",ROUND(SUM($H203)*SUM($J203),0))</f>
        <v>3</v>
      </c>
      <c r="P203" s="75" t="n">
        <f aca="false">IF(SUM($O203)&lt;=0,"",ROUND(SUM($O203)*SUM($L203),0))</f>
        <v>30</v>
      </c>
      <c r="Q203" s="75" t="n">
        <f aca="false">IF(SUM($O203)&lt;=0,"",ROUND((SUM($O203)-SUM($P203))*SUM($N203),0))</f>
        <v>-459</v>
      </c>
      <c r="R203" s="75" t="n">
        <f aca="false">IF(SUM($O203)&lt;=0,"",ROUND(SUM($O203)-SUM($P203)-SUM($Q203),0))</f>
        <v>432</v>
      </c>
      <c r="S203" s="118" t="n">
        <f aca="false">_xlfn.IFNA(INDEX(Cascade!$BA:$BA,MATCH($E203,Cascade!$E:$E,0)),"")</f>
        <v>0.95</v>
      </c>
      <c r="T203" s="75" t="n">
        <f aca="false">IF(SUM($P203)&lt;=0,"",$P203)</f>
        <v>30</v>
      </c>
      <c r="U203" s="75" t="str">
        <f aca="false">IF(SUM($Q203)&lt;=0,"",ROUND($Q203*$S203,0))</f>
        <v/>
      </c>
      <c r="V203" s="73" t="n">
        <f aca="false">_xlfn.IFNA(INDEX(Cascade!$BD:$BD,MATCH($E203,Cascade!$E:$E,0)),"")</f>
        <v>16</v>
      </c>
      <c r="W203" s="118" t="n">
        <f aca="false">IF(OR(SUM($V203)&lt;=0,SUM($Q203)=0),"",SUM($Q203)/$V203)</f>
        <v>-28.6875</v>
      </c>
      <c r="X203" s="118" t="n">
        <f aca="false">_xlfn.IFNA(INDEX(Cascade!$BL:$BL,MATCH($E203,Cascade!$E:$E,0)),"")</f>
        <v>0.3125</v>
      </c>
      <c r="Y203" s="118" t="n">
        <f aca="false">_xlfn.IFNA(INDEX(Cascade!$BM:$BM,MATCH($E203,Cascade!$E:$E,0)),"")</f>
        <v>-1560</v>
      </c>
      <c r="Z203" s="118" t="str">
        <f aca="false">_xlfn.IFNA(INDEX(Cascade!$BN:$BN,MATCH($E203,Cascade!$E:$E,0)),"")</f>
        <v/>
      </c>
      <c r="AA203" s="118" t="str">
        <f aca="false">_xlfn.IFNA(INDEX(Cascade!$BP:$BP,MATCH($E203,Cascade!$E:$E,0)),"")</f>
        <v/>
      </c>
      <c r="AB203" s="118" t="n">
        <f aca="false">_xlfn.IFNA(INDEX(Cascade!$BR:$BR,MATCH($E203,Cascade!$E:$E,0)),"")</f>
        <v>1589.375</v>
      </c>
    </row>
    <row r="204" customFormat="false" ht="15" hidden="false" customHeight="false" outlineLevel="0" collapsed="false">
      <c r="A204" s="0" t="s">
        <v>149</v>
      </c>
      <c r="B204" s="0" t="s">
        <v>111</v>
      </c>
      <c r="C204" s="0" t="s">
        <v>72</v>
      </c>
      <c r="D204" s="0" t="s">
        <v>58</v>
      </c>
      <c r="E204" s="0" t="str">
        <f aca="false">B204&amp;"|"&amp;C204&amp;"|"&amp;D204</f>
        <v>Qacha's Nek [#SNU] [zTaMbxvQtJ6]|30-34|Male</v>
      </c>
      <c r="F204" s="73" t="n">
        <v>3</v>
      </c>
      <c r="G204" s="118" t="n">
        <f aca="false">IF(SUM($F204)&lt;=0,"",0%)</f>
        <v>0</v>
      </c>
      <c r="H204" s="75" t="n">
        <f aca="false">IF(SUM($F204)&lt;=0,"",$F204*(1+$G204))</f>
        <v>3</v>
      </c>
      <c r="I204" s="73" t="n">
        <v>7</v>
      </c>
      <c r="J204" s="118" t="n">
        <f aca="false">IF(SUM($H204)&lt;=0,"",100%)</f>
        <v>1</v>
      </c>
      <c r="K204" s="118" t="n">
        <v>11</v>
      </c>
      <c r="L204" s="118" t="n">
        <f aca="false">IF(SUM($K204)=0,"",$K204)</f>
        <v>11</v>
      </c>
      <c r="M204" s="118"/>
      <c r="N204" s="118" t="str">
        <f aca="false">IF(SUM($M204)=0,"",$M204)</f>
        <v/>
      </c>
      <c r="O204" s="73" t="n">
        <f aca="false">IF(SUM($H204)&lt;=0,"",ROUND(SUM($H204)*SUM($J204),0))</f>
        <v>3</v>
      </c>
      <c r="P204" s="75" t="n">
        <f aca="false">IF(SUM($O204)&lt;=0,"",ROUND(SUM($O204)*SUM($L204),0))</f>
        <v>33</v>
      </c>
      <c r="Q204" s="75" t="n">
        <f aca="false">IF(SUM($O204)&lt;=0,"",ROUND((SUM($O204)-SUM($P204))*SUM($N204),0))</f>
        <v>-0</v>
      </c>
      <c r="R204" s="75" t="n">
        <f aca="false">IF(SUM($O204)&lt;=0,"",ROUND(SUM($O204)-SUM($P204)-SUM($Q204),0))</f>
        <v>-30</v>
      </c>
      <c r="S204" s="118" t="n">
        <f aca="false">_xlfn.IFNA(INDEX(Cascade!$BA:$BA,MATCH($E204,Cascade!$E:$E,0)),"")</f>
        <v>0.95</v>
      </c>
      <c r="T204" s="75" t="n">
        <f aca="false">IF(SUM($P204)&lt;=0,"",$P204)</f>
        <v>33</v>
      </c>
      <c r="U204" s="75" t="str">
        <f aca="false">IF(SUM($Q204)&lt;=0,"",ROUND($Q204*$S204,0))</f>
        <v/>
      </c>
      <c r="V204" s="73" t="n">
        <f aca="false">_xlfn.IFNA(INDEX(Cascade!$BD:$BD,MATCH($E204,Cascade!$E:$E,0)),"")</f>
        <v>57</v>
      </c>
      <c r="W204" s="118" t="str">
        <f aca="false">IF(OR(SUM($V204)&lt;=0,SUM($Q204)=0),"",SUM($Q204)/$V204)</f>
        <v/>
      </c>
      <c r="X204" s="118" t="n">
        <f aca="false">_xlfn.IFNA(INDEX(Cascade!$BL:$BL,MATCH($E204,Cascade!$E:$E,0)),"")</f>
        <v>0.298245614035088</v>
      </c>
      <c r="Y204" s="118" t="str">
        <f aca="false">_xlfn.IFNA(INDEX(Cascade!$BM:$BM,MATCH($E204,Cascade!$E:$E,0)),"")</f>
        <v/>
      </c>
      <c r="Z204" s="118" t="str">
        <f aca="false">_xlfn.IFNA(INDEX(Cascade!$BN:$BN,MATCH($E204,Cascade!$E:$E,0)),"")</f>
        <v/>
      </c>
      <c r="AA204" s="118" t="str">
        <f aca="false">_xlfn.IFNA(INDEX(Cascade!$BP:$BP,MATCH($E204,Cascade!$E:$E,0)),"")</f>
        <v/>
      </c>
      <c r="AB204" s="118" t="n">
        <f aca="false">_xlfn.IFNA(INDEX(Cascade!$BR:$BR,MATCH($E204,Cascade!$E:$E,0)),"")</f>
        <v>0.701754385964912</v>
      </c>
    </row>
    <row r="205" customFormat="false" ht="15" hidden="false" customHeight="false" outlineLevel="0" collapsed="false">
      <c r="A205" s="0" t="s">
        <v>149</v>
      </c>
      <c r="B205" s="0" t="s">
        <v>111</v>
      </c>
      <c r="C205" s="0" t="s">
        <v>75</v>
      </c>
      <c r="D205" s="0" t="s">
        <v>56</v>
      </c>
      <c r="E205" s="0" t="str">
        <f aca="false">B205&amp;"|"&amp;C205&amp;"|"&amp;D205</f>
        <v>Qacha's Nek [#SNU] [zTaMbxvQtJ6]|35-39|Female</v>
      </c>
      <c r="F205" s="73" t="n">
        <v>41</v>
      </c>
      <c r="G205" s="118" t="n">
        <f aca="false">IF(SUM($F205)&lt;=0,"",0%)</f>
        <v>0</v>
      </c>
      <c r="H205" s="75" t="n">
        <f aca="false">IF(SUM($F205)&lt;=0,"",$F205*(1+$G205))</f>
        <v>41</v>
      </c>
      <c r="I205" s="73" t="n">
        <v>9</v>
      </c>
      <c r="J205" s="118" t="n">
        <f aca="false">IF(SUM($H205)&lt;=0,"",100%)</f>
        <v>1</v>
      </c>
      <c r="K205" s="118" t="n">
        <v>35</v>
      </c>
      <c r="L205" s="118" t="n">
        <f aca="false">IF(SUM($K205)=0,"",$K205)</f>
        <v>35</v>
      </c>
      <c r="M205" s="118"/>
      <c r="N205" s="118" t="str">
        <f aca="false">IF(SUM($M205)=0,"",$M205)</f>
        <v/>
      </c>
      <c r="O205" s="73" t="n">
        <f aca="false">IF(SUM($H205)&lt;=0,"",ROUND(SUM($H205)*SUM($J205),0))</f>
        <v>41</v>
      </c>
      <c r="P205" s="75" t="n">
        <f aca="false">IF(SUM($O205)&lt;=0,"",ROUND(SUM($O205)*SUM($L205),0))</f>
        <v>1435</v>
      </c>
      <c r="Q205" s="75" t="n">
        <f aca="false">IF(SUM($O205)&lt;=0,"",ROUND((SUM($O205)-SUM($P205))*SUM($N205),0))</f>
        <v>-0</v>
      </c>
      <c r="R205" s="75" t="n">
        <f aca="false">IF(SUM($O205)&lt;=0,"",ROUND(SUM($O205)-SUM($P205)-SUM($Q205),0))</f>
        <v>-1394</v>
      </c>
      <c r="S205" s="118" t="n">
        <f aca="false">_xlfn.IFNA(INDEX(Cascade!$BA:$BA,MATCH($E205,Cascade!$E:$E,0)),"")</f>
        <v>0.95</v>
      </c>
      <c r="T205" s="75" t="n">
        <f aca="false">IF(SUM($P205)&lt;=0,"",$P205)</f>
        <v>1435</v>
      </c>
      <c r="U205" s="75" t="str">
        <f aca="false">IF(SUM($Q205)&lt;=0,"",ROUND($Q205*$S205,0))</f>
        <v/>
      </c>
      <c r="V205" s="73" t="n">
        <f aca="false">_xlfn.IFNA(INDEX(Cascade!$BD:$BD,MATCH($E205,Cascade!$E:$E,0)),"")</f>
        <v>17</v>
      </c>
      <c r="W205" s="118" t="str">
        <f aca="false">IF(OR(SUM($V205)&lt;=0,SUM($Q205)=0),"",SUM($Q205)/$V205)</f>
        <v/>
      </c>
      <c r="X205" s="118" t="n">
        <f aca="false">_xlfn.IFNA(INDEX(Cascade!$BL:$BL,MATCH($E205,Cascade!$E:$E,0)),"")</f>
        <v>0.294117647058823</v>
      </c>
      <c r="Y205" s="118" t="str">
        <f aca="false">_xlfn.IFNA(INDEX(Cascade!$BM:$BM,MATCH($E205,Cascade!$E:$E,0)),"")</f>
        <v/>
      </c>
      <c r="Z205" s="118" t="str">
        <f aca="false">_xlfn.IFNA(INDEX(Cascade!$BN:$BN,MATCH($E205,Cascade!$E:$E,0)),"")</f>
        <v/>
      </c>
      <c r="AA205" s="118" t="str">
        <f aca="false">_xlfn.IFNA(INDEX(Cascade!$BP:$BP,MATCH($E205,Cascade!$E:$E,0)),"")</f>
        <v/>
      </c>
      <c r="AB205" s="118" t="n">
        <f aca="false">_xlfn.IFNA(INDEX(Cascade!$BR:$BR,MATCH($E205,Cascade!$E:$E,0)),"")</f>
        <v>0.705882352941176</v>
      </c>
    </row>
    <row r="206" customFormat="false" ht="15" hidden="false" customHeight="false" outlineLevel="0" collapsed="false">
      <c r="A206" s="0" t="s">
        <v>149</v>
      </c>
      <c r="B206" s="0" t="s">
        <v>111</v>
      </c>
      <c r="C206" s="0" t="s">
        <v>75</v>
      </c>
      <c r="D206" s="0" t="s">
        <v>58</v>
      </c>
      <c r="E206" s="0" t="str">
        <f aca="false">B206&amp;"|"&amp;C206&amp;"|"&amp;D206</f>
        <v>Qacha's Nek [#SNU] [zTaMbxvQtJ6]|35-39|Male</v>
      </c>
      <c r="F206" s="73" t="n">
        <v>35</v>
      </c>
      <c r="G206" s="118" t="n">
        <f aca="false">IF(SUM($F206)&lt;=0,"",0%)</f>
        <v>0</v>
      </c>
      <c r="H206" s="75" t="n">
        <f aca="false">IF(SUM($F206)&lt;=0,"",$F206*(1+$G206))</f>
        <v>35</v>
      </c>
      <c r="I206" s="73" t="n">
        <v>37</v>
      </c>
      <c r="J206" s="118" t="n">
        <f aca="false">IF(SUM($H206)&lt;=0,"",100%)</f>
        <v>1</v>
      </c>
      <c r="K206" s="118" t="n">
        <v>32</v>
      </c>
      <c r="L206" s="118" t="n">
        <f aca="false">IF(SUM($K206)=0,"",$K206)</f>
        <v>32</v>
      </c>
      <c r="M206" s="118" t="n">
        <v>16</v>
      </c>
      <c r="N206" s="118" t="n">
        <f aca="false">IF(SUM($M206)=0,"",$M206)</f>
        <v>16</v>
      </c>
      <c r="O206" s="73" t="n">
        <f aca="false">IF(SUM($H206)&lt;=0,"",ROUND(SUM($H206)*SUM($J206),0))</f>
        <v>35</v>
      </c>
      <c r="P206" s="75" t="n">
        <f aca="false">IF(SUM($O206)&lt;=0,"",ROUND(SUM($O206)*SUM($L206),0))</f>
        <v>1120</v>
      </c>
      <c r="Q206" s="75" t="n">
        <f aca="false">IF(SUM($O206)&lt;=0,"",ROUND((SUM($O206)-SUM($P206))*SUM($N206),0))</f>
        <v>-17360</v>
      </c>
      <c r="R206" s="75" t="n">
        <f aca="false">IF(SUM($O206)&lt;=0,"",ROUND(SUM($O206)-SUM($P206)-SUM($Q206),0))</f>
        <v>16275</v>
      </c>
      <c r="S206" s="118" t="n">
        <f aca="false">_xlfn.IFNA(INDEX(Cascade!$BA:$BA,MATCH($E206,Cascade!$E:$E,0)),"")</f>
        <v>0.95</v>
      </c>
      <c r="T206" s="75" t="n">
        <f aca="false">IF(SUM($P206)&lt;=0,"",$P206)</f>
        <v>1120</v>
      </c>
      <c r="U206" s="75" t="str">
        <f aca="false">IF(SUM($Q206)&lt;=0,"",ROUND($Q206*$S206,0))</f>
        <v/>
      </c>
      <c r="V206" s="73" t="n">
        <f aca="false">_xlfn.IFNA(INDEX(Cascade!$BD:$BD,MATCH($E206,Cascade!$E:$E,0)),"")</f>
        <v>3</v>
      </c>
      <c r="W206" s="118" t="n">
        <f aca="false">IF(OR(SUM($V206)&lt;=0,SUM($Q206)=0),"",SUM($Q206)/$V206)</f>
        <v>-5786.66666666667</v>
      </c>
      <c r="X206" s="118" t="n">
        <f aca="false">_xlfn.IFNA(INDEX(Cascade!$BL:$BL,MATCH($E206,Cascade!$E:$E,0)),"")</f>
        <v>0.333333333333333</v>
      </c>
      <c r="Y206" s="118" t="str">
        <f aca="false">_xlfn.IFNA(INDEX(Cascade!$BM:$BM,MATCH($E206,Cascade!$E:$E,0)),"")</f>
        <v/>
      </c>
      <c r="Z206" s="118" t="str">
        <f aca="false">_xlfn.IFNA(INDEX(Cascade!$BN:$BN,MATCH($E206,Cascade!$E:$E,0)),"")</f>
        <v/>
      </c>
      <c r="AA206" s="118" t="str">
        <f aca="false">_xlfn.IFNA(INDEX(Cascade!$BP:$BP,MATCH($E206,Cascade!$E:$E,0)),"")</f>
        <v/>
      </c>
      <c r="AB206" s="118" t="n">
        <f aca="false">_xlfn.IFNA(INDEX(Cascade!$BR:$BR,MATCH($E206,Cascade!$E:$E,0)),"")</f>
        <v>5787.33333333333</v>
      </c>
    </row>
    <row r="207" customFormat="false" ht="15" hidden="false" customHeight="false" outlineLevel="0" collapsed="false">
      <c r="A207" s="0" t="s">
        <v>149</v>
      </c>
      <c r="B207" s="0" t="s">
        <v>111</v>
      </c>
      <c r="C207" s="0" t="s">
        <v>77</v>
      </c>
      <c r="D207" s="0" t="s">
        <v>56</v>
      </c>
      <c r="E207" s="0" t="str">
        <f aca="false">B207&amp;"|"&amp;C207&amp;"|"&amp;D207</f>
        <v>Qacha's Nek [#SNU] [zTaMbxvQtJ6]|40-44|Female</v>
      </c>
      <c r="F207" s="73" t="n">
        <v>24</v>
      </c>
      <c r="G207" s="118" t="n">
        <f aca="false">IF(SUM($F207)&lt;=0,"",0%)</f>
        <v>0</v>
      </c>
      <c r="H207" s="75" t="n">
        <f aca="false">IF(SUM($F207)&lt;=0,"",$F207*(1+$G207))</f>
        <v>24</v>
      </c>
      <c r="I207" s="73"/>
      <c r="J207" s="118" t="n">
        <f aca="false">IF(SUM($H207)&lt;=0,"",100%)</f>
        <v>1</v>
      </c>
      <c r="K207" s="118" t="n">
        <v>26</v>
      </c>
      <c r="L207" s="118" t="n">
        <f aca="false">IF(SUM($K207)=0,"",$K207)</f>
        <v>26</v>
      </c>
      <c r="M207" s="118" t="n">
        <v>18</v>
      </c>
      <c r="N207" s="118" t="n">
        <f aca="false">IF(SUM($M207)=0,"",$M207)</f>
        <v>18</v>
      </c>
      <c r="O207" s="73" t="n">
        <f aca="false">IF(SUM($H207)&lt;=0,"",ROUND(SUM($H207)*SUM($J207),0))</f>
        <v>24</v>
      </c>
      <c r="P207" s="75" t="n">
        <f aca="false">IF(SUM($O207)&lt;=0,"",ROUND(SUM($O207)*SUM($L207),0))</f>
        <v>624</v>
      </c>
      <c r="Q207" s="75" t="n">
        <f aca="false">IF(SUM($O207)&lt;=0,"",ROUND((SUM($O207)-SUM($P207))*SUM($N207),0))</f>
        <v>-10800</v>
      </c>
      <c r="R207" s="75" t="n">
        <f aca="false">IF(SUM($O207)&lt;=0,"",ROUND(SUM($O207)-SUM($P207)-SUM($Q207),0))</f>
        <v>10200</v>
      </c>
      <c r="S207" s="118" t="n">
        <f aca="false">_xlfn.IFNA(INDEX(Cascade!$BA:$BA,MATCH($E207,Cascade!$E:$E,0)),"")</f>
        <v>0.95</v>
      </c>
      <c r="T207" s="75" t="n">
        <f aca="false">IF(SUM($P207)&lt;=0,"",$P207)</f>
        <v>624</v>
      </c>
      <c r="U207" s="75" t="str">
        <f aca="false">IF(SUM($Q207)&lt;=0,"",ROUND($Q207*$S207,0))</f>
        <v/>
      </c>
      <c r="V207" s="73" t="n">
        <f aca="false">_xlfn.IFNA(INDEX(Cascade!$BD:$BD,MATCH($E207,Cascade!$E:$E,0)),"")</f>
        <v>4</v>
      </c>
      <c r="W207" s="118" t="n">
        <f aca="false">IF(OR(SUM($V207)&lt;=0,SUM($Q207)=0),"",SUM($Q207)/$V207)</f>
        <v>-2700</v>
      </c>
      <c r="X207" s="118" t="n">
        <f aca="false">_xlfn.IFNA(INDEX(Cascade!$BL:$BL,MATCH($E207,Cascade!$E:$E,0)),"")</f>
        <v>0.75</v>
      </c>
      <c r="Y207" s="118" t="str">
        <f aca="false">_xlfn.IFNA(INDEX(Cascade!$BM:$BM,MATCH($E207,Cascade!$E:$E,0)),"")</f>
        <v/>
      </c>
      <c r="Z207" s="118" t="str">
        <f aca="false">_xlfn.IFNA(INDEX(Cascade!$BN:$BN,MATCH($E207,Cascade!$E:$E,0)),"")</f>
        <v/>
      </c>
      <c r="AA207" s="118" t="str">
        <f aca="false">_xlfn.IFNA(INDEX(Cascade!$BP:$BP,MATCH($E207,Cascade!$E:$E,0)),"")</f>
        <v/>
      </c>
      <c r="AB207" s="118" t="n">
        <f aca="false">_xlfn.IFNA(INDEX(Cascade!$BR:$BR,MATCH($E207,Cascade!$E:$E,0)),"")</f>
        <v>2700.25</v>
      </c>
    </row>
    <row r="208" customFormat="false" ht="15" hidden="false" customHeight="false" outlineLevel="0" collapsed="false">
      <c r="A208" s="0" t="s">
        <v>149</v>
      </c>
      <c r="B208" s="0" t="s">
        <v>111</v>
      </c>
      <c r="C208" s="0" t="s">
        <v>77</v>
      </c>
      <c r="D208" s="0" t="s">
        <v>58</v>
      </c>
      <c r="E208" s="0" t="str">
        <f aca="false">B208&amp;"|"&amp;C208&amp;"|"&amp;D208</f>
        <v>Qacha's Nek [#SNU] [zTaMbxvQtJ6]|40-44|Male</v>
      </c>
      <c r="F208" s="73" t="n">
        <v>12</v>
      </c>
      <c r="G208" s="118" t="n">
        <f aca="false">IF(SUM($F208)&lt;=0,"",0%)</f>
        <v>0</v>
      </c>
      <c r="H208" s="75" t="n">
        <f aca="false">IF(SUM($F208)&lt;=0,"",$F208*(1+$G208))</f>
        <v>12</v>
      </c>
      <c r="I208" s="73" t="n">
        <v>22</v>
      </c>
      <c r="J208" s="118" t="n">
        <f aca="false">IF(SUM($H208)&lt;=0,"",100%)</f>
        <v>1</v>
      </c>
      <c r="K208" s="118" t="n">
        <v>26</v>
      </c>
      <c r="L208" s="118" t="n">
        <f aca="false">IF(SUM($K208)=0,"",$K208)</f>
        <v>26</v>
      </c>
      <c r="M208" s="118" t="n">
        <v>5</v>
      </c>
      <c r="N208" s="118" t="n">
        <f aca="false">IF(SUM($M208)=0,"",$M208)</f>
        <v>5</v>
      </c>
      <c r="O208" s="73" t="n">
        <f aca="false">IF(SUM($H208)&lt;=0,"",ROUND(SUM($H208)*SUM($J208),0))</f>
        <v>12</v>
      </c>
      <c r="P208" s="75" t="n">
        <f aca="false">IF(SUM($O208)&lt;=0,"",ROUND(SUM($O208)*SUM($L208),0))</f>
        <v>312</v>
      </c>
      <c r="Q208" s="75" t="n">
        <f aca="false">IF(SUM($O208)&lt;=0,"",ROUND((SUM($O208)-SUM($P208))*SUM($N208),0))</f>
        <v>-1500</v>
      </c>
      <c r="R208" s="75" t="n">
        <f aca="false">IF(SUM($O208)&lt;=0,"",ROUND(SUM($O208)-SUM($P208)-SUM($Q208),0))</f>
        <v>1200</v>
      </c>
      <c r="S208" s="118" t="n">
        <f aca="false">_xlfn.IFNA(INDEX(Cascade!$BA:$BA,MATCH($E208,Cascade!$E:$E,0)),"")</f>
        <v>0.95</v>
      </c>
      <c r="T208" s="75" t="n">
        <f aca="false">IF(SUM($P208)&lt;=0,"",$P208)</f>
        <v>312</v>
      </c>
      <c r="U208" s="75" t="str">
        <f aca="false">IF(SUM($Q208)&lt;=0,"",ROUND($Q208*$S208,0))</f>
        <v/>
      </c>
      <c r="V208" s="73" t="n">
        <f aca="false">_xlfn.IFNA(INDEX(Cascade!$BD:$BD,MATCH($E208,Cascade!$E:$E,0)),"")</f>
        <v>15</v>
      </c>
      <c r="W208" s="118" t="n">
        <f aca="false">IF(OR(SUM($V208)&lt;=0,SUM($Q208)=0),"",SUM($Q208)/$V208)</f>
        <v>-100</v>
      </c>
      <c r="X208" s="118" t="n">
        <f aca="false">_xlfn.IFNA(INDEX(Cascade!$BL:$BL,MATCH($E208,Cascade!$E:$E,0)),"")</f>
        <v>0.333333333333333</v>
      </c>
      <c r="Y208" s="118" t="str">
        <f aca="false">_xlfn.IFNA(INDEX(Cascade!$BM:$BM,MATCH($E208,Cascade!$E:$E,0)),"")</f>
        <v/>
      </c>
      <c r="Z208" s="118" t="str">
        <f aca="false">_xlfn.IFNA(INDEX(Cascade!$BN:$BN,MATCH($E208,Cascade!$E:$E,0)),"")</f>
        <v/>
      </c>
      <c r="AA208" s="118" t="str">
        <f aca="false">_xlfn.IFNA(INDEX(Cascade!$BP:$BP,MATCH($E208,Cascade!$E:$E,0)),"")</f>
        <v/>
      </c>
      <c r="AB208" s="118" t="n">
        <f aca="false">_xlfn.IFNA(INDEX(Cascade!$BR:$BR,MATCH($E208,Cascade!$E:$E,0)),"")</f>
        <v>100.666666666667</v>
      </c>
    </row>
    <row r="209" customFormat="false" ht="15" hidden="false" customHeight="false" outlineLevel="0" collapsed="false">
      <c r="A209" s="0" t="s">
        <v>149</v>
      </c>
      <c r="B209" s="0" t="s">
        <v>111</v>
      </c>
      <c r="C209" s="0" t="s">
        <v>80</v>
      </c>
      <c r="D209" s="0" t="s">
        <v>56</v>
      </c>
      <c r="E209" s="0" t="str">
        <f aca="false">B209&amp;"|"&amp;C209&amp;"|"&amp;D209</f>
        <v>Qacha's Nek [#SNU] [zTaMbxvQtJ6]|45-49|Female</v>
      </c>
      <c r="F209" s="73" t="n">
        <v>28</v>
      </c>
      <c r="G209" s="118" t="n">
        <f aca="false">IF(SUM($F209)&lt;=0,"",0%)</f>
        <v>0</v>
      </c>
      <c r="H209" s="75" t="n">
        <f aca="false">IF(SUM($F209)&lt;=0,"",$F209*(1+$G209))</f>
        <v>28</v>
      </c>
      <c r="I209" s="73" t="n">
        <v>29</v>
      </c>
      <c r="J209" s="118" t="n">
        <f aca="false">IF(SUM($H209)&lt;=0,"",100%)</f>
        <v>1</v>
      </c>
      <c r="K209" s="118" t="n">
        <v>29</v>
      </c>
      <c r="L209" s="118" t="n">
        <f aca="false">IF(SUM($K209)=0,"",$K209)</f>
        <v>29</v>
      </c>
      <c r="M209" s="118" t="n">
        <v>32</v>
      </c>
      <c r="N209" s="118" t="n">
        <f aca="false">IF(SUM($M209)=0,"",$M209)</f>
        <v>32</v>
      </c>
      <c r="O209" s="73" t="n">
        <f aca="false">IF(SUM($H209)&lt;=0,"",ROUND(SUM($H209)*SUM($J209),0))</f>
        <v>28</v>
      </c>
      <c r="P209" s="75" t="n">
        <f aca="false">IF(SUM($O209)&lt;=0,"",ROUND(SUM($O209)*SUM($L209),0))</f>
        <v>812</v>
      </c>
      <c r="Q209" s="75" t="n">
        <f aca="false">IF(SUM($O209)&lt;=0,"",ROUND((SUM($O209)-SUM($P209))*SUM($N209),0))</f>
        <v>-25088</v>
      </c>
      <c r="R209" s="75" t="n">
        <f aca="false">IF(SUM($O209)&lt;=0,"",ROUND(SUM($O209)-SUM($P209)-SUM($Q209),0))</f>
        <v>24304</v>
      </c>
      <c r="S209" s="118" t="n">
        <f aca="false">_xlfn.IFNA(INDEX(Cascade!$BA:$BA,MATCH($E209,Cascade!$E:$E,0)),"")</f>
        <v>0.95</v>
      </c>
      <c r="T209" s="75" t="n">
        <f aca="false">IF(SUM($P209)&lt;=0,"",$P209)</f>
        <v>812</v>
      </c>
      <c r="U209" s="75" t="str">
        <f aca="false">IF(SUM($Q209)&lt;=0,"",ROUND($Q209*$S209,0))</f>
        <v/>
      </c>
      <c r="V209" s="73" t="n">
        <f aca="false">_xlfn.IFNA(INDEX(Cascade!$BD:$BD,MATCH($E209,Cascade!$E:$E,0)),"")</f>
        <v>1</v>
      </c>
      <c r="W209" s="118" t="n">
        <f aca="false">IF(OR(SUM($V209)&lt;=0,SUM($Q209)=0),"",SUM($Q209)/$V209)</f>
        <v>-25088</v>
      </c>
      <c r="X209" s="118" t="n">
        <f aca="false">_xlfn.IFNA(INDEX(Cascade!$BL:$BL,MATCH($E209,Cascade!$E:$E,0)),"")</f>
        <v>1</v>
      </c>
      <c r="Y209" s="118" t="str">
        <f aca="false">_xlfn.IFNA(INDEX(Cascade!$BM:$BM,MATCH($E209,Cascade!$E:$E,0)),"")</f>
        <v/>
      </c>
      <c r="Z209" s="118" t="str">
        <f aca="false">_xlfn.IFNA(INDEX(Cascade!$BN:$BN,MATCH($E209,Cascade!$E:$E,0)),"")</f>
        <v/>
      </c>
      <c r="AA209" s="118" t="str">
        <f aca="false">_xlfn.IFNA(INDEX(Cascade!$BP:$BP,MATCH($E209,Cascade!$E:$E,0)),"")</f>
        <v/>
      </c>
      <c r="AB209" s="118" t="n">
        <f aca="false">_xlfn.IFNA(INDEX(Cascade!$BR:$BR,MATCH($E209,Cascade!$E:$E,0)),"")</f>
        <v>25088</v>
      </c>
    </row>
    <row r="210" customFormat="false" ht="15" hidden="false" customHeight="false" outlineLevel="0" collapsed="false">
      <c r="A210" s="0" t="s">
        <v>149</v>
      </c>
      <c r="B210" s="0" t="s">
        <v>111</v>
      </c>
      <c r="C210" s="0" t="s">
        <v>80</v>
      </c>
      <c r="D210" s="0" t="s">
        <v>58</v>
      </c>
      <c r="E210" s="0" t="str">
        <f aca="false">B210&amp;"|"&amp;C210&amp;"|"&amp;D210</f>
        <v>Qacha's Nek [#SNU] [zTaMbxvQtJ6]|45-49|Male</v>
      </c>
      <c r="F210" s="73" t="n">
        <v>21</v>
      </c>
      <c r="G210" s="118" t="n">
        <f aca="false">IF(SUM($F210)&lt;=0,"",0%)</f>
        <v>0</v>
      </c>
      <c r="H210" s="75" t="n">
        <f aca="false">IF(SUM($F210)&lt;=0,"",$F210*(1+$G210))</f>
        <v>21</v>
      </c>
      <c r="I210" s="73" t="n">
        <v>31</v>
      </c>
      <c r="J210" s="118" t="n">
        <f aca="false">IF(SUM($H210)&lt;=0,"",100%)</f>
        <v>1</v>
      </c>
      <c r="K210" s="118" t="n">
        <v>29</v>
      </c>
      <c r="L210" s="118" t="n">
        <f aca="false">IF(SUM($K210)=0,"",$K210)</f>
        <v>29</v>
      </c>
      <c r="M210" s="118" t="n">
        <v>48</v>
      </c>
      <c r="N210" s="118" t="n">
        <f aca="false">IF(SUM($M210)=0,"",$M210)</f>
        <v>48</v>
      </c>
      <c r="O210" s="73" t="n">
        <f aca="false">IF(SUM($H210)&lt;=0,"",ROUND(SUM($H210)*SUM($J210),0))</f>
        <v>21</v>
      </c>
      <c r="P210" s="75" t="n">
        <f aca="false">IF(SUM($O210)&lt;=0,"",ROUND(SUM($O210)*SUM($L210),0))</f>
        <v>609</v>
      </c>
      <c r="Q210" s="75" t="n">
        <f aca="false">IF(SUM($O210)&lt;=0,"",ROUND((SUM($O210)-SUM($P210))*SUM($N210),0))</f>
        <v>-28224</v>
      </c>
      <c r="R210" s="75" t="n">
        <f aca="false">IF(SUM($O210)&lt;=0,"",ROUND(SUM($O210)-SUM($P210)-SUM($Q210),0))</f>
        <v>27636</v>
      </c>
      <c r="S210" s="118" t="n">
        <f aca="false">_xlfn.IFNA(INDEX(Cascade!$BA:$BA,MATCH($E210,Cascade!$E:$E,0)),"")</f>
        <v>0.95</v>
      </c>
      <c r="T210" s="75" t="n">
        <f aca="false">IF(SUM($P210)&lt;=0,"",$P210)</f>
        <v>609</v>
      </c>
      <c r="U210" s="75" t="str">
        <f aca="false">IF(SUM($Q210)&lt;=0,"",ROUND($Q210*$S210,0))</f>
        <v/>
      </c>
      <c r="V210" s="73" t="n">
        <f aca="false">_xlfn.IFNA(INDEX(Cascade!$BD:$BD,MATCH($E210,Cascade!$E:$E,0)),"")</f>
        <v>8</v>
      </c>
      <c r="W210" s="118" t="n">
        <f aca="false">IF(OR(SUM($V210)&lt;=0,SUM($Q210)=0),"",SUM($Q210)/$V210)</f>
        <v>-3528</v>
      </c>
      <c r="X210" s="118" t="n">
        <f aca="false">_xlfn.IFNA(INDEX(Cascade!$BL:$BL,MATCH($E210,Cascade!$E:$E,0)),"")</f>
        <v>0.25</v>
      </c>
      <c r="Y210" s="118" t="str">
        <f aca="false">_xlfn.IFNA(INDEX(Cascade!$BM:$BM,MATCH($E210,Cascade!$E:$E,0)),"")</f>
        <v/>
      </c>
      <c r="Z210" s="118" t="str">
        <f aca="false">_xlfn.IFNA(INDEX(Cascade!$BN:$BN,MATCH($E210,Cascade!$E:$E,0)),"")</f>
        <v/>
      </c>
      <c r="AA210" s="118" t="str">
        <f aca="false">_xlfn.IFNA(INDEX(Cascade!$BP:$BP,MATCH($E210,Cascade!$E:$E,0)),"")</f>
        <v/>
      </c>
      <c r="AB210" s="118" t="n">
        <f aca="false">_xlfn.IFNA(INDEX(Cascade!$BR:$BR,MATCH($E210,Cascade!$E:$E,0)),"")</f>
        <v>3528.75</v>
      </c>
    </row>
    <row r="211" customFormat="false" ht="15" hidden="false" customHeight="false" outlineLevel="0" collapsed="false">
      <c r="A211" s="0" t="s">
        <v>149</v>
      </c>
      <c r="B211" s="0" t="s">
        <v>111</v>
      </c>
      <c r="C211" s="0" t="s">
        <v>86</v>
      </c>
      <c r="D211" s="0" t="s">
        <v>56</v>
      </c>
      <c r="E211" s="0" t="str">
        <f aca="false">B211&amp;"|"&amp;C211&amp;"|"&amp;D211</f>
        <v>Qacha's Nek [#SNU] [zTaMbxvQtJ6]|50+|Female</v>
      </c>
      <c r="F211" s="73" t="n">
        <v>25</v>
      </c>
      <c r="G211" s="118" t="n">
        <f aca="false">IF(SUM($F211)&lt;=0,"",0%)</f>
        <v>0</v>
      </c>
      <c r="H211" s="75" t="n">
        <f aca="false">IF(SUM($F211)&lt;=0,"",$F211*(1+$G211))</f>
        <v>25</v>
      </c>
      <c r="I211" s="73" t="n">
        <v>27</v>
      </c>
      <c r="J211" s="118" t="n">
        <f aca="false">IF(SUM($H211)&lt;=0,"",100%)</f>
        <v>1</v>
      </c>
      <c r="K211" s="118" t="n">
        <v>26</v>
      </c>
      <c r="L211" s="118" t="n">
        <f aca="false">IF(SUM($K211)=0,"",$K211)</f>
        <v>26</v>
      </c>
      <c r="M211" s="118"/>
      <c r="N211" s="118" t="str">
        <f aca="false">IF(SUM($M211)=0,"",$M211)</f>
        <v/>
      </c>
      <c r="O211" s="73" t="n">
        <f aca="false">IF(SUM($H211)&lt;=0,"",ROUND(SUM($H211)*SUM($J211),0))</f>
        <v>25</v>
      </c>
      <c r="P211" s="75" t="n">
        <f aca="false">IF(SUM($O211)&lt;=0,"",ROUND(SUM($O211)*SUM($L211),0))</f>
        <v>650</v>
      </c>
      <c r="Q211" s="75" t="n">
        <f aca="false">IF(SUM($O211)&lt;=0,"",ROUND((SUM($O211)-SUM($P211))*SUM($N211),0))</f>
        <v>-0</v>
      </c>
      <c r="R211" s="75" t="n">
        <f aca="false">IF(SUM($O211)&lt;=0,"",ROUND(SUM($O211)-SUM($P211)-SUM($Q211),0))</f>
        <v>-625</v>
      </c>
      <c r="S211" s="118" t="n">
        <f aca="false">_xlfn.IFNA(INDEX(Cascade!$BA:$BA,MATCH($E211,Cascade!$E:$E,0)),"")</f>
        <v>0.95</v>
      </c>
      <c r="T211" s="75" t="n">
        <f aca="false">IF(SUM($P211)&lt;=0,"",$P211)</f>
        <v>650</v>
      </c>
      <c r="U211" s="75" t="str">
        <f aca="false">IF(SUM($Q211)&lt;=0,"",ROUND($Q211*$S211,0))</f>
        <v/>
      </c>
      <c r="V211" s="73" t="n">
        <f aca="false">_xlfn.IFNA(INDEX(Cascade!$BD:$BD,MATCH($E211,Cascade!$E:$E,0)),"")</f>
        <v>7</v>
      </c>
      <c r="W211" s="118" t="str">
        <f aca="false">IF(OR(SUM($V211)&lt;=0,SUM($Q211)=0),"",SUM($Q211)/$V211)</f>
        <v/>
      </c>
      <c r="X211" s="118" t="n">
        <f aca="false">_xlfn.IFNA(INDEX(Cascade!$BL:$BL,MATCH($E211,Cascade!$E:$E,0)),"")</f>
        <v>0.571428571428571</v>
      </c>
      <c r="Y211" s="118" t="str">
        <f aca="false">_xlfn.IFNA(INDEX(Cascade!$BM:$BM,MATCH($E211,Cascade!$E:$E,0)),"")</f>
        <v/>
      </c>
      <c r="Z211" s="118" t="str">
        <f aca="false">_xlfn.IFNA(INDEX(Cascade!$BN:$BN,MATCH($E211,Cascade!$E:$E,0)),"")</f>
        <v/>
      </c>
      <c r="AA211" s="118" t="str">
        <f aca="false">_xlfn.IFNA(INDEX(Cascade!$BP:$BP,MATCH($E211,Cascade!$E:$E,0)),"")</f>
        <v/>
      </c>
      <c r="AB211" s="118" t="n">
        <f aca="false">_xlfn.IFNA(INDEX(Cascade!$BR:$BR,MATCH($E211,Cascade!$E:$E,0)),"")</f>
        <v>0.428571428571429</v>
      </c>
    </row>
    <row r="212" customFormat="false" ht="15" hidden="false" customHeight="false" outlineLevel="0" collapsed="false">
      <c r="A212" s="0" t="s">
        <v>149</v>
      </c>
      <c r="B212" s="0" t="s">
        <v>111</v>
      </c>
      <c r="C212" s="0" t="s">
        <v>86</v>
      </c>
      <c r="D212" s="0" t="s">
        <v>58</v>
      </c>
      <c r="E212" s="0" t="str">
        <f aca="false">B212&amp;"|"&amp;C212&amp;"|"&amp;D212</f>
        <v>Qacha's Nek [#SNU] [zTaMbxvQtJ6]|50+|Male</v>
      </c>
      <c r="F212" s="73" t="n">
        <v>20</v>
      </c>
      <c r="G212" s="118" t="n">
        <f aca="false">IF(SUM($F212)&lt;=0,"",0%)</f>
        <v>0</v>
      </c>
      <c r="H212" s="75" t="n">
        <f aca="false">IF(SUM($F212)&lt;=0,"",$F212*(1+$G212))</f>
        <v>20</v>
      </c>
      <c r="I212" s="73" t="n">
        <v>30</v>
      </c>
      <c r="J212" s="118" t="n">
        <f aca="false">IF(SUM($H212)&lt;=0,"",100%)</f>
        <v>1</v>
      </c>
      <c r="K212" s="118" t="n">
        <v>38</v>
      </c>
      <c r="L212" s="118" t="n">
        <f aca="false">IF(SUM($K212)=0,"",$K212)</f>
        <v>38</v>
      </c>
      <c r="M212" s="118" t="n">
        <v>15</v>
      </c>
      <c r="N212" s="118" t="n">
        <f aca="false">IF(SUM($M212)=0,"",$M212)</f>
        <v>15</v>
      </c>
      <c r="O212" s="73" t="n">
        <f aca="false">IF(SUM($H212)&lt;=0,"",ROUND(SUM($H212)*SUM($J212),0))</f>
        <v>20</v>
      </c>
      <c r="P212" s="75" t="n">
        <f aca="false">IF(SUM($O212)&lt;=0,"",ROUND(SUM($O212)*SUM($L212),0))</f>
        <v>760</v>
      </c>
      <c r="Q212" s="75" t="n">
        <f aca="false">IF(SUM($O212)&lt;=0,"",ROUND((SUM($O212)-SUM($P212))*SUM($N212),0))</f>
        <v>-11100</v>
      </c>
      <c r="R212" s="75" t="n">
        <f aca="false">IF(SUM($O212)&lt;=0,"",ROUND(SUM($O212)-SUM($P212)-SUM($Q212),0))</f>
        <v>10360</v>
      </c>
      <c r="S212" s="118" t="n">
        <f aca="false">_xlfn.IFNA(INDEX(Cascade!$BA:$BA,MATCH($E212,Cascade!$E:$E,0)),"")</f>
        <v>0.95</v>
      </c>
      <c r="T212" s="75" t="n">
        <f aca="false">IF(SUM($P212)&lt;=0,"",$P212)</f>
        <v>760</v>
      </c>
      <c r="U212" s="75" t="str">
        <f aca="false">IF(SUM($Q212)&lt;=0,"",ROUND($Q212*$S212,0))</f>
        <v/>
      </c>
      <c r="V212" s="73" t="n">
        <f aca="false">_xlfn.IFNA(INDEX(Cascade!$BD:$BD,MATCH($E212,Cascade!$E:$E,0)),"")</f>
        <v>12</v>
      </c>
      <c r="W212" s="118" t="n">
        <f aca="false">IF(OR(SUM($V212)&lt;=0,SUM($Q212)=0),"",SUM($Q212)/$V212)</f>
        <v>-925</v>
      </c>
      <c r="X212" s="118" t="n">
        <f aca="false">_xlfn.IFNA(INDEX(Cascade!$BL:$BL,MATCH($E212,Cascade!$E:$E,0)),"")</f>
        <v>0.333333333333333</v>
      </c>
      <c r="Y212" s="118" t="str">
        <f aca="false">_xlfn.IFNA(INDEX(Cascade!$BM:$BM,MATCH($E212,Cascade!$E:$E,0)),"")</f>
        <v/>
      </c>
      <c r="Z212" s="118" t="str">
        <f aca="false">_xlfn.IFNA(INDEX(Cascade!$BN:$BN,MATCH($E212,Cascade!$E:$E,0)),"")</f>
        <v/>
      </c>
      <c r="AA212" s="118" t="str">
        <f aca="false">_xlfn.IFNA(INDEX(Cascade!$BP:$BP,MATCH($E212,Cascade!$E:$E,0)),"")</f>
        <v/>
      </c>
      <c r="AB212" s="118" t="n">
        <f aca="false">_xlfn.IFNA(INDEX(Cascade!$BR:$BR,MATCH($E212,Cascade!$E:$E,0)),"")</f>
        <v>925.666666666667</v>
      </c>
    </row>
    <row r="213" customFormat="false" ht="15" hidden="false" customHeight="false" outlineLevel="0" collapsed="false">
      <c r="A213" s="0" t="s">
        <v>150</v>
      </c>
      <c r="B213" s="0" t="s">
        <v>117</v>
      </c>
      <c r="C213" s="0" t="s">
        <v>54</v>
      </c>
      <c r="D213" s="0" t="s">
        <v>56</v>
      </c>
      <c r="E213" s="0" t="str">
        <f aca="false">B213&amp;"|"&amp;C213&amp;"|"&amp;D213</f>
        <v>Quthing [#SNU] [HuwCoDZG0FY]|01-04|Female</v>
      </c>
      <c r="F213" s="73" t="n">
        <v>22</v>
      </c>
      <c r="G213" s="118" t="n">
        <f aca="false">IF(SUM($F213)&lt;=0,"",0%)</f>
        <v>0</v>
      </c>
      <c r="H213" s="75" t="n">
        <f aca="false">IF(SUM($F213)&lt;=0,"",$F213*(1+$G213))</f>
        <v>22</v>
      </c>
      <c r="I213" s="73"/>
      <c r="J213" s="118" t="n">
        <f aca="false">IF(SUM($H213)&lt;=0,"",100%)</f>
        <v>1</v>
      </c>
      <c r="K213" s="118"/>
      <c r="L213" s="118" t="str">
        <f aca="false">IF(SUM($K213)=0,"",$K213)</f>
        <v/>
      </c>
      <c r="M213" s="118"/>
      <c r="N213" s="118" t="str">
        <f aca="false">IF(SUM($M213)=0,"",$M213)</f>
        <v/>
      </c>
      <c r="O213" s="73" t="n">
        <f aca="false">IF(SUM($H213)&lt;=0,"",ROUND(SUM($H213)*SUM($J213),0))</f>
        <v>22</v>
      </c>
      <c r="P213" s="75" t="n">
        <f aca="false">IF(SUM($O213)&lt;=0,"",ROUND(SUM($O213)*SUM($L213),0))</f>
        <v>0</v>
      </c>
      <c r="Q213" s="75" t="n">
        <f aca="false">IF(SUM($O213)&lt;=0,"",ROUND((SUM($O213)-SUM($P213))*SUM($N213),0))</f>
        <v>0</v>
      </c>
      <c r="R213" s="75" t="n">
        <f aca="false">IF(SUM($O213)&lt;=0,"",ROUND(SUM($O213)-SUM($P213)-SUM($Q213),0))</f>
        <v>22</v>
      </c>
      <c r="S213" s="118" t="n">
        <f aca="false">_xlfn.IFNA(INDEX(Cascade!$BA:$BA,MATCH($E213,Cascade!$E:$E,0)),"")</f>
        <v>0.95</v>
      </c>
      <c r="T213" s="75" t="str">
        <f aca="false">IF(SUM($P213)&lt;=0,"",$P213)</f>
        <v/>
      </c>
      <c r="U213" s="75" t="str">
        <f aca="false">IF(SUM($Q213)&lt;=0,"",ROUND($Q213*$S213,0))</f>
        <v/>
      </c>
      <c r="V213" s="73" t="n">
        <f aca="false">_xlfn.IFNA(INDEX(Cascade!$BD:$BD,MATCH($E213,Cascade!$E:$E,0)),"")</f>
        <v>1</v>
      </c>
      <c r="W213" s="118" t="str">
        <f aca="false">IF(OR(SUM($V213)&lt;=0,SUM($Q213)=0),"",SUM($Q213)/$V213)</f>
        <v/>
      </c>
      <c r="X213" s="118" t="n">
        <f aca="false">_xlfn.IFNA(INDEX(Cascade!$BL:$BL,MATCH($E213,Cascade!$E:$E,0)),"")</f>
        <v>1</v>
      </c>
      <c r="Y213" s="118" t="str">
        <f aca="false">_xlfn.IFNA(INDEX(Cascade!$BM:$BM,MATCH($E213,Cascade!$E:$E,0)),"")</f>
        <v/>
      </c>
      <c r="Z213" s="118" t="str">
        <f aca="false">_xlfn.IFNA(INDEX(Cascade!$BN:$BN,MATCH($E213,Cascade!$E:$E,0)),"")</f>
        <v/>
      </c>
      <c r="AA213" s="118" t="str">
        <f aca="false">_xlfn.IFNA(INDEX(Cascade!$BP:$BP,MATCH($E213,Cascade!$E:$E,0)),"")</f>
        <v/>
      </c>
      <c r="AB213" s="118" t="str">
        <f aca="false">_xlfn.IFNA(INDEX(Cascade!$BR:$BR,MATCH($E213,Cascade!$E:$E,0)),"")</f>
        <v/>
      </c>
    </row>
    <row r="214" customFormat="false" ht="15" hidden="false" customHeight="false" outlineLevel="0" collapsed="false">
      <c r="A214" s="0" t="s">
        <v>150</v>
      </c>
      <c r="B214" s="0" t="s">
        <v>117</v>
      </c>
      <c r="C214" s="0" t="s">
        <v>54</v>
      </c>
      <c r="D214" s="0" t="s">
        <v>58</v>
      </c>
      <c r="E214" s="0" t="str">
        <f aca="false">B214&amp;"|"&amp;C214&amp;"|"&amp;D214</f>
        <v>Quthing [#SNU] [HuwCoDZG0FY]|01-04|Male</v>
      </c>
      <c r="F214" s="73" t="n">
        <v>32</v>
      </c>
      <c r="G214" s="118" t="n">
        <f aca="false">IF(SUM($F214)&lt;=0,"",0%)</f>
        <v>0</v>
      </c>
      <c r="H214" s="75" t="n">
        <f aca="false">IF(SUM($F214)&lt;=0,"",$F214*(1+$G214))</f>
        <v>32</v>
      </c>
      <c r="I214" s="73"/>
      <c r="J214" s="118" t="n">
        <f aca="false">IF(SUM($H214)&lt;=0,"",100%)</f>
        <v>1</v>
      </c>
      <c r="K214" s="118" t="n">
        <v>21</v>
      </c>
      <c r="L214" s="118" t="n">
        <f aca="false">IF(SUM($K214)=0,"",$K214)</f>
        <v>21</v>
      </c>
      <c r="M214" s="118"/>
      <c r="N214" s="118" t="str">
        <f aca="false">IF(SUM($M214)=0,"",$M214)</f>
        <v/>
      </c>
      <c r="O214" s="73" t="n">
        <f aca="false">IF(SUM($H214)&lt;=0,"",ROUND(SUM($H214)*SUM($J214),0))</f>
        <v>32</v>
      </c>
      <c r="P214" s="75" t="n">
        <f aca="false">IF(SUM($O214)&lt;=0,"",ROUND(SUM($O214)*SUM($L214),0))</f>
        <v>672</v>
      </c>
      <c r="Q214" s="75" t="n">
        <f aca="false">IF(SUM($O214)&lt;=0,"",ROUND((SUM($O214)-SUM($P214))*SUM($N214),0))</f>
        <v>-0</v>
      </c>
      <c r="R214" s="75" t="n">
        <f aca="false">IF(SUM($O214)&lt;=0,"",ROUND(SUM($O214)-SUM($P214)-SUM($Q214),0))</f>
        <v>-640</v>
      </c>
      <c r="S214" s="118" t="n">
        <f aca="false">_xlfn.IFNA(INDEX(Cascade!$BA:$BA,MATCH($E214,Cascade!$E:$E,0)),"")</f>
        <v>0.95</v>
      </c>
      <c r="T214" s="75" t="n">
        <f aca="false">IF(SUM($P214)&lt;=0,"",$P214)</f>
        <v>672</v>
      </c>
      <c r="U214" s="75" t="str">
        <f aca="false">IF(SUM($Q214)&lt;=0,"",ROUND($Q214*$S214,0))</f>
        <v/>
      </c>
      <c r="V214" s="73" t="n">
        <f aca="false">_xlfn.IFNA(INDEX(Cascade!$BD:$BD,MATCH($E214,Cascade!$E:$E,0)),"")</f>
        <v>8</v>
      </c>
      <c r="W214" s="118" t="str">
        <f aca="false">IF(OR(SUM($V214)&lt;=0,SUM($Q214)=0),"",SUM($Q214)/$V214)</f>
        <v/>
      </c>
      <c r="X214" s="118" t="n">
        <f aca="false">_xlfn.IFNA(INDEX(Cascade!$BL:$BL,MATCH($E214,Cascade!$E:$E,0)),"")</f>
        <v>0.25</v>
      </c>
      <c r="Y214" s="118" t="str">
        <f aca="false">_xlfn.IFNA(INDEX(Cascade!$BM:$BM,MATCH($E214,Cascade!$E:$E,0)),"")</f>
        <v/>
      </c>
      <c r="Z214" s="118" t="str">
        <f aca="false">_xlfn.IFNA(INDEX(Cascade!$BN:$BN,MATCH($E214,Cascade!$E:$E,0)),"")</f>
        <v/>
      </c>
      <c r="AA214" s="118" t="str">
        <f aca="false">_xlfn.IFNA(INDEX(Cascade!$BP:$BP,MATCH($E214,Cascade!$E:$E,0)),"")</f>
        <v/>
      </c>
      <c r="AB214" s="118" t="n">
        <f aca="false">_xlfn.IFNA(INDEX(Cascade!$BR:$BR,MATCH($E214,Cascade!$E:$E,0)),"")</f>
        <v>0.75</v>
      </c>
    </row>
    <row r="215" customFormat="false" ht="15" hidden="false" customHeight="false" outlineLevel="0" collapsed="false">
      <c r="A215" s="0" t="s">
        <v>150</v>
      </c>
      <c r="B215" s="0" t="s">
        <v>117</v>
      </c>
      <c r="C215" s="0" t="s">
        <v>83</v>
      </c>
      <c r="D215" s="0" t="s">
        <v>56</v>
      </c>
      <c r="E215" s="0" t="str">
        <f aca="false">B215&amp;"|"&amp;C215&amp;"|"&amp;D215</f>
        <v>Quthing [#SNU] [HuwCoDZG0FY]|05-09|Female</v>
      </c>
      <c r="F215" s="73" t="n">
        <v>22</v>
      </c>
      <c r="G215" s="118" t="n">
        <f aca="false">IF(SUM($F215)&lt;=0,"",0%)</f>
        <v>0</v>
      </c>
      <c r="H215" s="75" t="n">
        <f aca="false">IF(SUM($F215)&lt;=0,"",$F215*(1+$G215))</f>
        <v>22</v>
      </c>
      <c r="I215" s="73"/>
      <c r="J215" s="118" t="n">
        <f aca="false">IF(SUM($H215)&lt;=0,"",100%)</f>
        <v>1</v>
      </c>
      <c r="K215" s="118"/>
      <c r="L215" s="118" t="str">
        <f aca="false">IF(SUM($K215)=0,"",$K215)</f>
        <v/>
      </c>
      <c r="M215" s="118"/>
      <c r="N215" s="118" t="str">
        <f aca="false">IF(SUM($M215)=0,"",$M215)</f>
        <v/>
      </c>
      <c r="O215" s="73" t="n">
        <f aca="false">IF(SUM($H215)&lt;=0,"",ROUND(SUM($H215)*SUM($J215),0))</f>
        <v>22</v>
      </c>
      <c r="P215" s="75" t="n">
        <f aca="false">IF(SUM($O215)&lt;=0,"",ROUND(SUM($O215)*SUM($L215),0))</f>
        <v>0</v>
      </c>
      <c r="Q215" s="75" t="n">
        <f aca="false">IF(SUM($O215)&lt;=0,"",ROUND((SUM($O215)-SUM($P215))*SUM($N215),0))</f>
        <v>0</v>
      </c>
      <c r="R215" s="75" t="n">
        <f aca="false">IF(SUM($O215)&lt;=0,"",ROUND(SUM($O215)-SUM($P215)-SUM($Q215),0))</f>
        <v>22</v>
      </c>
      <c r="S215" s="118" t="n">
        <f aca="false">_xlfn.IFNA(INDEX(Cascade!$BA:$BA,MATCH($E215,Cascade!$E:$E,0)),"")</f>
        <v>0.95</v>
      </c>
      <c r="T215" s="75" t="str">
        <f aca="false">IF(SUM($P215)&lt;=0,"",$P215)</f>
        <v/>
      </c>
      <c r="U215" s="75" t="str">
        <f aca="false">IF(SUM($Q215)&lt;=0,"",ROUND($Q215*$S215,0))</f>
        <v/>
      </c>
      <c r="V215" s="73" t="n">
        <f aca="false">_xlfn.IFNA(INDEX(Cascade!$BD:$BD,MATCH($E215,Cascade!$E:$E,0)),"")</f>
        <v>22</v>
      </c>
      <c r="W215" s="118" t="str">
        <f aca="false">IF(OR(SUM($V215)&lt;=0,SUM($Q215)=0),"",SUM($Q215)/$V215)</f>
        <v/>
      </c>
      <c r="X215" s="118" t="n">
        <f aca="false">_xlfn.IFNA(INDEX(Cascade!$BL:$BL,MATCH($E215,Cascade!$E:$E,0)),"")</f>
        <v>0.318181818181818</v>
      </c>
      <c r="Y215" s="118" t="str">
        <f aca="false">_xlfn.IFNA(INDEX(Cascade!$BM:$BM,MATCH($E215,Cascade!$E:$E,0)),"")</f>
        <v/>
      </c>
      <c r="Z215" s="118" t="str">
        <f aca="false">_xlfn.IFNA(INDEX(Cascade!$BN:$BN,MATCH($E215,Cascade!$E:$E,0)),"")</f>
        <v/>
      </c>
      <c r="AA215" s="118" t="str">
        <f aca="false">_xlfn.IFNA(INDEX(Cascade!$BP:$BP,MATCH($E215,Cascade!$E:$E,0)),"")</f>
        <v/>
      </c>
      <c r="AB215" s="118" t="n">
        <f aca="false">_xlfn.IFNA(INDEX(Cascade!$BR:$BR,MATCH($E215,Cascade!$E:$E,0)),"")</f>
        <v>0.681818181818182</v>
      </c>
    </row>
    <row r="216" customFormat="false" ht="15" hidden="false" customHeight="false" outlineLevel="0" collapsed="false">
      <c r="A216" s="0" t="s">
        <v>150</v>
      </c>
      <c r="B216" s="0" t="s">
        <v>117</v>
      </c>
      <c r="C216" s="0" t="s">
        <v>83</v>
      </c>
      <c r="D216" s="0" t="s">
        <v>58</v>
      </c>
      <c r="E216" s="0" t="str">
        <f aca="false">B216&amp;"|"&amp;C216&amp;"|"&amp;D216</f>
        <v>Quthing [#SNU] [HuwCoDZG0FY]|05-09|Male</v>
      </c>
      <c r="F216" s="73" t="n">
        <v>36</v>
      </c>
      <c r="G216" s="118" t="n">
        <f aca="false">IF(SUM($F216)&lt;=0,"",0%)</f>
        <v>0</v>
      </c>
      <c r="H216" s="75" t="n">
        <f aca="false">IF(SUM($F216)&lt;=0,"",$F216*(1+$G216))</f>
        <v>36</v>
      </c>
      <c r="I216" s="73"/>
      <c r="J216" s="118" t="n">
        <f aca="false">IF(SUM($H216)&lt;=0,"",100%)</f>
        <v>1</v>
      </c>
      <c r="K216" s="118"/>
      <c r="L216" s="118" t="str">
        <f aca="false">IF(SUM($K216)=0,"",$K216)</f>
        <v/>
      </c>
      <c r="M216" s="118"/>
      <c r="N216" s="118" t="str">
        <f aca="false">IF(SUM($M216)=0,"",$M216)</f>
        <v/>
      </c>
      <c r="O216" s="73" t="n">
        <f aca="false">IF(SUM($H216)&lt;=0,"",ROUND(SUM($H216)*SUM($J216),0))</f>
        <v>36</v>
      </c>
      <c r="P216" s="75" t="n">
        <f aca="false">IF(SUM($O216)&lt;=0,"",ROUND(SUM($O216)*SUM($L216),0))</f>
        <v>0</v>
      </c>
      <c r="Q216" s="75" t="n">
        <f aca="false">IF(SUM($O216)&lt;=0,"",ROUND((SUM($O216)-SUM($P216))*SUM($N216),0))</f>
        <v>0</v>
      </c>
      <c r="R216" s="75" t="n">
        <f aca="false">IF(SUM($O216)&lt;=0,"",ROUND(SUM($O216)-SUM($P216)-SUM($Q216),0))</f>
        <v>36</v>
      </c>
      <c r="S216" s="118" t="n">
        <f aca="false">_xlfn.IFNA(INDEX(Cascade!$BA:$BA,MATCH($E216,Cascade!$E:$E,0)),"")</f>
        <v>0.95</v>
      </c>
      <c r="T216" s="75" t="str">
        <f aca="false">IF(SUM($P216)&lt;=0,"",$P216)</f>
        <v/>
      </c>
      <c r="U216" s="75" t="str">
        <f aca="false">IF(SUM($Q216)&lt;=0,"",ROUND($Q216*$S216,0))</f>
        <v/>
      </c>
      <c r="V216" s="73" t="n">
        <f aca="false">_xlfn.IFNA(INDEX(Cascade!$BD:$BD,MATCH($E216,Cascade!$E:$E,0)),"")</f>
        <v>5</v>
      </c>
      <c r="W216" s="118" t="str">
        <f aca="false">IF(OR(SUM($V216)&lt;=0,SUM($Q216)=0),"",SUM($Q216)/$V216)</f>
        <v/>
      </c>
      <c r="X216" s="118" t="n">
        <f aca="false">_xlfn.IFNA(INDEX(Cascade!$BL:$BL,MATCH($E216,Cascade!$E:$E,0)),"")</f>
        <v>0.4</v>
      </c>
      <c r="Y216" s="118" t="str">
        <f aca="false">_xlfn.IFNA(INDEX(Cascade!$BM:$BM,MATCH($E216,Cascade!$E:$E,0)),"")</f>
        <v/>
      </c>
      <c r="Z216" s="118" t="str">
        <f aca="false">_xlfn.IFNA(INDEX(Cascade!$BN:$BN,MATCH($E216,Cascade!$E:$E,0)),"")</f>
        <v/>
      </c>
      <c r="AA216" s="118" t="str">
        <f aca="false">_xlfn.IFNA(INDEX(Cascade!$BP:$BP,MATCH($E216,Cascade!$E:$E,0)),"")</f>
        <v/>
      </c>
      <c r="AB216" s="118" t="n">
        <f aca="false">_xlfn.IFNA(INDEX(Cascade!$BR:$BR,MATCH($E216,Cascade!$E:$E,0)),"")</f>
        <v>0.6</v>
      </c>
    </row>
    <row r="217" customFormat="false" ht="15" hidden="false" customHeight="false" outlineLevel="0" collapsed="false">
      <c r="A217" s="0" t="s">
        <v>150</v>
      </c>
      <c r="B217" s="0" t="s">
        <v>117</v>
      </c>
      <c r="C217" s="0" t="s">
        <v>61</v>
      </c>
      <c r="D217" s="0" t="s">
        <v>56</v>
      </c>
      <c r="E217" s="0" t="str">
        <f aca="false">B217&amp;"|"&amp;C217&amp;"|"&amp;D217</f>
        <v>Quthing [#SNU] [HuwCoDZG0FY]|10-14|Female</v>
      </c>
      <c r="F217" s="73" t="n">
        <v>2</v>
      </c>
      <c r="G217" s="118" t="n">
        <f aca="false">IF(SUM($F217)&lt;=0,"",0%)</f>
        <v>0</v>
      </c>
      <c r="H217" s="75" t="n">
        <f aca="false">IF(SUM($F217)&lt;=0,"",$F217*(1+$G217))</f>
        <v>2</v>
      </c>
      <c r="I217" s="73"/>
      <c r="J217" s="118" t="n">
        <f aca="false">IF(SUM($H217)&lt;=0,"",100%)</f>
        <v>1</v>
      </c>
      <c r="K217" s="118"/>
      <c r="L217" s="118" t="str">
        <f aca="false">IF(SUM($K217)=0,"",$K217)</f>
        <v/>
      </c>
      <c r="M217" s="118"/>
      <c r="N217" s="118" t="str">
        <f aca="false">IF(SUM($M217)=0,"",$M217)</f>
        <v/>
      </c>
      <c r="O217" s="73" t="n">
        <f aca="false">IF(SUM($H217)&lt;=0,"",ROUND(SUM($H217)*SUM($J217),0))</f>
        <v>2</v>
      </c>
      <c r="P217" s="75" t="n">
        <f aca="false">IF(SUM($O217)&lt;=0,"",ROUND(SUM($O217)*SUM($L217),0))</f>
        <v>0</v>
      </c>
      <c r="Q217" s="75" t="n">
        <f aca="false">IF(SUM($O217)&lt;=0,"",ROUND((SUM($O217)-SUM($P217))*SUM($N217),0))</f>
        <v>0</v>
      </c>
      <c r="R217" s="75" t="n">
        <f aca="false">IF(SUM($O217)&lt;=0,"",ROUND(SUM($O217)-SUM($P217)-SUM($Q217),0))</f>
        <v>2</v>
      </c>
      <c r="S217" s="118" t="n">
        <f aca="false">_xlfn.IFNA(INDEX(Cascade!$BA:$BA,MATCH($E217,Cascade!$E:$E,0)),"")</f>
        <v>0.95</v>
      </c>
      <c r="T217" s="75" t="str">
        <f aca="false">IF(SUM($P217)&lt;=0,"",$P217)</f>
        <v/>
      </c>
      <c r="U217" s="75" t="str">
        <f aca="false">IF(SUM($Q217)&lt;=0,"",ROUND($Q217*$S217,0))</f>
        <v/>
      </c>
      <c r="V217" s="73" t="n">
        <f aca="false">_xlfn.IFNA(INDEX(Cascade!$BD:$BD,MATCH($E217,Cascade!$E:$E,0)),"")</f>
        <v>9</v>
      </c>
      <c r="W217" s="118" t="str">
        <f aca="false">IF(OR(SUM($V217)&lt;=0,SUM($Q217)=0),"",SUM($Q217)/$V217)</f>
        <v/>
      </c>
      <c r="X217" s="118" t="n">
        <f aca="false">_xlfn.IFNA(INDEX(Cascade!$BL:$BL,MATCH($E217,Cascade!$E:$E,0)),"")</f>
        <v>0.555555555555556</v>
      </c>
      <c r="Y217" s="118" t="str">
        <f aca="false">_xlfn.IFNA(INDEX(Cascade!$BM:$BM,MATCH($E217,Cascade!$E:$E,0)),"")</f>
        <v/>
      </c>
      <c r="Z217" s="118" t="str">
        <f aca="false">_xlfn.IFNA(INDEX(Cascade!$BN:$BN,MATCH($E217,Cascade!$E:$E,0)),"")</f>
        <v/>
      </c>
      <c r="AA217" s="118" t="str">
        <f aca="false">_xlfn.IFNA(INDEX(Cascade!$BP:$BP,MATCH($E217,Cascade!$E:$E,0)),"")</f>
        <v/>
      </c>
      <c r="AB217" s="118" t="n">
        <f aca="false">_xlfn.IFNA(INDEX(Cascade!$BR:$BR,MATCH($E217,Cascade!$E:$E,0)),"")</f>
        <v>0.444444444444444</v>
      </c>
    </row>
    <row r="218" customFormat="false" ht="15" hidden="false" customHeight="false" outlineLevel="0" collapsed="false">
      <c r="A218" s="0" t="s">
        <v>150</v>
      </c>
      <c r="B218" s="0" t="s">
        <v>117</v>
      </c>
      <c r="C218" s="0" t="s">
        <v>61</v>
      </c>
      <c r="D218" s="0" t="s">
        <v>58</v>
      </c>
      <c r="E218" s="0" t="str">
        <f aca="false">B218&amp;"|"&amp;C218&amp;"|"&amp;D218</f>
        <v>Quthing [#SNU] [HuwCoDZG0FY]|10-14|Male</v>
      </c>
      <c r="F218" s="73" t="n">
        <v>11</v>
      </c>
      <c r="G218" s="118" t="n">
        <f aca="false">IF(SUM($F218)&lt;=0,"",0%)</f>
        <v>0</v>
      </c>
      <c r="H218" s="75" t="n">
        <f aca="false">IF(SUM($F218)&lt;=0,"",$F218*(1+$G218))</f>
        <v>11</v>
      </c>
      <c r="I218" s="73"/>
      <c r="J218" s="118" t="n">
        <f aca="false">IF(SUM($H218)&lt;=0,"",100%)</f>
        <v>1</v>
      </c>
      <c r="K218" s="118" t="n">
        <v>48</v>
      </c>
      <c r="L218" s="118" t="n">
        <f aca="false">IF(SUM($K218)=0,"",$K218)</f>
        <v>48</v>
      </c>
      <c r="M218" s="118"/>
      <c r="N218" s="118" t="str">
        <f aca="false">IF(SUM($M218)=0,"",$M218)</f>
        <v/>
      </c>
      <c r="O218" s="73" t="n">
        <f aca="false">IF(SUM($H218)&lt;=0,"",ROUND(SUM($H218)*SUM($J218),0))</f>
        <v>11</v>
      </c>
      <c r="P218" s="75" t="n">
        <f aca="false">IF(SUM($O218)&lt;=0,"",ROUND(SUM($O218)*SUM($L218),0))</f>
        <v>528</v>
      </c>
      <c r="Q218" s="75" t="n">
        <f aca="false">IF(SUM($O218)&lt;=0,"",ROUND((SUM($O218)-SUM($P218))*SUM($N218),0))</f>
        <v>-0</v>
      </c>
      <c r="R218" s="75" t="n">
        <f aca="false">IF(SUM($O218)&lt;=0,"",ROUND(SUM($O218)-SUM($P218)-SUM($Q218),0))</f>
        <v>-517</v>
      </c>
      <c r="S218" s="118" t="n">
        <f aca="false">_xlfn.IFNA(INDEX(Cascade!$BA:$BA,MATCH($E218,Cascade!$E:$E,0)),"")</f>
        <v>0.95</v>
      </c>
      <c r="T218" s="75" t="n">
        <f aca="false">IF(SUM($P218)&lt;=0,"",$P218)</f>
        <v>528</v>
      </c>
      <c r="U218" s="75" t="str">
        <f aca="false">IF(SUM($Q218)&lt;=0,"",ROUND($Q218*$S218,0))</f>
        <v/>
      </c>
      <c r="V218" s="73" t="n">
        <f aca="false">_xlfn.IFNA(INDEX(Cascade!$BD:$BD,MATCH($E218,Cascade!$E:$E,0)),"")</f>
        <v>5</v>
      </c>
      <c r="W218" s="118" t="str">
        <f aca="false">IF(OR(SUM($V218)&lt;=0,SUM($Q218)=0),"",SUM($Q218)/$V218)</f>
        <v/>
      </c>
      <c r="X218" s="118" t="n">
        <f aca="false">_xlfn.IFNA(INDEX(Cascade!$BL:$BL,MATCH($E218,Cascade!$E:$E,0)),"")</f>
        <v>0.6</v>
      </c>
      <c r="Y218" s="118" t="str">
        <f aca="false">_xlfn.IFNA(INDEX(Cascade!$BM:$BM,MATCH($E218,Cascade!$E:$E,0)),"")</f>
        <v/>
      </c>
      <c r="Z218" s="118" t="str">
        <f aca="false">_xlfn.IFNA(INDEX(Cascade!$BN:$BN,MATCH($E218,Cascade!$E:$E,0)),"")</f>
        <v/>
      </c>
      <c r="AA218" s="118" t="str">
        <f aca="false">_xlfn.IFNA(INDEX(Cascade!$BP:$BP,MATCH($E218,Cascade!$E:$E,0)),"")</f>
        <v/>
      </c>
      <c r="AB218" s="118" t="n">
        <f aca="false">_xlfn.IFNA(INDEX(Cascade!$BR:$BR,MATCH($E218,Cascade!$E:$E,0)),"")</f>
        <v>0.4</v>
      </c>
    </row>
    <row r="219" customFormat="false" ht="15" hidden="false" customHeight="false" outlineLevel="0" collapsed="false">
      <c r="A219" s="0" t="s">
        <v>150</v>
      </c>
      <c r="B219" s="0" t="s">
        <v>117</v>
      </c>
      <c r="C219" s="0" t="s">
        <v>63</v>
      </c>
      <c r="D219" s="0" t="s">
        <v>56</v>
      </c>
      <c r="E219" s="0" t="str">
        <f aca="false">B219&amp;"|"&amp;C219&amp;"|"&amp;D219</f>
        <v>Quthing [#SNU] [HuwCoDZG0FY]|15-19|Female</v>
      </c>
      <c r="F219" s="73" t="n">
        <v>40</v>
      </c>
      <c r="G219" s="118" t="n">
        <f aca="false">IF(SUM($F219)&lt;=0,"",0%)</f>
        <v>0</v>
      </c>
      <c r="H219" s="75" t="n">
        <f aca="false">IF(SUM($F219)&lt;=0,"",$F219*(1+$G219))</f>
        <v>40</v>
      </c>
      <c r="I219" s="73"/>
      <c r="J219" s="118" t="n">
        <f aca="false">IF(SUM($H219)&lt;=0,"",100%)</f>
        <v>1</v>
      </c>
      <c r="K219" s="118"/>
      <c r="L219" s="118" t="str">
        <f aca="false">IF(SUM($K219)=0,"",$K219)</f>
        <v/>
      </c>
      <c r="M219" s="118"/>
      <c r="N219" s="118" t="str">
        <f aca="false">IF(SUM($M219)=0,"",$M219)</f>
        <v/>
      </c>
      <c r="O219" s="73" t="n">
        <f aca="false">IF(SUM($H219)&lt;=0,"",ROUND(SUM($H219)*SUM($J219),0))</f>
        <v>40</v>
      </c>
      <c r="P219" s="75" t="n">
        <f aca="false">IF(SUM($O219)&lt;=0,"",ROUND(SUM($O219)*SUM($L219),0))</f>
        <v>0</v>
      </c>
      <c r="Q219" s="75" t="n">
        <f aca="false">IF(SUM($O219)&lt;=0,"",ROUND((SUM($O219)-SUM($P219))*SUM($N219),0))</f>
        <v>0</v>
      </c>
      <c r="R219" s="75" t="n">
        <f aca="false">IF(SUM($O219)&lt;=0,"",ROUND(SUM($O219)-SUM($P219)-SUM($Q219),0))</f>
        <v>40</v>
      </c>
      <c r="S219" s="118" t="n">
        <f aca="false">_xlfn.IFNA(INDEX(Cascade!$BA:$BA,MATCH($E219,Cascade!$E:$E,0)),"")</f>
        <v>0.95</v>
      </c>
      <c r="T219" s="75" t="str">
        <f aca="false">IF(SUM($P219)&lt;=0,"",$P219)</f>
        <v/>
      </c>
      <c r="U219" s="75" t="str">
        <f aca="false">IF(SUM($Q219)&lt;=0,"",ROUND($Q219*$S219,0))</f>
        <v/>
      </c>
      <c r="V219" s="73" t="n">
        <f aca="false">_xlfn.IFNA(INDEX(Cascade!$BD:$BD,MATCH($E219,Cascade!$E:$E,0)),"")</f>
        <v>17</v>
      </c>
      <c r="W219" s="118" t="str">
        <f aca="false">IF(OR(SUM($V219)&lt;=0,SUM($Q219)=0),"",SUM($Q219)/$V219)</f>
        <v/>
      </c>
      <c r="X219" s="118" t="n">
        <f aca="false">_xlfn.IFNA(INDEX(Cascade!$BL:$BL,MATCH($E219,Cascade!$E:$E,0)),"")</f>
        <v>0.294117647058823</v>
      </c>
      <c r="Y219" s="118" t="n">
        <f aca="false">_xlfn.IFNA(INDEX(Cascade!$BM:$BM,MATCH($E219,Cascade!$E:$E,0)),"")</f>
        <v>-3141.52941176471</v>
      </c>
      <c r="Z219" s="118" t="str">
        <f aca="false">_xlfn.IFNA(INDEX(Cascade!$BN:$BN,MATCH($E219,Cascade!$E:$E,0)),"")</f>
        <v/>
      </c>
      <c r="AA219" s="118" t="str">
        <f aca="false">_xlfn.IFNA(INDEX(Cascade!$BP:$BP,MATCH($E219,Cascade!$E:$E,0)),"")</f>
        <v/>
      </c>
      <c r="AB219" s="118" t="n">
        <f aca="false">_xlfn.IFNA(INDEX(Cascade!$BR:$BR,MATCH($E219,Cascade!$E:$E,0)),"")</f>
        <v>3142.23529411765</v>
      </c>
    </row>
    <row r="220" customFormat="false" ht="15" hidden="false" customHeight="false" outlineLevel="0" collapsed="false">
      <c r="A220" s="0" t="s">
        <v>150</v>
      </c>
      <c r="B220" s="0" t="s">
        <v>117</v>
      </c>
      <c r="C220" s="0" t="s">
        <v>63</v>
      </c>
      <c r="D220" s="0" t="s">
        <v>58</v>
      </c>
      <c r="E220" s="0" t="str">
        <f aca="false">B220&amp;"|"&amp;C220&amp;"|"&amp;D220</f>
        <v>Quthing [#SNU] [HuwCoDZG0FY]|15-19|Male</v>
      </c>
      <c r="F220" s="73" t="n">
        <v>8</v>
      </c>
      <c r="G220" s="118" t="n">
        <f aca="false">IF(SUM($F220)&lt;=0,"",0%)</f>
        <v>0</v>
      </c>
      <c r="H220" s="75" t="n">
        <f aca="false">IF(SUM($F220)&lt;=0,"",$F220*(1+$G220))</f>
        <v>8</v>
      </c>
      <c r="I220" s="73" t="n">
        <v>42</v>
      </c>
      <c r="J220" s="118" t="n">
        <f aca="false">IF(SUM($H220)&lt;=0,"",100%)</f>
        <v>1</v>
      </c>
      <c r="K220" s="118"/>
      <c r="L220" s="118" t="str">
        <f aca="false">IF(SUM($K220)=0,"",$K220)</f>
        <v/>
      </c>
      <c r="M220" s="118"/>
      <c r="N220" s="118" t="str">
        <f aca="false">IF(SUM($M220)=0,"",$M220)</f>
        <v/>
      </c>
      <c r="O220" s="73" t="n">
        <f aca="false">IF(SUM($H220)&lt;=0,"",ROUND(SUM($H220)*SUM($J220),0))</f>
        <v>8</v>
      </c>
      <c r="P220" s="75" t="n">
        <f aca="false">IF(SUM($O220)&lt;=0,"",ROUND(SUM($O220)*SUM($L220),0))</f>
        <v>0</v>
      </c>
      <c r="Q220" s="75" t="n">
        <f aca="false">IF(SUM($O220)&lt;=0,"",ROUND((SUM($O220)-SUM($P220))*SUM($N220),0))</f>
        <v>0</v>
      </c>
      <c r="R220" s="75" t="n">
        <f aca="false">IF(SUM($O220)&lt;=0,"",ROUND(SUM($O220)-SUM($P220)-SUM($Q220),0))</f>
        <v>8</v>
      </c>
      <c r="S220" s="118" t="n">
        <f aca="false">_xlfn.IFNA(INDEX(Cascade!$BA:$BA,MATCH($E220,Cascade!$E:$E,0)),"")</f>
        <v>0.95</v>
      </c>
      <c r="T220" s="75" t="str">
        <f aca="false">IF(SUM($P220)&lt;=0,"",$P220)</f>
        <v/>
      </c>
      <c r="U220" s="75" t="str">
        <f aca="false">IF(SUM($Q220)&lt;=0,"",ROUND($Q220*$S220,0))</f>
        <v/>
      </c>
      <c r="V220" s="73" t="n">
        <f aca="false">_xlfn.IFNA(INDEX(Cascade!$BD:$BD,MATCH($E220,Cascade!$E:$E,0)),"")</f>
        <v>1</v>
      </c>
      <c r="W220" s="118" t="str">
        <f aca="false">IF(OR(SUM($V220)&lt;=0,SUM($Q220)=0),"",SUM($Q220)/$V220)</f>
        <v/>
      </c>
      <c r="X220" s="118" t="n">
        <f aca="false">_xlfn.IFNA(INDEX(Cascade!$BL:$BL,MATCH($E220,Cascade!$E:$E,0)),"")</f>
        <v>1</v>
      </c>
      <c r="Y220" s="118" t="str">
        <f aca="false">_xlfn.IFNA(INDEX(Cascade!$BM:$BM,MATCH($E220,Cascade!$E:$E,0)),"")</f>
        <v/>
      </c>
      <c r="Z220" s="118" t="str">
        <f aca="false">_xlfn.IFNA(INDEX(Cascade!$BN:$BN,MATCH($E220,Cascade!$E:$E,0)),"")</f>
        <v/>
      </c>
      <c r="AA220" s="118" t="str">
        <f aca="false">_xlfn.IFNA(INDEX(Cascade!$BP:$BP,MATCH($E220,Cascade!$E:$E,0)),"")</f>
        <v/>
      </c>
      <c r="AB220" s="118" t="str">
        <f aca="false">_xlfn.IFNA(INDEX(Cascade!$BR:$BR,MATCH($E220,Cascade!$E:$E,0)),"")</f>
        <v/>
      </c>
    </row>
    <row r="221" customFormat="false" ht="15" hidden="false" customHeight="false" outlineLevel="0" collapsed="false">
      <c r="A221" s="0" t="s">
        <v>150</v>
      </c>
      <c r="B221" s="0" t="s">
        <v>117</v>
      </c>
      <c r="C221" s="0" t="s">
        <v>66</v>
      </c>
      <c r="D221" s="0" t="s">
        <v>56</v>
      </c>
      <c r="E221" s="0" t="str">
        <f aca="false">B221&amp;"|"&amp;C221&amp;"|"&amp;D221</f>
        <v>Quthing [#SNU] [HuwCoDZG0FY]|20-24|Female</v>
      </c>
      <c r="F221" s="73" t="n">
        <v>31</v>
      </c>
      <c r="G221" s="118" t="n">
        <f aca="false">IF(SUM($F221)&lt;=0,"",0%)</f>
        <v>0</v>
      </c>
      <c r="H221" s="75" t="n">
        <f aca="false">IF(SUM($F221)&lt;=0,"",$F221*(1+$G221))</f>
        <v>31</v>
      </c>
      <c r="I221" s="73" t="n">
        <v>32</v>
      </c>
      <c r="J221" s="118" t="n">
        <f aca="false">IF(SUM($H221)&lt;=0,"",100%)</f>
        <v>1</v>
      </c>
      <c r="K221" s="118" t="n">
        <v>37</v>
      </c>
      <c r="L221" s="118" t="n">
        <f aca="false">IF(SUM($K221)=0,"",$K221)</f>
        <v>37</v>
      </c>
      <c r="M221" s="118" t="n">
        <v>47</v>
      </c>
      <c r="N221" s="118" t="n">
        <f aca="false">IF(SUM($M221)=0,"",$M221)</f>
        <v>47</v>
      </c>
      <c r="O221" s="73" t="n">
        <f aca="false">IF(SUM($H221)&lt;=0,"",ROUND(SUM($H221)*SUM($J221),0))</f>
        <v>31</v>
      </c>
      <c r="P221" s="75" t="n">
        <f aca="false">IF(SUM($O221)&lt;=0,"",ROUND(SUM($O221)*SUM($L221),0))</f>
        <v>1147</v>
      </c>
      <c r="Q221" s="75" t="n">
        <f aca="false">IF(SUM($O221)&lt;=0,"",ROUND((SUM($O221)-SUM($P221))*SUM($N221),0))</f>
        <v>-52452</v>
      </c>
      <c r="R221" s="75" t="n">
        <f aca="false">IF(SUM($O221)&lt;=0,"",ROUND(SUM($O221)-SUM($P221)-SUM($Q221),0))</f>
        <v>51336</v>
      </c>
      <c r="S221" s="118" t="n">
        <f aca="false">_xlfn.IFNA(INDEX(Cascade!$BA:$BA,MATCH($E221,Cascade!$E:$E,0)),"")</f>
        <v>0.95</v>
      </c>
      <c r="T221" s="75" t="n">
        <f aca="false">IF(SUM($P221)&lt;=0,"",$P221)</f>
        <v>1147</v>
      </c>
      <c r="U221" s="75" t="str">
        <f aca="false">IF(SUM($Q221)&lt;=0,"",ROUND($Q221*$S221,0))</f>
        <v/>
      </c>
      <c r="V221" s="73" t="n">
        <f aca="false">_xlfn.IFNA(INDEX(Cascade!$BD:$BD,MATCH($E221,Cascade!$E:$E,0)),"")</f>
        <v>4</v>
      </c>
      <c r="W221" s="118" t="n">
        <f aca="false">IF(OR(SUM($V221)&lt;=0,SUM($Q221)=0),"",SUM($Q221)/$V221)</f>
        <v>-13113</v>
      </c>
      <c r="X221" s="118" t="n">
        <f aca="false">_xlfn.IFNA(INDEX(Cascade!$BL:$BL,MATCH($E221,Cascade!$E:$E,0)),"")</f>
        <v>0.25</v>
      </c>
      <c r="Y221" s="118" t="n">
        <f aca="false">_xlfn.IFNA(INDEX(Cascade!$BM:$BM,MATCH($E221,Cascade!$E:$E,0)),"")</f>
        <v>-2394</v>
      </c>
      <c r="Z221" s="118" t="str">
        <f aca="false">_xlfn.IFNA(INDEX(Cascade!$BN:$BN,MATCH($E221,Cascade!$E:$E,0)),"")</f>
        <v/>
      </c>
      <c r="AA221" s="118" t="str">
        <f aca="false">_xlfn.IFNA(INDEX(Cascade!$BP:$BP,MATCH($E221,Cascade!$E:$E,0)),"")</f>
        <v/>
      </c>
      <c r="AB221" s="118" t="n">
        <f aca="false">_xlfn.IFNA(INDEX(Cascade!$BR:$BR,MATCH($E221,Cascade!$E:$E,0)),"")</f>
        <v>15507.75</v>
      </c>
    </row>
    <row r="222" customFormat="false" ht="15" hidden="false" customHeight="false" outlineLevel="0" collapsed="false">
      <c r="A222" s="0" t="s">
        <v>150</v>
      </c>
      <c r="B222" s="0" t="s">
        <v>117</v>
      </c>
      <c r="C222" s="0" t="s">
        <v>66</v>
      </c>
      <c r="D222" s="0" t="s">
        <v>58</v>
      </c>
      <c r="E222" s="0" t="str">
        <f aca="false">B222&amp;"|"&amp;C222&amp;"|"&amp;D222</f>
        <v>Quthing [#SNU] [HuwCoDZG0FY]|20-24|Male</v>
      </c>
      <c r="F222" s="73" t="n">
        <v>13</v>
      </c>
      <c r="G222" s="118" t="n">
        <f aca="false">IF(SUM($F222)&lt;=0,"",0%)</f>
        <v>0</v>
      </c>
      <c r="H222" s="75" t="n">
        <f aca="false">IF(SUM($F222)&lt;=0,"",$F222*(1+$G222))</f>
        <v>13</v>
      </c>
      <c r="I222" s="73"/>
      <c r="J222" s="118" t="n">
        <f aca="false">IF(SUM($H222)&lt;=0,"",100%)</f>
        <v>1</v>
      </c>
      <c r="K222" s="118" t="n">
        <v>39</v>
      </c>
      <c r="L222" s="118" t="n">
        <f aca="false">IF(SUM($K222)=0,"",$K222)</f>
        <v>39</v>
      </c>
      <c r="M222" s="118"/>
      <c r="N222" s="118" t="str">
        <f aca="false">IF(SUM($M222)=0,"",$M222)</f>
        <v/>
      </c>
      <c r="O222" s="73" t="n">
        <f aca="false">IF(SUM($H222)&lt;=0,"",ROUND(SUM($H222)*SUM($J222),0))</f>
        <v>13</v>
      </c>
      <c r="P222" s="75" t="n">
        <f aca="false">IF(SUM($O222)&lt;=0,"",ROUND(SUM($O222)*SUM($L222),0))</f>
        <v>507</v>
      </c>
      <c r="Q222" s="75" t="n">
        <f aca="false">IF(SUM($O222)&lt;=0,"",ROUND((SUM($O222)-SUM($P222))*SUM($N222),0))</f>
        <v>-0</v>
      </c>
      <c r="R222" s="75" t="n">
        <f aca="false">IF(SUM($O222)&lt;=0,"",ROUND(SUM($O222)-SUM($P222)-SUM($Q222),0))</f>
        <v>-494</v>
      </c>
      <c r="S222" s="118" t="n">
        <f aca="false">_xlfn.IFNA(INDEX(Cascade!$BA:$BA,MATCH($E222,Cascade!$E:$E,0)),"")</f>
        <v>0.95</v>
      </c>
      <c r="T222" s="75" t="n">
        <f aca="false">IF(SUM($P222)&lt;=0,"",$P222)</f>
        <v>507</v>
      </c>
      <c r="U222" s="75" t="str">
        <f aca="false">IF(SUM($Q222)&lt;=0,"",ROUND($Q222*$S222,0))</f>
        <v/>
      </c>
      <c r="V222" s="73" t="n">
        <f aca="false">_xlfn.IFNA(INDEX(Cascade!$BD:$BD,MATCH($E222,Cascade!$E:$E,0)),"")</f>
        <v>52</v>
      </c>
      <c r="W222" s="118" t="str">
        <f aca="false">IF(OR(SUM($V222)&lt;=0,SUM($Q222)=0),"",SUM($Q222)/$V222)</f>
        <v/>
      </c>
      <c r="X222" s="118" t="n">
        <f aca="false">_xlfn.IFNA(INDEX(Cascade!$BL:$BL,MATCH($E222,Cascade!$E:$E,0)),"")</f>
        <v>0.307692307692308</v>
      </c>
      <c r="Y222" s="118" t="str">
        <f aca="false">_xlfn.IFNA(INDEX(Cascade!$BM:$BM,MATCH($E222,Cascade!$E:$E,0)),"")</f>
        <v/>
      </c>
      <c r="Z222" s="118" t="str">
        <f aca="false">_xlfn.IFNA(INDEX(Cascade!$BN:$BN,MATCH($E222,Cascade!$E:$E,0)),"")</f>
        <v/>
      </c>
      <c r="AA222" s="118" t="str">
        <f aca="false">_xlfn.IFNA(INDEX(Cascade!$BP:$BP,MATCH($E222,Cascade!$E:$E,0)),"")</f>
        <v/>
      </c>
      <c r="AB222" s="118" t="n">
        <f aca="false">_xlfn.IFNA(INDEX(Cascade!$BR:$BR,MATCH($E222,Cascade!$E:$E,0)),"")</f>
        <v>0.692307692307692</v>
      </c>
    </row>
    <row r="223" customFormat="false" ht="15" hidden="false" customHeight="false" outlineLevel="0" collapsed="false">
      <c r="A223" s="0" t="s">
        <v>150</v>
      </c>
      <c r="B223" s="0" t="s">
        <v>117</v>
      </c>
      <c r="C223" s="0" t="s">
        <v>69</v>
      </c>
      <c r="D223" s="0" t="s">
        <v>56</v>
      </c>
      <c r="E223" s="0" t="str">
        <f aca="false">B223&amp;"|"&amp;C223&amp;"|"&amp;D223</f>
        <v>Quthing [#SNU] [HuwCoDZG0FY]|25-29|Female</v>
      </c>
      <c r="F223" s="73" t="n">
        <v>10</v>
      </c>
      <c r="G223" s="118" t="n">
        <f aca="false">IF(SUM($F223)&lt;=0,"",0%)</f>
        <v>0</v>
      </c>
      <c r="H223" s="75" t="n">
        <f aca="false">IF(SUM($F223)&lt;=0,"",$F223*(1+$G223))</f>
        <v>10</v>
      </c>
      <c r="I223" s="73" t="n">
        <v>2</v>
      </c>
      <c r="J223" s="118" t="n">
        <f aca="false">IF(SUM($H223)&lt;=0,"",100%)</f>
        <v>1</v>
      </c>
      <c r="K223" s="118" t="n">
        <v>13</v>
      </c>
      <c r="L223" s="118" t="n">
        <f aca="false">IF(SUM($K223)=0,"",$K223)</f>
        <v>13</v>
      </c>
      <c r="M223" s="118" t="n">
        <v>10</v>
      </c>
      <c r="N223" s="118" t="n">
        <f aca="false">IF(SUM($M223)=0,"",$M223)</f>
        <v>10</v>
      </c>
      <c r="O223" s="73" t="n">
        <f aca="false">IF(SUM($H223)&lt;=0,"",ROUND(SUM($H223)*SUM($J223),0))</f>
        <v>10</v>
      </c>
      <c r="P223" s="75" t="n">
        <f aca="false">IF(SUM($O223)&lt;=0,"",ROUND(SUM($O223)*SUM($L223),0))</f>
        <v>130</v>
      </c>
      <c r="Q223" s="75" t="n">
        <f aca="false">IF(SUM($O223)&lt;=0,"",ROUND((SUM($O223)-SUM($P223))*SUM($N223),0))</f>
        <v>-1200</v>
      </c>
      <c r="R223" s="75" t="n">
        <f aca="false">IF(SUM($O223)&lt;=0,"",ROUND(SUM($O223)-SUM($P223)-SUM($Q223),0))</f>
        <v>1080</v>
      </c>
      <c r="S223" s="118" t="n">
        <f aca="false">_xlfn.IFNA(INDEX(Cascade!$BA:$BA,MATCH($E223,Cascade!$E:$E,0)),"")</f>
        <v>0.95</v>
      </c>
      <c r="T223" s="75" t="n">
        <f aca="false">IF(SUM($P223)&lt;=0,"",$P223)</f>
        <v>130</v>
      </c>
      <c r="U223" s="75" t="str">
        <f aca="false">IF(SUM($Q223)&lt;=0,"",ROUND($Q223*$S223,0))</f>
        <v/>
      </c>
      <c r="V223" s="73" t="n">
        <f aca="false">_xlfn.IFNA(INDEX(Cascade!$BD:$BD,MATCH($E223,Cascade!$E:$E,0)),"")</f>
        <v>3</v>
      </c>
      <c r="W223" s="118" t="n">
        <f aca="false">IF(OR(SUM($V223)&lt;=0,SUM($Q223)=0),"",SUM($Q223)/$V223)</f>
        <v>-400</v>
      </c>
      <c r="X223" s="118" t="n">
        <f aca="false">_xlfn.IFNA(INDEX(Cascade!$BL:$BL,MATCH($E223,Cascade!$E:$E,0)),"")</f>
        <v>0.333333333333333</v>
      </c>
      <c r="Y223" s="118" t="n">
        <f aca="false">_xlfn.IFNA(INDEX(Cascade!$BM:$BM,MATCH($E223,Cascade!$E:$E,0)),"")</f>
        <v>-4480</v>
      </c>
      <c r="Z223" s="118" t="str">
        <f aca="false">_xlfn.IFNA(INDEX(Cascade!$BN:$BN,MATCH($E223,Cascade!$E:$E,0)),"")</f>
        <v/>
      </c>
      <c r="AA223" s="118" t="str">
        <f aca="false">_xlfn.IFNA(INDEX(Cascade!$BP:$BP,MATCH($E223,Cascade!$E:$E,0)),"")</f>
        <v/>
      </c>
      <c r="AB223" s="118" t="n">
        <f aca="false">_xlfn.IFNA(INDEX(Cascade!$BR:$BR,MATCH($E223,Cascade!$E:$E,0)),"")</f>
        <v>4880.66666666667</v>
      </c>
    </row>
    <row r="224" customFormat="false" ht="15" hidden="false" customHeight="false" outlineLevel="0" collapsed="false">
      <c r="A224" s="0" t="s">
        <v>150</v>
      </c>
      <c r="B224" s="0" t="s">
        <v>117</v>
      </c>
      <c r="C224" s="0" t="s">
        <v>69</v>
      </c>
      <c r="D224" s="0" t="s">
        <v>58</v>
      </c>
      <c r="E224" s="0" t="str">
        <f aca="false">B224&amp;"|"&amp;C224&amp;"|"&amp;D224</f>
        <v>Quthing [#SNU] [HuwCoDZG0FY]|25-29|Male</v>
      </c>
      <c r="F224" s="73" t="n">
        <v>31</v>
      </c>
      <c r="G224" s="118" t="n">
        <f aca="false">IF(SUM($F224)&lt;=0,"",0%)</f>
        <v>0</v>
      </c>
      <c r="H224" s="75" t="n">
        <f aca="false">IF(SUM($F224)&lt;=0,"",$F224*(1+$G224))</f>
        <v>31</v>
      </c>
      <c r="I224" s="73" t="n">
        <v>16</v>
      </c>
      <c r="J224" s="118" t="n">
        <f aca="false">IF(SUM($H224)&lt;=0,"",100%)</f>
        <v>1</v>
      </c>
      <c r="K224" s="118" t="n">
        <v>8</v>
      </c>
      <c r="L224" s="118" t="n">
        <f aca="false">IF(SUM($K224)=0,"",$K224)</f>
        <v>8</v>
      </c>
      <c r="M224" s="118" t="n">
        <v>0</v>
      </c>
      <c r="N224" s="118" t="str">
        <f aca="false">IF(SUM($M224)=0,"",$M224)</f>
        <v/>
      </c>
      <c r="O224" s="73" t="n">
        <f aca="false">IF(SUM($H224)&lt;=0,"",ROUND(SUM($H224)*SUM($J224),0))</f>
        <v>31</v>
      </c>
      <c r="P224" s="75" t="n">
        <f aca="false">IF(SUM($O224)&lt;=0,"",ROUND(SUM($O224)*SUM($L224),0))</f>
        <v>248</v>
      </c>
      <c r="Q224" s="75" t="n">
        <f aca="false">IF(SUM($O224)&lt;=0,"",ROUND((SUM($O224)-SUM($P224))*SUM($N224),0))</f>
        <v>-0</v>
      </c>
      <c r="R224" s="75" t="n">
        <f aca="false">IF(SUM($O224)&lt;=0,"",ROUND(SUM($O224)-SUM($P224)-SUM($Q224),0))</f>
        <v>-217</v>
      </c>
      <c r="S224" s="118" t="n">
        <f aca="false">_xlfn.IFNA(INDEX(Cascade!$BA:$BA,MATCH($E224,Cascade!$E:$E,0)),"")</f>
        <v>0.95</v>
      </c>
      <c r="T224" s="75" t="n">
        <f aca="false">IF(SUM($P224)&lt;=0,"",$P224)</f>
        <v>248</v>
      </c>
      <c r="U224" s="75" t="str">
        <f aca="false">IF(SUM($Q224)&lt;=0,"",ROUND($Q224*$S224,0))</f>
        <v/>
      </c>
      <c r="V224" s="73" t="n">
        <f aca="false">_xlfn.IFNA(INDEX(Cascade!$BD:$BD,MATCH($E224,Cascade!$E:$E,0)),"")</f>
        <v>16</v>
      </c>
      <c r="W224" s="118" t="str">
        <f aca="false">IF(OR(SUM($V224)&lt;=0,SUM($Q224)=0),"",SUM($Q224)/$V224)</f>
        <v/>
      </c>
      <c r="X224" s="118" t="n">
        <f aca="false">_xlfn.IFNA(INDEX(Cascade!$BL:$BL,MATCH($E224,Cascade!$E:$E,0)),"")</f>
        <v>0.3125</v>
      </c>
      <c r="Y224" s="118" t="str">
        <f aca="false">_xlfn.IFNA(INDEX(Cascade!$BM:$BM,MATCH($E224,Cascade!$E:$E,0)),"")</f>
        <v/>
      </c>
      <c r="Z224" s="118" t="str">
        <f aca="false">_xlfn.IFNA(INDEX(Cascade!$BN:$BN,MATCH($E224,Cascade!$E:$E,0)),"")</f>
        <v/>
      </c>
      <c r="AA224" s="118" t="str">
        <f aca="false">_xlfn.IFNA(INDEX(Cascade!$BP:$BP,MATCH($E224,Cascade!$E:$E,0)),"")</f>
        <v/>
      </c>
      <c r="AB224" s="118" t="n">
        <f aca="false">_xlfn.IFNA(INDEX(Cascade!$BR:$BR,MATCH($E224,Cascade!$E:$E,0)),"")</f>
        <v>0.6875</v>
      </c>
    </row>
    <row r="225" customFormat="false" ht="15" hidden="false" customHeight="false" outlineLevel="0" collapsed="false">
      <c r="A225" s="0" t="s">
        <v>150</v>
      </c>
      <c r="B225" s="0" t="s">
        <v>117</v>
      </c>
      <c r="C225" s="0" t="s">
        <v>72</v>
      </c>
      <c r="D225" s="0" t="s">
        <v>56</v>
      </c>
      <c r="E225" s="0" t="str">
        <f aca="false">B225&amp;"|"&amp;C225&amp;"|"&amp;D225</f>
        <v>Quthing [#SNU] [HuwCoDZG0FY]|30-34|Female</v>
      </c>
      <c r="F225" s="73" t="n">
        <v>23</v>
      </c>
      <c r="G225" s="118" t="n">
        <f aca="false">IF(SUM($F225)&lt;=0,"",0%)</f>
        <v>0</v>
      </c>
      <c r="H225" s="75" t="n">
        <f aca="false">IF(SUM($F225)&lt;=0,"",$F225*(1+$G225))</f>
        <v>23</v>
      </c>
      <c r="I225" s="73" t="n">
        <v>29</v>
      </c>
      <c r="J225" s="118" t="n">
        <f aca="false">IF(SUM($H225)&lt;=0,"",100%)</f>
        <v>1</v>
      </c>
      <c r="K225" s="118" t="n">
        <v>30</v>
      </c>
      <c r="L225" s="118" t="n">
        <f aca="false">IF(SUM($K225)=0,"",$K225)</f>
        <v>30</v>
      </c>
      <c r="M225" s="118" t="n">
        <v>32</v>
      </c>
      <c r="N225" s="118" t="n">
        <f aca="false">IF(SUM($M225)=0,"",$M225)</f>
        <v>32</v>
      </c>
      <c r="O225" s="73" t="n">
        <f aca="false">IF(SUM($H225)&lt;=0,"",ROUND(SUM($H225)*SUM($J225),0))</f>
        <v>23</v>
      </c>
      <c r="P225" s="75" t="n">
        <f aca="false">IF(SUM($O225)&lt;=0,"",ROUND(SUM($O225)*SUM($L225),0))</f>
        <v>690</v>
      </c>
      <c r="Q225" s="75" t="n">
        <f aca="false">IF(SUM($O225)&lt;=0,"",ROUND((SUM($O225)-SUM($P225))*SUM($N225),0))</f>
        <v>-21344</v>
      </c>
      <c r="R225" s="75" t="n">
        <f aca="false">IF(SUM($O225)&lt;=0,"",ROUND(SUM($O225)-SUM($P225)-SUM($Q225),0))</f>
        <v>20677</v>
      </c>
      <c r="S225" s="118" t="n">
        <f aca="false">_xlfn.IFNA(INDEX(Cascade!$BA:$BA,MATCH($E225,Cascade!$E:$E,0)),"")</f>
        <v>0.95</v>
      </c>
      <c r="T225" s="75" t="n">
        <f aca="false">IF(SUM($P225)&lt;=0,"",$P225)</f>
        <v>690</v>
      </c>
      <c r="U225" s="75" t="str">
        <f aca="false">IF(SUM($Q225)&lt;=0,"",ROUND($Q225*$S225,0))</f>
        <v/>
      </c>
      <c r="V225" s="73" t="n">
        <f aca="false">_xlfn.IFNA(INDEX(Cascade!$BD:$BD,MATCH($E225,Cascade!$E:$E,0)),"")</f>
        <v>7</v>
      </c>
      <c r="W225" s="118" t="n">
        <f aca="false">IF(OR(SUM($V225)&lt;=0,SUM($Q225)=0),"",SUM($Q225)/$V225)</f>
        <v>-3049.14285714286</v>
      </c>
      <c r="X225" s="118" t="n">
        <f aca="false">_xlfn.IFNA(INDEX(Cascade!$BL:$BL,MATCH($E225,Cascade!$E:$E,0)),"")</f>
        <v>0.285714285714286</v>
      </c>
      <c r="Y225" s="118" t="n">
        <f aca="false">_xlfn.IFNA(INDEX(Cascade!$BM:$BM,MATCH($E225,Cascade!$E:$E,0)),"")</f>
        <v>-5400</v>
      </c>
      <c r="Z225" s="118" t="str">
        <f aca="false">_xlfn.IFNA(INDEX(Cascade!$BN:$BN,MATCH($E225,Cascade!$E:$E,0)),"")</f>
        <v/>
      </c>
      <c r="AA225" s="118" t="str">
        <f aca="false">_xlfn.IFNA(INDEX(Cascade!$BP:$BP,MATCH($E225,Cascade!$E:$E,0)),"")</f>
        <v/>
      </c>
      <c r="AB225" s="118" t="n">
        <f aca="false">_xlfn.IFNA(INDEX(Cascade!$BR:$BR,MATCH($E225,Cascade!$E:$E,0)),"")</f>
        <v>8449.85714285714</v>
      </c>
    </row>
    <row r="226" customFormat="false" ht="15" hidden="false" customHeight="false" outlineLevel="0" collapsed="false">
      <c r="A226" s="0" t="s">
        <v>150</v>
      </c>
      <c r="B226" s="0" t="s">
        <v>117</v>
      </c>
      <c r="C226" s="0" t="s">
        <v>72</v>
      </c>
      <c r="D226" s="0" t="s">
        <v>58</v>
      </c>
      <c r="E226" s="0" t="str">
        <f aca="false">B226&amp;"|"&amp;C226&amp;"|"&amp;D226</f>
        <v>Quthing [#SNU] [HuwCoDZG0FY]|30-34|Male</v>
      </c>
      <c r="F226" s="73" t="n">
        <v>32</v>
      </c>
      <c r="G226" s="118" t="n">
        <f aca="false">IF(SUM($F226)&lt;=0,"",0%)</f>
        <v>0</v>
      </c>
      <c r="H226" s="75" t="n">
        <f aca="false">IF(SUM($F226)&lt;=0,"",$F226*(1+$G226))</f>
        <v>32</v>
      </c>
      <c r="I226" s="73" t="n">
        <v>41</v>
      </c>
      <c r="J226" s="118" t="n">
        <f aca="false">IF(SUM($H226)&lt;=0,"",100%)</f>
        <v>1</v>
      </c>
      <c r="K226" s="118" t="n">
        <v>24</v>
      </c>
      <c r="L226" s="118" t="n">
        <f aca="false">IF(SUM($K226)=0,"",$K226)</f>
        <v>24</v>
      </c>
      <c r="M226" s="118" t="n">
        <v>0</v>
      </c>
      <c r="N226" s="118" t="str">
        <f aca="false">IF(SUM($M226)=0,"",$M226)</f>
        <v/>
      </c>
      <c r="O226" s="73" t="n">
        <f aca="false">IF(SUM($H226)&lt;=0,"",ROUND(SUM($H226)*SUM($J226),0))</f>
        <v>32</v>
      </c>
      <c r="P226" s="75" t="n">
        <f aca="false">IF(SUM($O226)&lt;=0,"",ROUND(SUM($O226)*SUM($L226),0))</f>
        <v>768</v>
      </c>
      <c r="Q226" s="75" t="n">
        <f aca="false">IF(SUM($O226)&lt;=0,"",ROUND((SUM($O226)-SUM($P226))*SUM($N226),0))</f>
        <v>-0</v>
      </c>
      <c r="R226" s="75" t="n">
        <f aca="false">IF(SUM($O226)&lt;=0,"",ROUND(SUM($O226)-SUM($P226)-SUM($Q226),0))</f>
        <v>-736</v>
      </c>
      <c r="S226" s="118" t="n">
        <f aca="false">_xlfn.IFNA(INDEX(Cascade!$BA:$BA,MATCH($E226,Cascade!$E:$E,0)),"")</f>
        <v>0.95</v>
      </c>
      <c r="T226" s="75" t="n">
        <f aca="false">IF(SUM($P226)&lt;=0,"",$P226)</f>
        <v>768</v>
      </c>
      <c r="U226" s="75" t="str">
        <f aca="false">IF(SUM($Q226)&lt;=0,"",ROUND($Q226*$S226,0))</f>
        <v/>
      </c>
      <c r="V226" s="73" t="n">
        <f aca="false">_xlfn.IFNA(INDEX(Cascade!$BD:$BD,MATCH($E226,Cascade!$E:$E,0)),"")</f>
        <v>82</v>
      </c>
      <c r="W226" s="118" t="str">
        <f aca="false">IF(OR(SUM($V226)&lt;=0,SUM($Q226)=0),"",SUM($Q226)/$V226)</f>
        <v/>
      </c>
      <c r="X226" s="118" t="n">
        <f aca="false">_xlfn.IFNA(INDEX(Cascade!$BL:$BL,MATCH($E226,Cascade!$E:$E,0)),"")</f>
        <v>0.304878048780488</v>
      </c>
      <c r="Y226" s="118" t="str">
        <f aca="false">_xlfn.IFNA(INDEX(Cascade!$BM:$BM,MATCH($E226,Cascade!$E:$E,0)),"")</f>
        <v/>
      </c>
      <c r="Z226" s="118" t="str">
        <f aca="false">_xlfn.IFNA(INDEX(Cascade!$BN:$BN,MATCH($E226,Cascade!$E:$E,0)),"")</f>
        <v/>
      </c>
      <c r="AA226" s="118" t="str">
        <f aca="false">_xlfn.IFNA(INDEX(Cascade!$BP:$BP,MATCH($E226,Cascade!$E:$E,0)),"")</f>
        <v/>
      </c>
      <c r="AB226" s="118" t="n">
        <f aca="false">_xlfn.IFNA(INDEX(Cascade!$BR:$BR,MATCH($E226,Cascade!$E:$E,0)),"")</f>
        <v>0.695121951219512</v>
      </c>
    </row>
    <row r="227" customFormat="false" ht="15" hidden="false" customHeight="false" outlineLevel="0" collapsed="false">
      <c r="A227" s="0" t="s">
        <v>150</v>
      </c>
      <c r="B227" s="0" t="s">
        <v>117</v>
      </c>
      <c r="C227" s="0" t="s">
        <v>75</v>
      </c>
      <c r="D227" s="0" t="s">
        <v>56</v>
      </c>
      <c r="E227" s="0" t="str">
        <f aca="false">B227&amp;"|"&amp;C227&amp;"|"&amp;D227</f>
        <v>Quthing [#SNU] [HuwCoDZG0FY]|35-39|Female</v>
      </c>
      <c r="F227" s="73" t="n">
        <v>4</v>
      </c>
      <c r="G227" s="118" t="n">
        <f aca="false">IF(SUM($F227)&lt;=0,"",0%)</f>
        <v>0</v>
      </c>
      <c r="H227" s="75" t="n">
        <f aca="false">IF(SUM($F227)&lt;=0,"",$F227*(1+$G227))</f>
        <v>4</v>
      </c>
      <c r="I227" s="73" t="n">
        <v>32</v>
      </c>
      <c r="J227" s="118" t="n">
        <f aca="false">IF(SUM($H227)&lt;=0,"",100%)</f>
        <v>1</v>
      </c>
      <c r="K227" s="118" t="n">
        <v>32</v>
      </c>
      <c r="L227" s="118" t="n">
        <f aca="false">IF(SUM($K227)=0,"",$K227)</f>
        <v>32</v>
      </c>
      <c r="M227" s="118" t="n">
        <v>3</v>
      </c>
      <c r="N227" s="118" t="n">
        <f aca="false">IF(SUM($M227)=0,"",$M227)</f>
        <v>3</v>
      </c>
      <c r="O227" s="73" t="n">
        <f aca="false">IF(SUM($H227)&lt;=0,"",ROUND(SUM($H227)*SUM($J227),0))</f>
        <v>4</v>
      </c>
      <c r="P227" s="75" t="n">
        <f aca="false">IF(SUM($O227)&lt;=0,"",ROUND(SUM($O227)*SUM($L227),0))</f>
        <v>128</v>
      </c>
      <c r="Q227" s="75" t="n">
        <f aca="false">IF(SUM($O227)&lt;=0,"",ROUND((SUM($O227)-SUM($P227))*SUM($N227),0))</f>
        <v>-372</v>
      </c>
      <c r="R227" s="75" t="n">
        <f aca="false">IF(SUM($O227)&lt;=0,"",ROUND(SUM($O227)-SUM($P227)-SUM($Q227),0))</f>
        <v>248</v>
      </c>
      <c r="S227" s="118" t="n">
        <f aca="false">_xlfn.IFNA(INDEX(Cascade!$BA:$BA,MATCH($E227,Cascade!$E:$E,0)),"")</f>
        <v>0.95</v>
      </c>
      <c r="T227" s="75" t="n">
        <f aca="false">IF(SUM($P227)&lt;=0,"",$P227)</f>
        <v>128</v>
      </c>
      <c r="U227" s="75" t="str">
        <f aca="false">IF(SUM($Q227)&lt;=0,"",ROUND($Q227*$S227,0))</f>
        <v/>
      </c>
      <c r="V227" s="73" t="n">
        <f aca="false">_xlfn.IFNA(INDEX(Cascade!$BD:$BD,MATCH($E227,Cascade!$E:$E,0)),"")</f>
        <v>21</v>
      </c>
      <c r="W227" s="118" t="n">
        <f aca="false">IF(OR(SUM($V227)&lt;=0,SUM($Q227)=0),"",SUM($Q227)/$V227)</f>
        <v>-17.7142857142857</v>
      </c>
      <c r="X227" s="118" t="n">
        <f aca="false">_xlfn.IFNA(INDEX(Cascade!$BL:$BL,MATCH($E227,Cascade!$E:$E,0)),"")</f>
        <v>0.285714285714286</v>
      </c>
      <c r="Y227" s="118" t="n">
        <f aca="false">_xlfn.IFNA(INDEX(Cascade!$BM:$BM,MATCH($E227,Cascade!$E:$E,0)),"")</f>
        <v>-648</v>
      </c>
      <c r="Z227" s="118" t="str">
        <f aca="false">_xlfn.IFNA(INDEX(Cascade!$BN:$BN,MATCH($E227,Cascade!$E:$E,0)),"")</f>
        <v/>
      </c>
      <c r="AA227" s="118" t="str">
        <f aca="false">_xlfn.IFNA(INDEX(Cascade!$BP:$BP,MATCH($E227,Cascade!$E:$E,0)),"")</f>
        <v/>
      </c>
      <c r="AB227" s="118" t="n">
        <f aca="false">_xlfn.IFNA(INDEX(Cascade!$BR:$BR,MATCH($E227,Cascade!$E:$E,0)),"")</f>
        <v>666.428571428571</v>
      </c>
    </row>
    <row r="228" customFormat="false" ht="15" hidden="false" customHeight="false" outlineLevel="0" collapsed="false">
      <c r="A228" s="0" t="s">
        <v>150</v>
      </c>
      <c r="B228" s="0" t="s">
        <v>117</v>
      </c>
      <c r="C228" s="0" t="s">
        <v>75</v>
      </c>
      <c r="D228" s="0" t="s">
        <v>58</v>
      </c>
      <c r="E228" s="0" t="str">
        <f aca="false">B228&amp;"|"&amp;C228&amp;"|"&amp;D228</f>
        <v>Quthing [#SNU] [HuwCoDZG0FY]|35-39|Male</v>
      </c>
      <c r="F228" s="73" t="n">
        <v>5</v>
      </c>
      <c r="G228" s="118" t="n">
        <f aca="false">IF(SUM($F228)&lt;=0,"",0%)</f>
        <v>0</v>
      </c>
      <c r="H228" s="75" t="n">
        <f aca="false">IF(SUM($F228)&lt;=0,"",$F228*(1+$G228))</f>
        <v>5</v>
      </c>
      <c r="I228" s="73" t="n">
        <v>20</v>
      </c>
      <c r="J228" s="118" t="n">
        <f aca="false">IF(SUM($H228)&lt;=0,"",100%)</f>
        <v>1</v>
      </c>
      <c r="K228" s="118" t="n">
        <v>35</v>
      </c>
      <c r="L228" s="118" t="n">
        <f aca="false">IF(SUM($K228)=0,"",$K228)</f>
        <v>35</v>
      </c>
      <c r="M228" s="118" t="n">
        <v>13</v>
      </c>
      <c r="N228" s="118" t="n">
        <f aca="false">IF(SUM($M228)=0,"",$M228)</f>
        <v>13</v>
      </c>
      <c r="O228" s="73" t="n">
        <f aca="false">IF(SUM($H228)&lt;=0,"",ROUND(SUM($H228)*SUM($J228),0))</f>
        <v>5</v>
      </c>
      <c r="P228" s="75" t="n">
        <f aca="false">IF(SUM($O228)&lt;=0,"",ROUND(SUM($O228)*SUM($L228),0))</f>
        <v>175</v>
      </c>
      <c r="Q228" s="75" t="n">
        <f aca="false">IF(SUM($O228)&lt;=0,"",ROUND((SUM($O228)-SUM($P228))*SUM($N228),0))</f>
        <v>-2210</v>
      </c>
      <c r="R228" s="75" t="n">
        <f aca="false">IF(SUM($O228)&lt;=0,"",ROUND(SUM($O228)-SUM($P228)-SUM($Q228),0))</f>
        <v>2040</v>
      </c>
      <c r="S228" s="118" t="n">
        <f aca="false">_xlfn.IFNA(INDEX(Cascade!$BA:$BA,MATCH($E228,Cascade!$E:$E,0)),"")</f>
        <v>0.95</v>
      </c>
      <c r="T228" s="75" t="n">
        <f aca="false">IF(SUM($P228)&lt;=0,"",$P228)</f>
        <v>175</v>
      </c>
      <c r="U228" s="75" t="str">
        <f aca="false">IF(SUM($Q228)&lt;=0,"",ROUND($Q228*$S228,0))</f>
        <v/>
      </c>
      <c r="V228" s="73" t="n">
        <f aca="false">_xlfn.IFNA(INDEX(Cascade!$BD:$BD,MATCH($E228,Cascade!$E:$E,0)),"")</f>
        <v>55</v>
      </c>
      <c r="W228" s="118" t="n">
        <f aca="false">IF(OR(SUM($V228)&lt;=0,SUM($Q228)=0),"",SUM($Q228)/$V228)</f>
        <v>-40.1818181818182</v>
      </c>
      <c r="X228" s="118" t="n">
        <f aca="false">_xlfn.IFNA(INDEX(Cascade!$BL:$BL,MATCH($E228,Cascade!$E:$E,0)),"")</f>
        <v>0.309090909090909</v>
      </c>
      <c r="Y228" s="118" t="str">
        <f aca="false">_xlfn.IFNA(INDEX(Cascade!$BM:$BM,MATCH($E228,Cascade!$E:$E,0)),"")</f>
        <v/>
      </c>
      <c r="Z228" s="118" t="str">
        <f aca="false">_xlfn.IFNA(INDEX(Cascade!$BN:$BN,MATCH($E228,Cascade!$E:$E,0)),"")</f>
        <v/>
      </c>
      <c r="AA228" s="118" t="str">
        <f aca="false">_xlfn.IFNA(INDEX(Cascade!$BP:$BP,MATCH($E228,Cascade!$E:$E,0)),"")</f>
        <v/>
      </c>
      <c r="AB228" s="118" t="n">
        <f aca="false">_xlfn.IFNA(INDEX(Cascade!$BR:$BR,MATCH($E228,Cascade!$E:$E,0)),"")</f>
        <v>40.8727272727273</v>
      </c>
    </row>
    <row r="229" customFormat="false" ht="15" hidden="false" customHeight="false" outlineLevel="0" collapsed="false">
      <c r="A229" s="0" t="s">
        <v>150</v>
      </c>
      <c r="B229" s="0" t="s">
        <v>117</v>
      </c>
      <c r="C229" s="0" t="s">
        <v>77</v>
      </c>
      <c r="D229" s="0" t="s">
        <v>56</v>
      </c>
      <c r="E229" s="0" t="str">
        <f aca="false">B229&amp;"|"&amp;C229&amp;"|"&amp;D229</f>
        <v>Quthing [#SNU] [HuwCoDZG0FY]|40-44|Female</v>
      </c>
      <c r="F229" s="73" t="n">
        <v>21</v>
      </c>
      <c r="G229" s="118" t="n">
        <f aca="false">IF(SUM($F229)&lt;=0,"",0%)</f>
        <v>0</v>
      </c>
      <c r="H229" s="75" t="n">
        <f aca="false">IF(SUM($F229)&lt;=0,"",$F229*(1+$G229))</f>
        <v>21</v>
      </c>
      <c r="I229" s="73" t="n">
        <v>15</v>
      </c>
      <c r="J229" s="118" t="n">
        <f aca="false">IF(SUM($H229)&lt;=0,"",100%)</f>
        <v>1</v>
      </c>
      <c r="K229" s="118" t="n">
        <v>22</v>
      </c>
      <c r="L229" s="118" t="n">
        <f aca="false">IF(SUM($K229)=0,"",$K229)</f>
        <v>22</v>
      </c>
      <c r="M229" s="118" t="n">
        <v>26</v>
      </c>
      <c r="N229" s="118" t="n">
        <f aca="false">IF(SUM($M229)=0,"",$M229)</f>
        <v>26</v>
      </c>
      <c r="O229" s="73" t="n">
        <f aca="false">IF(SUM($H229)&lt;=0,"",ROUND(SUM($H229)*SUM($J229),0))</f>
        <v>21</v>
      </c>
      <c r="P229" s="75" t="n">
        <f aca="false">IF(SUM($O229)&lt;=0,"",ROUND(SUM($O229)*SUM($L229),0))</f>
        <v>462</v>
      </c>
      <c r="Q229" s="75" t="n">
        <f aca="false">IF(SUM($O229)&lt;=0,"",ROUND((SUM($O229)-SUM($P229))*SUM($N229),0))</f>
        <v>-11466</v>
      </c>
      <c r="R229" s="75" t="n">
        <f aca="false">IF(SUM($O229)&lt;=0,"",ROUND(SUM($O229)-SUM($P229)-SUM($Q229),0))</f>
        <v>11025</v>
      </c>
      <c r="S229" s="118" t="n">
        <f aca="false">_xlfn.IFNA(INDEX(Cascade!$BA:$BA,MATCH($E229,Cascade!$E:$E,0)),"")</f>
        <v>0.95</v>
      </c>
      <c r="T229" s="75" t="n">
        <f aca="false">IF(SUM($P229)&lt;=0,"",$P229)</f>
        <v>462</v>
      </c>
      <c r="U229" s="75" t="str">
        <f aca="false">IF(SUM($Q229)&lt;=0,"",ROUND($Q229*$S229,0))</f>
        <v/>
      </c>
      <c r="V229" s="73" t="n">
        <f aca="false">_xlfn.IFNA(INDEX(Cascade!$BD:$BD,MATCH($E229,Cascade!$E:$E,0)),"")</f>
        <v>4</v>
      </c>
      <c r="W229" s="118" t="n">
        <f aca="false">IF(OR(SUM($V229)&lt;=0,SUM($Q229)=0),"",SUM($Q229)/$V229)</f>
        <v>-2866.5</v>
      </c>
      <c r="X229" s="118" t="n">
        <f aca="false">_xlfn.IFNA(INDEX(Cascade!$BL:$BL,MATCH($E229,Cascade!$E:$E,0)),"")</f>
        <v>0.5</v>
      </c>
      <c r="Y229" s="118" t="n">
        <f aca="false">_xlfn.IFNA(INDEX(Cascade!$BM:$BM,MATCH($E229,Cascade!$E:$E,0)),"")</f>
        <v>-3685.5</v>
      </c>
      <c r="Z229" s="118" t="str">
        <f aca="false">_xlfn.IFNA(INDEX(Cascade!$BN:$BN,MATCH($E229,Cascade!$E:$E,0)),"")</f>
        <v/>
      </c>
      <c r="AA229" s="118" t="str">
        <f aca="false">_xlfn.IFNA(INDEX(Cascade!$BP:$BP,MATCH($E229,Cascade!$E:$E,0)),"")</f>
        <v/>
      </c>
      <c r="AB229" s="118" t="n">
        <f aca="false">_xlfn.IFNA(INDEX(Cascade!$BR:$BR,MATCH($E229,Cascade!$E:$E,0)),"")</f>
        <v>6552.5</v>
      </c>
    </row>
    <row r="230" customFormat="false" ht="15" hidden="false" customHeight="false" outlineLevel="0" collapsed="false">
      <c r="A230" s="0" t="s">
        <v>150</v>
      </c>
      <c r="B230" s="0" t="s">
        <v>117</v>
      </c>
      <c r="C230" s="0" t="s">
        <v>77</v>
      </c>
      <c r="D230" s="0" t="s">
        <v>58</v>
      </c>
      <c r="E230" s="0" t="str">
        <f aca="false">B230&amp;"|"&amp;C230&amp;"|"&amp;D230</f>
        <v>Quthing [#SNU] [HuwCoDZG0FY]|40-44|Male</v>
      </c>
      <c r="F230" s="73" t="n">
        <v>22</v>
      </c>
      <c r="G230" s="118" t="n">
        <f aca="false">IF(SUM($F230)&lt;=0,"",0%)</f>
        <v>0</v>
      </c>
      <c r="H230" s="75" t="n">
        <f aca="false">IF(SUM($F230)&lt;=0,"",$F230*(1+$G230))</f>
        <v>22</v>
      </c>
      <c r="I230" s="73" t="n">
        <v>36</v>
      </c>
      <c r="J230" s="118" t="n">
        <f aca="false">IF(SUM($H230)&lt;=0,"",100%)</f>
        <v>1</v>
      </c>
      <c r="K230" s="118" t="n">
        <v>12</v>
      </c>
      <c r="L230" s="118" t="n">
        <f aca="false">IF(SUM($K230)=0,"",$K230)</f>
        <v>12</v>
      </c>
      <c r="M230" s="118" t="n">
        <v>14</v>
      </c>
      <c r="N230" s="118" t="n">
        <f aca="false">IF(SUM($M230)=0,"",$M230)</f>
        <v>14</v>
      </c>
      <c r="O230" s="73" t="n">
        <f aca="false">IF(SUM($H230)&lt;=0,"",ROUND(SUM($H230)*SUM($J230),0))</f>
        <v>22</v>
      </c>
      <c r="P230" s="75" t="n">
        <f aca="false">IF(SUM($O230)&lt;=0,"",ROUND(SUM($O230)*SUM($L230),0))</f>
        <v>264</v>
      </c>
      <c r="Q230" s="75" t="n">
        <f aca="false">IF(SUM($O230)&lt;=0,"",ROUND((SUM($O230)-SUM($P230))*SUM($N230),0))</f>
        <v>-3388</v>
      </c>
      <c r="R230" s="75" t="n">
        <f aca="false">IF(SUM($O230)&lt;=0,"",ROUND(SUM($O230)-SUM($P230)-SUM($Q230),0))</f>
        <v>3146</v>
      </c>
      <c r="S230" s="118" t="n">
        <f aca="false">_xlfn.IFNA(INDEX(Cascade!$BA:$BA,MATCH($E230,Cascade!$E:$E,0)),"")</f>
        <v>0.95</v>
      </c>
      <c r="T230" s="75" t="n">
        <f aca="false">IF(SUM($P230)&lt;=0,"",$P230)</f>
        <v>264</v>
      </c>
      <c r="U230" s="75" t="str">
        <f aca="false">IF(SUM($Q230)&lt;=0,"",ROUND($Q230*$S230,0))</f>
        <v/>
      </c>
      <c r="V230" s="73" t="str">
        <f aca="false">_xlfn.IFNA(INDEX(Cascade!$BD:$BD,MATCH($E230,Cascade!$E:$E,0)),"")</f>
        <v/>
      </c>
      <c r="W230" s="118" t="str">
        <f aca="false">IF(OR(SUM($V230)&lt;=0,SUM($Q230)=0),"",SUM($Q230)/$V230)</f>
        <v/>
      </c>
      <c r="X230" s="118" t="str">
        <f aca="false">_xlfn.IFNA(INDEX(Cascade!$BL:$BL,MATCH($E230,Cascade!$E:$E,0)),"")</f>
        <v/>
      </c>
      <c r="Y230" s="118" t="str">
        <f aca="false">_xlfn.IFNA(INDEX(Cascade!$BM:$BM,MATCH($E230,Cascade!$E:$E,0)),"")</f>
        <v/>
      </c>
      <c r="Z230" s="118" t="str">
        <f aca="false">_xlfn.IFNA(INDEX(Cascade!$BN:$BN,MATCH($E230,Cascade!$E:$E,0)),"")</f>
        <v/>
      </c>
      <c r="AA230" s="118" t="str">
        <f aca="false">_xlfn.IFNA(INDEX(Cascade!$BP:$BP,MATCH($E230,Cascade!$E:$E,0)),"")</f>
        <v/>
      </c>
      <c r="AB230" s="118" t="str">
        <f aca="false">_xlfn.IFNA(INDEX(Cascade!$BR:$BR,MATCH($E230,Cascade!$E:$E,0)),"")</f>
        <v/>
      </c>
    </row>
    <row r="231" customFormat="false" ht="15" hidden="false" customHeight="false" outlineLevel="0" collapsed="false">
      <c r="A231" s="0" t="s">
        <v>150</v>
      </c>
      <c r="B231" s="0" t="s">
        <v>117</v>
      </c>
      <c r="C231" s="0" t="s">
        <v>80</v>
      </c>
      <c r="D231" s="0" t="s">
        <v>56</v>
      </c>
      <c r="E231" s="0" t="str">
        <f aca="false">B231&amp;"|"&amp;C231&amp;"|"&amp;D231</f>
        <v>Quthing [#SNU] [HuwCoDZG0FY]|45-49|Female</v>
      </c>
      <c r="F231" s="73" t="n">
        <v>5</v>
      </c>
      <c r="G231" s="118" t="n">
        <f aca="false">IF(SUM($F231)&lt;=0,"",0%)</f>
        <v>0</v>
      </c>
      <c r="H231" s="75" t="n">
        <f aca="false">IF(SUM($F231)&lt;=0,"",$F231*(1+$G231))</f>
        <v>5</v>
      </c>
      <c r="I231" s="73" t="n">
        <v>36</v>
      </c>
      <c r="J231" s="118" t="n">
        <f aca="false">IF(SUM($H231)&lt;=0,"",100%)</f>
        <v>1</v>
      </c>
      <c r="K231" s="118" t="n">
        <v>11</v>
      </c>
      <c r="L231" s="118" t="n">
        <f aca="false">IF(SUM($K231)=0,"",$K231)</f>
        <v>11</v>
      </c>
      <c r="M231" s="118" t="n">
        <v>11</v>
      </c>
      <c r="N231" s="118" t="n">
        <f aca="false">IF(SUM($M231)=0,"",$M231)</f>
        <v>11</v>
      </c>
      <c r="O231" s="73" t="n">
        <f aca="false">IF(SUM($H231)&lt;=0,"",ROUND(SUM($H231)*SUM($J231),0))</f>
        <v>5</v>
      </c>
      <c r="P231" s="75" t="n">
        <f aca="false">IF(SUM($O231)&lt;=0,"",ROUND(SUM($O231)*SUM($L231),0))</f>
        <v>55</v>
      </c>
      <c r="Q231" s="75" t="n">
        <f aca="false">IF(SUM($O231)&lt;=0,"",ROUND((SUM($O231)-SUM($P231))*SUM($N231),0))</f>
        <v>-550</v>
      </c>
      <c r="R231" s="75" t="n">
        <f aca="false">IF(SUM($O231)&lt;=0,"",ROUND(SUM($O231)-SUM($P231)-SUM($Q231),0))</f>
        <v>500</v>
      </c>
      <c r="S231" s="118" t="n">
        <f aca="false">_xlfn.IFNA(INDEX(Cascade!$BA:$BA,MATCH($E231,Cascade!$E:$E,0)),"")</f>
        <v>0.95</v>
      </c>
      <c r="T231" s="75" t="n">
        <f aca="false">IF(SUM($P231)&lt;=0,"",$P231)</f>
        <v>55</v>
      </c>
      <c r="U231" s="75" t="str">
        <f aca="false">IF(SUM($Q231)&lt;=0,"",ROUND($Q231*$S231,0))</f>
        <v/>
      </c>
      <c r="V231" s="73" t="n">
        <f aca="false">_xlfn.IFNA(INDEX(Cascade!$BD:$BD,MATCH($E231,Cascade!$E:$E,0)),"")</f>
        <v>3</v>
      </c>
      <c r="W231" s="118" t="n">
        <f aca="false">IF(OR(SUM($V231)&lt;=0,SUM($Q231)=0),"",SUM($Q231)/$V231)</f>
        <v>-183.333333333333</v>
      </c>
      <c r="X231" s="118" t="n">
        <f aca="false">_xlfn.IFNA(INDEX(Cascade!$BL:$BL,MATCH($E231,Cascade!$E:$E,0)),"")</f>
        <v>0.666666666666667</v>
      </c>
      <c r="Y231" s="118" t="str">
        <f aca="false">_xlfn.IFNA(INDEX(Cascade!$BM:$BM,MATCH($E231,Cascade!$E:$E,0)),"")</f>
        <v/>
      </c>
      <c r="Z231" s="118" t="str">
        <f aca="false">_xlfn.IFNA(INDEX(Cascade!$BN:$BN,MATCH($E231,Cascade!$E:$E,0)),"")</f>
        <v/>
      </c>
      <c r="AA231" s="118" t="str">
        <f aca="false">_xlfn.IFNA(INDEX(Cascade!$BP:$BP,MATCH($E231,Cascade!$E:$E,0)),"")</f>
        <v/>
      </c>
      <c r="AB231" s="118" t="n">
        <f aca="false">_xlfn.IFNA(INDEX(Cascade!$BR:$BR,MATCH($E231,Cascade!$E:$E,0)),"")</f>
        <v>183.666666666667</v>
      </c>
    </row>
    <row r="232" customFormat="false" ht="15" hidden="false" customHeight="false" outlineLevel="0" collapsed="false">
      <c r="A232" s="0" t="s">
        <v>150</v>
      </c>
      <c r="B232" s="0" t="s">
        <v>117</v>
      </c>
      <c r="C232" s="0" t="s">
        <v>80</v>
      </c>
      <c r="D232" s="0" t="s">
        <v>58</v>
      </c>
      <c r="E232" s="0" t="str">
        <f aca="false">B232&amp;"|"&amp;C232&amp;"|"&amp;D232</f>
        <v>Quthing [#SNU] [HuwCoDZG0FY]|45-49|Male</v>
      </c>
      <c r="F232" s="73" t="n">
        <v>34</v>
      </c>
      <c r="G232" s="118" t="n">
        <f aca="false">IF(SUM($F232)&lt;=0,"",0%)</f>
        <v>0</v>
      </c>
      <c r="H232" s="75" t="n">
        <f aca="false">IF(SUM($F232)&lt;=0,"",$F232*(1+$G232))</f>
        <v>34</v>
      </c>
      <c r="I232" s="73" t="n">
        <v>40</v>
      </c>
      <c r="J232" s="118" t="n">
        <f aca="false">IF(SUM($H232)&lt;=0,"",100%)</f>
        <v>1</v>
      </c>
      <c r="K232" s="118" t="n">
        <v>19</v>
      </c>
      <c r="L232" s="118" t="n">
        <f aca="false">IF(SUM($K232)=0,"",$K232)</f>
        <v>19</v>
      </c>
      <c r="M232" s="118"/>
      <c r="N232" s="118" t="str">
        <f aca="false">IF(SUM($M232)=0,"",$M232)</f>
        <v/>
      </c>
      <c r="O232" s="73" t="n">
        <f aca="false">IF(SUM($H232)&lt;=0,"",ROUND(SUM($H232)*SUM($J232),0))</f>
        <v>34</v>
      </c>
      <c r="P232" s="75" t="n">
        <f aca="false">IF(SUM($O232)&lt;=0,"",ROUND(SUM($O232)*SUM($L232),0))</f>
        <v>646</v>
      </c>
      <c r="Q232" s="75" t="n">
        <f aca="false">IF(SUM($O232)&lt;=0,"",ROUND((SUM($O232)-SUM($P232))*SUM($N232),0))</f>
        <v>-0</v>
      </c>
      <c r="R232" s="75" t="n">
        <f aca="false">IF(SUM($O232)&lt;=0,"",ROUND(SUM($O232)-SUM($P232)-SUM($Q232),0))</f>
        <v>-612</v>
      </c>
      <c r="S232" s="118" t="n">
        <f aca="false">_xlfn.IFNA(INDEX(Cascade!$BA:$BA,MATCH($E232,Cascade!$E:$E,0)),"")</f>
        <v>0.95</v>
      </c>
      <c r="T232" s="75" t="n">
        <f aca="false">IF(SUM($P232)&lt;=0,"",$P232)</f>
        <v>646</v>
      </c>
      <c r="U232" s="75" t="str">
        <f aca="false">IF(SUM($Q232)&lt;=0,"",ROUND($Q232*$S232,0))</f>
        <v/>
      </c>
      <c r="V232" s="73" t="n">
        <f aca="false">_xlfn.IFNA(INDEX(Cascade!$BD:$BD,MATCH($E232,Cascade!$E:$E,0)),"")</f>
        <v>22</v>
      </c>
      <c r="W232" s="118" t="str">
        <f aca="false">IF(OR(SUM($V232)&lt;=0,SUM($Q232)=0),"",SUM($Q232)/$V232)</f>
        <v/>
      </c>
      <c r="X232" s="118" t="n">
        <f aca="false">_xlfn.IFNA(INDEX(Cascade!$BL:$BL,MATCH($E232,Cascade!$E:$E,0)),"")</f>
        <v>0.318181818181818</v>
      </c>
      <c r="Y232" s="118" t="str">
        <f aca="false">_xlfn.IFNA(INDEX(Cascade!$BM:$BM,MATCH($E232,Cascade!$E:$E,0)),"")</f>
        <v/>
      </c>
      <c r="Z232" s="118" t="str">
        <f aca="false">_xlfn.IFNA(INDEX(Cascade!$BN:$BN,MATCH($E232,Cascade!$E:$E,0)),"")</f>
        <v/>
      </c>
      <c r="AA232" s="118" t="str">
        <f aca="false">_xlfn.IFNA(INDEX(Cascade!$BP:$BP,MATCH($E232,Cascade!$E:$E,0)),"")</f>
        <v/>
      </c>
      <c r="AB232" s="118" t="n">
        <f aca="false">_xlfn.IFNA(INDEX(Cascade!$BR:$BR,MATCH($E232,Cascade!$E:$E,0)),"")</f>
        <v>0.681818181818182</v>
      </c>
    </row>
    <row r="233" customFormat="false" ht="15" hidden="false" customHeight="false" outlineLevel="0" collapsed="false">
      <c r="A233" s="0" t="s">
        <v>150</v>
      </c>
      <c r="B233" s="0" t="s">
        <v>117</v>
      </c>
      <c r="C233" s="0" t="s">
        <v>86</v>
      </c>
      <c r="D233" s="0" t="s">
        <v>56</v>
      </c>
      <c r="E233" s="0" t="str">
        <f aca="false">B233&amp;"|"&amp;C233&amp;"|"&amp;D233</f>
        <v>Quthing [#SNU] [HuwCoDZG0FY]|50+|Female</v>
      </c>
      <c r="F233" s="73" t="n">
        <v>6</v>
      </c>
      <c r="G233" s="118" t="n">
        <f aca="false">IF(SUM($F233)&lt;=0,"",0%)</f>
        <v>0</v>
      </c>
      <c r="H233" s="75" t="n">
        <f aca="false">IF(SUM($F233)&lt;=0,"",$F233*(1+$G233))</f>
        <v>6</v>
      </c>
      <c r="I233" s="73" t="n">
        <v>3</v>
      </c>
      <c r="J233" s="118" t="n">
        <f aca="false">IF(SUM($H233)&lt;=0,"",100%)</f>
        <v>1</v>
      </c>
      <c r="K233" s="118" t="n">
        <v>27</v>
      </c>
      <c r="L233" s="118" t="n">
        <f aca="false">IF(SUM($K233)=0,"",$K233)</f>
        <v>27</v>
      </c>
      <c r="M233" s="118"/>
      <c r="N233" s="118" t="str">
        <f aca="false">IF(SUM($M233)=0,"",$M233)</f>
        <v/>
      </c>
      <c r="O233" s="73" t="n">
        <f aca="false">IF(SUM($H233)&lt;=0,"",ROUND(SUM($H233)*SUM($J233),0))</f>
        <v>6</v>
      </c>
      <c r="P233" s="75" t="n">
        <f aca="false">IF(SUM($O233)&lt;=0,"",ROUND(SUM($O233)*SUM($L233),0))</f>
        <v>162</v>
      </c>
      <c r="Q233" s="75" t="n">
        <f aca="false">IF(SUM($O233)&lt;=0,"",ROUND((SUM($O233)-SUM($P233))*SUM($N233),0))</f>
        <v>-0</v>
      </c>
      <c r="R233" s="75" t="n">
        <f aca="false">IF(SUM($O233)&lt;=0,"",ROUND(SUM($O233)-SUM($P233)-SUM($Q233),0))</f>
        <v>-156</v>
      </c>
      <c r="S233" s="118" t="n">
        <f aca="false">_xlfn.IFNA(INDEX(Cascade!$BA:$BA,MATCH($E233,Cascade!$E:$E,0)),"")</f>
        <v>0.95</v>
      </c>
      <c r="T233" s="75" t="n">
        <f aca="false">IF(SUM($P233)&lt;=0,"",$P233)</f>
        <v>162</v>
      </c>
      <c r="U233" s="75" t="str">
        <f aca="false">IF(SUM($Q233)&lt;=0,"",ROUND($Q233*$S233,0))</f>
        <v/>
      </c>
      <c r="V233" s="73" t="n">
        <f aca="false">_xlfn.IFNA(INDEX(Cascade!$BD:$BD,MATCH($E233,Cascade!$E:$E,0)),"")</f>
        <v>1</v>
      </c>
      <c r="W233" s="118" t="str">
        <f aca="false">IF(OR(SUM($V233)&lt;=0,SUM($Q233)=0),"",SUM($Q233)/$V233)</f>
        <v/>
      </c>
      <c r="X233" s="118" t="n">
        <f aca="false">_xlfn.IFNA(INDEX(Cascade!$BL:$BL,MATCH($E233,Cascade!$E:$E,0)),"")</f>
        <v>1</v>
      </c>
      <c r="Y233" s="118" t="str">
        <f aca="false">_xlfn.IFNA(INDEX(Cascade!$BM:$BM,MATCH($E233,Cascade!$E:$E,0)),"")</f>
        <v/>
      </c>
      <c r="Z233" s="118" t="str">
        <f aca="false">_xlfn.IFNA(INDEX(Cascade!$BN:$BN,MATCH($E233,Cascade!$E:$E,0)),"")</f>
        <v/>
      </c>
      <c r="AA233" s="118" t="str">
        <f aca="false">_xlfn.IFNA(INDEX(Cascade!$BP:$BP,MATCH($E233,Cascade!$E:$E,0)),"")</f>
        <v/>
      </c>
      <c r="AB233" s="118" t="str">
        <f aca="false">_xlfn.IFNA(INDEX(Cascade!$BR:$BR,MATCH($E233,Cascade!$E:$E,0)),"")</f>
        <v/>
      </c>
    </row>
    <row r="234" customFormat="false" ht="15" hidden="false" customHeight="false" outlineLevel="0" collapsed="false">
      <c r="A234" s="0" t="s">
        <v>150</v>
      </c>
      <c r="B234" s="0" t="s">
        <v>117</v>
      </c>
      <c r="C234" s="0" t="s">
        <v>86</v>
      </c>
      <c r="D234" s="0" t="s">
        <v>58</v>
      </c>
      <c r="E234" s="0" t="str">
        <f aca="false">B234&amp;"|"&amp;C234&amp;"|"&amp;D234</f>
        <v>Quthing [#SNU] [HuwCoDZG0FY]|50+|Male</v>
      </c>
      <c r="F234" s="73" t="n">
        <v>14</v>
      </c>
      <c r="G234" s="118" t="n">
        <f aca="false">IF(SUM($F234)&lt;=0,"",0%)</f>
        <v>0</v>
      </c>
      <c r="H234" s="75" t="n">
        <f aca="false">IF(SUM($F234)&lt;=0,"",$F234*(1+$G234))</f>
        <v>14</v>
      </c>
      <c r="I234" s="73" t="n">
        <v>9</v>
      </c>
      <c r="J234" s="118" t="n">
        <f aca="false">IF(SUM($H234)&lt;=0,"",100%)</f>
        <v>1</v>
      </c>
      <c r="K234" s="118" t="n">
        <v>26</v>
      </c>
      <c r="L234" s="118" t="n">
        <f aca="false">IF(SUM($K234)=0,"",$K234)</f>
        <v>26</v>
      </c>
      <c r="M234" s="118" t="n">
        <v>23</v>
      </c>
      <c r="N234" s="118" t="n">
        <f aca="false">IF(SUM($M234)=0,"",$M234)</f>
        <v>23</v>
      </c>
      <c r="O234" s="73" t="n">
        <f aca="false">IF(SUM($H234)&lt;=0,"",ROUND(SUM($H234)*SUM($J234),0))</f>
        <v>14</v>
      </c>
      <c r="P234" s="75" t="n">
        <f aca="false">IF(SUM($O234)&lt;=0,"",ROUND(SUM($O234)*SUM($L234),0))</f>
        <v>364</v>
      </c>
      <c r="Q234" s="75" t="n">
        <f aca="false">IF(SUM($O234)&lt;=0,"",ROUND((SUM($O234)-SUM($P234))*SUM($N234),0))</f>
        <v>-8050</v>
      </c>
      <c r="R234" s="75" t="n">
        <f aca="false">IF(SUM($O234)&lt;=0,"",ROUND(SUM($O234)-SUM($P234)-SUM($Q234),0))</f>
        <v>7700</v>
      </c>
      <c r="S234" s="118" t="n">
        <f aca="false">_xlfn.IFNA(INDEX(Cascade!$BA:$BA,MATCH($E234,Cascade!$E:$E,0)),"")</f>
        <v>0.95</v>
      </c>
      <c r="T234" s="75" t="n">
        <f aca="false">IF(SUM($P234)&lt;=0,"",$P234)</f>
        <v>364</v>
      </c>
      <c r="U234" s="75" t="str">
        <f aca="false">IF(SUM($Q234)&lt;=0,"",ROUND($Q234*$S234,0))</f>
        <v/>
      </c>
      <c r="V234" s="73" t="n">
        <f aca="false">_xlfn.IFNA(INDEX(Cascade!$BD:$BD,MATCH($E234,Cascade!$E:$E,0)),"")</f>
        <v>18</v>
      </c>
      <c r="W234" s="118" t="n">
        <f aca="false">IF(OR(SUM($V234)&lt;=0,SUM($Q234)=0),"",SUM($Q234)/$V234)</f>
        <v>-447.222222222222</v>
      </c>
      <c r="X234" s="118" t="n">
        <f aca="false">_xlfn.IFNA(INDEX(Cascade!$BL:$BL,MATCH($E234,Cascade!$E:$E,0)),"")</f>
        <v>0.277777777777778</v>
      </c>
      <c r="Y234" s="118" t="str">
        <f aca="false">_xlfn.IFNA(INDEX(Cascade!$BM:$BM,MATCH($E234,Cascade!$E:$E,0)),"")</f>
        <v/>
      </c>
      <c r="Z234" s="118" t="str">
        <f aca="false">_xlfn.IFNA(INDEX(Cascade!$BN:$BN,MATCH($E234,Cascade!$E:$E,0)),"")</f>
        <v/>
      </c>
      <c r="AA234" s="118" t="str">
        <f aca="false">_xlfn.IFNA(INDEX(Cascade!$BP:$BP,MATCH($E234,Cascade!$E:$E,0)),"")</f>
        <v/>
      </c>
      <c r="AB234" s="118" t="n">
        <f aca="false">_xlfn.IFNA(INDEX(Cascade!$BR:$BR,MATCH($E234,Cascade!$E:$E,0)),"")</f>
        <v>447.944444444445</v>
      </c>
    </row>
    <row r="235" customFormat="false" ht="15" hidden="false" customHeight="false" outlineLevel="0" collapsed="false">
      <c r="A235" s="0" t="s">
        <v>151</v>
      </c>
      <c r="B235" s="0" t="s">
        <v>101</v>
      </c>
      <c r="C235" s="0" t="s">
        <v>54</v>
      </c>
      <c r="D235" s="0" t="s">
        <v>56</v>
      </c>
      <c r="E235" s="0" t="str">
        <f aca="false">B235&amp;"|"&amp;C235&amp;"|"&amp;D235</f>
        <v>Thaba Tseka [#SNU] [jyhIrCoB31x]|01-04|Female</v>
      </c>
      <c r="F235" s="73" t="n">
        <v>14</v>
      </c>
      <c r="G235" s="118" t="n">
        <f aca="false">IF(SUM($F235)&lt;=0,"",0%)</f>
        <v>0</v>
      </c>
      <c r="H235" s="75" t="n">
        <f aca="false">IF(SUM($F235)&lt;=0,"",$F235*(1+$G235))</f>
        <v>14</v>
      </c>
      <c r="I235" s="73"/>
      <c r="J235" s="118" t="n">
        <f aca="false">IF(SUM($H235)&lt;=0,"",100%)</f>
        <v>1</v>
      </c>
      <c r="K235" s="118"/>
      <c r="L235" s="118" t="str">
        <f aca="false">IF(SUM($K235)=0,"",$K235)</f>
        <v/>
      </c>
      <c r="M235" s="118"/>
      <c r="N235" s="118" t="str">
        <f aca="false">IF(SUM($M235)=0,"",$M235)</f>
        <v/>
      </c>
      <c r="O235" s="73" t="n">
        <f aca="false">IF(SUM($H235)&lt;=0,"",ROUND(SUM($H235)*SUM($J235),0))</f>
        <v>14</v>
      </c>
      <c r="P235" s="75" t="n">
        <f aca="false">IF(SUM($O235)&lt;=0,"",ROUND(SUM($O235)*SUM($L235),0))</f>
        <v>0</v>
      </c>
      <c r="Q235" s="75" t="n">
        <f aca="false">IF(SUM($O235)&lt;=0,"",ROUND((SUM($O235)-SUM($P235))*SUM($N235),0))</f>
        <v>0</v>
      </c>
      <c r="R235" s="75" t="n">
        <f aca="false">IF(SUM($O235)&lt;=0,"",ROUND(SUM($O235)-SUM($P235)-SUM($Q235),0))</f>
        <v>14</v>
      </c>
      <c r="S235" s="118" t="n">
        <f aca="false">_xlfn.IFNA(INDEX(Cascade!$BA:$BA,MATCH($E235,Cascade!$E:$E,0)),"")</f>
        <v>0.95</v>
      </c>
      <c r="T235" s="75" t="str">
        <f aca="false">IF(SUM($P235)&lt;=0,"",$P235)</f>
        <v/>
      </c>
      <c r="U235" s="75" t="str">
        <f aca="false">IF(SUM($Q235)&lt;=0,"",ROUND($Q235*$S235,0))</f>
        <v/>
      </c>
      <c r="V235" s="73" t="n">
        <f aca="false">_xlfn.IFNA(INDEX(Cascade!$BD:$BD,MATCH($E235,Cascade!$E:$E,0)),"")</f>
        <v>6</v>
      </c>
      <c r="W235" s="118" t="str">
        <f aca="false">IF(OR(SUM($V235)&lt;=0,SUM($Q235)=0),"",SUM($Q235)/$V235)</f>
        <v/>
      </c>
      <c r="X235" s="118" t="n">
        <f aca="false">_xlfn.IFNA(INDEX(Cascade!$BL:$BL,MATCH($E235,Cascade!$E:$E,0)),"")</f>
        <v>0.5</v>
      </c>
      <c r="Y235" s="118" t="str">
        <f aca="false">_xlfn.IFNA(INDEX(Cascade!$BM:$BM,MATCH($E235,Cascade!$E:$E,0)),"")</f>
        <v/>
      </c>
      <c r="Z235" s="118" t="str">
        <f aca="false">_xlfn.IFNA(INDEX(Cascade!$BN:$BN,MATCH($E235,Cascade!$E:$E,0)),"")</f>
        <v/>
      </c>
      <c r="AA235" s="118" t="str">
        <f aca="false">_xlfn.IFNA(INDEX(Cascade!$BP:$BP,MATCH($E235,Cascade!$E:$E,0)),"")</f>
        <v/>
      </c>
      <c r="AB235" s="118" t="n">
        <f aca="false">_xlfn.IFNA(INDEX(Cascade!$BR:$BR,MATCH($E235,Cascade!$E:$E,0)),"")</f>
        <v>0.5</v>
      </c>
    </row>
    <row r="236" customFormat="false" ht="15" hidden="false" customHeight="false" outlineLevel="0" collapsed="false">
      <c r="A236" s="0" t="s">
        <v>151</v>
      </c>
      <c r="B236" s="0" t="s">
        <v>101</v>
      </c>
      <c r="C236" s="0" t="s">
        <v>54</v>
      </c>
      <c r="D236" s="0" t="s">
        <v>58</v>
      </c>
      <c r="E236" s="0" t="str">
        <f aca="false">B236&amp;"|"&amp;C236&amp;"|"&amp;D236</f>
        <v>Thaba Tseka [#SNU] [jyhIrCoB31x]|01-04|Male</v>
      </c>
      <c r="F236" s="73" t="n">
        <v>17</v>
      </c>
      <c r="G236" s="118" t="n">
        <f aca="false">IF(SUM($F236)&lt;=0,"",0%)</f>
        <v>0</v>
      </c>
      <c r="H236" s="75" t="n">
        <f aca="false">IF(SUM($F236)&lt;=0,"",$F236*(1+$G236))</f>
        <v>17</v>
      </c>
      <c r="I236" s="73"/>
      <c r="J236" s="118" t="n">
        <f aca="false">IF(SUM($H236)&lt;=0,"",100%)</f>
        <v>1</v>
      </c>
      <c r="K236" s="118"/>
      <c r="L236" s="118" t="str">
        <f aca="false">IF(SUM($K236)=0,"",$K236)</f>
        <v/>
      </c>
      <c r="M236" s="118"/>
      <c r="N236" s="118" t="str">
        <f aca="false">IF(SUM($M236)=0,"",$M236)</f>
        <v/>
      </c>
      <c r="O236" s="73" t="n">
        <f aca="false">IF(SUM($H236)&lt;=0,"",ROUND(SUM($H236)*SUM($J236),0))</f>
        <v>17</v>
      </c>
      <c r="P236" s="75" t="n">
        <f aca="false">IF(SUM($O236)&lt;=0,"",ROUND(SUM($O236)*SUM($L236),0))</f>
        <v>0</v>
      </c>
      <c r="Q236" s="75" t="n">
        <f aca="false">IF(SUM($O236)&lt;=0,"",ROUND((SUM($O236)-SUM($P236))*SUM($N236),0))</f>
        <v>0</v>
      </c>
      <c r="R236" s="75" t="n">
        <f aca="false">IF(SUM($O236)&lt;=0,"",ROUND(SUM($O236)-SUM($P236)-SUM($Q236),0))</f>
        <v>17</v>
      </c>
      <c r="S236" s="118" t="n">
        <f aca="false">_xlfn.IFNA(INDEX(Cascade!$BA:$BA,MATCH($E236,Cascade!$E:$E,0)),"")</f>
        <v>0.95</v>
      </c>
      <c r="T236" s="75" t="str">
        <f aca="false">IF(SUM($P236)&lt;=0,"",$P236)</f>
        <v/>
      </c>
      <c r="U236" s="75" t="str">
        <f aca="false">IF(SUM($Q236)&lt;=0,"",ROUND($Q236*$S236,0))</f>
        <v/>
      </c>
      <c r="V236" s="73" t="n">
        <f aca="false">_xlfn.IFNA(INDEX(Cascade!$BD:$BD,MATCH($E236,Cascade!$E:$E,0)),"")</f>
        <v>6</v>
      </c>
      <c r="W236" s="118" t="str">
        <f aca="false">IF(OR(SUM($V236)&lt;=0,SUM($Q236)=0),"",SUM($Q236)/$V236)</f>
        <v/>
      </c>
      <c r="X236" s="118" t="n">
        <f aca="false">_xlfn.IFNA(INDEX(Cascade!$BL:$BL,MATCH($E236,Cascade!$E:$E,0)),"")</f>
        <v>0.333333333333333</v>
      </c>
      <c r="Y236" s="118" t="str">
        <f aca="false">_xlfn.IFNA(INDEX(Cascade!$BM:$BM,MATCH($E236,Cascade!$E:$E,0)),"")</f>
        <v/>
      </c>
      <c r="Z236" s="118" t="str">
        <f aca="false">_xlfn.IFNA(INDEX(Cascade!$BN:$BN,MATCH($E236,Cascade!$E:$E,0)),"")</f>
        <v/>
      </c>
      <c r="AA236" s="118" t="str">
        <f aca="false">_xlfn.IFNA(INDEX(Cascade!$BP:$BP,MATCH($E236,Cascade!$E:$E,0)),"")</f>
        <v/>
      </c>
      <c r="AB236" s="118" t="n">
        <f aca="false">_xlfn.IFNA(INDEX(Cascade!$BR:$BR,MATCH($E236,Cascade!$E:$E,0)),"")</f>
        <v>0.666666666666667</v>
      </c>
    </row>
    <row r="237" customFormat="false" ht="15" hidden="false" customHeight="false" outlineLevel="0" collapsed="false">
      <c r="A237" s="0" t="s">
        <v>151</v>
      </c>
      <c r="B237" s="0" t="s">
        <v>101</v>
      </c>
      <c r="C237" s="0" t="s">
        <v>83</v>
      </c>
      <c r="D237" s="0" t="s">
        <v>56</v>
      </c>
      <c r="E237" s="0" t="str">
        <f aca="false">B237&amp;"|"&amp;C237&amp;"|"&amp;D237</f>
        <v>Thaba Tseka [#SNU] [jyhIrCoB31x]|05-09|Female</v>
      </c>
      <c r="F237" s="73" t="n">
        <v>25</v>
      </c>
      <c r="G237" s="118" t="n">
        <f aca="false">IF(SUM($F237)&lt;=0,"",0%)</f>
        <v>0</v>
      </c>
      <c r="H237" s="75" t="n">
        <f aca="false">IF(SUM($F237)&lt;=0,"",$F237*(1+$G237))</f>
        <v>25</v>
      </c>
      <c r="I237" s="73" t="n">
        <v>22</v>
      </c>
      <c r="J237" s="118" t="n">
        <f aca="false">IF(SUM($H237)&lt;=0,"",100%)</f>
        <v>1</v>
      </c>
      <c r="K237" s="118"/>
      <c r="L237" s="118" t="str">
        <f aca="false">IF(SUM($K237)=0,"",$K237)</f>
        <v/>
      </c>
      <c r="M237" s="118"/>
      <c r="N237" s="118" t="str">
        <f aca="false">IF(SUM($M237)=0,"",$M237)</f>
        <v/>
      </c>
      <c r="O237" s="73" t="n">
        <f aca="false">IF(SUM($H237)&lt;=0,"",ROUND(SUM($H237)*SUM($J237),0))</f>
        <v>25</v>
      </c>
      <c r="P237" s="75" t="n">
        <f aca="false">IF(SUM($O237)&lt;=0,"",ROUND(SUM($O237)*SUM($L237),0))</f>
        <v>0</v>
      </c>
      <c r="Q237" s="75" t="n">
        <f aca="false">IF(SUM($O237)&lt;=0,"",ROUND((SUM($O237)-SUM($P237))*SUM($N237),0))</f>
        <v>0</v>
      </c>
      <c r="R237" s="75" t="n">
        <f aca="false">IF(SUM($O237)&lt;=0,"",ROUND(SUM($O237)-SUM($P237)-SUM($Q237),0))</f>
        <v>25</v>
      </c>
      <c r="S237" s="118" t="n">
        <f aca="false">_xlfn.IFNA(INDEX(Cascade!$BA:$BA,MATCH($E237,Cascade!$E:$E,0)),"")</f>
        <v>0.95</v>
      </c>
      <c r="T237" s="75" t="str">
        <f aca="false">IF(SUM($P237)&lt;=0,"",$P237)</f>
        <v/>
      </c>
      <c r="U237" s="75" t="str">
        <f aca="false">IF(SUM($Q237)&lt;=0,"",ROUND($Q237*$S237,0))</f>
        <v/>
      </c>
      <c r="V237" s="73" t="n">
        <f aca="false">_xlfn.IFNA(INDEX(Cascade!$BD:$BD,MATCH($E237,Cascade!$E:$E,0)),"")</f>
        <v>17</v>
      </c>
      <c r="W237" s="118" t="str">
        <f aca="false">IF(OR(SUM($V237)&lt;=0,SUM($Q237)=0),"",SUM($Q237)/$V237)</f>
        <v/>
      </c>
      <c r="X237" s="118" t="n">
        <f aca="false">_xlfn.IFNA(INDEX(Cascade!$BL:$BL,MATCH($E237,Cascade!$E:$E,0)),"")</f>
        <v>0.294117647058823</v>
      </c>
      <c r="Y237" s="118" t="str">
        <f aca="false">_xlfn.IFNA(INDEX(Cascade!$BM:$BM,MATCH($E237,Cascade!$E:$E,0)),"")</f>
        <v/>
      </c>
      <c r="Z237" s="118" t="str">
        <f aca="false">_xlfn.IFNA(INDEX(Cascade!$BN:$BN,MATCH($E237,Cascade!$E:$E,0)),"")</f>
        <v/>
      </c>
      <c r="AA237" s="118" t="str">
        <f aca="false">_xlfn.IFNA(INDEX(Cascade!$BP:$BP,MATCH($E237,Cascade!$E:$E,0)),"")</f>
        <v/>
      </c>
      <c r="AB237" s="118" t="n">
        <f aca="false">_xlfn.IFNA(INDEX(Cascade!$BR:$BR,MATCH($E237,Cascade!$E:$E,0)),"")</f>
        <v>0.705882352941176</v>
      </c>
    </row>
    <row r="238" customFormat="false" ht="15" hidden="false" customHeight="false" outlineLevel="0" collapsed="false">
      <c r="A238" s="0" t="s">
        <v>151</v>
      </c>
      <c r="B238" s="0" t="s">
        <v>101</v>
      </c>
      <c r="C238" s="0" t="s">
        <v>83</v>
      </c>
      <c r="D238" s="0" t="s">
        <v>58</v>
      </c>
      <c r="E238" s="0" t="str">
        <f aca="false">B238&amp;"|"&amp;C238&amp;"|"&amp;D238</f>
        <v>Thaba Tseka [#SNU] [jyhIrCoB31x]|05-09|Male</v>
      </c>
      <c r="F238" s="73" t="n">
        <v>18</v>
      </c>
      <c r="G238" s="118" t="n">
        <f aca="false">IF(SUM($F238)&lt;=0,"",0%)</f>
        <v>0</v>
      </c>
      <c r="H238" s="75" t="n">
        <f aca="false">IF(SUM($F238)&lt;=0,"",$F238*(1+$G238))</f>
        <v>18</v>
      </c>
      <c r="I238" s="73"/>
      <c r="J238" s="118" t="n">
        <f aca="false">IF(SUM($H238)&lt;=0,"",100%)</f>
        <v>1</v>
      </c>
      <c r="K238" s="118"/>
      <c r="L238" s="118" t="str">
        <f aca="false">IF(SUM($K238)=0,"",$K238)</f>
        <v/>
      </c>
      <c r="M238" s="118"/>
      <c r="N238" s="118" t="str">
        <f aca="false">IF(SUM($M238)=0,"",$M238)</f>
        <v/>
      </c>
      <c r="O238" s="73" t="n">
        <f aca="false">IF(SUM($H238)&lt;=0,"",ROUND(SUM($H238)*SUM($J238),0))</f>
        <v>18</v>
      </c>
      <c r="P238" s="75" t="n">
        <f aca="false">IF(SUM($O238)&lt;=0,"",ROUND(SUM($O238)*SUM($L238),0))</f>
        <v>0</v>
      </c>
      <c r="Q238" s="75" t="n">
        <f aca="false">IF(SUM($O238)&lt;=0,"",ROUND((SUM($O238)-SUM($P238))*SUM($N238),0))</f>
        <v>0</v>
      </c>
      <c r="R238" s="75" t="n">
        <f aca="false">IF(SUM($O238)&lt;=0,"",ROUND(SUM($O238)-SUM($P238)-SUM($Q238),0))</f>
        <v>18</v>
      </c>
      <c r="S238" s="118" t="n">
        <f aca="false">_xlfn.IFNA(INDEX(Cascade!$BA:$BA,MATCH($E238,Cascade!$E:$E,0)),"")</f>
        <v>0.95</v>
      </c>
      <c r="T238" s="75" t="str">
        <f aca="false">IF(SUM($P238)&lt;=0,"",$P238)</f>
        <v/>
      </c>
      <c r="U238" s="75" t="str">
        <f aca="false">IF(SUM($Q238)&lt;=0,"",ROUND($Q238*$S238,0))</f>
        <v/>
      </c>
      <c r="V238" s="73" t="n">
        <f aca="false">_xlfn.IFNA(INDEX(Cascade!$BD:$BD,MATCH($E238,Cascade!$E:$E,0)),"")</f>
        <v>1</v>
      </c>
      <c r="W238" s="118" t="str">
        <f aca="false">IF(OR(SUM($V238)&lt;=0,SUM($Q238)=0),"",SUM($Q238)/$V238)</f>
        <v/>
      </c>
      <c r="X238" s="118" t="str">
        <f aca="false">_xlfn.IFNA(INDEX(Cascade!$BL:$BL,MATCH($E238,Cascade!$E:$E,0)),"")</f>
        <v/>
      </c>
      <c r="Y238" s="118" t="str">
        <f aca="false">_xlfn.IFNA(INDEX(Cascade!$BM:$BM,MATCH($E238,Cascade!$E:$E,0)),"")</f>
        <v/>
      </c>
      <c r="Z238" s="118" t="str">
        <f aca="false">_xlfn.IFNA(INDEX(Cascade!$BN:$BN,MATCH($E238,Cascade!$E:$E,0)),"")</f>
        <v/>
      </c>
      <c r="AA238" s="118" t="str">
        <f aca="false">_xlfn.IFNA(INDEX(Cascade!$BP:$BP,MATCH($E238,Cascade!$E:$E,0)),"")</f>
        <v/>
      </c>
      <c r="AB238" s="118" t="n">
        <f aca="false">_xlfn.IFNA(INDEX(Cascade!$BR:$BR,MATCH($E238,Cascade!$E:$E,0)),"")</f>
        <v>1</v>
      </c>
    </row>
    <row r="239" customFormat="false" ht="15" hidden="false" customHeight="false" outlineLevel="0" collapsed="false">
      <c r="A239" s="0" t="s">
        <v>151</v>
      </c>
      <c r="B239" s="0" t="s">
        <v>101</v>
      </c>
      <c r="C239" s="0" t="s">
        <v>61</v>
      </c>
      <c r="D239" s="0" t="s">
        <v>56</v>
      </c>
      <c r="E239" s="0" t="str">
        <f aca="false">B239&amp;"|"&amp;C239&amp;"|"&amp;D239</f>
        <v>Thaba Tseka [#SNU] [jyhIrCoB31x]|10-14|Female</v>
      </c>
      <c r="F239" s="73" t="n">
        <v>43</v>
      </c>
      <c r="G239" s="118" t="n">
        <f aca="false">IF(SUM($F239)&lt;=0,"",0%)</f>
        <v>0</v>
      </c>
      <c r="H239" s="75" t="n">
        <f aca="false">IF(SUM($F239)&lt;=0,"",$F239*(1+$G239))</f>
        <v>43</v>
      </c>
      <c r="I239" s="73"/>
      <c r="J239" s="118" t="n">
        <f aca="false">IF(SUM($H239)&lt;=0,"",100%)</f>
        <v>1</v>
      </c>
      <c r="K239" s="118"/>
      <c r="L239" s="118" t="str">
        <f aca="false">IF(SUM($K239)=0,"",$K239)</f>
        <v/>
      </c>
      <c r="M239" s="118"/>
      <c r="N239" s="118" t="str">
        <f aca="false">IF(SUM($M239)=0,"",$M239)</f>
        <v/>
      </c>
      <c r="O239" s="73" t="n">
        <f aca="false">IF(SUM($H239)&lt;=0,"",ROUND(SUM($H239)*SUM($J239),0))</f>
        <v>43</v>
      </c>
      <c r="P239" s="75" t="n">
        <f aca="false">IF(SUM($O239)&lt;=0,"",ROUND(SUM($O239)*SUM($L239),0))</f>
        <v>0</v>
      </c>
      <c r="Q239" s="75" t="n">
        <f aca="false">IF(SUM($O239)&lt;=0,"",ROUND((SUM($O239)-SUM($P239))*SUM($N239),0))</f>
        <v>0</v>
      </c>
      <c r="R239" s="75" t="n">
        <f aca="false">IF(SUM($O239)&lt;=0,"",ROUND(SUM($O239)-SUM($P239)-SUM($Q239),0))</f>
        <v>43</v>
      </c>
      <c r="S239" s="118" t="n">
        <f aca="false">_xlfn.IFNA(INDEX(Cascade!$BA:$BA,MATCH($E239,Cascade!$E:$E,0)),"")</f>
        <v>0.95</v>
      </c>
      <c r="T239" s="75" t="str">
        <f aca="false">IF(SUM($P239)&lt;=0,"",$P239)</f>
        <v/>
      </c>
      <c r="U239" s="75" t="str">
        <f aca="false">IF(SUM($Q239)&lt;=0,"",ROUND($Q239*$S239,0))</f>
        <v/>
      </c>
      <c r="V239" s="73" t="n">
        <f aca="false">_xlfn.IFNA(INDEX(Cascade!$BD:$BD,MATCH($E239,Cascade!$E:$E,0)),"")</f>
        <v>1</v>
      </c>
      <c r="W239" s="118" t="str">
        <f aca="false">IF(OR(SUM($V239)&lt;=0,SUM($Q239)=0),"",SUM($Q239)/$V239)</f>
        <v/>
      </c>
      <c r="X239" s="118" t="n">
        <f aca="false">_xlfn.IFNA(INDEX(Cascade!$BL:$BL,MATCH($E239,Cascade!$E:$E,0)),"")</f>
        <v>1</v>
      </c>
      <c r="Y239" s="118" t="str">
        <f aca="false">_xlfn.IFNA(INDEX(Cascade!$BM:$BM,MATCH($E239,Cascade!$E:$E,0)),"")</f>
        <v/>
      </c>
      <c r="Z239" s="118" t="str">
        <f aca="false">_xlfn.IFNA(INDEX(Cascade!$BN:$BN,MATCH($E239,Cascade!$E:$E,0)),"")</f>
        <v/>
      </c>
      <c r="AA239" s="118" t="str">
        <f aca="false">_xlfn.IFNA(INDEX(Cascade!$BP:$BP,MATCH($E239,Cascade!$E:$E,0)),"")</f>
        <v/>
      </c>
      <c r="AB239" s="118" t="str">
        <f aca="false">_xlfn.IFNA(INDEX(Cascade!$BR:$BR,MATCH($E239,Cascade!$E:$E,0)),"")</f>
        <v/>
      </c>
    </row>
    <row r="240" customFormat="false" ht="15" hidden="false" customHeight="false" outlineLevel="0" collapsed="false">
      <c r="A240" s="0" t="s">
        <v>151</v>
      </c>
      <c r="B240" s="0" t="s">
        <v>101</v>
      </c>
      <c r="C240" s="0" t="s">
        <v>61</v>
      </c>
      <c r="D240" s="0" t="s">
        <v>58</v>
      </c>
      <c r="E240" s="0" t="str">
        <f aca="false">B240&amp;"|"&amp;C240&amp;"|"&amp;D240</f>
        <v>Thaba Tseka [#SNU] [jyhIrCoB31x]|10-14|Male</v>
      </c>
      <c r="F240" s="73" t="n">
        <v>20</v>
      </c>
      <c r="G240" s="118" t="n">
        <f aca="false">IF(SUM($F240)&lt;=0,"",0%)</f>
        <v>0</v>
      </c>
      <c r="H240" s="75" t="n">
        <f aca="false">IF(SUM($F240)&lt;=0,"",$F240*(1+$G240))</f>
        <v>20</v>
      </c>
      <c r="I240" s="73"/>
      <c r="J240" s="118" t="n">
        <f aca="false">IF(SUM($H240)&lt;=0,"",100%)</f>
        <v>1</v>
      </c>
      <c r="K240" s="118"/>
      <c r="L240" s="118" t="str">
        <f aca="false">IF(SUM($K240)=0,"",$K240)</f>
        <v/>
      </c>
      <c r="M240" s="118"/>
      <c r="N240" s="118" t="str">
        <f aca="false">IF(SUM($M240)=0,"",$M240)</f>
        <v/>
      </c>
      <c r="O240" s="73" t="n">
        <f aca="false">IF(SUM($H240)&lt;=0,"",ROUND(SUM($H240)*SUM($J240),0))</f>
        <v>20</v>
      </c>
      <c r="P240" s="75" t="n">
        <f aca="false">IF(SUM($O240)&lt;=0,"",ROUND(SUM($O240)*SUM($L240),0))</f>
        <v>0</v>
      </c>
      <c r="Q240" s="75" t="n">
        <f aca="false">IF(SUM($O240)&lt;=0,"",ROUND((SUM($O240)-SUM($P240))*SUM($N240),0))</f>
        <v>0</v>
      </c>
      <c r="R240" s="75" t="n">
        <f aca="false">IF(SUM($O240)&lt;=0,"",ROUND(SUM($O240)-SUM($P240)-SUM($Q240),0))</f>
        <v>20</v>
      </c>
      <c r="S240" s="118" t="n">
        <f aca="false">_xlfn.IFNA(INDEX(Cascade!$BA:$BA,MATCH($E240,Cascade!$E:$E,0)),"")</f>
        <v>0.95</v>
      </c>
      <c r="T240" s="75" t="str">
        <f aca="false">IF(SUM($P240)&lt;=0,"",$P240)</f>
        <v/>
      </c>
      <c r="U240" s="75" t="str">
        <f aca="false">IF(SUM($Q240)&lt;=0,"",ROUND($Q240*$S240,0))</f>
        <v/>
      </c>
      <c r="V240" s="73" t="n">
        <f aca="false">_xlfn.IFNA(INDEX(Cascade!$BD:$BD,MATCH($E240,Cascade!$E:$E,0)),"")</f>
        <v>4</v>
      </c>
      <c r="W240" s="118" t="str">
        <f aca="false">IF(OR(SUM($V240)&lt;=0,SUM($Q240)=0),"",SUM($Q240)/$V240)</f>
        <v/>
      </c>
      <c r="X240" s="118" t="n">
        <f aca="false">_xlfn.IFNA(INDEX(Cascade!$BL:$BL,MATCH($E240,Cascade!$E:$E,0)),"")</f>
        <v>0.75</v>
      </c>
      <c r="Y240" s="118" t="str">
        <f aca="false">_xlfn.IFNA(INDEX(Cascade!$BM:$BM,MATCH($E240,Cascade!$E:$E,0)),"")</f>
        <v/>
      </c>
      <c r="Z240" s="118" t="str">
        <f aca="false">_xlfn.IFNA(INDEX(Cascade!$BN:$BN,MATCH($E240,Cascade!$E:$E,0)),"")</f>
        <v/>
      </c>
      <c r="AA240" s="118" t="str">
        <f aca="false">_xlfn.IFNA(INDEX(Cascade!$BP:$BP,MATCH($E240,Cascade!$E:$E,0)),"")</f>
        <v/>
      </c>
      <c r="AB240" s="118" t="n">
        <f aca="false">_xlfn.IFNA(INDEX(Cascade!$BR:$BR,MATCH($E240,Cascade!$E:$E,0)),"")</f>
        <v>0.25</v>
      </c>
    </row>
    <row r="241" customFormat="false" ht="15" hidden="false" customHeight="false" outlineLevel="0" collapsed="false">
      <c r="A241" s="0" t="s">
        <v>151</v>
      </c>
      <c r="B241" s="0" t="s">
        <v>101</v>
      </c>
      <c r="C241" s="0" t="s">
        <v>63</v>
      </c>
      <c r="D241" s="0" t="s">
        <v>56</v>
      </c>
      <c r="E241" s="0" t="str">
        <f aca="false">B241&amp;"|"&amp;C241&amp;"|"&amp;D241</f>
        <v>Thaba Tseka [#SNU] [jyhIrCoB31x]|15-19|Female</v>
      </c>
      <c r="F241" s="73" t="n">
        <v>15</v>
      </c>
      <c r="G241" s="118" t="n">
        <f aca="false">IF(SUM($F241)&lt;=0,"",0%)</f>
        <v>0</v>
      </c>
      <c r="H241" s="75" t="n">
        <f aca="false">IF(SUM($F241)&lt;=0,"",$F241*(1+$G241))</f>
        <v>15</v>
      </c>
      <c r="I241" s="73"/>
      <c r="J241" s="118" t="n">
        <f aca="false">IF(SUM($H241)&lt;=0,"",100%)</f>
        <v>1</v>
      </c>
      <c r="K241" s="118" t="n">
        <v>27</v>
      </c>
      <c r="L241" s="118" t="n">
        <f aca="false">IF(SUM($K241)=0,"",$K241)</f>
        <v>27</v>
      </c>
      <c r="M241" s="118"/>
      <c r="N241" s="118" t="str">
        <f aca="false">IF(SUM($M241)=0,"",$M241)</f>
        <v/>
      </c>
      <c r="O241" s="73" t="n">
        <f aca="false">IF(SUM($H241)&lt;=0,"",ROUND(SUM($H241)*SUM($J241),0))</f>
        <v>15</v>
      </c>
      <c r="P241" s="75" t="n">
        <f aca="false">IF(SUM($O241)&lt;=0,"",ROUND(SUM($O241)*SUM($L241),0))</f>
        <v>405</v>
      </c>
      <c r="Q241" s="75" t="n">
        <f aca="false">IF(SUM($O241)&lt;=0,"",ROUND((SUM($O241)-SUM($P241))*SUM($N241),0))</f>
        <v>-0</v>
      </c>
      <c r="R241" s="75" t="n">
        <f aca="false">IF(SUM($O241)&lt;=0,"",ROUND(SUM($O241)-SUM($P241)-SUM($Q241),0))</f>
        <v>-390</v>
      </c>
      <c r="S241" s="118" t="n">
        <f aca="false">_xlfn.IFNA(INDEX(Cascade!$BA:$BA,MATCH($E241,Cascade!$E:$E,0)),"")</f>
        <v>0.95</v>
      </c>
      <c r="T241" s="75" t="n">
        <f aca="false">IF(SUM($P241)&lt;=0,"",$P241)</f>
        <v>405</v>
      </c>
      <c r="U241" s="75" t="str">
        <f aca="false">IF(SUM($Q241)&lt;=0,"",ROUND($Q241*$S241,0))</f>
        <v/>
      </c>
      <c r="V241" s="73" t="n">
        <f aca="false">_xlfn.IFNA(INDEX(Cascade!$BD:$BD,MATCH($E241,Cascade!$E:$E,0)),"")</f>
        <v>12</v>
      </c>
      <c r="W241" s="118" t="str">
        <f aca="false">IF(OR(SUM($V241)&lt;=0,SUM($Q241)=0),"",SUM($Q241)/$V241)</f>
        <v/>
      </c>
      <c r="X241" s="118" t="n">
        <f aca="false">_xlfn.IFNA(INDEX(Cascade!$BL:$BL,MATCH($E241,Cascade!$E:$E,0)),"")</f>
        <v>0.5</v>
      </c>
      <c r="Y241" s="118" t="n">
        <f aca="false">_xlfn.IFNA(INDEX(Cascade!$BM:$BM,MATCH($E241,Cascade!$E:$E,0)),"")</f>
        <v>-714</v>
      </c>
      <c r="Z241" s="118" t="str">
        <f aca="false">_xlfn.IFNA(INDEX(Cascade!$BN:$BN,MATCH($E241,Cascade!$E:$E,0)),"")</f>
        <v/>
      </c>
      <c r="AA241" s="118" t="str">
        <f aca="false">_xlfn.IFNA(INDEX(Cascade!$BP:$BP,MATCH($E241,Cascade!$E:$E,0)),"")</f>
        <v/>
      </c>
      <c r="AB241" s="118" t="n">
        <f aca="false">_xlfn.IFNA(INDEX(Cascade!$BR:$BR,MATCH($E241,Cascade!$E:$E,0)),"")</f>
        <v>714.5</v>
      </c>
    </row>
    <row r="242" customFormat="false" ht="15" hidden="false" customHeight="false" outlineLevel="0" collapsed="false">
      <c r="A242" s="0" t="s">
        <v>151</v>
      </c>
      <c r="B242" s="0" t="s">
        <v>101</v>
      </c>
      <c r="C242" s="0" t="s">
        <v>63</v>
      </c>
      <c r="D242" s="0" t="s">
        <v>58</v>
      </c>
      <c r="E242" s="0" t="str">
        <f aca="false">B242&amp;"|"&amp;C242&amp;"|"&amp;D242</f>
        <v>Thaba Tseka [#SNU] [jyhIrCoB31x]|15-19|Male</v>
      </c>
      <c r="F242" s="73" t="n">
        <v>26</v>
      </c>
      <c r="G242" s="118" t="n">
        <f aca="false">IF(SUM($F242)&lt;=0,"",0%)</f>
        <v>0</v>
      </c>
      <c r="H242" s="75" t="n">
        <f aca="false">IF(SUM($F242)&lt;=0,"",$F242*(1+$G242))</f>
        <v>26</v>
      </c>
      <c r="I242" s="73"/>
      <c r="J242" s="118" t="n">
        <f aca="false">IF(SUM($H242)&lt;=0,"",100%)</f>
        <v>1</v>
      </c>
      <c r="K242" s="118"/>
      <c r="L242" s="118" t="str">
        <f aca="false">IF(SUM($K242)=0,"",$K242)</f>
        <v/>
      </c>
      <c r="M242" s="118"/>
      <c r="N242" s="118" t="str">
        <f aca="false">IF(SUM($M242)=0,"",$M242)</f>
        <v/>
      </c>
      <c r="O242" s="73" t="n">
        <f aca="false">IF(SUM($H242)&lt;=0,"",ROUND(SUM($H242)*SUM($J242),0))</f>
        <v>26</v>
      </c>
      <c r="P242" s="75" t="n">
        <f aca="false">IF(SUM($O242)&lt;=0,"",ROUND(SUM($O242)*SUM($L242),0))</f>
        <v>0</v>
      </c>
      <c r="Q242" s="75" t="n">
        <f aca="false">IF(SUM($O242)&lt;=0,"",ROUND((SUM($O242)-SUM($P242))*SUM($N242),0))</f>
        <v>0</v>
      </c>
      <c r="R242" s="75" t="n">
        <f aca="false">IF(SUM($O242)&lt;=0,"",ROUND(SUM($O242)-SUM($P242)-SUM($Q242),0))</f>
        <v>26</v>
      </c>
      <c r="S242" s="118" t="n">
        <f aca="false">_xlfn.IFNA(INDEX(Cascade!$BA:$BA,MATCH($E242,Cascade!$E:$E,0)),"")</f>
        <v>0.95</v>
      </c>
      <c r="T242" s="75" t="str">
        <f aca="false">IF(SUM($P242)&lt;=0,"",$P242)</f>
        <v/>
      </c>
      <c r="U242" s="75" t="str">
        <f aca="false">IF(SUM($Q242)&lt;=0,"",ROUND($Q242*$S242,0))</f>
        <v/>
      </c>
      <c r="V242" s="73" t="str">
        <f aca="false">_xlfn.IFNA(INDEX(Cascade!$BD:$BD,MATCH($E242,Cascade!$E:$E,0)),"")</f>
        <v/>
      </c>
      <c r="W242" s="118" t="str">
        <f aca="false">IF(OR(SUM($V242)&lt;=0,SUM($Q242)=0),"",SUM($Q242)/$V242)</f>
        <v/>
      </c>
      <c r="X242" s="118" t="str">
        <f aca="false">_xlfn.IFNA(INDEX(Cascade!$BL:$BL,MATCH($E242,Cascade!$E:$E,0)),"")</f>
        <v/>
      </c>
      <c r="Y242" s="118" t="str">
        <f aca="false">_xlfn.IFNA(INDEX(Cascade!$BM:$BM,MATCH($E242,Cascade!$E:$E,0)),"")</f>
        <v/>
      </c>
      <c r="Z242" s="118" t="str">
        <f aca="false">_xlfn.IFNA(INDEX(Cascade!$BN:$BN,MATCH($E242,Cascade!$E:$E,0)),"")</f>
        <v/>
      </c>
      <c r="AA242" s="118" t="str">
        <f aca="false">_xlfn.IFNA(INDEX(Cascade!$BP:$BP,MATCH($E242,Cascade!$E:$E,0)),"")</f>
        <v/>
      </c>
      <c r="AB242" s="118" t="str">
        <f aca="false">_xlfn.IFNA(INDEX(Cascade!$BR:$BR,MATCH($E242,Cascade!$E:$E,0)),"")</f>
        <v/>
      </c>
    </row>
    <row r="243" customFormat="false" ht="15" hidden="false" customHeight="false" outlineLevel="0" collapsed="false">
      <c r="A243" s="0" t="s">
        <v>151</v>
      </c>
      <c r="B243" s="0" t="s">
        <v>101</v>
      </c>
      <c r="C243" s="0" t="s">
        <v>66</v>
      </c>
      <c r="D243" s="0" t="s">
        <v>56</v>
      </c>
      <c r="E243" s="0" t="str">
        <f aca="false">B243&amp;"|"&amp;C243&amp;"|"&amp;D243</f>
        <v>Thaba Tseka [#SNU] [jyhIrCoB31x]|20-24|Female</v>
      </c>
      <c r="F243" s="73" t="n">
        <v>19</v>
      </c>
      <c r="G243" s="118" t="n">
        <f aca="false">IF(SUM($F243)&lt;=0,"",0%)</f>
        <v>0</v>
      </c>
      <c r="H243" s="75" t="n">
        <f aca="false">IF(SUM($F243)&lt;=0,"",$F243*(1+$G243))</f>
        <v>19</v>
      </c>
      <c r="I243" s="73" t="n">
        <v>7</v>
      </c>
      <c r="J243" s="118" t="n">
        <f aca="false">IF(SUM($H243)&lt;=0,"",100%)</f>
        <v>1</v>
      </c>
      <c r="K243" s="118" t="n">
        <v>16</v>
      </c>
      <c r="L243" s="118" t="n">
        <f aca="false">IF(SUM($K243)=0,"",$K243)</f>
        <v>16</v>
      </c>
      <c r="M243" s="118"/>
      <c r="N243" s="118" t="str">
        <f aca="false">IF(SUM($M243)=0,"",$M243)</f>
        <v/>
      </c>
      <c r="O243" s="73" t="n">
        <f aca="false">IF(SUM($H243)&lt;=0,"",ROUND(SUM($H243)*SUM($J243),0))</f>
        <v>19</v>
      </c>
      <c r="P243" s="75" t="n">
        <f aca="false">IF(SUM($O243)&lt;=0,"",ROUND(SUM($O243)*SUM($L243),0))</f>
        <v>304</v>
      </c>
      <c r="Q243" s="75" t="n">
        <f aca="false">IF(SUM($O243)&lt;=0,"",ROUND((SUM($O243)-SUM($P243))*SUM($N243),0))</f>
        <v>-0</v>
      </c>
      <c r="R243" s="75" t="n">
        <f aca="false">IF(SUM($O243)&lt;=0,"",ROUND(SUM($O243)-SUM($P243)-SUM($Q243),0))</f>
        <v>-285</v>
      </c>
      <c r="S243" s="118" t="n">
        <f aca="false">_xlfn.IFNA(INDEX(Cascade!$BA:$BA,MATCH($E243,Cascade!$E:$E,0)),"")</f>
        <v>0.95</v>
      </c>
      <c r="T243" s="75" t="n">
        <f aca="false">IF(SUM($P243)&lt;=0,"",$P243)</f>
        <v>304</v>
      </c>
      <c r="U243" s="75" t="str">
        <f aca="false">IF(SUM($Q243)&lt;=0,"",ROUND($Q243*$S243,0))</f>
        <v/>
      </c>
      <c r="V243" s="73" t="n">
        <f aca="false">_xlfn.IFNA(INDEX(Cascade!$BD:$BD,MATCH($E243,Cascade!$E:$E,0)),"")</f>
        <v>4</v>
      </c>
      <c r="W243" s="118" t="str">
        <f aca="false">IF(OR(SUM($V243)&lt;=0,SUM($Q243)=0),"",SUM($Q243)/$V243)</f>
        <v/>
      </c>
      <c r="X243" s="118" t="n">
        <f aca="false">_xlfn.IFNA(INDEX(Cascade!$BL:$BL,MATCH($E243,Cascade!$E:$E,0)),"")</f>
        <v>0.25</v>
      </c>
      <c r="Y243" s="118" t="n">
        <f aca="false">_xlfn.IFNA(INDEX(Cascade!$BM:$BM,MATCH($E243,Cascade!$E:$E,0)),"")</f>
        <v>-12768</v>
      </c>
      <c r="Z243" s="118" t="str">
        <f aca="false">_xlfn.IFNA(INDEX(Cascade!$BN:$BN,MATCH($E243,Cascade!$E:$E,0)),"")</f>
        <v/>
      </c>
      <c r="AA243" s="118" t="str">
        <f aca="false">_xlfn.IFNA(INDEX(Cascade!$BP:$BP,MATCH($E243,Cascade!$E:$E,0)),"")</f>
        <v/>
      </c>
      <c r="AB243" s="118" t="n">
        <f aca="false">_xlfn.IFNA(INDEX(Cascade!$BR:$BR,MATCH($E243,Cascade!$E:$E,0)),"")</f>
        <v>12768.75</v>
      </c>
    </row>
    <row r="244" customFormat="false" ht="15" hidden="false" customHeight="false" outlineLevel="0" collapsed="false">
      <c r="A244" s="0" t="s">
        <v>151</v>
      </c>
      <c r="B244" s="0" t="s">
        <v>101</v>
      </c>
      <c r="C244" s="0" t="s">
        <v>66</v>
      </c>
      <c r="D244" s="0" t="s">
        <v>58</v>
      </c>
      <c r="E244" s="0" t="str">
        <f aca="false">B244&amp;"|"&amp;C244&amp;"|"&amp;D244</f>
        <v>Thaba Tseka [#SNU] [jyhIrCoB31x]|20-24|Male</v>
      </c>
      <c r="F244" s="73" t="n">
        <v>6</v>
      </c>
      <c r="G244" s="118" t="n">
        <f aca="false">IF(SUM($F244)&lt;=0,"",0%)</f>
        <v>0</v>
      </c>
      <c r="H244" s="75" t="n">
        <f aca="false">IF(SUM($F244)&lt;=0,"",$F244*(1+$G244))</f>
        <v>6</v>
      </c>
      <c r="I244" s="73"/>
      <c r="J244" s="118" t="n">
        <f aca="false">IF(SUM($H244)&lt;=0,"",100%)</f>
        <v>1</v>
      </c>
      <c r="K244" s="118"/>
      <c r="L244" s="118" t="str">
        <f aca="false">IF(SUM($K244)=0,"",$K244)</f>
        <v/>
      </c>
      <c r="M244" s="118"/>
      <c r="N244" s="118" t="str">
        <f aca="false">IF(SUM($M244)=0,"",$M244)</f>
        <v/>
      </c>
      <c r="O244" s="73" t="n">
        <f aca="false">IF(SUM($H244)&lt;=0,"",ROUND(SUM($H244)*SUM($J244),0))</f>
        <v>6</v>
      </c>
      <c r="P244" s="75" t="n">
        <f aca="false">IF(SUM($O244)&lt;=0,"",ROUND(SUM($O244)*SUM($L244),0))</f>
        <v>0</v>
      </c>
      <c r="Q244" s="75" t="n">
        <f aca="false">IF(SUM($O244)&lt;=0,"",ROUND((SUM($O244)-SUM($P244))*SUM($N244),0))</f>
        <v>0</v>
      </c>
      <c r="R244" s="75" t="n">
        <f aca="false">IF(SUM($O244)&lt;=0,"",ROUND(SUM($O244)-SUM($P244)-SUM($Q244),0))</f>
        <v>6</v>
      </c>
      <c r="S244" s="118" t="n">
        <f aca="false">_xlfn.IFNA(INDEX(Cascade!$BA:$BA,MATCH($E244,Cascade!$E:$E,0)),"")</f>
        <v>0.95</v>
      </c>
      <c r="T244" s="75" t="str">
        <f aca="false">IF(SUM($P244)&lt;=0,"",$P244)</f>
        <v/>
      </c>
      <c r="U244" s="75" t="str">
        <f aca="false">IF(SUM($Q244)&lt;=0,"",ROUND($Q244*$S244,0))</f>
        <v/>
      </c>
      <c r="V244" s="73" t="n">
        <f aca="false">_xlfn.IFNA(INDEX(Cascade!$BD:$BD,MATCH($E244,Cascade!$E:$E,0)),"")</f>
        <v>24</v>
      </c>
      <c r="W244" s="118" t="str">
        <f aca="false">IF(OR(SUM($V244)&lt;=0,SUM($Q244)=0),"",SUM($Q244)/$V244)</f>
        <v/>
      </c>
      <c r="X244" s="118" t="n">
        <f aca="false">_xlfn.IFNA(INDEX(Cascade!$BL:$BL,MATCH($E244,Cascade!$E:$E,0)),"")</f>
        <v>0.291666666666667</v>
      </c>
      <c r="Y244" s="118" t="str">
        <f aca="false">_xlfn.IFNA(INDEX(Cascade!$BM:$BM,MATCH($E244,Cascade!$E:$E,0)),"")</f>
        <v/>
      </c>
      <c r="Z244" s="118" t="str">
        <f aca="false">_xlfn.IFNA(INDEX(Cascade!$BN:$BN,MATCH($E244,Cascade!$E:$E,0)),"")</f>
        <v/>
      </c>
      <c r="AA244" s="118" t="str">
        <f aca="false">_xlfn.IFNA(INDEX(Cascade!$BP:$BP,MATCH($E244,Cascade!$E:$E,0)),"")</f>
        <v/>
      </c>
      <c r="AB244" s="118" t="n">
        <f aca="false">_xlfn.IFNA(INDEX(Cascade!$BR:$BR,MATCH($E244,Cascade!$E:$E,0)),"")</f>
        <v>0.708333333333333</v>
      </c>
    </row>
    <row r="245" customFormat="false" ht="15" hidden="false" customHeight="false" outlineLevel="0" collapsed="false">
      <c r="A245" s="0" t="s">
        <v>151</v>
      </c>
      <c r="B245" s="0" t="s">
        <v>101</v>
      </c>
      <c r="C245" s="0" t="s">
        <v>69</v>
      </c>
      <c r="D245" s="0" t="s">
        <v>56</v>
      </c>
      <c r="E245" s="0" t="str">
        <f aca="false">B245&amp;"|"&amp;C245&amp;"|"&amp;D245</f>
        <v>Thaba Tseka [#SNU] [jyhIrCoB31x]|25-29|Female</v>
      </c>
      <c r="F245" s="73" t="n">
        <v>22</v>
      </c>
      <c r="G245" s="118" t="n">
        <f aca="false">IF(SUM($F245)&lt;=0,"",0%)</f>
        <v>0</v>
      </c>
      <c r="H245" s="75" t="n">
        <f aca="false">IF(SUM($F245)&lt;=0,"",$F245*(1+$G245))</f>
        <v>22</v>
      </c>
      <c r="I245" s="73" t="n">
        <v>13</v>
      </c>
      <c r="J245" s="118" t="n">
        <f aca="false">IF(SUM($H245)&lt;=0,"",100%)</f>
        <v>1</v>
      </c>
      <c r="K245" s="118" t="n">
        <v>24</v>
      </c>
      <c r="L245" s="118" t="n">
        <f aca="false">IF(SUM($K245)=0,"",$K245)</f>
        <v>24</v>
      </c>
      <c r="M245" s="118"/>
      <c r="N245" s="118" t="str">
        <f aca="false">IF(SUM($M245)=0,"",$M245)</f>
        <v/>
      </c>
      <c r="O245" s="73" t="n">
        <f aca="false">IF(SUM($H245)&lt;=0,"",ROUND(SUM($H245)*SUM($J245),0))</f>
        <v>22</v>
      </c>
      <c r="P245" s="75" t="n">
        <f aca="false">IF(SUM($O245)&lt;=0,"",ROUND(SUM($O245)*SUM($L245),0))</f>
        <v>528</v>
      </c>
      <c r="Q245" s="75" t="n">
        <f aca="false">IF(SUM($O245)&lt;=0,"",ROUND((SUM($O245)-SUM($P245))*SUM($N245),0))</f>
        <v>-0</v>
      </c>
      <c r="R245" s="75" t="n">
        <f aca="false">IF(SUM($O245)&lt;=0,"",ROUND(SUM($O245)-SUM($P245)-SUM($Q245),0))</f>
        <v>-506</v>
      </c>
      <c r="S245" s="118" t="n">
        <f aca="false">_xlfn.IFNA(INDEX(Cascade!$BA:$BA,MATCH($E245,Cascade!$E:$E,0)),"")</f>
        <v>0.95</v>
      </c>
      <c r="T245" s="75" t="n">
        <f aca="false">IF(SUM($P245)&lt;=0,"",$P245)</f>
        <v>528</v>
      </c>
      <c r="U245" s="75" t="str">
        <f aca="false">IF(SUM($Q245)&lt;=0,"",ROUND($Q245*$S245,0))</f>
        <v/>
      </c>
      <c r="V245" s="73" t="n">
        <f aca="false">_xlfn.IFNA(INDEX(Cascade!$BD:$BD,MATCH($E245,Cascade!$E:$E,0)),"")</f>
        <v>12</v>
      </c>
      <c r="W245" s="118" t="str">
        <f aca="false">IF(OR(SUM($V245)&lt;=0,SUM($Q245)=0),"",SUM($Q245)/$V245)</f>
        <v/>
      </c>
      <c r="X245" s="118" t="n">
        <f aca="false">_xlfn.IFNA(INDEX(Cascade!$BL:$BL,MATCH($E245,Cascade!$E:$E,0)),"")</f>
        <v>0.333333333333333</v>
      </c>
      <c r="Y245" s="118" t="n">
        <f aca="false">_xlfn.IFNA(INDEX(Cascade!$BM:$BM,MATCH($E245,Cascade!$E:$E,0)),"")</f>
        <v>-930</v>
      </c>
      <c r="Z245" s="118" t="str">
        <f aca="false">_xlfn.IFNA(INDEX(Cascade!$BN:$BN,MATCH($E245,Cascade!$E:$E,0)),"")</f>
        <v/>
      </c>
      <c r="AA245" s="118" t="str">
        <f aca="false">_xlfn.IFNA(INDEX(Cascade!$BP:$BP,MATCH($E245,Cascade!$E:$E,0)),"")</f>
        <v/>
      </c>
      <c r="AB245" s="118" t="n">
        <f aca="false">_xlfn.IFNA(INDEX(Cascade!$BR:$BR,MATCH($E245,Cascade!$E:$E,0)),"")</f>
        <v>930.666666666667</v>
      </c>
    </row>
    <row r="246" customFormat="false" ht="15" hidden="false" customHeight="false" outlineLevel="0" collapsed="false">
      <c r="A246" s="0" t="s">
        <v>151</v>
      </c>
      <c r="B246" s="0" t="s">
        <v>101</v>
      </c>
      <c r="C246" s="0" t="s">
        <v>69</v>
      </c>
      <c r="D246" s="0" t="s">
        <v>58</v>
      </c>
      <c r="E246" s="0" t="str">
        <f aca="false">B246&amp;"|"&amp;C246&amp;"|"&amp;D246</f>
        <v>Thaba Tseka [#SNU] [jyhIrCoB31x]|25-29|Male</v>
      </c>
      <c r="F246" s="73" t="n">
        <v>45</v>
      </c>
      <c r="G246" s="118" t="n">
        <f aca="false">IF(SUM($F246)&lt;=0,"",0%)</f>
        <v>0</v>
      </c>
      <c r="H246" s="75" t="n">
        <f aca="false">IF(SUM($F246)&lt;=0,"",$F246*(1+$G246))</f>
        <v>45</v>
      </c>
      <c r="I246" s="73" t="n">
        <v>30</v>
      </c>
      <c r="J246" s="118" t="n">
        <f aca="false">IF(SUM($H246)&lt;=0,"",100%)</f>
        <v>1</v>
      </c>
      <c r="K246" s="118" t="n">
        <v>49</v>
      </c>
      <c r="L246" s="118" t="n">
        <f aca="false">IF(SUM($K246)=0,"",$K246)</f>
        <v>49</v>
      </c>
      <c r="M246" s="118"/>
      <c r="N246" s="118" t="str">
        <f aca="false">IF(SUM($M246)=0,"",$M246)</f>
        <v/>
      </c>
      <c r="O246" s="73" t="n">
        <f aca="false">IF(SUM($H246)&lt;=0,"",ROUND(SUM($H246)*SUM($J246),0))</f>
        <v>45</v>
      </c>
      <c r="P246" s="75" t="n">
        <f aca="false">IF(SUM($O246)&lt;=0,"",ROUND(SUM($O246)*SUM($L246),0))</f>
        <v>2205</v>
      </c>
      <c r="Q246" s="75" t="n">
        <f aca="false">IF(SUM($O246)&lt;=0,"",ROUND((SUM($O246)-SUM($P246))*SUM($N246),0))</f>
        <v>-0</v>
      </c>
      <c r="R246" s="75" t="n">
        <f aca="false">IF(SUM($O246)&lt;=0,"",ROUND(SUM($O246)-SUM($P246)-SUM($Q246),0))</f>
        <v>-2160</v>
      </c>
      <c r="S246" s="118" t="n">
        <f aca="false">_xlfn.IFNA(INDEX(Cascade!$BA:$BA,MATCH($E246,Cascade!$E:$E,0)),"")</f>
        <v>0.95</v>
      </c>
      <c r="T246" s="75" t="n">
        <f aca="false">IF(SUM($P246)&lt;=0,"",$P246)</f>
        <v>2205</v>
      </c>
      <c r="U246" s="75" t="str">
        <f aca="false">IF(SUM($Q246)&lt;=0,"",ROUND($Q246*$S246,0))</f>
        <v/>
      </c>
      <c r="V246" s="73" t="n">
        <f aca="false">_xlfn.IFNA(INDEX(Cascade!$BD:$BD,MATCH($E246,Cascade!$E:$E,0)),"")</f>
        <v>5</v>
      </c>
      <c r="W246" s="118" t="str">
        <f aca="false">IF(OR(SUM($V246)&lt;=0,SUM($Q246)=0),"",SUM($Q246)/$V246)</f>
        <v/>
      </c>
      <c r="X246" s="118" t="n">
        <f aca="false">_xlfn.IFNA(INDEX(Cascade!$BL:$BL,MATCH($E246,Cascade!$E:$E,0)),"")</f>
        <v>0.4</v>
      </c>
      <c r="Y246" s="118" t="str">
        <f aca="false">_xlfn.IFNA(INDEX(Cascade!$BM:$BM,MATCH($E246,Cascade!$E:$E,0)),"")</f>
        <v/>
      </c>
      <c r="Z246" s="118" t="str">
        <f aca="false">_xlfn.IFNA(INDEX(Cascade!$BN:$BN,MATCH($E246,Cascade!$E:$E,0)),"")</f>
        <v/>
      </c>
      <c r="AA246" s="118" t="str">
        <f aca="false">_xlfn.IFNA(INDEX(Cascade!$BP:$BP,MATCH($E246,Cascade!$E:$E,0)),"")</f>
        <v/>
      </c>
      <c r="AB246" s="118" t="n">
        <f aca="false">_xlfn.IFNA(INDEX(Cascade!$BR:$BR,MATCH($E246,Cascade!$E:$E,0)),"")</f>
        <v>0.6</v>
      </c>
    </row>
    <row r="247" customFormat="false" ht="15" hidden="false" customHeight="false" outlineLevel="0" collapsed="false">
      <c r="A247" s="0" t="s">
        <v>151</v>
      </c>
      <c r="B247" s="0" t="s">
        <v>101</v>
      </c>
      <c r="C247" s="0" t="s">
        <v>72</v>
      </c>
      <c r="D247" s="0" t="s">
        <v>56</v>
      </c>
      <c r="E247" s="0" t="str">
        <f aca="false">B247&amp;"|"&amp;C247&amp;"|"&amp;D247</f>
        <v>Thaba Tseka [#SNU] [jyhIrCoB31x]|30-34|Female</v>
      </c>
      <c r="F247" s="73" t="n">
        <v>22</v>
      </c>
      <c r="G247" s="118" t="n">
        <f aca="false">IF(SUM($F247)&lt;=0,"",0%)</f>
        <v>0</v>
      </c>
      <c r="H247" s="75" t="n">
        <f aca="false">IF(SUM($F247)&lt;=0,"",$F247*(1+$G247))</f>
        <v>22</v>
      </c>
      <c r="I247" s="73" t="n">
        <v>34</v>
      </c>
      <c r="J247" s="118" t="n">
        <f aca="false">IF(SUM($H247)&lt;=0,"",100%)</f>
        <v>1</v>
      </c>
      <c r="K247" s="118" t="n">
        <v>18</v>
      </c>
      <c r="L247" s="118" t="n">
        <f aca="false">IF(SUM($K247)=0,"",$K247)</f>
        <v>18</v>
      </c>
      <c r="M247" s="118"/>
      <c r="N247" s="118" t="str">
        <f aca="false">IF(SUM($M247)=0,"",$M247)</f>
        <v/>
      </c>
      <c r="O247" s="73" t="n">
        <f aca="false">IF(SUM($H247)&lt;=0,"",ROUND(SUM($H247)*SUM($J247),0))</f>
        <v>22</v>
      </c>
      <c r="P247" s="75" t="n">
        <f aca="false">IF(SUM($O247)&lt;=0,"",ROUND(SUM($O247)*SUM($L247),0))</f>
        <v>396</v>
      </c>
      <c r="Q247" s="75" t="n">
        <f aca="false">IF(SUM($O247)&lt;=0,"",ROUND((SUM($O247)-SUM($P247))*SUM($N247),0))</f>
        <v>-0</v>
      </c>
      <c r="R247" s="75" t="n">
        <f aca="false">IF(SUM($O247)&lt;=0,"",ROUND(SUM($O247)-SUM($P247)-SUM($Q247),0))</f>
        <v>-374</v>
      </c>
      <c r="S247" s="118" t="n">
        <f aca="false">_xlfn.IFNA(INDEX(Cascade!$BA:$BA,MATCH($E247,Cascade!$E:$E,0)),"")</f>
        <v>0.95</v>
      </c>
      <c r="T247" s="75" t="n">
        <f aca="false">IF(SUM($P247)&lt;=0,"",$P247)</f>
        <v>396</v>
      </c>
      <c r="U247" s="75" t="str">
        <f aca="false">IF(SUM($Q247)&lt;=0,"",ROUND($Q247*$S247,0))</f>
        <v/>
      </c>
      <c r="V247" s="73" t="n">
        <f aca="false">_xlfn.IFNA(INDEX(Cascade!$BD:$BD,MATCH($E247,Cascade!$E:$E,0)),"")</f>
        <v>3</v>
      </c>
      <c r="W247" s="118" t="str">
        <f aca="false">IF(OR(SUM($V247)&lt;=0,SUM($Q247)=0),"",SUM($Q247)/$V247)</f>
        <v/>
      </c>
      <c r="X247" s="118" t="n">
        <f aca="false">_xlfn.IFNA(INDEX(Cascade!$BL:$BL,MATCH($E247,Cascade!$E:$E,0)),"")</f>
        <v>0.333333333333333</v>
      </c>
      <c r="Y247" s="118" t="n">
        <f aca="false">_xlfn.IFNA(INDEX(Cascade!$BM:$BM,MATCH($E247,Cascade!$E:$E,0)),"")</f>
        <v>-224</v>
      </c>
      <c r="Z247" s="118" t="str">
        <f aca="false">_xlfn.IFNA(INDEX(Cascade!$BN:$BN,MATCH($E247,Cascade!$E:$E,0)),"")</f>
        <v/>
      </c>
      <c r="AA247" s="118" t="str">
        <f aca="false">_xlfn.IFNA(INDEX(Cascade!$BP:$BP,MATCH($E247,Cascade!$E:$E,0)),"")</f>
        <v/>
      </c>
      <c r="AB247" s="118" t="n">
        <f aca="false">_xlfn.IFNA(INDEX(Cascade!$BR:$BR,MATCH($E247,Cascade!$E:$E,0)),"")</f>
        <v>224.666666666667</v>
      </c>
    </row>
    <row r="248" customFormat="false" ht="15" hidden="false" customHeight="false" outlineLevel="0" collapsed="false">
      <c r="A248" s="0" t="s">
        <v>151</v>
      </c>
      <c r="B248" s="0" t="s">
        <v>101</v>
      </c>
      <c r="C248" s="0" t="s">
        <v>72</v>
      </c>
      <c r="D248" s="0" t="s">
        <v>58</v>
      </c>
      <c r="E248" s="0" t="str">
        <f aca="false">B248&amp;"|"&amp;C248&amp;"|"&amp;D248</f>
        <v>Thaba Tseka [#SNU] [jyhIrCoB31x]|30-34|Male</v>
      </c>
      <c r="F248" s="73" t="n">
        <v>14</v>
      </c>
      <c r="G248" s="118" t="n">
        <f aca="false">IF(SUM($F248)&lt;=0,"",0%)</f>
        <v>0</v>
      </c>
      <c r="H248" s="75" t="n">
        <f aca="false">IF(SUM($F248)&lt;=0,"",$F248*(1+$G248))</f>
        <v>14</v>
      </c>
      <c r="I248" s="73" t="n">
        <v>1</v>
      </c>
      <c r="J248" s="118" t="n">
        <f aca="false">IF(SUM($H248)&lt;=0,"",100%)</f>
        <v>1</v>
      </c>
      <c r="K248" s="118" t="n">
        <v>38</v>
      </c>
      <c r="L248" s="118" t="n">
        <f aca="false">IF(SUM($K248)=0,"",$K248)</f>
        <v>38</v>
      </c>
      <c r="M248" s="118" t="n">
        <v>27</v>
      </c>
      <c r="N248" s="118" t="n">
        <f aca="false">IF(SUM($M248)=0,"",$M248)</f>
        <v>27</v>
      </c>
      <c r="O248" s="73" t="n">
        <f aca="false">IF(SUM($H248)&lt;=0,"",ROUND(SUM($H248)*SUM($J248),0))</f>
        <v>14</v>
      </c>
      <c r="P248" s="75" t="n">
        <f aca="false">IF(SUM($O248)&lt;=0,"",ROUND(SUM($O248)*SUM($L248),0))</f>
        <v>532</v>
      </c>
      <c r="Q248" s="75" t="n">
        <f aca="false">IF(SUM($O248)&lt;=0,"",ROUND((SUM($O248)-SUM($P248))*SUM($N248),0))</f>
        <v>-13986</v>
      </c>
      <c r="R248" s="75" t="n">
        <f aca="false">IF(SUM($O248)&lt;=0,"",ROUND(SUM($O248)-SUM($P248)-SUM($Q248),0))</f>
        <v>13468</v>
      </c>
      <c r="S248" s="118" t="n">
        <f aca="false">_xlfn.IFNA(INDEX(Cascade!$BA:$BA,MATCH($E248,Cascade!$E:$E,0)),"")</f>
        <v>0.95</v>
      </c>
      <c r="T248" s="75" t="n">
        <f aca="false">IF(SUM($P248)&lt;=0,"",$P248)</f>
        <v>532</v>
      </c>
      <c r="U248" s="75" t="str">
        <f aca="false">IF(SUM($Q248)&lt;=0,"",ROUND($Q248*$S248,0))</f>
        <v/>
      </c>
      <c r="V248" s="73" t="n">
        <f aca="false">_xlfn.IFNA(INDEX(Cascade!$BD:$BD,MATCH($E248,Cascade!$E:$E,0)),"")</f>
        <v>37</v>
      </c>
      <c r="W248" s="118" t="n">
        <f aca="false">IF(OR(SUM($V248)&lt;=0,SUM($Q248)=0),"",SUM($Q248)/$V248)</f>
        <v>-378</v>
      </c>
      <c r="X248" s="118" t="n">
        <f aca="false">_xlfn.IFNA(INDEX(Cascade!$BL:$BL,MATCH($E248,Cascade!$E:$E,0)),"")</f>
        <v>0.297297297297297</v>
      </c>
      <c r="Y248" s="118" t="str">
        <f aca="false">_xlfn.IFNA(INDEX(Cascade!$BM:$BM,MATCH($E248,Cascade!$E:$E,0)),"")</f>
        <v/>
      </c>
      <c r="Z248" s="118" t="str">
        <f aca="false">_xlfn.IFNA(INDEX(Cascade!$BN:$BN,MATCH($E248,Cascade!$E:$E,0)),"")</f>
        <v/>
      </c>
      <c r="AA248" s="118" t="str">
        <f aca="false">_xlfn.IFNA(INDEX(Cascade!$BP:$BP,MATCH($E248,Cascade!$E:$E,0)),"")</f>
        <v/>
      </c>
      <c r="AB248" s="118" t="n">
        <f aca="false">_xlfn.IFNA(INDEX(Cascade!$BR:$BR,MATCH($E248,Cascade!$E:$E,0)),"")</f>
        <v>378.702702702703</v>
      </c>
    </row>
    <row r="249" customFormat="false" ht="15" hidden="false" customHeight="false" outlineLevel="0" collapsed="false">
      <c r="A249" s="0" t="s">
        <v>151</v>
      </c>
      <c r="B249" s="0" t="s">
        <v>101</v>
      </c>
      <c r="C249" s="0" t="s">
        <v>75</v>
      </c>
      <c r="D249" s="0" t="s">
        <v>56</v>
      </c>
      <c r="E249" s="0" t="str">
        <f aca="false">B249&amp;"|"&amp;C249&amp;"|"&amp;D249</f>
        <v>Thaba Tseka [#SNU] [jyhIrCoB31x]|35-39|Female</v>
      </c>
      <c r="F249" s="73" t="n">
        <v>39</v>
      </c>
      <c r="G249" s="118" t="n">
        <f aca="false">IF(SUM($F249)&lt;=0,"",0%)</f>
        <v>0</v>
      </c>
      <c r="H249" s="75" t="n">
        <f aca="false">IF(SUM($F249)&lt;=0,"",$F249*(1+$G249))</f>
        <v>39</v>
      </c>
      <c r="I249" s="73"/>
      <c r="J249" s="118" t="n">
        <f aca="false">IF(SUM($H249)&lt;=0,"",100%)</f>
        <v>1</v>
      </c>
      <c r="K249" s="118" t="n">
        <v>16</v>
      </c>
      <c r="L249" s="118" t="n">
        <f aca="false">IF(SUM($K249)=0,"",$K249)</f>
        <v>16</v>
      </c>
      <c r="M249" s="118"/>
      <c r="N249" s="118" t="str">
        <f aca="false">IF(SUM($M249)=0,"",$M249)</f>
        <v/>
      </c>
      <c r="O249" s="73" t="n">
        <f aca="false">IF(SUM($H249)&lt;=0,"",ROUND(SUM($H249)*SUM($J249),0))</f>
        <v>39</v>
      </c>
      <c r="P249" s="75" t="n">
        <f aca="false">IF(SUM($O249)&lt;=0,"",ROUND(SUM($O249)*SUM($L249),0))</f>
        <v>624</v>
      </c>
      <c r="Q249" s="75" t="n">
        <f aca="false">IF(SUM($O249)&lt;=0,"",ROUND((SUM($O249)-SUM($P249))*SUM($N249),0))</f>
        <v>-0</v>
      </c>
      <c r="R249" s="75" t="n">
        <f aca="false">IF(SUM($O249)&lt;=0,"",ROUND(SUM($O249)-SUM($P249)-SUM($Q249),0))</f>
        <v>-585</v>
      </c>
      <c r="S249" s="118" t="n">
        <f aca="false">_xlfn.IFNA(INDEX(Cascade!$BA:$BA,MATCH($E249,Cascade!$E:$E,0)),"")</f>
        <v>0.95</v>
      </c>
      <c r="T249" s="75" t="n">
        <f aca="false">IF(SUM($P249)&lt;=0,"",$P249)</f>
        <v>624</v>
      </c>
      <c r="U249" s="75" t="str">
        <f aca="false">IF(SUM($Q249)&lt;=0,"",ROUND($Q249*$S249,0))</f>
        <v/>
      </c>
      <c r="V249" s="73" t="n">
        <f aca="false">_xlfn.IFNA(INDEX(Cascade!$BD:$BD,MATCH($E249,Cascade!$E:$E,0)),"")</f>
        <v>2</v>
      </c>
      <c r="W249" s="118" t="str">
        <f aca="false">IF(OR(SUM($V249)&lt;=0,SUM($Q249)=0),"",SUM($Q249)/$V249)</f>
        <v/>
      </c>
      <c r="X249" s="118" t="n">
        <f aca="false">_xlfn.IFNA(INDEX(Cascade!$BL:$BL,MATCH($E249,Cascade!$E:$E,0)),"")</f>
        <v>1</v>
      </c>
      <c r="Y249" s="118" t="n">
        <f aca="false">_xlfn.IFNA(INDEX(Cascade!$BM:$BM,MATCH($E249,Cascade!$E:$E,0)),"")</f>
        <v>-16087.5</v>
      </c>
      <c r="Z249" s="118" t="str">
        <f aca="false">_xlfn.IFNA(INDEX(Cascade!$BN:$BN,MATCH($E249,Cascade!$E:$E,0)),"")</f>
        <v/>
      </c>
      <c r="AA249" s="118" t="str">
        <f aca="false">_xlfn.IFNA(INDEX(Cascade!$BP:$BP,MATCH($E249,Cascade!$E:$E,0)),"")</f>
        <v/>
      </c>
      <c r="AB249" s="118" t="n">
        <f aca="false">_xlfn.IFNA(INDEX(Cascade!$BR:$BR,MATCH($E249,Cascade!$E:$E,0)),"")</f>
        <v>16087.5</v>
      </c>
    </row>
    <row r="250" customFormat="false" ht="15" hidden="false" customHeight="false" outlineLevel="0" collapsed="false">
      <c r="A250" s="0" t="s">
        <v>151</v>
      </c>
      <c r="B250" s="0" t="s">
        <v>101</v>
      </c>
      <c r="C250" s="0" t="s">
        <v>75</v>
      </c>
      <c r="D250" s="0" t="s">
        <v>58</v>
      </c>
      <c r="E250" s="0" t="str">
        <f aca="false">B250&amp;"|"&amp;C250&amp;"|"&amp;D250</f>
        <v>Thaba Tseka [#SNU] [jyhIrCoB31x]|35-39|Male</v>
      </c>
      <c r="F250" s="73" t="n">
        <v>5</v>
      </c>
      <c r="G250" s="118" t="n">
        <f aca="false">IF(SUM($F250)&lt;=0,"",0%)</f>
        <v>0</v>
      </c>
      <c r="H250" s="75" t="n">
        <f aca="false">IF(SUM($F250)&lt;=0,"",$F250*(1+$G250))</f>
        <v>5</v>
      </c>
      <c r="I250" s="73" t="n">
        <v>4</v>
      </c>
      <c r="J250" s="118" t="n">
        <f aca="false">IF(SUM($H250)&lt;=0,"",100%)</f>
        <v>1</v>
      </c>
      <c r="K250" s="118" t="n">
        <v>28</v>
      </c>
      <c r="L250" s="118" t="n">
        <f aca="false">IF(SUM($K250)=0,"",$K250)</f>
        <v>28</v>
      </c>
      <c r="M250" s="118" t="n">
        <v>41</v>
      </c>
      <c r="N250" s="118" t="n">
        <f aca="false">IF(SUM($M250)=0,"",$M250)</f>
        <v>41</v>
      </c>
      <c r="O250" s="73" t="n">
        <f aca="false">IF(SUM($H250)&lt;=0,"",ROUND(SUM($H250)*SUM($J250),0))</f>
        <v>5</v>
      </c>
      <c r="P250" s="75" t="n">
        <f aca="false">IF(SUM($O250)&lt;=0,"",ROUND(SUM($O250)*SUM($L250),0))</f>
        <v>140</v>
      </c>
      <c r="Q250" s="75" t="n">
        <f aca="false">IF(SUM($O250)&lt;=0,"",ROUND((SUM($O250)-SUM($P250))*SUM($N250),0))</f>
        <v>-5535</v>
      </c>
      <c r="R250" s="75" t="n">
        <f aca="false">IF(SUM($O250)&lt;=0,"",ROUND(SUM($O250)-SUM($P250)-SUM($Q250),0))</f>
        <v>5400</v>
      </c>
      <c r="S250" s="118" t="n">
        <f aca="false">_xlfn.IFNA(INDEX(Cascade!$BA:$BA,MATCH($E250,Cascade!$E:$E,0)),"")</f>
        <v>0.95</v>
      </c>
      <c r="T250" s="75" t="n">
        <f aca="false">IF(SUM($P250)&lt;=0,"",$P250)</f>
        <v>140</v>
      </c>
      <c r="U250" s="75" t="str">
        <f aca="false">IF(SUM($Q250)&lt;=0,"",ROUND($Q250*$S250,0))</f>
        <v/>
      </c>
      <c r="V250" s="73" t="n">
        <f aca="false">_xlfn.IFNA(INDEX(Cascade!$BD:$BD,MATCH($E250,Cascade!$E:$E,0)),"")</f>
        <v>21</v>
      </c>
      <c r="W250" s="118" t="n">
        <f aca="false">IF(OR(SUM($V250)&lt;=0,SUM($Q250)=0),"",SUM($Q250)/$V250)</f>
        <v>-263.571428571429</v>
      </c>
      <c r="X250" s="118" t="n">
        <f aca="false">_xlfn.IFNA(INDEX(Cascade!$BL:$BL,MATCH($E250,Cascade!$E:$E,0)),"")</f>
        <v>0.285714285714286</v>
      </c>
      <c r="Y250" s="118" t="str">
        <f aca="false">_xlfn.IFNA(INDEX(Cascade!$BM:$BM,MATCH($E250,Cascade!$E:$E,0)),"")</f>
        <v/>
      </c>
      <c r="Z250" s="118" t="str">
        <f aca="false">_xlfn.IFNA(INDEX(Cascade!$BN:$BN,MATCH($E250,Cascade!$E:$E,0)),"")</f>
        <v/>
      </c>
      <c r="AA250" s="118" t="str">
        <f aca="false">_xlfn.IFNA(INDEX(Cascade!$BP:$BP,MATCH($E250,Cascade!$E:$E,0)),"")</f>
        <v/>
      </c>
      <c r="AB250" s="118" t="n">
        <f aca="false">_xlfn.IFNA(INDEX(Cascade!$BR:$BR,MATCH($E250,Cascade!$E:$E,0)),"")</f>
        <v>264.285714285714</v>
      </c>
    </row>
    <row r="251" customFormat="false" ht="15" hidden="false" customHeight="false" outlineLevel="0" collapsed="false">
      <c r="A251" s="0" t="s">
        <v>151</v>
      </c>
      <c r="B251" s="0" t="s">
        <v>101</v>
      </c>
      <c r="C251" s="0" t="s">
        <v>77</v>
      </c>
      <c r="D251" s="0" t="s">
        <v>56</v>
      </c>
      <c r="E251" s="0" t="str">
        <f aca="false">B251&amp;"|"&amp;C251&amp;"|"&amp;D251</f>
        <v>Thaba Tseka [#SNU] [jyhIrCoB31x]|40-44|Female</v>
      </c>
      <c r="F251" s="73" t="n">
        <v>25</v>
      </c>
      <c r="G251" s="118" t="n">
        <f aca="false">IF(SUM($F251)&lt;=0,"",0%)</f>
        <v>0</v>
      </c>
      <c r="H251" s="75" t="n">
        <f aca="false">IF(SUM($F251)&lt;=0,"",$F251*(1+$G251))</f>
        <v>25</v>
      </c>
      <c r="I251" s="73" t="n">
        <v>18</v>
      </c>
      <c r="J251" s="118" t="n">
        <f aca="false">IF(SUM($H251)&lt;=0,"",100%)</f>
        <v>1</v>
      </c>
      <c r="K251" s="118" t="n">
        <v>35</v>
      </c>
      <c r="L251" s="118" t="n">
        <f aca="false">IF(SUM($K251)=0,"",$K251)</f>
        <v>35</v>
      </c>
      <c r="M251" s="118"/>
      <c r="N251" s="118" t="str">
        <f aca="false">IF(SUM($M251)=0,"",$M251)</f>
        <v/>
      </c>
      <c r="O251" s="73" t="n">
        <f aca="false">IF(SUM($H251)&lt;=0,"",ROUND(SUM($H251)*SUM($J251),0))</f>
        <v>25</v>
      </c>
      <c r="P251" s="75" t="n">
        <f aca="false">IF(SUM($O251)&lt;=0,"",ROUND(SUM($O251)*SUM($L251),0))</f>
        <v>875</v>
      </c>
      <c r="Q251" s="75" t="n">
        <f aca="false">IF(SUM($O251)&lt;=0,"",ROUND((SUM($O251)-SUM($P251))*SUM($N251),0))</f>
        <v>-0</v>
      </c>
      <c r="R251" s="75" t="n">
        <f aca="false">IF(SUM($O251)&lt;=0,"",ROUND(SUM($O251)-SUM($P251)-SUM($Q251),0))</f>
        <v>-850</v>
      </c>
      <c r="S251" s="118" t="n">
        <f aca="false">_xlfn.IFNA(INDEX(Cascade!$BA:$BA,MATCH($E251,Cascade!$E:$E,0)),"")</f>
        <v>0.95</v>
      </c>
      <c r="T251" s="75" t="n">
        <f aca="false">IF(SUM($P251)&lt;=0,"",$P251)</f>
        <v>875</v>
      </c>
      <c r="U251" s="75" t="str">
        <f aca="false">IF(SUM($Q251)&lt;=0,"",ROUND($Q251*$S251,0))</f>
        <v/>
      </c>
      <c r="V251" s="73" t="str">
        <f aca="false">_xlfn.IFNA(INDEX(Cascade!$BD:$BD,MATCH($E251,Cascade!$E:$E,0)),"")</f>
        <v/>
      </c>
      <c r="W251" s="118" t="str">
        <f aca="false">IF(OR(SUM($V251)&lt;=0,SUM($Q251)=0),"",SUM($Q251)/$V251)</f>
        <v/>
      </c>
      <c r="X251" s="118" t="str">
        <f aca="false">_xlfn.IFNA(INDEX(Cascade!$BL:$BL,MATCH($E251,Cascade!$E:$E,0)),"")</f>
        <v/>
      </c>
      <c r="Y251" s="118" t="str">
        <f aca="false">_xlfn.IFNA(INDEX(Cascade!$BM:$BM,MATCH($E251,Cascade!$E:$E,0)),"")</f>
        <v/>
      </c>
      <c r="Z251" s="118" t="str">
        <f aca="false">_xlfn.IFNA(INDEX(Cascade!$BN:$BN,MATCH($E251,Cascade!$E:$E,0)),"")</f>
        <v/>
      </c>
      <c r="AA251" s="118" t="str">
        <f aca="false">_xlfn.IFNA(INDEX(Cascade!$BP:$BP,MATCH($E251,Cascade!$E:$E,0)),"")</f>
        <v/>
      </c>
      <c r="AB251" s="118" t="str">
        <f aca="false">_xlfn.IFNA(INDEX(Cascade!$BR:$BR,MATCH($E251,Cascade!$E:$E,0)),"")</f>
        <v/>
      </c>
    </row>
    <row r="252" customFormat="false" ht="15" hidden="false" customHeight="false" outlineLevel="0" collapsed="false">
      <c r="A252" s="0" t="s">
        <v>151</v>
      </c>
      <c r="B252" s="0" t="s">
        <v>101</v>
      </c>
      <c r="C252" s="0" t="s">
        <v>77</v>
      </c>
      <c r="D252" s="0" t="s">
        <v>58</v>
      </c>
      <c r="E252" s="0" t="str">
        <f aca="false">B252&amp;"|"&amp;C252&amp;"|"&amp;D252</f>
        <v>Thaba Tseka [#SNU] [jyhIrCoB31x]|40-44|Male</v>
      </c>
      <c r="F252" s="73" t="n">
        <v>31</v>
      </c>
      <c r="G252" s="118" t="n">
        <f aca="false">IF(SUM($F252)&lt;=0,"",0%)</f>
        <v>0</v>
      </c>
      <c r="H252" s="75" t="n">
        <f aca="false">IF(SUM($F252)&lt;=0,"",$F252*(1+$G252))</f>
        <v>31</v>
      </c>
      <c r="I252" s="73" t="n">
        <v>0</v>
      </c>
      <c r="J252" s="118" t="n">
        <f aca="false">IF(SUM($H252)&lt;=0,"",100%)</f>
        <v>1</v>
      </c>
      <c r="K252" s="118" t="n">
        <v>12</v>
      </c>
      <c r="L252" s="118" t="n">
        <f aca="false">IF(SUM($K252)=0,"",$K252)</f>
        <v>12</v>
      </c>
      <c r="M252" s="118" t="n">
        <v>9</v>
      </c>
      <c r="N252" s="118" t="n">
        <f aca="false">IF(SUM($M252)=0,"",$M252)</f>
        <v>9</v>
      </c>
      <c r="O252" s="73" t="n">
        <f aca="false">IF(SUM($H252)&lt;=0,"",ROUND(SUM($H252)*SUM($J252),0))</f>
        <v>31</v>
      </c>
      <c r="P252" s="75" t="n">
        <f aca="false">IF(SUM($O252)&lt;=0,"",ROUND(SUM($O252)*SUM($L252),0))</f>
        <v>372</v>
      </c>
      <c r="Q252" s="75" t="n">
        <f aca="false">IF(SUM($O252)&lt;=0,"",ROUND((SUM($O252)-SUM($P252))*SUM($N252),0))</f>
        <v>-3069</v>
      </c>
      <c r="R252" s="75" t="n">
        <f aca="false">IF(SUM($O252)&lt;=0,"",ROUND(SUM($O252)-SUM($P252)-SUM($Q252),0))</f>
        <v>2728</v>
      </c>
      <c r="S252" s="118" t="n">
        <f aca="false">_xlfn.IFNA(INDEX(Cascade!$BA:$BA,MATCH($E252,Cascade!$E:$E,0)),"")</f>
        <v>0.95</v>
      </c>
      <c r="T252" s="75" t="n">
        <f aca="false">IF(SUM($P252)&lt;=0,"",$P252)</f>
        <v>372</v>
      </c>
      <c r="U252" s="75" t="str">
        <f aca="false">IF(SUM($Q252)&lt;=0,"",ROUND($Q252*$S252,0))</f>
        <v/>
      </c>
      <c r="V252" s="73" t="n">
        <f aca="false">_xlfn.IFNA(INDEX(Cascade!$BD:$BD,MATCH($E252,Cascade!$E:$E,0)),"")</f>
        <v>2</v>
      </c>
      <c r="W252" s="118" t="n">
        <f aca="false">IF(OR(SUM($V252)&lt;=0,SUM($Q252)=0),"",SUM($Q252)/$V252)</f>
        <v>-1534.5</v>
      </c>
      <c r="X252" s="118" t="n">
        <f aca="false">_xlfn.IFNA(INDEX(Cascade!$BL:$BL,MATCH($E252,Cascade!$E:$E,0)),"")</f>
        <v>0.5</v>
      </c>
      <c r="Y252" s="118" t="str">
        <f aca="false">_xlfn.IFNA(INDEX(Cascade!$BM:$BM,MATCH($E252,Cascade!$E:$E,0)),"")</f>
        <v/>
      </c>
      <c r="Z252" s="118" t="str">
        <f aca="false">_xlfn.IFNA(INDEX(Cascade!$BN:$BN,MATCH($E252,Cascade!$E:$E,0)),"")</f>
        <v/>
      </c>
      <c r="AA252" s="118" t="str">
        <f aca="false">_xlfn.IFNA(INDEX(Cascade!$BP:$BP,MATCH($E252,Cascade!$E:$E,0)),"")</f>
        <v/>
      </c>
      <c r="AB252" s="118" t="n">
        <f aca="false">_xlfn.IFNA(INDEX(Cascade!$BR:$BR,MATCH($E252,Cascade!$E:$E,0)),"")</f>
        <v>1535</v>
      </c>
    </row>
    <row r="253" customFormat="false" ht="15" hidden="false" customHeight="false" outlineLevel="0" collapsed="false">
      <c r="A253" s="0" t="s">
        <v>151</v>
      </c>
      <c r="B253" s="0" t="s">
        <v>101</v>
      </c>
      <c r="C253" s="0" t="s">
        <v>80</v>
      </c>
      <c r="D253" s="0" t="s">
        <v>56</v>
      </c>
      <c r="E253" s="0" t="str">
        <f aca="false">B253&amp;"|"&amp;C253&amp;"|"&amp;D253</f>
        <v>Thaba Tseka [#SNU] [jyhIrCoB31x]|45-49|Female</v>
      </c>
      <c r="F253" s="73" t="n">
        <v>42</v>
      </c>
      <c r="G253" s="118" t="n">
        <f aca="false">IF(SUM($F253)&lt;=0,"",0%)</f>
        <v>0</v>
      </c>
      <c r="H253" s="75" t="n">
        <f aca="false">IF(SUM($F253)&lt;=0,"",$F253*(1+$G253))</f>
        <v>42</v>
      </c>
      <c r="I253" s="73"/>
      <c r="J253" s="118" t="n">
        <f aca="false">IF(SUM($H253)&lt;=0,"",100%)</f>
        <v>1</v>
      </c>
      <c r="K253" s="118" t="n">
        <v>30</v>
      </c>
      <c r="L253" s="118" t="n">
        <f aca="false">IF(SUM($K253)=0,"",$K253)</f>
        <v>30</v>
      </c>
      <c r="M253" s="118"/>
      <c r="N253" s="118" t="str">
        <f aca="false">IF(SUM($M253)=0,"",$M253)</f>
        <v/>
      </c>
      <c r="O253" s="73" t="n">
        <f aca="false">IF(SUM($H253)&lt;=0,"",ROUND(SUM($H253)*SUM($J253),0))</f>
        <v>42</v>
      </c>
      <c r="P253" s="75" t="n">
        <f aca="false">IF(SUM($O253)&lt;=0,"",ROUND(SUM($O253)*SUM($L253),0))</f>
        <v>1260</v>
      </c>
      <c r="Q253" s="75" t="n">
        <f aca="false">IF(SUM($O253)&lt;=0,"",ROUND((SUM($O253)-SUM($P253))*SUM($N253),0))</f>
        <v>-0</v>
      </c>
      <c r="R253" s="75" t="n">
        <f aca="false">IF(SUM($O253)&lt;=0,"",ROUND(SUM($O253)-SUM($P253)-SUM($Q253),0))</f>
        <v>-1218</v>
      </c>
      <c r="S253" s="118" t="n">
        <f aca="false">_xlfn.IFNA(INDEX(Cascade!$BA:$BA,MATCH($E253,Cascade!$E:$E,0)),"")</f>
        <v>0.95</v>
      </c>
      <c r="T253" s="75" t="n">
        <f aca="false">IF(SUM($P253)&lt;=0,"",$P253)</f>
        <v>1260</v>
      </c>
      <c r="U253" s="75" t="str">
        <f aca="false">IF(SUM($Q253)&lt;=0,"",ROUND($Q253*$S253,0))</f>
        <v/>
      </c>
      <c r="V253" s="73" t="str">
        <f aca="false">_xlfn.IFNA(INDEX(Cascade!$BD:$BD,MATCH($E253,Cascade!$E:$E,0)),"")</f>
        <v/>
      </c>
      <c r="W253" s="118" t="str">
        <f aca="false">IF(OR(SUM($V253)&lt;=0,SUM($Q253)=0),"",SUM($Q253)/$V253)</f>
        <v/>
      </c>
      <c r="X253" s="118" t="str">
        <f aca="false">_xlfn.IFNA(INDEX(Cascade!$BL:$BL,MATCH($E253,Cascade!$E:$E,0)),"")</f>
        <v/>
      </c>
      <c r="Y253" s="118" t="str">
        <f aca="false">_xlfn.IFNA(INDEX(Cascade!$BM:$BM,MATCH($E253,Cascade!$E:$E,0)),"")</f>
        <v/>
      </c>
      <c r="Z253" s="118" t="str">
        <f aca="false">_xlfn.IFNA(INDEX(Cascade!$BN:$BN,MATCH($E253,Cascade!$E:$E,0)),"")</f>
        <v/>
      </c>
      <c r="AA253" s="118" t="str">
        <f aca="false">_xlfn.IFNA(INDEX(Cascade!$BP:$BP,MATCH($E253,Cascade!$E:$E,0)),"")</f>
        <v/>
      </c>
      <c r="AB253" s="118" t="str">
        <f aca="false">_xlfn.IFNA(INDEX(Cascade!$BR:$BR,MATCH($E253,Cascade!$E:$E,0)),"")</f>
        <v/>
      </c>
    </row>
    <row r="254" customFormat="false" ht="15" hidden="false" customHeight="false" outlineLevel="0" collapsed="false">
      <c r="A254" s="0" t="s">
        <v>151</v>
      </c>
      <c r="B254" s="0" t="s">
        <v>101</v>
      </c>
      <c r="C254" s="0" t="s">
        <v>80</v>
      </c>
      <c r="D254" s="0" t="s">
        <v>58</v>
      </c>
      <c r="E254" s="0" t="str">
        <f aca="false">B254&amp;"|"&amp;C254&amp;"|"&amp;D254</f>
        <v>Thaba Tseka [#SNU] [jyhIrCoB31x]|45-49|Male</v>
      </c>
      <c r="F254" s="73" t="n">
        <v>8</v>
      </c>
      <c r="G254" s="118" t="n">
        <f aca="false">IF(SUM($F254)&lt;=0,"",0%)</f>
        <v>0</v>
      </c>
      <c r="H254" s="75" t="n">
        <f aca="false">IF(SUM($F254)&lt;=0,"",$F254*(1+$G254))</f>
        <v>8</v>
      </c>
      <c r="I254" s="73" t="n">
        <v>41</v>
      </c>
      <c r="J254" s="118" t="n">
        <f aca="false">IF(SUM($H254)&lt;=0,"",100%)</f>
        <v>1</v>
      </c>
      <c r="K254" s="118" t="n">
        <v>21</v>
      </c>
      <c r="L254" s="118" t="n">
        <f aca="false">IF(SUM($K254)=0,"",$K254)</f>
        <v>21</v>
      </c>
      <c r="M254" s="118" t="n">
        <v>40</v>
      </c>
      <c r="N254" s="118" t="n">
        <f aca="false">IF(SUM($M254)=0,"",$M254)</f>
        <v>40</v>
      </c>
      <c r="O254" s="73" t="n">
        <f aca="false">IF(SUM($H254)&lt;=0,"",ROUND(SUM($H254)*SUM($J254),0))</f>
        <v>8</v>
      </c>
      <c r="P254" s="75" t="n">
        <f aca="false">IF(SUM($O254)&lt;=0,"",ROUND(SUM($O254)*SUM($L254),0))</f>
        <v>168</v>
      </c>
      <c r="Q254" s="75" t="n">
        <f aca="false">IF(SUM($O254)&lt;=0,"",ROUND((SUM($O254)-SUM($P254))*SUM($N254),0))</f>
        <v>-6400</v>
      </c>
      <c r="R254" s="75" t="n">
        <f aca="false">IF(SUM($O254)&lt;=0,"",ROUND(SUM($O254)-SUM($P254)-SUM($Q254),0))</f>
        <v>6240</v>
      </c>
      <c r="S254" s="118" t="n">
        <f aca="false">_xlfn.IFNA(INDEX(Cascade!$BA:$BA,MATCH($E254,Cascade!$E:$E,0)),"")</f>
        <v>0.95</v>
      </c>
      <c r="T254" s="75" t="n">
        <f aca="false">IF(SUM($P254)&lt;=0,"",$P254)</f>
        <v>168</v>
      </c>
      <c r="U254" s="75" t="str">
        <f aca="false">IF(SUM($Q254)&lt;=0,"",ROUND($Q254*$S254,0))</f>
        <v/>
      </c>
      <c r="V254" s="73" t="n">
        <f aca="false">_xlfn.IFNA(INDEX(Cascade!$BD:$BD,MATCH($E254,Cascade!$E:$E,0)),"")</f>
        <v>1</v>
      </c>
      <c r="W254" s="118" t="n">
        <f aca="false">IF(OR(SUM($V254)&lt;=0,SUM($Q254)=0),"",SUM($Q254)/$V254)</f>
        <v>-6400</v>
      </c>
      <c r="X254" s="118" t="n">
        <f aca="false">_xlfn.IFNA(INDEX(Cascade!$BL:$BL,MATCH($E254,Cascade!$E:$E,0)),"")</f>
        <v>1</v>
      </c>
      <c r="Y254" s="118" t="str">
        <f aca="false">_xlfn.IFNA(INDEX(Cascade!$BM:$BM,MATCH($E254,Cascade!$E:$E,0)),"")</f>
        <v/>
      </c>
      <c r="Z254" s="118" t="str">
        <f aca="false">_xlfn.IFNA(INDEX(Cascade!$BN:$BN,MATCH($E254,Cascade!$E:$E,0)),"")</f>
        <v/>
      </c>
      <c r="AA254" s="118" t="str">
        <f aca="false">_xlfn.IFNA(INDEX(Cascade!$BP:$BP,MATCH($E254,Cascade!$E:$E,0)),"")</f>
        <v/>
      </c>
      <c r="AB254" s="118" t="n">
        <f aca="false">_xlfn.IFNA(INDEX(Cascade!$BR:$BR,MATCH($E254,Cascade!$E:$E,0)),"")</f>
        <v>6400</v>
      </c>
    </row>
    <row r="255" customFormat="false" ht="15" hidden="false" customHeight="false" outlineLevel="0" collapsed="false">
      <c r="A255" s="0" t="s">
        <v>151</v>
      </c>
      <c r="B255" s="0" t="s">
        <v>101</v>
      </c>
      <c r="C255" s="0" t="s">
        <v>86</v>
      </c>
      <c r="D255" s="0" t="s">
        <v>56</v>
      </c>
      <c r="E255" s="0" t="str">
        <f aca="false">B255&amp;"|"&amp;C255&amp;"|"&amp;D255</f>
        <v>Thaba Tseka [#SNU] [jyhIrCoB31x]|50+|Female</v>
      </c>
      <c r="F255" s="73" t="n">
        <v>45</v>
      </c>
      <c r="G255" s="118" t="n">
        <f aca="false">IF(SUM($F255)&lt;=0,"",0%)</f>
        <v>0</v>
      </c>
      <c r="H255" s="75" t="n">
        <f aca="false">IF(SUM($F255)&lt;=0,"",$F255*(1+$G255))</f>
        <v>45</v>
      </c>
      <c r="I255" s="73" t="n">
        <v>38</v>
      </c>
      <c r="J255" s="118" t="n">
        <f aca="false">IF(SUM($H255)&lt;=0,"",100%)</f>
        <v>1</v>
      </c>
      <c r="K255" s="118" t="n">
        <v>22</v>
      </c>
      <c r="L255" s="118" t="n">
        <f aca="false">IF(SUM($K255)=0,"",$K255)</f>
        <v>22</v>
      </c>
      <c r="M255" s="118" t="n">
        <v>6</v>
      </c>
      <c r="N255" s="118" t="n">
        <f aca="false">IF(SUM($M255)=0,"",$M255)</f>
        <v>6</v>
      </c>
      <c r="O255" s="73" t="n">
        <f aca="false">IF(SUM($H255)&lt;=0,"",ROUND(SUM($H255)*SUM($J255),0))</f>
        <v>45</v>
      </c>
      <c r="P255" s="75" t="n">
        <f aca="false">IF(SUM($O255)&lt;=0,"",ROUND(SUM($O255)*SUM($L255),0))</f>
        <v>990</v>
      </c>
      <c r="Q255" s="75" t="n">
        <f aca="false">IF(SUM($O255)&lt;=0,"",ROUND((SUM($O255)-SUM($P255))*SUM($N255),0))</f>
        <v>-5670</v>
      </c>
      <c r="R255" s="75" t="n">
        <f aca="false">IF(SUM($O255)&lt;=0,"",ROUND(SUM($O255)-SUM($P255)-SUM($Q255),0))</f>
        <v>4725</v>
      </c>
      <c r="S255" s="118" t="n">
        <f aca="false">_xlfn.IFNA(INDEX(Cascade!$BA:$BA,MATCH($E255,Cascade!$E:$E,0)),"")</f>
        <v>0.95</v>
      </c>
      <c r="T255" s="75" t="n">
        <f aca="false">IF(SUM($P255)&lt;=0,"",$P255)</f>
        <v>990</v>
      </c>
      <c r="U255" s="75" t="str">
        <f aca="false">IF(SUM($Q255)&lt;=0,"",ROUND($Q255*$S255,0))</f>
        <v/>
      </c>
      <c r="V255" s="73" t="str">
        <f aca="false">_xlfn.IFNA(INDEX(Cascade!$BD:$BD,MATCH($E255,Cascade!$E:$E,0)),"")</f>
        <v/>
      </c>
      <c r="W255" s="118" t="str">
        <f aca="false">IF(OR(SUM($V255)&lt;=0,SUM($Q255)=0),"",SUM($Q255)/$V255)</f>
        <v/>
      </c>
      <c r="X255" s="118" t="str">
        <f aca="false">_xlfn.IFNA(INDEX(Cascade!$BL:$BL,MATCH($E255,Cascade!$E:$E,0)),"")</f>
        <v/>
      </c>
      <c r="Y255" s="118" t="str">
        <f aca="false">_xlfn.IFNA(INDEX(Cascade!$BM:$BM,MATCH($E255,Cascade!$E:$E,0)),"")</f>
        <v/>
      </c>
      <c r="Z255" s="118" t="str">
        <f aca="false">_xlfn.IFNA(INDEX(Cascade!$BN:$BN,MATCH($E255,Cascade!$E:$E,0)),"")</f>
        <v/>
      </c>
      <c r="AA255" s="118" t="str">
        <f aca="false">_xlfn.IFNA(INDEX(Cascade!$BP:$BP,MATCH($E255,Cascade!$E:$E,0)),"")</f>
        <v/>
      </c>
      <c r="AB255" s="118" t="str">
        <f aca="false">_xlfn.IFNA(INDEX(Cascade!$BR:$BR,MATCH($E255,Cascade!$E:$E,0)),"")</f>
        <v/>
      </c>
    </row>
    <row r="256" customFormat="false" ht="15" hidden="false" customHeight="false" outlineLevel="0" collapsed="false">
      <c r="A256" s="0" t="s">
        <v>151</v>
      </c>
      <c r="B256" s="0" t="s">
        <v>101</v>
      </c>
      <c r="C256" s="0" t="s">
        <v>86</v>
      </c>
      <c r="D256" s="0" t="s">
        <v>58</v>
      </c>
      <c r="E256" s="0" t="str">
        <f aca="false">B256&amp;"|"&amp;C256&amp;"|"&amp;D256</f>
        <v>Thaba Tseka [#SNU] [jyhIrCoB31x]|50+|Male</v>
      </c>
      <c r="F256" s="73" t="n">
        <v>13</v>
      </c>
      <c r="G256" s="118" t="n">
        <f aca="false">IF(SUM($F256)&lt;=0,"",0%)</f>
        <v>0</v>
      </c>
      <c r="H256" s="75" t="n">
        <f aca="false">IF(SUM($F256)&lt;=0,"",$F256*(1+$G256))</f>
        <v>13</v>
      </c>
      <c r="I256" s="73" t="n">
        <v>1</v>
      </c>
      <c r="J256" s="118" t="n">
        <f aca="false">IF(SUM($H256)&lt;=0,"",100%)</f>
        <v>1</v>
      </c>
      <c r="K256" s="118" t="n">
        <v>40</v>
      </c>
      <c r="L256" s="118" t="n">
        <f aca="false">IF(SUM($K256)=0,"",$K256)</f>
        <v>40</v>
      </c>
      <c r="M256" s="118" t="n">
        <v>16</v>
      </c>
      <c r="N256" s="118" t="n">
        <f aca="false">IF(SUM($M256)=0,"",$M256)</f>
        <v>16</v>
      </c>
      <c r="O256" s="73" t="n">
        <f aca="false">IF(SUM($H256)&lt;=0,"",ROUND(SUM($H256)*SUM($J256),0))</f>
        <v>13</v>
      </c>
      <c r="P256" s="75" t="n">
        <f aca="false">IF(SUM($O256)&lt;=0,"",ROUND(SUM($O256)*SUM($L256),0))</f>
        <v>520</v>
      </c>
      <c r="Q256" s="75" t="n">
        <f aca="false">IF(SUM($O256)&lt;=0,"",ROUND((SUM($O256)-SUM($P256))*SUM($N256),0))</f>
        <v>-8112</v>
      </c>
      <c r="R256" s="75" t="n">
        <f aca="false">IF(SUM($O256)&lt;=0,"",ROUND(SUM($O256)-SUM($P256)-SUM($Q256),0))</f>
        <v>7605</v>
      </c>
      <c r="S256" s="118" t="n">
        <f aca="false">_xlfn.IFNA(INDEX(Cascade!$BA:$BA,MATCH($E256,Cascade!$E:$E,0)),"")</f>
        <v>0.95</v>
      </c>
      <c r="T256" s="75" t="n">
        <f aca="false">IF(SUM($P256)&lt;=0,"",$P256)</f>
        <v>520</v>
      </c>
      <c r="U256" s="75" t="str">
        <f aca="false">IF(SUM($Q256)&lt;=0,"",ROUND($Q256*$S256,0))</f>
        <v/>
      </c>
      <c r="V256" s="73" t="str">
        <f aca="false">_xlfn.IFNA(INDEX(Cascade!$BD:$BD,MATCH($E256,Cascade!$E:$E,0)),"")</f>
        <v/>
      </c>
      <c r="W256" s="118" t="str">
        <f aca="false">IF(OR(SUM($V256)&lt;=0,SUM($Q256)=0),"",SUM($Q256)/$V256)</f>
        <v/>
      </c>
      <c r="X256" s="118" t="str">
        <f aca="false">_xlfn.IFNA(INDEX(Cascade!$BL:$BL,MATCH($E256,Cascade!$E:$E,0)),"")</f>
        <v/>
      </c>
      <c r="Y256" s="118" t="str">
        <f aca="false">_xlfn.IFNA(INDEX(Cascade!$BM:$BM,MATCH($E256,Cascade!$E:$E,0)),"")</f>
        <v/>
      </c>
      <c r="Z256" s="118" t="str">
        <f aca="false">_xlfn.IFNA(INDEX(Cascade!$BN:$BN,MATCH($E256,Cascade!$E:$E,0)),"")</f>
        <v/>
      </c>
      <c r="AA256" s="118" t="str">
        <f aca="false">_xlfn.IFNA(INDEX(Cascade!$BP:$BP,MATCH($E256,Cascade!$E:$E,0)),"")</f>
        <v/>
      </c>
      <c r="AB256" s="118" t="str">
        <f aca="false">_xlfn.IFNA(INDEX(Cascade!$BR:$BR,MATCH($E256,Cascade!$E:$E,0)),"")</f>
        <v/>
      </c>
    </row>
  </sheetData>
  <mergeCells count="1">
    <mergeCell ref="A2:B3"/>
  </mergeCells>
  <conditionalFormatting sqref="G1:G1048576">
    <cfRule type="expression" priority="2" aboveAverage="0" equalAverage="0" bottom="0" percent="0" rank="0" text="" dxfId="0">
      <formula>AND(ISNUMBER(G1),G1&gt;0)</formula>
    </cfRule>
  </conditionalFormatting>
  <conditionalFormatting sqref="Q1:Q1048576">
    <cfRule type="expression" priority="3" aboveAverage="0" equalAverage="0" bottom="0" percent="0" rank="0" text="" dxfId="1">
      <formula>AND(ISNUMBER($Q1),ROUND($Q1,2)&gt;ROUND($I1,2))</formula>
    </cfRule>
  </conditionalFormatting>
  <conditionalFormatting sqref="J1:K1048576">
    <cfRule type="expression" priority="4" aboveAverage="0" equalAverage="0" bottom="0" percent="0" rank="0" text="" dxfId="2">
      <formula>AND(ISNUMBER($J1),$J1&lt;1)</formula>
    </cfRule>
  </conditionalFormatting>
  <conditionalFormatting sqref="L1:M1048576">
    <cfRule type="expression" priority="5" aboveAverage="0" equalAverage="0" bottom="0" percent="0" rank="0" text="" dxfId="3">
      <formula>AND(ISNUMBER($L1),ROUND($L1,2)&gt;=0.75)</formula>
    </cfRule>
  </conditionalFormatting>
  <conditionalFormatting sqref="S1:S1048576">
    <cfRule type="expression" priority="6" aboveAverage="0" equalAverage="0" bottom="0" percent="0" rank="0" text="" dxfId="0">
      <formula>AND(ISNUMBER(S1),S1&lt;0.95)</formula>
    </cfRule>
  </conditionalFormatting>
  <conditionalFormatting sqref="Y1:Z1048576">
    <cfRule type="expression" priority="7" aboveAverage="0" equalAverage="0" bottom="0" percent="0" rank="0" text="" dxfId="1">
      <formula>AND(ROW(Y1)&gt;14,$B1&lt;&gt;"",$D1&lt;&gt;"Female")</formula>
    </cfRule>
    <cfRule type="expression" priority="8" aboveAverage="0" equalAverage="0" bottom="0" percent="0" rank="0" text="" dxfId="2">
      <formula>AND(ROW(Y1)&gt;14,$B1&lt;&gt;"",OR($C1="&lt;01",$C1="01-04",$C1="05-09"))</formula>
    </cfRule>
  </conditionalFormatting>
  <conditionalFormatting sqref="AA1:AA1048576">
    <cfRule type="expression" priority="9" aboveAverage="0" equalAverage="0" bottom="0" percent="0" rank="0" text="" dxfId="3">
      <formula>AND(ROW(AA1)&gt;14,$B1&lt;&gt;"",OR($C1="&lt;01",$C1="01-04",$C1="05-09",$C1="10-14"))</formula>
    </cfRule>
    <cfRule type="expression" priority="10" aboveAverage="0" equalAverage="0" bottom="0" percent="0" rank="0" text="" dxfId="4">
      <formula>AND(ROW(AA1)&gt;14,$B1&lt;&gt;"",$D1&lt;&gt;"Male")</formula>
    </cfRule>
  </conditionalFormatting>
  <conditionalFormatting sqref="V1:AB1048576">
    <cfRule type="expression" priority="11" aboveAverage="0" equalAverage="0" bottom="0" percent="0" rank="0" text="" dxfId="5">
      <formula>AND(ROW($AB1)&gt;14,$AB1&lt;0)</formula>
    </cfRule>
  </conditionalFormatting>
  <conditionalFormatting sqref="G1:G1048576 J1:N1048576 S1:S1048576 W1:AB1048576">
    <cfRule type="expression" priority="12" aboveAverage="0" equalAverage="0" bottom="0" percent="0" rank="0" text="" dxfId="6">
      <formula>AND(ISNUMBER(G1),OR(G1&gt;1,G1&lt;0))</formula>
    </cfRule>
  </conditionalFormatting>
  <conditionalFormatting sqref="N1:N1048576">
    <cfRule type="expression" priority="13" aboveAverage="0" equalAverage="0" bottom="0" percent="0" rank="0" text="" dxfId="7">
      <formula>AND(ISNUMBER($N1),$N1&gt;10%)</formula>
    </cfRule>
  </conditionalFormatting>
  <hyperlinks>
    <hyperlink ref="Q3" location="Cascade!BH:BH" display="Newly Tested, Positive"/>
    <hyperlink ref="V3" location="Cascade!BD:BD" display="Total HTS_TST_POS (FY22)"/>
    <hyperlink ref="W3" location="TB!Q:Q" display="Total Positives from TB_STAT (FY22) (%)"/>
    <hyperlink ref="X3" location="Cascade!BL:BL" display="Total Positives from HTS_INDEX (FY22) (%)"/>
    <hyperlink ref="Y3" location="Cascade!BM:BM" display="Total Positives from PMTCT_STAT (FY22) (%)"/>
    <hyperlink ref="Z3" location="Cascade!BN:BN" display="Total Positives from Post ANC1 (FY22) (%)"/>
    <hyperlink ref="AA3" location="Cascade!BP:BP" display="Total Positives from VMMC (FY22) (%)"/>
    <hyperlink ref="AB3" location="Cascade!BR:BR" display="Total Positives from All Other Modalities (FY22) (%)"/>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AJ1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
    <col collapsed="false" customWidth="true" hidden="false" outlineLevel="0" max="36" min="6" style="0" width="11.83"/>
    <col collapsed="false" customWidth="true" hidden="false" outlineLevel="0" max="1025" min="37" style="0" width="10.61"/>
  </cols>
  <sheetData>
    <row r="1" customFormat="false" ht="31" hidden="false" customHeight="true" outlineLevel="0" collapsed="false">
      <c r="A1" s="54" t="s">
        <v>490</v>
      </c>
      <c r="B1" s="54"/>
      <c r="C1" s="54"/>
      <c r="D1" s="54"/>
      <c r="E1" s="54"/>
      <c r="F1" s="80" t="s">
        <v>491</v>
      </c>
      <c r="G1" s="76"/>
      <c r="H1" s="81"/>
      <c r="I1" s="76"/>
      <c r="J1" s="81"/>
      <c r="K1" s="76"/>
      <c r="L1" s="76"/>
      <c r="M1" s="81"/>
      <c r="N1" s="81"/>
      <c r="O1" s="76"/>
      <c r="P1" s="76"/>
      <c r="Q1" s="80" t="s">
        <v>492</v>
      </c>
      <c r="R1" s="83"/>
      <c r="S1" s="79"/>
      <c r="T1" s="79"/>
      <c r="U1" s="79"/>
      <c r="V1" s="79"/>
      <c r="W1" s="79"/>
      <c r="X1" s="79"/>
      <c r="Y1" s="79"/>
      <c r="Z1" s="79"/>
      <c r="AA1" s="76"/>
      <c r="AB1" s="76"/>
      <c r="AC1" s="76"/>
      <c r="AD1" s="76"/>
      <c r="AE1" s="76"/>
      <c r="AF1" s="80" t="s">
        <v>323</v>
      </c>
      <c r="AG1" s="79"/>
      <c r="AH1" s="79"/>
      <c r="AI1" s="79"/>
      <c r="AJ1" s="79"/>
    </row>
    <row r="2" customFormat="false" ht="19" hidden="false" customHeight="true" outlineLevel="0" collapsed="false">
      <c r="A2" s="140" t="s">
        <v>493</v>
      </c>
      <c r="B2" s="140"/>
      <c r="C2" s="57"/>
      <c r="D2" s="57"/>
      <c r="E2" s="57"/>
      <c r="F2" s="88" t="s">
        <v>120</v>
      </c>
      <c r="G2" s="89"/>
      <c r="H2" s="87"/>
      <c r="I2" s="89"/>
      <c r="J2" s="87"/>
      <c r="K2" s="84"/>
      <c r="L2" s="84"/>
      <c r="M2" s="87"/>
      <c r="N2" s="87" t="s">
        <v>156</v>
      </c>
      <c r="O2" s="84" t="s">
        <v>121</v>
      </c>
      <c r="P2" s="84"/>
      <c r="Q2" s="88" t="s">
        <v>120</v>
      </c>
      <c r="R2" s="89"/>
      <c r="S2" s="87"/>
      <c r="T2" s="87" t="s">
        <v>156</v>
      </c>
      <c r="U2" s="87"/>
      <c r="V2" s="87"/>
      <c r="W2" s="87"/>
      <c r="X2" s="87"/>
      <c r="Y2" s="87"/>
      <c r="Z2" s="87"/>
      <c r="AA2" s="84" t="s">
        <v>121</v>
      </c>
      <c r="AB2" s="84"/>
      <c r="AC2" s="84"/>
      <c r="AD2" s="84"/>
      <c r="AE2" s="89"/>
      <c r="AF2" s="88" t="s">
        <v>157</v>
      </c>
      <c r="AG2" s="87"/>
      <c r="AH2" s="87"/>
      <c r="AI2" s="87"/>
      <c r="AJ2" s="87"/>
    </row>
    <row r="3" customFormat="false" ht="117" hidden="false" customHeight="true" outlineLevel="0" collapsed="false">
      <c r="A3" s="140"/>
      <c r="B3" s="140"/>
      <c r="C3" s="61"/>
      <c r="D3" s="61"/>
      <c r="E3" s="61"/>
      <c r="F3" s="142" t="s">
        <v>494</v>
      </c>
      <c r="G3" s="142" t="s">
        <v>160</v>
      </c>
      <c r="H3" s="144" t="s">
        <v>162</v>
      </c>
      <c r="I3" s="142" t="s">
        <v>168</v>
      </c>
      <c r="J3" s="144" t="s">
        <v>495</v>
      </c>
      <c r="K3" s="92" t="s">
        <v>496</v>
      </c>
      <c r="L3" s="92" t="s">
        <v>497</v>
      </c>
      <c r="M3" s="103" t="s">
        <v>498</v>
      </c>
      <c r="N3" s="146" t="s">
        <v>499</v>
      </c>
      <c r="O3" s="100" t="s">
        <v>500</v>
      </c>
      <c r="P3" s="100" t="s">
        <v>501</v>
      </c>
      <c r="Q3" s="145" t="s">
        <v>502</v>
      </c>
      <c r="R3" s="168" t="s">
        <v>503</v>
      </c>
      <c r="S3" s="103" t="s">
        <v>504</v>
      </c>
      <c r="T3" s="99" t="s">
        <v>505</v>
      </c>
      <c r="U3" s="99" t="s">
        <v>506</v>
      </c>
      <c r="V3" s="103" t="s">
        <v>507</v>
      </c>
      <c r="W3" s="99" t="s">
        <v>508</v>
      </c>
      <c r="X3" s="103" t="s">
        <v>509</v>
      </c>
      <c r="Y3" s="99" t="s">
        <v>465</v>
      </c>
      <c r="Z3" s="95" t="s">
        <v>352</v>
      </c>
      <c r="AA3" s="100" t="s">
        <v>510</v>
      </c>
      <c r="AB3" s="100" t="s">
        <v>511</v>
      </c>
      <c r="AC3" s="104" t="s">
        <v>512</v>
      </c>
      <c r="AD3" s="153" t="s">
        <v>513</v>
      </c>
      <c r="AE3" s="153" t="s">
        <v>514</v>
      </c>
      <c r="AF3" s="156" t="s">
        <v>365</v>
      </c>
      <c r="AG3" s="144" t="s">
        <v>515</v>
      </c>
      <c r="AH3" s="144" t="s">
        <v>215</v>
      </c>
      <c r="AI3" s="144" t="s">
        <v>218</v>
      </c>
      <c r="AJ3" s="144" t="s">
        <v>221</v>
      </c>
    </row>
    <row r="4" customFormat="false" ht="15" hidden="false" customHeight="false" outlineLevel="0" collapsed="false">
      <c r="A4" s="65"/>
      <c r="B4" s="65"/>
      <c r="C4" s="65"/>
      <c r="D4" s="65" t="s">
        <v>125</v>
      </c>
      <c r="E4" s="65"/>
      <c r="F4" s="110" t="n">
        <f aca="false">SUBTOTAL(109,F$15:INDEX(F:F,COUNTA($B:$B)+14-COUNTA($B$1:$B$14)))</f>
        <v>694686</v>
      </c>
      <c r="G4" s="109" t="n">
        <f aca="false">SUBTOTAL(109,G$15:INDEX(G:G,COUNTA($B:$B)+14-COUNTA($B$1:$B$14)))</f>
        <v>131889</v>
      </c>
      <c r="H4" s="113" t="n">
        <f aca="false">IF(SUM($F$4)=0,"",SUM($G$4)/$F$4)</f>
        <v>0.189854121142502</v>
      </c>
      <c r="I4" s="109" t="n">
        <f aca="false">SUBTOTAL(109,I$15:INDEX(I:I,COUNTA($B:$B)+14-COUNTA($B$1:$B$14)))</f>
        <v>85154</v>
      </c>
      <c r="J4" s="113" t="n">
        <f aca="false">IF(SUM($G$4)=0,"",SUM($I$4)/$G$4)</f>
        <v>0.64564899271357</v>
      </c>
      <c r="K4" s="105" t="n">
        <f aca="false">SUBTOTAL(109,K$15:INDEX(K:K,COUNTA($B:$B)+14-COUNTA($B$1:$B$14)))</f>
        <v>0</v>
      </c>
      <c r="L4" s="105" t="n">
        <f aca="false">SUBTOTAL(109,L$15:INDEX(L:L,COUNTA($B:$B)+14-COUNTA($B$1:$B$14)))</f>
        <v>0</v>
      </c>
      <c r="M4" s="108"/>
      <c r="N4" s="108"/>
      <c r="O4" s="105" t="n">
        <f aca="false">SUBTOTAL(109,O$15:INDEX(O:O,COUNTA($B:$B)+14-COUNTA($B$1:$B$14)))</f>
        <v>555748</v>
      </c>
      <c r="P4" s="105" t="n">
        <f aca="false">SUBTOTAL(109,P$15:INDEX(P:P,COUNTA($B:$B)+14-COUNTA($B$1:$B$14)))</f>
        <v>555748</v>
      </c>
      <c r="Q4" s="169" t="n">
        <f aca="false">SUBTOTAL(109,Q$15:INDEX(Q:Q,COUNTA($B:$B)+14-COUNTA($B$1:$B$14)))</f>
        <v>0</v>
      </c>
      <c r="R4" s="110" t="n">
        <f aca="false">SUBTOTAL(109,R$15:INDEX(R:R,COUNTA($B:$B)+14-COUNTA($B$1:$B$14)))</f>
        <v>0</v>
      </c>
      <c r="S4" s="113"/>
      <c r="T4" s="113"/>
      <c r="U4" s="113"/>
      <c r="V4" s="113"/>
      <c r="W4" s="113"/>
      <c r="X4" s="113"/>
      <c r="Y4" s="113"/>
      <c r="Z4" s="108"/>
      <c r="AA4" s="105" t="n">
        <f aca="false">SUBTOTAL(109,AA$15:INDEX(AA:AA,COUNTA($B:$B)+14-COUNTA($B$1:$B$14)))</f>
        <v>85</v>
      </c>
      <c r="AB4" s="105" t="n">
        <f aca="false">SUBTOTAL(109,AB$15:INDEX(AB:AB,COUNTA($B:$B)+14-COUNTA($B$1:$B$14)))</f>
        <v>2238</v>
      </c>
      <c r="AC4" s="105" t="n">
        <f aca="false">SUBTOTAL(109,AC$15:INDEX(AC:AC,COUNTA($B:$B)+14-COUNTA($B$1:$B$14)))</f>
        <v>-17484</v>
      </c>
      <c r="AD4" s="105" t="n">
        <f aca="false">SUBTOTAL(109,AD$15:INDEX(AD:AD,COUNTA($B:$B)+14-COUNTA($B$1:$B$14)))</f>
        <v>15331</v>
      </c>
      <c r="AE4" s="110" t="n">
        <f aca="false">SUBTOTAL(109,AE$15:INDEX(AE:AE,COUNTA($B:$B)+14-COUNTA($B$1:$B$14)))</f>
        <v>0</v>
      </c>
      <c r="AF4" s="110" t="n">
        <f aca="false">SUBTOTAL(109,AF$15:INDEX(AF:AF,COUNTA($B:$B)+14-COUNTA($B$1:$B$14)))</f>
        <v>1140</v>
      </c>
      <c r="AG4" s="113"/>
      <c r="AH4" s="113"/>
      <c r="AI4" s="113"/>
      <c r="AJ4" s="113"/>
    </row>
    <row r="5" customFormat="false" ht="12.8" hidden="false" customHeight="false" outlineLevel="0" collapsed="false">
      <c r="A5" s="69" t="s">
        <v>126</v>
      </c>
      <c r="B5" s="69" t="s">
        <v>126</v>
      </c>
      <c r="C5" s="69" t="s">
        <v>126</v>
      </c>
      <c r="D5" s="69" t="s">
        <v>126</v>
      </c>
      <c r="E5" s="69" t="s">
        <v>126</v>
      </c>
      <c r="F5" s="73" t="s">
        <v>126</v>
      </c>
      <c r="G5" s="73" t="s">
        <v>126</v>
      </c>
      <c r="H5" s="118" t="s">
        <v>126</v>
      </c>
      <c r="I5" s="73" t="s">
        <v>126</v>
      </c>
      <c r="J5" s="118" t="s">
        <v>126</v>
      </c>
      <c r="K5" s="115" t="s">
        <v>224</v>
      </c>
      <c r="L5" s="115" t="s">
        <v>224</v>
      </c>
      <c r="M5" s="118" t="s">
        <v>126</v>
      </c>
      <c r="N5" s="118" t="s">
        <v>126</v>
      </c>
      <c r="O5" s="115" t="s">
        <v>224</v>
      </c>
      <c r="P5" s="115" t="s">
        <v>224</v>
      </c>
      <c r="Q5" s="119" t="s">
        <v>225</v>
      </c>
      <c r="R5" s="73" t="s">
        <v>225</v>
      </c>
      <c r="S5" s="123" t="s">
        <v>126</v>
      </c>
      <c r="T5" s="123" t="s">
        <v>126</v>
      </c>
      <c r="U5" s="123" t="s">
        <v>126</v>
      </c>
      <c r="V5" s="123" t="s">
        <v>126</v>
      </c>
      <c r="W5" s="123" t="s">
        <v>126</v>
      </c>
      <c r="X5" s="123" t="s">
        <v>126</v>
      </c>
      <c r="Y5" s="123" t="s">
        <v>126</v>
      </c>
      <c r="Z5" s="118" t="s">
        <v>126</v>
      </c>
      <c r="AA5" s="115" t="s">
        <v>126</v>
      </c>
      <c r="AB5" s="115" t="s">
        <v>225</v>
      </c>
      <c r="AC5" s="115" t="s">
        <v>225</v>
      </c>
      <c r="AD5" s="115" t="s">
        <v>225</v>
      </c>
      <c r="AE5" s="73" t="s">
        <v>126</v>
      </c>
      <c r="AF5" s="119" t="s">
        <v>126</v>
      </c>
      <c r="AG5" s="118" t="s">
        <v>126</v>
      </c>
      <c r="AH5" s="123" t="s">
        <v>126</v>
      </c>
      <c r="AI5" s="123" t="s">
        <v>126</v>
      </c>
      <c r="AJ5" s="123" t="s">
        <v>126</v>
      </c>
    </row>
    <row r="6" customFormat="false" ht="12.8" hidden="false" customHeight="false" outlineLevel="0" collapsed="false">
      <c r="A6" s="69" t="s">
        <v>128</v>
      </c>
      <c r="B6" s="69" t="s">
        <v>128</v>
      </c>
      <c r="C6" s="69" t="s">
        <v>128</v>
      </c>
      <c r="D6" s="69" t="s">
        <v>128</v>
      </c>
      <c r="E6" s="69" t="s">
        <v>128</v>
      </c>
      <c r="F6" s="73" t="s">
        <v>131</v>
      </c>
      <c r="G6" s="73" t="s">
        <v>131</v>
      </c>
      <c r="H6" s="118" t="s">
        <v>131</v>
      </c>
      <c r="I6" s="73" t="s">
        <v>131</v>
      </c>
      <c r="J6" s="118" t="s">
        <v>131</v>
      </c>
      <c r="K6" s="115" t="s">
        <v>130</v>
      </c>
      <c r="L6" s="115" t="s">
        <v>130</v>
      </c>
      <c r="M6" s="118" t="s">
        <v>131</v>
      </c>
      <c r="N6" s="118" t="s">
        <v>131</v>
      </c>
      <c r="O6" s="115" t="s">
        <v>130</v>
      </c>
      <c r="P6" s="115" t="s">
        <v>130</v>
      </c>
      <c r="Q6" s="119" t="s">
        <v>129</v>
      </c>
      <c r="R6" s="73" t="s">
        <v>129</v>
      </c>
      <c r="S6" s="123" t="s">
        <v>131</v>
      </c>
      <c r="T6" s="123" t="s">
        <v>227</v>
      </c>
      <c r="U6" s="123" t="s">
        <v>227</v>
      </c>
      <c r="V6" s="123" t="s">
        <v>228</v>
      </c>
      <c r="W6" s="123" t="s">
        <v>227</v>
      </c>
      <c r="X6" s="123" t="s">
        <v>228</v>
      </c>
      <c r="Y6" s="123" t="s">
        <v>227</v>
      </c>
      <c r="Z6" s="118" t="s">
        <v>227</v>
      </c>
      <c r="AA6" s="115" t="s">
        <v>131</v>
      </c>
      <c r="AB6" s="115" t="s">
        <v>130</v>
      </c>
      <c r="AC6" s="115" t="s">
        <v>130</v>
      </c>
      <c r="AD6" s="115" t="s">
        <v>130</v>
      </c>
      <c r="AE6" s="73" t="s">
        <v>131</v>
      </c>
      <c r="AF6" s="119" t="s">
        <v>131</v>
      </c>
      <c r="AG6" s="118" t="s">
        <v>131</v>
      </c>
      <c r="AH6" s="123" t="s">
        <v>131</v>
      </c>
      <c r="AI6" s="123" t="s">
        <v>131</v>
      </c>
      <c r="AJ6" s="123" t="s">
        <v>131</v>
      </c>
    </row>
    <row r="7" customFormat="false" ht="12.8" hidden="false" customHeight="false" outlineLevel="0" collapsed="false">
      <c r="A7" s="69" t="s">
        <v>132</v>
      </c>
      <c r="B7" s="69" t="s">
        <v>132</v>
      </c>
      <c r="C7" s="69" t="s">
        <v>132</v>
      </c>
      <c r="D7" s="69" t="s">
        <v>132</v>
      </c>
      <c r="E7" s="69" t="s">
        <v>132</v>
      </c>
      <c r="F7" s="73" t="s">
        <v>133</v>
      </c>
      <c r="G7" s="73" t="s">
        <v>133</v>
      </c>
      <c r="H7" s="118" t="s">
        <v>229</v>
      </c>
      <c r="I7" s="73" t="s">
        <v>133</v>
      </c>
      <c r="J7" s="118" t="s">
        <v>229</v>
      </c>
      <c r="K7" s="115" t="s">
        <v>133</v>
      </c>
      <c r="L7" s="115" t="s">
        <v>133</v>
      </c>
      <c r="M7" s="118" t="s">
        <v>229</v>
      </c>
      <c r="N7" s="118" t="s">
        <v>229</v>
      </c>
      <c r="O7" s="115" t="s">
        <v>133</v>
      </c>
      <c r="P7" s="115" t="s">
        <v>133</v>
      </c>
      <c r="Q7" s="119" t="s">
        <v>133</v>
      </c>
      <c r="R7" s="73" t="s">
        <v>133</v>
      </c>
      <c r="S7" s="123" t="s">
        <v>229</v>
      </c>
      <c r="T7" s="123" t="s">
        <v>229</v>
      </c>
      <c r="U7" s="123" t="s">
        <v>229</v>
      </c>
      <c r="V7" s="123" t="s">
        <v>229</v>
      </c>
      <c r="W7" s="123" t="s">
        <v>229</v>
      </c>
      <c r="X7" s="123" t="s">
        <v>229</v>
      </c>
      <c r="Y7" s="123" t="s">
        <v>229</v>
      </c>
      <c r="Z7" s="118" t="s">
        <v>229</v>
      </c>
      <c r="AA7" s="115" t="s">
        <v>133</v>
      </c>
      <c r="AB7" s="115" t="s">
        <v>133</v>
      </c>
      <c r="AC7" s="115" t="s">
        <v>133</v>
      </c>
      <c r="AD7" s="115" t="s">
        <v>133</v>
      </c>
      <c r="AE7" s="73" t="s">
        <v>133</v>
      </c>
      <c r="AF7" s="119" t="s">
        <v>133</v>
      </c>
      <c r="AG7" s="118" t="s">
        <v>229</v>
      </c>
      <c r="AH7" s="123" t="s">
        <v>229</v>
      </c>
      <c r="AI7" s="123" t="s">
        <v>229</v>
      </c>
      <c r="AJ7" s="123" t="s">
        <v>229</v>
      </c>
    </row>
    <row r="8" customFormat="false" ht="12.8" hidden="false" customHeight="false" outlineLevel="0" collapsed="false">
      <c r="F8" s="73"/>
      <c r="G8" s="73"/>
      <c r="H8" s="118"/>
      <c r="I8" s="73"/>
      <c r="J8" s="118"/>
      <c r="K8" s="115" t="s">
        <v>516</v>
      </c>
      <c r="L8" s="115" t="s">
        <v>517</v>
      </c>
      <c r="O8" s="115" t="s">
        <v>517</v>
      </c>
      <c r="P8" s="115" t="s">
        <v>516</v>
      </c>
      <c r="Q8" s="119" t="s">
        <v>518</v>
      </c>
      <c r="R8" s="73" t="s">
        <v>519</v>
      </c>
      <c r="Z8" s="118"/>
      <c r="AB8" s="115" t="s">
        <v>520</v>
      </c>
      <c r="AC8" s="115" t="s">
        <v>520</v>
      </c>
      <c r="AD8" s="115" t="s">
        <v>520</v>
      </c>
      <c r="AE8" s="73"/>
    </row>
    <row r="9" customFormat="false" ht="12.8" hidden="false" customHeight="false" outlineLevel="0" collapsed="false">
      <c r="F9" s="73"/>
      <c r="G9" s="73"/>
      <c r="H9" s="118"/>
      <c r="I9" s="73"/>
      <c r="J9" s="118"/>
      <c r="L9" s="115"/>
      <c r="Q9" s="119" t="s">
        <v>521</v>
      </c>
      <c r="R9" s="73" t="s">
        <v>522</v>
      </c>
      <c r="Z9" s="118"/>
      <c r="AB9" s="115" t="s">
        <v>523</v>
      </c>
      <c r="AC9" s="115" t="s">
        <v>523</v>
      </c>
      <c r="AD9" s="115" t="s">
        <v>523</v>
      </c>
      <c r="AE9" s="73"/>
    </row>
    <row r="10" customFormat="false" ht="12.8" hidden="false" customHeight="false" outlineLevel="0" collapsed="false">
      <c r="F10" s="73"/>
      <c r="G10" s="73"/>
      <c r="H10" s="118"/>
      <c r="I10" s="73"/>
      <c r="J10" s="118"/>
      <c r="L10" s="115"/>
      <c r="Q10" s="119"/>
      <c r="Z10" s="118"/>
      <c r="AB10" s="115" t="s">
        <v>524</v>
      </c>
      <c r="AC10" s="115" t="s">
        <v>243</v>
      </c>
      <c r="AD10" s="115" t="s">
        <v>384</v>
      </c>
      <c r="AE10" s="73"/>
    </row>
    <row r="11" customFormat="false" ht="12.8" hidden="false" customHeight="false" outlineLevel="0" collapsed="false">
      <c r="F11" s="73" t="s">
        <v>248</v>
      </c>
      <c r="G11" s="73" t="s">
        <v>248</v>
      </c>
      <c r="H11" s="118" t="s">
        <v>248</v>
      </c>
      <c r="I11" s="73" t="s">
        <v>248</v>
      </c>
      <c r="J11" s="118" t="s">
        <v>248</v>
      </c>
      <c r="K11" s="115" t="s">
        <v>248</v>
      </c>
      <c r="L11" s="115" t="s">
        <v>248</v>
      </c>
      <c r="M11" s="118" t="s">
        <v>248</v>
      </c>
      <c r="N11" s="5" t="s">
        <v>248</v>
      </c>
      <c r="O11" s="115" t="s">
        <v>248</v>
      </c>
      <c r="P11" s="115" t="s">
        <v>248</v>
      </c>
      <c r="Q11" s="119" t="s">
        <v>248</v>
      </c>
      <c r="R11" s="73" t="s">
        <v>248</v>
      </c>
      <c r="S11" s="123" t="s">
        <v>248</v>
      </c>
      <c r="T11" s="123" t="s">
        <v>248</v>
      </c>
      <c r="U11" s="123" t="s">
        <v>248</v>
      </c>
      <c r="V11" s="123" t="s">
        <v>248</v>
      </c>
      <c r="W11" s="123" t="s">
        <v>248</v>
      </c>
      <c r="X11" s="123" t="s">
        <v>248</v>
      </c>
      <c r="Y11" s="123" t="s">
        <v>248</v>
      </c>
      <c r="Z11" s="5" t="s">
        <v>248</v>
      </c>
      <c r="AA11" s="115" t="s">
        <v>248</v>
      </c>
      <c r="AB11" s="115" t="s">
        <v>248</v>
      </c>
      <c r="AC11" s="115" t="s">
        <v>248</v>
      </c>
      <c r="AD11" s="115" t="s">
        <v>248</v>
      </c>
      <c r="AE11" s="73" t="s">
        <v>248</v>
      </c>
      <c r="AF11" s="119" t="s">
        <v>248</v>
      </c>
      <c r="AG11" s="118" t="s">
        <v>248</v>
      </c>
      <c r="AH11" s="123" t="s">
        <v>248</v>
      </c>
      <c r="AI11" s="123" t="s">
        <v>248</v>
      </c>
      <c r="AJ11" s="123" t="s">
        <v>248</v>
      </c>
    </row>
    <row r="12" customFormat="false" ht="12.8" hidden="false" customHeight="false" outlineLevel="0" collapsed="false">
      <c r="F12" s="73" t="s">
        <v>251</v>
      </c>
      <c r="G12" s="73" t="s">
        <v>251</v>
      </c>
      <c r="H12" s="118" t="s">
        <v>251</v>
      </c>
      <c r="I12" s="73" t="s">
        <v>251</v>
      </c>
      <c r="J12" s="118" t="s">
        <v>251</v>
      </c>
      <c r="K12" s="115" t="s">
        <v>251</v>
      </c>
      <c r="L12" s="115" t="s">
        <v>251</v>
      </c>
      <c r="M12" s="118" t="s">
        <v>251</v>
      </c>
      <c r="N12" s="118" t="s">
        <v>251</v>
      </c>
      <c r="O12" s="115" t="s">
        <v>251</v>
      </c>
      <c r="P12" s="115" t="s">
        <v>251</v>
      </c>
      <c r="Q12" s="119" t="s">
        <v>251</v>
      </c>
      <c r="R12" s="73" t="s">
        <v>251</v>
      </c>
      <c r="S12" s="123" t="s">
        <v>251</v>
      </c>
      <c r="T12" s="123" t="s">
        <v>251</v>
      </c>
      <c r="U12" s="123" t="s">
        <v>251</v>
      </c>
      <c r="V12" s="123" t="s">
        <v>251</v>
      </c>
      <c r="W12" s="123" t="s">
        <v>251</v>
      </c>
      <c r="X12" s="123" t="s">
        <v>251</v>
      </c>
      <c r="Y12" s="123" t="s">
        <v>251</v>
      </c>
      <c r="Z12" s="118" t="s">
        <v>251</v>
      </c>
      <c r="AA12" s="115" t="s">
        <v>251</v>
      </c>
      <c r="AB12" s="115" t="s">
        <v>251</v>
      </c>
      <c r="AC12" s="115" t="s">
        <v>251</v>
      </c>
      <c r="AD12" s="115" t="s">
        <v>251</v>
      </c>
      <c r="AE12" s="73" t="s">
        <v>251</v>
      </c>
      <c r="AF12" s="119" t="s">
        <v>251</v>
      </c>
      <c r="AG12" s="118" t="s">
        <v>251</v>
      </c>
      <c r="AH12" s="123" t="s">
        <v>251</v>
      </c>
      <c r="AI12" s="123" t="s">
        <v>251</v>
      </c>
      <c r="AJ12" s="123" t="s">
        <v>251</v>
      </c>
    </row>
    <row r="13" customFormat="false" ht="12.8" hidden="false" customHeight="false" outlineLevel="0" collapsed="false">
      <c r="F13" s="73"/>
      <c r="G13" s="73"/>
      <c r="H13" s="118"/>
      <c r="I13" s="73"/>
      <c r="J13" s="118"/>
      <c r="L13" s="115"/>
      <c r="Q13" s="119"/>
      <c r="Z13" s="118"/>
      <c r="AE13" s="73"/>
    </row>
    <row r="14" customFormat="false" ht="15" hidden="false" customHeight="false" outlineLevel="0" collapsed="false">
      <c r="A14" s="70" t="s">
        <v>135</v>
      </c>
      <c r="B14" s="70" t="s">
        <v>136</v>
      </c>
      <c r="C14" s="70" t="s">
        <v>252</v>
      </c>
      <c r="D14" s="70" t="s">
        <v>253</v>
      </c>
      <c r="E14" s="70" t="s">
        <v>42</v>
      </c>
      <c r="F14" s="131" t="s">
        <v>52</v>
      </c>
      <c r="G14" s="131" t="s">
        <v>97</v>
      </c>
      <c r="H14" s="162" t="s">
        <v>91</v>
      </c>
      <c r="I14" s="131" t="s">
        <v>99</v>
      </c>
      <c r="J14" s="162" t="s">
        <v>267</v>
      </c>
      <c r="K14" s="128" t="s">
        <v>525</v>
      </c>
      <c r="L14" s="128" t="s">
        <v>526</v>
      </c>
      <c r="M14" s="162" t="s">
        <v>527</v>
      </c>
      <c r="N14" s="131" t="s">
        <v>528</v>
      </c>
      <c r="O14" s="128" t="s">
        <v>529</v>
      </c>
      <c r="P14" s="128" t="s">
        <v>530</v>
      </c>
      <c r="Q14" s="163" t="s">
        <v>531</v>
      </c>
      <c r="R14" s="131" t="s">
        <v>532</v>
      </c>
      <c r="S14" s="162" t="s">
        <v>533</v>
      </c>
      <c r="T14" s="162" t="s">
        <v>534</v>
      </c>
      <c r="U14" s="162" t="s">
        <v>535</v>
      </c>
      <c r="V14" s="162" t="s">
        <v>536</v>
      </c>
      <c r="W14" s="162" t="s">
        <v>537</v>
      </c>
      <c r="X14" s="162" t="s">
        <v>538</v>
      </c>
      <c r="Y14" s="162" t="s">
        <v>539</v>
      </c>
      <c r="Z14" s="131" t="s">
        <v>540</v>
      </c>
      <c r="AA14" s="128" t="s">
        <v>541</v>
      </c>
      <c r="AB14" s="128" t="s">
        <v>542</v>
      </c>
      <c r="AC14" s="128" t="s">
        <v>303</v>
      </c>
      <c r="AD14" s="128" t="s">
        <v>543</v>
      </c>
      <c r="AE14" s="131" t="s">
        <v>544</v>
      </c>
      <c r="AF14" s="163" t="s">
        <v>423</v>
      </c>
      <c r="AG14" s="162" t="s">
        <v>310</v>
      </c>
      <c r="AH14" s="162" t="s">
        <v>306</v>
      </c>
      <c r="AI14" s="162" t="s">
        <v>309</v>
      </c>
      <c r="AJ14" s="162" t="s">
        <v>312</v>
      </c>
    </row>
    <row r="15" customFormat="false" ht="15" hidden="false" customHeight="false" outlineLevel="0" collapsed="false">
      <c r="A15" s="0" t="s">
        <v>140</v>
      </c>
      <c r="B15" s="0" t="s">
        <v>141</v>
      </c>
      <c r="C15" s="0" t="s">
        <v>63</v>
      </c>
      <c r="D15" s="0" t="s">
        <v>58</v>
      </c>
      <c r="E15" s="69" t="str">
        <f aca="false">B15&amp;"|"&amp;C15&amp;"|"&amp;D15</f>
        <v>_Military Lesotho [#Military] [dDOqoFnD5Be]|15-19|Male</v>
      </c>
      <c r="F15" s="73" t="str">
        <f aca="false">_xlfn.IFNA(INDEX(Cascade!$F:$F,MATCH($E15,Cascade!$E:$E,0)),"")</f>
        <v/>
      </c>
      <c r="G15" s="124" t="str">
        <f aca="false">_xlfn.IFNA(INDEX(Cascade!$H:$H,MATCH($E15,Cascade!$E:$E,0)),"")</f>
        <v/>
      </c>
      <c r="H15" s="123" t="str">
        <f aca="false">_xlfn.IFNA(INDEX(Cascade!$J:$J,MATCH($E15,Cascade!$E:$E,0)),"")</f>
        <v/>
      </c>
      <c r="I15" s="124" t="str">
        <f aca="false">_xlfn.IFNA(INDEX(Cascade!$P:$P,MATCH($E15,Cascade!$E:$E,0)),"")</f>
        <v/>
      </c>
      <c r="J15" s="123" t="str">
        <f aca="false">_xlfn.IFNA(INDEX(Cascade!$Y:$Y,MATCH($E15,Cascade!$E:$E,0)),"")</f>
        <v/>
      </c>
      <c r="K15" s="115" t="str">
        <f aca="false">_xlfn.IFNA(ROUND(INDEX(Spectrum!$N:$N,MATCH(RIGHT($B15,13)&amp;"|"&amp;$C15&amp;"|"&amp;$D15&amp;"|"&amp;K$14&amp;"|"&amp;"CY2021Q3",Spectrum!$Q:$Q,0)),0),"")</f>
        <v/>
      </c>
      <c r="L15" s="115" t="str">
        <f aca="false">_xlfn.IFNA(ROUND(INDEX(Spectrum!$N:$N,MATCH(RIGHT($B15,13)&amp;"|"&amp;$C15&amp;"|"&amp;$D15&amp;"|"&amp;L$14&amp;"|"&amp;"CY2021Q3",Spectrum!$Q:$Q,0)),0),"")</f>
        <v/>
      </c>
      <c r="M15" s="118" t="str">
        <f aca="false">IF(OR(LEFT($B15,4)="_Mil",SUM($F15)&lt;=0),"",SUM($L15)/$F15)</f>
        <v/>
      </c>
      <c r="N15" s="118" t="str">
        <f aca="false">IF(LEFT($B15,4)="_Mil","",80%)</f>
        <v/>
      </c>
      <c r="O15" s="115" t="str">
        <f aca="false">IF(LEFT($B15,4)="_Mil","",IF(SUM($F15)=0,"",ROUND(SUM($F15)*SUM($N15),0)))</f>
        <v/>
      </c>
      <c r="P15" s="115" t="str">
        <f aca="false">IF(LEFT($B15,4)="_Mil","",IF(SUM($F15)=0,"",ROUND(MAX(SUM($O15)-SUM($L15),0),0)))</f>
        <v/>
      </c>
      <c r="Q15" s="73" t="n">
        <v>4</v>
      </c>
      <c r="R15" s="73" t="n">
        <v>10</v>
      </c>
      <c r="S15" s="123" t="str">
        <f aca="false">IF(LEFT($B15,4)="_Mil","",IF(SUM($K15)&lt;=0,"",SUM($R15)/$K15))</f>
        <v/>
      </c>
      <c r="T15" s="123" t="str">
        <f aca="false">IF(SUM($S15)&lt;=0,"",$S15)</f>
        <v/>
      </c>
      <c r="U15" s="123" t="n">
        <f aca="false">IF(LEFT($B15,4)="_Mil",0,"")</f>
        <v>0</v>
      </c>
      <c r="V15" s="118" t="n">
        <v>23</v>
      </c>
      <c r="W15" s="123" t="n">
        <f aca="false">IF(SUM($V15)=0,"",$V15)</f>
        <v>23</v>
      </c>
      <c r="X15" s="118"/>
      <c r="Y15" s="123" t="str">
        <f aca="false">IF(SUM($X15)=0,"",$X15)</f>
        <v/>
      </c>
      <c r="Z15" s="118" t="n">
        <f aca="false">_xlfn.IFNA(INDEX(Cascade!$BA:$BA,MATCH($E15,Cascade!$E:$E,0)),"")</f>
        <v>0.95</v>
      </c>
      <c r="AA15" s="115" t="n">
        <f aca="false">IF(LEFT($B15,4)="_Mil",IF(SUM($R15)=0,"",ROUND(SUM($R15)*(1+$U15),0)),IF(SUM($P15)=0,"",ROUND(SUM($T15)*SUM($P15),0)))</f>
        <v>10</v>
      </c>
      <c r="AB15" s="115" t="n">
        <f aca="false">IF(SUM($AA15)&lt;=0,"",ROUND($AA15*$W15,0))</f>
        <v>230</v>
      </c>
      <c r="AC15" s="115" t="n">
        <f aca="false">IF(SUM($AA15)&lt;=0,"",ROUND((SUM($AA15)-SUM($AB15))*SUM($Y15),0))</f>
        <v>-0</v>
      </c>
      <c r="AD15" s="115" t="n">
        <f aca="false">IF(SUM($AA15)&lt;=0,"",$AA15-$AB15-$AC15)</f>
        <v>-220</v>
      </c>
      <c r="AE15" s="73" t="str">
        <f aca="false">IF(SUM($AC15)&lt;=0,"",ROUND($AC15*$Z15,0))</f>
        <v/>
      </c>
      <c r="AF15" s="119" t="n">
        <f aca="false">_xlfn.IFNA(INDEX(Cascade!$BD:$BD,MATCH($E15,Cascade!$E:$E,0)),"")</f>
        <v>1</v>
      </c>
      <c r="AG15" s="123" t="n">
        <f aca="false">IF(SUM($AF15)&lt;=0,"",SUM($AC15)/$AF15)</f>
        <v>0</v>
      </c>
      <c r="AH15" s="123" t="str">
        <f aca="false">_xlfn.IFNA(INDEX(Cascade!$BL:$BL,MATCH($E15,Cascade!$E:$E,0)),"")</f>
        <v/>
      </c>
      <c r="AI15" s="123" t="str">
        <f aca="false">_xlfn.IFNA(INDEX(Cascade!$BO:$BO,MATCH($E15,Cascade!$E:$E,0)),"")</f>
        <v/>
      </c>
      <c r="AJ15" s="123" t="n">
        <f aca="false">_xlfn.IFNA(INDEX(Cascade!$BR:$BR,MATCH($E15,Cascade!$E:$E,0)),"")</f>
        <v>1</v>
      </c>
    </row>
    <row r="16" customFormat="false" ht="15" hidden="false" customHeight="false" outlineLevel="0" collapsed="false">
      <c r="A16" s="0" t="s">
        <v>140</v>
      </c>
      <c r="B16" s="0" t="s">
        <v>141</v>
      </c>
      <c r="C16" s="0" t="s">
        <v>66</v>
      </c>
      <c r="D16" s="0" t="s">
        <v>58</v>
      </c>
      <c r="E16" s="0" t="str">
        <f aca="false">B16&amp;"|"&amp;C16&amp;"|"&amp;D16</f>
        <v>_Military Lesotho [#Military] [dDOqoFnD5Be]|20-24|Male</v>
      </c>
      <c r="F16" s="73" t="str">
        <f aca="false">_xlfn.IFNA(INDEX(Cascade!$F:$F,MATCH($E16,Cascade!$E:$E,0)),"")</f>
        <v/>
      </c>
      <c r="G16" s="73" t="str">
        <f aca="false">_xlfn.IFNA(INDEX(Cascade!$H:$H,MATCH($E16,Cascade!$E:$E,0)),"")</f>
        <v/>
      </c>
      <c r="H16" s="118" t="str">
        <f aca="false">_xlfn.IFNA(INDEX(Cascade!$J:$J,MATCH($E16,Cascade!$E:$E,0)),"")</f>
        <v/>
      </c>
      <c r="I16" s="73" t="str">
        <f aca="false">_xlfn.IFNA(INDEX(Cascade!$P:$P,MATCH($E16,Cascade!$E:$E,0)),"")</f>
        <v/>
      </c>
      <c r="J16" s="118" t="str">
        <f aca="false">_xlfn.IFNA(INDEX(Cascade!$Y:$Y,MATCH($E16,Cascade!$E:$E,0)),"")</f>
        <v/>
      </c>
      <c r="K16" s="75" t="str">
        <f aca="false">_xlfn.IFNA(ROUND(INDEX(Spectrum!$N:$N,MATCH(RIGHT($B16,13)&amp;"|"&amp;$C16&amp;"|"&amp;$D16&amp;"|"&amp;K$14&amp;"|"&amp;"CY2021Q3",Spectrum!$Q:$Q,0)),0),"")</f>
        <v/>
      </c>
      <c r="L16" s="75" t="str">
        <f aca="false">_xlfn.IFNA(ROUND(INDEX(Spectrum!$N:$N,MATCH(RIGHT($B16,13)&amp;"|"&amp;$C16&amp;"|"&amp;$D16&amp;"|"&amp;L$14&amp;"|"&amp;"CY2021Q3",Spectrum!$Q:$Q,0)),0),"")</f>
        <v/>
      </c>
      <c r="M16" s="118" t="str">
        <f aca="false">IF(OR(LEFT($B16,4)="_Mil",SUM($F16)&lt;=0),"",SUM($L16)/$F16)</f>
        <v/>
      </c>
      <c r="N16" s="118" t="str">
        <f aca="false">IF(LEFT($B16,4)="_Mil","",80%)</f>
        <v/>
      </c>
      <c r="O16" s="75" t="str">
        <f aca="false">IF(LEFT($B16,4)="_Mil","",IF(SUM($F16)=0,"",ROUND(SUM($F16)*SUM($N16),0)))</f>
        <v/>
      </c>
      <c r="P16" s="75" t="str">
        <f aca="false">IF(LEFT($B16,4)="_Mil","",IF(SUM($F16)=0,"",ROUND(MAX(SUM($O16)-SUM($L16),0),0)))</f>
        <v/>
      </c>
      <c r="Q16" s="73" t="n">
        <v>49</v>
      </c>
      <c r="R16" s="73" t="n">
        <v>13</v>
      </c>
      <c r="S16" s="118" t="str">
        <f aca="false">IF(LEFT($B16,4)="_Mil","",IF(SUM($K16)&lt;=0,"",SUM($R16)/$K16))</f>
        <v/>
      </c>
      <c r="T16" s="118" t="str">
        <f aca="false">IF(SUM($S16)&lt;=0,"",$S16)</f>
        <v/>
      </c>
      <c r="U16" s="118" t="n">
        <f aca="false">IF(LEFT($B16,4)="_Mil",0,"")</f>
        <v>0</v>
      </c>
      <c r="V16" s="118" t="n">
        <v>41</v>
      </c>
      <c r="W16" s="118" t="n">
        <f aca="false">IF(SUM($V16)=0,"",$V16)</f>
        <v>41</v>
      </c>
      <c r="X16" s="118"/>
      <c r="Y16" s="118" t="str">
        <f aca="false">IF(SUM($X16)=0,"",$X16)</f>
        <v/>
      </c>
      <c r="Z16" s="118" t="n">
        <f aca="false">_xlfn.IFNA(INDEX(Cascade!$BA:$BA,MATCH($E16,Cascade!$E:$E,0)),"")</f>
        <v>0.95</v>
      </c>
      <c r="AA16" s="73" t="n">
        <f aca="false">IF(LEFT($B16,4)="_Mil",IF(SUM($R16)=0,"",ROUND(SUM($R16)*(1+$U16),0)),IF(SUM($P16)=0,"",ROUND(SUM($T16)*SUM($P16),0)))</f>
        <v>13</v>
      </c>
      <c r="AB16" s="75" t="n">
        <f aca="false">IF(SUM($AA16)&lt;=0,"",ROUND($AA16*$W16,0))</f>
        <v>533</v>
      </c>
      <c r="AC16" s="75" t="n">
        <f aca="false">IF(SUM($AA16)&lt;=0,"",ROUND((SUM($AA16)-SUM($AB16))*SUM($Y16),0))</f>
        <v>-0</v>
      </c>
      <c r="AD16" s="75" t="n">
        <f aca="false">IF(SUM($AA16)&lt;=0,"",$AA16-$AB16-$AC16)</f>
        <v>-520</v>
      </c>
      <c r="AE16" s="73" t="str">
        <f aca="false">IF(SUM($AC16)&lt;=0,"",ROUND($AC16*$Z16,0))</f>
        <v/>
      </c>
      <c r="AF16" s="73" t="str">
        <f aca="false">_xlfn.IFNA(INDEX(Cascade!$BD:$BD,MATCH($E16,Cascade!$E:$E,0)),"")</f>
        <v/>
      </c>
      <c r="AG16" s="118" t="str">
        <f aca="false">IF(SUM($AF16)&lt;=0,"",SUM($AC16)/$AF16)</f>
        <v/>
      </c>
      <c r="AH16" s="118" t="str">
        <f aca="false">_xlfn.IFNA(INDEX(Cascade!$BL:$BL,MATCH($E16,Cascade!$E:$E,0)),"")</f>
        <v/>
      </c>
      <c r="AI16" s="118" t="str">
        <f aca="false">_xlfn.IFNA(INDEX(Cascade!$BO:$BO,MATCH($E16,Cascade!$E:$E,0)),"")</f>
        <v/>
      </c>
      <c r="AJ16" s="118" t="str">
        <f aca="false">_xlfn.IFNA(INDEX(Cascade!$BR:$BR,MATCH($E16,Cascade!$E:$E,0)),"")</f>
        <v/>
      </c>
    </row>
    <row r="17" customFormat="false" ht="15" hidden="false" customHeight="false" outlineLevel="0" collapsed="false">
      <c r="A17" s="0" t="s">
        <v>140</v>
      </c>
      <c r="B17" s="0" t="s">
        <v>141</v>
      </c>
      <c r="C17" s="0" t="s">
        <v>69</v>
      </c>
      <c r="D17" s="0" t="s">
        <v>58</v>
      </c>
      <c r="E17" s="0" t="str">
        <f aca="false">B17&amp;"|"&amp;C17&amp;"|"&amp;D17</f>
        <v>_Military Lesotho [#Military] [dDOqoFnD5Be]|25-29|Male</v>
      </c>
      <c r="F17" s="73" t="str">
        <f aca="false">_xlfn.IFNA(INDEX(Cascade!$F:$F,MATCH($E17,Cascade!$E:$E,0)),"")</f>
        <v/>
      </c>
      <c r="G17" s="73" t="str">
        <f aca="false">_xlfn.IFNA(INDEX(Cascade!$H:$H,MATCH($E17,Cascade!$E:$E,0)),"")</f>
        <v/>
      </c>
      <c r="H17" s="118" t="str">
        <f aca="false">_xlfn.IFNA(INDEX(Cascade!$J:$J,MATCH($E17,Cascade!$E:$E,0)),"")</f>
        <v/>
      </c>
      <c r="I17" s="73" t="str">
        <f aca="false">_xlfn.IFNA(INDEX(Cascade!$P:$P,MATCH($E17,Cascade!$E:$E,0)),"")</f>
        <v/>
      </c>
      <c r="J17" s="118" t="str">
        <f aca="false">_xlfn.IFNA(INDEX(Cascade!$Y:$Y,MATCH($E17,Cascade!$E:$E,0)),"")</f>
        <v/>
      </c>
      <c r="K17" s="75" t="str">
        <f aca="false">_xlfn.IFNA(ROUND(INDEX(Spectrum!$N:$N,MATCH(RIGHT($B17,13)&amp;"|"&amp;$C17&amp;"|"&amp;$D17&amp;"|"&amp;K$14&amp;"|"&amp;"CY2021Q3",Spectrum!$Q:$Q,0)),0),"")</f>
        <v/>
      </c>
      <c r="L17" s="75" t="str">
        <f aca="false">_xlfn.IFNA(ROUND(INDEX(Spectrum!$N:$N,MATCH(RIGHT($B17,13)&amp;"|"&amp;$C17&amp;"|"&amp;$D17&amp;"|"&amp;L$14&amp;"|"&amp;"CY2021Q3",Spectrum!$Q:$Q,0)),0),"")</f>
        <v/>
      </c>
      <c r="M17" s="118" t="str">
        <f aca="false">IF(OR(LEFT($B17,4)="_Mil",SUM($F17)&lt;=0),"",SUM($L17)/$F17)</f>
        <v/>
      </c>
      <c r="N17" s="118" t="str">
        <f aca="false">IF(LEFT($B17,4)="_Mil","",80%)</f>
        <v/>
      </c>
      <c r="O17" s="75" t="str">
        <f aca="false">IF(LEFT($B17,4)="_Mil","",IF(SUM($F17)=0,"",ROUND(SUM($F17)*SUM($N17),0)))</f>
        <v/>
      </c>
      <c r="P17" s="75" t="str">
        <f aca="false">IF(LEFT($B17,4)="_Mil","",IF(SUM($F17)=0,"",ROUND(MAX(SUM($O17)-SUM($L17),0),0)))</f>
        <v/>
      </c>
      <c r="Q17" s="73" t="n">
        <v>20</v>
      </c>
      <c r="R17" s="73" t="n">
        <v>17</v>
      </c>
      <c r="S17" s="118" t="str">
        <f aca="false">IF(LEFT($B17,4)="_Mil","",IF(SUM($K17)&lt;=0,"",SUM($R17)/$K17))</f>
        <v/>
      </c>
      <c r="T17" s="118" t="str">
        <f aca="false">IF(SUM($S17)&lt;=0,"",$S17)</f>
        <v/>
      </c>
      <c r="U17" s="118" t="n">
        <f aca="false">IF(LEFT($B17,4)="_Mil",0,"")</f>
        <v>0</v>
      </c>
      <c r="V17" s="118" t="n">
        <v>49</v>
      </c>
      <c r="W17" s="118" t="n">
        <f aca="false">IF(SUM($V17)=0,"",$V17)</f>
        <v>49</v>
      </c>
      <c r="X17" s="118"/>
      <c r="Y17" s="118" t="str">
        <f aca="false">IF(SUM($X17)=0,"",$X17)</f>
        <v/>
      </c>
      <c r="Z17" s="118" t="n">
        <f aca="false">_xlfn.IFNA(INDEX(Cascade!$BA:$BA,MATCH($E17,Cascade!$E:$E,0)),"")</f>
        <v>0.95</v>
      </c>
      <c r="AA17" s="73" t="n">
        <f aca="false">IF(LEFT($B17,4)="_Mil",IF(SUM($R17)=0,"",ROUND(SUM($R17)*(1+$U17),0)),IF(SUM($P17)=0,"",ROUND(SUM($T17)*SUM($P17),0)))</f>
        <v>17</v>
      </c>
      <c r="AB17" s="75" t="n">
        <f aca="false">IF(SUM($AA17)&lt;=0,"",ROUND($AA17*$W17,0))</f>
        <v>833</v>
      </c>
      <c r="AC17" s="75" t="n">
        <f aca="false">IF(SUM($AA17)&lt;=0,"",ROUND((SUM($AA17)-SUM($AB17))*SUM($Y17),0))</f>
        <v>-0</v>
      </c>
      <c r="AD17" s="75" t="n">
        <f aca="false">IF(SUM($AA17)&lt;=0,"",$AA17-$AB17-$AC17)</f>
        <v>-816</v>
      </c>
      <c r="AE17" s="73" t="str">
        <f aca="false">IF(SUM($AC17)&lt;=0,"",ROUND($AC17*$Z17,0))</f>
        <v/>
      </c>
      <c r="AF17" s="73" t="n">
        <f aca="false">_xlfn.IFNA(INDEX(Cascade!$BD:$BD,MATCH($E17,Cascade!$E:$E,0)),"")</f>
        <v>1</v>
      </c>
      <c r="AG17" s="118" t="n">
        <f aca="false">IF(SUM($AF17)&lt;=0,"",SUM($AC17)/$AF17)</f>
        <v>0</v>
      </c>
      <c r="AH17" s="118" t="str">
        <f aca="false">_xlfn.IFNA(INDEX(Cascade!$BL:$BL,MATCH($E17,Cascade!$E:$E,0)),"")</f>
        <v/>
      </c>
      <c r="AI17" s="118" t="str">
        <f aca="false">_xlfn.IFNA(INDEX(Cascade!$BO:$BO,MATCH($E17,Cascade!$E:$E,0)),"")</f>
        <v/>
      </c>
      <c r="AJ17" s="118" t="n">
        <f aca="false">_xlfn.IFNA(INDEX(Cascade!$BR:$BR,MATCH($E17,Cascade!$E:$E,0)),"")</f>
        <v>1</v>
      </c>
    </row>
    <row r="18" customFormat="false" ht="15" hidden="false" customHeight="false" outlineLevel="0" collapsed="false">
      <c r="A18" s="0" t="s">
        <v>140</v>
      </c>
      <c r="B18" s="0" t="s">
        <v>141</v>
      </c>
      <c r="C18" s="0" t="s">
        <v>72</v>
      </c>
      <c r="D18" s="0" t="s">
        <v>58</v>
      </c>
      <c r="E18" s="0" t="str">
        <f aca="false">B18&amp;"|"&amp;C18&amp;"|"&amp;D18</f>
        <v>_Military Lesotho [#Military] [dDOqoFnD5Be]|30-34|Male</v>
      </c>
      <c r="F18" s="73" t="str">
        <f aca="false">_xlfn.IFNA(INDEX(Cascade!$F:$F,MATCH($E18,Cascade!$E:$E,0)),"")</f>
        <v/>
      </c>
      <c r="G18" s="73" t="str">
        <f aca="false">_xlfn.IFNA(INDEX(Cascade!$H:$H,MATCH($E18,Cascade!$E:$E,0)),"")</f>
        <v/>
      </c>
      <c r="H18" s="118" t="str">
        <f aca="false">_xlfn.IFNA(INDEX(Cascade!$J:$J,MATCH($E18,Cascade!$E:$E,0)),"")</f>
        <v/>
      </c>
      <c r="I18" s="73" t="str">
        <f aca="false">_xlfn.IFNA(INDEX(Cascade!$P:$P,MATCH($E18,Cascade!$E:$E,0)),"")</f>
        <v/>
      </c>
      <c r="J18" s="118" t="str">
        <f aca="false">_xlfn.IFNA(INDEX(Cascade!$Y:$Y,MATCH($E18,Cascade!$E:$E,0)),"")</f>
        <v/>
      </c>
      <c r="K18" s="75" t="str">
        <f aca="false">_xlfn.IFNA(ROUND(INDEX(Spectrum!$N:$N,MATCH(RIGHT($B18,13)&amp;"|"&amp;$C18&amp;"|"&amp;$D18&amp;"|"&amp;K$14&amp;"|"&amp;"CY2021Q3",Spectrum!$Q:$Q,0)),0),"")</f>
        <v/>
      </c>
      <c r="L18" s="75" t="str">
        <f aca="false">_xlfn.IFNA(ROUND(INDEX(Spectrum!$N:$N,MATCH(RIGHT($B18,13)&amp;"|"&amp;$C18&amp;"|"&amp;$D18&amp;"|"&amp;L$14&amp;"|"&amp;"CY2021Q3",Spectrum!$Q:$Q,0)),0),"")</f>
        <v/>
      </c>
      <c r="M18" s="118" t="str">
        <f aca="false">IF(OR(LEFT($B18,4)="_Mil",SUM($F18)&lt;=0),"",SUM($L18)/$F18)</f>
        <v/>
      </c>
      <c r="N18" s="118" t="str">
        <f aca="false">IF(LEFT($B18,4)="_Mil","",80%)</f>
        <v/>
      </c>
      <c r="O18" s="75" t="str">
        <f aca="false">IF(LEFT($B18,4)="_Mil","",IF(SUM($F18)=0,"",ROUND(SUM($F18)*SUM($N18),0)))</f>
        <v/>
      </c>
      <c r="P18" s="75" t="str">
        <f aca="false">IF(LEFT($B18,4)="_Mil","",IF(SUM($F18)=0,"",ROUND(MAX(SUM($O18)-SUM($L18),0),0)))</f>
        <v/>
      </c>
      <c r="Q18" s="73" t="n">
        <v>14</v>
      </c>
      <c r="R18" s="73"/>
      <c r="S18" s="118" t="str">
        <f aca="false">IF(LEFT($B18,4)="_Mil","",IF(SUM($K18)&lt;=0,"",SUM($R18)/$K18))</f>
        <v/>
      </c>
      <c r="T18" s="118" t="str">
        <f aca="false">IF(SUM($S18)&lt;=0,"",$S18)</f>
        <v/>
      </c>
      <c r="U18" s="118" t="n">
        <f aca="false">IF(LEFT($B18,4)="_Mil",0,"")</f>
        <v>0</v>
      </c>
      <c r="V18" s="118" t="n">
        <v>36</v>
      </c>
      <c r="W18" s="118" t="n">
        <f aca="false">IF(SUM($V18)=0,"",$V18)</f>
        <v>36</v>
      </c>
      <c r="X18" s="118"/>
      <c r="Y18" s="118" t="str">
        <f aca="false">IF(SUM($X18)=0,"",$X18)</f>
        <v/>
      </c>
      <c r="Z18" s="118" t="n">
        <f aca="false">_xlfn.IFNA(INDEX(Cascade!$BA:$BA,MATCH($E18,Cascade!$E:$E,0)),"")</f>
        <v>0.95</v>
      </c>
      <c r="AA18" s="73" t="str">
        <f aca="false">IF(LEFT($B18,4)="_Mil",IF(SUM($R18)=0,"",ROUND(SUM($R18)*(1+$U18),0)),IF(SUM($P18)=0,"",ROUND(SUM($T18)*SUM($P18),0)))</f>
        <v/>
      </c>
      <c r="AB18" s="75" t="str">
        <f aca="false">IF(SUM($AA18)&lt;=0,"",ROUND($AA18*$W18,0))</f>
        <v/>
      </c>
      <c r="AC18" s="75" t="str">
        <f aca="false">IF(SUM($AA18)&lt;=0,"",ROUND((SUM($AA18)-SUM($AB18))*SUM($Y18),0))</f>
        <v/>
      </c>
      <c r="AD18" s="75" t="str">
        <f aca="false">IF(SUM($AA18)&lt;=0,"",$AA18-$AB18-$AC18)</f>
        <v/>
      </c>
      <c r="AE18" s="73" t="str">
        <f aca="false">IF(SUM($AC18)&lt;=0,"",ROUND($AC18*$Z18,0))</f>
        <v/>
      </c>
      <c r="AF18" s="73" t="str">
        <f aca="false">_xlfn.IFNA(INDEX(Cascade!$BD:$BD,MATCH($E18,Cascade!$E:$E,0)),"")</f>
        <v/>
      </c>
      <c r="AG18" s="118" t="str">
        <f aca="false">IF(SUM($AF18)&lt;=0,"",SUM($AC18)/$AF18)</f>
        <v/>
      </c>
      <c r="AH18" s="118" t="str">
        <f aca="false">_xlfn.IFNA(INDEX(Cascade!$BL:$BL,MATCH($E18,Cascade!$E:$E,0)),"")</f>
        <v/>
      </c>
      <c r="AI18" s="118" t="str">
        <f aca="false">_xlfn.IFNA(INDEX(Cascade!$BO:$BO,MATCH($E18,Cascade!$E:$E,0)),"")</f>
        <v/>
      </c>
      <c r="AJ18" s="118" t="str">
        <f aca="false">_xlfn.IFNA(INDEX(Cascade!$BR:$BR,MATCH($E18,Cascade!$E:$E,0)),"")</f>
        <v/>
      </c>
    </row>
    <row r="19" customFormat="false" ht="15" hidden="false" customHeight="false" outlineLevel="0" collapsed="false">
      <c r="A19" s="0" t="s">
        <v>140</v>
      </c>
      <c r="B19" s="0" t="s">
        <v>141</v>
      </c>
      <c r="C19" s="0" t="s">
        <v>75</v>
      </c>
      <c r="D19" s="0" t="s">
        <v>58</v>
      </c>
      <c r="E19" s="0" t="str">
        <f aca="false">B19&amp;"|"&amp;C19&amp;"|"&amp;D19</f>
        <v>_Military Lesotho [#Military] [dDOqoFnD5Be]|35-39|Male</v>
      </c>
      <c r="F19" s="73" t="str">
        <f aca="false">_xlfn.IFNA(INDEX(Cascade!$F:$F,MATCH($E19,Cascade!$E:$E,0)),"")</f>
        <v/>
      </c>
      <c r="G19" s="73" t="str">
        <f aca="false">_xlfn.IFNA(INDEX(Cascade!$H:$H,MATCH($E19,Cascade!$E:$E,0)),"")</f>
        <v/>
      </c>
      <c r="H19" s="118" t="str">
        <f aca="false">_xlfn.IFNA(INDEX(Cascade!$J:$J,MATCH($E19,Cascade!$E:$E,0)),"")</f>
        <v/>
      </c>
      <c r="I19" s="73" t="str">
        <f aca="false">_xlfn.IFNA(INDEX(Cascade!$P:$P,MATCH($E19,Cascade!$E:$E,0)),"")</f>
        <v/>
      </c>
      <c r="J19" s="118" t="str">
        <f aca="false">_xlfn.IFNA(INDEX(Cascade!$Y:$Y,MATCH($E19,Cascade!$E:$E,0)),"")</f>
        <v/>
      </c>
      <c r="K19" s="75" t="str">
        <f aca="false">_xlfn.IFNA(ROUND(INDEX(Spectrum!$N:$N,MATCH(RIGHT($B19,13)&amp;"|"&amp;$C19&amp;"|"&amp;$D19&amp;"|"&amp;K$14&amp;"|"&amp;"CY2021Q3",Spectrum!$Q:$Q,0)),0),"")</f>
        <v/>
      </c>
      <c r="L19" s="75" t="str">
        <f aca="false">_xlfn.IFNA(ROUND(INDEX(Spectrum!$N:$N,MATCH(RIGHT($B19,13)&amp;"|"&amp;$C19&amp;"|"&amp;$D19&amp;"|"&amp;L$14&amp;"|"&amp;"CY2021Q3",Spectrum!$Q:$Q,0)),0),"")</f>
        <v/>
      </c>
      <c r="M19" s="118" t="str">
        <f aca="false">IF(OR(LEFT($B19,4)="_Mil",SUM($F19)&lt;=0),"",SUM($L19)/$F19)</f>
        <v/>
      </c>
      <c r="N19" s="118" t="str">
        <f aca="false">IF(LEFT($B19,4)="_Mil","",80%)</f>
        <v/>
      </c>
      <c r="O19" s="75" t="str">
        <f aca="false">IF(LEFT($B19,4)="_Mil","",IF(SUM($F19)=0,"",ROUND(SUM($F19)*SUM($N19),0)))</f>
        <v/>
      </c>
      <c r="P19" s="75" t="str">
        <f aca="false">IF(LEFT($B19,4)="_Mil","",IF(SUM($F19)=0,"",ROUND(MAX(SUM($O19)-SUM($L19),0),0)))</f>
        <v/>
      </c>
      <c r="Q19" s="73" t="n">
        <v>44</v>
      </c>
      <c r="R19" s="73" t="n">
        <v>12</v>
      </c>
      <c r="S19" s="118" t="str">
        <f aca="false">IF(LEFT($B19,4)="_Mil","",IF(SUM($K19)&lt;=0,"",SUM($R19)/$K19))</f>
        <v/>
      </c>
      <c r="T19" s="118" t="str">
        <f aca="false">IF(SUM($S19)&lt;=0,"",$S19)</f>
        <v/>
      </c>
      <c r="U19" s="118" t="n">
        <f aca="false">IF(LEFT($B19,4)="_Mil",0,"")</f>
        <v>0</v>
      </c>
      <c r="V19" s="118" t="n">
        <v>48</v>
      </c>
      <c r="W19" s="118" t="n">
        <f aca="false">IF(SUM($V19)=0,"",$V19)</f>
        <v>48</v>
      </c>
      <c r="X19" s="118" t="n">
        <v>31</v>
      </c>
      <c r="Y19" s="118" t="n">
        <f aca="false">IF(SUM($X19)=0,"",$X19)</f>
        <v>31</v>
      </c>
      <c r="Z19" s="118" t="n">
        <f aca="false">_xlfn.IFNA(INDEX(Cascade!$BA:$BA,MATCH($E19,Cascade!$E:$E,0)),"")</f>
        <v>0.95</v>
      </c>
      <c r="AA19" s="73" t="n">
        <f aca="false">IF(LEFT($B19,4)="_Mil",IF(SUM($R19)=0,"",ROUND(SUM($R19)*(1+$U19),0)),IF(SUM($P19)=0,"",ROUND(SUM($T19)*SUM($P19),0)))</f>
        <v>12</v>
      </c>
      <c r="AB19" s="75" t="n">
        <f aca="false">IF(SUM($AA19)&lt;=0,"",ROUND($AA19*$W19,0))</f>
        <v>576</v>
      </c>
      <c r="AC19" s="75" t="n">
        <f aca="false">IF(SUM($AA19)&lt;=0,"",ROUND((SUM($AA19)-SUM($AB19))*SUM($Y19),0))</f>
        <v>-17484</v>
      </c>
      <c r="AD19" s="75" t="n">
        <f aca="false">IF(SUM($AA19)&lt;=0,"",$AA19-$AB19-$AC19)</f>
        <v>16920</v>
      </c>
      <c r="AE19" s="73" t="str">
        <f aca="false">IF(SUM($AC19)&lt;=0,"",ROUND($AC19*$Z19,0))</f>
        <v/>
      </c>
      <c r="AF19" s="73" t="str">
        <f aca="false">_xlfn.IFNA(INDEX(Cascade!$BD:$BD,MATCH($E19,Cascade!$E:$E,0)),"")</f>
        <v/>
      </c>
      <c r="AG19" s="118" t="str">
        <f aca="false">IF(SUM($AF19)&lt;=0,"",SUM($AC19)/$AF19)</f>
        <v/>
      </c>
      <c r="AH19" s="118" t="str">
        <f aca="false">_xlfn.IFNA(INDEX(Cascade!$BL:$BL,MATCH($E19,Cascade!$E:$E,0)),"")</f>
        <v/>
      </c>
      <c r="AI19" s="118" t="str">
        <f aca="false">_xlfn.IFNA(INDEX(Cascade!$BO:$BO,MATCH($E19,Cascade!$E:$E,0)),"")</f>
        <v/>
      </c>
      <c r="AJ19" s="118" t="str">
        <f aca="false">_xlfn.IFNA(INDEX(Cascade!$BR:$BR,MATCH($E19,Cascade!$E:$E,0)),"")</f>
        <v/>
      </c>
    </row>
    <row r="20" customFormat="false" ht="15" hidden="false" customHeight="false" outlineLevel="0" collapsed="false">
      <c r="A20" s="0" t="s">
        <v>140</v>
      </c>
      <c r="B20" s="0" t="s">
        <v>141</v>
      </c>
      <c r="C20" s="0" t="s">
        <v>77</v>
      </c>
      <c r="D20" s="0" t="s">
        <v>58</v>
      </c>
      <c r="E20" s="0" t="str">
        <f aca="false">B20&amp;"|"&amp;C20&amp;"|"&amp;D20</f>
        <v>_Military Lesotho [#Military] [dDOqoFnD5Be]|40-44|Male</v>
      </c>
      <c r="F20" s="73" t="str">
        <f aca="false">_xlfn.IFNA(INDEX(Cascade!$F:$F,MATCH($E20,Cascade!$E:$E,0)),"")</f>
        <v/>
      </c>
      <c r="G20" s="73" t="str">
        <f aca="false">_xlfn.IFNA(INDEX(Cascade!$H:$H,MATCH($E20,Cascade!$E:$E,0)),"")</f>
        <v/>
      </c>
      <c r="H20" s="118" t="str">
        <f aca="false">_xlfn.IFNA(INDEX(Cascade!$J:$J,MATCH($E20,Cascade!$E:$E,0)),"")</f>
        <v/>
      </c>
      <c r="I20" s="73" t="str">
        <f aca="false">_xlfn.IFNA(INDEX(Cascade!$P:$P,MATCH($E20,Cascade!$E:$E,0)),"")</f>
        <v/>
      </c>
      <c r="J20" s="118" t="str">
        <f aca="false">_xlfn.IFNA(INDEX(Cascade!$Y:$Y,MATCH($E20,Cascade!$E:$E,0)),"")</f>
        <v/>
      </c>
      <c r="K20" s="75" t="str">
        <f aca="false">_xlfn.IFNA(ROUND(INDEX(Spectrum!$N:$N,MATCH(RIGHT($B20,13)&amp;"|"&amp;$C20&amp;"|"&amp;$D20&amp;"|"&amp;K$14&amp;"|"&amp;"CY2021Q3",Spectrum!$Q:$Q,0)),0),"")</f>
        <v/>
      </c>
      <c r="L20" s="75" t="str">
        <f aca="false">_xlfn.IFNA(ROUND(INDEX(Spectrum!$N:$N,MATCH(RIGHT($B20,13)&amp;"|"&amp;$C20&amp;"|"&amp;$D20&amp;"|"&amp;L$14&amp;"|"&amp;"CY2021Q3",Spectrum!$Q:$Q,0)),0),"")</f>
        <v/>
      </c>
      <c r="M20" s="118" t="str">
        <f aca="false">IF(OR(LEFT($B20,4)="_Mil",SUM($F20)&lt;=0),"",SUM($L20)/$F20)</f>
        <v/>
      </c>
      <c r="N20" s="118" t="str">
        <f aca="false">IF(LEFT($B20,4)="_Mil","",80%)</f>
        <v/>
      </c>
      <c r="O20" s="75" t="str">
        <f aca="false">IF(LEFT($B20,4)="_Mil","",IF(SUM($F20)=0,"",ROUND(SUM($F20)*SUM($N20),0)))</f>
        <v/>
      </c>
      <c r="P20" s="75" t="str">
        <f aca="false">IF(LEFT($B20,4)="_Mil","",IF(SUM($F20)=0,"",ROUND(MAX(SUM($O20)-SUM($L20),0),0)))</f>
        <v/>
      </c>
      <c r="Q20" s="73" t="n">
        <v>3</v>
      </c>
      <c r="R20" s="73" t="n">
        <v>33</v>
      </c>
      <c r="S20" s="118" t="str">
        <f aca="false">IF(LEFT($B20,4)="_Mil","",IF(SUM($K20)&lt;=0,"",SUM($R20)/$K20))</f>
        <v/>
      </c>
      <c r="T20" s="118" t="str">
        <f aca="false">IF(SUM($S20)&lt;=0,"",$S20)</f>
        <v/>
      </c>
      <c r="U20" s="118" t="n">
        <f aca="false">IF(LEFT($B20,4)="_Mil",0,"")</f>
        <v>0</v>
      </c>
      <c r="V20" s="118" t="n">
        <v>2</v>
      </c>
      <c r="W20" s="118" t="n">
        <f aca="false">IF(SUM($V20)=0,"",$V20)</f>
        <v>2</v>
      </c>
      <c r="X20" s="118"/>
      <c r="Y20" s="118" t="str">
        <f aca="false">IF(SUM($X20)=0,"",$X20)</f>
        <v/>
      </c>
      <c r="Z20" s="118" t="n">
        <f aca="false">_xlfn.IFNA(INDEX(Cascade!$BA:$BA,MATCH($E20,Cascade!$E:$E,0)),"")</f>
        <v>0.95</v>
      </c>
      <c r="AA20" s="73" t="n">
        <f aca="false">IF(LEFT($B20,4)="_Mil",IF(SUM($R20)=0,"",ROUND(SUM($R20)*(1+$U20),0)),IF(SUM($P20)=0,"",ROUND(SUM($T20)*SUM($P20),0)))</f>
        <v>33</v>
      </c>
      <c r="AB20" s="75" t="n">
        <f aca="false">IF(SUM($AA20)&lt;=0,"",ROUND($AA20*$W20,0))</f>
        <v>66</v>
      </c>
      <c r="AC20" s="75" t="n">
        <f aca="false">IF(SUM($AA20)&lt;=0,"",ROUND((SUM($AA20)-SUM($AB20))*SUM($Y20),0))</f>
        <v>-0</v>
      </c>
      <c r="AD20" s="75" t="n">
        <f aca="false">IF(SUM($AA20)&lt;=0,"",$AA20-$AB20-$AC20)</f>
        <v>-33</v>
      </c>
      <c r="AE20" s="73" t="str">
        <f aca="false">IF(SUM($AC20)&lt;=0,"",ROUND($AC20*$Z20,0))</f>
        <v/>
      </c>
      <c r="AF20" s="73" t="n">
        <f aca="false">_xlfn.IFNA(INDEX(Cascade!$BD:$BD,MATCH($E20,Cascade!$E:$E,0)),"")</f>
        <v>1</v>
      </c>
      <c r="AG20" s="118" t="n">
        <f aca="false">IF(SUM($AF20)&lt;=0,"",SUM($AC20)/$AF20)</f>
        <v>0</v>
      </c>
      <c r="AH20" s="118" t="str">
        <f aca="false">_xlfn.IFNA(INDEX(Cascade!$BL:$BL,MATCH($E20,Cascade!$E:$E,0)),"")</f>
        <v/>
      </c>
      <c r="AI20" s="118" t="n">
        <f aca="false">_xlfn.IFNA(INDEX(Cascade!$BO:$BO,MATCH($E20,Cascade!$E:$E,0)),"")</f>
        <v>45</v>
      </c>
      <c r="AJ20" s="118" t="n">
        <f aca="false">_xlfn.IFNA(INDEX(Cascade!$BR:$BR,MATCH($E20,Cascade!$E:$E,0)),"")</f>
        <v>-44</v>
      </c>
    </row>
    <row r="21" customFormat="false" ht="15" hidden="false" customHeight="false" outlineLevel="0" collapsed="false">
      <c r="A21" s="0" t="s">
        <v>140</v>
      </c>
      <c r="B21" s="0" t="s">
        <v>141</v>
      </c>
      <c r="C21" s="0" t="s">
        <v>80</v>
      </c>
      <c r="D21" s="0" t="s">
        <v>58</v>
      </c>
      <c r="E21" s="0" t="str">
        <f aca="false">B21&amp;"|"&amp;C21&amp;"|"&amp;D21</f>
        <v>_Military Lesotho [#Military] [dDOqoFnD5Be]|45-49|Male</v>
      </c>
      <c r="F21" s="73" t="str">
        <f aca="false">_xlfn.IFNA(INDEX(Cascade!$F:$F,MATCH($E21,Cascade!$E:$E,0)),"")</f>
        <v/>
      </c>
      <c r="G21" s="73" t="str">
        <f aca="false">_xlfn.IFNA(INDEX(Cascade!$H:$H,MATCH($E21,Cascade!$E:$E,0)),"")</f>
        <v/>
      </c>
      <c r="H21" s="118" t="str">
        <f aca="false">_xlfn.IFNA(INDEX(Cascade!$J:$J,MATCH($E21,Cascade!$E:$E,0)),"")</f>
        <v/>
      </c>
      <c r="I21" s="73" t="str">
        <f aca="false">_xlfn.IFNA(INDEX(Cascade!$P:$P,MATCH($E21,Cascade!$E:$E,0)),"")</f>
        <v/>
      </c>
      <c r="J21" s="118" t="str">
        <f aca="false">_xlfn.IFNA(INDEX(Cascade!$Y:$Y,MATCH($E21,Cascade!$E:$E,0)),"")</f>
        <v/>
      </c>
      <c r="K21" s="75" t="str">
        <f aca="false">_xlfn.IFNA(ROUND(INDEX(Spectrum!$N:$N,MATCH(RIGHT($B21,13)&amp;"|"&amp;$C21&amp;"|"&amp;$D21&amp;"|"&amp;K$14&amp;"|"&amp;"CY2021Q3",Spectrum!$Q:$Q,0)),0),"")</f>
        <v/>
      </c>
      <c r="L21" s="75" t="str">
        <f aca="false">_xlfn.IFNA(ROUND(INDEX(Spectrum!$N:$N,MATCH(RIGHT($B21,13)&amp;"|"&amp;$C21&amp;"|"&amp;$D21&amp;"|"&amp;L$14&amp;"|"&amp;"CY2021Q3",Spectrum!$Q:$Q,0)),0),"")</f>
        <v/>
      </c>
      <c r="M21" s="118" t="str">
        <f aca="false">IF(OR(LEFT($B21,4)="_Mil",SUM($F21)&lt;=0),"",SUM($L21)/$F21)</f>
        <v/>
      </c>
      <c r="N21" s="118" t="str">
        <f aca="false">IF(LEFT($B21,4)="_Mil","",80%)</f>
        <v/>
      </c>
      <c r="O21" s="75" t="str">
        <f aca="false">IF(LEFT($B21,4)="_Mil","",IF(SUM($F21)=0,"",ROUND(SUM($F21)*SUM($N21),0)))</f>
        <v/>
      </c>
      <c r="P21" s="75" t="str">
        <f aca="false">IF(LEFT($B21,4)="_Mil","",IF(SUM($F21)=0,"",ROUND(MAX(SUM($O21)-SUM($L21),0),0)))</f>
        <v/>
      </c>
      <c r="Q21" s="73" t="n">
        <v>37</v>
      </c>
      <c r="R21" s="73"/>
      <c r="S21" s="118" t="str">
        <f aca="false">IF(LEFT($B21,4)="_Mil","",IF(SUM($K21)&lt;=0,"",SUM($R21)/$K21))</f>
        <v/>
      </c>
      <c r="T21" s="118" t="str">
        <f aca="false">IF(SUM($S21)&lt;=0,"",$S21)</f>
        <v/>
      </c>
      <c r="U21" s="118" t="n">
        <f aca="false">IF(LEFT($B21,4)="_Mil",0,"")</f>
        <v>0</v>
      </c>
      <c r="V21" s="118" t="n">
        <v>45</v>
      </c>
      <c r="W21" s="118" t="n">
        <f aca="false">IF(SUM($V21)=0,"",$V21)</f>
        <v>45</v>
      </c>
      <c r="X21" s="118"/>
      <c r="Y21" s="118" t="str">
        <f aca="false">IF(SUM($X21)=0,"",$X21)</f>
        <v/>
      </c>
      <c r="Z21" s="118" t="n">
        <f aca="false">_xlfn.IFNA(INDEX(Cascade!$BA:$BA,MATCH($E21,Cascade!$E:$E,0)),"")</f>
        <v>0.95</v>
      </c>
      <c r="AA21" s="73" t="str">
        <f aca="false">IF(LEFT($B21,4)="_Mil",IF(SUM($R21)=0,"",ROUND(SUM($R21)*(1+$U21),0)),IF(SUM($P21)=0,"",ROUND(SUM($T21)*SUM($P21),0)))</f>
        <v/>
      </c>
      <c r="AB21" s="75" t="str">
        <f aca="false">IF(SUM($AA21)&lt;=0,"",ROUND($AA21*$W21,0))</f>
        <v/>
      </c>
      <c r="AC21" s="75" t="str">
        <f aca="false">IF(SUM($AA21)&lt;=0,"",ROUND((SUM($AA21)-SUM($AB21))*SUM($Y21),0))</f>
        <v/>
      </c>
      <c r="AD21" s="75" t="str">
        <f aca="false">IF(SUM($AA21)&lt;=0,"",$AA21-$AB21-$AC21)</f>
        <v/>
      </c>
      <c r="AE21" s="73" t="str">
        <f aca="false">IF(SUM($AC21)&lt;=0,"",ROUND($AC21*$Z21,0))</f>
        <v/>
      </c>
      <c r="AF21" s="73" t="n">
        <f aca="false">_xlfn.IFNA(INDEX(Cascade!$BD:$BD,MATCH($E21,Cascade!$E:$E,0)),"")</f>
        <v>1</v>
      </c>
      <c r="AG21" s="118" t="n">
        <f aca="false">IF(SUM($AF21)&lt;=0,"",SUM($AC21)/$AF21)</f>
        <v>0</v>
      </c>
      <c r="AH21" s="118" t="str">
        <f aca="false">_xlfn.IFNA(INDEX(Cascade!$BL:$BL,MATCH($E21,Cascade!$E:$E,0)),"")</f>
        <v/>
      </c>
      <c r="AI21" s="118" t="str">
        <f aca="false">_xlfn.IFNA(INDEX(Cascade!$BO:$BO,MATCH($E21,Cascade!$E:$E,0)),"")</f>
        <v/>
      </c>
      <c r="AJ21" s="118" t="n">
        <f aca="false">_xlfn.IFNA(INDEX(Cascade!$BR:$BR,MATCH($E21,Cascade!$E:$E,0)),"")</f>
        <v>1</v>
      </c>
    </row>
    <row r="22" customFormat="false" ht="15" hidden="false" customHeight="false" outlineLevel="0" collapsed="false">
      <c r="A22" s="0" t="s">
        <v>140</v>
      </c>
      <c r="B22" s="0" t="s">
        <v>141</v>
      </c>
      <c r="C22" s="0" t="s">
        <v>86</v>
      </c>
      <c r="D22" s="0" t="s">
        <v>58</v>
      </c>
      <c r="E22" s="0" t="str">
        <f aca="false">B22&amp;"|"&amp;C22&amp;"|"&amp;D22</f>
        <v>_Military Lesotho [#Military] [dDOqoFnD5Be]|50+|Male</v>
      </c>
      <c r="F22" s="73" t="str">
        <f aca="false">_xlfn.IFNA(INDEX(Cascade!$F:$F,MATCH($E22,Cascade!$E:$E,0)),"")</f>
        <v/>
      </c>
      <c r="G22" s="73" t="str">
        <f aca="false">_xlfn.IFNA(INDEX(Cascade!$H:$H,MATCH($E22,Cascade!$E:$E,0)),"")</f>
        <v/>
      </c>
      <c r="H22" s="118" t="str">
        <f aca="false">_xlfn.IFNA(INDEX(Cascade!$J:$J,MATCH($E22,Cascade!$E:$E,0)),"")</f>
        <v/>
      </c>
      <c r="I22" s="73" t="str">
        <f aca="false">_xlfn.IFNA(INDEX(Cascade!$P:$P,MATCH($E22,Cascade!$E:$E,0)),"")</f>
        <v/>
      </c>
      <c r="J22" s="118" t="str">
        <f aca="false">_xlfn.IFNA(INDEX(Cascade!$Y:$Y,MATCH($E22,Cascade!$E:$E,0)),"")</f>
        <v/>
      </c>
      <c r="K22" s="75" t="str">
        <f aca="false">_xlfn.IFNA(ROUND(INDEX(Spectrum!$N:$N,MATCH(RIGHT($B22,13)&amp;"|"&amp;$C22&amp;"|"&amp;$D22&amp;"|"&amp;K$14&amp;"|"&amp;"CY2021Q3",Spectrum!$Q:$Q,0)),0),"")</f>
        <v/>
      </c>
      <c r="L22" s="75" t="str">
        <f aca="false">_xlfn.IFNA(ROUND(INDEX(Spectrum!$N:$N,MATCH(RIGHT($B22,13)&amp;"|"&amp;$C22&amp;"|"&amp;$D22&amp;"|"&amp;L$14&amp;"|"&amp;"CY2021Q3",Spectrum!$Q:$Q,0)),0),"")</f>
        <v/>
      </c>
      <c r="M22" s="118" t="str">
        <f aca="false">IF(OR(LEFT($B22,4)="_Mil",SUM($F22)&lt;=0),"",SUM($L22)/$F22)</f>
        <v/>
      </c>
      <c r="N22" s="118" t="str">
        <f aca="false">IF(LEFT($B22,4)="_Mil","",80%)</f>
        <v/>
      </c>
      <c r="O22" s="75" t="str">
        <f aca="false">IF(LEFT($B22,4)="_Mil","",IF(SUM($F22)=0,"",ROUND(SUM($F22)*SUM($N22),0)))</f>
        <v/>
      </c>
      <c r="P22" s="75" t="str">
        <f aca="false">IF(LEFT($B22,4)="_Mil","",IF(SUM($F22)=0,"",ROUND(MAX(SUM($O22)-SUM($L22),0),0)))</f>
        <v/>
      </c>
      <c r="Q22" s="73" t="n">
        <v>22</v>
      </c>
      <c r="R22" s="73"/>
      <c r="S22" s="118" t="str">
        <f aca="false">IF(LEFT($B22,4)="_Mil","",IF(SUM($K22)&lt;=0,"",SUM($R22)/$K22))</f>
        <v/>
      </c>
      <c r="T22" s="118" t="str">
        <f aca="false">IF(SUM($S22)&lt;=0,"",$S22)</f>
        <v/>
      </c>
      <c r="U22" s="118" t="n">
        <f aca="false">IF(LEFT($B22,4)="_Mil",0,"")</f>
        <v>0</v>
      </c>
      <c r="V22" s="118" t="n">
        <v>10</v>
      </c>
      <c r="W22" s="118" t="n">
        <f aca="false">IF(SUM($V22)=0,"",$V22)</f>
        <v>10</v>
      </c>
      <c r="X22" s="118"/>
      <c r="Y22" s="118" t="str">
        <f aca="false">IF(SUM($X22)=0,"",$X22)</f>
        <v/>
      </c>
      <c r="Z22" s="118" t="n">
        <f aca="false">_xlfn.IFNA(INDEX(Cascade!$BA:$BA,MATCH($E22,Cascade!$E:$E,0)),"")</f>
        <v>0.95</v>
      </c>
      <c r="AA22" s="73" t="str">
        <f aca="false">IF(LEFT($B22,4)="_Mil",IF(SUM($R22)=0,"",ROUND(SUM($R22)*(1+$U22),0)),IF(SUM($P22)=0,"",ROUND(SUM($T22)*SUM($P22),0)))</f>
        <v/>
      </c>
      <c r="AB22" s="75" t="str">
        <f aca="false">IF(SUM($AA22)&lt;=0,"",ROUND($AA22*$W22,0))</f>
        <v/>
      </c>
      <c r="AC22" s="75" t="str">
        <f aca="false">IF(SUM($AA22)&lt;=0,"",ROUND((SUM($AA22)-SUM($AB22))*SUM($Y22),0))</f>
        <v/>
      </c>
      <c r="AD22" s="75" t="str">
        <f aca="false">IF(SUM($AA22)&lt;=0,"",$AA22-$AB22-$AC22)</f>
        <v/>
      </c>
      <c r="AE22" s="73" t="str">
        <f aca="false">IF(SUM($AC22)&lt;=0,"",ROUND($AC22*$Z22,0))</f>
        <v/>
      </c>
      <c r="AF22" s="73" t="str">
        <f aca="false">_xlfn.IFNA(INDEX(Cascade!$BD:$BD,MATCH($E22,Cascade!$E:$E,0)),"")</f>
        <v/>
      </c>
      <c r="AG22" s="118" t="str">
        <f aca="false">IF(SUM($AF22)&lt;=0,"",SUM($AC22)/$AF22)</f>
        <v/>
      </c>
      <c r="AH22" s="118" t="str">
        <f aca="false">_xlfn.IFNA(INDEX(Cascade!$BL:$BL,MATCH($E22,Cascade!$E:$E,0)),"")</f>
        <v/>
      </c>
      <c r="AI22" s="118" t="str">
        <f aca="false">_xlfn.IFNA(INDEX(Cascade!$BO:$BO,MATCH($E22,Cascade!$E:$E,0)),"")</f>
        <v/>
      </c>
      <c r="AJ22" s="118" t="str">
        <f aca="false">_xlfn.IFNA(INDEX(Cascade!$BR:$BR,MATCH($E22,Cascade!$E:$E,0)),"")</f>
        <v/>
      </c>
    </row>
    <row r="23" customFormat="false" ht="15" hidden="false" customHeight="false" outlineLevel="0" collapsed="false">
      <c r="A23" s="0" t="s">
        <v>142</v>
      </c>
      <c r="B23" s="0" t="s">
        <v>109</v>
      </c>
      <c r="C23" s="0" t="s">
        <v>63</v>
      </c>
      <c r="D23" s="0" t="s">
        <v>58</v>
      </c>
      <c r="E23" s="0" t="str">
        <f aca="false">B23&amp;"|"&amp;C23&amp;"|"&amp;D23</f>
        <v>Berea [#SNU] [#DREAMS] [wpg5evyl1OL]|15-19|Male</v>
      </c>
      <c r="F23" s="73" t="n">
        <f aca="false">_xlfn.IFNA(INDEX(Cascade!$F:$F,MATCH($E23,Cascade!$E:$E,0)),"")</f>
        <v>12882</v>
      </c>
      <c r="G23" s="73" t="n">
        <f aca="false">_xlfn.IFNA(INDEX(Cascade!$H:$H,MATCH($E23,Cascade!$E:$E,0)),"")</f>
        <v>307</v>
      </c>
      <c r="H23" s="118" t="n">
        <f aca="false">_xlfn.IFNA(INDEX(Cascade!$J:$J,MATCH($E23,Cascade!$E:$E,0)),"")</f>
        <v>0.0237972</v>
      </c>
      <c r="I23" s="73" t="n">
        <f aca="false">_xlfn.IFNA(INDEX(Cascade!$P:$P,MATCH($E23,Cascade!$E:$E,0)),"")</f>
        <v>282</v>
      </c>
      <c r="J23" s="118" t="n">
        <f aca="false">_xlfn.IFNA(INDEX(Cascade!$Y:$Y,MATCH($E23,Cascade!$E:$E,0)),"")</f>
        <v>0.9185667752443</v>
      </c>
      <c r="K23" s="75" t="str">
        <f aca="false">_xlfn.IFNA(ROUND(INDEX(Spectrum!$N:$N,MATCH(RIGHT($B23,13)&amp;"|"&amp;$C23&amp;"|"&amp;$D23&amp;"|"&amp;K$14&amp;"|"&amp;"CY2021Q3",Spectrum!$Q:$Q,0)),0),"")</f>
        <v/>
      </c>
      <c r="L23" s="75" t="str">
        <f aca="false">_xlfn.IFNA(ROUND(INDEX(Spectrum!$N:$N,MATCH(RIGHT($B23,13)&amp;"|"&amp;$C23&amp;"|"&amp;$D23&amp;"|"&amp;L$14&amp;"|"&amp;"CY2021Q3",Spectrum!$Q:$Q,0)),0),"")</f>
        <v/>
      </c>
      <c r="M23" s="118" t="n">
        <f aca="false">IF(OR(LEFT($B23,4)="_Mil",SUM($F23)&lt;=0),"",SUM($L23)/$F23)</f>
        <v>0</v>
      </c>
      <c r="N23" s="118" t="n">
        <f aca="false">IF(LEFT($B23,4)="_Mil","",80%)</f>
        <v>0.8</v>
      </c>
      <c r="O23" s="75" t="n">
        <f aca="false">IF(LEFT($B23,4)="_Mil","",IF(SUM($F23)=0,"",ROUND(SUM($F23)*SUM($N23),0)))</f>
        <v>10306</v>
      </c>
      <c r="P23" s="75" t="n">
        <f aca="false">IF(LEFT($B23,4)="_Mil","",IF(SUM($F23)=0,"",ROUND(MAX(SUM($O23)-SUM($L23),0),0)))</f>
        <v>10306</v>
      </c>
      <c r="Q23" s="73" t="n">
        <v>28</v>
      </c>
      <c r="R23" s="73" t="n">
        <v>19</v>
      </c>
      <c r="S23" s="118" t="str">
        <f aca="false">IF(LEFT($B23,4)="_Mil","",IF(SUM($K23)&lt;=0,"",SUM($R23)/$K23))</f>
        <v/>
      </c>
      <c r="T23" s="118" t="str">
        <f aca="false">IF(SUM($S23)&lt;=0,"",$S23)</f>
        <v/>
      </c>
      <c r="U23" s="118" t="str">
        <f aca="false">IF(LEFT($B23,4)="_Mil",0,"")</f>
        <v/>
      </c>
      <c r="V23" s="118" t="n">
        <v>25</v>
      </c>
      <c r="W23" s="118" t="n">
        <f aca="false">IF(SUM($V23)=0,"",$V23)</f>
        <v>25</v>
      </c>
      <c r="X23" s="118"/>
      <c r="Y23" s="118" t="str">
        <f aca="false">IF(SUM($X23)=0,"",$X23)</f>
        <v/>
      </c>
      <c r="Z23" s="118" t="n">
        <f aca="false">_xlfn.IFNA(INDEX(Cascade!$BA:$BA,MATCH($E23,Cascade!$E:$E,0)),"")</f>
        <v>0.95</v>
      </c>
      <c r="AA23" s="73" t="n">
        <f aca="false">IF(LEFT($B23,4)="_Mil",IF(SUM($R23)=0,"",ROUND(SUM($R23)*(1+$U23),0)),IF(SUM($P23)=0,"",ROUND(SUM($T23)*SUM($P23),0)))</f>
        <v>0</v>
      </c>
      <c r="AB23" s="75" t="str">
        <f aca="false">IF(SUM($AA23)&lt;=0,"",ROUND($AA23*$W23,0))</f>
        <v/>
      </c>
      <c r="AC23" s="75" t="str">
        <f aca="false">IF(SUM($AA23)&lt;=0,"",ROUND((SUM($AA23)-SUM($AB23))*SUM($Y23),0))</f>
        <v/>
      </c>
      <c r="AD23" s="75" t="str">
        <f aca="false">IF(SUM($AA23)&lt;=0,"",$AA23-$AB23-$AC23)</f>
        <v/>
      </c>
      <c r="AE23" s="73" t="str">
        <f aca="false">IF(SUM($AC23)&lt;=0,"",ROUND($AC23*$Z23,0))</f>
        <v/>
      </c>
      <c r="AF23" s="73" t="str">
        <f aca="false">_xlfn.IFNA(INDEX(Cascade!$BD:$BD,MATCH($E23,Cascade!$E:$E,0)),"")</f>
        <v/>
      </c>
      <c r="AG23" s="118" t="str">
        <f aca="false">IF(SUM($AF23)&lt;=0,"",SUM($AC23)/$AF23)</f>
        <v/>
      </c>
      <c r="AH23" s="118" t="str">
        <f aca="false">_xlfn.IFNA(INDEX(Cascade!$BL:$BL,MATCH($E23,Cascade!$E:$E,0)),"")</f>
        <v/>
      </c>
      <c r="AI23" s="118" t="str">
        <f aca="false">_xlfn.IFNA(INDEX(Cascade!$BO:$BO,MATCH($E23,Cascade!$E:$E,0)),"")</f>
        <v/>
      </c>
      <c r="AJ23" s="118" t="str">
        <f aca="false">_xlfn.IFNA(INDEX(Cascade!$BR:$BR,MATCH($E23,Cascade!$E:$E,0)),"")</f>
        <v/>
      </c>
    </row>
    <row r="24" customFormat="false" ht="15" hidden="false" customHeight="false" outlineLevel="0" collapsed="false">
      <c r="A24" s="0" t="s">
        <v>142</v>
      </c>
      <c r="B24" s="0" t="s">
        <v>109</v>
      </c>
      <c r="C24" s="0" t="s">
        <v>66</v>
      </c>
      <c r="D24" s="0" t="s">
        <v>58</v>
      </c>
      <c r="E24" s="0" t="str">
        <f aca="false">B24&amp;"|"&amp;C24&amp;"|"&amp;D24</f>
        <v>Berea [#SNU] [#DREAMS] [wpg5evyl1OL]|20-24|Male</v>
      </c>
      <c r="F24" s="73" t="n">
        <f aca="false">_xlfn.IFNA(INDEX(Cascade!$F:$F,MATCH($E24,Cascade!$E:$E,0)),"")</f>
        <v>12472</v>
      </c>
      <c r="G24" s="73" t="n">
        <f aca="false">_xlfn.IFNA(INDEX(Cascade!$H:$H,MATCH($E24,Cascade!$E:$E,0)),"")</f>
        <v>528</v>
      </c>
      <c r="H24" s="118" t="n">
        <f aca="false">_xlfn.IFNA(INDEX(Cascade!$J:$J,MATCH($E24,Cascade!$E:$E,0)),"")</f>
        <v>0.0423556</v>
      </c>
      <c r="I24" s="73" t="n">
        <f aca="false">_xlfn.IFNA(INDEX(Cascade!$P:$P,MATCH($E24,Cascade!$E:$E,0)),"")</f>
        <v>328</v>
      </c>
      <c r="J24" s="118" t="n">
        <f aca="false">_xlfn.IFNA(INDEX(Cascade!$Y:$Y,MATCH($E24,Cascade!$E:$E,0)),"")</f>
        <v>0.621212121212121</v>
      </c>
      <c r="K24" s="75" t="str">
        <f aca="false">_xlfn.IFNA(ROUND(INDEX(Spectrum!$N:$N,MATCH(RIGHT($B24,13)&amp;"|"&amp;$C24&amp;"|"&amp;$D24&amp;"|"&amp;K$14&amp;"|"&amp;"CY2021Q3",Spectrum!$Q:$Q,0)),0),"")</f>
        <v/>
      </c>
      <c r="L24" s="75" t="str">
        <f aca="false">_xlfn.IFNA(ROUND(INDEX(Spectrum!$N:$N,MATCH(RIGHT($B24,13)&amp;"|"&amp;$C24&amp;"|"&amp;$D24&amp;"|"&amp;L$14&amp;"|"&amp;"CY2021Q3",Spectrum!$Q:$Q,0)),0),"")</f>
        <v/>
      </c>
      <c r="M24" s="118" t="n">
        <f aca="false">IF(OR(LEFT($B24,4)="_Mil",SUM($F24)&lt;=0),"",SUM($L24)/$F24)</f>
        <v>0</v>
      </c>
      <c r="N24" s="118" t="n">
        <f aca="false">IF(LEFT($B24,4)="_Mil","",80%)</f>
        <v>0.8</v>
      </c>
      <c r="O24" s="75" t="n">
        <f aca="false">IF(LEFT($B24,4)="_Mil","",IF(SUM($F24)=0,"",ROUND(SUM($F24)*SUM($N24),0)))</f>
        <v>9978</v>
      </c>
      <c r="P24" s="75" t="n">
        <f aca="false">IF(LEFT($B24,4)="_Mil","",IF(SUM($F24)=0,"",ROUND(MAX(SUM($O24)-SUM($L24),0),0)))</f>
        <v>9978</v>
      </c>
      <c r="Q24" s="73" t="n">
        <v>37</v>
      </c>
      <c r="R24" s="73" t="n">
        <v>35</v>
      </c>
      <c r="S24" s="118" t="str">
        <f aca="false">IF(LEFT($B24,4)="_Mil","",IF(SUM($K24)&lt;=0,"",SUM($R24)/$K24))</f>
        <v/>
      </c>
      <c r="T24" s="118" t="str">
        <f aca="false">IF(SUM($S24)&lt;=0,"",$S24)</f>
        <v/>
      </c>
      <c r="U24" s="118" t="str">
        <f aca="false">IF(LEFT($B24,4)="_Mil",0,"")</f>
        <v/>
      </c>
      <c r="V24" s="118" t="n">
        <v>50</v>
      </c>
      <c r="W24" s="118" t="n">
        <f aca="false">IF(SUM($V24)=0,"",$V24)</f>
        <v>50</v>
      </c>
      <c r="X24" s="118"/>
      <c r="Y24" s="118" t="str">
        <f aca="false">IF(SUM($X24)=0,"",$X24)</f>
        <v/>
      </c>
      <c r="Z24" s="118" t="n">
        <f aca="false">_xlfn.IFNA(INDEX(Cascade!$BA:$BA,MATCH($E24,Cascade!$E:$E,0)),"")</f>
        <v>0.95</v>
      </c>
      <c r="AA24" s="73" t="n">
        <f aca="false">IF(LEFT($B24,4)="_Mil",IF(SUM($R24)=0,"",ROUND(SUM($R24)*(1+$U24),0)),IF(SUM($P24)=0,"",ROUND(SUM($T24)*SUM($P24),0)))</f>
        <v>0</v>
      </c>
      <c r="AB24" s="75" t="str">
        <f aca="false">IF(SUM($AA24)&lt;=0,"",ROUND($AA24*$W24,0))</f>
        <v/>
      </c>
      <c r="AC24" s="75" t="str">
        <f aca="false">IF(SUM($AA24)&lt;=0,"",ROUND((SUM($AA24)-SUM($AB24))*SUM($Y24),0))</f>
        <v/>
      </c>
      <c r="AD24" s="75" t="str">
        <f aca="false">IF(SUM($AA24)&lt;=0,"",$AA24-$AB24-$AC24)</f>
        <v/>
      </c>
      <c r="AE24" s="73" t="str">
        <f aca="false">IF(SUM($AC24)&lt;=0,"",ROUND($AC24*$Z24,0))</f>
        <v/>
      </c>
      <c r="AF24" s="73" t="n">
        <f aca="false">_xlfn.IFNA(INDEX(Cascade!$BD:$BD,MATCH($E24,Cascade!$E:$E,0)),"")</f>
        <v>3</v>
      </c>
      <c r="AG24" s="118" t="n">
        <f aca="false">IF(SUM($AF24)&lt;=0,"",SUM($AC24)/$AF24)</f>
        <v>0</v>
      </c>
      <c r="AH24" s="118" t="n">
        <f aca="false">_xlfn.IFNA(INDEX(Cascade!$BL:$BL,MATCH($E24,Cascade!$E:$E,0)),"")</f>
        <v>0.333333333333333</v>
      </c>
      <c r="AI24" s="118" t="n">
        <f aca="false">_xlfn.IFNA(INDEX(Cascade!$BO:$BO,MATCH($E24,Cascade!$E:$E,0)),"")</f>
        <v>-4714.66666666667</v>
      </c>
      <c r="AJ24" s="118" t="n">
        <f aca="false">_xlfn.IFNA(INDEX(Cascade!$BR:$BR,MATCH($E24,Cascade!$E:$E,0)),"")</f>
        <v>4715.33333333333</v>
      </c>
    </row>
    <row r="25" customFormat="false" ht="15" hidden="false" customHeight="false" outlineLevel="0" collapsed="false">
      <c r="A25" s="0" t="s">
        <v>142</v>
      </c>
      <c r="B25" s="0" t="s">
        <v>109</v>
      </c>
      <c r="C25" s="0" t="s">
        <v>69</v>
      </c>
      <c r="D25" s="0" t="s">
        <v>58</v>
      </c>
      <c r="E25" s="0" t="str">
        <f aca="false">B25&amp;"|"&amp;C25&amp;"|"&amp;D25</f>
        <v>Berea [#SNU] [#DREAMS] [wpg5evyl1OL]|25-29|Male</v>
      </c>
      <c r="F25" s="73" t="n">
        <f aca="false">_xlfn.IFNA(INDEX(Cascade!$F:$F,MATCH($E25,Cascade!$E:$E,0)),"")</f>
        <v>12986</v>
      </c>
      <c r="G25" s="73" t="n">
        <f aca="false">_xlfn.IFNA(INDEX(Cascade!$H:$H,MATCH($E25,Cascade!$E:$E,0)),"")</f>
        <v>1188</v>
      </c>
      <c r="H25" s="118" t="n">
        <f aca="false">_xlfn.IFNA(INDEX(Cascade!$J:$J,MATCH($E25,Cascade!$E:$E,0)),"")</f>
        <v>0.0914706</v>
      </c>
      <c r="I25" s="73" t="n">
        <f aca="false">_xlfn.IFNA(INDEX(Cascade!$P:$P,MATCH($E25,Cascade!$E:$E,0)),"")</f>
        <v>652</v>
      </c>
      <c r="J25" s="118" t="n">
        <f aca="false">_xlfn.IFNA(INDEX(Cascade!$Y:$Y,MATCH($E25,Cascade!$E:$E,0)),"")</f>
        <v>0.548821548821549</v>
      </c>
      <c r="K25" s="75" t="str">
        <f aca="false">_xlfn.IFNA(ROUND(INDEX(Spectrum!$N:$N,MATCH(RIGHT($B25,13)&amp;"|"&amp;$C25&amp;"|"&amp;$D25&amp;"|"&amp;K$14&amp;"|"&amp;"CY2021Q3",Spectrum!$Q:$Q,0)),0),"")</f>
        <v/>
      </c>
      <c r="L25" s="75" t="str">
        <f aca="false">_xlfn.IFNA(ROUND(INDEX(Spectrum!$N:$N,MATCH(RIGHT($B25,13)&amp;"|"&amp;$C25&amp;"|"&amp;$D25&amp;"|"&amp;L$14&amp;"|"&amp;"CY2021Q3",Spectrum!$Q:$Q,0)),0),"")</f>
        <v/>
      </c>
      <c r="M25" s="118" t="n">
        <f aca="false">IF(OR(LEFT($B25,4)="_Mil",SUM($F25)&lt;=0),"",SUM($L25)/$F25)</f>
        <v>0</v>
      </c>
      <c r="N25" s="118" t="n">
        <f aca="false">IF(LEFT($B25,4)="_Mil","",80%)</f>
        <v>0.8</v>
      </c>
      <c r="O25" s="75" t="n">
        <f aca="false">IF(LEFT($B25,4)="_Mil","",IF(SUM($F25)=0,"",ROUND(SUM($F25)*SUM($N25),0)))</f>
        <v>10389</v>
      </c>
      <c r="P25" s="75" t="n">
        <f aca="false">IF(LEFT($B25,4)="_Mil","",IF(SUM($F25)=0,"",ROUND(MAX(SUM($O25)-SUM($L25),0),0)))</f>
        <v>10389</v>
      </c>
      <c r="Q25" s="73" t="n">
        <v>43</v>
      </c>
      <c r="R25" s="73" t="n">
        <v>45</v>
      </c>
      <c r="S25" s="118" t="str">
        <f aca="false">IF(LEFT($B25,4)="_Mil","",IF(SUM($K25)&lt;=0,"",SUM($R25)/$K25))</f>
        <v/>
      </c>
      <c r="T25" s="118" t="str">
        <f aca="false">IF(SUM($S25)&lt;=0,"",$S25)</f>
        <v/>
      </c>
      <c r="U25" s="118" t="str">
        <f aca="false">IF(LEFT($B25,4)="_Mil",0,"")</f>
        <v/>
      </c>
      <c r="V25" s="118" t="n">
        <v>39</v>
      </c>
      <c r="W25" s="118" t="n">
        <f aca="false">IF(SUM($V25)=0,"",$V25)</f>
        <v>39</v>
      </c>
      <c r="X25" s="118" t="n">
        <v>30</v>
      </c>
      <c r="Y25" s="118" t="n">
        <f aca="false">IF(SUM($X25)=0,"",$X25)</f>
        <v>30</v>
      </c>
      <c r="Z25" s="118" t="n">
        <f aca="false">_xlfn.IFNA(INDEX(Cascade!$BA:$BA,MATCH($E25,Cascade!$E:$E,0)),"")</f>
        <v>0.95</v>
      </c>
      <c r="AA25" s="73" t="n">
        <f aca="false">IF(LEFT($B25,4)="_Mil",IF(SUM($R25)=0,"",ROUND(SUM($R25)*(1+$U25),0)),IF(SUM($P25)=0,"",ROUND(SUM($T25)*SUM($P25),0)))</f>
        <v>0</v>
      </c>
      <c r="AB25" s="75" t="str">
        <f aca="false">IF(SUM($AA25)&lt;=0,"",ROUND($AA25*$W25,0))</f>
        <v/>
      </c>
      <c r="AC25" s="75" t="str">
        <f aca="false">IF(SUM($AA25)&lt;=0,"",ROUND((SUM($AA25)-SUM($AB25))*SUM($Y25),0))</f>
        <v/>
      </c>
      <c r="AD25" s="75" t="str">
        <f aca="false">IF(SUM($AA25)&lt;=0,"",$AA25-$AB25-$AC25)</f>
        <v/>
      </c>
      <c r="AE25" s="73" t="str">
        <f aca="false">IF(SUM($AC25)&lt;=0,"",ROUND($AC25*$Z25,0))</f>
        <v/>
      </c>
      <c r="AF25" s="73" t="n">
        <f aca="false">_xlfn.IFNA(INDEX(Cascade!$BD:$BD,MATCH($E25,Cascade!$E:$E,0)),"")</f>
        <v>22</v>
      </c>
      <c r="AG25" s="118" t="n">
        <f aca="false">IF(SUM($AF25)&lt;=0,"",SUM($AC25)/$AF25)</f>
        <v>0</v>
      </c>
      <c r="AH25" s="118" t="n">
        <f aca="false">_xlfn.IFNA(INDEX(Cascade!$BL:$BL,MATCH($E25,Cascade!$E:$E,0)),"")</f>
        <v>0.318181818181818</v>
      </c>
      <c r="AI25" s="118" t="n">
        <f aca="false">_xlfn.IFNA(INDEX(Cascade!$BO:$BO,MATCH($E25,Cascade!$E:$E,0)),"")</f>
        <v>-383.090909090909</v>
      </c>
      <c r="AJ25" s="118" t="n">
        <f aca="false">_xlfn.IFNA(INDEX(Cascade!$BR:$BR,MATCH($E25,Cascade!$E:$E,0)),"")</f>
        <v>383.772727272727</v>
      </c>
    </row>
    <row r="26" customFormat="false" ht="15" hidden="false" customHeight="false" outlineLevel="0" collapsed="false">
      <c r="A26" s="0" t="s">
        <v>142</v>
      </c>
      <c r="B26" s="0" t="s">
        <v>109</v>
      </c>
      <c r="C26" s="0" t="s">
        <v>72</v>
      </c>
      <c r="D26" s="0" t="s">
        <v>58</v>
      </c>
      <c r="E26" s="0" t="str">
        <f aca="false">B26&amp;"|"&amp;C26&amp;"|"&amp;D26</f>
        <v>Berea [#SNU] [#DREAMS] [wpg5evyl1OL]|30-34|Male</v>
      </c>
      <c r="F26" s="73" t="n">
        <f aca="false">_xlfn.IFNA(INDEX(Cascade!$F:$F,MATCH($E26,Cascade!$E:$E,0)),"")</f>
        <v>12894</v>
      </c>
      <c r="G26" s="73" t="n">
        <f aca="false">_xlfn.IFNA(INDEX(Cascade!$H:$H,MATCH($E26,Cascade!$E:$E,0)),"")</f>
        <v>2167</v>
      </c>
      <c r="H26" s="118" t="n">
        <f aca="false">_xlfn.IFNA(INDEX(Cascade!$J:$J,MATCH($E26,Cascade!$E:$E,0)),"")</f>
        <v>0.1680274</v>
      </c>
      <c r="I26" s="73" t="n">
        <f aca="false">_xlfn.IFNA(INDEX(Cascade!$P:$P,MATCH($E26,Cascade!$E:$E,0)),"")</f>
        <v>1191</v>
      </c>
      <c r="J26" s="118" t="n">
        <f aca="false">_xlfn.IFNA(INDEX(Cascade!$Y:$Y,MATCH($E26,Cascade!$E:$E,0)),"")</f>
        <v>0.549607752653438</v>
      </c>
      <c r="K26" s="75" t="str">
        <f aca="false">_xlfn.IFNA(ROUND(INDEX(Spectrum!$N:$N,MATCH(RIGHT($B26,13)&amp;"|"&amp;$C26&amp;"|"&amp;$D26&amp;"|"&amp;K$14&amp;"|"&amp;"CY2021Q3",Spectrum!$Q:$Q,0)),0),"")</f>
        <v/>
      </c>
      <c r="L26" s="75" t="str">
        <f aca="false">_xlfn.IFNA(ROUND(INDEX(Spectrum!$N:$N,MATCH(RIGHT($B26,13)&amp;"|"&amp;$C26&amp;"|"&amp;$D26&amp;"|"&amp;L$14&amp;"|"&amp;"CY2021Q3",Spectrum!$Q:$Q,0)),0),"")</f>
        <v/>
      </c>
      <c r="M26" s="118" t="n">
        <f aca="false">IF(OR(LEFT($B26,4)="_Mil",SUM($F26)&lt;=0),"",SUM($L26)/$F26)</f>
        <v>0</v>
      </c>
      <c r="N26" s="118" t="n">
        <f aca="false">IF(LEFT($B26,4)="_Mil","",80%)</f>
        <v>0.8</v>
      </c>
      <c r="O26" s="75" t="n">
        <f aca="false">IF(LEFT($B26,4)="_Mil","",IF(SUM($F26)=0,"",ROUND(SUM($F26)*SUM($N26),0)))</f>
        <v>10315</v>
      </c>
      <c r="P26" s="75" t="n">
        <f aca="false">IF(LEFT($B26,4)="_Mil","",IF(SUM($F26)=0,"",ROUND(MAX(SUM($O26)-SUM($L26),0),0)))</f>
        <v>10315</v>
      </c>
      <c r="Q26" s="73" t="n">
        <v>13</v>
      </c>
      <c r="R26" s="73" t="n">
        <v>15</v>
      </c>
      <c r="S26" s="118" t="str">
        <f aca="false">IF(LEFT($B26,4)="_Mil","",IF(SUM($K26)&lt;=0,"",SUM($R26)/$K26))</f>
        <v/>
      </c>
      <c r="T26" s="118" t="str">
        <f aca="false">IF(SUM($S26)&lt;=0,"",$S26)</f>
        <v/>
      </c>
      <c r="U26" s="118" t="str">
        <f aca="false">IF(LEFT($B26,4)="_Mil",0,"")</f>
        <v/>
      </c>
      <c r="V26" s="118" t="n">
        <v>25</v>
      </c>
      <c r="W26" s="118" t="n">
        <f aca="false">IF(SUM($V26)=0,"",$V26)</f>
        <v>25</v>
      </c>
      <c r="X26" s="118"/>
      <c r="Y26" s="118" t="str">
        <f aca="false">IF(SUM($X26)=0,"",$X26)</f>
        <v/>
      </c>
      <c r="Z26" s="118" t="n">
        <f aca="false">_xlfn.IFNA(INDEX(Cascade!$BA:$BA,MATCH($E26,Cascade!$E:$E,0)),"")</f>
        <v>0.95</v>
      </c>
      <c r="AA26" s="73" t="n">
        <f aca="false">IF(LEFT($B26,4)="_Mil",IF(SUM($R26)=0,"",ROUND(SUM($R26)*(1+$U26),0)),IF(SUM($P26)=0,"",ROUND(SUM($T26)*SUM($P26),0)))</f>
        <v>0</v>
      </c>
      <c r="AB26" s="75" t="str">
        <f aca="false">IF(SUM($AA26)&lt;=0,"",ROUND($AA26*$W26,0))</f>
        <v/>
      </c>
      <c r="AC26" s="75" t="str">
        <f aca="false">IF(SUM($AA26)&lt;=0,"",ROUND((SUM($AA26)-SUM($AB26))*SUM($Y26),0))</f>
        <v/>
      </c>
      <c r="AD26" s="75" t="str">
        <f aca="false">IF(SUM($AA26)&lt;=0,"",$AA26-$AB26-$AC26)</f>
        <v/>
      </c>
      <c r="AE26" s="73" t="str">
        <f aca="false">IF(SUM($AC26)&lt;=0,"",ROUND($AC26*$Z26,0))</f>
        <v/>
      </c>
      <c r="AF26" s="73" t="n">
        <f aca="false">_xlfn.IFNA(INDEX(Cascade!$BD:$BD,MATCH($E26,Cascade!$E:$E,0)),"")</f>
        <v>4</v>
      </c>
      <c r="AG26" s="118" t="n">
        <f aca="false">IF(SUM($AF26)&lt;=0,"",SUM($AC26)/$AF26)</f>
        <v>0</v>
      </c>
      <c r="AH26" s="118" t="n">
        <f aca="false">_xlfn.IFNA(INDEX(Cascade!$BL:$BL,MATCH($E26,Cascade!$E:$E,0)),"")</f>
        <v>0.25</v>
      </c>
      <c r="AI26" s="118" t="n">
        <f aca="false">_xlfn.IFNA(INDEX(Cascade!$BO:$BO,MATCH($E26,Cascade!$E:$E,0)),"")</f>
        <v>-4608</v>
      </c>
      <c r="AJ26" s="118" t="n">
        <f aca="false">_xlfn.IFNA(INDEX(Cascade!$BR:$BR,MATCH($E26,Cascade!$E:$E,0)),"")</f>
        <v>4608.75</v>
      </c>
    </row>
    <row r="27" customFormat="false" ht="15" hidden="false" customHeight="false" outlineLevel="0" collapsed="false">
      <c r="A27" s="0" t="s">
        <v>142</v>
      </c>
      <c r="B27" s="0" t="s">
        <v>109</v>
      </c>
      <c r="C27" s="0" t="s">
        <v>75</v>
      </c>
      <c r="D27" s="0" t="s">
        <v>58</v>
      </c>
      <c r="E27" s="0" t="str">
        <f aca="false">B27&amp;"|"&amp;C27&amp;"|"&amp;D27</f>
        <v>Berea [#SNU] [#DREAMS] [wpg5evyl1OL]|35-39|Male</v>
      </c>
      <c r="F27" s="73" t="n">
        <f aca="false">_xlfn.IFNA(INDEX(Cascade!$F:$F,MATCH($E27,Cascade!$E:$E,0)),"")</f>
        <v>10372</v>
      </c>
      <c r="G27" s="73" t="n">
        <f aca="false">_xlfn.IFNA(INDEX(Cascade!$H:$H,MATCH($E27,Cascade!$E:$E,0)),"")</f>
        <v>2673</v>
      </c>
      <c r="H27" s="118" t="n">
        <f aca="false">_xlfn.IFNA(INDEX(Cascade!$J:$J,MATCH($E27,Cascade!$E:$E,0)),"")</f>
        <v>0.2577185</v>
      </c>
      <c r="I27" s="73" t="n">
        <f aca="false">_xlfn.IFNA(INDEX(Cascade!$P:$P,MATCH($E27,Cascade!$E:$E,0)),"")</f>
        <v>1754</v>
      </c>
      <c r="J27" s="118" t="n">
        <f aca="false">_xlfn.IFNA(INDEX(Cascade!$Y:$Y,MATCH($E27,Cascade!$E:$E,0)),"")</f>
        <v>0.656191545080434</v>
      </c>
      <c r="K27" s="75" t="str">
        <f aca="false">_xlfn.IFNA(ROUND(INDEX(Spectrum!$N:$N,MATCH(RIGHT($B27,13)&amp;"|"&amp;$C27&amp;"|"&amp;$D27&amp;"|"&amp;K$14&amp;"|"&amp;"CY2021Q3",Spectrum!$Q:$Q,0)),0),"")</f>
        <v/>
      </c>
      <c r="L27" s="75" t="str">
        <f aca="false">_xlfn.IFNA(ROUND(INDEX(Spectrum!$N:$N,MATCH(RIGHT($B27,13)&amp;"|"&amp;$C27&amp;"|"&amp;$D27&amp;"|"&amp;L$14&amp;"|"&amp;"CY2021Q3",Spectrum!$Q:$Q,0)),0),"")</f>
        <v/>
      </c>
      <c r="M27" s="118" t="n">
        <f aca="false">IF(OR(LEFT($B27,4)="_Mil",SUM($F27)&lt;=0),"",SUM($L27)/$F27)</f>
        <v>0</v>
      </c>
      <c r="N27" s="118" t="n">
        <f aca="false">IF(LEFT($B27,4)="_Mil","",80%)</f>
        <v>0.8</v>
      </c>
      <c r="O27" s="75" t="n">
        <f aca="false">IF(LEFT($B27,4)="_Mil","",IF(SUM($F27)=0,"",ROUND(SUM($F27)*SUM($N27),0)))</f>
        <v>8298</v>
      </c>
      <c r="P27" s="75" t="n">
        <f aca="false">IF(LEFT($B27,4)="_Mil","",IF(SUM($F27)=0,"",ROUND(MAX(SUM($O27)-SUM($L27),0),0)))</f>
        <v>8298</v>
      </c>
      <c r="Q27" s="73" t="n">
        <v>38</v>
      </c>
      <c r="R27" s="73" t="n">
        <v>48</v>
      </c>
      <c r="S27" s="118" t="str">
        <f aca="false">IF(LEFT($B27,4)="_Mil","",IF(SUM($K27)&lt;=0,"",SUM($R27)/$K27))</f>
        <v/>
      </c>
      <c r="T27" s="118" t="str">
        <f aca="false">IF(SUM($S27)&lt;=0,"",$S27)</f>
        <v/>
      </c>
      <c r="U27" s="118" t="str">
        <f aca="false">IF(LEFT($B27,4)="_Mil",0,"")</f>
        <v/>
      </c>
      <c r="V27" s="118" t="n">
        <v>41</v>
      </c>
      <c r="W27" s="118" t="n">
        <f aca="false">IF(SUM($V27)=0,"",$V27)</f>
        <v>41</v>
      </c>
      <c r="X27" s="118"/>
      <c r="Y27" s="118" t="str">
        <f aca="false">IF(SUM($X27)=0,"",$X27)</f>
        <v/>
      </c>
      <c r="Z27" s="118" t="n">
        <f aca="false">_xlfn.IFNA(INDEX(Cascade!$BA:$BA,MATCH($E27,Cascade!$E:$E,0)),"")</f>
        <v>0.95</v>
      </c>
      <c r="AA27" s="73" t="n">
        <f aca="false">IF(LEFT($B27,4)="_Mil",IF(SUM($R27)=0,"",ROUND(SUM($R27)*(1+$U27),0)),IF(SUM($P27)=0,"",ROUND(SUM($T27)*SUM($P27),0)))</f>
        <v>0</v>
      </c>
      <c r="AB27" s="75" t="str">
        <f aca="false">IF(SUM($AA27)&lt;=0,"",ROUND($AA27*$W27,0))</f>
        <v/>
      </c>
      <c r="AC27" s="75" t="str">
        <f aca="false">IF(SUM($AA27)&lt;=0,"",ROUND((SUM($AA27)-SUM($AB27))*SUM($Y27),0))</f>
        <v/>
      </c>
      <c r="AD27" s="75" t="str">
        <f aca="false">IF(SUM($AA27)&lt;=0,"",$AA27-$AB27-$AC27)</f>
        <v/>
      </c>
      <c r="AE27" s="73" t="str">
        <f aca="false">IF(SUM($AC27)&lt;=0,"",ROUND($AC27*$Z27,0))</f>
        <v/>
      </c>
      <c r="AF27" s="73" t="n">
        <f aca="false">_xlfn.IFNA(INDEX(Cascade!$BD:$BD,MATCH($E27,Cascade!$E:$E,0)),"")</f>
        <v>4</v>
      </c>
      <c r="AG27" s="118" t="n">
        <f aca="false">IF(SUM($AF27)&lt;=0,"",SUM($AC27)/$AF27)</f>
        <v>0</v>
      </c>
      <c r="AH27" s="118" t="n">
        <f aca="false">_xlfn.IFNA(INDEX(Cascade!$BL:$BL,MATCH($E27,Cascade!$E:$E,0)),"")</f>
        <v>0.25</v>
      </c>
      <c r="AI27" s="118" t="str">
        <f aca="false">_xlfn.IFNA(INDEX(Cascade!$BO:$BO,MATCH($E27,Cascade!$E:$E,0)),"")</f>
        <v/>
      </c>
      <c r="AJ27" s="118" t="n">
        <f aca="false">_xlfn.IFNA(INDEX(Cascade!$BR:$BR,MATCH($E27,Cascade!$E:$E,0)),"")</f>
        <v>0.75</v>
      </c>
    </row>
    <row r="28" customFormat="false" ht="15" hidden="false" customHeight="false" outlineLevel="0" collapsed="false">
      <c r="A28" s="0" t="s">
        <v>142</v>
      </c>
      <c r="B28" s="0" t="s">
        <v>109</v>
      </c>
      <c r="C28" s="0" t="s">
        <v>77</v>
      </c>
      <c r="D28" s="0" t="s">
        <v>58</v>
      </c>
      <c r="E28" s="0" t="str">
        <f aca="false">B28&amp;"|"&amp;C28&amp;"|"&amp;D28</f>
        <v>Berea [#SNU] [#DREAMS] [wpg5evyl1OL]|40-44|Male</v>
      </c>
      <c r="F28" s="73" t="n">
        <f aca="false">_xlfn.IFNA(INDEX(Cascade!$F:$F,MATCH($E28,Cascade!$E:$E,0)),"")</f>
        <v>6905</v>
      </c>
      <c r="G28" s="73" t="n">
        <f aca="false">_xlfn.IFNA(INDEX(Cascade!$H:$H,MATCH($E28,Cascade!$E:$E,0)),"")</f>
        <v>2413</v>
      </c>
      <c r="H28" s="118" t="n">
        <f aca="false">_xlfn.IFNA(INDEX(Cascade!$J:$J,MATCH($E28,Cascade!$E:$E,0)),"")</f>
        <v>0.3495099</v>
      </c>
      <c r="I28" s="73" t="n">
        <f aca="false">_xlfn.IFNA(INDEX(Cascade!$P:$P,MATCH($E28,Cascade!$E:$E,0)),"")</f>
        <v>1880</v>
      </c>
      <c r="J28" s="118" t="n">
        <f aca="false">_xlfn.IFNA(INDEX(Cascade!$Y:$Y,MATCH($E28,Cascade!$E:$E,0)),"")</f>
        <v>0.779113137173643</v>
      </c>
      <c r="K28" s="75" t="str">
        <f aca="false">_xlfn.IFNA(ROUND(INDEX(Spectrum!$N:$N,MATCH(RIGHT($B28,13)&amp;"|"&amp;$C28&amp;"|"&amp;$D28&amp;"|"&amp;K$14&amp;"|"&amp;"CY2021Q3",Spectrum!$Q:$Q,0)),0),"")</f>
        <v/>
      </c>
      <c r="L28" s="75" t="str">
        <f aca="false">_xlfn.IFNA(ROUND(INDEX(Spectrum!$N:$N,MATCH(RIGHT($B28,13)&amp;"|"&amp;$C28&amp;"|"&amp;$D28&amp;"|"&amp;L$14&amp;"|"&amp;"CY2021Q3",Spectrum!$Q:$Q,0)),0),"")</f>
        <v/>
      </c>
      <c r="M28" s="118" t="n">
        <f aca="false">IF(OR(LEFT($B28,4)="_Mil",SUM($F28)&lt;=0),"",SUM($L28)/$F28)</f>
        <v>0</v>
      </c>
      <c r="N28" s="118" t="n">
        <f aca="false">IF(LEFT($B28,4)="_Mil","",80%)</f>
        <v>0.8</v>
      </c>
      <c r="O28" s="75" t="n">
        <f aca="false">IF(LEFT($B28,4)="_Mil","",IF(SUM($F28)=0,"",ROUND(SUM($F28)*SUM($N28),0)))</f>
        <v>5524</v>
      </c>
      <c r="P28" s="75" t="n">
        <f aca="false">IF(LEFT($B28,4)="_Mil","",IF(SUM($F28)=0,"",ROUND(MAX(SUM($O28)-SUM($L28),0),0)))</f>
        <v>5524</v>
      </c>
      <c r="Q28" s="73" t="n">
        <v>14</v>
      </c>
      <c r="R28" s="73" t="n">
        <v>21</v>
      </c>
      <c r="S28" s="118" t="str">
        <f aca="false">IF(LEFT($B28,4)="_Mil","",IF(SUM($K28)&lt;=0,"",SUM($R28)/$K28))</f>
        <v/>
      </c>
      <c r="T28" s="118" t="str">
        <f aca="false">IF(SUM($S28)&lt;=0,"",$S28)</f>
        <v/>
      </c>
      <c r="U28" s="118" t="str">
        <f aca="false">IF(LEFT($B28,4)="_Mil",0,"")</f>
        <v/>
      </c>
      <c r="V28" s="118" t="n">
        <v>35</v>
      </c>
      <c r="W28" s="118" t="n">
        <f aca="false">IF(SUM($V28)=0,"",$V28)</f>
        <v>35</v>
      </c>
      <c r="X28" s="118"/>
      <c r="Y28" s="118" t="str">
        <f aca="false">IF(SUM($X28)=0,"",$X28)</f>
        <v/>
      </c>
      <c r="Z28" s="118" t="n">
        <f aca="false">_xlfn.IFNA(INDEX(Cascade!$BA:$BA,MATCH($E28,Cascade!$E:$E,0)),"")</f>
        <v>0.95</v>
      </c>
      <c r="AA28" s="73" t="n">
        <f aca="false">IF(LEFT($B28,4)="_Mil",IF(SUM($R28)=0,"",ROUND(SUM($R28)*(1+$U28),0)),IF(SUM($P28)=0,"",ROUND(SUM($T28)*SUM($P28),0)))</f>
        <v>0</v>
      </c>
      <c r="AB28" s="75" t="str">
        <f aca="false">IF(SUM($AA28)&lt;=0,"",ROUND($AA28*$W28,0))</f>
        <v/>
      </c>
      <c r="AC28" s="75" t="str">
        <f aca="false">IF(SUM($AA28)&lt;=0,"",ROUND((SUM($AA28)-SUM($AB28))*SUM($Y28),0))</f>
        <v/>
      </c>
      <c r="AD28" s="75" t="str">
        <f aca="false">IF(SUM($AA28)&lt;=0,"",$AA28-$AB28-$AC28)</f>
        <v/>
      </c>
      <c r="AE28" s="73" t="str">
        <f aca="false">IF(SUM($AC28)&lt;=0,"",ROUND($AC28*$Z28,0))</f>
        <v/>
      </c>
      <c r="AF28" s="73" t="n">
        <f aca="false">_xlfn.IFNA(INDEX(Cascade!$BD:$BD,MATCH($E28,Cascade!$E:$E,0)),"")</f>
        <v>5</v>
      </c>
      <c r="AG28" s="118" t="n">
        <f aca="false">IF(SUM($AF28)&lt;=0,"",SUM($AC28)/$AF28)</f>
        <v>0</v>
      </c>
      <c r="AH28" s="118" t="n">
        <f aca="false">_xlfn.IFNA(INDEX(Cascade!$BL:$BL,MATCH($E28,Cascade!$E:$E,0)),"")</f>
        <v>0.6</v>
      </c>
      <c r="AI28" s="118" t="n">
        <f aca="false">_xlfn.IFNA(INDEX(Cascade!$BO:$BO,MATCH($E28,Cascade!$E:$E,0)),"")</f>
        <v>-1332.8</v>
      </c>
      <c r="AJ28" s="118" t="n">
        <f aca="false">_xlfn.IFNA(INDEX(Cascade!$BR:$BR,MATCH($E28,Cascade!$E:$E,0)),"")</f>
        <v>1333.2</v>
      </c>
    </row>
    <row r="29" customFormat="false" ht="15" hidden="false" customHeight="false" outlineLevel="0" collapsed="false">
      <c r="A29" s="0" t="s">
        <v>142</v>
      </c>
      <c r="B29" s="0" t="s">
        <v>109</v>
      </c>
      <c r="C29" s="0" t="s">
        <v>80</v>
      </c>
      <c r="D29" s="0" t="s">
        <v>58</v>
      </c>
      <c r="E29" s="0" t="str">
        <f aca="false">B29&amp;"|"&amp;C29&amp;"|"&amp;D29</f>
        <v>Berea [#SNU] [#DREAMS] [wpg5evyl1OL]|45-49|Male</v>
      </c>
      <c r="F29" s="73" t="n">
        <f aca="false">_xlfn.IFNA(INDEX(Cascade!$F:$F,MATCH($E29,Cascade!$E:$E,0)),"")</f>
        <v>5130</v>
      </c>
      <c r="G29" s="73" t="n">
        <f aca="false">_xlfn.IFNA(INDEX(Cascade!$H:$H,MATCH($E29,Cascade!$E:$E,0)),"")</f>
        <v>2031</v>
      </c>
      <c r="H29" s="118" t="n">
        <f aca="false">_xlfn.IFNA(INDEX(Cascade!$J:$J,MATCH($E29,Cascade!$E:$E,0)),"")</f>
        <v>0.39596</v>
      </c>
      <c r="I29" s="73" t="n">
        <f aca="false">_xlfn.IFNA(INDEX(Cascade!$P:$P,MATCH($E29,Cascade!$E:$E,0)),"")</f>
        <v>1600</v>
      </c>
      <c r="J29" s="118" t="n">
        <f aca="false">_xlfn.IFNA(INDEX(Cascade!$Y:$Y,MATCH($E29,Cascade!$E:$E,0)),"")</f>
        <v>0.787789266371246</v>
      </c>
      <c r="K29" s="75" t="str">
        <f aca="false">_xlfn.IFNA(ROUND(INDEX(Spectrum!$N:$N,MATCH(RIGHT($B29,13)&amp;"|"&amp;$C29&amp;"|"&amp;$D29&amp;"|"&amp;K$14&amp;"|"&amp;"CY2021Q3",Spectrum!$Q:$Q,0)),0),"")</f>
        <v/>
      </c>
      <c r="L29" s="75" t="str">
        <f aca="false">_xlfn.IFNA(ROUND(INDEX(Spectrum!$N:$N,MATCH(RIGHT($B29,13)&amp;"|"&amp;$C29&amp;"|"&amp;$D29&amp;"|"&amp;L$14&amp;"|"&amp;"CY2021Q3",Spectrum!$Q:$Q,0)),0),"")</f>
        <v/>
      </c>
      <c r="M29" s="118" t="n">
        <f aca="false">IF(OR(LEFT($B29,4)="_Mil",SUM($F29)&lt;=0),"",SUM($L29)/$F29)</f>
        <v>0</v>
      </c>
      <c r="N29" s="118" t="n">
        <f aca="false">IF(LEFT($B29,4)="_Mil","",80%)</f>
        <v>0.8</v>
      </c>
      <c r="O29" s="75" t="n">
        <f aca="false">IF(LEFT($B29,4)="_Mil","",IF(SUM($F29)=0,"",ROUND(SUM($F29)*SUM($N29),0)))</f>
        <v>4104</v>
      </c>
      <c r="P29" s="75" t="n">
        <f aca="false">IF(LEFT($B29,4)="_Mil","",IF(SUM($F29)=0,"",ROUND(MAX(SUM($O29)-SUM($L29),0),0)))</f>
        <v>4104</v>
      </c>
      <c r="Q29" s="73" t="n">
        <v>9</v>
      </c>
      <c r="R29" s="73" t="n">
        <v>5</v>
      </c>
      <c r="S29" s="118" t="str">
        <f aca="false">IF(LEFT($B29,4)="_Mil","",IF(SUM($K29)&lt;=0,"",SUM($R29)/$K29))</f>
        <v/>
      </c>
      <c r="T29" s="118" t="str">
        <f aca="false">IF(SUM($S29)&lt;=0,"",$S29)</f>
        <v/>
      </c>
      <c r="U29" s="118" t="str">
        <f aca="false">IF(LEFT($B29,4)="_Mil",0,"")</f>
        <v/>
      </c>
      <c r="V29" s="118" t="n">
        <v>31</v>
      </c>
      <c r="W29" s="118" t="n">
        <f aca="false">IF(SUM($V29)=0,"",$V29)</f>
        <v>31</v>
      </c>
      <c r="X29" s="118" t="n">
        <v>12</v>
      </c>
      <c r="Y29" s="118" t="n">
        <f aca="false">IF(SUM($X29)=0,"",$X29)</f>
        <v>12</v>
      </c>
      <c r="Z29" s="118" t="n">
        <f aca="false">_xlfn.IFNA(INDEX(Cascade!$BA:$BA,MATCH($E29,Cascade!$E:$E,0)),"")</f>
        <v>0.95</v>
      </c>
      <c r="AA29" s="73" t="n">
        <f aca="false">IF(LEFT($B29,4)="_Mil",IF(SUM($R29)=0,"",ROUND(SUM($R29)*(1+$U29),0)),IF(SUM($P29)=0,"",ROUND(SUM($T29)*SUM($P29),0)))</f>
        <v>0</v>
      </c>
      <c r="AB29" s="75" t="str">
        <f aca="false">IF(SUM($AA29)&lt;=0,"",ROUND($AA29*$W29,0))</f>
        <v/>
      </c>
      <c r="AC29" s="75" t="str">
        <f aca="false">IF(SUM($AA29)&lt;=0,"",ROUND((SUM($AA29)-SUM($AB29))*SUM($Y29),0))</f>
        <v/>
      </c>
      <c r="AD29" s="75" t="str">
        <f aca="false">IF(SUM($AA29)&lt;=0,"",$AA29-$AB29-$AC29)</f>
        <v/>
      </c>
      <c r="AE29" s="73" t="str">
        <f aca="false">IF(SUM($AC29)&lt;=0,"",ROUND($AC29*$Z29,0))</f>
        <v/>
      </c>
      <c r="AF29" s="73" t="n">
        <f aca="false">_xlfn.IFNA(INDEX(Cascade!$BD:$BD,MATCH($E29,Cascade!$E:$E,0)),"")</f>
        <v>8</v>
      </c>
      <c r="AG29" s="118" t="n">
        <f aca="false">IF(SUM($AF29)&lt;=0,"",SUM($AC29)/$AF29)</f>
        <v>0</v>
      </c>
      <c r="AH29" s="118" t="n">
        <f aca="false">_xlfn.IFNA(INDEX(Cascade!$BL:$BL,MATCH($E29,Cascade!$E:$E,0)),"")</f>
        <v>0.5</v>
      </c>
      <c r="AI29" s="118" t="n">
        <f aca="false">_xlfn.IFNA(INDEX(Cascade!$BO:$BO,MATCH($E29,Cascade!$E:$E,0)),"")</f>
        <v>-962</v>
      </c>
      <c r="AJ29" s="118" t="n">
        <f aca="false">_xlfn.IFNA(INDEX(Cascade!$BR:$BR,MATCH($E29,Cascade!$E:$E,0)),"")</f>
        <v>962.5</v>
      </c>
    </row>
    <row r="30" customFormat="false" ht="15" hidden="false" customHeight="false" outlineLevel="0" collapsed="false">
      <c r="A30" s="0" t="s">
        <v>142</v>
      </c>
      <c r="B30" s="0" t="s">
        <v>109</v>
      </c>
      <c r="C30" s="0" t="s">
        <v>86</v>
      </c>
      <c r="D30" s="0" t="s">
        <v>58</v>
      </c>
      <c r="E30" s="0" t="str">
        <f aca="false">B30&amp;"|"&amp;C30&amp;"|"&amp;D30</f>
        <v>Berea [#SNU] [#DREAMS] [wpg5evyl1OL]|50+|Male</v>
      </c>
      <c r="F30" s="73" t="n">
        <f aca="false">_xlfn.IFNA(INDEX(Cascade!$F:$F,MATCH($E30,Cascade!$E:$E,0)),"")</f>
        <v>18045</v>
      </c>
      <c r="G30" s="73" t="n">
        <f aca="false">_xlfn.IFNA(INDEX(Cascade!$H:$H,MATCH($E30,Cascade!$E:$E,0)),"")</f>
        <v>4847</v>
      </c>
      <c r="H30" s="118" t="n">
        <f aca="false">_xlfn.IFNA(INDEX(Cascade!$J:$J,MATCH($E30,Cascade!$E:$E,0)),"")</f>
        <v>0.2685901</v>
      </c>
      <c r="I30" s="73" t="n">
        <f aca="false">_xlfn.IFNA(INDEX(Cascade!$P:$P,MATCH($E30,Cascade!$E:$E,0)),"")</f>
        <v>3354</v>
      </c>
      <c r="J30" s="118" t="n">
        <f aca="false">_xlfn.IFNA(INDEX(Cascade!$Y:$Y,MATCH($E30,Cascade!$E:$E,0)),"")</f>
        <v>0.691974417165257</v>
      </c>
      <c r="K30" s="75" t="str">
        <f aca="false">_xlfn.IFNA(ROUND(INDEX(Spectrum!$N:$N,MATCH(RIGHT($B30,13)&amp;"|"&amp;$C30&amp;"|"&amp;$D30&amp;"|"&amp;K$14&amp;"|"&amp;"CY2021Q3",Spectrum!$Q:$Q,0)),0),"")</f>
        <v/>
      </c>
      <c r="L30" s="75" t="str">
        <f aca="false">_xlfn.IFNA(ROUND(INDEX(Spectrum!$N:$N,MATCH(RIGHT($B30,13)&amp;"|"&amp;$C30&amp;"|"&amp;$D30&amp;"|"&amp;L$14&amp;"|"&amp;"CY2021Q3",Spectrum!$Q:$Q,0)),0),"")</f>
        <v/>
      </c>
      <c r="M30" s="118" t="n">
        <f aca="false">IF(OR(LEFT($B30,4)="_Mil",SUM($F30)&lt;=0),"",SUM($L30)/$F30)</f>
        <v>0</v>
      </c>
      <c r="N30" s="118" t="n">
        <f aca="false">IF(LEFT($B30,4)="_Mil","",80%)</f>
        <v>0.8</v>
      </c>
      <c r="O30" s="75" t="n">
        <f aca="false">IF(LEFT($B30,4)="_Mil","",IF(SUM($F30)=0,"",ROUND(SUM($F30)*SUM($N30),0)))</f>
        <v>14436</v>
      </c>
      <c r="P30" s="75" t="n">
        <f aca="false">IF(LEFT($B30,4)="_Mil","",IF(SUM($F30)=0,"",ROUND(MAX(SUM($O30)-SUM($L30),0),0)))</f>
        <v>14436</v>
      </c>
      <c r="Q30" s="73" t="n">
        <v>24</v>
      </c>
      <c r="R30" s="73" t="n">
        <v>3</v>
      </c>
      <c r="S30" s="118" t="str">
        <f aca="false">IF(LEFT($B30,4)="_Mil","",IF(SUM($K30)&lt;=0,"",SUM($R30)/$K30))</f>
        <v/>
      </c>
      <c r="T30" s="118" t="str">
        <f aca="false">IF(SUM($S30)&lt;=0,"",$S30)</f>
        <v/>
      </c>
      <c r="U30" s="118" t="str">
        <f aca="false">IF(LEFT($B30,4)="_Mil",0,"")</f>
        <v/>
      </c>
      <c r="V30" s="118" t="n">
        <v>14</v>
      </c>
      <c r="W30" s="118" t="n">
        <f aca="false">IF(SUM($V30)=0,"",$V30)</f>
        <v>14</v>
      </c>
      <c r="X30" s="118" t="n">
        <v>33</v>
      </c>
      <c r="Y30" s="118" t="n">
        <f aca="false">IF(SUM($X30)=0,"",$X30)</f>
        <v>33</v>
      </c>
      <c r="Z30" s="118" t="n">
        <f aca="false">_xlfn.IFNA(INDEX(Cascade!$BA:$BA,MATCH($E30,Cascade!$E:$E,0)),"")</f>
        <v>0.95</v>
      </c>
      <c r="AA30" s="73" t="n">
        <f aca="false">IF(LEFT($B30,4)="_Mil",IF(SUM($R30)=0,"",ROUND(SUM($R30)*(1+$U30),0)),IF(SUM($P30)=0,"",ROUND(SUM($T30)*SUM($P30),0)))</f>
        <v>0</v>
      </c>
      <c r="AB30" s="75" t="str">
        <f aca="false">IF(SUM($AA30)&lt;=0,"",ROUND($AA30*$W30,0))</f>
        <v/>
      </c>
      <c r="AC30" s="75" t="str">
        <f aca="false">IF(SUM($AA30)&lt;=0,"",ROUND((SUM($AA30)-SUM($AB30))*SUM($Y30),0))</f>
        <v/>
      </c>
      <c r="AD30" s="75" t="str">
        <f aca="false">IF(SUM($AA30)&lt;=0,"",$AA30-$AB30-$AC30)</f>
        <v/>
      </c>
      <c r="AE30" s="73" t="str">
        <f aca="false">IF(SUM($AC30)&lt;=0,"",ROUND($AC30*$Z30,0))</f>
        <v/>
      </c>
      <c r="AF30" s="73" t="n">
        <f aca="false">_xlfn.IFNA(INDEX(Cascade!$BD:$BD,MATCH($E30,Cascade!$E:$E,0)),"")</f>
        <v>12</v>
      </c>
      <c r="AG30" s="118" t="n">
        <f aca="false">IF(SUM($AF30)&lt;=0,"",SUM($AC30)/$AF30)</f>
        <v>0</v>
      </c>
      <c r="AH30" s="118" t="n">
        <f aca="false">_xlfn.IFNA(INDEX(Cascade!$BL:$BL,MATCH($E30,Cascade!$E:$E,0)),"")</f>
        <v>0.333333333333333</v>
      </c>
      <c r="AI30" s="118" t="n">
        <f aca="false">_xlfn.IFNA(INDEX(Cascade!$BO:$BO,MATCH($E30,Cascade!$E:$E,0)),"")</f>
        <v>-5375</v>
      </c>
      <c r="AJ30" s="118" t="n">
        <f aca="false">_xlfn.IFNA(INDEX(Cascade!$BR:$BR,MATCH($E30,Cascade!$E:$E,0)),"")</f>
        <v>5375.66666666667</v>
      </c>
    </row>
    <row r="31" customFormat="false" ht="15" hidden="false" customHeight="false" outlineLevel="0" collapsed="false">
      <c r="A31" s="0" t="s">
        <v>143</v>
      </c>
      <c r="B31" s="0" t="s">
        <v>115</v>
      </c>
      <c r="C31" s="0" t="s">
        <v>63</v>
      </c>
      <c r="D31" s="0" t="s">
        <v>58</v>
      </c>
      <c r="E31" s="0" t="str">
        <f aca="false">B31&amp;"|"&amp;C31&amp;"|"&amp;D31</f>
        <v>Butha Buthe [#SNU] [mvPRqBFtVC0]|15-19|Male</v>
      </c>
      <c r="F31" s="73" t="n">
        <f aca="false">_xlfn.IFNA(INDEX(Cascade!$F:$F,MATCH($E31,Cascade!$E:$E,0)),"")</f>
        <v>5380</v>
      </c>
      <c r="G31" s="73" t="n">
        <f aca="false">_xlfn.IFNA(INDEX(Cascade!$H:$H,MATCH($E31,Cascade!$E:$E,0)),"")</f>
        <v>117</v>
      </c>
      <c r="H31" s="118" t="n">
        <f aca="false">_xlfn.IFNA(INDEX(Cascade!$J:$J,MATCH($E31,Cascade!$E:$E,0)),"")</f>
        <v>0.0217786</v>
      </c>
      <c r="I31" s="73" t="n">
        <f aca="false">_xlfn.IFNA(INDEX(Cascade!$P:$P,MATCH($E31,Cascade!$E:$E,0)),"")</f>
        <v>113</v>
      </c>
      <c r="J31" s="118" t="n">
        <f aca="false">_xlfn.IFNA(INDEX(Cascade!$Y:$Y,MATCH($E31,Cascade!$E:$E,0)),"")</f>
        <v>0.965811965811966</v>
      </c>
      <c r="K31" s="75" t="str">
        <f aca="false">_xlfn.IFNA(ROUND(INDEX(Spectrum!$N:$N,MATCH(RIGHT($B31,13)&amp;"|"&amp;$C31&amp;"|"&amp;$D31&amp;"|"&amp;K$14&amp;"|"&amp;"CY2021Q3",Spectrum!$Q:$Q,0)),0),"")</f>
        <v/>
      </c>
      <c r="L31" s="75" t="str">
        <f aca="false">_xlfn.IFNA(ROUND(INDEX(Spectrum!$N:$N,MATCH(RIGHT($B31,13)&amp;"|"&amp;$C31&amp;"|"&amp;$D31&amp;"|"&amp;L$14&amp;"|"&amp;"CY2021Q3",Spectrum!$Q:$Q,0)),0),"")</f>
        <v/>
      </c>
      <c r="M31" s="118" t="n">
        <f aca="false">IF(OR(LEFT($B31,4)="_Mil",SUM($F31)&lt;=0),"",SUM($L31)/$F31)</f>
        <v>0</v>
      </c>
      <c r="N31" s="118" t="n">
        <f aca="false">IF(LEFT($B31,4)="_Mil","",80%)</f>
        <v>0.8</v>
      </c>
      <c r="O31" s="75" t="n">
        <f aca="false">IF(LEFT($B31,4)="_Mil","",IF(SUM($F31)=0,"",ROUND(SUM($F31)*SUM($N31),0)))</f>
        <v>4304</v>
      </c>
      <c r="P31" s="75" t="n">
        <f aca="false">IF(LEFT($B31,4)="_Mil","",IF(SUM($F31)=0,"",ROUND(MAX(SUM($O31)-SUM($L31),0),0)))</f>
        <v>4304</v>
      </c>
      <c r="Q31" s="73"/>
      <c r="R31" s="73"/>
      <c r="S31" s="118" t="str">
        <f aca="false">IF(LEFT($B31,4)="_Mil","",IF(SUM($K31)&lt;=0,"",SUM($R31)/$K31))</f>
        <v/>
      </c>
      <c r="T31" s="118" t="str">
        <f aca="false">IF(SUM($S31)&lt;=0,"",$S31)</f>
        <v/>
      </c>
      <c r="U31" s="118" t="str">
        <f aca="false">IF(LEFT($B31,4)="_Mil",0,"")</f>
        <v/>
      </c>
      <c r="V31" s="118"/>
      <c r="W31" s="118" t="str">
        <f aca="false">IF(SUM($V31)=0,"",$V31)</f>
        <v/>
      </c>
      <c r="X31" s="118"/>
      <c r="Y31" s="118" t="str">
        <f aca="false">IF(SUM($X31)=0,"",$X31)</f>
        <v/>
      </c>
      <c r="Z31" s="118" t="n">
        <f aca="false">_xlfn.IFNA(INDEX(Cascade!$BA:$BA,MATCH($E31,Cascade!$E:$E,0)),"")</f>
        <v>0.95</v>
      </c>
      <c r="AA31" s="73" t="n">
        <f aca="false">IF(LEFT($B31,4)="_Mil",IF(SUM($R31)=0,"",ROUND(SUM($R31)*(1+$U31),0)),IF(SUM($P31)=0,"",ROUND(SUM($T31)*SUM($P31),0)))</f>
        <v>0</v>
      </c>
      <c r="AB31" s="75" t="str">
        <f aca="false">IF(SUM($AA31)&lt;=0,"",ROUND($AA31*$W31,0))</f>
        <v/>
      </c>
      <c r="AC31" s="75" t="str">
        <f aca="false">IF(SUM($AA31)&lt;=0,"",ROUND((SUM($AA31)-SUM($AB31))*SUM($Y31),0))</f>
        <v/>
      </c>
      <c r="AD31" s="75" t="str">
        <f aca="false">IF(SUM($AA31)&lt;=0,"",$AA31-$AB31-$AC31)</f>
        <v/>
      </c>
      <c r="AE31" s="73" t="str">
        <f aca="false">IF(SUM($AC31)&lt;=0,"",ROUND($AC31*$Z31,0))</f>
        <v/>
      </c>
      <c r="AF31" s="73" t="n">
        <f aca="false">_xlfn.IFNA(INDEX(Cascade!$BD:$BD,MATCH($E31,Cascade!$E:$E,0)),"")</f>
        <v>1</v>
      </c>
      <c r="AG31" s="118" t="n">
        <f aca="false">IF(SUM($AF31)&lt;=0,"",SUM($AC31)/$AF31)</f>
        <v>0</v>
      </c>
      <c r="AH31" s="118" t="n">
        <f aca="false">_xlfn.IFNA(INDEX(Cascade!$BL:$BL,MATCH($E31,Cascade!$E:$E,0)),"")</f>
        <v>1</v>
      </c>
      <c r="AI31" s="118" t="str">
        <f aca="false">_xlfn.IFNA(INDEX(Cascade!$BO:$BO,MATCH($E31,Cascade!$E:$E,0)),"")</f>
        <v/>
      </c>
      <c r="AJ31" s="118" t="str">
        <f aca="false">_xlfn.IFNA(INDEX(Cascade!$BR:$BR,MATCH($E31,Cascade!$E:$E,0)),"")</f>
        <v/>
      </c>
    </row>
    <row r="32" customFormat="false" ht="15" hidden="false" customHeight="false" outlineLevel="0" collapsed="false">
      <c r="A32" s="0" t="s">
        <v>143</v>
      </c>
      <c r="B32" s="0" t="s">
        <v>115</v>
      </c>
      <c r="C32" s="0" t="s">
        <v>66</v>
      </c>
      <c r="D32" s="0" t="s">
        <v>58</v>
      </c>
      <c r="E32" s="0" t="str">
        <f aca="false">B32&amp;"|"&amp;C32&amp;"|"&amp;D32</f>
        <v>Butha Buthe [#SNU] [mvPRqBFtVC0]|20-24|Male</v>
      </c>
      <c r="F32" s="73" t="n">
        <f aca="false">_xlfn.IFNA(INDEX(Cascade!$F:$F,MATCH($E32,Cascade!$E:$E,0)),"")</f>
        <v>5220</v>
      </c>
      <c r="G32" s="73" t="n">
        <f aca="false">_xlfn.IFNA(INDEX(Cascade!$H:$H,MATCH($E32,Cascade!$E:$E,0)),"")</f>
        <v>196</v>
      </c>
      <c r="H32" s="118" t="n">
        <f aca="false">_xlfn.IFNA(INDEX(Cascade!$J:$J,MATCH($E32,Cascade!$E:$E,0)),"")</f>
        <v>0.0374637</v>
      </c>
      <c r="I32" s="73" t="n">
        <f aca="false">_xlfn.IFNA(INDEX(Cascade!$P:$P,MATCH($E32,Cascade!$E:$E,0)),"")</f>
        <v>118</v>
      </c>
      <c r="J32" s="118" t="n">
        <f aca="false">_xlfn.IFNA(INDEX(Cascade!$Y:$Y,MATCH($E32,Cascade!$E:$E,0)),"")</f>
        <v>0.602040816326531</v>
      </c>
      <c r="K32" s="75" t="str">
        <f aca="false">_xlfn.IFNA(ROUND(INDEX(Spectrum!$N:$N,MATCH(RIGHT($B32,13)&amp;"|"&amp;$C32&amp;"|"&amp;$D32&amp;"|"&amp;K$14&amp;"|"&amp;"CY2021Q3",Spectrum!$Q:$Q,0)),0),"")</f>
        <v/>
      </c>
      <c r="L32" s="75" t="str">
        <f aca="false">_xlfn.IFNA(ROUND(INDEX(Spectrum!$N:$N,MATCH(RIGHT($B32,13)&amp;"|"&amp;$C32&amp;"|"&amp;$D32&amp;"|"&amp;L$14&amp;"|"&amp;"CY2021Q3",Spectrum!$Q:$Q,0)),0),"")</f>
        <v/>
      </c>
      <c r="M32" s="118" t="n">
        <f aca="false">IF(OR(LEFT($B32,4)="_Mil",SUM($F32)&lt;=0),"",SUM($L32)/$F32)</f>
        <v>0</v>
      </c>
      <c r="N32" s="118" t="n">
        <f aca="false">IF(LEFT($B32,4)="_Mil","",80%)</f>
        <v>0.8</v>
      </c>
      <c r="O32" s="75" t="n">
        <f aca="false">IF(LEFT($B32,4)="_Mil","",IF(SUM($F32)=0,"",ROUND(SUM($F32)*SUM($N32),0)))</f>
        <v>4176</v>
      </c>
      <c r="P32" s="75" t="n">
        <f aca="false">IF(LEFT($B32,4)="_Mil","",IF(SUM($F32)=0,"",ROUND(MAX(SUM($O32)-SUM($L32),0),0)))</f>
        <v>4176</v>
      </c>
      <c r="Q32" s="73"/>
      <c r="R32" s="73"/>
      <c r="S32" s="118" t="str">
        <f aca="false">IF(LEFT($B32,4)="_Mil","",IF(SUM($K32)&lt;=0,"",SUM($R32)/$K32))</f>
        <v/>
      </c>
      <c r="T32" s="118" t="str">
        <f aca="false">IF(SUM($S32)&lt;=0,"",$S32)</f>
        <v/>
      </c>
      <c r="U32" s="118" t="str">
        <f aca="false">IF(LEFT($B32,4)="_Mil",0,"")</f>
        <v/>
      </c>
      <c r="V32" s="118"/>
      <c r="W32" s="118" t="str">
        <f aca="false">IF(SUM($V32)=0,"",$V32)</f>
        <v/>
      </c>
      <c r="X32" s="118"/>
      <c r="Y32" s="118" t="str">
        <f aca="false">IF(SUM($X32)=0,"",$X32)</f>
        <v/>
      </c>
      <c r="Z32" s="118" t="n">
        <f aca="false">_xlfn.IFNA(INDEX(Cascade!$BA:$BA,MATCH($E32,Cascade!$E:$E,0)),"")</f>
        <v>0.95</v>
      </c>
      <c r="AA32" s="73" t="n">
        <f aca="false">IF(LEFT($B32,4)="_Mil",IF(SUM($R32)=0,"",ROUND(SUM($R32)*(1+$U32),0)),IF(SUM($P32)=0,"",ROUND(SUM($T32)*SUM($P32),0)))</f>
        <v>0</v>
      </c>
      <c r="AB32" s="75" t="str">
        <f aca="false">IF(SUM($AA32)&lt;=0,"",ROUND($AA32*$W32,0))</f>
        <v/>
      </c>
      <c r="AC32" s="75" t="str">
        <f aca="false">IF(SUM($AA32)&lt;=0,"",ROUND((SUM($AA32)-SUM($AB32))*SUM($Y32),0))</f>
        <v/>
      </c>
      <c r="AD32" s="75" t="str">
        <f aca="false">IF(SUM($AA32)&lt;=0,"",$AA32-$AB32-$AC32)</f>
        <v/>
      </c>
      <c r="AE32" s="73" t="str">
        <f aca="false">IF(SUM($AC32)&lt;=0,"",ROUND($AC32*$Z32,0))</f>
        <v/>
      </c>
      <c r="AF32" s="73" t="n">
        <f aca="false">_xlfn.IFNA(INDEX(Cascade!$BD:$BD,MATCH($E32,Cascade!$E:$E,0)),"")</f>
        <v>4</v>
      </c>
      <c r="AG32" s="118" t="n">
        <f aca="false">IF(SUM($AF32)&lt;=0,"",SUM($AC32)/$AF32)</f>
        <v>0</v>
      </c>
      <c r="AH32" s="118" t="n">
        <f aca="false">_xlfn.IFNA(INDEX(Cascade!$BL:$BL,MATCH($E32,Cascade!$E:$E,0)),"")</f>
        <v>0.25</v>
      </c>
      <c r="AI32" s="118" t="str">
        <f aca="false">_xlfn.IFNA(INDEX(Cascade!$BO:$BO,MATCH($E32,Cascade!$E:$E,0)),"")</f>
        <v/>
      </c>
      <c r="AJ32" s="118" t="n">
        <f aca="false">_xlfn.IFNA(INDEX(Cascade!$BR:$BR,MATCH($E32,Cascade!$E:$E,0)),"")</f>
        <v>0.75</v>
      </c>
    </row>
    <row r="33" customFormat="false" ht="15" hidden="false" customHeight="false" outlineLevel="0" collapsed="false">
      <c r="A33" s="0" t="s">
        <v>143</v>
      </c>
      <c r="B33" s="0" t="s">
        <v>115</v>
      </c>
      <c r="C33" s="0" t="s">
        <v>69</v>
      </c>
      <c r="D33" s="0" t="s">
        <v>58</v>
      </c>
      <c r="E33" s="0" t="str">
        <f aca="false">B33&amp;"|"&amp;C33&amp;"|"&amp;D33</f>
        <v>Butha Buthe [#SNU] [mvPRqBFtVC0]|25-29|Male</v>
      </c>
      <c r="F33" s="73" t="n">
        <f aca="false">_xlfn.IFNA(INDEX(Cascade!$F:$F,MATCH($E33,Cascade!$E:$E,0)),"")</f>
        <v>5869</v>
      </c>
      <c r="G33" s="73" t="n">
        <f aca="false">_xlfn.IFNA(INDEX(Cascade!$H:$H,MATCH($E33,Cascade!$E:$E,0)),"")</f>
        <v>457</v>
      </c>
      <c r="H33" s="118" t="n">
        <f aca="false">_xlfn.IFNA(INDEX(Cascade!$J:$J,MATCH($E33,Cascade!$E:$E,0)),"")</f>
        <v>0.0777876</v>
      </c>
      <c r="I33" s="73" t="n">
        <f aca="false">_xlfn.IFNA(INDEX(Cascade!$P:$P,MATCH($E33,Cascade!$E:$E,0)),"")</f>
        <v>232</v>
      </c>
      <c r="J33" s="118" t="n">
        <f aca="false">_xlfn.IFNA(INDEX(Cascade!$Y:$Y,MATCH($E33,Cascade!$E:$E,0)),"")</f>
        <v>0.507658643326039</v>
      </c>
      <c r="K33" s="75" t="str">
        <f aca="false">_xlfn.IFNA(ROUND(INDEX(Spectrum!$N:$N,MATCH(RIGHT($B33,13)&amp;"|"&amp;$C33&amp;"|"&amp;$D33&amp;"|"&amp;K$14&amp;"|"&amp;"CY2021Q3",Spectrum!$Q:$Q,0)),0),"")</f>
        <v/>
      </c>
      <c r="L33" s="75" t="str">
        <f aca="false">_xlfn.IFNA(ROUND(INDEX(Spectrum!$N:$N,MATCH(RIGHT($B33,13)&amp;"|"&amp;$C33&amp;"|"&amp;$D33&amp;"|"&amp;L$14&amp;"|"&amp;"CY2021Q3",Spectrum!$Q:$Q,0)),0),"")</f>
        <v/>
      </c>
      <c r="M33" s="118" t="n">
        <f aca="false">IF(OR(LEFT($B33,4)="_Mil",SUM($F33)&lt;=0),"",SUM($L33)/$F33)</f>
        <v>0</v>
      </c>
      <c r="N33" s="118" t="n">
        <f aca="false">IF(LEFT($B33,4)="_Mil","",80%)</f>
        <v>0.8</v>
      </c>
      <c r="O33" s="75" t="n">
        <f aca="false">IF(LEFT($B33,4)="_Mil","",IF(SUM($F33)=0,"",ROUND(SUM($F33)*SUM($N33),0)))</f>
        <v>4695</v>
      </c>
      <c r="P33" s="75" t="n">
        <f aca="false">IF(LEFT($B33,4)="_Mil","",IF(SUM($F33)=0,"",ROUND(MAX(SUM($O33)-SUM($L33),0),0)))</f>
        <v>4695</v>
      </c>
      <c r="Q33" s="73"/>
      <c r="R33" s="73"/>
      <c r="S33" s="118" t="str">
        <f aca="false">IF(LEFT($B33,4)="_Mil","",IF(SUM($K33)&lt;=0,"",SUM($R33)/$K33))</f>
        <v/>
      </c>
      <c r="T33" s="118" t="str">
        <f aca="false">IF(SUM($S33)&lt;=0,"",$S33)</f>
        <v/>
      </c>
      <c r="U33" s="118" t="str">
        <f aca="false">IF(LEFT($B33,4)="_Mil",0,"")</f>
        <v/>
      </c>
      <c r="V33" s="118"/>
      <c r="W33" s="118" t="str">
        <f aca="false">IF(SUM($V33)=0,"",$V33)</f>
        <v/>
      </c>
      <c r="X33" s="118"/>
      <c r="Y33" s="118" t="str">
        <f aca="false">IF(SUM($X33)=0,"",$X33)</f>
        <v/>
      </c>
      <c r="Z33" s="118" t="n">
        <f aca="false">_xlfn.IFNA(INDEX(Cascade!$BA:$BA,MATCH($E33,Cascade!$E:$E,0)),"")</f>
        <v>0.95</v>
      </c>
      <c r="AA33" s="73" t="n">
        <f aca="false">IF(LEFT($B33,4)="_Mil",IF(SUM($R33)=0,"",ROUND(SUM($R33)*(1+$U33),0)),IF(SUM($P33)=0,"",ROUND(SUM($T33)*SUM($P33),0)))</f>
        <v>0</v>
      </c>
      <c r="AB33" s="75" t="str">
        <f aca="false">IF(SUM($AA33)&lt;=0,"",ROUND($AA33*$W33,0))</f>
        <v/>
      </c>
      <c r="AC33" s="75" t="str">
        <f aca="false">IF(SUM($AA33)&lt;=0,"",ROUND((SUM($AA33)-SUM($AB33))*SUM($Y33),0))</f>
        <v/>
      </c>
      <c r="AD33" s="75" t="str">
        <f aca="false">IF(SUM($AA33)&lt;=0,"",$AA33-$AB33-$AC33)</f>
        <v/>
      </c>
      <c r="AE33" s="73" t="str">
        <f aca="false">IF(SUM($AC33)&lt;=0,"",ROUND($AC33*$Z33,0))</f>
        <v/>
      </c>
      <c r="AF33" s="73" t="n">
        <f aca="false">_xlfn.IFNA(INDEX(Cascade!$BD:$BD,MATCH($E33,Cascade!$E:$E,0)),"")</f>
        <v>18</v>
      </c>
      <c r="AG33" s="118" t="n">
        <f aca="false">IF(SUM($AF33)&lt;=0,"",SUM($AC33)/$AF33)</f>
        <v>0</v>
      </c>
      <c r="AH33" s="118" t="n">
        <f aca="false">_xlfn.IFNA(INDEX(Cascade!$BL:$BL,MATCH($E33,Cascade!$E:$E,0)),"")</f>
        <v>0.277777777777778</v>
      </c>
      <c r="AI33" s="118" t="n">
        <f aca="false">_xlfn.IFNA(INDEX(Cascade!$BO:$BO,MATCH($E33,Cascade!$E:$E,0)),"")</f>
        <v>-1627.88888888889</v>
      </c>
      <c r="AJ33" s="118" t="n">
        <f aca="false">_xlfn.IFNA(INDEX(Cascade!$BR:$BR,MATCH($E33,Cascade!$E:$E,0)),"")</f>
        <v>1628.61111111111</v>
      </c>
    </row>
    <row r="34" customFormat="false" ht="15" hidden="false" customHeight="false" outlineLevel="0" collapsed="false">
      <c r="A34" s="0" t="s">
        <v>143</v>
      </c>
      <c r="B34" s="0" t="s">
        <v>115</v>
      </c>
      <c r="C34" s="0" t="s">
        <v>72</v>
      </c>
      <c r="D34" s="0" t="s">
        <v>58</v>
      </c>
      <c r="E34" s="0" t="str">
        <f aca="false">B34&amp;"|"&amp;C34&amp;"|"&amp;D34</f>
        <v>Butha Buthe [#SNU] [mvPRqBFtVC0]|30-34|Male</v>
      </c>
      <c r="F34" s="73" t="n">
        <f aca="false">_xlfn.IFNA(INDEX(Cascade!$F:$F,MATCH($E34,Cascade!$E:$E,0)),"")</f>
        <v>5926</v>
      </c>
      <c r="G34" s="73" t="n">
        <f aca="false">_xlfn.IFNA(INDEX(Cascade!$H:$H,MATCH($E34,Cascade!$E:$E,0)),"")</f>
        <v>862</v>
      </c>
      <c r="H34" s="118" t="n">
        <f aca="false">_xlfn.IFNA(INDEX(Cascade!$J:$J,MATCH($E34,Cascade!$E:$E,0)),"")</f>
        <v>0.1454341</v>
      </c>
      <c r="I34" s="73" t="n">
        <f aca="false">_xlfn.IFNA(INDEX(Cascade!$P:$P,MATCH($E34,Cascade!$E:$E,0)),"")</f>
        <v>428</v>
      </c>
      <c r="J34" s="118" t="n">
        <f aca="false">_xlfn.IFNA(INDEX(Cascade!$Y:$Y,MATCH($E34,Cascade!$E:$E,0)),"")</f>
        <v>0.496519721577726</v>
      </c>
      <c r="K34" s="75" t="str">
        <f aca="false">_xlfn.IFNA(ROUND(INDEX(Spectrum!$N:$N,MATCH(RIGHT($B34,13)&amp;"|"&amp;$C34&amp;"|"&amp;$D34&amp;"|"&amp;K$14&amp;"|"&amp;"CY2021Q3",Spectrum!$Q:$Q,0)),0),"")</f>
        <v/>
      </c>
      <c r="L34" s="75" t="str">
        <f aca="false">_xlfn.IFNA(ROUND(INDEX(Spectrum!$N:$N,MATCH(RIGHT($B34,13)&amp;"|"&amp;$C34&amp;"|"&amp;$D34&amp;"|"&amp;L$14&amp;"|"&amp;"CY2021Q3",Spectrum!$Q:$Q,0)),0),"")</f>
        <v/>
      </c>
      <c r="M34" s="118" t="n">
        <f aca="false">IF(OR(LEFT($B34,4)="_Mil",SUM($F34)&lt;=0),"",SUM($L34)/$F34)</f>
        <v>0</v>
      </c>
      <c r="N34" s="118" t="n">
        <f aca="false">IF(LEFT($B34,4)="_Mil","",80%)</f>
        <v>0.8</v>
      </c>
      <c r="O34" s="75" t="n">
        <f aca="false">IF(LEFT($B34,4)="_Mil","",IF(SUM($F34)=0,"",ROUND(SUM($F34)*SUM($N34),0)))</f>
        <v>4741</v>
      </c>
      <c r="P34" s="75" t="n">
        <f aca="false">IF(LEFT($B34,4)="_Mil","",IF(SUM($F34)=0,"",ROUND(MAX(SUM($O34)-SUM($L34),0),0)))</f>
        <v>4741</v>
      </c>
      <c r="Q34" s="73"/>
      <c r="R34" s="73"/>
      <c r="S34" s="118" t="str">
        <f aca="false">IF(LEFT($B34,4)="_Mil","",IF(SUM($K34)&lt;=0,"",SUM($R34)/$K34))</f>
        <v/>
      </c>
      <c r="T34" s="118" t="str">
        <f aca="false">IF(SUM($S34)&lt;=0,"",$S34)</f>
        <v/>
      </c>
      <c r="U34" s="118" t="str">
        <f aca="false">IF(LEFT($B34,4)="_Mil",0,"")</f>
        <v/>
      </c>
      <c r="V34" s="118"/>
      <c r="W34" s="118" t="str">
        <f aca="false">IF(SUM($V34)=0,"",$V34)</f>
        <v/>
      </c>
      <c r="X34" s="118"/>
      <c r="Y34" s="118" t="str">
        <f aca="false">IF(SUM($X34)=0,"",$X34)</f>
        <v/>
      </c>
      <c r="Z34" s="118" t="n">
        <f aca="false">_xlfn.IFNA(INDEX(Cascade!$BA:$BA,MATCH($E34,Cascade!$E:$E,0)),"")</f>
        <v>0.95</v>
      </c>
      <c r="AA34" s="73" t="n">
        <f aca="false">IF(LEFT($B34,4)="_Mil",IF(SUM($R34)=0,"",ROUND(SUM($R34)*(1+$U34),0)),IF(SUM($P34)=0,"",ROUND(SUM($T34)*SUM($P34),0)))</f>
        <v>0</v>
      </c>
      <c r="AB34" s="75" t="str">
        <f aca="false">IF(SUM($AA34)&lt;=0,"",ROUND($AA34*$W34,0))</f>
        <v/>
      </c>
      <c r="AC34" s="75" t="str">
        <f aca="false">IF(SUM($AA34)&lt;=0,"",ROUND((SUM($AA34)-SUM($AB34))*SUM($Y34),0))</f>
        <v/>
      </c>
      <c r="AD34" s="75" t="str">
        <f aca="false">IF(SUM($AA34)&lt;=0,"",$AA34-$AB34-$AC34)</f>
        <v/>
      </c>
      <c r="AE34" s="73" t="str">
        <f aca="false">IF(SUM($AC34)&lt;=0,"",ROUND($AC34*$Z34,0))</f>
        <v/>
      </c>
      <c r="AF34" s="73" t="n">
        <f aca="false">_xlfn.IFNA(INDEX(Cascade!$BD:$BD,MATCH($E34,Cascade!$E:$E,0)),"")</f>
        <v>31</v>
      </c>
      <c r="AG34" s="118" t="n">
        <f aca="false">IF(SUM($AF34)&lt;=0,"",SUM($AC34)/$AF34)</f>
        <v>0</v>
      </c>
      <c r="AH34" s="118" t="n">
        <f aca="false">_xlfn.IFNA(INDEX(Cascade!$BL:$BL,MATCH($E34,Cascade!$E:$E,0)),"")</f>
        <v>0.290322580645161</v>
      </c>
      <c r="AI34" s="118" t="n">
        <f aca="false">_xlfn.IFNA(INDEX(Cascade!$BO:$BO,MATCH($E34,Cascade!$E:$E,0)),"")</f>
        <v>-166.645161290323</v>
      </c>
      <c r="AJ34" s="118" t="n">
        <f aca="false">_xlfn.IFNA(INDEX(Cascade!$BR:$BR,MATCH($E34,Cascade!$E:$E,0)),"")</f>
        <v>167.354838709677</v>
      </c>
    </row>
    <row r="35" customFormat="false" ht="15" hidden="false" customHeight="false" outlineLevel="0" collapsed="false">
      <c r="A35" s="0" t="s">
        <v>143</v>
      </c>
      <c r="B35" s="0" t="s">
        <v>115</v>
      </c>
      <c r="C35" s="0" t="s">
        <v>75</v>
      </c>
      <c r="D35" s="0" t="s">
        <v>58</v>
      </c>
      <c r="E35" s="0" t="str">
        <f aca="false">B35&amp;"|"&amp;C35&amp;"|"&amp;D35</f>
        <v>Butha Buthe [#SNU] [mvPRqBFtVC0]|35-39|Male</v>
      </c>
      <c r="F35" s="73" t="n">
        <f aca="false">_xlfn.IFNA(INDEX(Cascade!$F:$F,MATCH($E35,Cascade!$E:$E,0)),"")</f>
        <v>4647</v>
      </c>
      <c r="G35" s="73" t="n">
        <f aca="false">_xlfn.IFNA(INDEX(Cascade!$H:$H,MATCH($E35,Cascade!$E:$E,0)),"")</f>
        <v>1066</v>
      </c>
      <c r="H35" s="118" t="n">
        <f aca="false">_xlfn.IFNA(INDEX(Cascade!$J:$J,MATCH($E35,Cascade!$E:$E,0)),"")</f>
        <v>0.2294854</v>
      </c>
      <c r="I35" s="73" t="n">
        <f aca="false">_xlfn.IFNA(INDEX(Cascade!$P:$P,MATCH($E35,Cascade!$E:$E,0)),"")</f>
        <v>626</v>
      </c>
      <c r="J35" s="118" t="n">
        <f aca="false">_xlfn.IFNA(INDEX(Cascade!$Y:$Y,MATCH($E35,Cascade!$E:$E,0)),"")</f>
        <v>0.587242026266417</v>
      </c>
      <c r="K35" s="75" t="str">
        <f aca="false">_xlfn.IFNA(ROUND(INDEX(Spectrum!$N:$N,MATCH(RIGHT($B35,13)&amp;"|"&amp;$C35&amp;"|"&amp;$D35&amp;"|"&amp;K$14&amp;"|"&amp;"CY2021Q3",Spectrum!$Q:$Q,0)),0),"")</f>
        <v/>
      </c>
      <c r="L35" s="75" t="str">
        <f aca="false">_xlfn.IFNA(ROUND(INDEX(Spectrum!$N:$N,MATCH(RIGHT($B35,13)&amp;"|"&amp;$C35&amp;"|"&amp;$D35&amp;"|"&amp;L$14&amp;"|"&amp;"CY2021Q3",Spectrum!$Q:$Q,0)),0),"")</f>
        <v/>
      </c>
      <c r="M35" s="118" t="n">
        <f aca="false">IF(OR(LEFT($B35,4)="_Mil",SUM($F35)&lt;=0),"",SUM($L35)/$F35)</f>
        <v>0</v>
      </c>
      <c r="N35" s="118" t="n">
        <f aca="false">IF(LEFT($B35,4)="_Mil","",80%)</f>
        <v>0.8</v>
      </c>
      <c r="O35" s="75" t="n">
        <f aca="false">IF(LEFT($B35,4)="_Mil","",IF(SUM($F35)=0,"",ROUND(SUM($F35)*SUM($N35),0)))</f>
        <v>3718</v>
      </c>
      <c r="P35" s="75" t="n">
        <f aca="false">IF(LEFT($B35,4)="_Mil","",IF(SUM($F35)=0,"",ROUND(MAX(SUM($O35)-SUM($L35),0),0)))</f>
        <v>3718</v>
      </c>
      <c r="Q35" s="73"/>
      <c r="R35" s="73"/>
      <c r="S35" s="118" t="str">
        <f aca="false">IF(LEFT($B35,4)="_Mil","",IF(SUM($K35)&lt;=0,"",SUM($R35)/$K35))</f>
        <v/>
      </c>
      <c r="T35" s="118" t="str">
        <f aca="false">IF(SUM($S35)&lt;=0,"",$S35)</f>
        <v/>
      </c>
      <c r="U35" s="118" t="str">
        <f aca="false">IF(LEFT($B35,4)="_Mil",0,"")</f>
        <v/>
      </c>
      <c r="V35" s="118"/>
      <c r="W35" s="118" t="str">
        <f aca="false">IF(SUM($V35)=0,"",$V35)</f>
        <v/>
      </c>
      <c r="X35" s="118"/>
      <c r="Y35" s="118" t="str">
        <f aca="false">IF(SUM($X35)=0,"",$X35)</f>
        <v/>
      </c>
      <c r="Z35" s="118" t="n">
        <f aca="false">_xlfn.IFNA(INDEX(Cascade!$BA:$BA,MATCH($E35,Cascade!$E:$E,0)),"")</f>
        <v>0.95</v>
      </c>
      <c r="AA35" s="73" t="n">
        <f aca="false">IF(LEFT($B35,4)="_Mil",IF(SUM($R35)=0,"",ROUND(SUM($R35)*(1+$U35),0)),IF(SUM($P35)=0,"",ROUND(SUM($T35)*SUM($P35),0)))</f>
        <v>0</v>
      </c>
      <c r="AB35" s="75" t="str">
        <f aca="false">IF(SUM($AA35)&lt;=0,"",ROUND($AA35*$W35,0))</f>
        <v/>
      </c>
      <c r="AC35" s="75" t="str">
        <f aca="false">IF(SUM($AA35)&lt;=0,"",ROUND((SUM($AA35)-SUM($AB35))*SUM($Y35),0))</f>
        <v/>
      </c>
      <c r="AD35" s="75" t="str">
        <f aca="false">IF(SUM($AA35)&lt;=0,"",$AA35-$AB35-$AC35)</f>
        <v/>
      </c>
      <c r="AE35" s="73" t="str">
        <f aca="false">IF(SUM($AC35)&lt;=0,"",ROUND($AC35*$Z35,0))</f>
        <v/>
      </c>
      <c r="AF35" s="73" t="str">
        <f aca="false">_xlfn.IFNA(INDEX(Cascade!$BD:$BD,MATCH($E35,Cascade!$E:$E,0)),"")</f>
        <v/>
      </c>
      <c r="AG35" s="118" t="str">
        <f aca="false">IF(SUM($AF35)&lt;=0,"",SUM($AC35)/$AF35)</f>
        <v/>
      </c>
      <c r="AH35" s="118" t="str">
        <f aca="false">_xlfn.IFNA(INDEX(Cascade!$BL:$BL,MATCH($E35,Cascade!$E:$E,0)),"")</f>
        <v/>
      </c>
      <c r="AI35" s="118" t="str">
        <f aca="false">_xlfn.IFNA(INDEX(Cascade!$BO:$BO,MATCH($E35,Cascade!$E:$E,0)),"")</f>
        <v/>
      </c>
      <c r="AJ35" s="118" t="str">
        <f aca="false">_xlfn.IFNA(INDEX(Cascade!$BR:$BR,MATCH($E35,Cascade!$E:$E,0)),"")</f>
        <v/>
      </c>
    </row>
    <row r="36" customFormat="false" ht="15" hidden="false" customHeight="false" outlineLevel="0" collapsed="false">
      <c r="A36" s="0" t="s">
        <v>143</v>
      </c>
      <c r="B36" s="0" t="s">
        <v>115</v>
      </c>
      <c r="C36" s="0" t="s">
        <v>77</v>
      </c>
      <c r="D36" s="0" t="s">
        <v>58</v>
      </c>
      <c r="E36" s="0" t="str">
        <f aca="false">B36&amp;"|"&amp;C36&amp;"|"&amp;D36</f>
        <v>Butha Buthe [#SNU] [mvPRqBFtVC0]|40-44|Male</v>
      </c>
      <c r="F36" s="73" t="n">
        <f aca="false">_xlfn.IFNA(INDEX(Cascade!$F:$F,MATCH($E36,Cascade!$E:$E,0)),"")</f>
        <v>3092</v>
      </c>
      <c r="G36" s="73" t="n">
        <f aca="false">_xlfn.IFNA(INDEX(Cascade!$H:$H,MATCH($E36,Cascade!$E:$E,0)),"")</f>
        <v>959</v>
      </c>
      <c r="H36" s="118" t="n">
        <f aca="false">_xlfn.IFNA(INDEX(Cascade!$J:$J,MATCH($E36,Cascade!$E:$E,0)),"")</f>
        <v>0.3100917</v>
      </c>
      <c r="I36" s="73" t="n">
        <f aca="false">_xlfn.IFNA(INDEX(Cascade!$P:$P,MATCH($E36,Cascade!$E:$E,0)),"")</f>
        <v>669</v>
      </c>
      <c r="J36" s="118" t="n">
        <f aca="false">_xlfn.IFNA(INDEX(Cascade!$Y:$Y,MATCH($E36,Cascade!$E:$E,0)),"")</f>
        <v>0.697601668404588</v>
      </c>
      <c r="K36" s="75" t="str">
        <f aca="false">_xlfn.IFNA(ROUND(INDEX(Spectrum!$N:$N,MATCH(RIGHT($B36,13)&amp;"|"&amp;$C36&amp;"|"&amp;$D36&amp;"|"&amp;K$14&amp;"|"&amp;"CY2021Q3",Spectrum!$Q:$Q,0)),0),"")</f>
        <v/>
      </c>
      <c r="L36" s="75" t="str">
        <f aca="false">_xlfn.IFNA(ROUND(INDEX(Spectrum!$N:$N,MATCH(RIGHT($B36,13)&amp;"|"&amp;$C36&amp;"|"&amp;$D36&amp;"|"&amp;L$14&amp;"|"&amp;"CY2021Q3",Spectrum!$Q:$Q,0)),0),"")</f>
        <v/>
      </c>
      <c r="M36" s="118" t="n">
        <f aca="false">IF(OR(LEFT($B36,4)="_Mil",SUM($F36)&lt;=0),"",SUM($L36)/$F36)</f>
        <v>0</v>
      </c>
      <c r="N36" s="118" t="n">
        <f aca="false">IF(LEFT($B36,4)="_Mil","",80%)</f>
        <v>0.8</v>
      </c>
      <c r="O36" s="75" t="n">
        <f aca="false">IF(LEFT($B36,4)="_Mil","",IF(SUM($F36)=0,"",ROUND(SUM($F36)*SUM($N36),0)))</f>
        <v>2474</v>
      </c>
      <c r="P36" s="75" t="n">
        <f aca="false">IF(LEFT($B36,4)="_Mil","",IF(SUM($F36)=0,"",ROUND(MAX(SUM($O36)-SUM($L36),0),0)))</f>
        <v>2474</v>
      </c>
      <c r="Q36" s="73"/>
      <c r="R36" s="73"/>
      <c r="S36" s="118" t="str">
        <f aca="false">IF(LEFT($B36,4)="_Mil","",IF(SUM($K36)&lt;=0,"",SUM($R36)/$K36))</f>
        <v/>
      </c>
      <c r="T36" s="118" t="str">
        <f aca="false">IF(SUM($S36)&lt;=0,"",$S36)</f>
        <v/>
      </c>
      <c r="U36" s="118" t="str">
        <f aca="false">IF(LEFT($B36,4)="_Mil",0,"")</f>
        <v/>
      </c>
      <c r="V36" s="118"/>
      <c r="W36" s="118" t="str">
        <f aca="false">IF(SUM($V36)=0,"",$V36)</f>
        <v/>
      </c>
      <c r="X36" s="118"/>
      <c r="Y36" s="118" t="str">
        <f aca="false">IF(SUM($X36)=0,"",$X36)</f>
        <v/>
      </c>
      <c r="Z36" s="118" t="n">
        <f aca="false">_xlfn.IFNA(INDEX(Cascade!$BA:$BA,MATCH($E36,Cascade!$E:$E,0)),"")</f>
        <v>0.95</v>
      </c>
      <c r="AA36" s="73" t="n">
        <f aca="false">IF(LEFT($B36,4)="_Mil",IF(SUM($R36)=0,"",ROUND(SUM($R36)*(1+$U36),0)),IF(SUM($P36)=0,"",ROUND(SUM($T36)*SUM($P36),0)))</f>
        <v>0</v>
      </c>
      <c r="AB36" s="75" t="str">
        <f aca="false">IF(SUM($AA36)&lt;=0,"",ROUND($AA36*$W36,0))</f>
        <v/>
      </c>
      <c r="AC36" s="75" t="str">
        <f aca="false">IF(SUM($AA36)&lt;=0,"",ROUND((SUM($AA36)-SUM($AB36))*SUM($Y36),0))</f>
        <v/>
      </c>
      <c r="AD36" s="75" t="str">
        <f aca="false">IF(SUM($AA36)&lt;=0,"",$AA36-$AB36-$AC36)</f>
        <v/>
      </c>
      <c r="AE36" s="73" t="str">
        <f aca="false">IF(SUM($AC36)&lt;=0,"",ROUND($AC36*$Z36,0))</f>
        <v/>
      </c>
      <c r="AF36" s="73" t="n">
        <f aca="false">_xlfn.IFNA(INDEX(Cascade!$BD:$BD,MATCH($E36,Cascade!$E:$E,0)),"")</f>
        <v>15</v>
      </c>
      <c r="AG36" s="118" t="n">
        <f aca="false">IF(SUM($AF36)&lt;=0,"",SUM($AC36)/$AF36)</f>
        <v>0</v>
      </c>
      <c r="AH36" s="118" t="n">
        <f aca="false">_xlfn.IFNA(INDEX(Cascade!$BL:$BL,MATCH($E36,Cascade!$E:$E,0)),"")</f>
        <v>0.333333333333333</v>
      </c>
      <c r="AI36" s="118" t="n">
        <f aca="false">_xlfn.IFNA(INDEX(Cascade!$BO:$BO,MATCH($E36,Cascade!$E:$E,0)),"")</f>
        <v>-1254.4</v>
      </c>
      <c r="AJ36" s="118" t="n">
        <f aca="false">_xlfn.IFNA(INDEX(Cascade!$BR:$BR,MATCH($E36,Cascade!$E:$E,0)),"")</f>
        <v>1255.06666666667</v>
      </c>
    </row>
    <row r="37" customFormat="false" ht="15" hidden="false" customHeight="false" outlineLevel="0" collapsed="false">
      <c r="A37" s="0" t="s">
        <v>143</v>
      </c>
      <c r="B37" s="0" t="s">
        <v>115</v>
      </c>
      <c r="C37" s="0" t="s">
        <v>80</v>
      </c>
      <c r="D37" s="0" t="s">
        <v>58</v>
      </c>
      <c r="E37" s="0" t="str">
        <f aca="false">B37&amp;"|"&amp;C37&amp;"|"&amp;D37</f>
        <v>Butha Buthe [#SNU] [mvPRqBFtVC0]|45-49|Male</v>
      </c>
      <c r="F37" s="73" t="n">
        <f aca="false">_xlfn.IFNA(INDEX(Cascade!$F:$F,MATCH($E37,Cascade!$E:$E,0)),"")</f>
        <v>2110</v>
      </c>
      <c r="G37" s="73" t="n">
        <f aca="false">_xlfn.IFNA(INDEX(Cascade!$H:$H,MATCH($E37,Cascade!$E:$E,0)),"")</f>
        <v>787</v>
      </c>
      <c r="H37" s="118" t="n">
        <f aca="false">_xlfn.IFNA(INDEX(Cascade!$J:$J,MATCH($E37,Cascade!$E:$E,0)),"")</f>
        <v>0.3730022</v>
      </c>
      <c r="I37" s="73" t="n">
        <f aca="false">_xlfn.IFNA(INDEX(Cascade!$P:$P,MATCH($E37,Cascade!$E:$E,0)),"")</f>
        <v>569</v>
      </c>
      <c r="J37" s="118" t="n">
        <f aca="false">_xlfn.IFNA(INDEX(Cascade!$Y:$Y,MATCH($E37,Cascade!$E:$E,0)),"")</f>
        <v>0.72299872935197</v>
      </c>
      <c r="K37" s="75" t="str">
        <f aca="false">_xlfn.IFNA(ROUND(INDEX(Spectrum!$N:$N,MATCH(RIGHT($B37,13)&amp;"|"&amp;$C37&amp;"|"&amp;$D37&amp;"|"&amp;K$14&amp;"|"&amp;"CY2021Q3",Spectrum!$Q:$Q,0)),0),"")</f>
        <v/>
      </c>
      <c r="L37" s="75" t="str">
        <f aca="false">_xlfn.IFNA(ROUND(INDEX(Spectrum!$N:$N,MATCH(RIGHT($B37,13)&amp;"|"&amp;$C37&amp;"|"&amp;$D37&amp;"|"&amp;L$14&amp;"|"&amp;"CY2021Q3",Spectrum!$Q:$Q,0)),0),"")</f>
        <v/>
      </c>
      <c r="M37" s="118" t="n">
        <f aca="false">IF(OR(LEFT($B37,4)="_Mil",SUM($F37)&lt;=0),"",SUM($L37)/$F37)</f>
        <v>0</v>
      </c>
      <c r="N37" s="118" t="n">
        <f aca="false">IF(LEFT($B37,4)="_Mil","",80%)</f>
        <v>0.8</v>
      </c>
      <c r="O37" s="75" t="n">
        <f aca="false">IF(LEFT($B37,4)="_Mil","",IF(SUM($F37)=0,"",ROUND(SUM($F37)*SUM($N37),0)))</f>
        <v>1688</v>
      </c>
      <c r="P37" s="75" t="n">
        <f aca="false">IF(LEFT($B37,4)="_Mil","",IF(SUM($F37)=0,"",ROUND(MAX(SUM($O37)-SUM($L37),0),0)))</f>
        <v>1688</v>
      </c>
      <c r="Q37" s="73"/>
      <c r="R37" s="73"/>
      <c r="S37" s="118" t="str">
        <f aca="false">IF(LEFT($B37,4)="_Mil","",IF(SUM($K37)&lt;=0,"",SUM($R37)/$K37))</f>
        <v/>
      </c>
      <c r="T37" s="118" t="str">
        <f aca="false">IF(SUM($S37)&lt;=0,"",$S37)</f>
        <v/>
      </c>
      <c r="U37" s="118" t="str">
        <f aca="false">IF(LEFT($B37,4)="_Mil",0,"")</f>
        <v/>
      </c>
      <c r="V37" s="118"/>
      <c r="W37" s="118" t="str">
        <f aca="false">IF(SUM($V37)=0,"",$V37)</f>
        <v/>
      </c>
      <c r="X37" s="118"/>
      <c r="Y37" s="118" t="str">
        <f aca="false">IF(SUM($X37)=0,"",$X37)</f>
        <v/>
      </c>
      <c r="Z37" s="118" t="n">
        <f aca="false">_xlfn.IFNA(INDEX(Cascade!$BA:$BA,MATCH($E37,Cascade!$E:$E,0)),"")</f>
        <v>0.95</v>
      </c>
      <c r="AA37" s="73" t="n">
        <f aca="false">IF(LEFT($B37,4)="_Mil",IF(SUM($R37)=0,"",ROUND(SUM($R37)*(1+$U37),0)),IF(SUM($P37)=0,"",ROUND(SUM($T37)*SUM($P37),0)))</f>
        <v>0</v>
      </c>
      <c r="AB37" s="75" t="str">
        <f aca="false">IF(SUM($AA37)&lt;=0,"",ROUND($AA37*$W37,0))</f>
        <v/>
      </c>
      <c r="AC37" s="75" t="str">
        <f aca="false">IF(SUM($AA37)&lt;=0,"",ROUND((SUM($AA37)-SUM($AB37))*SUM($Y37),0))</f>
        <v/>
      </c>
      <c r="AD37" s="75" t="str">
        <f aca="false">IF(SUM($AA37)&lt;=0,"",$AA37-$AB37-$AC37)</f>
        <v/>
      </c>
      <c r="AE37" s="73" t="str">
        <f aca="false">IF(SUM($AC37)&lt;=0,"",ROUND($AC37*$Z37,0))</f>
        <v/>
      </c>
      <c r="AF37" s="73" t="n">
        <f aca="false">_xlfn.IFNA(INDEX(Cascade!$BD:$BD,MATCH($E37,Cascade!$E:$E,0)),"")</f>
        <v>3</v>
      </c>
      <c r="AG37" s="118" t="n">
        <f aca="false">IF(SUM($AF37)&lt;=0,"",SUM($AC37)/$AF37)</f>
        <v>0</v>
      </c>
      <c r="AH37" s="118" t="n">
        <f aca="false">_xlfn.IFNA(INDEX(Cascade!$BL:$BL,MATCH($E37,Cascade!$E:$E,0)),"")</f>
        <v>0.666666666666667</v>
      </c>
      <c r="AI37" s="118" t="n">
        <f aca="false">_xlfn.IFNA(INDEX(Cascade!$BO:$BO,MATCH($E37,Cascade!$E:$E,0)),"")</f>
        <v>-5880</v>
      </c>
      <c r="AJ37" s="118" t="n">
        <f aca="false">_xlfn.IFNA(INDEX(Cascade!$BR:$BR,MATCH($E37,Cascade!$E:$E,0)),"")</f>
        <v>5880.33333333333</v>
      </c>
    </row>
    <row r="38" customFormat="false" ht="15" hidden="false" customHeight="false" outlineLevel="0" collapsed="false">
      <c r="A38" s="0" t="s">
        <v>143</v>
      </c>
      <c r="B38" s="0" t="s">
        <v>115</v>
      </c>
      <c r="C38" s="0" t="s">
        <v>86</v>
      </c>
      <c r="D38" s="0" t="s">
        <v>58</v>
      </c>
      <c r="E38" s="0" t="str">
        <f aca="false">B38&amp;"|"&amp;C38&amp;"|"&amp;D38</f>
        <v>Butha Buthe [#SNU] [mvPRqBFtVC0]|50+|Male</v>
      </c>
      <c r="F38" s="73" t="n">
        <f aca="false">_xlfn.IFNA(INDEX(Cascade!$F:$F,MATCH($E38,Cascade!$E:$E,0)),"")</f>
        <v>8083</v>
      </c>
      <c r="G38" s="73" t="n">
        <f aca="false">_xlfn.IFNA(INDEX(Cascade!$H:$H,MATCH($E38,Cascade!$E:$E,0)),"")</f>
        <v>1863</v>
      </c>
      <c r="H38" s="118" t="n">
        <f aca="false">_xlfn.IFNA(INDEX(Cascade!$J:$J,MATCH($E38,Cascade!$E:$E,0)),"")</f>
        <v>0.2304829</v>
      </c>
      <c r="I38" s="73" t="n">
        <f aca="false">_xlfn.IFNA(INDEX(Cascade!$P:$P,MATCH($E38,Cascade!$E:$E,0)),"")</f>
        <v>1347</v>
      </c>
      <c r="J38" s="118" t="n">
        <f aca="false">_xlfn.IFNA(INDEX(Cascade!$Y:$Y,MATCH($E38,Cascade!$E:$E,0)),"")</f>
        <v>0.723027375201288</v>
      </c>
      <c r="K38" s="75" t="str">
        <f aca="false">_xlfn.IFNA(ROUND(INDEX(Spectrum!$N:$N,MATCH(RIGHT($B38,13)&amp;"|"&amp;$C38&amp;"|"&amp;$D38&amp;"|"&amp;K$14&amp;"|"&amp;"CY2021Q3",Spectrum!$Q:$Q,0)),0),"")</f>
        <v/>
      </c>
      <c r="L38" s="75" t="str">
        <f aca="false">_xlfn.IFNA(ROUND(INDEX(Spectrum!$N:$N,MATCH(RIGHT($B38,13)&amp;"|"&amp;$C38&amp;"|"&amp;$D38&amp;"|"&amp;L$14&amp;"|"&amp;"CY2021Q3",Spectrum!$Q:$Q,0)),0),"")</f>
        <v/>
      </c>
      <c r="M38" s="118" t="n">
        <f aca="false">IF(OR(LEFT($B38,4)="_Mil",SUM($F38)&lt;=0),"",SUM($L38)/$F38)</f>
        <v>0</v>
      </c>
      <c r="N38" s="118" t="n">
        <f aca="false">IF(LEFT($B38,4)="_Mil","",80%)</f>
        <v>0.8</v>
      </c>
      <c r="O38" s="75" t="n">
        <f aca="false">IF(LEFT($B38,4)="_Mil","",IF(SUM($F38)=0,"",ROUND(SUM($F38)*SUM($N38),0)))</f>
        <v>6466</v>
      </c>
      <c r="P38" s="75" t="n">
        <f aca="false">IF(LEFT($B38,4)="_Mil","",IF(SUM($F38)=0,"",ROUND(MAX(SUM($O38)-SUM($L38),0),0)))</f>
        <v>6466</v>
      </c>
      <c r="Q38" s="73"/>
      <c r="R38" s="73"/>
      <c r="S38" s="118" t="str">
        <f aca="false">IF(LEFT($B38,4)="_Mil","",IF(SUM($K38)&lt;=0,"",SUM($R38)/$K38))</f>
        <v/>
      </c>
      <c r="T38" s="118" t="str">
        <f aca="false">IF(SUM($S38)&lt;=0,"",$S38)</f>
        <v/>
      </c>
      <c r="U38" s="118" t="str">
        <f aca="false">IF(LEFT($B38,4)="_Mil",0,"")</f>
        <v/>
      </c>
      <c r="V38" s="118"/>
      <c r="W38" s="118" t="str">
        <f aca="false">IF(SUM($V38)=0,"",$V38)</f>
        <v/>
      </c>
      <c r="X38" s="118"/>
      <c r="Y38" s="118" t="str">
        <f aca="false">IF(SUM($X38)=0,"",$X38)</f>
        <v/>
      </c>
      <c r="Z38" s="118" t="n">
        <f aca="false">_xlfn.IFNA(INDEX(Cascade!$BA:$BA,MATCH($E38,Cascade!$E:$E,0)),"")</f>
        <v>0.95</v>
      </c>
      <c r="AA38" s="73" t="n">
        <f aca="false">IF(LEFT($B38,4)="_Mil",IF(SUM($R38)=0,"",ROUND(SUM($R38)*(1+$U38),0)),IF(SUM($P38)=0,"",ROUND(SUM($T38)*SUM($P38),0)))</f>
        <v>0</v>
      </c>
      <c r="AB38" s="75" t="str">
        <f aca="false">IF(SUM($AA38)&lt;=0,"",ROUND($AA38*$W38,0))</f>
        <v/>
      </c>
      <c r="AC38" s="75" t="str">
        <f aca="false">IF(SUM($AA38)&lt;=0,"",ROUND((SUM($AA38)-SUM($AB38))*SUM($Y38),0))</f>
        <v/>
      </c>
      <c r="AD38" s="75" t="str">
        <f aca="false">IF(SUM($AA38)&lt;=0,"",$AA38-$AB38-$AC38)</f>
        <v/>
      </c>
      <c r="AE38" s="73" t="str">
        <f aca="false">IF(SUM($AC38)&lt;=0,"",ROUND($AC38*$Z38,0))</f>
        <v/>
      </c>
      <c r="AF38" s="73" t="n">
        <f aca="false">_xlfn.IFNA(INDEX(Cascade!$BD:$BD,MATCH($E38,Cascade!$E:$E,0)),"")</f>
        <v>13</v>
      </c>
      <c r="AG38" s="118" t="n">
        <f aca="false">IF(SUM($AF38)&lt;=0,"",SUM($AC38)/$AF38)</f>
        <v>0</v>
      </c>
      <c r="AH38" s="118" t="n">
        <f aca="false">_xlfn.IFNA(INDEX(Cascade!$BL:$BL,MATCH($E38,Cascade!$E:$E,0)),"")</f>
        <v>0.538461538461538</v>
      </c>
      <c r="AI38" s="118" t="n">
        <f aca="false">_xlfn.IFNA(INDEX(Cascade!$BO:$BO,MATCH($E38,Cascade!$E:$E,0)),"")</f>
        <v>-1116.92307692308</v>
      </c>
      <c r="AJ38" s="118" t="n">
        <f aca="false">_xlfn.IFNA(INDEX(Cascade!$BR:$BR,MATCH($E38,Cascade!$E:$E,0)),"")</f>
        <v>1117.38461538462</v>
      </c>
    </row>
    <row r="39" customFormat="false" ht="15" hidden="false" customHeight="false" outlineLevel="0" collapsed="false">
      <c r="A39" s="0" t="s">
        <v>144</v>
      </c>
      <c r="B39" s="0" t="s">
        <v>103</v>
      </c>
      <c r="C39" s="0" t="s">
        <v>63</v>
      </c>
      <c r="D39" s="0" t="s">
        <v>58</v>
      </c>
      <c r="E39" s="0" t="str">
        <f aca="false">B39&amp;"|"&amp;C39&amp;"|"&amp;D39</f>
        <v>Leribe [#SNU] [FjSmRywOWUp]|15-19|Male</v>
      </c>
      <c r="F39" s="73" t="n">
        <f aca="false">_xlfn.IFNA(INDEX(Cascade!$F:$F,MATCH($E39,Cascade!$E:$E,0)),"")</f>
        <v>17285</v>
      </c>
      <c r="G39" s="73" t="n">
        <f aca="false">_xlfn.IFNA(INDEX(Cascade!$H:$H,MATCH($E39,Cascade!$E:$E,0)),"")</f>
        <v>408</v>
      </c>
      <c r="H39" s="118" t="n">
        <f aca="false">_xlfn.IFNA(INDEX(Cascade!$J:$J,MATCH($E39,Cascade!$E:$E,0)),"")</f>
        <v>0.0236021</v>
      </c>
      <c r="I39" s="73" t="n">
        <f aca="false">_xlfn.IFNA(INDEX(Cascade!$P:$P,MATCH($E39,Cascade!$E:$E,0)),"")</f>
        <v>369</v>
      </c>
      <c r="J39" s="118" t="n">
        <f aca="false">_xlfn.IFNA(INDEX(Cascade!$Y:$Y,MATCH($E39,Cascade!$E:$E,0)),"")</f>
        <v>0.904411764705882</v>
      </c>
      <c r="K39" s="75" t="str">
        <f aca="false">_xlfn.IFNA(ROUND(INDEX(Spectrum!$N:$N,MATCH(RIGHT($B39,13)&amp;"|"&amp;$C39&amp;"|"&amp;$D39&amp;"|"&amp;K$14&amp;"|"&amp;"CY2021Q3",Spectrum!$Q:$Q,0)),0),"")</f>
        <v/>
      </c>
      <c r="L39" s="75" t="str">
        <f aca="false">_xlfn.IFNA(ROUND(INDEX(Spectrum!$N:$N,MATCH(RIGHT($B39,13)&amp;"|"&amp;$C39&amp;"|"&amp;$D39&amp;"|"&amp;L$14&amp;"|"&amp;"CY2021Q3",Spectrum!$Q:$Q,0)),0),"")</f>
        <v/>
      </c>
      <c r="M39" s="118" t="n">
        <f aca="false">IF(OR(LEFT($B39,4)="_Mil",SUM($F39)&lt;=0),"",SUM($L39)/$F39)</f>
        <v>0</v>
      </c>
      <c r="N39" s="118" t="n">
        <f aca="false">IF(LEFT($B39,4)="_Mil","",80%)</f>
        <v>0.8</v>
      </c>
      <c r="O39" s="75" t="n">
        <f aca="false">IF(LEFT($B39,4)="_Mil","",IF(SUM($F39)=0,"",ROUND(SUM($F39)*SUM($N39),0)))</f>
        <v>13828</v>
      </c>
      <c r="P39" s="75" t="n">
        <f aca="false">IF(LEFT($B39,4)="_Mil","",IF(SUM($F39)=0,"",ROUND(MAX(SUM($O39)-SUM($L39),0),0)))</f>
        <v>13828</v>
      </c>
      <c r="Q39" s="73" t="n">
        <v>47</v>
      </c>
      <c r="R39" s="73" t="n">
        <v>22</v>
      </c>
      <c r="S39" s="118" t="str">
        <f aca="false">IF(LEFT($B39,4)="_Mil","",IF(SUM($K39)&lt;=0,"",SUM($R39)/$K39))</f>
        <v/>
      </c>
      <c r="T39" s="118" t="str">
        <f aca="false">IF(SUM($S39)&lt;=0,"",$S39)</f>
        <v/>
      </c>
      <c r="U39" s="118" t="str">
        <f aca="false">IF(LEFT($B39,4)="_Mil",0,"")</f>
        <v/>
      </c>
      <c r="V39" s="118" t="n">
        <v>38</v>
      </c>
      <c r="W39" s="118" t="n">
        <f aca="false">IF(SUM($V39)=0,"",$V39)</f>
        <v>38</v>
      </c>
      <c r="X39" s="118"/>
      <c r="Y39" s="118" t="str">
        <f aca="false">IF(SUM($X39)=0,"",$X39)</f>
        <v/>
      </c>
      <c r="Z39" s="118" t="n">
        <f aca="false">_xlfn.IFNA(INDEX(Cascade!$BA:$BA,MATCH($E39,Cascade!$E:$E,0)),"")</f>
        <v>0.95</v>
      </c>
      <c r="AA39" s="73" t="n">
        <f aca="false">IF(LEFT($B39,4)="_Mil",IF(SUM($R39)=0,"",ROUND(SUM($R39)*(1+$U39),0)),IF(SUM($P39)=0,"",ROUND(SUM($T39)*SUM($P39),0)))</f>
        <v>0</v>
      </c>
      <c r="AB39" s="75" t="str">
        <f aca="false">IF(SUM($AA39)&lt;=0,"",ROUND($AA39*$W39,0))</f>
        <v/>
      </c>
      <c r="AC39" s="75" t="str">
        <f aca="false">IF(SUM($AA39)&lt;=0,"",ROUND((SUM($AA39)-SUM($AB39))*SUM($Y39),0))</f>
        <v/>
      </c>
      <c r="AD39" s="75" t="str">
        <f aca="false">IF(SUM($AA39)&lt;=0,"",$AA39-$AB39-$AC39)</f>
        <v/>
      </c>
      <c r="AE39" s="73" t="str">
        <f aca="false">IF(SUM($AC39)&lt;=0,"",ROUND($AC39*$Z39,0))</f>
        <v/>
      </c>
      <c r="AF39" s="73" t="n">
        <f aca="false">_xlfn.IFNA(INDEX(Cascade!$BD:$BD,MATCH($E39,Cascade!$E:$E,0)),"")</f>
        <v>1</v>
      </c>
      <c r="AG39" s="118" t="n">
        <f aca="false">IF(SUM($AF39)&lt;=0,"",SUM($AC39)/$AF39)</f>
        <v>0</v>
      </c>
      <c r="AH39" s="118" t="n">
        <f aca="false">_xlfn.IFNA(INDEX(Cascade!$BL:$BL,MATCH($E39,Cascade!$E:$E,0)),"")</f>
        <v>1</v>
      </c>
      <c r="AI39" s="118" t="n">
        <f aca="false">_xlfn.IFNA(INDEX(Cascade!$BO:$BO,MATCH($E39,Cascade!$E:$E,0)),"")</f>
        <v>-30888</v>
      </c>
      <c r="AJ39" s="118" t="n">
        <f aca="false">_xlfn.IFNA(INDEX(Cascade!$BR:$BR,MATCH($E39,Cascade!$E:$E,0)),"")</f>
        <v>30888</v>
      </c>
    </row>
    <row r="40" customFormat="false" ht="15" hidden="false" customHeight="false" outlineLevel="0" collapsed="false">
      <c r="A40" s="0" t="s">
        <v>144</v>
      </c>
      <c r="B40" s="0" t="s">
        <v>103</v>
      </c>
      <c r="C40" s="0" t="s">
        <v>66</v>
      </c>
      <c r="D40" s="0" t="s">
        <v>58</v>
      </c>
      <c r="E40" s="0" t="str">
        <f aca="false">B40&amp;"|"&amp;C40&amp;"|"&amp;D40</f>
        <v>Leribe [#SNU] [FjSmRywOWUp]|20-24|Male</v>
      </c>
      <c r="F40" s="73" t="n">
        <f aca="false">_xlfn.IFNA(INDEX(Cascade!$F:$F,MATCH($E40,Cascade!$E:$E,0)),"")</f>
        <v>16334</v>
      </c>
      <c r="G40" s="73" t="n">
        <f aca="false">_xlfn.IFNA(INDEX(Cascade!$H:$H,MATCH($E40,Cascade!$E:$E,0)),"")</f>
        <v>690</v>
      </c>
      <c r="H40" s="118" t="n">
        <f aca="false">_xlfn.IFNA(INDEX(Cascade!$J:$J,MATCH($E40,Cascade!$E:$E,0)),"")</f>
        <v>0.0422183</v>
      </c>
      <c r="I40" s="73" t="n">
        <f aca="false">_xlfn.IFNA(INDEX(Cascade!$P:$P,MATCH($E40,Cascade!$E:$E,0)),"")</f>
        <v>409</v>
      </c>
      <c r="J40" s="118" t="n">
        <f aca="false">_xlfn.IFNA(INDEX(Cascade!$Y:$Y,MATCH($E40,Cascade!$E:$E,0)),"")</f>
        <v>0.592753623188406</v>
      </c>
      <c r="K40" s="75" t="str">
        <f aca="false">_xlfn.IFNA(ROUND(INDEX(Spectrum!$N:$N,MATCH(RIGHT($B40,13)&amp;"|"&amp;$C40&amp;"|"&amp;$D40&amp;"|"&amp;K$14&amp;"|"&amp;"CY2021Q3",Spectrum!$Q:$Q,0)),0),"")</f>
        <v/>
      </c>
      <c r="L40" s="75" t="str">
        <f aca="false">_xlfn.IFNA(ROUND(INDEX(Spectrum!$N:$N,MATCH(RIGHT($B40,13)&amp;"|"&amp;$C40&amp;"|"&amp;$D40&amp;"|"&amp;L$14&amp;"|"&amp;"CY2021Q3",Spectrum!$Q:$Q,0)),0),"")</f>
        <v/>
      </c>
      <c r="M40" s="118" t="n">
        <f aca="false">IF(OR(LEFT($B40,4)="_Mil",SUM($F40)&lt;=0),"",SUM($L40)/$F40)</f>
        <v>0</v>
      </c>
      <c r="N40" s="118" t="n">
        <f aca="false">IF(LEFT($B40,4)="_Mil","",80%)</f>
        <v>0.8</v>
      </c>
      <c r="O40" s="75" t="n">
        <f aca="false">IF(LEFT($B40,4)="_Mil","",IF(SUM($F40)=0,"",ROUND(SUM($F40)*SUM($N40),0)))</f>
        <v>13067</v>
      </c>
      <c r="P40" s="75" t="n">
        <f aca="false">IF(LEFT($B40,4)="_Mil","",IF(SUM($F40)=0,"",ROUND(MAX(SUM($O40)-SUM($L40),0),0)))</f>
        <v>13067</v>
      </c>
      <c r="Q40" s="73" t="n">
        <v>37</v>
      </c>
      <c r="R40" s="73" t="n">
        <v>22</v>
      </c>
      <c r="S40" s="118" t="str">
        <f aca="false">IF(LEFT($B40,4)="_Mil","",IF(SUM($K40)&lt;=0,"",SUM($R40)/$K40))</f>
        <v/>
      </c>
      <c r="T40" s="118" t="str">
        <f aca="false">IF(SUM($S40)&lt;=0,"",$S40)</f>
        <v/>
      </c>
      <c r="U40" s="118" t="str">
        <f aca="false">IF(LEFT($B40,4)="_Mil",0,"")</f>
        <v/>
      </c>
      <c r="V40" s="118" t="n">
        <v>35</v>
      </c>
      <c r="W40" s="118" t="n">
        <f aca="false">IF(SUM($V40)=0,"",$V40)</f>
        <v>35</v>
      </c>
      <c r="X40" s="118" t="n">
        <v>15</v>
      </c>
      <c r="Y40" s="118" t="n">
        <f aca="false">IF(SUM($X40)=0,"",$X40)</f>
        <v>15</v>
      </c>
      <c r="Z40" s="118" t="n">
        <f aca="false">_xlfn.IFNA(INDEX(Cascade!$BA:$BA,MATCH($E40,Cascade!$E:$E,0)),"")</f>
        <v>0.95</v>
      </c>
      <c r="AA40" s="73" t="n">
        <f aca="false">IF(LEFT($B40,4)="_Mil",IF(SUM($R40)=0,"",ROUND(SUM($R40)*(1+$U40),0)),IF(SUM($P40)=0,"",ROUND(SUM($T40)*SUM($P40),0)))</f>
        <v>0</v>
      </c>
      <c r="AB40" s="75" t="str">
        <f aca="false">IF(SUM($AA40)&lt;=0,"",ROUND($AA40*$W40,0))</f>
        <v/>
      </c>
      <c r="AC40" s="75" t="str">
        <f aca="false">IF(SUM($AA40)&lt;=0,"",ROUND((SUM($AA40)-SUM($AB40))*SUM($Y40),0))</f>
        <v/>
      </c>
      <c r="AD40" s="75" t="str">
        <f aca="false">IF(SUM($AA40)&lt;=0,"",$AA40-$AB40-$AC40)</f>
        <v/>
      </c>
      <c r="AE40" s="73" t="str">
        <f aca="false">IF(SUM($AC40)&lt;=0,"",ROUND($AC40*$Z40,0))</f>
        <v/>
      </c>
      <c r="AF40" s="73" t="n">
        <f aca="false">_xlfn.IFNA(INDEX(Cascade!$BD:$BD,MATCH($E40,Cascade!$E:$E,0)),"")</f>
        <v>1</v>
      </c>
      <c r="AG40" s="118" t="n">
        <f aca="false">IF(SUM($AF40)&lt;=0,"",SUM($AC40)/$AF40)</f>
        <v>0</v>
      </c>
      <c r="AH40" s="118" t="str">
        <f aca="false">_xlfn.IFNA(INDEX(Cascade!$BL:$BL,MATCH($E40,Cascade!$E:$E,0)),"")</f>
        <v/>
      </c>
      <c r="AI40" s="118" t="str">
        <f aca="false">_xlfn.IFNA(INDEX(Cascade!$BO:$BO,MATCH($E40,Cascade!$E:$E,0)),"")</f>
        <v/>
      </c>
      <c r="AJ40" s="118" t="n">
        <f aca="false">_xlfn.IFNA(INDEX(Cascade!$BR:$BR,MATCH($E40,Cascade!$E:$E,0)),"")</f>
        <v>1</v>
      </c>
    </row>
    <row r="41" customFormat="false" ht="15" hidden="false" customHeight="false" outlineLevel="0" collapsed="false">
      <c r="A41" s="0" t="s">
        <v>144</v>
      </c>
      <c r="B41" s="0" t="s">
        <v>103</v>
      </c>
      <c r="C41" s="0" t="s">
        <v>69</v>
      </c>
      <c r="D41" s="0" t="s">
        <v>58</v>
      </c>
      <c r="E41" s="0" t="str">
        <f aca="false">B41&amp;"|"&amp;C41&amp;"|"&amp;D41</f>
        <v>Leribe [#SNU] [FjSmRywOWUp]|25-29|Male</v>
      </c>
      <c r="F41" s="73" t="n">
        <f aca="false">_xlfn.IFNA(INDEX(Cascade!$F:$F,MATCH($E41,Cascade!$E:$E,0)),"")</f>
        <v>17577</v>
      </c>
      <c r="G41" s="73" t="n">
        <f aca="false">_xlfn.IFNA(INDEX(Cascade!$H:$H,MATCH($E41,Cascade!$E:$E,0)),"")</f>
        <v>1574</v>
      </c>
      <c r="H41" s="118" t="n">
        <f aca="false">_xlfn.IFNA(INDEX(Cascade!$J:$J,MATCH($E41,Cascade!$E:$E,0)),"")</f>
        <v>0.0895399</v>
      </c>
      <c r="I41" s="73" t="n">
        <f aca="false">_xlfn.IFNA(INDEX(Cascade!$P:$P,MATCH($E41,Cascade!$E:$E,0)),"")</f>
        <v>796</v>
      </c>
      <c r="J41" s="118" t="n">
        <f aca="false">_xlfn.IFNA(INDEX(Cascade!$Y:$Y,MATCH($E41,Cascade!$E:$E,0)),"")</f>
        <v>0.50571791613723</v>
      </c>
      <c r="K41" s="75" t="str">
        <f aca="false">_xlfn.IFNA(ROUND(INDEX(Spectrum!$N:$N,MATCH(RIGHT($B41,13)&amp;"|"&amp;$C41&amp;"|"&amp;$D41&amp;"|"&amp;K$14&amp;"|"&amp;"CY2021Q3",Spectrum!$Q:$Q,0)),0),"")</f>
        <v/>
      </c>
      <c r="L41" s="75" t="str">
        <f aca="false">_xlfn.IFNA(ROUND(INDEX(Spectrum!$N:$N,MATCH(RIGHT($B41,13)&amp;"|"&amp;$C41&amp;"|"&amp;$D41&amp;"|"&amp;L$14&amp;"|"&amp;"CY2021Q3",Spectrum!$Q:$Q,0)),0),"")</f>
        <v/>
      </c>
      <c r="M41" s="118" t="n">
        <f aca="false">IF(OR(LEFT($B41,4)="_Mil",SUM($F41)&lt;=0),"",SUM($L41)/$F41)</f>
        <v>0</v>
      </c>
      <c r="N41" s="118" t="n">
        <f aca="false">IF(LEFT($B41,4)="_Mil","",80%)</f>
        <v>0.8</v>
      </c>
      <c r="O41" s="75" t="n">
        <f aca="false">IF(LEFT($B41,4)="_Mil","",IF(SUM($F41)=0,"",ROUND(SUM($F41)*SUM($N41),0)))</f>
        <v>14062</v>
      </c>
      <c r="P41" s="75" t="n">
        <f aca="false">IF(LEFT($B41,4)="_Mil","",IF(SUM($F41)=0,"",ROUND(MAX(SUM($O41)-SUM($L41),0),0)))</f>
        <v>14062</v>
      </c>
      <c r="Q41" s="73" t="n">
        <v>2</v>
      </c>
      <c r="R41" s="73" t="n">
        <v>48</v>
      </c>
      <c r="S41" s="118" t="str">
        <f aca="false">IF(LEFT($B41,4)="_Mil","",IF(SUM($K41)&lt;=0,"",SUM($R41)/$K41))</f>
        <v/>
      </c>
      <c r="T41" s="118" t="str">
        <f aca="false">IF(SUM($S41)&lt;=0,"",$S41)</f>
        <v/>
      </c>
      <c r="U41" s="118" t="str">
        <f aca="false">IF(LEFT($B41,4)="_Mil",0,"")</f>
        <v/>
      </c>
      <c r="V41" s="118" t="n">
        <v>37</v>
      </c>
      <c r="W41" s="118" t="n">
        <f aca="false">IF(SUM($V41)=0,"",$V41)</f>
        <v>37</v>
      </c>
      <c r="X41" s="118" t="n">
        <v>5</v>
      </c>
      <c r="Y41" s="118" t="n">
        <f aca="false">IF(SUM($X41)=0,"",$X41)</f>
        <v>5</v>
      </c>
      <c r="Z41" s="118" t="n">
        <f aca="false">_xlfn.IFNA(INDEX(Cascade!$BA:$BA,MATCH($E41,Cascade!$E:$E,0)),"")</f>
        <v>0.95</v>
      </c>
      <c r="AA41" s="73" t="n">
        <f aca="false">IF(LEFT($B41,4)="_Mil",IF(SUM($R41)=0,"",ROUND(SUM($R41)*(1+$U41),0)),IF(SUM($P41)=0,"",ROUND(SUM($T41)*SUM($P41),0)))</f>
        <v>0</v>
      </c>
      <c r="AB41" s="75" t="str">
        <f aca="false">IF(SUM($AA41)&lt;=0,"",ROUND($AA41*$W41,0))</f>
        <v/>
      </c>
      <c r="AC41" s="75" t="str">
        <f aca="false">IF(SUM($AA41)&lt;=0,"",ROUND((SUM($AA41)-SUM($AB41))*SUM($Y41),0))</f>
        <v/>
      </c>
      <c r="AD41" s="75" t="str">
        <f aca="false">IF(SUM($AA41)&lt;=0,"",$AA41-$AB41-$AC41)</f>
        <v/>
      </c>
      <c r="AE41" s="73" t="str">
        <f aca="false">IF(SUM($AC41)&lt;=0,"",ROUND($AC41*$Z41,0))</f>
        <v/>
      </c>
      <c r="AF41" s="73" t="n">
        <f aca="false">_xlfn.IFNA(INDEX(Cascade!$BD:$BD,MATCH($E41,Cascade!$E:$E,0)),"")</f>
        <v>5</v>
      </c>
      <c r="AG41" s="118" t="n">
        <f aca="false">IF(SUM($AF41)&lt;=0,"",SUM($AC41)/$AF41)</f>
        <v>0</v>
      </c>
      <c r="AH41" s="118" t="n">
        <f aca="false">_xlfn.IFNA(INDEX(Cascade!$BL:$BL,MATCH($E41,Cascade!$E:$E,0)),"")</f>
        <v>0.4</v>
      </c>
      <c r="AI41" s="118" t="n">
        <f aca="false">_xlfn.IFNA(INDEX(Cascade!$BO:$BO,MATCH($E41,Cascade!$E:$E,0)),"")</f>
        <v>-4166.4</v>
      </c>
      <c r="AJ41" s="118" t="n">
        <f aca="false">_xlfn.IFNA(INDEX(Cascade!$BR:$BR,MATCH($E41,Cascade!$E:$E,0)),"")</f>
        <v>4167</v>
      </c>
    </row>
    <row r="42" customFormat="false" ht="15" hidden="false" customHeight="false" outlineLevel="0" collapsed="false">
      <c r="A42" s="0" t="s">
        <v>144</v>
      </c>
      <c r="B42" s="0" t="s">
        <v>103</v>
      </c>
      <c r="C42" s="0" t="s">
        <v>72</v>
      </c>
      <c r="D42" s="0" t="s">
        <v>58</v>
      </c>
      <c r="E42" s="0" t="str">
        <f aca="false">B42&amp;"|"&amp;C42&amp;"|"&amp;D42</f>
        <v>Leribe [#SNU] [FjSmRywOWUp]|30-34|Male</v>
      </c>
      <c r="F42" s="73" t="n">
        <f aca="false">_xlfn.IFNA(INDEX(Cascade!$F:$F,MATCH($E42,Cascade!$E:$E,0)),"")</f>
        <v>17354</v>
      </c>
      <c r="G42" s="73" t="n">
        <f aca="false">_xlfn.IFNA(INDEX(Cascade!$H:$H,MATCH($E42,Cascade!$E:$E,0)),"")</f>
        <v>2910</v>
      </c>
      <c r="H42" s="118" t="n">
        <f aca="false">_xlfn.IFNA(INDEX(Cascade!$J:$J,MATCH($E42,Cascade!$E:$E,0)),"")</f>
        <v>0.167709</v>
      </c>
      <c r="I42" s="73" t="n">
        <f aca="false">_xlfn.IFNA(INDEX(Cascade!$P:$P,MATCH($E42,Cascade!$E:$E,0)),"")</f>
        <v>1456</v>
      </c>
      <c r="J42" s="118" t="n">
        <f aca="false">_xlfn.IFNA(INDEX(Cascade!$Y:$Y,MATCH($E42,Cascade!$E:$E,0)),"")</f>
        <v>0.500343642611684</v>
      </c>
      <c r="K42" s="75" t="str">
        <f aca="false">_xlfn.IFNA(ROUND(INDEX(Spectrum!$N:$N,MATCH(RIGHT($B42,13)&amp;"|"&amp;$C42&amp;"|"&amp;$D42&amp;"|"&amp;K$14&amp;"|"&amp;"CY2021Q3",Spectrum!$Q:$Q,0)),0),"")</f>
        <v/>
      </c>
      <c r="L42" s="75" t="str">
        <f aca="false">_xlfn.IFNA(ROUND(INDEX(Spectrum!$N:$N,MATCH(RIGHT($B42,13)&amp;"|"&amp;$C42&amp;"|"&amp;$D42&amp;"|"&amp;L$14&amp;"|"&amp;"CY2021Q3",Spectrum!$Q:$Q,0)),0),"")</f>
        <v/>
      </c>
      <c r="M42" s="118" t="n">
        <f aca="false">IF(OR(LEFT($B42,4)="_Mil",SUM($F42)&lt;=0),"",SUM($L42)/$F42)</f>
        <v>0</v>
      </c>
      <c r="N42" s="118" t="n">
        <f aca="false">IF(LEFT($B42,4)="_Mil","",80%)</f>
        <v>0.8</v>
      </c>
      <c r="O42" s="75" t="n">
        <f aca="false">IF(LEFT($B42,4)="_Mil","",IF(SUM($F42)=0,"",ROUND(SUM($F42)*SUM($N42),0)))</f>
        <v>13883</v>
      </c>
      <c r="P42" s="75" t="n">
        <f aca="false">IF(LEFT($B42,4)="_Mil","",IF(SUM($F42)=0,"",ROUND(MAX(SUM($O42)-SUM($L42),0),0)))</f>
        <v>13883</v>
      </c>
      <c r="Q42" s="73" t="n">
        <v>33</v>
      </c>
      <c r="R42" s="73"/>
      <c r="S42" s="118" t="str">
        <f aca="false">IF(LEFT($B42,4)="_Mil","",IF(SUM($K42)&lt;=0,"",SUM($R42)/$K42))</f>
        <v/>
      </c>
      <c r="T42" s="118" t="str">
        <f aca="false">IF(SUM($S42)&lt;=0,"",$S42)</f>
        <v/>
      </c>
      <c r="U42" s="118" t="str">
        <f aca="false">IF(LEFT($B42,4)="_Mil",0,"")</f>
        <v/>
      </c>
      <c r="V42" s="118" t="n">
        <v>38</v>
      </c>
      <c r="W42" s="118" t="n">
        <f aca="false">IF(SUM($V42)=0,"",$V42)</f>
        <v>38</v>
      </c>
      <c r="X42" s="118" t="n">
        <v>34</v>
      </c>
      <c r="Y42" s="118" t="n">
        <f aca="false">IF(SUM($X42)=0,"",$X42)</f>
        <v>34</v>
      </c>
      <c r="Z42" s="118" t="n">
        <f aca="false">_xlfn.IFNA(INDEX(Cascade!$BA:$BA,MATCH($E42,Cascade!$E:$E,0)),"")</f>
        <v>0.95</v>
      </c>
      <c r="AA42" s="73" t="n">
        <f aca="false">IF(LEFT($B42,4)="_Mil",IF(SUM($R42)=0,"",ROUND(SUM($R42)*(1+$U42),0)),IF(SUM($P42)=0,"",ROUND(SUM($T42)*SUM($P42),0)))</f>
        <v>0</v>
      </c>
      <c r="AB42" s="75" t="str">
        <f aca="false">IF(SUM($AA42)&lt;=0,"",ROUND($AA42*$W42,0))</f>
        <v/>
      </c>
      <c r="AC42" s="75" t="str">
        <f aca="false">IF(SUM($AA42)&lt;=0,"",ROUND((SUM($AA42)-SUM($AB42))*SUM($Y42),0))</f>
        <v/>
      </c>
      <c r="AD42" s="75" t="str">
        <f aca="false">IF(SUM($AA42)&lt;=0,"",$AA42-$AB42-$AC42)</f>
        <v/>
      </c>
      <c r="AE42" s="73" t="str">
        <f aca="false">IF(SUM($AC42)&lt;=0,"",ROUND($AC42*$Z42,0))</f>
        <v/>
      </c>
      <c r="AF42" s="73" t="n">
        <f aca="false">_xlfn.IFNA(INDEX(Cascade!$BD:$BD,MATCH($E42,Cascade!$E:$E,0)),"")</f>
        <v>31</v>
      </c>
      <c r="AG42" s="118" t="n">
        <f aca="false">IF(SUM($AF42)&lt;=0,"",SUM($AC42)/$AF42)</f>
        <v>0</v>
      </c>
      <c r="AH42" s="118" t="n">
        <f aca="false">_xlfn.IFNA(INDEX(Cascade!$BL:$BL,MATCH($E42,Cascade!$E:$E,0)),"")</f>
        <v>0.290322580645161</v>
      </c>
      <c r="AI42" s="118" t="n">
        <f aca="false">_xlfn.IFNA(INDEX(Cascade!$BO:$BO,MATCH($E42,Cascade!$E:$E,0)),"")</f>
        <v>-1142.58064516129</v>
      </c>
      <c r="AJ42" s="118" t="n">
        <f aca="false">_xlfn.IFNA(INDEX(Cascade!$BR:$BR,MATCH($E42,Cascade!$E:$E,0)),"")</f>
        <v>1143.29032258065</v>
      </c>
    </row>
    <row r="43" customFormat="false" ht="15" hidden="false" customHeight="false" outlineLevel="0" collapsed="false">
      <c r="A43" s="0" t="s">
        <v>144</v>
      </c>
      <c r="B43" s="0" t="s">
        <v>103</v>
      </c>
      <c r="C43" s="0" t="s">
        <v>75</v>
      </c>
      <c r="D43" s="0" t="s">
        <v>58</v>
      </c>
      <c r="E43" s="0" t="str">
        <f aca="false">B43&amp;"|"&amp;C43&amp;"|"&amp;D43</f>
        <v>Leribe [#SNU] [FjSmRywOWUp]|35-39|Male</v>
      </c>
      <c r="F43" s="73" t="n">
        <f aca="false">_xlfn.IFNA(INDEX(Cascade!$F:$F,MATCH($E43,Cascade!$E:$E,0)),"")</f>
        <v>13426</v>
      </c>
      <c r="G43" s="73" t="n">
        <f aca="false">_xlfn.IFNA(INDEX(Cascade!$H:$H,MATCH($E43,Cascade!$E:$E,0)),"")</f>
        <v>3549</v>
      </c>
      <c r="H43" s="118" t="n">
        <f aca="false">_xlfn.IFNA(INDEX(Cascade!$J:$J,MATCH($E43,Cascade!$E:$E,0)),"")</f>
        <v>0.2643267</v>
      </c>
      <c r="I43" s="73" t="n">
        <f aca="false">_xlfn.IFNA(INDEX(Cascade!$P:$P,MATCH($E43,Cascade!$E:$E,0)),"")</f>
        <v>2117</v>
      </c>
      <c r="J43" s="118" t="n">
        <f aca="false">_xlfn.IFNA(INDEX(Cascade!$Y:$Y,MATCH($E43,Cascade!$E:$E,0)),"")</f>
        <v>0.59650605804452</v>
      </c>
      <c r="K43" s="75" t="str">
        <f aca="false">_xlfn.IFNA(ROUND(INDEX(Spectrum!$N:$N,MATCH(RIGHT($B43,13)&amp;"|"&amp;$C43&amp;"|"&amp;$D43&amp;"|"&amp;K$14&amp;"|"&amp;"CY2021Q3",Spectrum!$Q:$Q,0)),0),"")</f>
        <v/>
      </c>
      <c r="L43" s="75" t="str">
        <f aca="false">_xlfn.IFNA(ROUND(INDEX(Spectrum!$N:$N,MATCH(RIGHT($B43,13)&amp;"|"&amp;$C43&amp;"|"&amp;$D43&amp;"|"&amp;L$14&amp;"|"&amp;"CY2021Q3",Spectrum!$Q:$Q,0)),0),"")</f>
        <v/>
      </c>
      <c r="M43" s="118" t="n">
        <f aca="false">IF(OR(LEFT($B43,4)="_Mil",SUM($F43)&lt;=0),"",SUM($L43)/$F43)</f>
        <v>0</v>
      </c>
      <c r="N43" s="118" t="n">
        <f aca="false">IF(LEFT($B43,4)="_Mil","",80%)</f>
        <v>0.8</v>
      </c>
      <c r="O43" s="75" t="n">
        <f aca="false">IF(LEFT($B43,4)="_Mil","",IF(SUM($F43)=0,"",ROUND(SUM($F43)*SUM($N43),0)))</f>
        <v>10741</v>
      </c>
      <c r="P43" s="75" t="n">
        <f aca="false">IF(LEFT($B43,4)="_Mil","",IF(SUM($F43)=0,"",ROUND(MAX(SUM($O43)-SUM($L43),0),0)))</f>
        <v>10741</v>
      </c>
      <c r="Q43" s="73" t="n">
        <v>33</v>
      </c>
      <c r="R43" s="73" t="n">
        <v>3</v>
      </c>
      <c r="S43" s="118" t="str">
        <f aca="false">IF(LEFT($B43,4)="_Mil","",IF(SUM($K43)&lt;=0,"",SUM($R43)/$K43))</f>
        <v/>
      </c>
      <c r="T43" s="118" t="str">
        <f aca="false">IF(SUM($S43)&lt;=0,"",$S43)</f>
        <v/>
      </c>
      <c r="U43" s="118" t="str">
        <f aca="false">IF(LEFT($B43,4)="_Mil",0,"")</f>
        <v/>
      </c>
      <c r="V43" s="118" t="n">
        <v>45</v>
      </c>
      <c r="W43" s="118" t="n">
        <f aca="false">IF(SUM($V43)=0,"",$V43)</f>
        <v>45</v>
      </c>
      <c r="X43" s="118" t="n">
        <v>42</v>
      </c>
      <c r="Y43" s="118" t="n">
        <f aca="false">IF(SUM($X43)=0,"",$X43)</f>
        <v>42</v>
      </c>
      <c r="Z43" s="118" t="n">
        <f aca="false">_xlfn.IFNA(INDEX(Cascade!$BA:$BA,MATCH($E43,Cascade!$E:$E,0)),"")</f>
        <v>0.95</v>
      </c>
      <c r="AA43" s="73" t="n">
        <f aca="false">IF(LEFT($B43,4)="_Mil",IF(SUM($R43)=0,"",ROUND(SUM($R43)*(1+$U43),0)),IF(SUM($P43)=0,"",ROUND(SUM($T43)*SUM($P43),0)))</f>
        <v>0</v>
      </c>
      <c r="AB43" s="75" t="str">
        <f aca="false">IF(SUM($AA43)&lt;=0,"",ROUND($AA43*$W43,0))</f>
        <v/>
      </c>
      <c r="AC43" s="75" t="str">
        <f aca="false">IF(SUM($AA43)&lt;=0,"",ROUND((SUM($AA43)-SUM($AB43))*SUM($Y43),0))</f>
        <v/>
      </c>
      <c r="AD43" s="75" t="str">
        <f aca="false">IF(SUM($AA43)&lt;=0,"",$AA43-$AB43-$AC43)</f>
        <v/>
      </c>
      <c r="AE43" s="73" t="str">
        <f aca="false">IF(SUM($AC43)&lt;=0,"",ROUND($AC43*$Z43,0))</f>
        <v/>
      </c>
      <c r="AF43" s="73" t="str">
        <f aca="false">_xlfn.IFNA(INDEX(Cascade!$BD:$BD,MATCH($E43,Cascade!$E:$E,0)),"")</f>
        <v/>
      </c>
      <c r="AG43" s="118" t="str">
        <f aca="false">IF(SUM($AF43)&lt;=0,"",SUM($AC43)/$AF43)</f>
        <v/>
      </c>
      <c r="AH43" s="118" t="str">
        <f aca="false">_xlfn.IFNA(INDEX(Cascade!$BL:$BL,MATCH($E43,Cascade!$E:$E,0)),"")</f>
        <v/>
      </c>
      <c r="AI43" s="118" t="str">
        <f aca="false">_xlfn.IFNA(INDEX(Cascade!$BO:$BO,MATCH($E43,Cascade!$E:$E,0)),"")</f>
        <v/>
      </c>
      <c r="AJ43" s="118" t="str">
        <f aca="false">_xlfn.IFNA(INDEX(Cascade!$BR:$BR,MATCH($E43,Cascade!$E:$E,0)),"")</f>
        <v/>
      </c>
    </row>
    <row r="44" customFormat="false" ht="15" hidden="false" customHeight="false" outlineLevel="0" collapsed="false">
      <c r="A44" s="0" t="s">
        <v>144</v>
      </c>
      <c r="B44" s="0" t="s">
        <v>103</v>
      </c>
      <c r="C44" s="0" t="s">
        <v>77</v>
      </c>
      <c r="D44" s="0" t="s">
        <v>58</v>
      </c>
      <c r="E44" s="0" t="str">
        <f aca="false">B44&amp;"|"&amp;C44&amp;"|"&amp;D44</f>
        <v>Leribe [#SNU] [FjSmRywOWUp]|40-44|Male</v>
      </c>
      <c r="F44" s="73" t="n">
        <f aca="false">_xlfn.IFNA(INDEX(Cascade!$F:$F,MATCH($E44,Cascade!$E:$E,0)),"")</f>
        <v>8954</v>
      </c>
      <c r="G44" s="73" t="n">
        <f aca="false">_xlfn.IFNA(INDEX(Cascade!$H:$H,MATCH($E44,Cascade!$E:$E,0)),"")</f>
        <v>3141</v>
      </c>
      <c r="H44" s="118" t="n">
        <f aca="false">_xlfn.IFNA(INDEX(Cascade!$J:$J,MATCH($E44,Cascade!$E:$E,0)),"")</f>
        <v>0.3507236</v>
      </c>
      <c r="I44" s="73" t="n">
        <f aca="false">_xlfn.IFNA(INDEX(Cascade!$P:$P,MATCH($E44,Cascade!$E:$E,0)),"")</f>
        <v>2217</v>
      </c>
      <c r="J44" s="118" t="n">
        <f aca="false">_xlfn.IFNA(INDEX(Cascade!$Y:$Y,MATCH($E44,Cascade!$E:$E,0)),"")</f>
        <v>0.705826170009551</v>
      </c>
      <c r="K44" s="75" t="str">
        <f aca="false">_xlfn.IFNA(ROUND(INDEX(Spectrum!$N:$N,MATCH(RIGHT($B44,13)&amp;"|"&amp;$C44&amp;"|"&amp;$D44&amp;"|"&amp;K$14&amp;"|"&amp;"CY2021Q3",Spectrum!$Q:$Q,0)),0),"")</f>
        <v/>
      </c>
      <c r="L44" s="75" t="str">
        <f aca="false">_xlfn.IFNA(ROUND(INDEX(Spectrum!$N:$N,MATCH(RIGHT($B44,13)&amp;"|"&amp;$C44&amp;"|"&amp;$D44&amp;"|"&amp;L$14&amp;"|"&amp;"CY2021Q3",Spectrum!$Q:$Q,0)),0),"")</f>
        <v/>
      </c>
      <c r="M44" s="118" t="n">
        <f aca="false">IF(OR(LEFT($B44,4)="_Mil",SUM($F44)&lt;=0),"",SUM($L44)/$F44)</f>
        <v>0</v>
      </c>
      <c r="N44" s="118" t="n">
        <f aca="false">IF(LEFT($B44,4)="_Mil","",80%)</f>
        <v>0.8</v>
      </c>
      <c r="O44" s="75" t="n">
        <f aca="false">IF(LEFT($B44,4)="_Mil","",IF(SUM($F44)=0,"",ROUND(SUM($F44)*SUM($N44),0)))</f>
        <v>7163</v>
      </c>
      <c r="P44" s="75" t="n">
        <f aca="false">IF(LEFT($B44,4)="_Mil","",IF(SUM($F44)=0,"",ROUND(MAX(SUM($O44)-SUM($L44),0),0)))</f>
        <v>7163</v>
      </c>
      <c r="Q44" s="73" t="n">
        <v>18</v>
      </c>
      <c r="R44" s="73" t="n">
        <v>19</v>
      </c>
      <c r="S44" s="118" t="str">
        <f aca="false">IF(LEFT($B44,4)="_Mil","",IF(SUM($K44)&lt;=0,"",SUM($R44)/$K44))</f>
        <v/>
      </c>
      <c r="T44" s="118" t="str">
        <f aca="false">IF(SUM($S44)&lt;=0,"",$S44)</f>
        <v/>
      </c>
      <c r="U44" s="118" t="str">
        <f aca="false">IF(LEFT($B44,4)="_Mil",0,"")</f>
        <v/>
      </c>
      <c r="V44" s="118" t="n">
        <v>9</v>
      </c>
      <c r="W44" s="118" t="n">
        <f aca="false">IF(SUM($V44)=0,"",$V44)</f>
        <v>9</v>
      </c>
      <c r="X44" s="118"/>
      <c r="Y44" s="118" t="str">
        <f aca="false">IF(SUM($X44)=0,"",$X44)</f>
        <v/>
      </c>
      <c r="Z44" s="118" t="n">
        <f aca="false">_xlfn.IFNA(INDEX(Cascade!$BA:$BA,MATCH($E44,Cascade!$E:$E,0)),"")</f>
        <v>0.95</v>
      </c>
      <c r="AA44" s="73" t="n">
        <f aca="false">IF(LEFT($B44,4)="_Mil",IF(SUM($R44)=0,"",ROUND(SUM($R44)*(1+$U44),0)),IF(SUM($P44)=0,"",ROUND(SUM($T44)*SUM($P44),0)))</f>
        <v>0</v>
      </c>
      <c r="AB44" s="75" t="str">
        <f aca="false">IF(SUM($AA44)&lt;=0,"",ROUND($AA44*$W44,0))</f>
        <v/>
      </c>
      <c r="AC44" s="75" t="str">
        <f aca="false">IF(SUM($AA44)&lt;=0,"",ROUND((SUM($AA44)-SUM($AB44))*SUM($Y44),0))</f>
        <v/>
      </c>
      <c r="AD44" s="75" t="str">
        <f aca="false">IF(SUM($AA44)&lt;=0,"",$AA44-$AB44-$AC44)</f>
        <v/>
      </c>
      <c r="AE44" s="73" t="str">
        <f aca="false">IF(SUM($AC44)&lt;=0,"",ROUND($AC44*$Z44,0))</f>
        <v/>
      </c>
      <c r="AF44" s="73" t="n">
        <f aca="false">_xlfn.IFNA(INDEX(Cascade!$BD:$BD,MATCH($E44,Cascade!$E:$E,0)),"")</f>
        <v>13</v>
      </c>
      <c r="AG44" s="118" t="n">
        <f aca="false">IF(SUM($AF44)&lt;=0,"",SUM($AC44)/$AF44)</f>
        <v>0</v>
      </c>
      <c r="AH44" s="118" t="n">
        <f aca="false">_xlfn.IFNA(INDEX(Cascade!$BL:$BL,MATCH($E44,Cascade!$E:$E,0)),"")</f>
        <v>0.538461538461538</v>
      </c>
      <c r="AI44" s="118" t="n">
        <f aca="false">_xlfn.IFNA(INDEX(Cascade!$BO:$BO,MATCH($E44,Cascade!$E:$E,0)),"")</f>
        <v>-1292.30769230769</v>
      </c>
      <c r="AJ44" s="118" t="n">
        <f aca="false">_xlfn.IFNA(INDEX(Cascade!$BR:$BR,MATCH($E44,Cascade!$E:$E,0)),"")</f>
        <v>1292.76923076923</v>
      </c>
    </row>
    <row r="45" customFormat="false" ht="15" hidden="false" customHeight="false" outlineLevel="0" collapsed="false">
      <c r="A45" s="0" t="s">
        <v>144</v>
      </c>
      <c r="B45" s="0" t="s">
        <v>103</v>
      </c>
      <c r="C45" s="0" t="s">
        <v>80</v>
      </c>
      <c r="D45" s="0" t="s">
        <v>58</v>
      </c>
      <c r="E45" s="0" t="str">
        <f aca="false">B45&amp;"|"&amp;C45&amp;"|"&amp;D45</f>
        <v>Leribe [#SNU] [FjSmRywOWUp]|45-49|Male</v>
      </c>
      <c r="F45" s="73" t="n">
        <f aca="false">_xlfn.IFNA(INDEX(Cascade!$F:$F,MATCH($E45,Cascade!$E:$E,0)),"")</f>
        <v>6587</v>
      </c>
      <c r="G45" s="73" t="n">
        <f aca="false">_xlfn.IFNA(INDEX(Cascade!$H:$H,MATCH($E45,Cascade!$E:$E,0)),"")</f>
        <v>2613</v>
      </c>
      <c r="H45" s="118" t="n">
        <f aca="false">_xlfn.IFNA(INDEX(Cascade!$J:$J,MATCH($E45,Cascade!$E:$E,0)),"")</f>
        <v>0.3966871</v>
      </c>
      <c r="I45" s="73" t="n">
        <f aca="false">_xlfn.IFNA(INDEX(Cascade!$P:$P,MATCH($E45,Cascade!$E:$E,0)),"")</f>
        <v>1852</v>
      </c>
      <c r="J45" s="118" t="n">
        <f aca="false">_xlfn.IFNA(INDEX(Cascade!$Y:$Y,MATCH($E45,Cascade!$E:$E,0)),"")</f>
        <v>0.708763872942977</v>
      </c>
      <c r="K45" s="75" t="str">
        <f aca="false">_xlfn.IFNA(ROUND(INDEX(Spectrum!$N:$N,MATCH(RIGHT($B45,13)&amp;"|"&amp;$C45&amp;"|"&amp;$D45&amp;"|"&amp;K$14&amp;"|"&amp;"CY2021Q3",Spectrum!$Q:$Q,0)),0),"")</f>
        <v/>
      </c>
      <c r="L45" s="75" t="str">
        <f aca="false">_xlfn.IFNA(ROUND(INDEX(Spectrum!$N:$N,MATCH(RIGHT($B45,13)&amp;"|"&amp;$C45&amp;"|"&amp;$D45&amp;"|"&amp;L$14&amp;"|"&amp;"CY2021Q3",Spectrum!$Q:$Q,0)),0),"")</f>
        <v/>
      </c>
      <c r="M45" s="118" t="n">
        <f aca="false">IF(OR(LEFT($B45,4)="_Mil",SUM($F45)&lt;=0),"",SUM($L45)/$F45)</f>
        <v>0</v>
      </c>
      <c r="N45" s="118" t="n">
        <f aca="false">IF(LEFT($B45,4)="_Mil","",80%)</f>
        <v>0.8</v>
      </c>
      <c r="O45" s="75" t="n">
        <f aca="false">IF(LEFT($B45,4)="_Mil","",IF(SUM($F45)=0,"",ROUND(SUM($F45)*SUM($N45),0)))</f>
        <v>5270</v>
      </c>
      <c r="P45" s="75" t="n">
        <f aca="false">IF(LEFT($B45,4)="_Mil","",IF(SUM($F45)=0,"",ROUND(MAX(SUM($O45)-SUM($L45),0),0)))</f>
        <v>5270</v>
      </c>
      <c r="Q45" s="73" t="n">
        <v>33</v>
      </c>
      <c r="R45" s="73" t="n">
        <v>15</v>
      </c>
      <c r="S45" s="118" t="str">
        <f aca="false">IF(LEFT($B45,4)="_Mil","",IF(SUM($K45)&lt;=0,"",SUM($R45)/$K45))</f>
        <v/>
      </c>
      <c r="T45" s="118" t="str">
        <f aca="false">IF(SUM($S45)&lt;=0,"",$S45)</f>
        <v/>
      </c>
      <c r="U45" s="118" t="str">
        <f aca="false">IF(LEFT($B45,4)="_Mil",0,"")</f>
        <v/>
      </c>
      <c r="V45" s="118" t="n">
        <v>49</v>
      </c>
      <c r="W45" s="118" t="n">
        <f aca="false">IF(SUM($V45)=0,"",$V45)</f>
        <v>49</v>
      </c>
      <c r="X45" s="118"/>
      <c r="Y45" s="118" t="str">
        <f aca="false">IF(SUM($X45)=0,"",$X45)</f>
        <v/>
      </c>
      <c r="Z45" s="118" t="n">
        <f aca="false">_xlfn.IFNA(INDEX(Cascade!$BA:$BA,MATCH($E45,Cascade!$E:$E,0)),"")</f>
        <v>0.95</v>
      </c>
      <c r="AA45" s="73" t="n">
        <f aca="false">IF(LEFT($B45,4)="_Mil",IF(SUM($R45)=0,"",ROUND(SUM($R45)*(1+$U45),0)),IF(SUM($P45)=0,"",ROUND(SUM($T45)*SUM($P45),0)))</f>
        <v>0</v>
      </c>
      <c r="AB45" s="75" t="str">
        <f aca="false">IF(SUM($AA45)&lt;=0,"",ROUND($AA45*$W45,0))</f>
        <v/>
      </c>
      <c r="AC45" s="75" t="str">
        <f aca="false">IF(SUM($AA45)&lt;=0,"",ROUND((SUM($AA45)-SUM($AB45))*SUM($Y45),0))</f>
        <v/>
      </c>
      <c r="AD45" s="75" t="str">
        <f aca="false">IF(SUM($AA45)&lt;=0,"",$AA45-$AB45-$AC45)</f>
        <v/>
      </c>
      <c r="AE45" s="73" t="str">
        <f aca="false">IF(SUM($AC45)&lt;=0,"",ROUND($AC45*$Z45,0))</f>
        <v/>
      </c>
      <c r="AF45" s="73" t="n">
        <f aca="false">_xlfn.IFNA(INDEX(Cascade!$BD:$BD,MATCH($E45,Cascade!$E:$E,0)),"")</f>
        <v>5</v>
      </c>
      <c r="AG45" s="118" t="n">
        <f aca="false">IF(SUM($AF45)&lt;=0,"",SUM($AC45)/$AF45)</f>
        <v>0</v>
      </c>
      <c r="AH45" s="118" t="n">
        <f aca="false">_xlfn.IFNA(INDEX(Cascade!$BL:$BL,MATCH($E45,Cascade!$E:$E,0)),"")</f>
        <v>0.6</v>
      </c>
      <c r="AI45" s="118" t="n">
        <f aca="false">_xlfn.IFNA(INDEX(Cascade!$BO:$BO,MATCH($E45,Cascade!$E:$E,0)),"")</f>
        <v>306</v>
      </c>
      <c r="AJ45" s="118" t="n">
        <f aca="false">_xlfn.IFNA(INDEX(Cascade!$BR:$BR,MATCH($E45,Cascade!$E:$E,0)),"")</f>
        <v>-305.6</v>
      </c>
    </row>
    <row r="46" customFormat="false" ht="15" hidden="false" customHeight="false" outlineLevel="0" collapsed="false">
      <c r="A46" s="0" t="s">
        <v>144</v>
      </c>
      <c r="B46" s="0" t="s">
        <v>103</v>
      </c>
      <c r="C46" s="0" t="s">
        <v>86</v>
      </c>
      <c r="D46" s="0" t="s">
        <v>58</v>
      </c>
      <c r="E46" s="0" t="str">
        <f aca="false">B46&amp;"|"&amp;C46&amp;"|"&amp;D46</f>
        <v>Leribe [#SNU] [FjSmRywOWUp]|50+|Male</v>
      </c>
      <c r="F46" s="73" t="n">
        <f aca="false">_xlfn.IFNA(INDEX(Cascade!$F:$F,MATCH($E46,Cascade!$E:$E,0)),"")</f>
        <v>22233</v>
      </c>
      <c r="G46" s="73" t="n">
        <f aca="false">_xlfn.IFNA(INDEX(Cascade!$H:$H,MATCH($E46,Cascade!$E:$E,0)),"")</f>
        <v>6065</v>
      </c>
      <c r="H46" s="118" t="n">
        <f aca="false">_xlfn.IFNA(INDEX(Cascade!$J:$J,MATCH($E46,Cascade!$E:$E,0)),"")</f>
        <v>0.2727708</v>
      </c>
      <c r="I46" s="73" t="n">
        <f aca="false">_xlfn.IFNA(INDEX(Cascade!$P:$P,MATCH($E46,Cascade!$E:$E,0)),"")</f>
        <v>4012</v>
      </c>
      <c r="J46" s="118" t="n">
        <f aca="false">_xlfn.IFNA(INDEX(Cascade!$Y:$Y,MATCH($E46,Cascade!$E:$E,0)),"")</f>
        <v>0.661500412201154</v>
      </c>
      <c r="K46" s="75" t="str">
        <f aca="false">_xlfn.IFNA(ROUND(INDEX(Spectrum!$N:$N,MATCH(RIGHT($B46,13)&amp;"|"&amp;$C46&amp;"|"&amp;$D46&amp;"|"&amp;K$14&amp;"|"&amp;"CY2021Q3",Spectrum!$Q:$Q,0)),0),"")</f>
        <v/>
      </c>
      <c r="L46" s="75" t="str">
        <f aca="false">_xlfn.IFNA(ROUND(INDEX(Spectrum!$N:$N,MATCH(RIGHT($B46,13)&amp;"|"&amp;$C46&amp;"|"&amp;$D46&amp;"|"&amp;L$14&amp;"|"&amp;"CY2021Q3",Spectrum!$Q:$Q,0)),0),"")</f>
        <v/>
      </c>
      <c r="M46" s="118" t="n">
        <f aca="false">IF(OR(LEFT($B46,4)="_Mil",SUM($F46)&lt;=0),"",SUM($L46)/$F46)</f>
        <v>0</v>
      </c>
      <c r="N46" s="118" t="n">
        <f aca="false">IF(LEFT($B46,4)="_Mil","",80%)</f>
        <v>0.8</v>
      </c>
      <c r="O46" s="75" t="n">
        <f aca="false">IF(LEFT($B46,4)="_Mil","",IF(SUM($F46)=0,"",ROUND(SUM($F46)*SUM($N46),0)))</f>
        <v>17786</v>
      </c>
      <c r="P46" s="75" t="n">
        <f aca="false">IF(LEFT($B46,4)="_Mil","",IF(SUM($F46)=0,"",ROUND(MAX(SUM($O46)-SUM($L46),0),0)))</f>
        <v>17786</v>
      </c>
      <c r="Q46" s="73" t="n">
        <v>20</v>
      </c>
      <c r="R46" s="73" t="n">
        <v>41</v>
      </c>
      <c r="S46" s="118" t="str">
        <f aca="false">IF(LEFT($B46,4)="_Mil","",IF(SUM($K46)&lt;=0,"",SUM($R46)/$K46))</f>
        <v/>
      </c>
      <c r="T46" s="118" t="str">
        <f aca="false">IF(SUM($S46)&lt;=0,"",$S46)</f>
        <v/>
      </c>
      <c r="U46" s="118" t="str">
        <f aca="false">IF(LEFT($B46,4)="_Mil",0,"")</f>
        <v/>
      </c>
      <c r="V46" s="118" t="n">
        <v>26</v>
      </c>
      <c r="W46" s="118" t="n">
        <f aca="false">IF(SUM($V46)=0,"",$V46)</f>
        <v>26</v>
      </c>
      <c r="X46" s="118" t="n">
        <v>17</v>
      </c>
      <c r="Y46" s="118" t="n">
        <f aca="false">IF(SUM($X46)=0,"",$X46)</f>
        <v>17</v>
      </c>
      <c r="Z46" s="118" t="n">
        <f aca="false">_xlfn.IFNA(INDEX(Cascade!$BA:$BA,MATCH($E46,Cascade!$E:$E,0)),"")</f>
        <v>0.95</v>
      </c>
      <c r="AA46" s="73" t="n">
        <f aca="false">IF(LEFT($B46,4)="_Mil",IF(SUM($R46)=0,"",ROUND(SUM($R46)*(1+$U46),0)),IF(SUM($P46)=0,"",ROUND(SUM($T46)*SUM($P46),0)))</f>
        <v>0</v>
      </c>
      <c r="AB46" s="75" t="str">
        <f aca="false">IF(SUM($AA46)&lt;=0,"",ROUND($AA46*$W46,0))</f>
        <v/>
      </c>
      <c r="AC46" s="75" t="str">
        <f aca="false">IF(SUM($AA46)&lt;=0,"",ROUND((SUM($AA46)-SUM($AB46))*SUM($Y46),0))</f>
        <v/>
      </c>
      <c r="AD46" s="75" t="str">
        <f aca="false">IF(SUM($AA46)&lt;=0,"",$AA46-$AB46-$AC46)</f>
        <v/>
      </c>
      <c r="AE46" s="73" t="str">
        <f aca="false">IF(SUM($AC46)&lt;=0,"",ROUND($AC46*$Z46,0))</f>
        <v/>
      </c>
      <c r="AF46" s="73" t="n">
        <f aca="false">_xlfn.IFNA(INDEX(Cascade!$BD:$BD,MATCH($E46,Cascade!$E:$E,0)),"")</f>
        <v>5</v>
      </c>
      <c r="AG46" s="118" t="n">
        <f aca="false">IF(SUM($AF46)&lt;=0,"",SUM($AC46)/$AF46)</f>
        <v>0</v>
      </c>
      <c r="AH46" s="118" t="n">
        <f aca="false">_xlfn.IFNA(INDEX(Cascade!$BL:$BL,MATCH($E46,Cascade!$E:$E,0)),"")</f>
        <v>0.4</v>
      </c>
      <c r="AI46" s="118" t="n">
        <f aca="false">_xlfn.IFNA(INDEX(Cascade!$BO:$BO,MATCH($E46,Cascade!$E:$E,0)),"")</f>
        <v>-360</v>
      </c>
      <c r="AJ46" s="118" t="n">
        <f aca="false">_xlfn.IFNA(INDEX(Cascade!$BR:$BR,MATCH($E46,Cascade!$E:$E,0)),"")</f>
        <v>360.6</v>
      </c>
    </row>
    <row r="47" customFormat="false" ht="15" hidden="false" customHeight="false" outlineLevel="0" collapsed="false">
      <c r="A47" s="0" t="s">
        <v>145</v>
      </c>
      <c r="B47" s="0" t="s">
        <v>107</v>
      </c>
      <c r="C47" s="0" t="s">
        <v>63</v>
      </c>
      <c r="D47" s="0" t="s">
        <v>58</v>
      </c>
      <c r="E47" s="0" t="str">
        <f aca="false">B47&amp;"|"&amp;C47&amp;"|"&amp;D47</f>
        <v>Mafeteng [#SNU] [#DREAMS] [DiFv5WXIHM5]|15-19|Male</v>
      </c>
      <c r="F47" s="73" t="n">
        <f aca="false">_xlfn.IFNA(INDEX(Cascade!$F:$F,MATCH($E47,Cascade!$E:$E,0)),"")</f>
        <v>8874</v>
      </c>
      <c r="G47" s="73" t="n">
        <f aca="false">_xlfn.IFNA(INDEX(Cascade!$H:$H,MATCH($E47,Cascade!$E:$E,0)),"")</f>
        <v>267</v>
      </c>
      <c r="H47" s="118" t="n">
        <f aca="false">_xlfn.IFNA(INDEX(Cascade!$J:$J,MATCH($E47,Cascade!$E:$E,0)),"")</f>
        <v>0.0301246</v>
      </c>
      <c r="I47" s="73" t="n">
        <f aca="false">_xlfn.IFNA(INDEX(Cascade!$P:$P,MATCH($E47,Cascade!$E:$E,0)),"")</f>
        <v>241</v>
      </c>
      <c r="J47" s="118" t="n">
        <f aca="false">_xlfn.IFNA(INDEX(Cascade!$Y:$Y,MATCH($E47,Cascade!$E:$E,0)),"")</f>
        <v>0.902621722846442</v>
      </c>
      <c r="K47" s="75" t="str">
        <f aca="false">_xlfn.IFNA(ROUND(INDEX(Spectrum!$N:$N,MATCH(RIGHT($B47,13)&amp;"|"&amp;$C47&amp;"|"&amp;$D47&amp;"|"&amp;K$14&amp;"|"&amp;"CY2021Q3",Spectrum!$Q:$Q,0)),0),"")</f>
        <v/>
      </c>
      <c r="L47" s="75" t="str">
        <f aca="false">_xlfn.IFNA(ROUND(INDEX(Spectrum!$N:$N,MATCH(RIGHT($B47,13)&amp;"|"&amp;$C47&amp;"|"&amp;$D47&amp;"|"&amp;L$14&amp;"|"&amp;"CY2021Q3",Spectrum!$Q:$Q,0)),0),"")</f>
        <v/>
      </c>
      <c r="M47" s="118" t="n">
        <f aca="false">IF(OR(LEFT($B47,4)="_Mil",SUM($F47)&lt;=0),"",SUM($L47)/$F47)</f>
        <v>0</v>
      </c>
      <c r="N47" s="118" t="n">
        <f aca="false">IF(LEFT($B47,4)="_Mil","",80%)</f>
        <v>0.8</v>
      </c>
      <c r="O47" s="75" t="n">
        <f aca="false">IF(LEFT($B47,4)="_Mil","",IF(SUM($F47)=0,"",ROUND(SUM($F47)*SUM($N47),0)))</f>
        <v>7099</v>
      </c>
      <c r="P47" s="75" t="n">
        <f aca="false">IF(LEFT($B47,4)="_Mil","",IF(SUM($F47)=0,"",ROUND(MAX(SUM($O47)-SUM($L47),0),0)))</f>
        <v>7099</v>
      </c>
      <c r="Q47" s="73" t="n">
        <v>40</v>
      </c>
      <c r="R47" s="73" t="n">
        <v>6</v>
      </c>
      <c r="S47" s="118" t="str">
        <f aca="false">IF(LEFT($B47,4)="_Mil","",IF(SUM($K47)&lt;=0,"",SUM($R47)/$K47))</f>
        <v/>
      </c>
      <c r="T47" s="118" t="str">
        <f aca="false">IF(SUM($S47)&lt;=0,"",$S47)</f>
        <v/>
      </c>
      <c r="U47" s="118" t="str">
        <f aca="false">IF(LEFT($B47,4)="_Mil",0,"")</f>
        <v/>
      </c>
      <c r="V47" s="118" t="n">
        <v>23</v>
      </c>
      <c r="W47" s="118" t="n">
        <f aca="false">IF(SUM($V47)=0,"",$V47)</f>
        <v>23</v>
      </c>
      <c r="X47" s="118"/>
      <c r="Y47" s="118" t="str">
        <f aca="false">IF(SUM($X47)=0,"",$X47)</f>
        <v/>
      </c>
      <c r="Z47" s="118" t="n">
        <f aca="false">_xlfn.IFNA(INDEX(Cascade!$BA:$BA,MATCH($E47,Cascade!$E:$E,0)),"")</f>
        <v>0.95</v>
      </c>
      <c r="AA47" s="73" t="n">
        <f aca="false">IF(LEFT($B47,4)="_Mil",IF(SUM($R47)=0,"",ROUND(SUM($R47)*(1+$U47),0)),IF(SUM($P47)=0,"",ROUND(SUM($T47)*SUM($P47),0)))</f>
        <v>0</v>
      </c>
      <c r="AB47" s="75" t="str">
        <f aca="false">IF(SUM($AA47)&lt;=0,"",ROUND($AA47*$W47,0))</f>
        <v/>
      </c>
      <c r="AC47" s="75" t="str">
        <f aca="false">IF(SUM($AA47)&lt;=0,"",ROUND((SUM($AA47)-SUM($AB47))*SUM($Y47),0))</f>
        <v/>
      </c>
      <c r="AD47" s="75" t="str">
        <f aca="false">IF(SUM($AA47)&lt;=0,"",$AA47-$AB47-$AC47)</f>
        <v/>
      </c>
      <c r="AE47" s="73" t="str">
        <f aca="false">IF(SUM($AC47)&lt;=0,"",ROUND($AC47*$Z47,0))</f>
        <v/>
      </c>
      <c r="AF47" s="73" t="str">
        <f aca="false">_xlfn.IFNA(INDEX(Cascade!$BD:$BD,MATCH($E47,Cascade!$E:$E,0)),"")</f>
        <v/>
      </c>
      <c r="AG47" s="118" t="str">
        <f aca="false">IF(SUM($AF47)&lt;=0,"",SUM($AC47)/$AF47)</f>
        <v/>
      </c>
      <c r="AH47" s="118" t="str">
        <f aca="false">_xlfn.IFNA(INDEX(Cascade!$BL:$BL,MATCH($E47,Cascade!$E:$E,0)),"")</f>
        <v/>
      </c>
      <c r="AI47" s="118" t="str">
        <f aca="false">_xlfn.IFNA(INDEX(Cascade!$BO:$BO,MATCH($E47,Cascade!$E:$E,0)),"")</f>
        <v/>
      </c>
      <c r="AJ47" s="118" t="str">
        <f aca="false">_xlfn.IFNA(INDEX(Cascade!$BR:$BR,MATCH($E47,Cascade!$E:$E,0)),"")</f>
        <v/>
      </c>
    </row>
    <row r="48" customFormat="false" ht="15" hidden="false" customHeight="false" outlineLevel="0" collapsed="false">
      <c r="A48" s="0" t="s">
        <v>145</v>
      </c>
      <c r="B48" s="0" t="s">
        <v>107</v>
      </c>
      <c r="C48" s="0" t="s">
        <v>66</v>
      </c>
      <c r="D48" s="0" t="s">
        <v>58</v>
      </c>
      <c r="E48" s="0" t="str">
        <f aca="false">B48&amp;"|"&amp;C48&amp;"|"&amp;D48</f>
        <v>Mafeteng [#SNU] [#DREAMS] [DiFv5WXIHM5]|20-24|Male</v>
      </c>
      <c r="F48" s="73" t="n">
        <f aca="false">_xlfn.IFNA(INDEX(Cascade!$F:$F,MATCH($E48,Cascade!$E:$E,0)),"")</f>
        <v>7892</v>
      </c>
      <c r="G48" s="73" t="n">
        <f aca="false">_xlfn.IFNA(INDEX(Cascade!$H:$H,MATCH($E48,Cascade!$E:$E,0)),"")</f>
        <v>432</v>
      </c>
      <c r="H48" s="118" t="n">
        <f aca="false">_xlfn.IFNA(INDEX(Cascade!$J:$J,MATCH($E48,Cascade!$E:$E,0)),"")</f>
        <v>0.0547102</v>
      </c>
      <c r="I48" s="73" t="n">
        <f aca="false">_xlfn.IFNA(INDEX(Cascade!$P:$P,MATCH($E48,Cascade!$E:$E,0)),"")</f>
        <v>252</v>
      </c>
      <c r="J48" s="118" t="n">
        <f aca="false">_xlfn.IFNA(INDEX(Cascade!$Y:$Y,MATCH($E48,Cascade!$E:$E,0)),"")</f>
        <v>0.583333333333333</v>
      </c>
      <c r="K48" s="75" t="str">
        <f aca="false">_xlfn.IFNA(ROUND(INDEX(Spectrum!$N:$N,MATCH(RIGHT($B48,13)&amp;"|"&amp;$C48&amp;"|"&amp;$D48&amp;"|"&amp;K$14&amp;"|"&amp;"CY2021Q3",Spectrum!$Q:$Q,0)),0),"")</f>
        <v/>
      </c>
      <c r="L48" s="75" t="str">
        <f aca="false">_xlfn.IFNA(ROUND(INDEX(Spectrum!$N:$N,MATCH(RIGHT($B48,13)&amp;"|"&amp;$C48&amp;"|"&amp;$D48&amp;"|"&amp;L$14&amp;"|"&amp;"CY2021Q3",Spectrum!$Q:$Q,0)),0),"")</f>
        <v/>
      </c>
      <c r="M48" s="118" t="n">
        <f aca="false">IF(OR(LEFT($B48,4)="_Mil",SUM($F48)&lt;=0),"",SUM($L48)/$F48)</f>
        <v>0</v>
      </c>
      <c r="N48" s="118" t="n">
        <f aca="false">IF(LEFT($B48,4)="_Mil","",80%)</f>
        <v>0.8</v>
      </c>
      <c r="O48" s="75" t="n">
        <f aca="false">IF(LEFT($B48,4)="_Mil","",IF(SUM($F48)=0,"",ROUND(SUM($F48)*SUM($N48),0)))</f>
        <v>6314</v>
      </c>
      <c r="P48" s="75" t="n">
        <f aca="false">IF(LEFT($B48,4)="_Mil","",IF(SUM($F48)=0,"",ROUND(MAX(SUM($O48)-SUM($L48),0),0)))</f>
        <v>6314</v>
      </c>
      <c r="Q48" s="73" t="n">
        <v>23</v>
      </c>
      <c r="R48" s="73" t="n">
        <v>20</v>
      </c>
      <c r="S48" s="118" t="str">
        <f aca="false">IF(LEFT($B48,4)="_Mil","",IF(SUM($K48)&lt;=0,"",SUM($R48)/$K48))</f>
        <v/>
      </c>
      <c r="T48" s="118" t="str">
        <f aca="false">IF(SUM($S48)&lt;=0,"",$S48)</f>
        <v/>
      </c>
      <c r="U48" s="118" t="str">
        <f aca="false">IF(LEFT($B48,4)="_Mil",0,"")</f>
        <v/>
      </c>
      <c r="V48" s="118" t="n">
        <v>34</v>
      </c>
      <c r="W48" s="118" t="n">
        <f aca="false">IF(SUM($V48)=0,"",$V48)</f>
        <v>34</v>
      </c>
      <c r="X48" s="118"/>
      <c r="Y48" s="118" t="str">
        <f aca="false">IF(SUM($X48)=0,"",$X48)</f>
        <v/>
      </c>
      <c r="Z48" s="118" t="n">
        <f aca="false">_xlfn.IFNA(INDEX(Cascade!$BA:$BA,MATCH($E48,Cascade!$E:$E,0)),"")</f>
        <v>0.95</v>
      </c>
      <c r="AA48" s="73" t="n">
        <f aca="false">IF(LEFT($B48,4)="_Mil",IF(SUM($R48)=0,"",ROUND(SUM($R48)*(1+$U48),0)),IF(SUM($P48)=0,"",ROUND(SUM($T48)*SUM($P48),0)))</f>
        <v>0</v>
      </c>
      <c r="AB48" s="75" t="str">
        <f aca="false">IF(SUM($AA48)&lt;=0,"",ROUND($AA48*$W48,0))</f>
        <v/>
      </c>
      <c r="AC48" s="75" t="str">
        <f aca="false">IF(SUM($AA48)&lt;=0,"",ROUND((SUM($AA48)-SUM($AB48))*SUM($Y48),0))</f>
        <v/>
      </c>
      <c r="AD48" s="75" t="str">
        <f aca="false">IF(SUM($AA48)&lt;=0,"",$AA48-$AB48-$AC48)</f>
        <v/>
      </c>
      <c r="AE48" s="73" t="str">
        <f aca="false">IF(SUM($AC48)&lt;=0,"",ROUND($AC48*$Z48,0))</f>
        <v/>
      </c>
      <c r="AF48" s="73" t="n">
        <f aca="false">_xlfn.IFNA(INDEX(Cascade!$BD:$BD,MATCH($E48,Cascade!$E:$E,0)),"")</f>
        <v>4</v>
      </c>
      <c r="AG48" s="118" t="n">
        <f aca="false">IF(SUM($AF48)&lt;=0,"",SUM($AC48)/$AF48)</f>
        <v>0</v>
      </c>
      <c r="AH48" s="118" t="n">
        <f aca="false">_xlfn.IFNA(INDEX(Cascade!$BL:$BL,MATCH($E48,Cascade!$E:$E,0)),"")</f>
        <v>0.25</v>
      </c>
      <c r="AI48" s="118" t="n">
        <f aca="false">_xlfn.IFNA(INDEX(Cascade!$BO:$BO,MATCH($E48,Cascade!$E:$E,0)),"")</f>
        <v>-4725</v>
      </c>
      <c r="AJ48" s="118" t="n">
        <f aca="false">_xlfn.IFNA(INDEX(Cascade!$BR:$BR,MATCH($E48,Cascade!$E:$E,0)),"")</f>
        <v>4725.75</v>
      </c>
    </row>
    <row r="49" customFormat="false" ht="15" hidden="false" customHeight="false" outlineLevel="0" collapsed="false">
      <c r="A49" s="0" t="s">
        <v>145</v>
      </c>
      <c r="B49" s="0" t="s">
        <v>107</v>
      </c>
      <c r="C49" s="0" t="s">
        <v>69</v>
      </c>
      <c r="D49" s="0" t="s">
        <v>58</v>
      </c>
      <c r="E49" s="0" t="str">
        <f aca="false">B49&amp;"|"&amp;C49&amp;"|"&amp;D49</f>
        <v>Mafeteng [#SNU] [#DREAMS] [DiFv5WXIHM5]|25-29|Male</v>
      </c>
      <c r="F49" s="73" t="n">
        <f aca="false">_xlfn.IFNA(INDEX(Cascade!$F:$F,MATCH($E49,Cascade!$E:$E,0)),"")</f>
        <v>8913</v>
      </c>
      <c r="G49" s="73" t="n">
        <f aca="false">_xlfn.IFNA(INDEX(Cascade!$H:$H,MATCH($E49,Cascade!$E:$E,0)),"")</f>
        <v>963</v>
      </c>
      <c r="H49" s="118" t="n">
        <f aca="false">_xlfn.IFNA(INDEX(Cascade!$J:$J,MATCH($E49,Cascade!$E:$E,0)),"")</f>
        <v>0.1080619</v>
      </c>
      <c r="I49" s="73" t="n">
        <f aca="false">_xlfn.IFNA(INDEX(Cascade!$P:$P,MATCH($E49,Cascade!$E:$E,0)),"")</f>
        <v>460</v>
      </c>
      <c r="J49" s="118" t="n">
        <f aca="false">_xlfn.IFNA(INDEX(Cascade!$Y:$Y,MATCH($E49,Cascade!$E:$E,0)),"")</f>
        <v>0.477673935617861</v>
      </c>
      <c r="K49" s="75" t="str">
        <f aca="false">_xlfn.IFNA(ROUND(INDEX(Spectrum!$N:$N,MATCH(RIGHT($B49,13)&amp;"|"&amp;$C49&amp;"|"&amp;$D49&amp;"|"&amp;K$14&amp;"|"&amp;"CY2021Q3",Spectrum!$Q:$Q,0)),0),"")</f>
        <v/>
      </c>
      <c r="L49" s="75" t="str">
        <f aca="false">_xlfn.IFNA(ROUND(INDEX(Spectrum!$N:$N,MATCH(RIGHT($B49,13)&amp;"|"&amp;$C49&amp;"|"&amp;$D49&amp;"|"&amp;L$14&amp;"|"&amp;"CY2021Q3",Spectrum!$Q:$Q,0)),0),"")</f>
        <v/>
      </c>
      <c r="M49" s="118" t="n">
        <f aca="false">IF(OR(LEFT($B49,4)="_Mil",SUM($F49)&lt;=0),"",SUM($L49)/$F49)</f>
        <v>0</v>
      </c>
      <c r="N49" s="118" t="n">
        <f aca="false">IF(LEFT($B49,4)="_Mil","",80%)</f>
        <v>0.8</v>
      </c>
      <c r="O49" s="75" t="n">
        <f aca="false">IF(LEFT($B49,4)="_Mil","",IF(SUM($F49)=0,"",ROUND(SUM($F49)*SUM($N49),0)))</f>
        <v>7130</v>
      </c>
      <c r="P49" s="75" t="n">
        <f aca="false">IF(LEFT($B49,4)="_Mil","",IF(SUM($F49)=0,"",ROUND(MAX(SUM($O49)-SUM($L49),0),0)))</f>
        <v>7130</v>
      </c>
      <c r="Q49" s="73" t="n">
        <v>19</v>
      </c>
      <c r="R49" s="73" t="n">
        <v>30</v>
      </c>
      <c r="S49" s="118" t="str">
        <f aca="false">IF(LEFT($B49,4)="_Mil","",IF(SUM($K49)&lt;=0,"",SUM($R49)/$K49))</f>
        <v/>
      </c>
      <c r="T49" s="118" t="str">
        <f aca="false">IF(SUM($S49)&lt;=0,"",$S49)</f>
        <v/>
      </c>
      <c r="U49" s="118" t="str">
        <f aca="false">IF(LEFT($B49,4)="_Mil",0,"")</f>
        <v/>
      </c>
      <c r="V49" s="118" t="n">
        <v>33</v>
      </c>
      <c r="W49" s="118" t="n">
        <f aca="false">IF(SUM($V49)=0,"",$V49)</f>
        <v>33</v>
      </c>
      <c r="X49" s="118"/>
      <c r="Y49" s="118" t="str">
        <f aca="false">IF(SUM($X49)=0,"",$X49)</f>
        <v/>
      </c>
      <c r="Z49" s="118" t="n">
        <f aca="false">_xlfn.IFNA(INDEX(Cascade!$BA:$BA,MATCH($E49,Cascade!$E:$E,0)),"")</f>
        <v>0.95</v>
      </c>
      <c r="AA49" s="73" t="n">
        <f aca="false">IF(LEFT($B49,4)="_Mil",IF(SUM($R49)=0,"",ROUND(SUM($R49)*(1+$U49),0)),IF(SUM($P49)=0,"",ROUND(SUM($T49)*SUM($P49),0)))</f>
        <v>0</v>
      </c>
      <c r="AB49" s="75" t="str">
        <f aca="false">IF(SUM($AA49)&lt;=0,"",ROUND($AA49*$W49,0))</f>
        <v/>
      </c>
      <c r="AC49" s="75" t="str">
        <f aca="false">IF(SUM($AA49)&lt;=0,"",ROUND((SUM($AA49)-SUM($AB49))*SUM($Y49),0))</f>
        <v/>
      </c>
      <c r="AD49" s="75" t="str">
        <f aca="false">IF(SUM($AA49)&lt;=0,"",$AA49-$AB49-$AC49)</f>
        <v/>
      </c>
      <c r="AE49" s="73" t="str">
        <f aca="false">IF(SUM($AC49)&lt;=0,"",ROUND($AC49*$Z49,0))</f>
        <v/>
      </c>
      <c r="AF49" s="73" t="n">
        <f aca="false">_xlfn.IFNA(INDEX(Cascade!$BD:$BD,MATCH($E49,Cascade!$E:$E,0)),"")</f>
        <v>20</v>
      </c>
      <c r="AG49" s="118" t="n">
        <f aca="false">IF(SUM($AF49)&lt;=0,"",SUM($AC49)/$AF49)</f>
        <v>0</v>
      </c>
      <c r="AH49" s="118" t="n">
        <f aca="false">_xlfn.IFNA(INDEX(Cascade!$BL:$BL,MATCH($E49,Cascade!$E:$E,0)),"")</f>
        <v>0.3</v>
      </c>
      <c r="AI49" s="118" t="n">
        <f aca="false">_xlfn.IFNA(INDEX(Cascade!$BO:$BO,MATCH($E49,Cascade!$E:$E,0)),"")</f>
        <v>-541.2</v>
      </c>
      <c r="AJ49" s="118" t="n">
        <f aca="false">_xlfn.IFNA(INDEX(Cascade!$BR:$BR,MATCH($E49,Cascade!$E:$E,0)),"")</f>
        <v>541.9</v>
      </c>
    </row>
    <row r="50" customFormat="false" ht="15" hidden="false" customHeight="false" outlineLevel="0" collapsed="false">
      <c r="A50" s="0" t="s">
        <v>145</v>
      </c>
      <c r="B50" s="0" t="s">
        <v>107</v>
      </c>
      <c r="C50" s="0" t="s">
        <v>72</v>
      </c>
      <c r="D50" s="0" t="s">
        <v>58</v>
      </c>
      <c r="E50" s="0" t="str">
        <f aca="false">B50&amp;"|"&amp;C50&amp;"|"&amp;D50</f>
        <v>Mafeteng [#SNU] [#DREAMS] [DiFv5WXIHM5]|30-34|Male</v>
      </c>
      <c r="F50" s="73" t="n">
        <f aca="false">_xlfn.IFNA(INDEX(Cascade!$F:$F,MATCH($E50,Cascade!$E:$E,0)),"")</f>
        <v>8366</v>
      </c>
      <c r="G50" s="73" t="n">
        <f aca="false">_xlfn.IFNA(INDEX(Cascade!$H:$H,MATCH($E50,Cascade!$E:$E,0)),"")</f>
        <v>1717</v>
      </c>
      <c r="H50" s="118" t="n">
        <f aca="false">_xlfn.IFNA(INDEX(Cascade!$J:$J,MATCH($E50,Cascade!$E:$E,0)),"")</f>
        <v>0.2052753</v>
      </c>
      <c r="I50" s="73" t="n">
        <f aca="false">_xlfn.IFNA(INDEX(Cascade!$P:$P,MATCH($E50,Cascade!$E:$E,0)),"")</f>
        <v>784</v>
      </c>
      <c r="J50" s="118" t="n">
        <f aca="false">_xlfn.IFNA(INDEX(Cascade!$Y:$Y,MATCH($E50,Cascade!$E:$E,0)),"")</f>
        <v>0.456610366919045</v>
      </c>
      <c r="K50" s="75" t="str">
        <f aca="false">_xlfn.IFNA(ROUND(INDEX(Spectrum!$N:$N,MATCH(RIGHT($B50,13)&amp;"|"&amp;$C50&amp;"|"&amp;$D50&amp;"|"&amp;K$14&amp;"|"&amp;"CY2021Q3",Spectrum!$Q:$Q,0)),0),"")</f>
        <v/>
      </c>
      <c r="L50" s="75" t="str">
        <f aca="false">_xlfn.IFNA(ROUND(INDEX(Spectrum!$N:$N,MATCH(RIGHT($B50,13)&amp;"|"&amp;$C50&amp;"|"&amp;$D50&amp;"|"&amp;L$14&amp;"|"&amp;"CY2021Q3",Spectrum!$Q:$Q,0)),0),"")</f>
        <v/>
      </c>
      <c r="M50" s="118" t="n">
        <f aca="false">IF(OR(LEFT($B50,4)="_Mil",SUM($F50)&lt;=0),"",SUM($L50)/$F50)</f>
        <v>0</v>
      </c>
      <c r="N50" s="118" t="n">
        <f aca="false">IF(LEFT($B50,4)="_Mil","",80%)</f>
        <v>0.8</v>
      </c>
      <c r="O50" s="75" t="n">
        <f aca="false">IF(LEFT($B50,4)="_Mil","",IF(SUM($F50)=0,"",ROUND(SUM($F50)*SUM($N50),0)))</f>
        <v>6693</v>
      </c>
      <c r="P50" s="75" t="n">
        <f aca="false">IF(LEFT($B50,4)="_Mil","",IF(SUM($F50)=0,"",ROUND(MAX(SUM($O50)-SUM($L50),0),0)))</f>
        <v>6693</v>
      </c>
      <c r="Q50" s="73" t="n">
        <v>26</v>
      </c>
      <c r="R50" s="73" t="n">
        <v>38</v>
      </c>
      <c r="S50" s="118" t="str">
        <f aca="false">IF(LEFT($B50,4)="_Mil","",IF(SUM($K50)&lt;=0,"",SUM($R50)/$K50))</f>
        <v/>
      </c>
      <c r="T50" s="118" t="str">
        <f aca="false">IF(SUM($S50)&lt;=0,"",$S50)</f>
        <v/>
      </c>
      <c r="U50" s="118" t="str">
        <f aca="false">IF(LEFT($B50,4)="_Mil",0,"")</f>
        <v/>
      </c>
      <c r="V50" s="118" t="n">
        <v>46</v>
      </c>
      <c r="W50" s="118" t="n">
        <f aca="false">IF(SUM($V50)=0,"",$V50)</f>
        <v>46</v>
      </c>
      <c r="X50" s="118"/>
      <c r="Y50" s="118" t="str">
        <f aca="false">IF(SUM($X50)=0,"",$X50)</f>
        <v/>
      </c>
      <c r="Z50" s="118" t="n">
        <f aca="false">_xlfn.IFNA(INDEX(Cascade!$BA:$BA,MATCH($E50,Cascade!$E:$E,0)),"")</f>
        <v>0.95</v>
      </c>
      <c r="AA50" s="73" t="n">
        <f aca="false">IF(LEFT($B50,4)="_Mil",IF(SUM($R50)=0,"",ROUND(SUM($R50)*(1+$U50),0)),IF(SUM($P50)=0,"",ROUND(SUM($T50)*SUM($P50),0)))</f>
        <v>0</v>
      </c>
      <c r="AB50" s="75" t="str">
        <f aca="false">IF(SUM($AA50)&lt;=0,"",ROUND($AA50*$W50,0))</f>
        <v/>
      </c>
      <c r="AC50" s="75" t="str">
        <f aca="false">IF(SUM($AA50)&lt;=0,"",ROUND((SUM($AA50)-SUM($AB50))*SUM($Y50),0))</f>
        <v/>
      </c>
      <c r="AD50" s="75" t="str">
        <f aca="false">IF(SUM($AA50)&lt;=0,"",$AA50-$AB50-$AC50)</f>
        <v/>
      </c>
      <c r="AE50" s="73" t="str">
        <f aca="false">IF(SUM($AC50)&lt;=0,"",ROUND($AC50*$Z50,0))</f>
        <v/>
      </c>
      <c r="AF50" s="73" t="n">
        <f aca="false">_xlfn.IFNA(INDEX(Cascade!$BD:$BD,MATCH($E50,Cascade!$E:$E,0)),"")</f>
        <v>39</v>
      </c>
      <c r="AG50" s="118" t="n">
        <f aca="false">IF(SUM($AF50)&lt;=0,"",SUM($AC50)/$AF50)</f>
        <v>0</v>
      </c>
      <c r="AH50" s="118" t="n">
        <f aca="false">_xlfn.IFNA(INDEX(Cascade!$BL:$BL,MATCH($E50,Cascade!$E:$E,0)),"")</f>
        <v>0.307692307692308</v>
      </c>
      <c r="AI50" s="118" t="n">
        <f aca="false">_xlfn.IFNA(INDEX(Cascade!$BO:$BO,MATCH($E50,Cascade!$E:$E,0)),"")</f>
        <v>-1014.35897435897</v>
      </c>
      <c r="AJ50" s="118" t="n">
        <f aca="false">_xlfn.IFNA(INDEX(Cascade!$BR:$BR,MATCH($E50,Cascade!$E:$E,0)),"")</f>
        <v>1015.05128205128</v>
      </c>
    </row>
    <row r="51" customFormat="false" ht="15" hidden="false" customHeight="false" outlineLevel="0" collapsed="false">
      <c r="A51" s="0" t="s">
        <v>145</v>
      </c>
      <c r="B51" s="0" t="s">
        <v>107</v>
      </c>
      <c r="C51" s="0" t="s">
        <v>75</v>
      </c>
      <c r="D51" s="0" t="s">
        <v>58</v>
      </c>
      <c r="E51" s="0" t="str">
        <f aca="false">B51&amp;"|"&amp;C51&amp;"|"&amp;D51</f>
        <v>Mafeteng [#SNU] [#DREAMS] [DiFv5WXIHM5]|35-39|Male</v>
      </c>
      <c r="F51" s="73" t="n">
        <f aca="false">_xlfn.IFNA(INDEX(Cascade!$F:$F,MATCH($E51,Cascade!$E:$E,0)),"")</f>
        <v>6598</v>
      </c>
      <c r="G51" s="73" t="n">
        <f aca="false">_xlfn.IFNA(INDEX(Cascade!$H:$H,MATCH($E51,Cascade!$E:$E,0)),"")</f>
        <v>2020</v>
      </c>
      <c r="H51" s="118" t="n">
        <f aca="false">_xlfn.IFNA(INDEX(Cascade!$J:$J,MATCH($E51,Cascade!$E:$E,0)),"")</f>
        <v>0.3062058</v>
      </c>
      <c r="I51" s="73" t="n">
        <f aca="false">_xlfn.IFNA(INDEX(Cascade!$P:$P,MATCH($E51,Cascade!$E:$E,0)),"")</f>
        <v>1092</v>
      </c>
      <c r="J51" s="118" t="n">
        <f aca="false">_xlfn.IFNA(INDEX(Cascade!$Y:$Y,MATCH($E51,Cascade!$E:$E,0)),"")</f>
        <v>0.540594059405941</v>
      </c>
      <c r="K51" s="75" t="str">
        <f aca="false">_xlfn.IFNA(ROUND(INDEX(Spectrum!$N:$N,MATCH(RIGHT($B51,13)&amp;"|"&amp;$C51&amp;"|"&amp;$D51&amp;"|"&amp;K$14&amp;"|"&amp;"CY2021Q3",Spectrum!$Q:$Q,0)),0),"")</f>
        <v/>
      </c>
      <c r="L51" s="75" t="str">
        <f aca="false">_xlfn.IFNA(ROUND(INDEX(Spectrum!$N:$N,MATCH(RIGHT($B51,13)&amp;"|"&amp;$C51&amp;"|"&amp;$D51&amp;"|"&amp;L$14&amp;"|"&amp;"CY2021Q3",Spectrum!$Q:$Q,0)),0),"")</f>
        <v/>
      </c>
      <c r="M51" s="118" t="n">
        <f aca="false">IF(OR(LEFT($B51,4)="_Mil",SUM($F51)&lt;=0),"",SUM($L51)/$F51)</f>
        <v>0</v>
      </c>
      <c r="N51" s="118" t="n">
        <f aca="false">IF(LEFT($B51,4)="_Mil","",80%)</f>
        <v>0.8</v>
      </c>
      <c r="O51" s="75" t="n">
        <f aca="false">IF(LEFT($B51,4)="_Mil","",IF(SUM($F51)=0,"",ROUND(SUM($F51)*SUM($N51),0)))</f>
        <v>5278</v>
      </c>
      <c r="P51" s="75" t="n">
        <f aca="false">IF(LEFT($B51,4)="_Mil","",IF(SUM($F51)=0,"",ROUND(MAX(SUM($O51)-SUM($L51),0),0)))</f>
        <v>5278</v>
      </c>
      <c r="Q51" s="73" t="n">
        <v>5</v>
      </c>
      <c r="R51" s="73" t="n">
        <v>2</v>
      </c>
      <c r="S51" s="118" t="str">
        <f aca="false">IF(LEFT($B51,4)="_Mil","",IF(SUM($K51)&lt;=0,"",SUM($R51)/$K51))</f>
        <v/>
      </c>
      <c r="T51" s="118" t="str">
        <f aca="false">IF(SUM($S51)&lt;=0,"",$S51)</f>
        <v/>
      </c>
      <c r="U51" s="118" t="str">
        <f aca="false">IF(LEFT($B51,4)="_Mil",0,"")</f>
        <v/>
      </c>
      <c r="V51" s="118" t="n">
        <v>14</v>
      </c>
      <c r="W51" s="118" t="n">
        <f aca="false">IF(SUM($V51)=0,"",$V51)</f>
        <v>14</v>
      </c>
      <c r="X51" s="118"/>
      <c r="Y51" s="118" t="str">
        <f aca="false">IF(SUM($X51)=0,"",$X51)</f>
        <v/>
      </c>
      <c r="Z51" s="118" t="n">
        <f aca="false">_xlfn.IFNA(INDEX(Cascade!$BA:$BA,MATCH($E51,Cascade!$E:$E,0)),"")</f>
        <v>0.95</v>
      </c>
      <c r="AA51" s="73" t="n">
        <f aca="false">IF(LEFT($B51,4)="_Mil",IF(SUM($R51)=0,"",ROUND(SUM($R51)*(1+$U51),0)),IF(SUM($P51)=0,"",ROUND(SUM($T51)*SUM($P51),0)))</f>
        <v>0</v>
      </c>
      <c r="AB51" s="75" t="str">
        <f aca="false">IF(SUM($AA51)&lt;=0,"",ROUND($AA51*$W51,0))</f>
        <v/>
      </c>
      <c r="AC51" s="75" t="str">
        <f aca="false">IF(SUM($AA51)&lt;=0,"",ROUND((SUM($AA51)-SUM($AB51))*SUM($Y51),0))</f>
        <v/>
      </c>
      <c r="AD51" s="75" t="str">
        <f aca="false">IF(SUM($AA51)&lt;=0,"",$AA51-$AB51-$AC51)</f>
        <v/>
      </c>
      <c r="AE51" s="73" t="str">
        <f aca="false">IF(SUM($AC51)&lt;=0,"",ROUND($AC51*$Z51,0))</f>
        <v/>
      </c>
      <c r="AF51" s="73" t="n">
        <f aca="false">_xlfn.IFNA(INDEX(Cascade!$BD:$BD,MATCH($E51,Cascade!$E:$E,0)),"")</f>
        <v>19</v>
      </c>
      <c r="AG51" s="118" t="n">
        <f aca="false">IF(SUM($AF51)&lt;=0,"",SUM($AC51)/$AF51)</f>
        <v>0</v>
      </c>
      <c r="AH51" s="118" t="n">
        <f aca="false">_xlfn.IFNA(INDEX(Cascade!$BL:$BL,MATCH($E51,Cascade!$E:$E,0)),"")</f>
        <v>0.31578947368421</v>
      </c>
      <c r="AI51" s="118" t="n">
        <f aca="false">_xlfn.IFNA(INDEX(Cascade!$BO:$BO,MATCH($E51,Cascade!$E:$E,0)),"")</f>
        <v>-175.263157894737</v>
      </c>
      <c r="AJ51" s="118" t="n">
        <f aca="false">_xlfn.IFNA(INDEX(Cascade!$BR:$BR,MATCH($E51,Cascade!$E:$E,0)),"")</f>
        <v>175.947368421053</v>
      </c>
    </row>
    <row r="52" customFormat="false" ht="15" hidden="false" customHeight="false" outlineLevel="0" collapsed="false">
      <c r="A52" s="0" t="s">
        <v>145</v>
      </c>
      <c r="B52" s="0" t="s">
        <v>107</v>
      </c>
      <c r="C52" s="0" t="s">
        <v>77</v>
      </c>
      <c r="D52" s="0" t="s">
        <v>58</v>
      </c>
      <c r="E52" s="0" t="str">
        <f aca="false">B52&amp;"|"&amp;C52&amp;"|"&amp;D52</f>
        <v>Mafeteng [#SNU] [#DREAMS] [DiFv5WXIHM5]|40-44|Male</v>
      </c>
      <c r="F52" s="73" t="n">
        <f aca="false">_xlfn.IFNA(INDEX(Cascade!$F:$F,MATCH($E52,Cascade!$E:$E,0)),"")</f>
        <v>4399</v>
      </c>
      <c r="G52" s="73" t="n">
        <f aca="false">_xlfn.IFNA(INDEX(Cascade!$H:$H,MATCH($E52,Cascade!$E:$E,0)),"")</f>
        <v>1769</v>
      </c>
      <c r="H52" s="118" t="n">
        <f aca="false">_xlfn.IFNA(INDEX(Cascade!$J:$J,MATCH($E52,Cascade!$E:$E,0)),"")</f>
        <v>0.4022389</v>
      </c>
      <c r="I52" s="73" t="n">
        <f aca="false">_xlfn.IFNA(INDEX(Cascade!$P:$P,MATCH($E52,Cascade!$E:$E,0)),"")</f>
        <v>1170</v>
      </c>
      <c r="J52" s="118" t="n">
        <f aca="false">_xlfn.IFNA(INDEX(Cascade!$Y:$Y,MATCH($E52,Cascade!$E:$E,0)),"")</f>
        <v>0.661390616167326</v>
      </c>
      <c r="K52" s="75" t="str">
        <f aca="false">_xlfn.IFNA(ROUND(INDEX(Spectrum!$N:$N,MATCH(RIGHT($B52,13)&amp;"|"&amp;$C52&amp;"|"&amp;$D52&amp;"|"&amp;K$14&amp;"|"&amp;"CY2021Q3",Spectrum!$Q:$Q,0)),0),"")</f>
        <v/>
      </c>
      <c r="L52" s="75" t="str">
        <f aca="false">_xlfn.IFNA(ROUND(INDEX(Spectrum!$N:$N,MATCH(RIGHT($B52,13)&amp;"|"&amp;$C52&amp;"|"&amp;$D52&amp;"|"&amp;L$14&amp;"|"&amp;"CY2021Q3",Spectrum!$Q:$Q,0)),0),"")</f>
        <v/>
      </c>
      <c r="M52" s="118" t="n">
        <f aca="false">IF(OR(LEFT($B52,4)="_Mil",SUM($F52)&lt;=0),"",SUM($L52)/$F52)</f>
        <v>0</v>
      </c>
      <c r="N52" s="118" t="n">
        <f aca="false">IF(LEFT($B52,4)="_Mil","",80%)</f>
        <v>0.8</v>
      </c>
      <c r="O52" s="75" t="n">
        <f aca="false">IF(LEFT($B52,4)="_Mil","",IF(SUM($F52)=0,"",ROUND(SUM($F52)*SUM($N52),0)))</f>
        <v>3519</v>
      </c>
      <c r="P52" s="75" t="n">
        <f aca="false">IF(LEFT($B52,4)="_Mil","",IF(SUM($F52)=0,"",ROUND(MAX(SUM($O52)-SUM($L52),0),0)))</f>
        <v>3519</v>
      </c>
      <c r="Q52" s="73" t="n">
        <v>28</v>
      </c>
      <c r="R52" s="73" t="n">
        <v>17</v>
      </c>
      <c r="S52" s="118" t="str">
        <f aca="false">IF(LEFT($B52,4)="_Mil","",IF(SUM($K52)&lt;=0,"",SUM($R52)/$K52))</f>
        <v/>
      </c>
      <c r="T52" s="118" t="str">
        <f aca="false">IF(SUM($S52)&lt;=0,"",$S52)</f>
        <v/>
      </c>
      <c r="U52" s="118" t="str">
        <f aca="false">IF(LEFT($B52,4)="_Mil",0,"")</f>
        <v/>
      </c>
      <c r="V52" s="118" t="n">
        <v>22</v>
      </c>
      <c r="W52" s="118" t="n">
        <f aca="false">IF(SUM($V52)=0,"",$V52)</f>
        <v>22</v>
      </c>
      <c r="X52" s="118"/>
      <c r="Y52" s="118" t="str">
        <f aca="false">IF(SUM($X52)=0,"",$X52)</f>
        <v/>
      </c>
      <c r="Z52" s="118" t="n">
        <f aca="false">_xlfn.IFNA(INDEX(Cascade!$BA:$BA,MATCH($E52,Cascade!$E:$E,0)),"")</f>
        <v>0.95</v>
      </c>
      <c r="AA52" s="73" t="n">
        <f aca="false">IF(LEFT($B52,4)="_Mil",IF(SUM($R52)=0,"",ROUND(SUM($R52)*(1+$U52),0)),IF(SUM($P52)=0,"",ROUND(SUM($T52)*SUM($P52),0)))</f>
        <v>0</v>
      </c>
      <c r="AB52" s="75" t="str">
        <f aca="false">IF(SUM($AA52)&lt;=0,"",ROUND($AA52*$W52,0))</f>
        <v/>
      </c>
      <c r="AC52" s="75" t="str">
        <f aca="false">IF(SUM($AA52)&lt;=0,"",ROUND((SUM($AA52)-SUM($AB52))*SUM($Y52),0))</f>
        <v/>
      </c>
      <c r="AD52" s="75" t="str">
        <f aca="false">IF(SUM($AA52)&lt;=0,"",$AA52-$AB52-$AC52)</f>
        <v/>
      </c>
      <c r="AE52" s="73" t="str">
        <f aca="false">IF(SUM($AC52)&lt;=0,"",ROUND($AC52*$Z52,0))</f>
        <v/>
      </c>
      <c r="AF52" s="73" t="n">
        <f aca="false">_xlfn.IFNA(INDEX(Cascade!$BD:$BD,MATCH($E52,Cascade!$E:$E,0)),"")</f>
        <v>14</v>
      </c>
      <c r="AG52" s="118" t="n">
        <f aca="false">IF(SUM($AF52)&lt;=0,"",SUM($AC52)/$AF52)</f>
        <v>0</v>
      </c>
      <c r="AH52" s="118" t="n">
        <f aca="false">_xlfn.IFNA(INDEX(Cascade!$BL:$BL,MATCH($E52,Cascade!$E:$E,0)),"")</f>
        <v>0.285714285714286</v>
      </c>
      <c r="AI52" s="118" t="n">
        <f aca="false">_xlfn.IFNA(INDEX(Cascade!$BO:$BO,MATCH($E52,Cascade!$E:$E,0)),"")</f>
        <v>-2324.14285714286</v>
      </c>
      <c r="AJ52" s="118" t="n">
        <f aca="false">_xlfn.IFNA(INDEX(Cascade!$BR:$BR,MATCH($E52,Cascade!$E:$E,0)),"")</f>
        <v>2324.85714285714</v>
      </c>
    </row>
    <row r="53" customFormat="false" ht="15" hidden="false" customHeight="false" outlineLevel="0" collapsed="false">
      <c r="A53" s="0" t="s">
        <v>145</v>
      </c>
      <c r="B53" s="0" t="s">
        <v>107</v>
      </c>
      <c r="C53" s="0" t="s">
        <v>80</v>
      </c>
      <c r="D53" s="0" t="s">
        <v>58</v>
      </c>
      <c r="E53" s="0" t="str">
        <f aca="false">B53&amp;"|"&amp;C53&amp;"|"&amp;D53</f>
        <v>Mafeteng [#SNU] [#DREAMS] [DiFv5WXIHM5]|45-49|Male</v>
      </c>
      <c r="F53" s="73" t="n">
        <f aca="false">_xlfn.IFNA(INDEX(Cascade!$F:$F,MATCH($E53,Cascade!$E:$E,0)),"")</f>
        <v>2994</v>
      </c>
      <c r="G53" s="73" t="n">
        <f aca="false">_xlfn.IFNA(INDEX(Cascade!$H:$H,MATCH($E53,Cascade!$E:$E,0)),"")</f>
        <v>1448</v>
      </c>
      <c r="H53" s="118" t="n">
        <f aca="false">_xlfn.IFNA(INDEX(Cascade!$J:$J,MATCH($E53,Cascade!$E:$E,0)),"")</f>
        <v>0.4834961</v>
      </c>
      <c r="I53" s="73" t="n">
        <f aca="false">_xlfn.IFNA(INDEX(Cascade!$P:$P,MATCH($E53,Cascade!$E:$E,0)),"")</f>
        <v>994</v>
      </c>
      <c r="J53" s="118" t="n">
        <f aca="false">_xlfn.IFNA(INDEX(Cascade!$Y:$Y,MATCH($E53,Cascade!$E:$E,0)),"")</f>
        <v>0.68646408839779</v>
      </c>
      <c r="K53" s="75" t="str">
        <f aca="false">_xlfn.IFNA(ROUND(INDEX(Spectrum!$N:$N,MATCH(RIGHT($B53,13)&amp;"|"&amp;$C53&amp;"|"&amp;$D53&amp;"|"&amp;K$14&amp;"|"&amp;"CY2021Q3",Spectrum!$Q:$Q,0)),0),"")</f>
        <v/>
      </c>
      <c r="L53" s="75" t="str">
        <f aca="false">_xlfn.IFNA(ROUND(INDEX(Spectrum!$N:$N,MATCH(RIGHT($B53,13)&amp;"|"&amp;$C53&amp;"|"&amp;$D53&amp;"|"&amp;L$14&amp;"|"&amp;"CY2021Q3",Spectrum!$Q:$Q,0)),0),"")</f>
        <v/>
      </c>
      <c r="M53" s="118" t="n">
        <f aca="false">IF(OR(LEFT($B53,4)="_Mil",SUM($F53)&lt;=0),"",SUM($L53)/$F53)</f>
        <v>0</v>
      </c>
      <c r="N53" s="118" t="n">
        <f aca="false">IF(LEFT($B53,4)="_Mil","",80%)</f>
        <v>0.8</v>
      </c>
      <c r="O53" s="75" t="n">
        <f aca="false">IF(LEFT($B53,4)="_Mil","",IF(SUM($F53)=0,"",ROUND(SUM($F53)*SUM($N53),0)))</f>
        <v>2395</v>
      </c>
      <c r="P53" s="75" t="n">
        <f aca="false">IF(LEFT($B53,4)="_Mil","",IF(SUM($F53)=0,"",ROUND(MAX(SUM($O53)-SUM($L53),0),0)))</f>
        <v>2395</v>
      </c>
      <c r="Q53" s="73" t="n">
        <v>45</v>
      </c>
      <c r="R53" s="73" t="n">
        <v>0</v>
      </c>
      <c r="S53" s="118" t="str">
        <f aca="false">IF(LEFT($B53,4)="_Mil","",IF(SUM($K53)&lt;=0,"",SUM($R53)/$K53))</f>
        <v/>
      </c>
      <c r="T53" s="118" t="str">
        <f aca="false">IF(SUM($S53)&lt;=0,"",$S53)</f>
        <v/>
      </c>
      <c r="U53" s="118" t="str">
        <f aca="false">IF(LEFT($B53,4)="_Mil",0,"")</f>
        <v/>
      </c>
      <c r="V53" s="118" t="n">
        <v>19</v>
      </c>
      <c r="W53" s="118" t="n">
        <f aca="false">IF(SUM($V53)=0,"",$V53)</f>
        <v>19</v>
      </c>
      <c r="X53" s="118"/>
      <c r="Y53" s="118" t="str">
        <f aca="false">IF(SUM($X53)=0,"",$X53)</f>
        <v/>
      </c>
      <c r="Z53" s="118" t="n">
        <f aca="false">_xlfn.IFNA(INDEX(Cascade!$BA:$BA,MATCH($E53,Cascade!$E:$E,0)),"")</f>
        <v>0.95</v>
      </c>
      <c r="AA53" s="73" t="n">
        <f aca="false">IF(LEFT($B53,4)="_Mil",IF(SUM($R53)=0,"",ROUND(SUM($R53)*(1+$U53),0)),IF(SUM($P53)=0,"",ROUND(SUM($T53)*SUM($P53),0)))</f>
        <v>0</v>
      </c>
      <c r="AB53" s="75" t="str">
        <f aca="false">IF(SUM($AA53)&lt;=0,"",ROUND($AA53*$W53,0))</f>
        <v/>
      </c>
      <c r="AC53" s="75" t="str">
        <f aca="false">IF(SUM($AA53)&lt;=0,"",ROUND((SUM($AA53)-SUM($AB53))*SUM($Y53),0))</f>
        <v/>
      </c>
      <c r="AD53" s="75" t="str">
        <f aca="false">IF(SUM($AA53)&lt;=0,"",$AA53-$AB53-$AC53)</f>
        <v/>
      </c>
      <c r="AE53" s="73" t="str">
        <f aca="false">IF(SUM($AC53)&lt;=0,"",ROUND($AC53*$Z53,0))</f>
        <v/>
      </c>
      <c r="AF53" s="73" t="n">
        <f aca="false">_xlfn.IFNA(INDEX(Cascade!$BD:$BD,MATCH($E53,Cascade!$E:$E,0)),"")</f>
        <v>2</v>
      </c>
      <c r="AG53" s="118" t="n">
        <f aca="false">IF(SUM($AF53)&lt;=0,"",SUM($AC53)/$AF53)</f>
        <v>0</v>
      </c>
      <c r="AH53" s="118" t="n">
        <f aca="false">_xlfn.IFNA(INDEX(Cascade!$BL:$BL,MATCH($E53,Cascade!$E:$E,0)),"")</f>
        <v>0.5</v>
      </c>
      <c r="AI53" s="118" t="n">
        <f aca="false">_xlfn.IFNA(INDEX(Cascade!$BO:$BO,MATCH($E53,Cascade!$E:$E,0)),"")</f>
        <v>-1827</v>
      </c>
      <c r="AJ53" s="118" t="n">
        <f aca="false">_xlfn.IFNA(INDEX(Cascade!$BR:$BR,MATCH($E53,Cascade!$E:$E,0)),"")</f>
        <v>1827.5</v>
      </c>
    </row>
    <row r="54" customFormat="false" ht="15" hidden="false" customHeight="false" outlineLevel="0" collapsed="false">
      <c r="A54" s="0" t="s">
        <v>145</v>
      </c>
      <c r="B54" s="0" t="s">
        <v>107</v>
      </c>
      <c r="C54" s="0" t="s">
        <v>86</v>
      </c>
      <c r="D54" s="0" t="s">
        <v>58</v>
      </c>
      <c r="E54" s="0" t="str">
        <f aca="false">B54&amp;"|"&amp;C54&amp;"|"&amp;D54</f>
        <v>Mafeteng [#SNU] [#DREAMS] [DiFv5WXIHM5]|50+|Male</v>
      </c>
      <c r="F54" s="73" t="n">
        <f aca="false">_xlfn.IFNA(INDEX(Cascade!$F:$F,MATCH($E54,Cascade!$E:$E,0)),"")</f>
        <v>12751</v>
      </c>
      <c r="G54" s="73" t="n">
        <f aca="false">_xlfn.IFNA(INDEX(Cascade!$H:$H,MATCH($E54,Cascade!$E:$E,0)),"")</f>
        <v>3803</v>
      </c>
      <c r="H54" s="118" t="n">
        <f aca="false">_xlfn.IFNA(INDEX(Cascade!$J:$J,MATCH($E54,Cascade!$E:$E,0)),"")</f>
        <v>0.29826</v>
      </c>
      <c r="I54" s="73" t="n">
        <f aca="false">_xlfn.IFNA(INDEX(Cascade!$P:$P,MATCH($E54,Cascade!$E:$E,0)),"")</f>
        <v>2520</v>
      </c>
      <c r="J54" s="118" t="n">
        <f aca="false">_xlfn.IFNA(INDEX(Cascade!$Y:$Y,MATCH($E54,Cascade!$E:$E,0)),"")</f>
        <v>0.662634762029976</v>
      </c>
      <c r="K54" s="75" t="str">
        <f aca="false">_xlfn.IFNA(ROUND(INDEX(Spectrum!$N:$N,MATCH(RIGHT($B54,13)&amp;"|"&amp;$C54&amp;"|"&amp;$D54&amp;"|"&amp;K$14&amp;"|"&amp;"CY2021Q3",Spectrum!$Q:$Q,0)),0),"")</f>
        <v/>
      </c>
      <c r="L54" s="75" t="str">
        <f aca="false">_xlfn.IFNA(ROUND(INDEX(Spectrum!$N:$N,MATCH(RIGHT($B54,13)&amp;"|"&amp;$C54&amp;"|"&amp;$D54&amp;"|"&amp;L$14&amp;"|"&amp;"CY2021Q3",Spectrum!$Q:$Q,0)),0),"")</f>
        <v/>
      </c>
      <c r="M54" s="118" t="n">
        <f aca="false">IF(OR(LEFT($B54,4)="_Mil",SUM($F54)&lt;=0),"",SUM($L54)/$F54)</f>
        <v>0</v>
      </c>
      <c r="N54" s="118" t="n">
        <f aca="false">IF(LEFT($B54,4)="_Mil","",80%)</f>
        <v>0.8</v>
      </c>
      <c r="O54" s="75" t="n">
        <f aca="false">IF(LEFT($B54,4)="_Mil","",IF(SUM($F54)=0,"",ROUND(SUM($F54)*SUM($N54),0)))</f>
        <v>10201</v>
      </c>
      <c r="P54" s="75" t="n">
        <f aca="false">IF(LEFT($B54,4)="_Mil","",IF(SUM($F54)=0,"",ROUND(MAX(SUM($O54)-SUM($L54),0),0)))</f>
        <v>10201</v>
      </c>
      <c r="Q54" s="73" t="n">
        <v>50</v>
      </c>
      <c r="R54" s="73" t="n">
        <v>22</v>
      </c>
      <c r="S54" s="118" t="str">
        <f aca="false">IF(LEFT($B54,4)="_Mil","",IF(SUM($K54)&lt;=0,"",SUM($R54)/$K54))</f>
        <v/>
      </c>
      <c r="T54" s="118" t="str">
        <f aca="false">IF(SUM($S54)&lt;=0,"",$S54)</f>
        <v/>
      </c>
      <c r="U54" s="118" t="str">
        <f aca="false">IF(LEFT($B54,4)="_Mil",0,"")</f>
        <v/>
      </c>
      <c r="V54" s="118" t="n">
        <v>35</v>
      </c>
      <c r="W54" s="118" t="n">
        <f aca="false">IF(SUM($V54)=0,"",$V54)</f>
        <v>35</v>
      </c>
      <c r="X54" s="118"/>
      <c r="Y54" s="118" t="str">
        <f aca="false">IF(SUM($X54)=0,"",$X54)</f>
        <v/>
      </c>
      <c r="Z54" s="118" t="n">
        <f aca="false">_xlfn.IFNA(INDEX(Cascade!$BA:$BA,MATCH($E54,Cascade!$E:$E,0)),"")</f>
        <v>0.95</v>
      </c>
      <c r="AA54" s="73" t="n">
        <f aca="false">IF(LEFT($B54,4)="_Mil",IF(SUM($R54)=0,"",ROUND(SUM($R54)*(1+$U54),0)),IF(SUM($P54)=0,"",ROUND(SUM($T54)*SUM($P54),0)))</f>
        <v>0</v>
      </c>
      <c r="AB54" s="75" t="str">
        <f aca="false">IF(SUM($AA54)&lt;=0,"",ROUND($AA54*$W54,0))</f>
        <v/>
      </c>
      <c r="AC54" s="75" t="str">
        <f aca="false">IF(SUM($AA54)&lt;=0,"",ROUND((SUM($AA54)-SUM($AB54))*SUM($Y54),0))</f>
        <v/>
      </c>
      <c r="AD54" s="75" t="str">
        <f aca="false">IF(SUM($AA54)&lt;=0,"",$AA54-$AB54-$AC54)</f>
        <v/>
      </c>
      <c r="AE54" s="73" t="str">
        <f aca="false">IF(SUM($AC54)&lt;=0,"",ROUND($AC54*$Z54,0))</f>
        <v/>
      </c>
      <c r="AF54" s="73" t="n">
        <f aca="false">_xlfn.IFNA(INDEX(Cascade!$BD:$BD,MATCH($E54,Cascade!$E:$E,0)),"")</f>
        <v>4</v>
      </c>
      <c r="AG54" s="118" t="n">
        <f aca="false">IF(SUM($AF54)&lt;=0,"",SUM($AC54)/$AF54)</f>
        <v>0</v>
      </c>
      <c r="AH54" s="118" t="n">
        <f aca="false">_xlfn.IFNA(INDEX(Cascade!$BL:$BL,MATCH($E54,Cascade!$E:$E,0)),"")</f>
        <v>0.25</v>
      </c>
      <c r="AI54" s="118" t="n">
        <f aca="false">_xlfn.IFNA(INDEX(Cascade!$BO:$BO,MATCH($E54,Cascade!$E:$E,0)),"")</f>
        <v>-652.5</v>
      </c>
      <c r="AJ54" s="118" t="n">
        <f aca="false">_xlfn.IFNA(INDEX(Cascade!$BR:$BR,MATCH($E54,Cascade!$E:$E,0)),"")</f>
        <v>653.25</v>
      </c>
    </row>
    <row r="55" customFormat="false" ht="15" hidden="false" customHeight="false" outlineLevel="0" collapsed="false">
      <c r="A55" s="0" t="s">
        <v>146</v>
      </c>
      <c r="B55" s="0" t="s">
        <v>45</v>
      </c>
      <c r="C55" s="0" t="s">
        <v>63</v>
      </c>
      <c r="D55" s="0" t="s">
        <v>58</v>
      </c>
      <c r="E55" s="0" t="str">
        <f aca="false">B55&amp;"|"&amp;C55&amp;"|"&amp;D55</f>
        <v>Maseru [#SNU] [#DREAMS] [tKOXiaNhAyJ]|15-19|Male</v>
      </c>
      <c r="F55" s="73" t="n">
        <f aca="false">_xlfn.IFNA(INDEX(Cascade!$F:$F,MATCH($E55,Cascade!$E:$E,0)),"")</f>
        <v>24822</v>
      </c>
      <c r="G55" s="73" t="n">
        <f aca="false">_xlfn.IFNA(INDEX(Cascade!$H:$H,MATCH($E55,Cascade!$E:$E,0)),"")</f>
        <v>717</v>
      </c>
      <c r="H55" s="118" t="n">
        <f aca="false">_xlfn.IFNA(INDEX(Cascade!$J:$J,MATCH($E55,Cascade!$E:$E,0)),"")</f>
        <v>0.0288686</v>
      </c>
      <c r="I55" s="73" t="n">
        <f aca="false">_xlfn.IFNA(INDEX(Cascade!$P:$P,MATCH($E55,Cascade!$E:$E,0)),"")</f>
        <v>594</v>
      </c>
      <c r="J55" s="118" t="n">
        <f aca="false">_xlfn.IFNA(INDEX(Cascade!$Y:$Y,MATCH($E55,Cascade!$E:$E,0)),"")</f>
        <v>0.828451882845188</v>
      </c>
      <c r="K55" s="75" t="str">
        <f aca="false">_xlfn.IFNA(ROUND(INDEX(Spectrum!$N:$N,MATCH(RIGHT($B55,13)&amp;"|"&amp;$C55&amp;"|"&amp;$D55&amp;"|"&amp;K$14&amp;"|"&amp;"CY2021Q3",Spectrum!$Q:$Q,0)),0),"")</f>
        <v/>
      </c>
      <c r="L55" s="75" t="str">
        <f aca="false">_xlfn.IFNA(ROUND(INDEX(Spectrum!$N:$N,MATCH(RIGHT($B55,13)&amp;"|"&amp;$C55&amp;"|"&amp;$D55&amp;"|"&amp;L$14&amp;"|"&amp;"CY2021Q3",Spectrum!$Q:$Q,0)),0),"")</f>
        <v/>
      </c>
      <c r="M55" s="118" t="n">
        <f aca="false">IF(OR(LEFT($B55,4)="_Mil",SUM($F55)&lt;=0),"",SUM($L55)/$F55)</f>
        <v>0</v>
      </c>
      <c r="N55" s="118" t="n">
        <f aca="false">IF(LEFT($B55,4)="_Mil","",80%)</f>
        <v>0.8</v>
      </c>
      <c r="O55" s="75" t="n">
        <f aca="false">IF(LEFT($B55,4)="_Mil","",IF(SUM($F55)=0,"",ROUND(SUM($F55)*SUM($N55),0)))</f>
        <v>19858</v>
      </c>
      <c r="P55" s="75" t="n">
        <f aca="false">IF(LEFT($B55,4)="_Mil","",IF(SUM($F55)=0,"",ROUND(MAX(SUM($O55)-SUM($L55),0),0)))</f>
        <v>19858</v>
      </c>
      <c r="Q55" s="73" t="n">
        <v>42</v>
      </c>
      <c r="R55" s="73" t="n">
        <v>50</v>
      </c>
      <c r="S55" s="118" t="str">
        <f aca="false">IF(LEFT($B55,4)="_Mil","",IF(SUM($K55)&lt;=0,"",SUM($R55)/$K55))</f>
        <v/>
      </c>
      <c r="T55" s="118" t="str">
        <f aca="false">IF(SUM($S55)&lt;=0,"",$S55)</f>
        <v/>
      </c>
      <c r="U55" s="118" t="str">
        <f aca="false">IF(LEFT($B55,4)="_Mil",0,"")</f>
        <v/>
      </c>
      <c r="V55" s="118" t="n">
        <v>25</v>
      </c>
      <c r="W55" s="118" t="n">
        <f aca="false">IF(SUM($V55)=0,"",$V55)</f>
        <v>25</v>
      </c>
      <c r="X55" s="118"/>
      <c r="Y55" s="118" t="str">
        <f aca="false">IF(SUM($X55)=0,"",$X55)</f>
        <v/>
      </c>
      <c r="Z55" s="118" t="n">
        <f aca="false">_xlfn.IFNA(INDEX(Cascade!$BA:$BA,MATCH($E55,Cascade!$E:$E,0)),"")</f>
        <v>0.95</v>
      </c>
      <c r="AA55" s="73" t="n">
        <f aca="false">IF(LEFT($B55,4)="_Mil",IF(SUM($R55)=0,"",ROUND(SUM($R55)*(1+$U55),0)),IF(SUM($P55)=0,"",ROUND(SUM($T55)*SUM($P55),0)))</f>
        <v>0</v>
      </c>
      <c r="AB55" s="75" t="str">
        <f aca="false">IF(SUM($AA55)&lt;=0,"",ROUND($AA55*$W55,0))</f>
        <v/>
      </c>
      <c r="AC55" s="75" t="str">
        <f aca="false">IF(SUM($AA55)&lt;=0,"",ROUND((SUM($AA55)-SUM($AB55))*SUM($Y55),0))</f>
        <v/>
      </c>
      <c r="AD55" s="75" t="str">
        <f aca="false">IF(SUM($AA55)&lt;=0,"",$AA55-$AB55-$AC55)</f>
        <v/>
      </c>
      <c r="AE55" s="73" t="str">
        <f aca="false">IF(SUM($AC55)&lt;=0,"",ROUND($AC55*$Z55,0))</f>
        <v/>
      </c>
      <c r="AF55" s="73" t="n">
        <f aca="false">_xlfn.IFNA(INDEX(Cascade!$BD:$BD,MATCH($E55,Cascade!$E:$E,0)),"")</f>
        <v>1</v>
      </c>
      <c r="AG55" s="118" t="n">
        <f aca="false">IF(SUM($AF55)&lt;=0,"",SUM($AC55)/$AF55)</f>
        <v>0</v>
      </c>
      <c r="AH55" s="118" t="n">
        <f aca="false">_xlfn.IFNA(INDEX(Cascade!$BL:$BL,MATCH($E55,Cascade!$E:$E,0)),"")</f>
        <v>1</v>
      </c>
      <c r="AI55" s="118" t="str">
        <f aca="false">_xlfn.IFNA(INDEX(Cascade!$BO:$BO,MATCH($E55,Cascade!$E:$E,0)),"")</f>
        <v/>
      </c>
      <c r="AJ55" s="118" t="str">
        <f aca="false">_xlfn.IFNA(INDEX(Cascade!$BR:$BR,MATCH($E55,Cascade!$E:$E,0)),"")</f>
        <v/>
      </c>
    </row>
    <row r="56" customFormat="false" ht="15" hidden="false" customHeight="false" outlineLevel="0" collapsed="false">
      <c r="A56" s="0" t="s">
        <v>146</v>
      </c>
      <c r="B56" s="0" t="s">
        <v>45</v>
      </c>
      <c r="C56" s="0" t="s">
        <v>66</v>
      </c>
      <c r="D56" s="0" t="s">
        <v>58</v>
      </c>
      <c r="E56" s="0" t="str">
        <f aca="false">B56&amp;"|"&amp;C56&amp;"|"&amp;D56</f>
        <v>Maseru [#SNU] [#DREAMS] [tKOXiaNhAyJ]|20-24|Male</v>
      </c>
      <c r="F56" s="73" t="n">
        <f aca="false">_xlfn.IFNA(INDEX(Cascade!$F:$F,MATCH($E56,Cascade!$E:$E,0)),"")</f>
        <v>27285</v>
      </c>
      <c r="G56" s="73" t="n">
        <f aca="false">_xlfn.IFNA(INDEX(Cascade!$H:$H,MATCH($E56,Cascade!$E:$E,0)),"")</f>
        <v>1301</v>
      </c>
      <c r="H56" s="118" t="n">
        <f aca="false">_xlfn.IFNA(INDEX(Cascade!$J:$J,MATCH($E56,Cascade!$E:$E,0)),"")</f>
        <v>0.0476836</v>
      </c>
      <c r="I56" s="73" t="n">
        <f aca="false">_xlfn.IFNA(INDEX(Cascade!$P:$P,MATCH($E56,Cascade!$E:$E,0)),"")</f>
        <v>765</v>
      </c>
      <c r="J56" s="118" t="n">
        <f aca="false">_xlfn.IFNA(INDEX(Cascade!$Y:$Y,MATCH($E56,Cascade!$E:$E,0)),"")</f>
        <v>0.588009223674097</v>
      </c>
      <c r="K56" s="75" t="str">
        <f aca="false">_xlfn.IFNA(ROUND(INDEX(Spectrum!$N:$N,MATCH(RIGHT($B56,13)&amp;"|"&amp;$C56&amp;"|"&amp;$D56&amp;"|"&amp;K$14&amp;"|"&amp;"CY2021Q3",Spectrum!$Q:$Q,0)),0),"")</f>
        <v/>
      </c>
      <c r="L56" s="75" t="str">
        <f aca="false">_xlfn.IFNA(ROUND(INDEX(Spectrum!$N:$N,MATCH(RIGHT($B56,13)&amp;"|"&amp;$C56&amp;"|"&amp;$D56&amp;"|"&amp;L$14&amp;"|"&amp;"CY2021Q3",Spectrum!$Q:$Q,0)),0),"")</f>
        <v/>
      </c>
      <c r="M56" s="118" t="n">
        <f aca="false">IF(OR(LEFT($B56,4)="_Mil",SUM($F56)&lt;=0),"",SUM($L56)/$F56)</f>
        <v>0</v>
      </c>
      <c r="N56" s="118" t="n">
        <f aca="false">IF(LEFT($B56,4)="_Mil","",80%)</f>
        <v>0.8</v>
      </c>
      <c r="O56" s="75" t="n">
        <f aca="false">IF(LEFT($B56,4)="_Mil","",IF(SUM($F56)=0,"",ROUND(SUM($F56)*SUM($N56),0)))</f>
        <v>21828</v>
      </c>
      <c r="P56" s="75" t="n">
        <f aca="false">IF(LEFT($B56,4)="_Mil","",IF(SUM($F56)=0,"",ROUND(MAX(SUM($O56)-SUM($L56),0),0)))</f>
        <v>21828</v>
      </c>
      <c r="Q56" s="73" t="n">
        <v>33</v>
      </c>
      <c r="R56" s="73" t="n">
        <v>29</v>
      </c>
      <c r="S56" s="118" t="str">
        <f aca="false">IF(LEFT($B56,4)="_Mil","",IF(SUM($K56)&lt;=0,"",SUM($R56)/$K56))</f>
        <v/>
      </c>
      <c r="T56" s="118" t="str">
        <f aca="false">IF(SUM($S56)&lt;=0,"",$S56)</f>
        <v/>
      </c>
      <c r="U56" s="118" t="str">
        <f aca="false">IF(LEFT($B56,4)="_Mil",0,"")</f>
        <v/>
      </c>
      <c r="V56" s="118" t="n">
        <v>16</v>
      </c>
      <c r="W56" s="118" t="n">
        <f aca="false">IF(SUM($V56)=0,"",$V56)</f>
        <v>16</v>
      </c>
      <c r="X56" s="118" t="n">
        <v>42</v>
      </c>
      <c r="Y56" s="118" t="n">
        <f aca="false">IF(SUM($X56)=0,"",$X56)</f>
        <v>42</v>
      </c>
      <c r="Z56" s="118" t="n">
        <f aca="false">_xlfn.IFNA(INDEX(Cascade!$BA:$BA,MATCH($E56,Cascade!$E:$E,0)),"")</f>
        <v>0.95</v>
      </c>
      <c r="AA56" s="73" t="n">
        <f aca="false">IF(LEFT($B56,4)="_Mil",IF(SUM($R56)=0,"",ROUND(SUM($R56)*(1+$U56),0)),IF(SUM($P56)=0,"",ROUND(SUM($T56)*SUM($P56),0)))</f>
        <v>0</v>
      </c>
      <c r="AB56" s="75" t="str">
        <f aca="false">IF(SUM($AA56)&lt;=0,"",ROUND($AA56*$W56,0))</f>
        <v/>
      </c>
      <c r="AC56" s="75" t="str">
        <f aca="false">IF(SUM($AA56)&lt;=0,"",ROUND((SUM($AA56)-SUM($AB56))*SUM($Y56),0))</f>
        <v/>
      </c>
      <c r="AD56" s="75" t="str">
        <f aca="false">IF(SUM($AA56)&lt;=0,"",$AA56-$AB56-$AC56)</f>
        <v/>
      </c>
      <c r="AE56" s="73" t="str">
        <f aca="false">IF(SUM($AC56)&lt;=0,"",ROUND($AC56*$Z56,0))</f>
        <v/>
      </c>
      <c r="AF56" s="73" t="n">
        <f aca="false">_xlfn.IFNA(INDEX(Cascade!$BD:$BD,MATCH($E56,Cascade!$E:$E,0)),"")</f>
        <v>9</v>
      </c>
      <c r="AG56" s="118" t="n">
        <f aca="false">IF(SUM($AF56)&lt;=0,"",SUM($AC56)/$AF56)</f>
        <v>0</v>
      </c>
      <c r="AH56" s="118" t="n">
        <f aca="false">_xlfn.IFNA(INDEX(Cascade!$BL:$BL,MATCH($E56,Cascade!$E:$E,0)),"")</f>
        <v>0.333333333333333</v>
      </c>
      <c r="AI56" s="118" t="n">
        <f aca="false">_xlfn.IFNA(INDEX(Cascade!$BO:$BO,MATCH($E56,Cascade!$E:$E,0)),"")</f>
        <v>-7015.55555555556</v>
      </c>
      <c r="AJ56" s="118" t="n">
        <f aca="false">_xlfn.IFNA(INDEX(Cascade!$BR:$BR,MATCH($E56,Cascade!$E:$E,0)),"")</f>
        <v>7016.22222222222</v>
      </c>
    </row>
    <row r="57" customFormat="false" ht="15" hidden="false" customHeight="false" outlineLevel="0" collapsed="false">
      <c r="A57" s="0" t="s">
        <v>146</v>
      </c>
      <c r="B57" s="0" t="s">
        <v>45</v>
      </c>
      <c r="C57" s="0" t="s">
        <v>69</v>
      </c>
      <c r="D57" s="0" t="s">
        <v>58</v>
      </c>
      <c r="E57" s="0" t="str">
        <f aca="false">B57&amp;"|"&amp;C57&amp;"|"&amp;D57</f>
        <v>Maseru [#SNU] [#DREAMS] [tKOXiaNhAyJ]|25-29|Male</v>
      </c>
      <c r="F57" s="73" t="n">
        <f aca="false">_xlfn.IFNA(INDEX(Cascade!$F:$F,MATCH($E57,Cascade!$E:$E,0)),"")</f>
        <v>28346</v>
      </c>
      <c r="G57" s="73" t="n">
        <f aca="false">_xlfn.IFNA(INDEX(Cascade!$H:$H,MATCH($E57,Cascade!$E:$E,0)),"")</f>
        <v>3081</v>
      </c>
      <c r="H57" s="118" t="n">
        <f aca="false">_xlfn.IFNA(INDEX(Cascade!$J:$J,MATCH($E57,Cascade!$E:$E,0)),"")</f>
        <v>0.10868</v>
      </c>
      <c r="I57" s="73" t="n">
        <f aca="false">_xlfn.IFNA(INDEX(Cascade!$P:$P,MATCH($E57,Cascade!$E:$E,0)),"")</f>
        <v>1690</v>
      </c>
      <c r="J57" s="118" t="n">
        <f aca="false">_xlfn.IFNA(INDEX(Cascade!$Y:$Y,MATCH($E57,Cascade!$E:$E,0)),"")</f>
        <v>0.548523206751055</v>
      </c>
      <c r="K57" s="75" t="str">
        <f aca="false">_xlfn.IFNA(ROUND(INDEX(Spectrum!$N:$N,MATCH(RIGHT($B57,13)&amp;"|"&amp;$C57&amp;"|"&amp;$D57&amp;"|"&amp;K$14&amp;"|"&amp;"CY2021Q3",Spectrum!$Q:$Q,0)),0),"")</f>
        <v/>
      </c>
      <c r="L57" s="75" t="str">
        <f aca="false">_xlfn.IFNA(ROUND(INDEX(Spectrum!$N:$N,MATCH(RIGHT($B57,13)&amp;"|"&amp;$C57&amp;"|"&amp;$D57&amp;"|"&amp;L$14&amp;"|"&amp;"CY2021Q3",Spectrum!$Q:$Q,0)),0),"")</f>
        <v/>
      </c>
      <c r="M57" s="118" t="n">
        <f aca="false">IF(OR(LEFT($B57,4)="_Mil",SUM($F57)&lt;=0),"",SUM($L57)/$F57)</f>
        <v>0</v>
      </c>
      <c r="N57" s="118" t="n">
        <f aca="false">IF(LEFT($B57,4)="_Mil","",80%)</f>
        <v>0.8</v>
      </c>
      <c r="O57" s="75" t="n">
        <f aca="false">IF(LEFT($B57,4)="_Mil","",IF(SUM($F57)=0,"",ROUND(SUM($F57)*SUM($N57),0)))</f>
        <v>22677</v>
      </c>
      <c r="P57" s="75" t="n">
        <f aca="false">IF(LEFT($B57,4)="_Mil","",IF(SUM($F57)=0,"",ROUND(MAX(SUM($O57)-SUM($L57),0),0)))</f>
        <v>22677</v>
      </c>
      <c r="Q57" s="73" t="n">
        <v>34</v>
      </c>
      <c r="R57" s="73" t="n">
        <v>37</v>
      </c>
      <c r="S57" s="118" t="str">
        <f aca="false">IF(LEFT($B57,4)="_Mil","",IF(SUM($K57)&lt;=0,"",SUM($R57)/$K57))</f>
        <v/>
      </c>
      <c r="T57" s="118" t="str">
        <f aca="false">IF(SUM($S57)&lt;=0,"",$S57)</f>
        <v/>
      </c>
      <c r="U57" s="118" t="str">
        <f aca="false">IF(LEFT($B57,4)="_Mil",0,"")</f>
        <v/>
      </c>
      <c r="V57" s="118" t="n">
        <v>3</v>
      </c>
      <c r="W57" s="118" t="n">
        <f aca="false">IF(SUM($V57)=0,"",$V57)</f>
        <v>3</v>
      </c>
      <c r="X57" s="118" t="n">
        <v>12</v>
      </c>
      <c r="Y57" s="118" t="n">
        <f aca="false">IF(SUM($X57)=0,"",$X57)</f>
        <v>12</v>
      </c>
      <c r="Z57" s="118" t="n">
        <f aca="false">_xlfn.IFNA(INDEX(Cascade!$BA:$BA,MATCH($E57,Cascade!$E:$E,0)),"")</f>
        <v>0.95</v>
      </c>
      <c r="AA57" s="73" t="n">
        <f aca="false">IF(LEFT($B57,4)="_Mil",IF(SUM($R57)=0,"",ROUND(SUM($R57)*(1+$U57),0)),IF(SUM($P57)=0,"",ROUND(SUM($T57)*SUM($P57),0)))</f>
        <v>0</v>
      </c>
      <c r="AB57" s="75" t="str">
        <f aca="false">IF(SUM($AA57)&lt;=0,"",ROUND($AA57*$W57,0))</f>
        <v/>
      </c>
      <c r="AC57" s="75" t="str">
        <f aca="false">IF(SUM($AA57)&lt;=0,"",ROUND((SUM($AA57)-SUM($AB57))*SUM($Y57),0))</f>
        <v/>
      </c>
      <c r="AD57" s="75" t="str">
        <f aca="false">IF(SUM($AA57)&lt;=0,"",$AA57-$AB57-$AC57)</f>
        <v/>
      </c>
      <c r="AE57" s="73" t="str">
        <f aca="false">IF(SUM($AC57)&lt;=0,"",ROUND($AC57*$Z57,0))</f>
        <v/>
      </c>
      <c r="AF57" s="73" t="n">
        <f aca="false">_xlfn.IFNA(INDEX(Cascade!$BD:$BD,MATCH($E57,Cascade!$E:$E,0)),"")</f>
        <v>20</v>
      </c>
      <c r="AG57" s="118" t="n">
        <f aca="false">IF(SUM($AF57)&lt;=0,"",SUM($AC57)/$AF57)</f>
        <v>0</v>
      </c>
      <c r="AH57" s="118" t="n">
        <f aca="false">_xlfn.IFNA(INDEX(Cascade!$BL:$BL,MATCH($E57,Cascade!$E:$E,0)),"")</f>
        <v>0.3</v>
      </c>
      <c r="AI57" s="118" t="n">
        <f aca="false">_xlfn.IFNA(INDEX(Cascade!$BO:$BO,MATCH($E57,Cascade!$E:$E,0)),"")</f>
        <v>-2732.4</v>
      </c>
      <c r="AJ57" s="118" t="n">
        <f aca="false">_xlfn.IFNA(INDEX(Cascade!$BR:$BR,MATCH($E57,Cascade!$E:$E,0)),"")</f>
        <v>2733.1</v>
      </c>
    </row>
    <row r="58" customFormat="false" ht="15" hidden="false" customHeight="false" outlineLevel="0" collapsed="false">
      <c r="A58" s="0" t="s">
        <v>146</v>
      </c>
      <c r="B58" s="0" t="s">
        <v>45</v>
      </c>
      <c r="C58" s="0" t="s">
        <v>72</v>
      </c>
      <c r="D58" s="0" t="s">
        <v>58</v>
      </c>
      <c r="E58" s="0" t="str">
        <f aca="false">B58&amp;"|"&amp;C58&amp;"|"&amp;D58</f>
        <v>Maseru [#SNU] [#DREAMS] [tKOXiaNhAyJ]|30-34|Male</v>
      </c>
      <c r="F58" s="73" t="n">
        <f aca="false">_xlfn.IFNA(INDEX(Cascade!$F:$F,MATCH($E58,Cascade!$E:$E,0)),"")</f>
        <v>27810</v>
      </c>
      <c r="G58" s="73" t="n">
        <f aca="false">_xlfn.IFNA(INDEX(Cascade!$H:$H,MATCH($E58,Cascade!$E:$E,0)),"")</f>
        <v>5606</v>
      </c>
      <c r="H58" s="118" t="n">
        <f aca="false">_xlfn.IFNA(INDEX(Cascade!$J:$J,MATCH($E58,Cascade!$E:$E,0)),"")</f>
        <v>0.2015939</v>
      </c>
      <c r="I58" s="73" t="n">
        <f aca="false">_xlfn.IFNA(INDEX(Cascade!$P:$P,MATCH($E58,Cascade!$E:$E,0)),"")</f>
        <v>3149</v>
      </c>
      <c r="J58" s="118" t="n">
        <f aca="false">_xlfn.IFNA(INDEX(Cascade!$Y:$Y,MATCH($E58,Cascade!$E:$E,0)),"")</f>
        <v>0.561719586157688</v>
      </c>
      <c r="K58" s="75" t="str">
        <f aca="false">_xlfn.IFNA(ROUND(INDEX(Spectrum!$N:$N,MATCH(RIGHT($B58,13)&amp;"|"&amp;$C58&amp;"|"&amp;$D58&amp;"|"&amp;K$14&amp;"|"&amp;"CY2021Q3",Spectrum!$Q:$Q,0)),0),"")</f>
        <v/>
      </c>
      <c r="L58" s="75" t="str">
        <f aca="false">_xlfn.IFNA(ROUND(INDEX(Spectrum!$N:$N,MATCH(RIGHT($B58,13)&amp;"|"&amp;$C58&amp;"|"&amp;$D58&amp;"|"&amp;L$14&amp;"|"&amp;"CY2021Q3",Spectrum!$Q:$Q,0)),0),"")</f>
        <v/>
      </c>
      <c r="M58" s="118" t="n">
        <f aca="false">IF(OR(LEFT($B58,4)="_Mil",SUM($F58)&lt;=0),"",SUM($L58)/$F58)</f>
        <v>0</v>
      </c>
      <c r="N58" s="118" t="n">
        <f aca="false">IF(LEFT($B58,4)="_Mil","",80%)</f>
        <v>0.8</v>
      </c>
      <c r="O58" s="75" t="n">
        <f aca="false">IF(LEFT($B58,4)="_Mil","",IF(SUM($F58)=0,"",ROUND(SUM($F58)*SUM($N58),0)))</f>
        <v>22248</v>
      </c>
      <c r="P58" s="75" t="n">
        <f aca="false">IF(LEFT($B58,4)="_Mil","",IF(SUM($F58)=0,"",ROUND(MAX(SUM($O58)-SUM($L58),0),0)))</f>
        <v>22248</v>
      </c>
      <c r="Q58" s="73" t="n">
        <v>38</v>
      </c>
      <c r="R58" s="73" t="n">
        <v>41</v>
      </c>
      <c r="S58" s="118" t="str">
        <f aca="false">IF(LEFT($B58,4)="_Mil","",IF(SUM($K58)&lt;=0,"",SUM($R58)/$K58))</f>
        <v/>
      </c>
      <c r="T58" s="118" t="str">
        <f aca="false">IF(SUM($S58)&lt;=0,"",$S58)</f>
        <v/>
      </c>
      <c r="U58" s="118" t="str">
        <f aca="false">IF(LEFT($B58,4)="_Mil",0,"")</f>
        <v/>
      </c>
      <c r="V58" s="118" t="n">
        <v>0</v>
      </c>
      <c r="W58" s="118" t="str">
        <f aca="false">IF(SUM($V58)=0,"",$V58)</f>
        <v/>
      </c>
      <c r="X58" s="118" t="n">
        <v>30</v>
      </c>
      <c r="Y58" s="118" t="n">
        <f aca="false">IF(SUM($X58)=0,"",$X58)</f>
        <v>30</v>
      </c>
      <c r="Z58" s="118" t="n">
        <f aca="false">_xlfn.IFNA(INDEX(Cascade!$BA:$BA,MATCH($E58,Cascade!$E:$E,0)),"")</f>
        <v>0.95</v>
      </c>
      <c r="AA58" s="73" t="n">
        <f aca="false">IF(LEFT($B58,4)="_Mil",IF(SUM($R58)=0,"",ROUND(SUM($R58)*(1+$U58),0)),IF(SUM($P58)=0,"",ROUND(SUM($T58)*SUM($P58),0)))</f>
        <v>0</v>
      </c>
      <c r="AB58" s="75" t="str">
        <f aca="false">IF(SUM($AA58)&lt;=0,"",ROUND($AA58*$W58,0))</f>
        <v/>
      </c>
      <c r="AC58" s="75" t="str">
        <f aca="false">IF(SUM($AA58)&lt;=0,"",ROUND((SUM($AA58)-SUM($AB58))*SUM($Y58),0))</f>
        <v/>
      </c>
      <c r="AD58" s="75" t="str">
        <f aca="false">IF(SUM($AA58)&lt;=0,"",$AA58-$AB58-$AC58)</f>
        <v/>
      </c>
      <c r="AE58" s="73" t="str">
        <f aca="false">IF(SUM($AC58)&lt;=0,"",ROUND($AC58*$Z58,0))</f>
        <v/>
      </c>
      <c r="AF58" s="73" t="n">
        <f aca="false">_xlfn.IFNA(INDEX(Cascade!$BD:$BD,MATCH($E58,Cascade!$E:$E,0)),"")</f>
        <v>21</v>
      </c>
      <c r="AG58" s="118" t="n">
        <f aca="false">IF(SUM($AF58)&lt;=0,"",SUM($AC58)/$AF58)</f>
        <v>0</v>
      </c>
      <c r="AH58" s="118" t="n">
        <f aca="false">_xlfn.IFNA(INDEX(Cascade!$BL:$BL,MATCH($E58,Cascade!$E:$E,0)),"")</f>
        <v>0.285714285714286</v>
      </c>
      <c r="AI58" s="118" t="n">
        <f aca="false">_xlfn.IFNA(INDEX(Cascade!$BO:$BO,MATCH($E58,Cascade!$E:$E,0)),"")</f>
        <v>-2746.85714285714</v>
      </c>
      <c r="AJ58" s="118" t="n">
        <f aca="false">_xlfn.IFNA(INDEX(Cascade!$BR:$BR,MATCH($E58,Cascade!$E:$E,0)),"")</f>
        <v>2747.57142857143</v>
      </c>
    </row>
    <row r="59" customFormat="false" ht="15" hidden="false" customHeight="false" outlineLevel="0" collapsed="false">
      <c r="A59" s="0" t="s">
        <v>146</v>
      </c>
      <c r="B59" s="0" t="s">
        <v>45</v>
      </c>
      <c r="C59" s="0" t="s">
        <v>75</v>
      </c>
      <c r="D59" s="0" t="s">
        <v>58</v>
      </c>
      <c r="E59" s="0" t="str">
        <f aca="false">B59&amp;"|"&amp;C59&amp;"|"&amp;D59</f>
        <v>Maseru [#SNU] [#DREAMS] [tKOXiaNhAyJ]|35-39|Male</v>
      </c>
      <c r="F59" s="73" t="n">
        <f aca="false">_xlfn.IFNA(INDEX(Cascade!$F:$F,MATCH($E59,Cascade!$E:$E,0)),"")</f>
        <v>22896</v>
      </c>
      <c r="G59" s="73" t="n">
        <f aca="false">_xlfn.IFNA(INDEX(Cascade!$H:$H,MATCH($E59,Cascade!$E:$E,0)),"")</f>
        <v>6830</v>
      </c>
      <c r="H59" s="118" t="n">
        <f aca="false">_xlfn.IFNA(INDEX(Cascade!$J:$J,MATCH($E59,Cascade!$E:$E,0)),"")</f>
        <v>0.2983137</v>
      </c>
      <c r="I59" s="73" t="n">
        <f aca="false">_xlfn.IFNA(INDEX(Cascade!$P:$P,MATCH($E59,Cascade!$E:$E,0)),"")</f>
        <v>4634</v>
      </c>
      <c r="J59" s="118" t="n">
        <f aca="false">_xlfn.IFNA(INDEX(Cascade!$Y:$Y,MATCH($E59,Cascade!$E:$E,0)),"")</f>
        <v>0.678477306002928</v>
      </c>
      <c r="K59" s="75" t="str">
        <f aca="false">_xlfn.IFNA(ROUND(INDEX(Spectrum!$N:$N,MATCH(RIGHT($B59,13)&amp;"|"&amp;$C59&amp;"|"&amp;$D59&amp;"|"&amp;K$14&amp;"|"&amp;"CY2021Q3",Spectrum!$Q:$Q,0)),0),"")</f>
        <v/>
      </c>
      <c r="L59" s="75" t="str">
        <f aca="false">_xlfn.IFNA(ROUND(INDEX(Spectrum!$N:$N,MATCH(RIGHT($B59,13)&amp;"|"&amp;$C59&amp;"|"&amp;$D59&amp;"|"&amp;L$14&amp;"|"&amp;"CY2021Q3",Spectrum!$Q:$Q,0)),0),"")</f>
        <v/>
      </c>
      <c r="M59" s="118" t="n">
        <f aca="false">IF(OR(LEFT($B59,4)="_Mil",SUM($F59)&lt;=0),"",SUM($L59)/$F59)</f>
        <v>0</v>
      </c>
      <c r="N59" s="118" t="n">
        <f aca="false">IF(LEFT($B59,4)="_Mil","",80%)</f>
        <v>0.8</v>
      </c>
      <c r="O59" s="75" t="n">
        <f aca="false">IF(LEFT($B59,4)="_Mil","",IF(SUM($F59)=0,"",ROUND(SUM($F59)*SUM($N59),0)))</f>
        <v>18317</v>
      </c>
      <c r="P59" s="75" t="n">
        <f aca="false">IF(LEFT($B59,4)="_Mil","",IF(SUM($F59)=0,"",ROUND(MAX(SUM($O59)-SUM($L59),0),0)))</f>
        <v>18317</v>
      </c>
      <c r="Q59" s="73" t="n">
        <v>34</v>
      </c>
      <c r="R59" s="73" t="n">
        <v>15</v>
      </c>
      <c r="S59" s="118" t="str">
        <f aca="false">IF(LEFT($B59,4)="_Mil","",IF(SUM($K59)&lt;=0,"",SUM($R59)/$K59))</f>
        <v/>
      </c>
      <c r="T59" s="118" t="str">
        <f aca="false">IF(SUM($S59)&lt;=0,"",$S59)</f>
        <v/>
      </c>
      <c r="U59" s="118" t="str">
        <f aca="false">IF(LEFT($B59,4)="_Mil",0,"")</f>
        <v/>
      </c>
      <c r="V59" s="118" t="n">
        <v>21</v>
      </c>
      <c r="W59" s="118" t="n">
        <f aca="false">IF(SUM($V59)=0,"",$V59)</f>
        <v>21</v>
      </c>
      <c r="X59" s="118" t="n">
        <v>10</v>
      </c>
      <c r="Y59" s="118" t="n">
        <f aca="false">IF(SUM($X59)=0,"",$X59)</f>
        <v>10</v>
      </c>
      <c r="Z59" s="118" t="n">
        <f aca="false">_xlfn.IFNA(INDEX(Cascade!$BA:$BA,MATCH($E59,Cascade!$E:$E,0)),"")</f>
        <v>0.95</v>
      </c>
      <c r="AA59" s="73" t="n">
        <f aca="false">IF(LEFT($B59,4)="_Mil",IF(SUM($R59)=0,"",ROUND(SUM($R59)*(1+$U59),0)),IF(SUM($P59)=0,"",ROUND(SUM($T59)*SUM($P59),0)))</f>
        <v>0</v>
      </c>
      <c r="AB59" s="75" t="str">
        <f aca="false">IF(SUM($AA59)&lt;=0,"",ROUND($AA59*$W59,0))</f>
        <v/>
      </c>
      <c r="AC59" s="75" t="str">
        <f aca="false">IF(SUM($AA59)&lt;=0,"",ROUND((SUM($AA59)-SUM($AB59))*SUM($Y59),0))</f>
        <v/>
      </c>
      <c r="AD59" s="75" t="str">
        <f aca="false">IF(SUM($AA59)&lt;=0,"",$AA59-$AB59-$AC59)</f>
        <v/>
      </c>
      <c r="AE59" s="73" t="str">
        <f aca="false">IF(SUM($AC59)&lt;=0,"",ROUND($AC59*$Z59,0))</f>
        <v/>
      </c>
      <c r="AF59" s="73" t="n">
        <f aca="false">_xlfn.IFNA(INDEX(Cascade!$BD:$BD,MATCH($E59,Cascade!$E:$E,0)),"")</f>
        <v>18</v>
      </c>
      <c r="AG59" s="118" t="n">
        <f aca="false">IF(SUM($AF59)&lt;=0,"",SUM($AC59)/$AF59)</f>
        <v>0</v>
      </c>
      <c r="AH59" s="118" t="n">
        <f aca="false">_xlfn.IFNA(INDEX(Cascade!$BL:$BL,MATCH($E59,Cascade!$E:$E,0)),"")</f>
        <v>0.277777777777778</v>
      </c>
      <c r="AI59" s="118" t="n">
        <f aca="false">_xlfn.IFNA(INDEX(Cascade!$BO:$BO,MATCH($E59,Cascade!$E:$E,0)),"")</f>
        <v>-1048.33333333333</v>
      </c>
      <c r="AJ59" s="118" t="n">
        <f aca="false">_xlfn.IFNA(INDEX(Cascade!$BR:$BR,MATCH($E59,Cascade!$E:$E,0)),"")</f>
        <v>1049.05555555556</v>
      </c>
    </row>
    <row r="60" customFormat="false" ht="15" hidden="false" customHeight="false" outlineLevel="0" collapsed="false">
      <c r="A60" s="0" t="s">
        <v>146</v>
      </c>
      <c r="B60" s="0" t="s">
        <v>45</v>
      </c>
      <c r="C60" s="0" t="s">
        <v>77</v>
      </c>
      <c r="D60" s="0" t="s">
        <v>58</v>
      </c>
      <c r="E60" s="0" t="str">
        <f aca="false">B60&amp;"|"&amp;C60&amp;"|"&amp;D60</f>
        <v>Maseru [#SNU] [#DREAMS] [tKOXiaNhAyJ]|40-44|Male</v>
      </c>
      <c r="F60" s="73" t="n">
        <f aca="false">_xlfn.IFNA(INDEX(Cascade!$F:$F,MATCH($E60,Cascade!$E:$E,0)),"")</f>
        <v>15484</v>
      </c>
      <c r="G60" s="73" t="n">
        <f aca="false">_xlfn.IFNA(INDEX(Cascade!$H:$H,MATCH($E60,Cascade!$E:$E,0)),"")</f>
        <v>6080</v>
      </c>
      <c r="H60" s="118" t="n">
        <f aca="false">_xlfn.IFNA(INDEX(Cascade!$J:$J,MATCH($E60,Cascade!$E:$E,0)),"")</f>
        <v>0.3926499</v>
      </c>
      <c r="I60" s="73" t="n">
        <f aca="false">_xlfn.IFNA(INDEX(Cascade!$P:$P,MATCH($E60,Cascade!$E:$E,0)),"")</f>
        <v>4903</v>
      </c>
      <c r="J60" s="118" t="n">
        <f aca="false">_xlfn.IFNA(INDEX(Cascade!$Y:$Y,MATCH($E60,Cascade!$E:$E,0)),"")</f>
        <v>0.80641447368421</v>
      </c>
      <c r="K60" s="75" t="str">
        <f aca="false">_xlfn.IFNA(ROUND(INDEX(Spectrum!$N:$N,MATCH(RIGHT($B60,13)&amp;"|"&amp;$C60&amp;"|"&amp;$D60&amp;"|"&amp;K$14&amp;"|"&amp;"CY2021Q3",Spectrum!$Q:$Q,0)),0),"")</f>
        <v/>
      </c>
      <c r="L60" s="75" t="str">
        <f aca="false">_xlfn.IFNA(ROUND(INDEX(Spectrum!$N:$N,MATCH(RIGHT($B60,13)&amp;"|"&amp;$C60&amp;"|"&amp;$D60&amp;"|"&amp;L$14&amp;"|"&amp;"CY2021Q3",Spectrum!$Q:$Q,0)),0),"")</f>
        <v/>
      </c>
      <c r="M60" s="118" t="n">
        <f aca="false">IF(OR(LEFT($B60,4)="_Mil",SUM($F60)&lt;=0),"",SUM($L60)/$F60)</f>
        <v>0</v>
      </c>
      <c r="N60" s="118" t="n">
        <f aca="false">IF(LEFT($B60,4)="_Mil","",80%)</f>
        <v>0.8</v>
      </c>
      <c r="O60" s="75" t="n">
        <f aca="false">IF(LEFT($B60,4)="_Mil","",IF(SUM($F60)=0,"",ROUND(SUM($F60)*SUM($N60),0)))</f>
        <v>12387</v>
      </c>
      <c r="P60" s="75" t="n">
        <f aca="false">IF(LEFT($B60,4)="_Mil","",IF(SUM($F60)=0,"",ROUND(MAX(SUM($O60)-SUM($L60),0),0)))</f>
        <v>12387</v>
      </c>
      <c r="Q60" s="73" t="n">
        <v>12</v>
      </c>
      <c r="R60" s="73" t="n">
        <v>22</v>
      </c>
      <c r="S60" s="118" t="str">
        <f aca="false">IF(LEFT($B60,4)="_Mil","",IF(SUM($K60)&lt;=0,"",SUM($R60)/$K60))</f>
        <v/>
      </c>
      <c r="T60" s="118" t="str">
        <f aca="false">IF(SUM($S60)&lt;=0,"",$S60)</f>
        <v/>
      </c>
      <c r="U60" s="118" t="str">
        <f aca="false">IF(LEFT($B60,4)="_Mil",0,"")</f>
        <v/>
      </c>
      <c r="V60" s="118" t="n">
        <v>2</v>
      </c>
      <c r="W60" s="118" t="n">
        <f aca="false">IF(SUM($V60)=0,"",$V60)</f>
        <v>2</v>
      </c>
      <c r="X60" s="118" t="n">
        <v>47</v>
      </c>
      <c r="Y60" s="118" t="n">
        <f aca="false">IF(SUM($X60)=0,"",$X60)</f>
        <v>47</v>
      </c>
      <c r="Z60" s="118" t="n">
        <f aca="false">_xlfn.IFNA(INDEX(Cascade!$BA:$BA,MATCH($E60,Cascade!$E:$E,0)),"")</f>
        <v>0.95</v>
      </c>
      <c r="AA60" s="73" t="n">
        <f aca="false">IF(LEFT($B60,4)="_Mil",IF(SUM($R60)=0,"",ROUND(SUM($R60)*(1+$U60),0)),IF(SUM($P60)=0,"",ROUND(SUM($T60)*SUM($P60),0)))</f>
        <v>0</v>
      </c>
      <c r="AB60" s="75" t="str">
        <f aca="false">IF(SUM($AA60)&lt;=0,"",ROUND($AA60*$W60,0))</f>
        <v/>
      </c>
      <c r="AC60" s="75" t="str">
        <f aca="false">IF(SUM($AA60)&lt;=0,"",ROUND((SUM($AA60)-SUM($AB60))*SUM($Y60),0))</f>
        <v/>
      </c>
      <c r="AD60" s="75" t="str">
        <f aca="false">IF(SUM($AA60)&lt;=0,"",$AA60-$AB60-$AC60)</f>
        <v/>
      </c>
      <c r="AE60" s="73" t="str">
        <f aca="false">IF(SUM($AC60)&lt;=0,"",ROUND($AC60*$Z60,0))</f>
        <v/>
      </c>
      <c r="AF60" s="73" t="n">
        <f aca="false">_xlfn.IFNA(INDEX(Cascade!$BD:$BD,MATCH($E60,Cascade!$E:$E,0)),"")</f>
        <v>5</v>
      </c>
      <c r="AG60" s="118" t="n">
        <f aca="false">IF(SUM($AF60)&lt;=0,"",SUM($AC60)/$AF60)</f>
        <v>0</v>
      </c>
      <c r="AH60" s="118" t="n">
        <f aca="false">_xlfn.IFNA(INDEX(Cascade!$BL:$BL,MATCH($E60,Cascade!$E:$E,0)),"")</f>
        <v>0.8</v>
      </c>
      <c r="AI60" s="118" t="n">
        <f aca="false">_xlfn.IFNA(INDEX(Cascade!$BO:$BO,MATCH($E60,Cascade!$E:$E,0)),"")</f>
        <v>-228.8</v>
      </c>
      <c r="AJ60" s="118" t="n">
        <f aca="false">_xlfn.IFNA(INDEX(Cascade!$BR:$BR,MATCH($E60,Cascade!$E:$E,0)),"")</f>
        <v>229</v>
      </c>
    </row>
    <row r="61" customFormat="false" ht="15" hidden="false" customHeight="false" outlineLevel="0" collapsed="false">
      <c r="A61" s="0" t="s">
        <v>146</v>
      </c>
      <c r="B61" s="0" t="s">
        <v>45</v>
      </c>
      <c r="C61" s="0" t="s">
        <v>80</v>
      </c>
      <c r="D61" s="0" t="s">
        <v>58</v>
      </c>
      <c r="E61" s="0" t="str">
        <f aca="false">B61&amp;"|"&amp;C61&amp;"|"&amp;D61</f>
        <v>Maseru [#SNU] [#DREAMS] [tKOXiaNhAyJ]|45-49|Male</v>
      </c>
      <c r="F61" s="73" t="n">
        <f aca="false">_xlfn.IFNA(INDEX(Cascade!$F:$F,MATCH($E61,Cascade!$E:$E,0)),"")</f>
        <v>10828</v>
      </c>
      <c r="G61" s="73" t="n">
        <f aca="false">_xlfn.IFNA(INDEX(Cascade!$H:$H,MATCH($E61,Cascade!$E:$E,0)),"")</f>
        <v>4911</v>
      </c>
      <c r="H61" s="118" t="n">
        <f aca="false">_xlfn.IFNA(INDEX(Cascade!$J:$J,MATCH($E61,Cascade!$E:$E,0)),"")</f>
        <v>0.4535215</v>
      </c>
      <c r="I61" s="73" t="n">
        <f aca="false">_xlfn.IFNA(INDEX(Cascade!$P:$P,MATCH($E61,Cascade!$E:$E,0)),"")</f>
        <v>3914</v>
      </c>
      <c r="J61" s="118" t="n">
        <f aca="false">_xlfn.IFNA(INDEX(Cascade!$Y:$Y,MATCH($E61,Cascade!$E:$E,0)),"")</f>
        <v>0.796986357157402</v>
      </c>
      <c r="K61" s="75" t="str">
        <f aca="false">_xlfn.IFNA(ROUND(INDEX(Spectrum!$N:$N,MATCH(RIGHT($B61,13)&amp;"|"&amp;$C61&amp;"|"&amp;$D61&amp;"|"&amp;K$14&amp;"|"&amp;"CY2021Q3",Spectrum!$Q:$Q,0)),0),"")</f>
        <v/>
      </c>
      <c r="L61" s="75" t="str">
        <f aca="false">_xlfn.IFNA(ROUND(INDEX(Spectrum!$N:$N,MATCH(RIGHT($B61,13)&amp;"|"&amp;$C61&amp;"|"&amp;$D61&amp;"|"&amp;L$14&amp;"|"&amp;"CY2021Q3",Spectrum!$Q:$Q,0)),0),"")</f>
        <v/>
      </c>
      <c r="M61" s="118" t="n">
        <f aca="false">IF(OR(LEFT($B61,4)="_Mil",SUM($F61)&lt;=0),"",SUM($L61)/$F61)</f>
        <v>0</v>
      </c>
      <c r="N61" s="118" t="n">
        <f aca="false">IF(LEFT($B61,4)="_Mil","",80%)</f>
        <v>0.8</v>
      </c>
      <c r="O61" s="75" t="n">
        <f aca="false">IF(LEFT($B61,4)="_Mil","",IF(SUM($F61)=0,"",ROUND(SUM($F61)*SUM($N61),0)))</f>
        <v>8662</v>
      </c>
      <c r="P61" s="75" t="n">
        <f aca="false">IF(LEFT($B61,4)="_Mil","",IF(SUM($F61)=0,"",ROUND(MAX(SUM($O61)-SUM($L61),0),0)))</f>
        <v>8662</v>
      </c>
      <c r="Q61" s="73" t="n">
        <v>35</v>
      </c>
      <c r="R61" s="73" t="n">
        <v>22</v>
      </c>
      <c r="S61" s="118" t="str">
        <f aca="false">IF(LEFT($B61,4)="_Mil","",IF(SUM($K61)&lt;=0,"",SUM($R61)/$K61))</f>
        <v/>
      </c>
      <c r="T61" s="118" t="str">
        <f aca="false">IF(SUM($S61)&lt;=0,"",$S61)</f>
        <v/>
      </c>
      <c r="U61" s="118" t="str">
        <f aca="false">IF(LEFT($B61,4)="_Mil",0,"")</f>
        <v/>
      </c>
      <c r="V61" s="118" t="n">
        <v>10</v>
      </c>
      <c r="W61" s="118" t="n">
        <f aca="false">IF(SUM($V61)=0,"",$V61)</f>
        <v>10</v>
      </c>
      <c r="X61" s="118" t="n">
        <v>47</v>
      </c>
      <c r="Y61" s="118" t="n">
        <f aca="false">IF(SUM($X61)=0,"",$X61)</f>
        <v>47</v>
      </c>
      <c r="Z61" s="118" t="n">
        <f aca="false">_xlfn.IFNA(INDEX(Cascade!$BA:$BA,MATCH($E61,Cascade!$E:$E,0)),"")</f>
        <v>0.95</v>
      </c>
      <c r="AA61" s="73" t="n">
        <f aca="false">IF(LEFT($B61,4)="_Mil",IF(SUM($R61)=0,"",ROUND(SUM($R61)*(1+$U61),0)),IF(SUM($P61)=0,"",ROUND(SUM($T61)*SUM($P61),0)))</f>
        <v>0</v>
      </c>
      <c r="AB61" s="75" t="str">
        <f aca="false">IF(SUM($AA61)&lt;=0,"",ROUND($AA61*$W61,0))</f>
        <v/>
      </c>
      <c r="AC61" s="75" t="str">
        <f aca="false">IF(SUM($AA61)&lt;=0,"",ROUND((SUM($AA61)-SUM($AB61))*SUM($Y61),0))</f>
        <v/>
      </c>
      <c r="AD61" s="75" t="str">
        <f aca="false">IF(SUM($AA61)&lt;=0,"",$AA61-$AB61-$AC61)</f>
        <v/>
      </c>
      <c r="AE61" s="73" t="str">
        <f aca="false">IF(SUM($AC61)&lt;=0,"",ROUND($AC61*$Z61,0))</f>
        <v/>
      </c>
      <c r="AF61" s="73" t="n">
        <f aca="false">_xlfn.IFNA(INDEX(Cascade!$BD:$BD,MATCH($E61,Cascade!$E:$E,0)),"")</f>
        <v>7</v>
      </c>
      <c r="AG61" s="118" t="n">
        <f aca="false">IF(SUM($AF61)&lt;=0,"",SUM($AC61)/$AF61)</f>
        <v>0</v>
      </c>
      <c r="AH61" s="118" t="n">
        <f aca="false">_xlfn.IFNA(INDEX(Cascade!$BL:$BL,MATCH($E61,Cascade!$E:$E,0)),"")</f>
        <v>0.571428571428571</v>
      </c>
      <c r="AI61" s="118" t="n">
        <f aca="false">_xlfn.IFNA(INDEX(Cascade!$BO:$BO,MATCH($E61,Cascade!$E:$E,0)),"")</f>
        <v>-1216.28571428571</v>
      </c>
      <c r="AJ61" s="118" t="n">
        <f aca="false">_xlfn.IFNA(INDEX(Cascade!$BR:$BR,MATCH($E61,Cascade!$E:$E,0)),"")</f>
        <v>1216.71428571429</v>
      </c>
    </row>
    <row r="62" customFormat="false" ht="15" hidden="false" customHeight="false" outlineLevel="0" collapsed="false">
      <c r="A62" s="0" t="s">
        <v>146</v>
      </c>
      <c r="B62" s="0" t="s">
        <v>45</v>
      </c>
      <c r="C62" s="0" t="s">
        <v>86</v>
      </c>
      <c r="D62" s="0" t="s">
        <v>58</v>
      </c>
      <c r="E62" s="0" t="str">
        <f aca="false">B62&amp;"|"&amp;C62&amp;"|"&amp;D62</f>
        <v>Maseru [#SNU] [#DREAMS] [tKOXiaNhAyJ]|50+|Male</v>
      </c>
      <c r="F62" s="73" t="n">
        <f aca="false">_xlfn.IFNA(INDEX(Cascade!$F:$F,MATCH($E62,Cascade!$E:$E,0)),"")</f>
        <v>29873</v>
      </c>
      <c r="G62" s="73" t="n">
        <f aca="false">_xlfn.IFNA(INDEX(Cascade!$H:$H,MATCH($E62,Cascade!$E:$E,0)),"")</f>
        <v>10015</v>
      </c>
      <c r="H62" s="118" t="n">
        <f aca="false">_xlfn.IFNA(INDEX(Cascade!$J:$J,MATCH($E62,Cascade!$E:$E,0)),"")</f>
        <v>0.3352566</v>
      </c>
      <c r="I62" s="73" t="n">
        <f aca="false">_xlfn.IFNA(INDEX(Cascade!$P:$P,MATCH($E62,Cascade!$E:$E,0)),"")</f>
        <v>7118</v>
      </c>
      <c r="J62" s="118" t="n">
        <f aca="false">_xlfn.IFNA(INDEX(Cascade!$Y:$Y,MATCH($E62,Cascade!$E:$E,0)),"")</f>
        <v>0.710733899151273</v>
      </c>
      <c r="K62" s="75" t="str">
        <f aca="false">_xlfn.IFNA(ROUND(INDEX(Spectrum!$N:$N,MATCH(RIGHT($B62,13)&amp;"|"&amp;$C62&amp;"|"&amp;$D62&amp;"|"&amp;K$14&amp;"|"&amp;"CY2021Q3",Spectrum!$Q:$Q,0)),0),"")</f>
        <v/>
      </c>
      <c r="L62" s="75" t="str">
        <f aca="false">_xlfn.IFNA(ROUND(INDEX(Spectrum!$N:$N,MATCH(RIGHT($B62,13)&amp;"|"&amp;$C62&amp;"|"&amp;$D62&amp;"|"&amp;L$14&amp;"|"&amp;"CY2021Q3",Spectrum!$Q:$Q,0)),0),"")</f>
        <v/>
      </c>
      <c r="M62" s="118" t="n">
        <f aca="false">IF(OR(LEFT($B62,4)="_Mil",SUM($F62)&lt;=0),"",SUM($L62)/$F62)</f>
        <v>0</v>
      </c>
      <c r="N62" s="118" t="n">
        <f aca="false">IF(LEFT($B62,4)="_Mil","",80%)</f>
        <v>0.8</v>
      </c>
      <c r="O62" s="75" t="n">
        <f aca="false">IF(LEFT($B62,4)="_Mil","",IF(SUM($F62)=0,"",ROUND(SUM($F62)*SUM($N62),0)))</f>
        <v>23898</v>
      </c>
      <c r="P62" s="75" t="n">
        <f aca="false">IF(LEFT($B62,4)="_Mil","",IF(SUM($F62)=0,"",ROUND(MAX(SUM($O62)-SUM($L62),0),0)))</f>
        <v>23898</v>
      </c>
      <c r="Q62" s="73" t="n">
        <v>24</v>
      </c>
      <c r="R62" s="73" t="n">
        <v>15</v>
      </c>
      <c r="S62" s="118" t="str">
        <f aca="false">IF(LEFT($B62,4)="_Mil","",IF(SUM($K62)&lt;=0,"",SUM($R62)/$K62))</f>
        <v/>
      </c>
      <c r="T62" s="118" t="str">
        <f aca="false">IF(SUM($S62)&lt;=0,"",$S62)</f>
        <v/>
      </c>
      <c r="U62" s="118" t="str">
        <f aca="false">IF(LEFT($B62,4)="_Mil",0,"")</f>
        <v/>
      </c>
      <c r="V62" s="118" t="n">
        <v>10</v>
      </c>
      <c r="W62" s="118" t="n">
        <f aca="false">IF(SUM($V62)=0,"",$V62)</f>
        <v>10</v>
      </c>
      <c r="X62" s="118" t="n">
        <v>2</v>
      </c>
      <c r="Y62" s="118" t="n">
        <f aca="false">IF(SUM($X62)=0,"",$X62)</f>
        <v>2</v>
      </c>
      <c r="Z62" s="118" t="n">
        <f aca="false">_xlfn.IFNA(INDEX(Cascade!$BA:$BA,MATCH($E62,Cascade!$E:$E,0)),"")</f>
        <v>0.95</v>
      </c>
      <c r="AA62" s="73" t="n">
        <f aca="false">IF(LEFT($B62,4)="_Mil",IF(SUM($R62)=0,"",ROUND(SUM($R62)*(1+$U62),0)),IF(SUM($P62)=0,"",ROUND(SUM($T62)*SUM($P62),0)))</f>
        <v>0</v>
      </c>
      <c r="AB62" s="75" t="str">
        <f aca="false">IF(SUM($AA62)&lt;=0,"",ROUND($AA62*$W62,0))</f>
        <v/>
      </c>
      <c r="AC62" s="75" t="str">
        <f aca="false">IF(SUM($AA62)&lt;=0,"",ROUND((SUM($AA62)-SUM($AB62))*SUM($Y62),0))</f>
        <v/>
      </c>
      <c r="AD62" s="75" t="str">
        <f aca="false">IF(SUM($AA62)&lt;=0,"",$AA62-$AB62-$AC62)</f>
        <v/>
      </c>
      <c r="AE62" s="73" t="str">
        <f aca="false">IF(SUM($AC62)&lt;=0,"",ROUND($AC62*$Z62,0))</f>
        <v/>
      </c>
      <c r="AF62" s="73" t="n">
        <f aca="false">_xlfn.IFNA(INDEX(Cascade!$BD:$BD,MATCH($E62,Cascade!$E:$E,0)),"")</f>
        <v>4</v>
      </c>
      <c r="AG62" s="118" t="n">
        <f aca="false">IF(SUM($AF62)&lt;=0,"",SUM($AC62)/$AF62)</f>
        <v>0</v>
      </c>
      <c r="AH62" s="118" t="n">
        <f aca="false">_xlfn.IFNA(INDEX(Cascade!$BL:$BL,MATCH($E62,Cascade!$E:$E,0)),"")</f>
        <v>0.5</v>
      </c>
      <c r="AI62" s="118" t="n">
        <f aca="false">_xlfn.IFNA(INDEX(Cascade!$BO:$BO,MATCH($E62,Cascade!$E:$E,0)),"")</f>
        <v>-660</v>
      </c>
      <c r="AJ62" s="118" t="n">
        <f aca="false">_xlfn.IFNA(INDEX(Cascade!$BR:$BR,MATCH($E62,Cascade!$E:$E,0)),"")</f>
        <v>660.5</v>
      </c>
    </row>
    <row r="63" customFormat="false" ht="15" hidden="false" customHeight="false" outlineLevel="0" collapsed="false">
      <c r="A63" s="0" t="s">
        <v>147</v>
      </c>
      <c r="B63" s="0" t="s">
        <v>105</v>
      </c>
      <c r="C63" s="0" t="s">
        <v>63</v>
      </c>
      <c r="D63" s="0" t="s">
        <v>58</v>
      </c>
      <c r="E63" s="0" t="str">
        <f aca="false">B63&amp;"|"&amp;C63&amp;"|"&amp;D63</f>
        <v>Mohale's Hoek [#SNU] [#DREAMS] [YGI7vISD2kJ]|15-19|Male</v>
      </c>
      <c r="F63" s="73" t="n">
        <f aca="false">_xlfn.IFNA(INDEX(Cascade!$F:$F,MATCH($E63,Cascade!$E:$E,0)),"")</f>
        <v>8177</v>
      </c>
      <c r="G63" s="73" t="n">
        <f aca="false">_xlfn.IFNA(INDEX(Cascade!$H:$H,MATCH($E63,Cascade!$E:$E,0)),"")</f>
        <v>266</v>
      </c>
      <c r="H63" s="118" t="n">
        <f aca="false">_xlfn.IFNA(INDEX(Cascade!$J:$J,MATCH($E63,Cascade!$E:$E,0)),"")</f>
        <v>0.0324753</v>
      </c>
      <c r="I63" s="73" t="n">
        <f aca="false">_xlfn.IFNA(INDEX(Cascade!$P:$P,MATCH($E63,Cascade!$E:$E,0)),"")</f>
        <v>224</v>
      </c>
      <c r="J63" s="118" t="n">
        <f aca="false">_xlfn.IFNA(INDEX(Cascade!$Y:$Y,MATCH($E63,Cascade!$E:$E,0)),"")</f>
        <v>0.842105263157895</v>
      </c>
      <c r="K63" s="75" t="str">
        <f aca="false">_xlfn.IFNA(ROUND(INDEX(Spectrum!$N:$N,MATCH(RIGHT($B63,13)&amp;"|"&amp;$C63&amp;"|"&amp;$D63&amp;"|"&amp;K$14&amp;"|"&amp;"CY2021Q3",Spectrum!$Q:$Q,0)),0),"")</f>
        <v/>
      </c>
      <c r="L63" s="75" t="str">
        <f aca="false">_xlfn.IFNA(ROUND(INDEX(Spectrum!$N:$N,MATCH(RIGHT($B63,13)&amp;"|"&amp;$C63&amp;"|"&amp;$D63&amp;"|"&amp;L$14&amp;"|"&amp;"CY2021Q3",Spectrum!$Q:$Q,0)),0),"")</f>
        <v/>
      </c>
      <c r="M63" s="118" t="n">
        <f aca="false">IF(OR(LEFT($B63,4)="_Mil",SUM($F63)&lt;=0),"",SUM($L63)/$F63)</f>
        <v>0</v>
      </c>
      <c r="N63" s="118" t="n">
        <f aca="false">IF(LEFT($B63,4)="_Mil","",80%)</f>
        <v>0.8</v>
      </c>
      <c r="O63" s="75" t="n">
        <f aca="false">IF(LEFT($B63,4)="_Mil","",IF(SUM($F63)=0,"",ROUND(SUM($F63)*SUM($N63),0)))</f>
        <v>6542</v>
      </c>
      <c r="P63" s="75" t="n">
        <f aca="false">IF(LEFT($B63,4)="_Mil","",IF(SUM($F63)=0,"",ROUND(MAX(SUM($O63)-SUM($L63),0),0)))</f>
        <v>6542</v>
      </c>
      <c r="Q63" s="73" t="n">
        <v>29</v>
      </c>
      <c r="R63" s="73" t="n">
        <v>23</v>
      </c>
      <c r="S63" s="118" t="str">
        <f aca="false">IF(LEFT($B63,4)="_Mil","",IF(SUM($K63)&lt;=0,"",SUM($R63)/$K63))</f>
        <v/>
      </c>
      <c r="T63" s="118" t="str">
        <f aca="false">IF(SUM($S63)&lt;=0,"",$S63)</f>
        <v/>
      </c>
      <c r="U63" s="118" t="str">
        <f aca="false">IF(LEFT($B63,4)="_Mil",0,"")</f>
        <v/>
      </c>
      <c r="V63" s="118" t="n">
        <v>34</v>
      </c>
      <c r="W63" s="118" t="n">
        <f aca="false">IF(SUM($V63)=0,"",$V63)</f>
        <v>34</v>
      </c>
      <c r="X63" s="118"/>
      <c r="Y63" s="118" t="str">
        <f aca="false">IF(SUM($X63)=0,"",$X63)</f>
        <v/>
      </c>
      <c r="Z63" s="118" t="n">
        <f aca="false">_xlfn.IFNA(INDEX(Cascade!$BA:$BA,MATCH($E63,Cascade!$E:$E,0)),"")</f>
        <v>0.95</v>
      </c>
      <c r="AA63" s="73" t="n">
        <f aca="false">IF(LEFT($B63,4)="_Mil",IF(SUM($R63)=0,"",ROUND(SUM($R63)*(1+$U63),0)),IF(SUM($P63)=0,"",ROUND(SUM($T63)*SUM($P63),0)))</f>
        <v>0</v>
      </c>
      <c r="AB63" s="75" t="str">
        <f aca="false">IF(SUM($AA63)&lt;=0,"",ROUND($AA63*$W63,0))</f>
        <v/>
      </c>
      <c r="AC63" s="75" t="str">
        <f aca="false">IF(SUM($AA63)&lt;=0,"",ROUND((SUM($AA63)-SUM($AB63))*SUM($Y63),0))</f>
        <v/>
      </c>
      <c r="AD63" s="75" t="str">
        <f aca="false">IF(SUM($AA63)&lt;=0,"",$AA63-$AB63-$AC63)</f>
        <v/>
      </c>
      <c r="AE63" s="73" t="str">
        <f aca="false">IF(SUM($AC63)&lt;=0,"",ROUND($AC63*$Z63,0))</f>
        <v/>
      </c>
      <c r="AF63" s="73" t="n">
        <f aca="false">_xlfn.IFNA(INDEX(Cascade!$BD:$BD,MATCH($E63,Cascade!$E:$E,0)),"")</f>
        <v>1</v>
      </c>
      <c r="AG63" s="118" t="n">
        <f aca="false">IF(SUM($AF63)&lt;=0,"",SUM($AC63)/$AF63)</f>
        <v>0</v>
      </c>
      <c r="AH63" s="118" t="n">
        <f aca="false">_xlfn.IFNA(INDEX(Cascade!$BL:$BL,MATCH($E63,Cascade!$E:$E,0)),"")</f>
        <v>1</v>
      </c>
      <c r="AI63" s="118" t="str">
        <f aca="false">_xlfn.IFNA(INDEX(Cascade!$BO:$BO,MATCH($E63,Cascade!$E:$E,0)),"")</f>
        <v/>
      </c>
      <c r="AJ63" s="118" t="str">
        <f aca="false">_xlfn.IFNA(INDEX(Cascade!$BR:$BR,MATCH($E63,Cascade!$E:$E,0)),"")</f>
        <v/>
      </c>
    </row>
    <row r="64" customFormat="false" ht="15" hidden="false" customHeight="false" outlineLevel="0" collapsed="false">
      <c r="A64" s="0" t="s">
        <v>147</v>
      </c>
      <c r="B64" s="0" t="s">
        <v>105</v>
      </c>
      <c r="C64" s="0" t="s">
        <v>66</v>
      </c>
      <c r="D64" s="0" t="s">
        <v>58</v>
      </c>
      <c r="E64" s="0" t="str">
        <f aca="false">B64&amp;"|"&amp;C64&amp;"|"&amp;D64</f>
        <v>Mohale's Hoek [#SNU] [#DREAMS] [YGI7vISD2kJ]|20-24|Male</v>
      </c>
      <c r="F64" s="73" t="n">
        <f aca="false">_xlfn.IFNA(INDEX(Cascade!$F:$F,MATCH($E64,Cascade!$E:$E,0)),"")</f>
        <v>7344</v>
      </c>
      <c r="G64" s="73" t="n">
        <f aca="false">_xlfn.IFNA(INDEX(Cascade!$H:$H,MATCH($E64,Cascade!$E:$E,0)),"")</f>
        <v>416</v>
      </c>
      <c r="H64" s="118" t="n">
        <f aca="false">_xlfn.IFNA(INDEX(Cascade!$J:$J,MATCH($E64,Cascade!$E:$E,0)),"")</f>
        <v>0.0566988</v>
      </c>
      <c r="I64" s="73" t="n">
        <f aca="false">_xlfn.IFNA(INDEX(Cascade!$P:$P,MATCH($E64,Cascade!$E:$E,0)),"")</f>
        <v>223</v>
      </c>
      <c r="J64" s="118" t="n">
        <f aca="false">_xlfn.IFNA(INDEX(Cascade!$Y:$Y,MATCH($E64,Cascade!$E:$E,0)),"")</f>
        <v>0.536057692307692</v>
      </c>
      <c r="K64" s="75" t="str">
        <f aca="false">_xlfn.IFNA(ROUND(INDEX(Spectrum!$N:$N,MATCH(RIGHT($B64,13)&amp;"|"&amp;$C64&amp;"|"&amp;$D64&amp;"|"&amp;K$14&amp;"|"&amp;"CY2021Q3",Spectrum!$Q:$Q,0)),0),"")</f>
        <v/>
      </c>
      <c r="L64" s="75" t="str">
        <f aca="false">_xlfn.IFNA(ROUND(INDEX(Spectrum!$N:$N,MATCH(RIGHT($B64,13)&amp;"|"&amp;$C64&amp;"|"&amp;$D64&amp;"|"&amp;L$14&amp;"|"&amp;"CY2021Q3",Spectrum!$Q:$Q,0)),0),"")</f>
        <v/>
      </c>
      <c r="M64" s="118" t="n">
        <f aca="false">IF(OR(LEFT($B64,4)="_Mil",SUM($F64)&lt;=0),"",SUM($L64)/$F64)</f>
        <v>0</v>
      </c>
      <c r="N64" s="118" t="n">
        <f aca="false">IF(LEFT($B64,4)="_Mil","",80%)</f>
        <v>0.8</v>
      </c>
      <c r="O64" s="75" t="n">
        <f aca="false">IF(LEFT($B64,4)="_Mil","",IF(SUM($F64)=0,"",ROUND(SUM($F64)*SUM($N64),0)))</f>
        <v>5875</v>
      </c>
      <c r="P64" s="75" t="n">
        <f aca="false">IF(LEFT($B64,4)="_Mil","",IF(SUM($F64)=0,"",ROUND(MAX(SUM($O64)-SUM($L64),0),0)))</f>
        <v>5875</v>
      </c>
      <c r="Q64" s="73" t="n">
        <v>22</v>
      </c>
      <c r="R64" s="73" t="n">
        <v>45</v>
      </c>
      <c r="S64" s="118" t="str">
        <f aca="false">IF(LEFT($B64,4)="_Mil","",IF(SUM($K64)&lt;=0,"",SUM($R64)/$K64))</f>
        <v/>
      </c>
      <c r="T64" s="118" t="str">
        <f aca="false">IF(SUM($S64)&lt;=0,"",$S64)</f>
        <v/>
      </c>
      <c r="U64" s="118" t="str">
        <f aca="false">IF(LEFT($B64,4)="_Mil",0,"")</f>
        <v/>
      </c>
      <c r="V64" s="118" t="n">
        <v>11</v>
      </c>
      <c r="W64" s="118" t="n">
        <f aca="false">IF(SUM($V64)=0,"",$V64)</f>
        <v>11</v>
      </c>
      <c r="X64" s="118"/>
      <c r="Y64" s="118" t="str">
        <f aca="false">IF(SUM($X64)=0,"",$X64)</f>
        <v/>
      </c>
      <c r="Z64" s="118" t="n">
        <f aca="false">_xlfn.IFNA(INDEX(Cascade!$BA:$BA,MATCH($E64,Cascade!$E:$E,0)),"")</f>
        <v>0.95</v>
      </c>
      <c r="AA64" s="73" t="n">
        <f aca="false">IF(LEFT($B64,4)="_Mil",IF(SUM($R64)=0,"",ROUND(SUM($R64)*(1+$U64),0)),IF(SUM($P64)=0,"",ROUND(SUM($T64)*SUM($P64),0)))</f>
        <v>0</v>
      </c>
      <c r="AB64" s="75" t="str">
        <f aca="false">IF(SUM($AA64)&lt;=0,"",ROUND($AA64*$W64,0))</f>
        <v/>
      </c>
      <c r="AC64" s="75" t="str">
        <f aca="false">IF(SUM($AA64)&lt;=0,"",ROUND((SUM($AA64)-SUM($AB64))*SUM($Y64),0))</f>
        <v/>
      </c>
      <c r="AD64" s="75" t="str">
        <f aca="false">IF(SUM($AA64)&lt;=0,"",$AA64-$AB64-$AC64)</f>
        <v/>
      </c>
      <c r="AE64" s="73" t="str">
        <f aca="false">IF(SUM($AC64)&lt;=0,"",ROUND($AC64*$Z64,0))</f>
        <v/>
      </c>
      <c r="AF64" s="73" t="n">
        <f aca="false">_xlfn.IFNA(INDEX(Cascade!$BD:$BD,MATCH($E64,Cascade!$E:$E,0)),"")</f>
        <v>33</v>
      </c>
      <c r="AG64" s="118" t="n">
        <f aca="false">IF(SUM($AF64)&lt;=0,"",SUM($AC64)/$AF64)</f>
        <v>0</v>
      </c>
      <c r="AH64" s="118" t="n">
        <f aca="false">_xlfn.IFNA(INDEX(Cascade!$BL:$BL,MATCH($E64,Cascade!$E:$E,0)),"")</f>
        <v>0.303030303030303</v>
      </c>
      <c r="AI64" s="118" t="n">
        <f aca="false">_xlfn.IFNA(INDEX(Cascade!$BO:$BO,MATCH($E64,Cascade!$E:$E,0)),"")</f>
        <v>30.3030303030303</v>
      </c>
      <c r="AJ64" s="118" t="n">
        <f aca="false">_xlfn.IFNA(INDEX(Cascade!$BR:$BR,MATCH($E64,Cascade!$E:$E,0)),"")</f>
        <v>-29.6060606060606</v>
      </c>
    </row>
    <row r="65" customFormat="false" ht="15" hidden="false" customHeight="false" outlineLevel="0" collapsed="false">
      <c r="A65" s="0" t="s">
        <v>147</v>
      </c>
      <c r="B65" s="0" t="s">
        <v>105</v>
      </c>
      <c r="C65" s="0" t="s">
        <v>69</v>
      </c>
      <c r="D65" s="0" t="s">
        <v>58</v>
      </c>
      <c r="E65" s="0" t="str">
        <f aca="false">B65&amp;"|"&amp;C65&amp;"|"&amp;D65</f>
        <v>Mohale's Hoek [#SNU] [#DREAMS] [YGI7vISD2kJ]|25-29|Male</v>
      </c>
      <c r="F65" s="73" t="n">
        <f aca="false">_xlfn.IFNA(INDEX(Cascade!$F:$F,MATCH($E65,Cascade!$E:$E,0)),"")</f>
        <v>7855</v>
      </c>
      <c r="G65" s="73" t="n">
        <f aca="false">_xlfn.IFNA(INDEX(Cascade!$H:$H,MATCH($E65,Cascade!$E:$E,0)),"")</f>
        <v>912</v>
      </c>
      <c r="H65" s="118" t="n">
        <f aca="false">_xlfn.IFNA(INDEX(Cascade!$J:$J,MATCH($E65,Cascade!$E:$E,0)),"")</f>
        <v>0.1161061</v>
      </c>
      <c r="I65" s="73" t="n">
        <f aca="false">_xlfn.IFNA(INDEX(Cascade!$P:$P,MATCH($E65,Cascade!$E:$E,0)),"")</f>
        <v>399</v>
      </c>
      <c r="J65" s="118" t="n">
        <f aca="false">_xlfn.IFNA(INDEX(Cascade!$Y:$Y,MATCH($E65,Cascade!$E:$E,0)),"")</f>
        <v>0.4375</v>
      </c>
      <c r="K65" s="75" t="str">
        <f aca="false">_xlfn.IFNA(ROUND(INDEX(Spectrum!$N:$N,MATCH(RIGHT($B65,13)&amp;"|"&amp;$C65&amp;"|"&amp;$D65&amp;"|"&amp;K$14&amp;"|"&amp;"CY2021Q3",Spectrum!$Q:$Q,0)),0),"")</f>
        <v/>
      </c>
      <c r="L65" s="75" t="str">
        <f aca="false">_xlfn.IFNA(ROUND(INDEX(Spectrum!$N:$N,MATCH(RIGHT($B65,13)&amp;"|"&amp;$C65&amp;"|"&amp;$D65&amp;"|"&amp;L$14&amp;"|"&amp;"CY2021Q3",Spectrum!$Q:$Q,0)),0),"")</f>
        <v/>
      </c>
      <c r="M65" s="118" t="n">
        <f aca="false">IF(OR(LEFT($B65,4)="_Mil",SUM($F65)&lt;=0),"",SUM($L65)/$F65)</f>
        <v>0</v>
      </c>
      <c r="N65" s="118" t="n">
        <f aca="false">IF(LEFT($B65,4)="_Mil","",80%)</f>
        <v>0.8</v>
      </c>
      <c r="O65" s="75" t="n">
        <f aca="false">IF(LEFT($B65,4)="_Mil","",IF(SUM($F65)=0,"",ROUND(SUM($F65)*SUM($N65),0)))</f>
        <v>6284</v>
      </c>
      <c r="P65" s="75" t="n">
        <f aca="false">IF(LEFT($B65,4)="_Mil","",IF(SUM($F65)=0,"",ROUND(MAX(SUM($O65)-SUM($L65),0),0)))</f>
        <v>6284</v>
      </c>
      <c r="Q65" s="73" t="n">
        <v>37</v>
      </c>
      <c r="R65" s="73" t="n">
        <v>10</v>
      </c>
      <c r="S65" s="118" t="str">
        <f aca="false">IF(LEFT($B65,4)="_Mil","",IF(SUM($K65)&lt;=0,"",SUM($R65)/$K65))</f>
        <v/>
      </c>
      <c r="T65" s="118" t="str">
        <f aca="false">IF(SUM($S65)&lt;=0,"",$S65)</f>
        <v/>
      </c>
      <c r="U65" s="118" t="str">
        <f aca="false">IF(LEFT($B65,4)="_Mil",0,"")</f>
        <v/>
      </c>
      <c r="V65" s="118" t="n">
        <v>49</v>
      </c>
      <c r="W65" s="118" t="n">
        <f aca="false">IF(SUM($V65)=0,"",$V65)</f>
        <v>49</v>
      </c>
      <c r="X65" s="118"/>
      <c r="Y65" s="118" t="str">
        <f aca="false">IF(SUM($X65)=0,"",$X65)</f>
        <v/>
      </c>
      <c r="Z65" s="118" t="n">
        <f aca="false">_xlfn.IFNA(INDEX(Cascade!$BA:$BA,MATCH($E65,Cascade!$E:$E,0)),"")</f>
        <v>0.95</v>
      </c>
      <c r="AA65" s="73" t="n">
        <f aca="false">IF(LEFT($B65,4)="_Mil",IF(SUM($R65)=0,"",ROUND(SUM($R65)*(1+$U65),0)),IF(SUM($P65)=0,"",ROUND(SUM($T65)*SUM($P65),0)))</f>
        <v>0</v>
      </c>
      <c r="AB65" s="75" t="str">
        <f aca="false">IF(SUM($AA65)&lt;=0,"",ROUND($AA65*$W65,0))</f>
        <v/>
      </c>
      <c r="AC65" s="75" t="str">
        <f aca="false">IF(SUM($AA65)&lt;=0,"",ROUND((SUM($AA65)-SUM($AB65))*SUM($Y65),0))</f>
        <v/>
      </c>
      <c r="AD65" s="75" t="str">
        <f aca="false">IF(SUM($AA65)&lt;=0,"",$AA65-$AB65-$AC65)</f>
        <v/>
      </c>
      <c r="AE65" s="73" t="str">
        <f aca="false">IF(SUM($AC65)&lt;=0,"",ROUND($AC65*$Z65,0))</f>
        <v/>
      </c>
      <c r="AF65" s="73" t="n">
        <f aca="false">_xlfn.IFNA(INDEX(Cascade!$BD:$BD,MATCH($E65,Cascade!$E:$E,0)),"")</f>
        <v>8</v>
      </c>
      <c r="AG65" s="118" t="n">
        <f aca="false">IF(SUM($AF65)&lt;=0,"",SUM($AC65)/$AF65)</f>
        <v>0</v>
      </c>
      <c r="AH65" s="118" t="n">
        <f aca="false">_xlfn.IFNA(INDEX(Cascade!$BL:$BL,MATCH($E65,Cascade!$E:$E,0)),"")</f>
        <v>0.25</v>
      </c>
      <c r="AI65" s="118" t="n">
        <f aca="false">_xlfn.IFNA(INDEX(Cascade!$BO:$BO,MATCH($E65,Cascade!$E:$E,0)),"")</f>
        <v>-1077.375</v>
      </c>
      <c r="AJ65" s="118" t="n">
        <f aca="false">_xlfn.IFNA(INDEX(Cascade!$BR:$BR,MATCH($E65,Cascade!$E:$E,0)),"")</f>
        <v>1078.125</v>
      </c>
    </row>
    <row r="66" customFormat="false" ht="15" hidden="false" customHeight="false" outlineLevel="0" collapsed="false">
      <c r="A66" s="0" t="s">
        <v>147</v>
      </c>
      <c r="B66" s="0" t="s">
        <v>105</v>
      </c>
      <c r="C66" s="0" t="s">
        <v>72</v>
      </c>
      <c r="D66" s="0" t="s">
        <v>58</v>
      </c>
      <c r="E66" s="0" t="str">
        <f aca="false">B66&amp;"|"&amp;C66&amp;"|"&amp;D66</f>
        <v>Mohale's Hoek [#SNU] [#DREAMS] [YGI7vISD2kJ]|30-34|Male</v>
      </c>
      <c r="F66" s="73" t="n">
        <f aca="false">_xlfn.IFNA(INDEX(Cascade!$F:$F,MATCH($E66,Cascade!$E:$E,0)),"")</f>
        <v>7762</v>
      </c>
      <c r="G66" s="73" t="n">
        <f aca="false">_xlfn.IFNA(INDEX(Cascade!$H:$H,MATCH($E66,Cascade!$E:$E,0)),"")</f>
        <v>1635</v>
      </c>
      <c r="H66" s="118" t="n">
        <f aca="false">_xlfn.IFNA(INDEX(Cascade!$J:$J,MATCH($E66,Cascade!$E:$E,0)),"")</f>
        <v>0.2107007</v>
      </c>
      <c r="I66" s="73" t="n">
        <f aca="false">_xlfn.IFNA(INDEX(Cascade!$P:$P,MATCH($E66,Cascade!$E:$E,0)),"")</f>
        <v>701</v>
      </c>
      <c r="J66" s="118" t="n">
        <f aca="false">_xlfn.IFNA(INDEX(Cascade!$Y:$Y,MATCH($E66,Cascade!$E:$E,0)),"")</f>
        <v>0.428746177370031</v>
      </c>
      <c r="K66" s="75" t="str">
        <f aca="false">_xlfn.IFNA(ROUND(INDEX(Spectrum!$N:$N,MATCH(RIGHT($B66,13)&amp;"|"&amp;$C66&amp;"|"&amp;$D66&amp;"|"&amp;K$14&amp;"|"&amp;"CY2021Q3",Spectrum!$Q:$Q,0)),0),"")</f>
        <v/>
      </c>
      <c r="L66" s="75" t="str">
        <f aca="false">_xlfn.IFNA(ROUND(INDEX(Spectrum!$N:$N,MATCH(RIGHT($B66,13)&amp;"|"&amp;$C66&amp;"|"&amp;$D66&amp;"|"&amp;L$14&amp;"|"&amp;"CY2021Q3",Spectrum!$Q:$Q,0)),0),"")</f>
        <v/>
      </c>
      <c r="M66" s="118" t="n">
        <f aca="false">IF(OR(LEFT($B66,4)="_Mil",SUM($F66)&lt;=0),"",SUM($L66)/$F66)</f>
        <v>0</v>
      </c>
      <c r="N66" s="118" t="n">
        <f aca="false">IF(LEFT($B66,4)="_Mil","",80%)</f>
        <v>0.8</v>
      </c>
      <c r="O66" s="75" t="n">
        <f aca="false">IF(LEFT($B66,4)="_Mil","",IF(SUM($F66)=0,"",ROUND(SUM($F66)*SUM($N66),0)))</f>
        <v>6210</v>
      </c>
      <c r="P66" s="75" t="n">
        <f aca="false">IF(LEFT($B66,4)="_Mil","",IF(SUM($F66)=0,"",ROUND(MAX(SUM($O66)-SUM($L66),0),0)))</f>
        <v>6210</v>
      </c>
      <c r="Q66" s="73" t="n">
        <v>11</v>
      </c>
      <c r="R66" s="73" t="n">
        <v>11</v>
      </c>
      <c r="S66" s="118" t="str">
        <f aca="false">IF(LEFT($B66,4)="_Mil","",IF(SUM($K66)&lt;=0,"",SUM($R66)/$K66))</f>
        <v/>
      </c>
      <c r="T66" s="118" t="str">
        <f aca="false">IF(SUM($S66)&lt;=0,"",$S66)</f>
        <v/>
      </c>
      <c r="U66" s="118" t="str">
        <f aca="false">IF(LEFT($B66,4)="_Mil",0,"")</f>
        <v/>
      </c>
      <c r="V66" s="118" t="n">
        <v>34</v>
      </c>
      <c r="W66" s="118" t="n">
        <f aca="false">IF(SUM($V66)=0,"",$V66)</f>
        <v>34</v>
      </c>
      <c r="X66" s="118"/>
      <c r="Y66" s="118" t="str">
        <f aca="false">IF(SUM($X66)=0,"",$X66)</f>
        <v/>
      </c>
      <c r="Z66" s="118" t="n">
        <f aca="false">_xlfn.IFNA(INDEX(Cascade!$BA:$BA,MATCH($E66,Cascade!$E:$E,0)),"")</f>
        <v>0.95</v>
      </c>
      <c r="AA66" s="73" t="n">
        <f aca="false">IF(LEFT($B66,4)="_Mil",IF(SUM($R66)=0,"",ROUND(SUM($R66)*(1+$U66),0)),IF(SUM($P66)=0,"",ROUND(SUM($T66)*SUM($P66),0)))</f>
        <v>0</v>
      </c>
      <c r="AB66" s="75" t="str">
        <f aca="false">IF(SUM($AA66)&lt;=0,"",ROUND($AA66*$W66,0))</f>
        <v/>
      </c>
      <c r="AC66" s="75" t="str">
        <f aca="false">IF(SUM($AA66)&lt;=0,"",ROUND((SUM($AA66)-SUM($AB66))*SUM($Y66),0))</f>
        <v/>
      </c>
      <c r="AD66" s="75" t="str">
        <f aca="false">IF(SUM($AA66)&lt;=0,"",$AA66-$AB66-$AC66)</f>
        <v/>
      </c>
      <c r="AE66" s="73" t="str">
        <f aca="false">IF(SUM($AC66)&lt;=0,"",ROUND($AC66*$Z66,0))</f>
        <v/>
      </c>
      <c r="AF66" s="73" t="n">
        <f aca="false">_xlfn.IFNA(INDEX(Cascade!$BD:$BD,MATCH($E66,Cascade!$E:$E,0)),"")</f>
        <v>16</v>
      </c>
      <c r="AG66" s="118" t="n">
        <f aca="false">IF(SUM($AF66)&lt;=0,"",SUM($AC66)/$AF66)</f>
        <v>0</v>
      </c>
      <c r="AH66" s="118" t="n">
        <f aca="false">_xlfn.IFNA(INDEX(Cascade!$BL:$BL,MATCH($E66,Cascade!$E:$E,0)),"")</f>
        <v>0.3125</v>
      </c>
      <c r="AI66" s="118" t="n">
        <f aca="false">_xlfn.IFNA(INDEX(Cascade!$BO:$BO,MATCH($E66,Cascade!$E:$E,0)),"")</f>
        <v>-3031.875</v>
      </c>
      <c r="AJ66" s="118" t="n">
        <f aca="false">_xlfn.IFNA(INDEX(Cascade!$BR:$BR,MATCH($E66,Cascade!$E:$E,0)),"")</f>
        <v>3032.5625</v>
      </c>
    </row>
    <row r="67" customFormat="false" ht="15" hidden="false" customHeight="false" outlineLevel="0" collapsed="false">
      <c r="A67" s="0" t="s">
        <v>147</v>
      </c>
      <c r="B67" s="0" t="s">
        <v>105</v>
      </c>
      <c r="C67" s="0" t="s">
        <v>75</v>
      </c>
      <c r="D67" s="0" t="s">
        <v>58</v>
      </c>
      <c r="E67" s="0" t="str">
        <f aca="false">B67&amp;"|"&amp;C67&amp;"|"&amp;D67</f>
        <v>Mohale's Hoek [#SNU] [#DREAMS] [YGI7vISD2kJ]|35-39|Male</v>
      </c>
      <c r="F67" s="73" t="n">
        <f aca="false">_xlfn.IFNA(INDEX(Cascade!$F:$F,MATCH($E67,Cascade!$E:$E,0)),"")</f>
        <v>5666</v>
      </c>
      <c r="G67" s="73" t="n">
        <f aca="false">_xlfn.IFNA(INDEX(Cascade!$H:$H,MATCH($E67,Cascade!$E:$E,0)),"")</f>
        <v>1903</v>
      </c>
      <c r="H67" s="118" t="n">
        <f aca="false">_xlfn.IFNA(INDEX(Cascade!$J:$J,MATCH($E67,Cascade!$E:$E,0)),"")</f>
        <v>0.3358209</v>
      </c>
      <c r="I67" s="73" t="n">
        <f aca="false">_xlfn.IFNA(INDEX(Cascade!$P:$P,MATCH($E67,Cascade!$E:$E,0)),"")</f>
        <v>987</v>
      </c>
      <c r="J67" s="118" t="n">
        <f aca="false">_xlfn.IFNA(INDEX(Cascade!$Y:$Y,MATCH($E67,Cascade!$E:$E,0)),"")</f>
        <v>0.518654755648975</v>
      </c>
      <c r="K67" s="75" t="str">
        <f aca="false">_xlfn.IFNA(ROUND(INDEX(Spectrum!$N:$N,MATCH(RIGHT($B67,13)&amp;"|"&amp;$C67&amp;"|"&amp;$D67&amp;"|"&amp;K$14&amp;"|"&amp;"CY2021Q3",Spectrum!$Q:$Q,0)),0),"")</f>
        <v/>
      </c>
      <c r="L67" s="75" t="str">
        <f aca="false">_xlfn.IFNA(ROUND(INDEX(Spectrum!$N:$N,MATCH(RIGHT($B67,13)&amp;"|"&amp;$C67&amp;"|"&amp;$D67&amp;"|"&amp;L$14&amp;"|"&amp;"CY2021Q3",Spectrum!$Q:$Q,0)),0),"")</f>
        <v/>
      </c>
      <c r="M67" s="118" t="n">
        <f aca="false">IF(OR(LEFT($B67,4)="_Mil",SUM($F67)&lt;=0),"",SUM($L67)/$F67)</f>
        <v>0</v>
      </c>
      <c r="N67" s="118" t="n">
        <f aca="false">IF(LEFT($B67,4)="_Mil","",80%)</f>
        <v>0.8</v>
      </c>
      <c r="O67" s="75" t="n">
        <f aca="false">IF(LEFT($B67,4)="_Mil","",IF(SUM($F67)=0,"",ROUND(SUM($F67)*SUM($N67),0)))</f>
        <v>4533</v>
      </c>
      <c r="P67" s="75" t="n">
        <f aca="false">IF(LEFT($B67,4)="_Mil","",IF(SUM($F67)=0,"",ROUND(MAX(SUM($O67)-SUM($L67),0),0)))</f>
        <v>4533</v>
      </c>
      <c r="Q67" s="73" t="n">
        <v>26</v>
      </c>
      <c r="R67" s="73" t="n">
        <v>5</v>
      </c>
      <c r="S67" s="118" t="str">
        <f aca="false">IF(LEFT($B67,4)="_Mil","",IF(SUM($K67)&lt;=0,"",SUM($R67)/$K67))</f>
        <v/>
      </c>
      <c r="T67" s="118" t="str">
        <f aca="false">IF(SUM($S67)&lt;=0,"",$S67)</f>
        <v/>
      </c>
      <c r="U67" s="118" t="str">
        <f aca="false">IF(LEFT($B67,4)="_Mil",0,"")</f>
        <v/>
      </c>
      <c r="V67" s="118" t="n">
        <v>38</v>
      </c>
      <c r="W67" s="118" t="n">
        <f aca="false">IF(SUM($V67)=0,"",$V67)</f>
        <v>38</v>
      </c>
      <c r="X67" s="118" t="n">
        <v>38</v>
      </c>
      <c r="Y67" s="118" t="n">
        <f aca="false">IF(SUM($X67)=0,"",$X67)</f>
        <v>38</v>
      </c>
      <c r="Z67" s="118" t="n">
        <f aca="false">_xlfn.IFNA(INDEX(Cascade!$BA:$BA,MATCH($E67,Cascade!$E:$E,0)),"")</f>
        <v>0.95</v>
      </c>
      <c r="AA67" s="73" t="n">
        <f aca="false">IF(LEFT($B67,4)="_Mil",IF(SUM($R67)=0,"",ROUND(SUM($R67)*(1+$U67),0)),IF(SUM($P67)=0,"",ROUND(SUM($T67)*SUM($P67),0)))</f>
        <v>0</v>
      </c>
      <c r="AB67" s="75" t="str">
        <f aca="false">IF(SUM($AA67)&lt;=0,"",ROUND($AA67*$W67,0))</f>
        <v/>
      </c>
      <c r="AC67" s="75" t="str">
        <f aca="false">IF(SUM($AA67)&lt;=0,"",ROUND((SUM($AA67)-SUM($AB67))*SUM($Y67),0))</f>
        <v/>
      </c>
      <c r="AD67" s="75" t="str">
        <f aca="false">IF(SUM($AA67)&lt;=0,"",$AA67-$AB67-$AC67)</f>
        <v/>
      </c>
      <c r="AE67" s="73" t="str">
        <f aca="false">IF(SUM($AC67)&lt;=0,"",ROUND($AC67*$Z67,0))</f>
        <v/>
      </c>
      <c r="AF67" s="73" t="n">
        <f aca="false">_xlfn.IFNA(INDEX(Cascade!$BD:$BD,MATCH($E67,Cascade!$E:$E,0)),"")</f>
        <v>24</v>
      </c>
      <c r="AG67" s="118" t="n">
        <f aca="false">IF(SUM($AF67)&lt;=0,"",SUM($AC67)/$AF67)</f>
        <v>0</v>
      </c>
      <c r="AH67" s="118" t="n">
        <f aca="false">_xlfn.IFNA(INDEX(Cascade!$BL:$BL,MATCH($E67,Cascade!$E:$E,0)),"")</f>
        <v>0.291666666666667</v>
      </c>
      <c r="AI67" s="118" t="n">
        <f aca="false">_xlfn.IFNA(INDEX(Cascade!$BO:$BO,MATCH($E67,Cascade!$E:$E,0)),"")</f>
        <v>-2.5</v>
      </c>
      <c r="AJ67" s="118" t="n">
        <f aca="false">_xlfn.IFNA(INDEX(Cascade!$BR:$BR,MATCH($E67,Cascade!$E:$E,0)),"")</f>
        <v>3.20833333333333</v>
      </c>
    </row>
    <row r="68" customFormat="false" ht="15" hidden="false" customHeight="false" outlineLevel="0" collapsed="false">
      <c r="A68" s="0" t="s">
        <v>147</v>
      </c>
      <c r="B68" s="0" t="s">
        <v>105</v>
      </c>
      <c r="C68" s="0" t="s">
        <v>77</v>
      </c>
      <c r="D68" s="0" t="s">
        <v>58</v>
      </c>
      <c r="E68" s="0" t="str">
        <f aca="false">B68&amp;"|"&amp;C68&amp;"|"&amp;D68</f>
        <v>Mohale's Hoek [#SNU] [#DREAMS] [YGI7vISD2kJ]|40-44|Male</v>
      </c>
      <c r="F68" s="73" t="n">
        <f aca="false">_xlfn.IFNA(INDEX(Cascade!$F:$F,MATCH($E68,Cascade!$E:$E,0)),"")</f>
        <v>3842</v>
      </c>
      <c r="G68" s="73" t="n">
        <f aca="false">_xlfn.IFNA(INDEX(Cascade!$H:$H,MATCH($E68,Cascade!$E:$E,0)),"")</f>
        <v>1622</v>
      </c>
      <c r="H68" s="118" t="n">
        <f aca="false">_xlfn.IFNA(INDEX(Cascade!$J:$J,MATCH($E68,Cascade!$E:$E,0)),"")</f>
        <v>0.4220097</v>
      </c>
      <c r="I68" s="73" t="n">
        <f aca="false">_xlfn.IFNA(INDEX(Cascade!$P:$P,MATCH($E68,Cascade!$E:$E,0)),"")</f>
        <v>1027</v>
      </c>
      <c r="J68" s="118" t="n">
        <f aca="false">_xlfn.IFNA(INDEX(Cascade!$Y:$Y,MATCH($E68,Cascade!$E:$E,0)),"")</f>
        <v>0.633168927250308</v>
      </c>
      <c r="K68" s="75" t="str">
        <f aca="false">_xlfn.IFNA(ROUND(INDEX(Spectrum!$N:$N,MATCH(RIGHT($B68,13)&amp;"|"&amp;$C68&amp;"|"&amp;$D68&amp;"|"&amp;K$14&amp;"|"&amp;"CY2021Q3",Spectrum!$Q:$Q,0)),0),"")</f>
        <v/>
      </c>
      <c r="L68" s="75" t="str">
        <f aca="false">_xlfn.IFNA(ROUND(INDEX(Spectrum!$N:$N,MATCH(RIGHT($B68,13)&amp;"|"&amp;$C68&amp;"|"&amp;$D68&amp;"|"&amp;L$14&amp;"|"&amp;"CY2021Q3",Spectrum!$Q:$Q,0)),0),"")</f>
        <v/>
      </c>
      <c r="M68" s="118" t="n">
        <f aca="false">IF(OR(LEFT($B68,4)="_Mil",SUM($F68)&lt;=0),"",SUM($L68)/$F68)</f>
        <v>0</v>
      </c>
      <c r="N68" s="118" t="n">
        <f aca="false">IF(LEFT($B68,4)="_Mil","",80%)</f>
        <v>0.8</v>
      </c>
      <c r="O68" s="75" t="n">
        <f aca="false">IF(LEFT($B68,4)="_Mil","",IF(SUM($F68)=0,"",ROUND(SUM($F68)*SUM($N68),0)))</f>
        <v>3074</v>
      </c>
      <c r="P68" s="75" t="n">
        <f aca="false">IF(LEFT($B68,4)="_Mil","",IF(SUM($F68)=0,"",ROUND(MAX(SUM($O68)-SUM($L68),0),0)))</f>
        <v>3074</v>
      </c>
      <c r="Q68" s="73" t="n">
        <v>49</v>
      </c>
      <c r="R68" s="73" t="n">
        <v>48</v>
      </c>
      <c r="S68" s="118" t="str">
        <f aca="false">IF(LEFT($B68,4)="_Mil","",IF(SUM($K68)&lt;=0,"",SUM($R68)/$K68))</f>
        <v/>
      </c>
      <c r="T68" s="118" t="str">
        <f aca="false">IF(SUM($S68)&lt;=0,"",$S68)</f>
        <v/>
      </c>
      <c r="U68" s="118" t="str">
        <f aca="false">IF(LEFT($B68,4)="_Mil",0,"")</f>
        <v/>
      </c>
      <c r="V68" s="118" t="n">
        <v>2</v>
      </c>
      <c r="W68" s="118" t="n">
        <f aca="false">IF(SUM($V68)=0,"",$V68)</f>
        <v>2</v>
      </c>
      <c r="X68" s="118"/>
      <c r="Y68" s="118" t="str">
        <f aca="false">IF(SUM($X68)=0,"",$X68)</f>
        <v/>
      </c>
      <c r="Z68" s="118" t="n">
        <f aca="false">_xlfn.IFNA(INDEX(Cascade!$BA:$BA,MATCH($E68,Cascade!$E:$E,0)),"")</f>
        <v>0.95</v>
      </c>
      <c r="AA68" s="73" t="n">
        <f aca="false">IF(LEFT($B68,4)="_Mil",IF(SUM($R68)=0,"",ROUND(SUM($R68)*(1+$U68),0)),IF(SUM($P68)=0,"",ROUND(SUM($T68)*SUM($P68),0)))</f>
        <v>0</v>
      </c>
      <c r="AB68" s="75" t="str">
        <f aca="false">IF(SUM($AA68)&lt;=0,"",ROUND($AA68*$W68,0))</f>
        <v/>
      </c>
      <c r="AC68" s="75" t="str">
        <f aca="false">IF(SUM($AA68)&lt;=0,"",ROUND((SUM($AA68)-SUM($AB68))*SUM($Y68),0))</f>
        <v/>
      </c>
      <c r="AD68" s="75" t="str">
        <f aca="false">IF(SUM($AA68)&lt;=0,"",$AA68-$AB68-$AC68)</f>
        <v/>
      </c>
      <c r="AE68" s="73" t="str">
        <f aca="false">IF(SUM($AC68)&lt;=0,"",ROUND($AC68*$Z68,0))</f>
        <v/>
      </c>
      <c r="AF68" s="73" t="n">
        <f aca="false">_xlfn.IFNA(INDEX(Cascade!$BD:$BD,MATCH($E68,Cascade!$E:$E,0)),"")</f>
        <v>21</v>
      </c>
      <c r="AG68" s="118" t="n">
        <f aca="false">IF(SUM($AF68)&lt;=0,"",SUM($AC68)/$AF68)</f>
        <v>0</v>
      </c>
      <c r="AH68" s="118" t="n">
        <f aca="false">_xlfn.IFNA(INDEX(Cascade!$BL:$BL,MATCH($E68,Cascade!$E:$E,0)),"")</f>
        <v>0.285714285714286</v>
      </c>
      <c r="AI68" s="118" t="n">
        <f aca="false">_xlfn.IFNA(INDEX(Cascade!$BO:$BO,MATCH($E68,Cascade!$E:$E,0)),"")</f>
        <v>-416.285714285714</v>
      </c>
      <c r="AJ68" s="118" t="n">
        <f aca="false">_xlfn.IFNA(INDEX(Cascade!$BR:$BR,MATCH($E68,Cascade!$E:$E,0)),"")</f>
        <v>417</v>
      </c>
    </row>
    <row r="69" customFormat="false" ht="15" hidden="false" customHeight="false" outlineLevel="0" collapsed="false">
      <c r="A69" s="0" t="s">
        <v>147</v>
      </c>
      <c r="B69" s="0" t="s">
        <v>105</v>
      </c>
      <c r="C69" s="0" t="s">
        <v>80</v>
      </c>
      <c r="D69" s="0" t="s">
        <v>58</v>
      </c>
      <c r="E69" s="0" t="str">
        <f aca="false">B69&amp;"|"&amp;C69&amp;"|"&amp;D69</f>
        <v>Mohale's Hoek [#SNU] [#DREAMS] [YGI7vISD2kJ]|45-49|Male</v>
      </c>
      <c r="F69" s="73" t="n">
        <f aca="false">_xlfn.IFNA(INDEX(Cascade!$F:$F,MATCH($E69,Cascade!$E:$E,0)),"")</f>
        <v>2708</v>
      </c>
      <c r="G69" s="73" t="n">
        <f aca="false">_xlfn.IFNA(INDEX(Cascade!$H:$H,MATCH($E69,Cascade!$E:$E,0)),"")</f>
        <v>1334</v>
      </c>
      <c r="H69" s="118" t="n">
        <f aca="false">_xlfn.IFNA(INDEX(Cascade!$J:$J,MATCH($E69,Cascade!$E:$E,0)),"")</f>
        <v>0.492662</v>
      </c>
      <c r="I69" s="73" t="n">
        <f aca="false">_xlfn.IFNA(INDEX(Cascade!$P:$P,MATCH($E69,Cascade!$E:$E,0)),"")</f>
        <v>893</v>
      </c>
      <c r="J69" s="118" t="n">
        <f aca="false">_xlfn.IFNA(INDEX(Cascade!$Y:$Y,MATCH($E69,Cascade!$E:$E,0)),"")</f>
        <v>0.669415292353823</v>
      </c>
      <c r="K69" s="75" t="str">
        <f aca="false">_xlfn.IFNA(ROUND(INDEX(Spectrum!$N:$N,MATCH(RIGHT($B69,13)&amp;"|"&amp;$C69&amp;"|"&amp;$D69&amp;"|"&amp;K$14&amp;"|"&amp;"CY2021Q3",Spectrum!$Q:$Q,0)),0),"")</f>
        <v/>
      </c>
      <c r="L69" s="75" t="str">
        <f aca="false">_xlfn.IFNA(ROUND(INDEX(Spectrum!$N:$N,MATCH(RIGHT($B69,13)&amp;"|"&amp;$C69&amp;"|"&amp;$D69&amp;"|"&amp;L$14&amp;"|"&amp;"CY2021Q3",Spectrum!$Q:$Q,0)),0),"")</f>
        <v/>
      </c>
      <c r="M69" s="118" t="n">
        <f aca="false">IF(OR(LEFT($B69,4)="_Mil",SUM($F69)&lt;=0),"",SUM($L69)/$F69)</f>
        <v>0</v>
      </c>
      <c r="N69" s="118" t="n">
        <f aca="false">IF(LEFT($B69,4)="_Mil","",80%)</f>
        <v>0.8</v>
      </c>
      <c r="O69" s="75" t="n">
        <f aca="false">IF(LEFT($B69,4)="_Mil","",IF(SUM($F69)=0,"",ROUND(SUM($F69)*SUM($N69),0)))</f>
        <v>2166</v>
      </c>
      <c r="P69" s="75" t="n">
        <f aca="false">IF(LEFT($B69,4)="_Mil","",IF(SUM($F69)=0,"",ROUND(MAX(SUM($O69)-SUM($L69),0),0)))</f>
        <v>2166</v>
      </c>
      <c r="Q69" s="73" t="n">
        <v>6</v>
      </c>
      <c r="R69" s="73" t="n">
        <v>8</v>
      </c>
      <c r="S69" s="118" t="str">
        <f aca="false">IF(LEFT($B69,4)="_Mil","",IF(SUM($K69)&lt;=0,"",SUM($R69)/$K69))</f>
        <v/>
      </c>
      <c r="T69" s="118" t="str">
        <f aca="false">IF(SUM($S69)&lt;=0,"",$S69)</f>
        <v/>
      </c>
      <c r="U69" s="118" t="str">
        <f aca="false">IF(LEFT($B69,4)="_Mil",0,"")</f>
        <v/>
      </c>
      <c r="V69" s="118" t="n">
        <v>29</v>
      </c>
      <c r="W69" s="118" t="n">
        <f aca="false">IF(SUM($V69)=0,"",$V69)</f>
        <v>29</v>
      </c>
      <c r="X69" s="118"/>
      <c r="Y69" s="118" t="str">
        <f aca="false">IF(SUM($X69)=0,"",$X69)</f>
        <v/>
      </c>
      <c r="Z69" s="118" t="n">
        <f aca="false">_xlfn.IFNA(INDEX(Cascade!$BA:$BA,MATCH($E69,Cascade!$E:$E,0)),"")</f>
        <v>0.95</v>
      </c>
      <c r="AA69" s="73" t="n">
        <f aca="false">IF(LEFT($B69,4)="_Mil",IF(SUM($R69)=0,"",ROUND(SUM($R69)*(1+$U69),0)),IF(SUM($P69)=0,"",ROUND(SUM($T69)*SUM($P69),0)))</f>
        <v>0</v>
      </c>
      <c r="AB69" s="75" t="str">
        <f aca="false">IF(SUM($AA69)&lt;=0,"",ROUND($AA69*$W69,0))</f>
        <v/>
      </c>
      <c r="AC69" s="75" t="str">
        <f aca="false">IF(SUM($AA69)&lt;=0,"",ROUND((SUM($AA69)-SUM($AB69))*SUM($Y69),0))</f>
        <v/>
      </c>
      <c r="AD69" s="75" t="str">
        <f aca="false">IF(SUM($AA69)&lt;=0,"",$AA69-$AB69-$AC69)</f>
        <v/>
      </c>
      <c r="AE69" s="73" t="str">
        <f aca="false">IF(SUM($AC69)&lt;=0,"",ROUND($AC69*$Z69,0))</f>
        <v/>
      </c>
      <c r="AF69" s="73" t="n">
        <f aca="false">_xlfn.IFNA(INDEX(Cascade!$BD:$BD,MATCH($E69,Cascade!$E:$E,0)),"")</f>
        <v>2</v>
      </c>
      <c r="AG69" s="118" t="n">
        <f aca="false">IF(SUM($AF69)&lt;=0,"",SUM($AC69)/$AF69)</f>
        <v>0</v>
      </c>
      <c r="AH69" s="118" t="n">
        <f aca="false">_xlfn.IFNA(INDEX(Cascade!$BL:$BL,MATCH($E69,Cascade!$E:$E,0)),"")</f>
        <v>0.5</v>
      </c>
      <c r="AI69" s="118" t="n">
        <f aca="false">_xlfn.IFNA(INDEX(Cascade!$BO:$BO,MATCH($E69,Cascade!$E:$E,0)),"")</f>
        <v>-13860</v>
      </c>
      <c r="AJ69" s="118" t="n">
        <f aca="false">_xlfn.IFNA(INDEX(Cascade!$BR:$BR,MATCH($E69,Cascade!$E:$E,0)),"")</f>
        <v>13860.5</v>
      </c>
    </row>
    <row r="70" customFormat="false" ht="15" hidden="false" customHeight="false" outlineLevel="0" collapsed="false">
      <c r="A70" s="0" t="s">
        <v>147</v>
      </c>
      <c r="B70" s="0" t="s">
        <v>105</v>
      </c>
      <c r="C70" s="0" t="s">
        <v>86</v>
      </c>
      <c r="D70" s="0" t="s">
        <v>58</v>
      </c>
      <c r="E70" s="0" t="str">
        <f aca="false">B70&amp;"|"&amp;C70&amp;"|"&amp;D70</f>
        <v>Mohale's Hoek [#SNU] [#DREAMS] [YGI7vISD2kJ]|50+|Male</v>
      </c>
      <c r="F70" s="73" t="n">
        <f aca="false">_xlfn.IFNA(INDEX(Cascade!$F:$F,MATCH($E70,Cascade!$E:$E,0)),"")</f>
        <v>11413</v>
      </c>
      <c r="G70" s="73" t="n">
        <f aca="false">_xlfn.IFNA(INDEX(Cascade!$H:$H,MATCH($E70,Cascade!$E:$E,0)),"")</f>
        <v>3561</v>
      </c>
      <c r="H70" s="118" t="n">
        <f aca="false">_xlfn.IFNA(INDEX(Cascade!$J:$J,MATCH($E70,Cascade!$E:$E,0)),"")</f>
        <v>0.3120265</v>
      </c>
      <c r="I70" s="73" t="n">
        <f aca="false">_xlfn.IFNA(INDEX(Cascade!$P:$P,MATCH($E70,Cascade!$E:$E,0)),"")</f>
        <v>2329</v>
      </c>
      <c r="J70" s="118" t="n">
        <f aca="false">_xlfn.IFNA(INDEX(Cascade!$Y:$Y,MATCH($E70,Cascade!$E:$E,0)),"")</f>
        <v>0.654029766919405</v>
      </c>
      <c r="K70" s="75" t="str">
        <f aca="false">_xlfn.IFNA(ROUND(INDEX(Spectrum!$N:$N,MATCH(RIGHT($B70,13)&amp;"|"&amp;$C70&amp;"|"&amp;$D70&amp;"|"&amp;K$14&amp;"|"&amp;"CY2021Q3",Spectrum!$Q:$Q,0)),0),"")</f>
        <v/>
      </c>
      <c r="L70" s="75" t="str">
        <f aca="false">_xlfn.IFNA(ROUND(INDEX(Spectrum!$N:$N,MATCH(RIGHT($B70,13)&amp;"|"&amp;$C70&amp;"|"&amp;$D70&amp;"|"&amp;L$14&amp;"|"&amp;"CY2021Q3",Spectrum!$Q:$Q,0)),0),"")</f>
        <v/>
      </c>
      <c r="M70" s="118" t="n">
        <f aca="false">IF(OR(LEFT($B70,4)="_Mil",SUM($F70)&lt;=0),"",SUM($L70)/$F70)</f>
        <v>0</v>
      </c>
      <c r="N70" s="118" t="n">
        <f aca="false">IF(LEFT($B70,4)="_Mil","",80%)</f>
        <v>0.8</v>
      </c>
      <c r="O70" s="75" t="n">
        <f aca="false">IF(LEFT($B70,4)="_Mil","",IF(SUM($F70)=0,"",ROUND(SUM($F70)*SUM($N70),0)))</f>
        <v>9130</v>
      </c>
      <c r="P70" s="75" t="n">
        <f aca="false">IF(LEFT($B70,4)="_Mil","",IF(SUM($F70)=0,"",ROUND(MAX(SUM($O70)-SUM($L70),0),0)))</f>
        <v>9130</v>
      </c>
      <c r="Q70" s="73" t="n">
        <v>14</v>
      </c>
      <c r="R70" s="73" t="n">
        <v>9</v>
      </c>
      <c r="S70" s="118" t="str">
        <f aca="false">IF(LEFT($B70,4)="_Mil","",IF(SUM($K70)&lt;=0,"",SUM($R70)/$K70))</f>
        <v/>
      </c>
      <c r="T70" s="118" t="str">
        <f aca="false">IF(SUM($S70)&lt;=0,"",$S70)</f>
        <v/>
      </c>
      <c r="U70" s="118" t="str">
        <f aca="false">IF(LEFT($B70,4)="_Mil",0,"")</f>
        <v/>
      </c>
      <c r="V70" s="118" t="n">
        <v>11</v>
      </c>
      <c r="W70" s="118" t="n">
        <f aca="false">IF(SUM($V70)=0,"",$V70)</f>
        <v>11</v>
      </c>
      <c r="X70" s="118"/>
      <c r="Y70" s="118" t="str">
        <f aca="false">IF(SUM($X70)=0,"",$X70)</f>
        <v/>
      </c>
      <c r="Z70" s="118" t="n">
        <f aca="false">_xlfn.IFNA(INDEX(Cascade!$BA:$BA,MATCH($E70,Cascade!$E:$E,0)),"")</f>
        <v>0.95</v>
      </c>
      <c r="AA70" s="73" t="n">
        <f aca="false">IF(LEFT($B70,4)="_Mil",IF(SUM($R70)=0,"",ROUND(SUM($R70)*(1+$U70),0)),IF(SUM($P70)=0,"",ROUND(SUM($T70)*SUM($P70),0)))</f>
        <v>0</v>
      </c>
      <c r="AB70" s="75" t="str">
        <f aca="false">IF(SUM($AA70)&lt;=0,"",ROUND($AA70*$W70,0))</f>
        <v/>
      </c>
      <c r="AC70" s="75" t="str">
        <f aca="false">IF(SUM($AA70)&lt;=0,"",ROUND((SUM($AA70)-SUM($AB70))*SUM($Y70),0))</f>
        <v/>
      </c>
      <c r="AD70" s="75" t="str">
        <f aca="false">IF(SUM($AA70)&lt;=0,"",$AA70-$AB70-$AC70)</f>
        <v/>
      </c>
      <c r="AE70" s="73" t="str">
        <f aca="false">IF(SUM($AC70)&lt;=0,"",ROUND($AC70*$Z70,0))</f>
        <v/>
      </c>
      <c r="AF70" s="73" t="n">
        <f aca="false">_xlfn.IFNA(INDEX(Cascade!$BD:$BD,MATCH($E70,Cascade!$E:$E,0)),"")</f>
        <v>8</v>
      </c>
      <c r="AG70" s="118" t="n">
        <f aca="false">IF(SUM($AF70)&lt;=0,"",SUM($AC70)/$AF70)</f>
        <v>0</v>
      </c>
      <c r="AH70" s="118" t="n">
        <f aca="false">_xlfn.IFNA(INDEX(Cascade!$BL:$BL,MATCH($E70,Cascade!$E:$E,0)),"")</f>
        <v>0.25</v>
      </c>
      <c r="AI70" s="118" t="str">
        <f aca="false">_xlfn.IFNA(INDEX(Cascade!$BO:$BO,MATCH($E70,Cascade!$E:$E,0)),"")</f>
        <v/>
      </c>
      <c r="AJ70" s="118" t="n">
        <f aca="false">_xlfn.IFNA(INDEX(Cascade!$BR:$BR,MATCH($E70,Cascade!$E:$E,0)),"")</f>
        <v>0.75</v>
      </c>
    </row>
    <row r="71" customFormat="false" ht="15" hidden="false" customHeight="false" outlineLevel="0" collapsed="false">
      <c r="A71" s="0" t="s">
        <v>148</v>
      </c>
      <c r="B71" s="0" t="s">
        <v>113</v>
      </c>
      <c r="C71" s="0" t="s">
        <v>63</v>
      </c>
      <c r="D71" s="0" t="s">
        <v>58</v>
      </c>
      <c r="E71" s="0" t="str">
        <f aca="false">B71&amp;"|"&amp;C71&amp;"|"&amp;D71</f>
        <v>Mokhotlong [#SNU] [tjhYqc1MlVo]|15-19|Male</v>
      </c>
      <c r="F71" s="73" t="n">
        <f aca="false">_xlfn.IFNA(INDEX(Cascade!$F:$F,MATCH($E71,Cascade!$E:$E,0)),"")</f>
        <v>5548</v>
      </c>
      <c r="G71" s="73" t="n">
        <f aca="false">_xlfn.IFNA(INDEX(Cascade!$H:$H,MATCH($E71,Cascade!$E:$E,0)),"")</f>
        <v>168</v>
      </c>
      <c r="H71" s="118" t="n">
        <f aca="false">_xlfn.IFNA(INDEX(Cascade!$J:$J,MATCH($E71,Cascade!$E:$E,0)),"")</f>
        <v>0.0302121</v>
      </c>
      <c r="I71" s="73" t="n">
        <f aca="false">_xlfn.IFNA(INDEX(Cascade!$P:$P,MATCH($E71,Cascade!$E:$E,0)),"")</f>
        <v>135</v>
      </c>
      <c r="J71" s="118" t="n">
        <f aca="false">_xlfn.IFNA(INDEX(Cascade!$Y:$Y,MATCH($E71,Cascade!$E:$E,0)),"")</f>
        <v>0.803571428571429</v>
      </c>
      <c r="K71" s="75" t="str">
        <f aca="false">_xlfn.IFNA(ROUND(INDEX(Spectrum!$N:$N,MATCH(RIGHT($B71,13)&amp;"|"&amp;$C71&amp;"|"&amp;$D71&amp;"|"&amp;K$14&amp;"|"&amp;"CY2021Q3",Spectrum!$Q:$Q,0)),0),"")</f>
        <v/>
      </c>
      <c r="L71" s="75" t="str">
        <f aca="false">_xlfn.IFNA(ROUND(INDEX(Spectrum!$N:$N,MATCH(RIGHT($B71,13)&amp;"|"&amp;$C71&amp;"|"&amp;$D71&amp;"|"&amp;L$14&amp;"|"&amp;"CY2021Q3",Spectrum!$Q:$Q,0)),0),"")</f>
        <v/>
      </c>
      <c r="M71" s="118" t="n">
        <f aca="false">IF(OR(LEFT($B71,4)="_Mil",SUM($F71)&lt;=0),"",SUM($L71)/$F71)</f>
        <v>0</v>
      </c>
      <c r="N71" s="118" t="n">
        <f aca="false">IF(LEFT($B71,4)="_Mil","",80%)</f>
        <v>0.8</v>
      </c>
      <c r="O71" s="75" t="n">
        <f aca="false">IF(LEFT($B71,4)="_Mil","",IF(SUM($F71)=0,"",ROUND(SUM($F71)*SUM($N71),0)))</f>
        <v>4438</v>
      </c>
      <c r="P71" s="75" t="n">
        <f aca="false">IF(LEFT($B71,4)="_Mil","",IF(SUM($F71)=0,"",ROUND(MAX(SUM($O71)-SUM($L71),0),0)))</f>
        <v>4438</v>
      </c>
      <c r="Q71" s="73"/>
      <c r="R71" s="73"/>
      <c r="S71" s="118" t="str">
        <f aca="false">IF(LEFT($B71,4)="_Mil","",IF(SUM($K71)&lt;=0,"",SUM($R71)/$K71))</f>
        <v/>
      </c>
      <c r="T71" s="118" t="str">
        <f aca="false">IF(SUM($S71)&lt;=0,"",$S71)</f>
        <v/>
      </c>
      <c r="U71" s="118" t="str">
        <f aca="false">IF(LEFT($B71,4)="_Mil",0,"")</f>
        <v/>
      </c>
      <c r="V71" s="118"/>
      <c r="W71" s="118" t="str">
        <f aca="false">IF(SUM($V71)=0,"",$V71)</f>
        <v/>
      </c>
      <c r="X71" s="118"/>
      <c r="Y71" s="118" t="str">
        <f aca="false">IF(SUM($X71)=0,"",$X71)</f>
        <v/>
      </c>
      <c r="Z71" s="118" t="n">
        <f aca="false">_xlfn.IFNA(INDEX(Cascade!$BA:$BA,MATCH($E71,Cascade!$E:$E,0)),"")</f>
        <v>0.95</v>
      </c>
      <c r="AA71" s="73" t="n">
        <f aca="false">IF(LEFT($B71,4)="_Mil",IF(SUM($R71)=0,"",ROUND(SUM($R71)*(1+$U71),0)),IF(SUM($P71)=0,"",ROUND(SUM($T71)*SUM($P71),0)))</f>
        <v>0</v>
      </c>
      <c r="AB71" s="75" t="str">
        <f aca="false">IF(SUM($AA71)&lt;=0,"",ROUND($AA71*$W71,0))</f>
        <v/>
      </c>
      <c r="AC71" s="75" t="str">
        <f aca="false">IF(SUM($AA71)&lt;=0,"",ROUND((SUM($AA71)-SUM($AB71))*SUM($Y71),0))</f>
        <v/>
      </c>
      <c r="AD71" s="75" t="str">
        <f aca="false">IF(SUM($AA71)&lt;=0,"",$AA71-$AB71-$AC71)</f>
        <v/>
      </c>
      <c r="AE71" s="73" t="str">
        <f aca="false">IF(SUM($AC71)&lt;=0,"",ROUND($AC71*$Z71,0))</f>
        <v/>
      </c>
      <c r="AF71" s="73" t="n">
        <f aca="false">_xlfn.IFNA(INDEX(Cascade!$BD:$BD,MATCH($E71,Cascade!$E:$E,0)),"")</f>
        <v>2</v>
      </c>
      <c r="AG71" s="118" t="n">
        <f aca="false">IF(SUM($AF71)&lt;=0,"",SUM($AC71)/$AF71)</f>
        <v>0</v>
      </c>
      <c r="AH71" s="118" t="n">
        <f aca="false">_xlfn.IFNA(INDEX(Cascade!$BL:$BL,MATCH($E71,Cascade!$E:$E,0)),"")</f>
        <v>1</v>
      </c>
      <c r="AI71" s="118" t="str">
        <f aca="false">_xlfn.IFNA(INDEX(Cascade!$BO:$BO,MATCH($E71,Cascade!$E:$E,0)),"")</f>
        <v/>
      </c>
      <c r="AJ71" s="118" t="str">
        <f aca="false">_xlfn.IFNA(INDEX(Cascade!$BR:$BR,MATCH($E71,Cascade!$E:$E,0)),"")</f>
        <v/>
      </c>
    </row>
    <row r="72" customFormat="false" ht="15" hidden="false" customHeight="false" outlineLevel="0" collapsed="false">
      <c r="A72" s="0" t="s">
        <v>148</v>
      </c>
      <c r="B72" s="0" t="s">
        <v>113</v>
      </c>
      <c r="C72" s="0" t="s">
        <v>66</v>
      </c>
      <c r="D72" s="0" t="s">
        <v>58</v>
      </c>
      <c r="E72" s="0" t="str">
        <f aca="false">B72&amp;"|"&amp;C72&amp;"|"&amp;D72</f>
        <v>Mokhotlong [#SNU] [tjhYqc1MlVo]|20-24|Male</v>
      </c>
      <c r="F72" s="73" t="n">
        <f aca="false">_xlfn.IFNA(INDEX(Cascade!$F:$F,MATCH($E72,Cascade!$E:$E,0)),"")</f>
        <v>4562</v>
      </c>
      <c r="G72" s="73" t="n">
        <f aca="false">_xlfn.IFNA(INDEX(Cascade!$H:$H,MATCH($E72,Cascade!$E:$E,0)),"")</f>
        <v>243</v>
      </c>
      <c r="H72" s="118" t="n">
        <f aca="false">_xlfn.IFNA(INDEX(Cascade!$J:$J,MATCH($E72,Cascade!$E:$E,0)),"")</f>
        <v>0.0532271</v>
      </c>
      <c r="I72" s="73" t="n">
        <f aca="false">_xlfn.IFNA(INDEX(Cascade!$P:$P,MATCH($E72,Cascade!$E:$E,0)),"")</f>
        <v>129</v>
      </c>
      <c r="J72" s="118" t="n">
        <f aca="false">_xlfn.IFNA(INDEX(Cascade!$Y:$Y,MATCH($E72,Cascade!$E:$E,0)),"")</f>
        <v>0.530864197530864</v>
      </c>
      <c r="K72" s="75" t="str">
        <f aca="false">_xlfn.IFNA(ROUND(INDEX(Spectrum!$N:$N,MATCH(RIGHT($B72,13)&amp;"|"&amp;$C72&amp;"|"&amp;$D72&amp;"|"&amp;K$14&amp;"|"&amp;"CY2021Q3",Spectrum!$Q:$Q,0)),0),"")</f>
        <v/>
      </c>
      <c r="L72" s="75" t="str">
        <f aca="false">_xlfn.IFNA(ROUND(INDEX(Spectrum!$N:$N,MATCH(RIGHT($B72,13)&amp;"|"&amp;$C72&amp;"|"&amp;$D72&amp;"|"&amp;L$14&amp;"|"&amp;"CY2021Q3",Spectrum!$Q:$Q,0)),0),"")</f>
        <v/>
      </c>
      <c r="M72" s="118" t="n">
        <f aca="false">IF(OR(LEFT($B72,4)="_Mil",SUM($F72)&lt;=0),"",SUM($L72)/$F72)</f>
        <v>0</v>
      </c>
      <c r="N72" s="118" t="n">
        <f aca="false">IF(LEFT($B72,4)="_Mil","",80%)</f>
        <v>0.8</v>
      </c>
      <c r="O72" s="75" t="n">
        <f aca="false">IF(LEFT($B72,4)="_Mil","",IF(SUM($F72)=0,"",ROUND(SUM($F72)*SUM($N72),0)))</f>
        <v>3650</v>
      </c>
      <c r="P72" s="75" t="n">
        <f aca="false">IF(LEFT($B72,4)="_Mil","",IF(SUM($F72)=0,"",ROUND(MAX(SUM($O72)-SUM($L72),0),0)))</f>
        <v>3650</v>
      </c>
      <c r="Q72" s="73"/>
      <c r="R72" s="73"/>
      <c r="S72" s="118" t="str">
        <f aca="false">IF(LEFT($B72,4)="_Mil","",IF(SUM($K72)&lt;=0,"",SUM($R72)/$K72))</f>
        <v/>
      </c>
      <c r="T72" s="118" t="str">
        <f aca="false">IF(SUM($S72)&lt;=0,"",$S72)</f>
        <v/>
      </c>
      <c r="U72" s="118" t="str">
        <f aca="false">IF(LEFT($B72,4)="_Mil",0,"")</f>
        <v/>
      </c>
      <c r="V72" s="118"/>
      <c r="W72" s="118" t="str">
        <f aca="false">IF(SUM($V72)=0,"",$V72)</f>
        <v/>
      </c>
      <c r="X72" s="118"/>
      <c r="Y72" s="118" t="str">
        <f aca="false">IF(SUM($X72)=0,"",$X72)</f>
        <v/>
      </c>
      <c r="Z72" s="118" t="n">
        <f aca="false">_xlfn.IFNA(INDEX(Cascade!$BA:$BA,MATCH($E72,Cascade!$E:$E,0)),"")</f>
        <v>0.95</v>
      </c>
      <c r="AA72" s="73" t="n">
        <f aca="false">IF(LEFT($B72,4)="_Mil",IF(SUM($R72)=0,"",ROUND(SUM($R72)*(1+$U72),0)),IF(SUM($P72)=0,"",ROUND(SUM($T72)*SUM($P72),0)))</f>
        <v>0</v>
      </c>
      <c r="AB72" s="75" t="str">
        <f aca="false">IF(SUM($AA72)&lt;=0,"",ROUND($AA72*$W72,0))</f>
        <v/>
      </c>
      <c r="AC72" s="75" t="str">
        <f aca="false">IF(SUM($AA72)&lt;=0,"",ROUND((SUM($AA72)-SUM($AB72))*SUM($Y72),0))</f>
        <v/>
      </c>
      <c r="AD72" s="75" t="str">
        <f aca="false">IF(SUM($AA72)&lt;=0,"",$AA72-$AB72-$AC72)</f>
        <v/>
      </c>
      <c r="AE72" s="73" t="str">
        <f aca="false">IF(SUM($AC72)&lt;=0,"",ROUND($AC72*$Z72,0))</f>
        <v/>
      </c>
      <c r="AF72" s="73" t="n">
        <f aca="false">_xlfn.IFNA(INDEX(Cascade!$BD:$BD,MATCH($E72,Cascade!$E:$E,0)),"")</f>
        <v>24</v>
      </c>
      <c r="AG72" s="118" t="n">
        <f aca="false">IF(SUM($AF72)&lt;=0,"",SUM($AC72)/$AF72)</f>
        <v>0</v>
      </c>
      <c r="AH72" s="118" t="n">
        <f aca="false">_xlfn.IFNA(INDEX(Cascade!$BL:$BL,MATCH($E72,Cascade!$E:$E,0)),"")</f>
        <v>0.291666666666667</v>
      </c>
      <c r="AI72" s="118" t="str">
        <f aca="false">_xlfn.IFNA(INDEX(Cascade!$BO:$BO,MATCH($E72,Cascade!$E:$E,0)),"")</f>
        <v/>
      </c>
      <c r="AJ72" s="118" t="n">
        <f aca="false">_xlfn.IFNA(INDEX(Cascade!$BR:$BR,MATCH($E72,Cascade!$E:$E,0)),"")</f>
        <v>0.708333333333333</v>
      </c>
    </row>
    <row r="73" customFormat="false" ht="15" hidden="false" customHeight="false" outlineLevel="0" collapsed="false">
      <c r="A73" s="0" t="s">
        <v>148</v>
      </c>
      <c r="B73" s="0" t="s">
        <v>113</v>
      </c>
      <c r="C73" s="0" t="s">
        <v>69</v>
      </c>
      <c r="D73" s="0" t="s">
        <v>58</v>
      </c>
      <c r="E73" s="0" t="str">
        <f aca="false">B73&amp;"|"&amp;C73&amp;"|"&amp;D73</f>
        <v>Mokhotlong [#SNU] [tjhYqc1MlVo]|25-29|Male</v>
      </c>
      <c r="F73" s="73" t="n">
        <f aca="false">_xlfn.IFNA(INDEX(Cascade!$F:$F,MATCH($E73,Cascade!$E:$E,0)),"")</f>
        <v>4530</v>
      </c>
      <c r="G73" s="73" t="n">
        <f aca="false">_xlfn.IFNA(INDEX(Cascade!$H:$H,MATCH($E73,Cascade!$E:$E,0)),"")</f>
        <v>500</v>
      </c>
      <c r="H73" s="118" t="n">
        <f aca="false">_xlfn.IFNA(INDEX(Cascade!$J:$J,MATCH($E73,Cascade!$E:$E,0)),"")</f>
        <v>0.1102954</v>
      </c>
      <c r="I73" s="73" t="n">
        <f aca="false">_xlfn.IFNA(INDEX(Cascade!$P:$P,MATCH($E73,Cascade!$E:$E,0)),"")</f>
        <v>236</v>
      </c>
      <c r="J73" s="118" t="n">
        <f aca="false">_xlfn.IFNA(INDEX(Cascade!$Y:$Y,MATCH($E73,Cascade!$E:$E,0)),"")</f>
        <v>0.472</v>
      </c>
      <c r="K73" s="75" t="str">
        <f aca="false">_xlfn.IFNA(ROUND(INDEX(Spectrum!$N:$N,MATCH(RIGHT($B73,13)&amp;"|"&amp;$C73&amp;"|"&amp;$D73&amp;"|"&amp;K$14&amp;"|"&amp;"CY2021Q3",Spectrum!$Q:$Q,0)),0),"")</f>
        <v/>
      </c>
      <c r="L73" s="75" t="str">
        <f aca="false">_xlfn.IFNA(ROUND(INDEX(Spectrum!$N:$N,MATCH(RIGHT($B73,13)&amp;"|"&amp;$C73&amp;"|"&amp;$D73&amp;"|"&amp;L$14&amp;"|"&amp;"CY2021Q3",Spectrum!$Q:$Q,0)),0),"")</f>
        <v/>
      </c>
      <c r="M73" s="118" t="n">
        <f aca="false">IF(OR(LEFT($B73,4)="_Mil",SUM($F73)&lt;=0),"",SUM($L73)/$F73)</f>
        <v>0</v>
      </c>
      <c r="N73" s="118" t="n">
        <f aca="false">IF(LEFT($B73,4)="_Mil","",80%)</f>
        <v>0.8</v>
      </c>
      <c r="O73" s="75" t="n">
        <f aca="false">IF(LEFT($B73,4)="_Mil","",IF(SUM($F73)=0,"",ROUND(SUM($F73)*SUM($N73),0)))</f>
        <v>3624</v>
      </c>
      <c r="P73" s="75" t="n">
        <f aca="false">IF(LEFT($B73,4)="_Mil","",IF(SUM($F73)=0,"",ROUND(MAX(SUM($O73)-SUM($L73),0),0)))</f>
        <v>3624</v>
      </c>
      <c r="Q73" s="73"/>
      <c r="R73" s="73"/>
      <c r="S73" s="118" t="str">
        <f aca="false">IF(LEFT($B73,4)="_Mil","",IF(SUM($K73)&lt;=0,"",SUM($R73)/$K73))</f>
        <v/>
      </c>
      <c r="T73" s="118" t="str">
        <f aca="false">IF(SUM($S73)&lt;=0,"",$S73)</f>
        <v/>
      </c>
      <c r="U73" s="118" t="str">
        <f aca="false">IF(LEFT($B73,4)="_Mil",0,"")</f>
        <v/>
      </c>
      <c r="V73" s="118"/>
      <c r="W73" s="118" t="str">
        <f aca="false">IF(SUM($V73)=0,"",$V73)</f>
        <v/>
      </c>
      <c r="X73" s="118"/>
      <c r="Y73" s="118" t="str">
        <f aca="false">IF(SUM($X73)=0,"",$X73)</f>
        <v/>
      </c>
      <c r="Z73" s="118" t="n">
        <f aca="false">_xlfn.IFNA(INDEX(Cascade!$BA:$BA,MATCH($E73,Cascade!$E:$E,0)),"")</f>
        <v>0.95</v>
      </c>
      <c r="AA73" s="73" t="n">
        <f aca="false">IF(LEFT($B73,4)="_Mil",IF(SUM($R73)=0,"",ROUND(SUM($R73)*(1+$U73),0)),IF(SUM($P73)=0,"",ROUND(SUM($T73)*SUM($P73),0)))</f>
        <v>0</v>
      </c>
      <c r="AB73" s="75" t="str">
        <f aca="false">IF(SUM($AA73)&lt;=0,"",ROUND($AA73*$W73,0))</f>
        <v/>
      </c>
      <c r="AC73" s="75" t="str">
        <f aca="false">IF(SUM($AA73)&lt;=0,"",ROUND((SUM($AA73)-SUM($AB73))*SUM($Y73),0))</f>
        <v/>
      </c>
      <c r="AD73" s="75" t="str">
        <f aca="false">IF(SUM($AA73)&lt;=0,"",$AA73-$AB73-$AC73)</f>
        <v/>
      </c>
      <c r="AE73" s="73" t="str">
        <f aca="false">IF(SUM($AC73)&lt;=0,"",ROUND($AC73*$Z73,0))</f>
        <v/>
      </c>
      <c r="AF73" s="73" t="n">
        <f aca="false">_xlfn.IFNA(INDEX(Cascade!$BD:$BD,MATCH($E73,Cascade!$E:$E,0)),"")</f>
        <v>46</v>
      </c>
      <c r="AG73" s="118" t="n">
        <f aca="false">IF(SUM($AF73)&lt;=0,"",SUM($AC73)/$AF73)</f>
        <v>0</v>
      </c>
      <c r="AH73" s="118" t="n">
        <f aca="false">_xlfn.IFNA(INDEX(Cascade!$BL:$BL,MATCH($E73,Cascade!$E:$E,0)),"")</f>
        <v>0.304347826086957</v>
      </c>
      <c r="AI73" s="118" t="n">
        <f aca="false">_xlfn.IFNA(INDEX(Cascade!$BO:$BO,MATCH($E73,Cascade!$E:$E,0)),"")</f>
        <v>-646</v>
      </c>
      <c r="AJ73" s="118" t="n">
        <f aca="false">_xlfn.IFNA(INDEX(Cascade!$BR:$BR,MATCH($E73,Cascade!$E:$E,0)),"")</f>
        <v>646.695652173913</v>
      </c>
    </row>
    <row r="74" customFormat="false" ht="15" hidden="false" customHeight="false" outlineLevel="0" collapsed="false">
      <c r="A74" s="0" t="s">
        <v>148</v>
      </c>
      <c r="B74" s="0" t="s">
        <v>113</v>
      </c>
      <c r="C74" s="0" t="s">
        <v>72</v>
      </c>
      <c r="D74" s="0" t="s">
        <v>58</v>
      </c>
      <c r="E74" s="0" t="str">
        <f aca="false">B74&amp;"|"&amp;C74&amp;"|"&amp;D74</f>
        <v>Mokhotlong [#SNU] [tjhYqc1MlVo]|30-34|Male</v>
      </c>
      <c r="F74" s="73" t="n">
        <f aca="false">_xlfn.IFNA(INDEX(Cascade!$F:$F,MATCH($E74,Cascade!$E:$E,0)),"")</f>
        <v>4330</v>
      </c>
      <c r="G74" s="73" t="n">
        <f aca="false">_xlfn.IFNA(INDEX(Cascade!$H:$H,MATCH($E74,Cascade!$E:$E,0)),"")</f>
        <v>872</v>
      </c>
      <c r="H74" s="118" t="n">
        <f aca="false">_xlfn.IFNA(INDEX(Cascade!$J:$J,MATCH($E74,Cascade!$E:$E,0)),"")</f>
        <v>0.2014917</v>
      </c>
      <c r="I74" s="73" t="n">
        <f aca="false">_xlfn.IFNA(INDEX(Cascade!$P:$P,MATCH($E74,Cascade!$E:$E,0)),"")</f>
        <v>421</v>
      </c>
      <c r="J74" s="118" t="n">
        <f aca="false">_xlfn.IFNA(INDEX(Cascade!$Y:$Y,MATCH($E74,Cascade!$E:$E,0)),"")</f>
        <v>0.482798165137615</v>
      </c>
      <c r="K74" s="75" t="str">
        <f aca="false">_xlfn.IFNA(ROUND(INDEX(Spectrum!$N:$N,MATCH(RIGHT($B74,13)&amp;"|"&amp;$C74&amp;"|"&amp;$D74&amp;"|"&amp;K$14&amp;"|"&amp;"CY2021Q3",Spectrum!$Q:$Q,0)),0),"")</f>
        <v/>
      </c>
      <c r="L74" s="75" t="str">
        <f aca="false">_xlfn.IFNA(ROUND(INDEX(Spectrum!$N:$N,MATCH(RIGHT($B74,13)&amp;"|"&amp;$C74&amp;"|"&amp;$D74&amp;"|"&amp;L$14&amp;"|"&amp;"CY2021Q3",Spectrum!$Q:$Q,0)),0),"")</f>
        <v/>
      </c>
      <c r="M74" s="118" t="n">
        <f aca="false">IF(OR(LEFT($B74,4)="_Mil",SUM($F74)&lt;=0),"",SUM($L74)/$F74)</f>
        <v>0</v>
      </c>
      <c r="N74" s="118" t="n">
        <f aca="false">IF(LEFT($B74,4)="_Mil","",80%)</f>
        <v>0.8</v>
      </c>
      <c r="O74" s="75" t="n">
        <f aca="false">IF(LEFT($B74,4)="_Mil","",IF(SUM($F74)=0,"",ROUND(SUM($F74)*SUM($N74),0)))</f>
        <v>3464</v>
      </c>
      <c r="P74" s="75" t="n">
        <f aca="false">IF(LEFT($B74,4)="_Mil","",IF(SUM($F74)=0,"",ROUND(MAX(SUM($O74)-SUM($L74),0),0)))</f>
        <v>3464</v>
      </c>
      <c r="Q74" s="73"/>
      <c r="R74" s="73"/>
      <c r="S74" s="118" t="str">
        <f aca="false">IF(LEFT($B74,4)="_Mil","",IF(SUM($K74)&lt;=0,"",SUM($R74)/$K74))</f>
        <v/>
      </c>
      <c r="T74" s="118" t="str">
        <f aca="false">IF(SUM($S74)&lt;=0,"",$S74)</f>
        <v/>
      </c>
      <c r="U74" s="118" t="str">
        <f aca="false">IF(LEFT($B74,4)="_Mil",0,"")</f>
        <v/>
      </c>
      <c r="V74" s="118"/>
      <c r="W74" s="118" t="str">
        <f aca="false">IF(SUM($V74)=0,"",$V74)</f>
        <v/>
      </c>
      <c r="X74" s="118"/>
      <c r="Y74" s="118" t="str">
        <f aca="false">IF(SUM($X74)=0,"",$X74)</f>
        <v/>
      </c>
      <c r="Z74" s="118" t="n">
        <f aca="false">_xlfn.IFNA(INDEX(Cascade!$BA:$BA,MATCH($E74,Cascade!$E:$E,0)),"")</f>
        <v>0.95</v>
      </c>
      <c r="AA74" s="73" t="n">
        <f aca="false">IF(LEFT($B74,4)="_Mil",IF(SUM($R74)=0,"",ROUND(SUM($R74)*(1+$U74),0)),IF(SUM($P74)=0,"",ROUND(SUM($T74)*SUM($P74),0)))</f>
        <v>0</v>
      </c>
      <c r="AB74" s="75" t="str">
        <f aca="false">IF(SUM($AA74)&lt;=0,"",ROUND($AA74*$W74,0))</f>
        <v/>
      </c>
      <c r="AC74" s="75" t="str">
        <f aca="false">IF(SUM($AA74)&lt;=0,"",ROUND((SUM($AA74)-SUM($AB74))*SUM($Y74),0))</f>
        <v/>
      </c>
      <c r="AD74" s="75" t="str">
        <f aca="false">IF(SUM($AA74)&lt;=0,"",$AA74-$AB74-$AC74)</f>
        <v/>
      </c>
      <c r="AE74" s="73" t="str">
        <f aca="false">IF(SUM($AC74)&lt;=0,"",ROUND($AC74*$Z74,0))</f>
        <v/>
      </c>
      <c r="AF74" s="73" t="n">
        <f aca="false">_xlfn.IFNA(INDEX(Cascade!$BD:$BD,MATCH($E74,Cascade!$E:$E,0)),"")</f>
        <v>4</v>
      </c>
      <c r="AG74" s="118" t="n">
        <f aca="false">IF(SUM($AF74)&lt;=0,"",SUM($AC74)/$AF74)</f>
        <v>0</v>
      </c>
      <c r="AH74" s="118" t="n">
        <f aca="false">_xlfn.IFNA(INDEX(Cascade!$BL:$BL,MATCH($E74,Cascade!$E:$E,0)),"")</f>
        <v>0.25</v>
      </c>
      <c r="AI74" s="118" t="str">
        <f aca="false">_xlfn.IFNA(INDEX(Cascade!$BO:$BO,MATCH($E74,Cascade!$E:$E,0)),"")</f>
        <v/>
      </c>
      <c r="AJ74" s="118" t="n">
        <f aca="false">_xlfn.IFNA(INDEX(Cascade!$BR:$BR,MATCH($E74,Cascade!$E:$E,0)),"")</f>
        <v>0.75</v>
      </c>
    </row>
    <row r="75" customFormat="false" ht="15" hidden="false" customHeight="false" outlineLevel="0" collapsed="false">
      <c r="A75" s="0" t="s">
        <v>148</v>
      </c>
      <c r="B75" s="0" t="s">
        <v>113</v>
      </c>
      <c r="C75" s="0" t="s">
        <v>75</v>
      </c>
      <c r="D75" s="0" t="s">
        <v>58</v>
      </c>
      <c r="E75" s="0" t="str">
        <f aca="false">B75&amp;"|"&amp;C75&amp;"|"&amp;D75</f>
        <v>Mokhotlong [#SNU] [tjhYqc1MlVo]|35-39|Male</v>
      </c>
      <c r="F75" s="73" t="n">
        <f aca="false">_xlfn.IFNA(INDEX(Cascade!$F:$F,MATCH($E75,Cascade!$E:$E,0)),"")</f>
        <v>3613</v>
      </c>
      <c r="G75" s="73" t="n">
        <f aca="false">_xlfn.IFNA(INDEX(Cascade!$H:$H,MATCH($E75,Cascade!$E:$E,0)),"")</f>
        <v>1050</v>
      </c>
      <c r="H75" s="118" t="n">
        <f aca="false">_xlfn.IFNA(INDEX(Cascade!$J:$J,MATCH($E75,Cascade!$E:$E,0)),"")</f>
        <v>0.2905777</v>
      </c>
      <c r="I75" s="73" t="n">
        <f aca="false">_xlfn.IFNA(INDEX(Cascade!$P:$P,MATCH($E75,Cascade!$E:$E,0)),"")</f>
        <v>609</v>
      </c>
      <c r="J75" s="118" t="n">
        <f aca="false">_xlfn.IFNA(INDEX(Cascade!$Y:$Y,MATCH($E75,Cascade!$E:$E,0)),"")</f>
        <v>0.58</v>
      </c>
      <c r="K75" s="75" t="str">
        <f aca="false">_xlfn.IFNA(ROUND(INDEX(Spectrum!$N:$N,MATCH(RIGHT($B75,13)&amp;"|"&amp;$C75&amp;"|"&amp;$D75&amp;"|"&amp;K$14&amp;"|"&amp;"CY2021Q3",Spectrum!$Q:$Q,0)),0),"")</f>
        <v/>
      </c>
      <c r="L75" s="75" t="str">
        <f aca="false">_xlfn.IFNA(ROUND(INDEX(Spectrum!$N:$N,MATCH(RIGHT($B75,13)&amp;"|"&amp;$C75&amp;"|"&amp;$D75&amp;"|"&amp;L$14&amp;"|"&amp;"CY2021Q3",Spectrum!$Q:$Q,0)),0),"")</f>
        <v/>
      </c>
      <c r="M75" s="118" t="n">
        <f aca="false">IF(OR(LEFT($B75,4)="_Mil",SUM($F75)&lt;=0),"",SUM($L75)/$F75)</f>
        <v>0</v>
      </c>
      <c r="N75" s="118" t="n">
        <f aca="false">IF(LEFT($B75,4)="_Mil","",80%)</f>
        <v>0.8</v>
      </c>
      <c r="O75" s="75" t="n">
        <f aca="false">IF(LEFT($B75,4)="_Mil","",IF(SUM($F75)=0,"",ROUND(SUM($F75)*SUM($N75),0)))</f>
        <v>2890</v>
      </c>
      <c r="P75" s="75" t="n">
        <f aca="false">IF(LEFT($B75,4)="_Mil","",IF(SUM($F75)=0,"",ROUND(MAX(SUM($O75)-SUM($L75),0),0)))</f>
        <v>2890</v>
      </c>
      <c r="Q75" s="73"/>
      <c r="R75" s="73"/>
      <c r="S75" s="118" t="str">
        <f aca="false">IF(LEFT($B75,4)="_Mil","",IF(SUM($K75)&lt;=0,"",SUM($R75)/$K75))</f>
        <v/>
      </c>
      <c r="T75" s="118" t="str">
        <f aca="false">IF(SUM($S75)&lt;=0,"",$S75)</f>
        <v/>
      </c>
      <c r="U75" s="118" t="str">
        <f aca="false">IF(LEFT($B75,4)="_Mil",0,"")</f>
        <v/>
      </c>
      <c r="V75" s="118"/>
      <c r="W75" s="118" t="str">
        <f aca="false">IF(SUM($V75)=0,"",$V75)</f>
        <v/>
      </c>
      <c r="X75" s="118"/>
      <c r="Y75" s="118" t="str">
        <f aca="false">IF(SUM($X75)=0,"",$X75)</f>
        <v/>
      </c>
      <c r="Z75" s="118" t="n">
        <f aca="false">_xlfn.IFNA(INDEX(Cascade!$BA:$BA,MATCH($E75,Cascade!$E:$E,0)),"")</f>
        <v>0.95</v>
      </c>
      <c r="AA75" s="73" t="n">
        <f aca="false">IF(LEFT($B75,4)="_Mil",IF(SUM($R75)=0,"",ROUND(SUM($R75)*(1+$U75),0)),IF(SUM($P75)=0,"",ROUND(SUM($T75)*SUM($P75),0)))</f>
        <v>0</v>
      </c>
      <c r="AB75" s="75" t="str">
        <f aca="false">IF(SUM($AA75)&lt;=0,"",ROUND($AA75*$W75,0))</f>
        <v/>
      </c>
      <c r="AC75" s="75" t="str">
        <f aca="false">IF(SUM($AA75)&lt;=0,"",ROUND((SUM($AA75)-SUM($AB75))*SUM($Y75),0))</f>
        <v/>
      </c>
      <c r="AD75" s="75" t="str">
        <f aca="false">IF(SUM($AA75)&lt;=0,"",$AA75-$AB75-$AC75)</f>
        <v/>
      </c>
      <c r="AE75" s="73" t="str">
        <f aca="false">IF(SUM($AC75)&lt;=0,"",ROUND($AC75*$Z75,0))</f>
        <v/>
      </c>
      <c r="AF75" s="73" t="n">
        <f aca="false">_xlfn.IFNA(INDEX(Cascade!$BD:$BD,MATCH($E75,Cascade!$E:$E,0)),"")</f>
        <v>21</v>
      </c>
      <c r="AG75" s="118" t="n">
        <f aca="false">IF(SUM($AF75)&lt;=0,"",SUM($AC75)/$AF75)</f>
        <v>0</v>
      </c>
      <c r="AH75" s="118" t="n">
        <f aca="false">_xlfn.IFNA(INDEX(Cascade!$BL:$BL,MATCH($E75,Cascade!$E:$E,0)),"")</f>
        <v>0.285714285714286</v>
      </c>
      <c r="AI75" s="118" t="n">
        <f aca="false">_xlfn.IFNA(INDEX(Cascade!$BO:$BO,MATCH($E75,Cascade!$E:$E,0)),"")</f>
        <v>-936</v>
      </c>
      <c r="AJ75" s="118" t="n">
        <f aca="false">_xlfn.IFNA(INDEX(Cascade!$BR:$BR,MATCH($E75,Cascade!$E:$E,0)),"")</f>
        <v>936.714285714286</v>
      </c>
    </row>
    <row r="76" customFormat="false" ht="15" hidden="false" customHeight="false" outlineLevel="0" collapsed="false">
      <c r="A76" s="0" t="s">
        <v>148</v>
      </c>
      <c r="B76" s="0" t="s">
        <v>113</v>
      </c>
      <c r="C76" s="0" t="s">
        <v>77</v>
      </c>
      <c r="D76" s="0" t="s">
        <v>58</v>
      </c>
      <c r="E76" s="0" t="str">
        <f aca="false">B76&amp;"|"&amp;C76&amp;"|"&amp;D76</f>
        <v>Mokhotlong [#SNU] [tjhYqc1MlVo]|40-44|Male</v>
      </c>
      <c r="F76" s="73" t="n">
        <f aca="false">_xlfn.IFNA(INDEX(Cascade!$F:$F,MATCH($E76,Cascade!$E:$E,0)),"")</f>
        <v>2447</v>
      </c>
      <c r="G76" s="73" t="n">
        <f aca="false">_xlfn.IFNA(INDEX(Cascade!$H:$H,MATCH($E76,Cascade!$E:$E,0)),"")</f>
        <v>939</v>
      </c>
      <c r="H76" s="118" t="n">
        <f aca="false">_xlfn.IFNA(INDEX(Cascade!$J:$J,MATCH($E76,Cascade!$E:$E,0)),"")</f>
        <v>0.3836516</v>
      </c>
      <c r="I76" s="73" t="n">
        <f aca="false">_xlfn.IFNA(INDEX(Cascade!$P:$P,MATCH($E76,Cascade!$E:$E,0)),"")</f>
        <v>666</v>
      </c>
      <c r="J76" s="118" t="n">
        <f aca="false">_xlfn.IFNA(INDEX(Cascade!$Y:$Y,MATCH($E76,Cascade!$E:$E,0)),"")</f>
        <v>0.70926517571885</v>
      </c>
      <c r="K76" s="75" t="str">
        <f aca="false">_xlfn.IFNA(ROUND(INDEX(Spectrum!$N:$N,MATCH(RIGHT($B76,13)&amp;"|"&amp;$C76&amp;"|"&amp;$D76&amp;"|"&amp;K$14&amp;"|"&amp;"CY2021Q3",Spectrum!$Q:$Q,0)),0),"")</f>
        <v/>
      </c>
      <c r="L76" s="75" t="str">
        <f aca="false">_xlfn.IFNA(ROUND(INDEX(Spectrum!$N:$N,MATCH(RIGHT($B76,13)&amp;"|"&amp;$C76&amp;"|"&amp;$D76&amp;"|"&amp;L$14&amp;"|"&amp;"CY2021Q3",Spectrum!$Q:$Q,0)),0),"")</f>
        <v/>
      </c>
      <c r="M76" s="118" t="n">
        <f aca="false">IF(OR(LEFT($B76,4)="_Mil",SUM($F76)&lt;=0),"",SUM($L76)/$F76)</f>
        <v>0</v>
      </c>
      <c r="N76" s="118" t="n">
        <f aca="false">IF(LEFT($B76,4)="_Mil","",80%)</f>
        <v>0.8</v>
      </c>
      <c r="O76" s="75" t="n">
        <f aca="false">IF(LEFT($B76,4)="_Mil","",IF(SUM($F76)=0,"",ROUND(SUM($F76)*SUM($N76),0)))</f>
        <v>1958</v>
      </c>
      <c r="P76" s="75" t="n">
        <f aca="false">IF(LEFT($B76,4)="_Mil","",IF(SUM($F76)=0,"",ROUND(MAX(SUM($O76)-SUM($L76),0),0)))</f>
        <v>1958</v>
      </c>
      <c r="Q76" s="73"/>
      <c r="R76" s="73"/>
      <c r="S76" s="118" t="str">
        <f aca="false">IF(LEFT($B76,4)="_Mil","",IF(SUM($K76)&lt;=0,"",SUM($R76)/$K76))</f>
        <v/>
      </c>
      <c r="T76" s="118" t="str">
        <f aca="false">IF(SUM($S76)&lt;=0,"",$S76)</f>
        <v/>
      </c>
      <c r="U76" s="118" t="str">
        <f aca="false">IF(LEFT($B76,4)="_Mil",0,"")</f>
        <v/>
      </c>
      <c r="V76" s="118"/>
      <c r="W76" s="118" t="str">
        <f aca="false">IF(SUM($V76)=0,"",$V76)</f>
        <v/>
      </c>
      <c r="X76" s="118"/>
      <c r="Y76" s="118" t="str">
        <f aca="false">IF(SUM($X76)=0,"",$X76)</f>
        <v/>
      </c>
      <c r="Z76" s="118" t="n">
        <f aca="false">_xlfn.IFNA(INDEX(Cascade!$BA:$BA,MATCH($E76,Cascade!$E:$E,0)),"")</f>
        <v>0.95</v>
      </c>
      <c r="AA76" s="73" t="n">
        <f aca="false">IF(LEFT($B76,4)="_Mil",IF(SUM($R76)=0,"",ROUND(SUM($R76)*(1+$U76),0)),IF(SUM($P76)=0,"",ROUND(SUM($T76)*SUM($P76),0)))</f>
        <v>0</v>
      </c>
      <c r="AB76" s="75" t="str">
        <f aca="false">IF(SUM($AA76)&lt;=0,"",ROUND($AA76*$W76,0))</f>
        <v/>
      </c>
      <c r="AC76" s="75" t="str">
        <f aca="false">IF(SUM($AA76)&lt;=0,"",ROUND((SUM($AA76)-SUM($AB76))*SUM($Y76),0))</f>
        <v/>
      </c>
      <c r="AD76" s="75" t="str">
        <f aca="false">IF(SUM($AA76)&lt;=0,"",$AA76-$AB76-$AC76)</f>
        <v/>
      </c>
      <c r="AE76" s="73" t="str">
        <f aca="false">IF(SUM($AC76)&lt;=0,"",ROUND($AC76*$Z76,0))</f>
        <v/>
      </c>
      <c r="AF76" s="73" t="str">
        <f aca="false">_xlfn.IFNA(INDEX(Cascade!$BD:$BD,MATCH($E76,Cascade!$E:$E,0)),"")</f>
        <v/>
      </c>
      <c r="AG76" s="118" t="str">
        <f aca="false">IF(SUM($AF76)&lt;=0,"",SUM($AC76)/$AF76)</f>
        <v/>
      </c>
      <c r="AH76" s="118" t="str">
        <f aca="false">_xlfn.IFNA(INDEX(Cascade!$BL:$BL,MATCH($E76,Cascade!$E:$E,0)),"")</f>
        <v/>
      </c>
      <c r="AI76" s="118" t="str">
        <f aca="false">_xlfn.IFNA(INDEX(Cascade!$BO:$BO,MATCH($E76,Cascade!$E:$E,0)),"")</f>
        <v/>
      </c>
      <c r="AJ76" s="118" t="str">
        <f aca="false">_xlfn.IFNA(INDEX(Cascade!$BR:$BR,MATCH($E76,Cascade!$E:$E,0)),"")</f>
        <v/>
      </c>
    </row>
    <row r="77" customFormat="false" ht="15" hidden="false" customHeight="false" outlineLevel="0" collapsed="false">
      <c r="A77" s="0" t="s">
        <v>148</v>
      </c>
      <c r="B77" s="0" t="s">
        <v>113</v>
      </c>
      <c r="C77" s="0" t="s">
        <v>80</v>
      </c>
      <c r="D77" s="0" t="s">
        <v>58</v>
      </c>
      <c r="E77" s="0" t="str">
        <f aca="false">B77&amp;"|"&amp;C77&amp;"|"&amp;D77</f>
        <v>Mokhotlong [#SNU] [tjhYqc1MlVo]|45-49|Male</v>
      </c>
      <c r="F77" s="73" t="n">
        <f aca="false">_xlfn.IFNA(INDEX(Cascade!$F:$F,MATCH($E77,Cascade!$E:$E,0)),"")</f>
        <v>1589</v>
      </c>
      <c r="G77" s="73" t="n">
        <f aca="false">_xlfn.IFNA(INDEX(Cascade!$H:$H,MATCH($E77,Cascade!$E:$E,0)),"")</f>
        <v>753</v>
      </c>
      <c r="H77" s="118" t="n">
        <f aca="false">_xlfn.IFNA(INDEX(Cascade!$J:$J,MATCH($E77,Cascade!$E:$E,0)),"")</f>
        <v>0.473801</v>
      </c>
      <c r="I77" s="73" t="n">
        <f aca="false">_xlfn.IFNA(INDEX(Cascade!$P:$P,MATCH($E77,Cascade!$E:$E,0)),"")</f>
        <v>560</v>
      </c>
      <c r="J77" s="118" t="n">
        <f aca="false">_xlfn.IFNA(INDEX(Cascade!$Y:$Y,MATCH($E77,Cascade!$E:$E,0)),"")</f>
        <v>0.743691899070385</v>
      </c>
      <c r="K77" s="75" t="str">
        <f aca="false">_xlfn.IFNA(ROUND(INDEX(Spectrum!$N:$N,MATCH(RIGHT($B77,13)&amp;"|"&amp;$C77&amp;"|"&amp;$D77&amp;"|"&amp;K$14&amp;"|"&amp;"CY2021Q3",Spectrum!$Q:$Q,0)),0),"")</f>
        <v/>
      </c>
      <c r="L77" s="75" t="str">
        <f aca="false">_xlfn.IFNA(ROUND(INDEX(Spectrum!$N:$N,MATCH(RIGHT($B77,13)&amp;"|"&amp;$C77&amp;"|"&amp;$D77&amp;"|"&amp;L$14&amp;"|"&amp;"CY2021Q3",Spectrum!$Q:$Q,0)),0),"")</f>
        <v/>
      </c>
      <c r="M77" s="118" t="n">
        <f aca="false">IF(OR(LEFT($B77,4)="_Mil",SUM($F77)&lt;=0),"",SUM($L77)/$F77)</f>
        <v>0</v>
      </c>
      <c r="N77" s="118" t="n">
        <f aca="false">IF(LEFT($B77,4)="_Mil","",80%)</f>
        <v>0.8</v>
      </c>
      <c r="O77" s="75" t="n">
        <f aca="false">IF(LEFT($B77,4)="_Mil","",IF(SUM($F77)=0,"",ROUND(SUM($F77)*SUM($N77),0)))</f>
        <v>1271</v>
      </c>
      <c r="P77" s="75" t="n">
        <f aca="false">IF(LEFT($B77,4)="_Mil","",IF(SUM($F77)=0,"",ROUND(MAX(SUM($O77)-SUM($L77),0),0)))</f>
        <v>1271</v>
      </c>
      <c r="Q77" s="73"/>
      <c r="R77" s="73"/>
      <c r="S77" s="118" t="str">
        <f aca="false">IF(LEFT($B77,4)="_Mil","",IF(SUM($K77)&lt;=0,"",SUM($R77)/$K77))</f>
        <v/>
      </c>
      <c r="T77" s="118" t="str">
        <f aca="false">IF(SUM($S77)&lt;=0,"",$S77)</f>
        <v/>
      </c>
      <c r="U77" s="118" t="str">
        <f aca="false">IF(LEFT($B77,4)="_Mil",0,"")</f>
        <v/>
      </c>
      <c r="V77" s="118"/>
      <c r="W77" s="118" t="str">
        <f aca="false">IF(SUM($V77)=0,"",$V77)</f>
        <v/>
      </c>
      <c r="X77" s="118"/>
      <c r="Y77" s="118" t="str">
        <f aca="false">IF(SUM($X77)=0,"",$X77)</f>
        <v/>
      </c>
      <c r="Z77" s="118" t="n">
        <f aca="false">_xlfn.IFNA(INDEX(Cascade!$BA:$BA,MATCH($E77,Cascade!$E:$E,0)),"")</f>
        <v>0.95</v>
      </c>
      <c r="AA77" s="73" t="n">
        <f aca="false">IF(LEFT($B77,4)="_Mil",IF(SUM($R77)=0,"",ROUND(SUM($R77)*(1+$U77),0)),IF(SUM($P77)=0,"",ROUND(SUM($T77)*SUM($P77),0)))</f>
        <v>0</v>
      </c>
      <c r="AB77" s="75" t="str">
        <f aca="false">IF(SUM($AA77)&lt;=0,"",ROUND($AA77*$W77,0))</f>
        <v/>
      </c>
      <c r="AC77" s="75" t="str">
        <f aca="false">IF(SUM($AA77)&lt;=0,"",ROUND((SUM($AA77)-SUM($AB77))*SUM($Y77),0))</f>
        <v/>
      </c>
      <c r="AD77" s="75" t="str">
        <f aca="false">IF(SUM($AA77)&lt;=0,"",$AA77-$AB77-$AC77)</f>
        <v/>
      </c>
      <c r="AE77" s="73" t="str">
        <f aca="false">IF(SUM($AC77)&lt;=0,"",ROUND($AC77*$Z77,0))</f>
        <v/>
      </c>
      <c r="AF77" s="73" t="n">
        <f aca="false">_xlfn.IFNA(INDEX(Cascade!$BD:$BD,MATCH($E77,Cascade!$E:$E,0)),"")</f>
        <v>9</v>
      </c>
      <c r="AG77" s="118" t="n">
        <f aca="false">IF(SUM($AF77)&lt;=0,"",SUM($AC77)/$AF77)</f>
        <v>0</v>
      </c>
      <c r="AH77" s="118" t="n">
        <f aca="false">_xlfn.IFNA(INDEX(Cascade!$BL:$BL,MATCH($E77,Cascade!$E:$E,0)),"")</f>
        <v>0.555555555555556</v>
      </c>
      <c r="AI77" s="118" t="n">
        <f aca="false">_xlfn.IFNA(INDEX(Cascade!$BO:$BO,MATCH($E77,Cascade!$E:$E,0)),"")</f>
        <v>-800</v>
      </c>
      <c r="AJ77" s="118" t="n">
        <f aca="false">_xlfn.IFNA(INDEX(Cascade!$BR:$BR,MATCH($E77,Cascade!$E:$E,0)),"")</f>
        <v>800.444444444445</v>
      </c>
    </row>
    <row r="78" customFormat="false" ht="15" hidden="false" customHeight="false" outlineLevel="0" collapsed="false">
      <c r="A78" s="0" t="s">
        <v>148</v>
      </c>
      <c r="B78" s="0" t="s">
        <v>113</v>
      </c>
      <c r="C78" s="0" t="s">
        <v>86</v>
      </c>
      <c r="D78" s="0" t="s">
        <v>58</v>
      </c>
      <c r="E78" s="0" t="str">
        <f aca="false">B78&amp;"|"&amp;C78&amp;"|"&amp;D78</f>
        <v>Mokhotlong [#SNU] [tjhYqc1MlVo]|50+|Male</v>
      </c>
      <c r="F78" s="73" t="n">
        <f aca="false">_xlfn.IFNA(INDEX(Cascade!$F:$F,MATCH($E78,Cascade!$E:$E,0)),"")</f>
        <v>5763</v>
      </c>
      <c r="G78" s="73" t="n">
        <f aca="false">_xlfn.IFNA(INDEX(Cascade!$H:$H,MATCH($E78,Cascade!$E:$E,0)),"")</f>
        <v>1709</v>
      </c>
      <c r="H78" s="118" t="n">
        <f aca="false">_xlfn.IFNA(INDEX(Cascade!$J:$J,MATCH($E78,Cascade!$E:$E,0)),"")</f>
        <v>0.2966236</v>
      </c>
      <c r="I78" s="73" t="n">
        <f aca="false">_xlfn.IFNA(INDEX(Cascade!$P:$P,MATCH($E78,Cascade!$E:$E,0)),"")</f>
        <v>1160</v>
      </c>
      <c r="J78" s="118" t="n">
        <f aca="false">_xlfn.IFNA(INDEX(Cascade!$Y:$Y,MATCH($E78,Cascade!$E:$E,0)),"")</f>
        <v>0.678759508484494</v>
      </c>
      <c r="K78" s="75" t="str">
        <f aca="false">_xlfn.IFNA(ROUND(INDEX(Spectrum!$N:$N,MATCH(RIGHT($B78,13)&amp;"|"&amp;$C78&amp;"|"&amp;$D78&amp;"|"&amp;K$14&amp;"|"&amp;"CY2021Q3",Spectrum!$Q:$Q,0)),0),"")</f>
        <v/>
      </c>
      <c r="L78" s="75" t="str">
        <f aca="false">_xlfn.IFNA(ROUND(INDEX(Spectrum!$N:$N,MATCH(RIGHT($B78,13)&amp;"|"&amp;$C78&amp;"|"&amp;$D78&amp;"|"&amp;L$14&amp;"|"&amp;"CY2021Q3",Spectrum!$Q:$Q,0)),0),"")</f>
        <v/>
      </c>
      <c r="M78" s="118" t="n">
        <f aca="false">IF(OR(LEFT($B78,4)="_Mil",SUM($F78)&lt;=0),"",SUM($L78)/$F78)</f>
        <v>0</v>
      </c>
      <c r="N78" s="118" t="n">
        <f aca="false">IF(LEFT($B78,4)="_Mil","",80%)</f>
        <v>0.8</v>
      </c>
      <c r="O78" s="75" t="n">
        <f aca="false">IF(LEFT($B78,4)="_Mil","",IF(SUM($F78)=0,"",ROUND(SUM($F78)*SUM($N78),0)))</f>
        <v>4610</v>
      </c>
      <c r="P78" s="75" t="n">
        <f aca="false">IF(LEFT($B78,4)="_Mil","",IF(SUM($F78)=0,"",ROUND(MAX(SUM($O78)-SUM($L78),0),0)))</f>
        <v>4610</v>
      </c>
      <c r="Q78" s="73"/>
      <c r="R78" s="73"/>
      <c r="S78" s="118" t="str">
        <f aca="false">IF(LEFT($B78,4)="_Mil","",IF(SUM($K78)&lt;=0,"",SUM($R78)/$K78))</f>
        <v/>
      </c>
      <c r="T78" s="118" t="str">
        <f aca="false">IF(SUM($S78)&lt;=0,"",$S78)</f>
        <v/>
      </c>
      <c r="U78" s="118" t="str">
        <f aca="false">IF(LEFT($B78,4)="_Mil",0,"")</f>
        <v/>
      </c>
      <c r="V78" s="118"/>
      <c r="W78" s="118" t="str">
        <f aca="false">IF(SUM($V78)=0,"",$V78)</f>
        <v/>
      </c>
      <c r="X78" s="118"/>
      <c r="Y78" s="118" t="str">
        <f aca="false">IF(SUM($X78)=0,"",$X78)</f>
        <v/>
      </c>
      <c r="Z78" s="118" t="n">
        <f aca="false">_xlfn.IFNA(INDEX(Cascade!$BA:$BA,MATCH($E78,Cascade!$E:$E,0)),"")</f>
        <v>0.95</v>
      </c>
      <c r="AA78" s="73" t="n">
        <f aca="false">IF(LEFT($B78,4)="_Mil",IF(SUM($R78)=0,"",ROUND(SUM($R78)*(1+$U78),0)),IF(SUM($P78)=0,"",ROUND(SUM($T78)*SUM($P78),0)))</f>
        <v>0</v>
      </c>
      <c r="AB78" s="75" t="str">
        <f aca="false">IF(SUM($AA78)&lt;=0,"",ROUND($AA78*$W78,0))</f>
        <v/>
      </c>
      <c r="AC78" s="75" t="str">
        <f aca="false">IF(SUM($AA78)&lt;=0,"",ROUND((SUM($AA78)-SUM($AB78))*SUM($Y78),0))</f>
        <v/>
      </c>
      <c r="AD78" s="75" t="str">
        <f aca="false">IF(SUM($AA78)&lt;=0,"",$AA78-$AB78-$AC78)</f>
        <v/>
      </c>
      <c r="AE78" s="73" t="str">
        <f aca="false">IF(SUM($AC78)&lt;=0,"",ROUND($AC78*$Z78,0))</f>
        <v/>
      </c>
      <c r="AF78" s="73" t="n">
        <f aca="false">_xlfn.IFNA(INDEX(Cascade!$BD:$BD,MATCH($E78,Cascade!$E:$E,0)),"")</f>
        <v>2</v>
      </c>
      <c r="AG78" s="118" t="n">
        <f aca="false">IF(SUM($AF78)&lt;=0,"",SUM($AC78)/$AF78)</f>
        <v>0</v>
      </c>
      <c r="AH78" s="118" t="n">
        <f aca="false">_xlfn.IFNA(INDEX(Cascade!$BL:$BL,MATCH($E78,Cascade!$E:$E,0)),"")</f>
        <v>0.5</v>
      </c>
      <c r="AI78" s="118" t="str">
        <f aca="false">_xlfn.IFNA(INDEX(Cascade!$BO:$BO,MATCH($E78,Cascade!$E:$E,0)),"")</f>
        <v/>
      </c>
      <c r="AJ78" s="118" t="n">
        <f aca="false">_xlfn.IFNA(INDEX(Cascade!$BR:$BR,MATCH($E78,Cascade!$E:$E,0)),"")</f>
        <v>0.5</v>
      </c>
    </row>
    <row r="79" customFormat="false" ht="15" hidden="false" customHeight="false" outlineLevel="0" collapsed="false">
      <c r="A79" s="0" t="s">
        <v>149</v>
      </c>
      <c r="B79" s="0" t="s">
        <v>111</v>
      </c>
      <c r="C79" s="0" t="s">
        <v>63</v>
      </c>
      <c r="D79" s="0" t="s">
        <v>58</v>
      </c>
      <c r="E79" s="0" t="str">
        <f aca="false">B79&amp;"|"&amp;C79&amp;"|"&amp;D79</f>
        <v>Qacha's Nek [#SNU] [zTaMbxvQtJ6]|15-19|Male</v>
      </c>
      <c r="F79" s="73" t="n">
        <f aca="false">_xlfn.IFNA(INDEX(Cascade!$F:$F,MATCH($E79,Cascade!$E:$E,0)),"")</f>
        <v>4309</v>
      </c>
      <c r="G79" s="73" t="n">
        <f aca="false">_xlfn.IFNA(INDEX(Cascade!$H:$H,MATCH($E79,Cascade!$E:$E,0)),"")</f>
        <v>107</v>
      </c>
      <c r="H79" s="118" t="n">
        <f aca="false">_xlfn.IFNA(INDEX(Cascade!$J:$J,MATCH($E79,Cascade!$E:$E,0)),"")</f>
        <v>0.0247238</v>
      </c>
      <c r="I79" s="73" t="n">
        <f aca="false">_xlfn.IFNA(INDEX(Cascade!$P:$P,MATCH($E79,Cascade!$E:$E,0)),"")</f>
        <v>96</v>
      </c>
      <c r="J79" s="118" t="n">
        <f aca="false">_xlfn.IFNA(INDEX(Cascade!$Y:$Y,MATCH($E79,Cascade!$E:$E,0)),"")</f>
        <v>0.897196261682243</v>
      </c>
      <c r="K79" s="75" t="str">
        <f aca="false">_xlfn.IFNA(ROUND(INDEX(Spectrum!$N:$N,MATCH(RIGHT($B79,13)&amp;"|"&amp;$C79&amp;"|"&amp;$D79&amp;"|"&amp;K$14&amp;"|"&amp;"CY2021Q3",Spectrum!$Q:$Q,0)),0),"")</f>
        <v/>
      </c>
      <c r="L79" s="75" t="str">
        <f aca="false">_xlfn.IFNA(ROUND(INDEX(Spectrum!$N:$N,MATCH(RIGHT($B79,13)&amp;"|"&amp;$C79&amp;"|"&amp;$D79&amp;"|"&amp;L$14&amp;"|"&amp;"CY2021Q3",Spectrum!$Q:$Q,0)),0),"")</f>
        <v/>
      </c>
      <c r="M79" s="118" t="n">
        <f aca="false">IF(OR(LEFT($B79,4)="_Mil",SUM($F79)&lt;=0),"",SUM($L79)/$F79)</f>
        <v>0</v>
      </c>
      <c r="N79" s="118" t="n">
        <f aca="false">IF(LEFT($B79,4)="_Mil","",80%)</f>
        <v>0.8</v>
      </c>
      <c r="O79" s="75" t="n">
        <f aca="false">IF(LEFT($B79,4)="_Mil","",IF(SUM($F79)=0,"",ROUND(SUM($F79)*SUM($N79),0)))</f>
        <v>3447</v>
      </c>
      <c r="P79" s="75" t="n">
        <f aca="false">IF(LEFT($B79,4)="_Mil","",IF(SUM($F79)=0,"",ROUND(MAX(SUM($O79)-SUM($L79),0),0)))</f>
        <v>3447</v>
      </c>
      <c r="Q79" s="73"/>
      <c r="R79" s="73"/>
      <c r="S79" s="118" t="str">
        <f aca="false">IF(LEFT($B79,4)="_Mil","",IF(SUM($K79)&lt;=0,"",SUM($R79)/$K79))</f>
        <v/>
      </c>
      <c r="T79" s="118" t="str">
        <f aca="false">IF(SUM($S79)&lt;=0,"",$S79)</f>
        <v/>
      </c>
      <c r="U79" s="118" t="str">
        <f aca="false">IF(LEFT($B79,4)="_Mil",0,"")</f>
        <v/>
      </c>
      <c r="V79" s="118"/>
      <c r="W79" s="118" t="str">
        <f aca="false">IF(SUM($V79)=0,"",$V79)</f>
        <v/>
      </c>
      <c r="X79" s="118"/>
      <c r="Y79" s="118" t="str">
        <f aca="false">IF(SUM($X79)=0,"",$X79)</f>
        <v/>
      </c>
      <c r="Z79" s="118" t="n">
        <f aca="false">_xlfn.IFNA(INDEX(Cascade!$BA:$BA,MATCH($E79,Cascade!$E:$E,0)),"")</f>
        <v>0.95</v>
      </c>
      <c r="AA79" s="73" t="n">
        <f aca="false">IF(LEFT($B79,4)="_Mil",IF(SUM($R79)=0,"",ROUND(SUM($R79)*(1+$U79),0)),IF(SUM($P79)=0,"",ROUND(SUM($T79)*SUM($P79),0)))</f>
        <v>0</v>
      </c>
      <c r="AB79" s="75" t="str">
        <f aca="false">IF(SUM($AA79)&lt;=0,"",ROUND($AA79*$W79,0))</f>
        <v/>
      </c>
      <c r="AC79" s="75" t="str">
        <f aca="false">IF(SUM($AA79)&lt;=0,"",ROUND((SUM($AA79)-SUM($AB79))*SUM($Y79),0))</f>
        <v/>
      </c>
      <c r="AD79" s="75" t="str">
        <f aca="false">IF(SUM($AA79)&lt;=0,"",$AA79-$AB79-$AC79)</f>
        <v/>
      </c>
      <c r="AE79" s="73" t="str">
        <f aca="false">IF(SUM($AC79)&lt;=0,"",ROUND($AC79*$Z79,0))</f>
        <v/>
      </c>
      <c r="AF79" s="73" t="n">
        <f aca="false">_xlfn.IFNA(INDEX(Cascade!$BD:$BD,MATCH($E79,Cascade!$E:$E,0)),"")</f>
        <v>1</v>
      </c>
      <c r="AG79" s="118" t="n">
        <f aca="false">IF(SUM($AF79)&lt;=0,"",SUM($AC79)/$AF79)</f>
        <v>0</v>
      </c>
      <c r="AH79" s="118" t="n">
        <f aca="false">_xlfn.IFNA(INDEX(Cascade!$BL:$BL,MATCH($E79,Cascade!$E:$E,0)),"")</f>
        <v>1</v>
      </c>
      <c r="AI79" s="118" t="str">
        <f aca="false">_xlfn.IFNA(INDEX(Cascade!$BO:$BO,MATCH($E79,Cascade!$E:$E,0)),"")</f>
        <v/>
      </c>
      <c r="AJ79" s="118" t="str">
        <f aca="false">_xlfn.IFNA(INDEX(Cascade!$BR:$BR,MATCH($E79,Cascade!$E:$E,0)),"")</f>
        <v/>
      </c>
    </row>
    <row r="80" customFormat="false" ht="15" hidden="false" customHeight="false" outlineLevel="0" collapsed="false">
      <c r="A80" s="0" t="s">
        <v>149</v>
      </c>
      <c r="B80" s="0" t="s">
        <v>111</v>
      </c>
      <c r="C80" s="0" t="s">
        <v>66</v>
      </c>
      <c r="D80" s="0" t="s">
        <v>58</v>
      </c>
      <c r="E80" s="0" t="str">
        <f aca="false">B80&amp;"|"&amp;C80&amp;"|"&amp;D80</f>
        <v>Qacha's Nek [#SNU] [zTaMbxvQtJ6]|20-24|Male</v>
      </c>
      <c r="F80" s="73" t="n">
        <f aca="false">_xlfn.IFNA(INDEX(Cascade!$F:$F,MATCH($E80,Cascade!$E:$E,0)),"")</f>
        <v>3493</v>
      </c>
      <c r="G80" s="73" t="n">
        <f aca="false">_xlfn.IFNA(INDEX(Cascade!$H:$H,MATCH($E80,Cascade!$E:$E,0)),"")</f>
        <v>165</v>
      </c>
      <c r="H80" s="118" t="n">
        <f aca="false">_xlfn.IFNA(INDEX(Cascade!$J:$J,MATCH($E80,Cascade!$E:$E,0)),"")</f>
        <v>0.0472607</v>
      </c>
      <c r="I80" s="73" t="n">
        <f aca="false">_xlfn.IFNA(INDEX(Cascade!$P:$P,MATCH($E80,Cascade!$E:$E,0)),"")</f>
        <v>85</v>
      </c>
      <c r="J80" s="118" t="n">
        <f aca="false">_xlfn.IFNA(INDEX(Cascade!$Y:$Y,MATCH($E80,Cascade!$E:$E,0)),"")</f>
        <v>0.515151515151515</v>
      </c>
      <c r="K80" s="75" t="str">
        <f aca="false">_xlfn.IFNA(ROUND(INDEX(Spectrum!$N:$N,MATCH(RIGHT($B80,13)&amp;"|"&amp;$C80&amp;"|"&amp;$D80&amp;"|"&amp;K$14&amp;"|"&amp;"CY2021Q3",Spectrum!$Q:$Q,0)),0),"")</f>
        <v/>
      </c>
      <c r="L80" s="75" t="str">
        <f aca="false">_xlfn.IFNA(ROUND(INDEX(Spectrum!$N:$N,MATCH(RIGHT($B80,13)&amp;"|"&amp;$C80&amp;"|"&amp;$D80&amp;"|"&amp;L$14&amp;"|"&amp;"CY2021Q3",Spectrum!$Q:$Q,0)),0),"")</f>
        <v/>
      </c>
      <c r="M80" s="118" t="n">
        <f aca="false">IF(OR(LEFT($B80,4)="_Mil",SUM($F80)&lt;=0),"",SUM($L80)/$F80)</f>
        <v>0</v>
      </c>
      <c r="N80" s="118" t="n">
        <f aca="false">IF(LEFT($B80,4)="_Mil","",80%)</f>
        <v>0.8</v>
      </c>
      <c r="O80" s="75" t="n">
        <f aca="false">IF(LEFT($B80,4)="_Mil","",IF(SUM($F80)=0,"",ROUND(SUM($F80)*SUM($N80),0)))</f>
        <v>2794</v>
      </c>
      <c r="P80" s="75" t="n">
        <f aca="false">IF(LEFT($B80,4)="_Mil","",IF(SUM($F80)=0,"",ROUND(MAX(SUM($O80)-SUM($L80),0),0)))</f>
        <v>2794</v>
      </c>
      <c r="Q80" s="73"/>
      <c r="R80" s="73"/>
      <c r="S80" s="118" t="str">
        <f aca="false">IF(LEFT($B80,4)="_Mil","",IF(SUM($K80)&lt;=0,"",SUM($R80)/$K80))</f>
        <v/>
      </c>
      <c r="T80" s="118" t="str">
        <f aca="false">IF(SUM($S80)&lt;=0,"",$S80)</f>
        <v/>
      </c>
      <c r="U80" s="118" t="str">
        <f aca="false">IF(LEFT($B80,4)="_Mil",0,"")</f>
        <v/>
      </c>
      <c r="V80" s="118"/>
      <c r="W80" s="118" t="str">
        <f aca="false">IF(SUM($V80)=0,"",$V80)</f>
        <v/>
      </c>
      <c r="X80" s="118"/>
      <c r="Y80" s="118" t="str">
        <f aca="false">IF(SUM($X80)=0,"",$X80)</f>
        <v/>
      </c>
      <c r="Z80" s="118" t="n">
        <f aca="false">_xlfn.IFNA(INDEX(Cascade!$BA:$BA,MATCH($E80,Cascade!$E:$E,0)),"")</f>
        <v>0.95</v>
      </c>
      <c r="AA80" s="73" t="n">
        <f aca="false">IF(LEFT($B80,4)="_Mil",IF(SUM($R80)=0,"",ROUND(SUM($R80)*(1+$U80),0)),IF(SUM($P80)=0,"",ROUND(SUM($T80)*SUM($P80),0)))</f>
        <v>0</v>
      </c>
      <c r="AB80" s="75" t="str">
        <f aca="false">IF(SUM($AA80)&lt;=0,"",ROUND($AA80*$W80,0))</f>
        <v/>
      </c>
      <c r="AC80" s="75" t="str">
        <f aca="false">IF(SUM($AA80)&lt;=0,"",ROUND((SUM($AA80)-SUM($AB80))*SUM($Y80),0))</f>
        <v/>
      </c>
      <c r="AD80" s="75" t="str">
        <f aca="false">IF(SUM($AA80)&lt;=0,"",$AA80-$AB80-$AC80)</f>
        <v/>
      </c>
      <c r="AE80" s="73" t="str">
        <f aca="false">IF(SUM($AC80)&lt;=0,"",ROUND($AC80*$Z80,0))</f>
        <v/>
      </c>
      <c r="AF80" s="73" t="n">
        <f aca="false">_xlfn.IFNA(INDEX(Cascade!$BD:$BD,MATCH($E80,Cascade!$E:$E,0)),"")</f>
        <v>29</v>
      </c>
      <c r="AG80" s="118" t="n">
        <f aca="false">IF(SUM($AF80)&lt;=0,"",SUM($AC80)/$AF80)</f>
        <v>0</v>
      </c>
      <c r="AH80" s="118" t="n">
        <f aca="false">_xlfn.IFNA(INDEX(Cascade!$BL:$BL,MATCH($E80,Cascade!$E:$E,0)),"")</f>
        <v>0.310344827586207</v>
      </c>
      <c r="AI80" s="118" t="str">
        <f aca="false">_xlfn.IFNA(INDEX(Cascade!$BO:$BO,MATCH($E80,Cascade!$E:$E,0)),"")</f>
        <v/>
      </c>
      <c r="AJ80" s="118" t="n">
        <f aca="false">_xlfn.IFNA(INDEX(Cascade!$BR:$BR,MATCH($E80,Cascade!$E:$E,0)),"")</f>
        <v>0.689655172413793</v>
      </c>
    </row>
    <row r="81" customFormat="false" ht="15" hidden="false" customHeight="false" outlineLevel="0" collapsed="false">
      <c r="A81" s="0" t="s">
        <v>149</v>
      </c>
      <c r="B81" s="0" t="s">
        <v>111</v>
      </c>
      <c r="C81" s="0" t="s">
        <v>69</v>
      </c>
      <c r="D81" s="0" t="s">
        <v>58</v>
      </c>
      <c r="E81" s="0" t="str">
        <f aca="false">B81&amp;"|"&amp;C81&amp;"|"&amp;D81</f>
        <v>Qacha's Nek [#SNU] [zTaMbxvQtJ6]|25-29|Male</v>
      </c>
      <c r="F81" s="73" t="n">
        <f aca="false">_xlfn.IFNA(INDEX(Cascade!$F:$F,MATCH($E81,Cascade!$E:$E,0)),"")</f>
        <v>3488</v>
      </c>
      <c r="G81" s="73" t="n">
        <f aca="false">_xlfn.IFNA(INDEX(Cascade!$H:$H,MATCH($E81,Cascade!$E:$E,0)),"")</f>
        <v>344</v>
      </c>
      <c r="H81" s="118" t="n">
        <f aca="false">_xlfn.IFNA(INDEX(Cascade!$J:$J,MATCH($E81,Cascade!$E:$E,0)),"")</f>
        <v>0.0987694</v>
      </c>
      <c r="I81" s="73" t="n">
        <f aca="false">_xlfn.IFNA(INDEX(Cascade!$P:$P,MATCH($E81,Cascade!$E:$E,0)),"")</f>
        <v>141</v>
      </c>
      <c r="J81" s="118" t="n">
        <f aca="false">_xlfn.IFNA(INDEX(Cascade!$Y:$Y,MATCH($E81,Cascade!$E:$E,0)),"")</f>
        <v>0.409883720930233</v>
      </c>
      <c r="K81" s="75" t="str">
        <f aca="false">_xlfn.IFNA(ROUND(INDEX(Spectrum!$N:$N,MATCH(RIGHT($B81,13)&amp;"|"&amp;$C81&amp;"|"&amp;$D81&amp;"|"&amp;K$14&amp;"|"&amp;"CY2021Q3",Spectrum!$Q:$Q,0)),0),"")</f>
        <v/>
      </c>
      <c r="L81" s="75" t="str">
        <f aca="false">_xlfn.IFNA(ROUND(INDEX(Spectrum!$N:$N,MATCH(RIGHT($B81,13)&amp;"|"&amp;$C81&amp;"|"&amp;$D81&amp;"|"&amp;L$14&amp;"|"&amp;"CY2021Q3",Spectrum!$Q:$Q,0)),0),"")</f>
        <v/>
      </c>
      <c r="M81" s="118" t="n">
        <f aca="false">IF(OR(LEFT($B81,4)="_Mil",SUM($F81)&lt;=0),"",SUM($L81)/$F81)</f>
        <v>0</v>
      </c>
      <c r="N81" s="118" t="n">
        <f aca="false">IF(LEFT($B81,4)="_Mil","",80%)</f>
        <v>0.8</v>
      </c>
      <c r="O81" s="75" t="n">
        <f aca="false">IF(LEFT($B81,4)="_Mil","",IF(SUM($F81)=0,"",ROUND(SUM($F81)*SUM($N81),0)))</f>
        <v>2790</v>
      </c>
      <c r="P81" s="75" t="n">
        <f aca="false">IF(LEFT($B81,4)="_Mil","",IF(SUM($F81)=0,"",ROUND(MAX(SUM($O81)-SUM($L81),0),0)))</f>
        <v>2790</v>
      </c>
      <c r="Q81" s="73"/>
      <c r="R81" s="73"/>
      <c r="S81" s="118" t="str">
        <f aca="false">IF(LEFT($B81,4)="_Mil","",IF(SUM($K81)&lt;=0,"",SUM($R81)/$K81))</f>
        <v/>
      </c>
      <c r="T81" s="118" t="str">
        <f aca="false">IF(SUM($S81)&lt;=0,"",$S81)</f>
        <v/>
      </c>
      <c r="U81" s="118" t="str">
        <f aca="false">IF(LEFT($B81,4)="_Mil",0,"")</f>
        <v/>
      </c>
      <c r="V81" s="118"/>
      <c r="W81" s="118" t="str">
        <f aca="false">IF(SUM($V81)=0,"",$V81)</f>
        <v/>
      </c>
      <c r="X81" s="118"/>
      <c r="Y81" s="118" t="str">
        <f aca="false">IF(SUM($X81)=0,"",$X81)</f>
        <v/>
      </c>
      <c r="Z81" s="118" t="n">
        <f aca="false">_xlfn.IFNA(INDEX(Cascade!$BA:$BA,MATCH($E81,Cascade!$E:$E,0)),"")</f>
        <v>0.95</v>
      </c>
      <c r="AA81" s="73" t="n">
        <f aca="false">IF(LEFT($B81,4)="_Mil",IF(SUM($R81)=0,"",ROUND(SUM($R81)*(1+$U81),0)),IF(SUM($P81)=0,"",ROUND(SUM($T81)*SUM($P81),0)))</f>
        <v>0</v>
      </c>
      <c r="AB81" s="75" t="str">
        <f aca="false">IF(SUM($AA81)&lt;=0,"",ROUND($AA81*$W81,0))</f>
        <v/>
      </c>
      <c r="AC81" s="75" t="str">
        <f aca="false">IF(SUM($AA81)&lt;=0,"",ROUND((SUM($AA81)-SUM($AB81))*SUM($Y81),0))</f>
        <v/>
      </c>
      <c r="AD81" s="75" t="str">
        <f aca="false">IF(SUM($AA81)&lt;=0,"",$AA81-$AB81-$AC81)</f>
        <v/>
      </c>
      <c r="AE81" s="73" t="str">
        <f aca="false">IF(SUM($AC81)&lt;=0,"",ROUND($AC81*$Z81,0))</f>
        <v/>
      </c>
      <c r="AF81" s="73" t="n">
        <f aca="false">_xlfn.IFNA(INDEX(Cascade!$BD:$BD,MATCH($E81,Cascade!$E:$E,0)),"")</f>
        <v>63</v>
      </c>
      <c r="AG81" s="118" t="n">
        <f aca="false">IF(SUM($AF81)&lt;=0,"",SUM($AC81)/$AF81)</f>
        <v>0</v>
      </c>
      <c r="AH81" s="118" t="n">
        <f aca="false">_xlfn.IFNA(INDEX(Cascade!$BL:$BL,MATCH($E81,Cascade!$E:$E,0)),"")</f>
        <v>0.301587301587302</v>
      </c>
      <c r="AI81" s="118" t="n">
        <f aca="false">_xlfn.IFNA(INDEX(Cascade!$BO:$BO,MATCH($E81,Cascade!$E:$E,0)),"")</f>
        <v>-171.587301587302</v>
      </c>
      <c r="AJ81" s="118" t="n">
        <f aca="false">_xlfn.IFNA(INDEX(Cascade!$BR:$BR,MATCH($E81,Cascade!$E:$E,0)),"")</f>
        <v>172.285714285714</v>
      </c>
    </row>
    <row r="82" customFormat="false" ht="15" hidden="false" customHeight="false" outlineLevel="0" collapsed="false">
      <c r="A82" s="0" t="s">
        <v>149</v>
      </c>
      <c r="B82" s="0" t="s">
        <v>111</v>
      </c>
      <c r="C82" s="0" t="s">
        <v>72</v>
      </c>
      <c r="D82" s="0" t="s">
        <v>58</v>
      </c>
      <c r="E82" s="0" t="str">
        <f aca="false">B82&amp;"|"&amp;C82&amp;"|"&amp;D82</f>
        <v>Qacha's Nek [#SNU] [zTaMbxvQtJ6]|30-34|Male</v>
      </c>
      <c r="F82" s="73" t="n">
        <f aca="false">_xlfn.IFNA(INDEX(Cascade!$F:$F,MATCH($E82,Cascade!$E:$E,0)),"")</f>
        <v>3485</v>
      </c>
      <c r="G82" s="73" t="n">
        <f aca="false">_xlfn.IFNA(INDEX(Cascade!$H:$H,MATCH($E82,Cascade!$E:$E,0)),"")</f>
        <v>618</v>
      </c>
      <c r="H82" s="118" t="n">
        <f aca="false">_xlfn.IFNA(INDEX(Cascade!$J:$J,MATCH($E82,Cascade!$E:$E,0)),"")</f>
        <v>0.1772965</v>
      </c>
      <c r="I82" s="73" t="n">
        <f aca="false">_xlfn.IFNA(INDEX(Cascade!$P:$P,MATCH($E82,Cascade!$E:$E,0)),"")</f>
        <v>252</v>
      </c>
      <c r="J82" s="118" t="n">
        <f aca="false">_xlfn.IFNA(INDEX(Cascade!$Y:$Y,MATCH($E82,Cascade!$E:$E,0)),"")</f>
        <v>0.407766990291262</v>
      </c>
      <c r="K82" s="75" t="str">
        <f aca="false">_xlfn.IFNA(ROUND(INDEX(Spectrum!$N:$N,MATCH(RIGHT($B82,13)&amp;"|"&amp;$C82&amp;"|"&amp;$D82&amp;"|"&amp;K$14&amp;"|"&amp;"CY2021Q3",Spectrum!$Q:$Q,0)),0),"")</f>
        <v/>
      </c>
      <c r="L82" s="75" t="str">
        <f aca="false">_xlfn.IFNA(ROUND(INDEX(Spectrum!$N:$N,MATCH(RIGHT($B82,13)&amp;"|"&amp;$C82&amp;"|"&amp;$D82&amp;"|"&amp;L$14&amp;"|"&amp;"CY2021Q3",Spectrum!$Q:$Q,0)),0),"")</f>
        <v/>
      </c>
      <c r="M82" s="118" t="n">
        <f aca="false">IF(OR(LEFT($B82,4)="_Mil",SUM($F82)&lt;=0),"",SUM($L82)/$F82)</f>
        <v>0</v>
      </c>
      <c r="N82" s="118" t="n">
        <f aca="false">IF(LEFT($B82,4)="_Mil","",80%)</f>
        <v>0.8</v>
      </c>
      <c r="O82" s="75" t="n">
        <f aca="false">IF(LEFT($B82,4)="_Mil","",IF(SUM($F82)=0,"",ROUND(SUM($F82)*SUM($N82),0)))</f>
        <v>2788</v>
      </c>
      <c r="P82" s="75" t="n">
        <f aca="false">IF(LEFT($B82,4)="_Mil","",IF(SUM($F82)=0,"",ROUND(MAX(SUM($O82)-SUM($L82),0),0)))</f>
        <v>2788</v>
      </c>
      <c r="Q82" s="73"/>
      <c r="R82" s="73"/>
      <c r="S82" s="118" t="str">
        <f aca="false">IF(LEFT($B82,4)="_Mil","",IF(SUM($K82)&lt;=0,"",SUM($R82)/$K82))</f>
        <v/>
      </c>
      <c r="T82" s="118" t="str">
        <f aca="false">IF(SUM($S82)&lt;=0,"",$S82)</f>
        <v/>
      </c>
      <c r="U82" s="118" t="str">
        <f aca="false">IF(LEFT($B82,4)="_Mil",0,"")</f>
        <v/>
      </c>
      <c r="V82" s="118"/>
      <c r="W82" s="118" t="str">
        <f aca="false">IF(SUM($V82)=0,"",$V82)</f>
        <v/>
      </c>
      <c r="X82" s="118"/>
      <c r="Y82" s="118" t="str">
        <f aca="false">IF(SUM($X82)=0,"",$X82)</f>
        <v/>
      </c>
      <c r="Z82" s="118" t="n">
        <f aca="false">_xlfn.IFNA(INDEX(Cascade!$BA:$BA,MATCH($E82,Cascade!$E:$E,0)),"")</f>
        <v>0.95</v>
      </c>
      <c r="AA82" s="73" t="n">
        <f aca="false">IF(LEFT($B82,4)="_Mil",IF(SUM($R82)=0,"",ROUND(SUM($R82)*(1+$U82),0)),IF(SUM($P82)=0,"",ROUND(SUM($T82)*SUM($P82),0)))</f>
        <v>0</v>
      </c>
      <c r="AB82" s="75" t="str">
        <f aca="false">IF(SUM($AA82)&lt;=0,"",ROUND($AA82*$W82,0))</f>
        <v/>
      </c>
      <c r="AC82" s="75" t="str">
        <f aca="false">IF(SUM($AA82)&lt;=0,"",ROUND((SUM($AA82)-SUM($AB82))*SUM($Y82),0))</f>
        <v/>
      </c>
      <c r="AD82" s="75" t="str">
        <f aca="false">IF(SUM($AA82)&lt;=0,"",$AA82-$AB82-$AC82)</f>
        <v/>
      </c>
      <c r="AE82" s="73" t="str">
        <f aca="false">IF(SUM($AC82)&lt;=0,"",ROUND($AC82*$Z82,0))</f>
        <v/>
      </c>
      <c r="AF82" s="73" t="n">
        <f aca="false">_xlfn.IFNA(INDEX(Cascade!$BD:$BD,MATCH($E82,Cascade!$E:$E,0)),"")</f>
        <v>57</v>
      </c>
      <c r="AG82" s="118" t="n">
        <f aca="false">IF(SUM($AF82)&lt;=0,"",SUM($AC82)/$AF82)</f>
        <v>0</v>
      </c>
      <c r="AH82" s="118" t="n">
        <f aca="false">_xlfn.IFNA(INDEX(Cascade!$BL:$BL,MATCH($E82,Cascade!$E:$E,0)),"")</f>
        <v>0.298245614035088</v>
      </c>
      <c r="AI82" s="118" t="str">
        <f aca="false">_xlfn.IFNA(INDEX(Cascade!$BO:$BO,MATCH($E82,Cascade!$E:$E,0)),"")</f>
        <v/>
      </c>
      <c r="AJ82" s="118" t="n">
        <f aca="false">_xlfn.IFNA(INDEX(Cascade!$BR:$BR,MATCH($E82,Cascade!$E:$E,0)),"")</f>
        <v>0.701754385964912</v>
      </c>
    </row>
    <row r="83" customFormat="false" ht="15" hidden="false" customHeight="false" outlineLevel="0" collapsed="false">
      <c r="A83" s="0" t="s">
        <v>149</v>
      </c>
      <c r="B83" s="0" t="s">
        <v>111</v>
      </c>
      <c r="C83" s="0" t="s">
        <v>75</v>
      </c>
      <c r="D83" s="0" t="s">
        <v>58</v>
      </c>
      <c r="E83" s="0" t="str">
        <f aca="false">B83&amp;"|"&amp;C83&amp;"|"&amp;D83</f>
        <v>Qacha's Nek [#SNU] [zTaMbxvQtJ6]|35-39|Male</v>
      </c>
      <c r="F83" s="73" t="n">
        <f aca="false">_xlfn.IFNA(INDEX(Cascade!$F:$F,MATCH($E83,Cascade!$E:$E,0)),"")</f>
        <v>2726</v>
      </c>
      <c r="G83" s="73" t="n">
        <f aca="false">_xlfn.IFNA(INDEX(Cascade!$H:$H,MATCH($E83,Cascade!$E:$E,0)),"")</f>
        <v>747</v>
      </c>
      <c r="H83" s="118" t="n">
        <f aca="false">_xlfn.IFNA(INDEX(Cascade!$J:$J,MATCH($E83,Cascade!$E:$E,0)),"")</f>
        <v>0.2740757</v>
      </c>
      <c r="I83" s="73" t="n">
        <f aca="false">_xlfn.IFNA(INDEX(Cascade!$P:$P,MATCH($E83,Cascade!$E:$E,0)),"")</f>
        <v>373</v>
      </c>
      <c r="J83" s="118" t="n">
        <f aca="false">_xlfn.IFNA(INDEX(Cascade!$Y:$Y,MATCH($E83,Cascade!$E:$E,0)),"")</f>
        <v>0.499330655957162</v>
      </c>
      <c r="K83" s="75" t="str">
        <f aca="false">_xlfn.IFNA(ROUND(INDEX(Spectrum!$N:$N,MATCH(RIGHT($B83,13)&amp;"|"&amp;$C83&amp;"|"&amp;$D83&amp;"|"&amp;K$14&amp;"|"&amp;"CY2021Q3",Spectrum!$Q:$Q,0)),0),"")</f>
        <v/>
      </c>
      <c r="L83" s="75" t="str">
        <f aca="false">_xlfn.IFNA(ROUND(INDEX(Spectrum!$N:$N,MATCH(RIGHT($B83,13)&amp;"|"&amp;$C83&amp;"|"&amp;$D83&amp;"|"&amp;L$14&amp;"|"&amp;"CY2021Q3",Spectrum!$Q:$Q,0)),0),"")</f>
        <v/>
      </c>
      <c r="M83" s="118" t="n">
        <f aca="false">IF(OR(LEFT($B83,4)="_Mil",SUM($F83)&lt;=0),"",SUM($L83)/$F83)</f>
        <v>0</v>
      </c>
      <c r="N83" s="118" t="n">
        <f aca="false">IF(LEFT($B83,4)="_Mil","",80%)</f>
        <v>0.8</v>
      </c>
      <c r="O83" s="75" t="n">
        <f aca="false">IF(LEFT($B83,4)="_Mil","",IF(SUM($F83)=0,"",ROUND(SUM($F83)*SUM($N83),0)))</f>
        <v>2181</v>
      </c>
      <c r="P83" s="75" t="n">
        <f aca="false">IF(LEFT($B83,4)="_Mil","",IF(SUM($F83)=0,"",ROUND(MAX(SUM($O83)-SUM($L83),0),0)))</f>
        <v>2181</v>
      </c>
      <c r="Q83" s="73"/>
      <c r="R83" s="73"/>
      <c r="S83" s="118" t="str">
        <f aca="false">IF(LEFT($B83,4)="_Mil","",IF(SUM($K83)&lt;=0,"",SUM($R83)/$K83))</f>
        <v/>
      </c>
      <c r="T83" s="118" t="str">
        <f aca="false">IF(SUM($S83)&lt;=0,"",$S83)</f>
        <v/>
      </c>
      <c r="U83" s="118" t="str">
        <f aca="false">IF(LEFT($B83,4)="_Mil",0,"")</f>
        <v/>
      </c>
      <c r="V83" s="118"/>
      <c r="W83" s="118" t="str">
        <f aca="false">IF(SUM($V83)=0,"",$V83)</f>
        <v/>
      </c>
      <c r="X83" s="118"/>
      <c r="Y83" s="118" t="str">
        <f aca="false">IF(SUM($X83)=0,"",$X83)</f>
        <v/>
      </c>
      <c r="Z83" s="118" t="n">
        <f aca="false">_xlfn.IFNA(INDEX(Cascade!$BA:$BA,MATCH($E83,Cascade!$E:$E,0)),"")</f>
        <v>0.95</v>
      </c>
      <c r="AA83" s="73" t="n">
        <f aca="false">IF(LEFT($B83,4)="_Mil",IF(SUM($R83)=0,"",ROUND(SUM($R83)*(1+$U83),0)),IF(SUM($P83)=0,"",ROUND(SUM($T83)*SUM($P83),0)))</f>
        <v>0</v>
      </c>
      <c r="AB83" s="75" t="str">
        <f aca="false">IF(SUM($AA83)&lt;=0,"",ROUND($AA83*$W83,0))</f>
        <v/>
      </c>
      <c r="AC83" s="75" t="str">
        <f aca="false">IF(SUM($AA83)&lt;=0,"",ROUND((SUM($AA83)-SUM($AB83))*SUM($Y83),0))</f>
        <v/>
      </c>
      <c r="AD83" s="75" t="str">
        <f aca="false">IF(SUM($AA83)&lt;=0,"",$AA83-$AB83-$AC83)</f>
        <v/>
      </c>
      <c r="AE83" s="73" t="str">
        <f aca="false">IF(SUM($AC83)&lt;=0,"",ROUND($AC83*$Z83,0))</f>
        <v/>
      </c>
      <c r="AF83" s="73" t="n">
        <f aca="false">_xlfn.IFNA(INDEX(Cascade!$BD:$BD,MATCH($E83,Cascade!$E:$E,0)),"")</f>
        <v>3</v>
      </c>
      <c r="AG83" s="118" t="n">
        <f aca="false">IF(SUM($AF83)&lt;=0,"",SUM($AC83)/$AF83)</f>
        <v>0</v>
      </c>
      <c r="AH83" s="118" t="n">
        <f aca="false">_xlfn.IFNA(INDEX(Cascade!$BL:$BL,MATCH($E83,Cascade!$E:$E,0)),"")</f>
        <v>0.333333333333333</v>
      </c>
      <c r="AI83" s="118" t="n">
        <f aca="false">_xlfn.IFNA(INDEX(Cascade!$BO:$BO,MATCH($E83,Cascade!$E:$E,0)),"")</f>
        <v>-5786.66666666667</v>
      </c>
      <c r="AJ83" s="118" t="n">
        <f aca="false">_xlfn.IFNA(INDEX(Cascade!$BR:$BR,MATCH($E83,Cascade!$E:$E,0)),"")</f>
        <v>5787.33333333333</v>
      </c>
    </row>
    <row r="84" customFormat="false" ht="15" hidden="false" customHeight="false" outlineLevel="0" collapsed="false">
      <c r="A84" s="0" t="s">
        <v>149</v>
      </c>
      <c r="B84" s="0" t="s">
        <v>111</v>
      </c>
      <c r="C84" s="0" t="s">
        <v>77</v>
      </c>
      <c r="D84" s="0" t="s">
        <v>58</v>
      </c>
      <c r="E84" s="0" t="str">
        <f aca="false">B84&amp;"|"&amp;C84&amp;"|"&amp;D84</f>
        <v>Qacha's Nek [#SNU] [zTaMbxvQtJ6]|40-44|Male</v>
      </c>
      <c r="F84" s="73" t="n">
        <f aca="false">_xlfn.IFNA(INDEX(Cascade!$F:$F,MATCH($E84,Cascade!$E:$E,0)),"")</f>
        <v>1658</v>
      </c>
      <c r="G84" s="73" t="n">
        <f aca="false">_xlfn.IFNA(INDEX(Cascade!$H:$H,MATCH($E84,Cascade!$E:$E,0)),"")</f>
        <v>641</v>
      </c>
      <c r="H84" s="118" t="n">
        <f aca="false">_xlfn.IFNA(INDEX(Cascade!$J:$J,MATCH($E84,Cascade!$E:$E,0)),"")</f>
        <v>0.3867853</v>
      </c>
      <c r="I84" s="73" t="n">
        <f aca="false">_xlfn.IFNA(INDEX(Cascade!$P:$P,MATCH($E84,Cascade!$E:$E,0)),"")</f>
        <v>397</v>
      </c>
      <c r="J84" s="118" t="n">
        <f aca="false">_xlfn.IFNA(INDEX(Cascade!$Y:$Y,MATCH($E84,Cascade!$E:$E,0)),"")</f>
        <v>0.619344773790952</v>
      </c>
      <c r="K84" s="75" t="str">
        <f aca="false">_xlfn.IFNA(ROUND(INDEX(Spectrum!$N:$N,MATCH(RIGHT($B84,13)&amp;"|"&amp;$C84&amp;"|"&amp;$D84&amp;"|"&amp;K$14&amp;"|"&amp;"CY2021Q3",Spectrum!$Q:$Q,0)),0),"")</f>
        <v/>
      </c>
      <c r="L84" s="75" t="str">
        <f aca="false">_xlfn.IFNA(ROUND(INDEX(Spectrum!$N:$N,MATCH(RIGHT($B84,13)&amp;"|"&amp;$C84&amp;"|"&amp;$D84&amp;"|"&amp;L$14&amp;"|"&amp;"CY2021Q3",Spectrum!$Q:$Q,0)),0),"")</f>
        <v/>
      </c>
      <c r="M84" s="118" t="n">
        <f aca="false">IF(OR(LEFT($B84,4)="_Mil",SUM($F84)&lt;=0),"",SUM($L84)/$F84)</f>
        <v>0</v>
      </c>
      <c r="N84" s="118" t="n">
        <f aca="false">IF(LEFT($B84,4)="_Mil","",80%)</f>
        <v>0.8</v>
      </c>
      <c r="O84" s="75" t="n">
        <f aca="false">IF(LEFT($B84,4)="_Mil","",IF(SUM($F84)=0,"",ROUND(SUM($F84)*SUM($N84),0)))</f>
        <v>1326</v>
      </c>
      <c r="P84" s="75" t="n">
        <f aca="false">IF(LEFT($B84,4)="_Mil","",IF(SUM($F84)=0,"",ROUND(MAX(SUM($O84)-SUM($L84),0),0)))</f>
        <v>1326</v>
      </c>
      <c r="Q84" s="73"/>
      <c r="R84" s="73"/>
      <c r="S84" s="118" t="str">
        <f aca="false">IF(LEFT($B84,4)="_Mil","",IF(SUM($K84)&lt;=0,"",SUM($R84)/$K84))</f>
        <v/>
      </c>
      <c r="T84" s="118" t="str">
        <f aca="false">IF(SUM($S84)&lt;=0,"",$S84)</f>
        <v/>
      </c>
      <c r="U84" s="118" t="str">
        <f aca="false">IF(LEFT($B84,4)="_Mil",0,"")</f>
        <v/>
      </c>
      <c r="V84" s="118"/>
      <c r="W84" s="118" t="str">
        <f aca="false">IF(SUM($V84)=0,"",$V84)</f>
        <v/>
      </c>
      <c r="X84" s="118"/>
      <c r="Y84" s="118" t="str">
        <f aca="false">IF(SUM($X84)=0,"",$X84)</f>
        <v/>
      </c>
      <c r="Z84" s="118" t="n">
        <f aca="false">_xlfn.IFNA(INDEX(Cascade!$BA:$BA,MATCH($E84,Cascade!$E:$E,0)),"")</f>
        <v>0.95</v>
      </c>
      <c r="AA84" s="73" t="n">
        <f aca="false">IF(LEFT($B84,4)="_Mil",IF(SUM($R84)=0,"",ROUND(SUM($R84)*(1+$U84),0)),IF(SUM($P84)=0,"",ROUND(SUM($T84)*SUM($P84),0)))</f>
        <v>0</v>
      </c>
      <c r="AB84" s="75" t="str">
        <f aca="false">IF(SUM($AA84)&lt;=0,"",ROUND($AA84*$W84,0))</f>
        <v/>
      </c>
      <c r="AC84" s="75" t="str">
        <f aca="false">IF(SUM($AA84)&lt;=0,"",ROUND((SUM($AA84)-SUM($AB84))*SUM($Y84),0))</f>
        <v/>
      </c>
      <c r="AD84" s="75" t="str">
        <f aca="false">IF(SUM($AA84)&lt;=0,"",$AA84-$AB84-$AC84)</f>
        <v/>
      </c>
      <c r="AE84" s="73" t="str">
        <f aca="false">IF(SUM($AC84)&lt;=0,"",ROUND($AC84*$Z84,0))</f>
        <v/>
      </c>
      <c r="AF84" s="73" t="n">
        <f aca="false">_xlfn.IFNA(INDEX(Cascade!$BD:$BD,MATCH($E84,Cascade!$E:$E,0)),"")</f>
        <v>15</v>
      </c>
      <c r="AG84" s="118" t="n">
        <f aca="false">IF(SUM($AF84)&lt;=0,"",SUM($AC84)/$AF84)</f>
        <v>0</v>
      </c>
      <c r="AH84" s="118" t="n">
        <f aca="false">_xlfn.IFNA(INDEX(Cascade!$BL:$BL,MATCH($E84,Cascade!$E:$E,0)),"")</f>
        <v>0.333333333333333</v>
      </c>
      <c r="AI84" s="118" t="n">
        <f aca="false">_xlfn.IFNA(INDEX(Cascade!$BO:$BO,MATCH($E84,Cascade!$E:$E,0)),"")</f>
        <v>-100</v>
      </c>
      <c r="AJ84" s="118" t="n">
        <f aca="false">_xlfn.IFNA(INDEX(Cascade!$BR:$BR,MATCH($E84,Cascade!$E:$E,0)),"")</f>
        <v>100.666666666667</v>
      </c>
    </row>
    <row r="85" customFormat="false" ht="15" hidden="false" customHeight="false" outlineLevel="0" collapsed="false">
      <c r="A85" s="0" t="s">
        <v>149</v>
      </c>
      <c r="B85" s="0" t="s">
        <v>111</v>
      </c>
      <c r="C85" s="0" t="s">
        <v>80</v>
      </c>
      <c r="D85" s="0" t="s">
        <v>58</v>
      </c>
      <c r="E85" s="0" t="str">
        <f aca="false">B85&amp;"|"&amp;C85&amp;"|"&amp;D85</f>
        <v>Qacha's Nek [#SNU] [zTaMbxvQtJ6]|45-49|Male</v>
      </c>
      <c r="F85" s="73" t="n">
        <f aca="false">_xlfn.IFNA(INDEX(Cascade!$F:$F,MATCH($E85,Cascade!$E:$E,0)),"")</f>
        <v>1210</v>
      </c>
      <c r="G85" s="73" t="n">
        <f aca="false">_xlfn.IFNA(INDEX(Cascade!$H:$H,MATCH($E85,Cascade!$E:$E,0)),"")</f>
        <v>512</v>
      </c>
      <c r="H85" s="118" t="n">
        <f aca="false">_xlfn.IFNA(INDEX(Cascade!$J:$J,MATCH($E85,Cascade!$E:$E,0)),"")</f>
        <v>0.4229576</v>
      </c>
      <c r="I85" s="73" t="n">
        <f aca="false">_xlfn.IFNA(INDEX(Cascade!$P:$P,MATCH($E85,Cascade!$E:$E,0)),"")</f>
        <v>347</v>
      </c>
      <c r="J85" s="118" t="n">
        <f aca="false">_xlfn.IFNA(INDEX(Cascade!$Y:$Y,MATCH($E85,Cascade!$E:$E,0)),"")</f>
        <v>0.677734375</v>
      </c>
      <c r="K85" s="75" t="str">
        <f aca="false">_xlfn.IFNA(ROUND(INDEX(Spectrum!$N:$N,MATCH(RIGHT($B85,13)&amp;"|"&amp;$C85&amp;"|"&amp;$D85&amp;"|"&amp;K$14&amp;"|"&amp;"CY2021Q3",Spectrum!$Q:$Q,0)),0),"")</f>
        <v/>
      </c>
      <c r="L85" s="75" t="str">
        <f aca="false">_xlfn.IFNA(ROUND(INDEX(Spectrum!$N:$N,MATCH(RIGHT($B85,13)&amp;"|"&amp;$C85&amp;"|"&amp;$D85&amp;"|"&amp;L$14&amp;"|"&amp;"CY2021Q3",Spectrum!$Q:$Q,0)),0),"")</f>
        <v/>
      </c>
      <c r="M85" s="118" t="n">
        <f aca="false">IF(OR(LEFT($B85,4)="_Mil",SUM($F85)&lt;=0),"",SUM($L85)/$F85)</f>
        <v>0</v>
      </c>
      <c r="N85" s="118" t="n">
        <f aca="false">IF(LEFT($B85,4)="_Mil","",80%)</f>
        <v>0.8</v>
      </c>
      <c r="O85" s="75" t="n">
        <f aca="false">IF(LEFT($B85,4)="_Mil","",IF(SUM($F85)=0,"",ROUND(SUM($F85)*SUM($N85),0)))</f>
        <v>968</v>
      </c>
      <c r="P85" s="75" t="n">
        <f aca="false">IF(LEFT($B85,4)="_Mil","",IF(SUM($F85)=0,"",ROUND(MAX(SUM($O85)-SUM($L85),0),0)))</f>
        <v>968</v>
      </c>
      <c r="Q85" s="73"/>
      <c r="R85" s="73"/>
      <c r="S85" s="118" t="str">
        <f aca="false">IF(LEFT($B85,4)="_Mil","",IF(SUM($K85)&lt;=0,"",SUM($R85)/$K85))</f>
        <v/>
      </c>
      <c r="T85" s="118" t="str">
        <f aca="false">IF(SUM($S85)&lt;=0,"",$S85)</f>
        <v/>
      </c>
      <c r="U85" s="118" t="str">
        <f aca="false">IF(LEFT($B85,4)="_Mil",0,"")</f>
        <v/>
      </c>
      <c r="V85" s="118"/>
      <c r="W85" s="118" t="str">
        <f aca="false">IF(SUM($V85)=0,"",$V85)</f>
        <v/>
      </c>
      <c r="X85" s="118"/>
      <c r="Y85" s="118" t="str">
        <f aca="false">IF(SUM($X85)=0,"",$X85)</f>
        <v/>
      </c>
      <c r="Z85" s="118" t="n">
        <f aca="false">_xlfn.IFNA(INDEX(Cascade!$BA:$BA,MATCH($E85,Cascade!$E:$E,0)),"")</f>
        <v>0.95</v>
      </c>
      <c r="AA85" s="73" t="n">
        <f aca="false">IF(LEFT($B85,4)="_Mil",IF(SUM($R85)=0,"",ROUND(SUM($R85)*(1+$U85),0)),IF(SUM($P85)=0,"",ROUND(SUM($T85)*SUM($P85),0)))</f>
        <v>0</v>
      </c>
      <c r="AB85" s="75" t="str">
        <f aca="false">IF(SUM($AA85)&lt;=0,"",ROUND($AA85*$W85,0))</f>
        <v/>
      </c>
      <c r="AC85" s="75" t="str">
        <f aca="false">IF(SUM($AA85)&lt;=0,"",ROUND((SUM($AA85)-SUM($AB85))*SUM($Y85),0))</f>
        <v/>
      </c>
      <c r="AD85" s="75" t="str">
        <f aca="false">IF(SUM($AA85)&lt;=0,"",$AA85-$AB85-$AC85)</f>
        <v/>
      </c>
      <c r="AE85" s="73" t="str">
        <f aca="false">IF(SUM($AC85)&lt;=0,"",ROUND($AC85*$Z85,0))</f>
        <v/>
      </c>
      <c r="AF85" s="73" t="n">
        <f aca="false">_xlfn.IFNA(INDEX(Cascade!$BD:$BD,MATCH($E85,Cascade!$E:$E,0)),"")</f>
        <v>8</v>
      </c>
      <c r="AG85" s="118" t="n">
        <f aca="false">IF(SUM($AF85)&lt;=0,"",SUM($AC85)/$AF85)</f>
        <v>0</v>
      </c>
      <c r="AH85" s="118" t="n">
        <f aca="false">_xlfn.IFNA(INDEX(Cascade!$BL:$BL,MATCH($E85,Cascade!$E:$E,0)),"")</f>
        <v>0.25</v>
      </c>
      <c r="AI85" s="118" t="n">
        <f aca="false">_xlfn.IFNA(INDEX(Cascade!$BO:$BO,MATCH($E85,Cascade!$E:$E,0)),"")</f>
        <v>-3528</v>
      </c>
      <c r="AJ85" s="118" t="n">
        <f aca="false">_xlfn.IFNA(INDEX(Cascade!$BR:$BR,MATCH($E85,Cascade!$E:$E,0)),"")</f>
        <v>3528.75</v>
      </c>
    </row>
    <row r="86" customFormat="false" ht="15" hidden="false" customHeight="false" outlineLevel="0" collapsed="false">
      <c r="A86" s="0" t="s">
        <v>149</v>
      </c>
      <c r="B86" s="0" t="s">
        <v>111</v>
      </c>
      <c r="C86" s="0" t="s">
        <v>86</v>
      </c>
      <c r="D86" s="0" t="s">
        <v>58</v>
      </c>
      <c r="E86" s="0" t="str">
        <f aca="false">B86&amp;"|"&amp;C86&amp;"|"&amp;D86</f>
        <v>Qacha's Nek [#SNU] [zTaMbxvQtJ6]|50+|Male</v>
      </c>
      <c r="F86" s="73" t="n">
        <f aca="false">_xlfn.IFNA(INDEX(Cascade!$F:$F,MATCH($E86,Cascade!$E:$E,0)),"")</f>
        <v>4778</v>
      </c>
      <c r="G86" s="73" t="n">
        <f aca="false">_xlfn.IFNA(INDEX(Cascade!$H:$H,MATCH($E86,Cascade!$E:$E,0)),"")</f>
        <v>1295</v>
      </c>
      <c r="H86" s="118" t="n">
        <f aca="false">_xlfn.IFNA(INDEX(Cascade!$J:$J,MATCH($E86,Cascade!$E:$E,0)),"")</f>
        <v>0.2711099</v>
      </c>
      <c r="I86" s="73" t="n">
        <f aca="false">_xlfn.IFNA(INDEX(Cascade!$P:$P,MATCH($E86,Cascade!$E:$E,0)),"")</f>
        <v>892</v>
      </c>
      <c r="J86" s="118" t="n">
        <f aca="false">_xlfn.IFNA(INDEX(Cascade!$Y:$Y,MATCH($E86,Cascade!$E:$E,0)),"")</f>
        <v>0.688803088803089</v>
      </c>
      <c r="K86" s="75" t="str">
        <f aca="false">_xlfn.IFNA(ROUND(INDEX(Spectrum!$N:$N,MATCH(RIGHT($B86,13)&amp;"|"&amp;$C86&amp;"|"&amp;$D86&amp;"|"&amp;K$14&amp;"|"&amp;"CY2021Q3",Spectrum!$Q:$Q,0)),0),"")</f>
        <v/>
      </c>
      <c r="L86" s="75" t="str">
        <f aca="false">_xlfn.IFNA(ROUND(INDEX(Spectrum!$N:$N,MATCH(RIGHT($B86,13)&amp;"|"&amp;$C86&amp;"|"&amp;$D86&amp;"|"&amp;L$14&amp;"|"&amp;"CY2021Q3",Spectrum!$Q:$Q,0)),0),"")</f>
        <v/>
      </c>
      <c r="M86" s="118" t="n">
        <f aca="false">IF(OR(LEFT($B86,4)="_Mil",SUM($F86)&lt;=0),"",SUM($L86)/$F86)</f>
        <v>0</v>
      </c>
      <c r="N86" s="118" t="n">
        <f aca="false">IF(LEFT($B86,4)="_Mil","",80%)</f>
        <v>0.8</v>
      </c>
      <c r="O86" s="75" t="n">
        <f aca="false">IF(LEFT($B86,4)="_Mil","",IF(SUM($F86)=0,"",ROUND(SUM($F86)*SUM($N86),0)))</f>
        <v>3822</v>
      </c>
      <c r="P86" s="75" t="n">
        <f aca="false">IF(LEFT($B86,4)="_Mil","",IF(SUM($F86)=0,"",ROUND(MAX(SUM($O86)-SUM($L86),0),0)))</f>
        <v>3822</v>
      </c>
      <c r="Q86" s="73"/>
      <c r="R86" s="73"/>
      <c r="S86" s="118" t="str">
        <f aca="false">IF(LEFT($B86,4)="_Mil","",IF(SUM($K86)&lt;=0,"",SUM($R86)/$K86))</f>
        <v/>
      </c>
      <c r="T86" s="118" t="str">
        <f aca="false">IF(SUM($S86)&lt;=0,"",$S86)</f>
        <v/>
      </c>
      <c r="U86" s="118" t="str">
        <f aca="false">IF(LEFT($B86,4)="_Mil",0,"")</f>
        <v/>
      </c>
      <c r="V86" s="118"/>
      <c r="W86" s="118" t="str">
        <f aca="false">IF(SUM($V86)=0,"",$V86)</f>
        <v/>
      </c>
      <c r="X86" s="118"/>
      <c r="Y86" s="118" t="str">
        <f aca="false">IF(SUM($X86)=0,"",$X86)</f>
        <v/>
      </c>
      <c r="Z86" s="118" t="n">
        <f aca="false">_xlfn.IFNA(INDEX(Cascade!$BA:$BA,MATCH($E86,Cascade!$E:$E,0)),"")</f>
        <v>0.95</v>
      </c>
      <c r="AA86" s="73" t="n">
        <f aca="false">IF(LEFT($B86,4)="_Mil",IF(SUM($R86)=0,"",ROUND(SUM($R86)*(1+$U86),0)),IF(SUM($P86)=0,"",ROUND(SUM($T86)*SUM($P86),0)))</f>
        <v>0</v>
      </c>
      <c r="AB86" s="75" t="str">
        <f aca="false">IF(SUM($AA86)&lt;=0,"",ROUND($AA86*$W86,0))</f>
        <v/>
      </c>
      <c r="AC86" s="75" t="str">
        <f aca="false">IF(SUM($AA86)&lt;=0,"",ROUND((SUM($AA86)-SUM($AB86))*SUM($Y86),0))</f>
        <v/>
      </c>
      <c r="AD86" s="75" t="str">
        <f aca="false">IF(SUM($AA86)&lt;=0,"",$AA86-$AB86-$AC86)</f>
        <v/>
      </c>
      <c r="AE86" s="73" t="str">
        <f aca="false">IF(SUM($AC86)&lt;=0,"",ROUND($AC86*$Z86,0))</f>
        <v/>
      </c>
      <c r="AF86" s="73" t="n">
        <f aca="false">_xlfn.IFNA(INDEX(Cascade!$BD:$BD,MATCH($E86,Cascade!$E:$E,0)),"")</f>
        <v>12</v>
      </c>
      <c r="AG86" s="118" t="n">
        <f aca="false">IF(SUM($AF86)&lt;=0,"",SUM($AC86)/$AF86)</f>
        <v>0</v>
      </c>
      <c r="AH86" s="118" t="n">
        <f aca="false">_xlfn.IFNA(INDEX(Cascade!$BL:$BL,MATCH($E86,Cascade!$E:$E,0)),"")</f>
        <v>0.333333333333333</v>
      </c>
      <c r="AI86" s="118" t="n">
        <f aca="false">_xlfn.IFNA(INDEX(Cascade!$BO:$BO,MATCH($E86,Cascade!$E:$E,0)),"")</f>
        <v>-925</v>
      </c>
      <c r="AJ86" s="118" t="n">
        <f aca="false">_xlfn.IFNA(INDEX(Cascade!$BR:$BR,MATCH($E86,Cascade!$E:$E,0)),"")</f>
        <v>925.666666666667</v>
      </c>
    </row>
    <row r="87" customFormat="false" ht="15" hidden="false" customHeight="false" outlineLevel="0" collapsed="false">
      <c r="A87" s="0" t="s">
        <v>150</v>
      </c>
      <c r="B87" s="0" t="s">
        <v>117</v>
      </c>
      <c r="C87" s="0" t="s">
        <v>63</v>
      </c>
      <c r="D87" s="0" t="s">
        <v>58</v>
      </c>
      <c r="E87" s="0" t="str">
        <f aca="false">B87&amp;"|"&amp;C87&amp;"|"&amp;D87</f>
        <v>Quthing [#SNU] [HuwCoDZG0FY]|15-19|Male</v>
      </c>
      <c r="F87" s="73" t="n">
        <f aca="false">_xlfn.IFNA(INDEX(Cascade!$F:$F,MATCH($E87,Cascade!$E:$E,0)),"")</f>
        <v>5995</v>
      </c>
      <c r="G87" s="73" t="n">
        <f aca="false">_xlfn.IFNA(INDEX(Cascade!$H:$H,MATCH($E87,Cascade!$E:$E,0)),"")</f>
        <v>178</v>
      </c>
      <c r="H87" s="118" t="n">
        <f aca="false">_xlfn.IFNA(INDEX(Cascade!$J:$J,MATCH($E87,Cascade!$E:$E,0)),"")</f>
        <v>0.0296477</v>
      </c>
      <c r="I87" s="73" t="n">
        <f aca="false">_xlfn.IFNA(INDEX(Cascade!$P:$P,MATCH($E87,Cascade!$E:$E,0)),"")</f>
        <v>142</v>
      </c>
      <c r="J87" s="118" t="n">
        <f aca="false">_xlfn.IFNA(INDEX(Cascade!$Y:$Y,MATCH($E87,Cascade!$E:$E,0)),"")</f>
        <v>0.797752808988764</v>
      </c>
      <c r="K87" s="75" t="str">
        <f aca="false">_xlfn.IFNA(ROUND(INDEX(Spectrum!$N:$N,MATCH(RIGHT($B87,13)&amp;"|"&amp;$C87&amp;"|"&amp;$D87&amp;"|"&amp;K$14&amp;"|"&amp;"CY2021Q3",Spectrum!$Q:$Q,0)),0),"")</f>
        <v/>
      </c>
      <c r="L87" s="75" t="str">
        <f aca="false">_xlfn.IFNA(ROUND(INDEX(Spectrum!$N:$N,MATCH(RIGHT($B87,13)&amp;"|"&amp;$C87&amp;"|"&amp;$D87&amp;"|"&amp;L$14&amp;"|"&amp;"CY2021Q3",Spectrum!$Q:$Q,0)),0),"")</f>
        <v/>
      </c>
      <c r="M87" s="118" t="n">
        <f aca="false">IF(OR(LEFT($B87,4)="_Mil",SUM($F87)&lt;=0),"",SUM($L87)/$F87)</f>
        <v>0</v>
      </c>
      <c r="N87" s="118" t="n">
        <f aca="false">IF(LEFT($B87,4)="_Mil","",80%)</f>
        <v>0.8</v>
      </c>
      <c r="O87" s="75" t="n">
        <f aca="false">IF(LEFT($B87,4)="_Mil","",IF(SUM($F87)=0,"",ROUND(SUM($F87)*SUM($N87),0)))</f>
        <v>4796</v>
      </c>
      <c r="P87" s="75" t="n">
        <f aca="false">IF(LEFT($B87,4)="_Mil","",IF(SUM($F87)=0,"",ROUND(MAX(SUM($O87)-SUM($L87),0),0)))</f>
        <v>4796</v>
      </c>
      <c r="Q87" s="73"/>
      <c r="R87" s="73"/>
      <c r="S87" s="118" t="str">
        <f aca="false">IF(LEFT($B87,4)="_Mil","",IF(SUM($K87)&lt;=0,"",SUM($R87)/$K87))</f>
        <v/>
      </c>
      <c r="T87" s="118" t="str">
        <f aca="false">IF(SUM($S87)&lt;=0,"",$S87)</f>
        <v/>
      </c>
      <c r="U87" s="118" t="str">
        <f aca="false">IF(LEFT($B87,4)="_Mil",0,"")</f>
        <v/>
      </c>
      <c r="V87" s="118"/>
      <c r="W87" s="118" t="str">
        <f aca="false">IF(SUM($V87)=0,"",$V87)</f>
        <v/>
      </c>
      <c r="X87" s="118"/>
      <c r="Y87" s="118" t="str">
        <f aca="false">IF(SUM($X87)=0,"",$X87)</f>
        <v/>
      </c>
      <c r="Z87" s="118" t="n">
        <f aca="false">_xlfn.IFNA(INDEX(Cascade!$BA:$BA,MATCH($E87,Cascade!$E:$E,0)),"")</f>
        <v>0.95</v>
      </c>
      <c r="AA87" s="73" t="n">
        <f aca="false">IF(LEFT($B87,4)="_Mil",IF(SUM($R87)=0,"",ROUND(SUM($R87)*(1+$U87),0)),IF(SUM($P87)=0,"",ROUND(SUM($T87)*SUM($P87),0)))</f>
        <v>0</v>
      </c>
      <c r="AB87" s="75" t="str">
        <f aca="false">IF(SUM($AA87)&lt;=0,"",ROUND($AA87*$W87,0))</f>
        <v/>
      </c>
      <c r="AC87" s="75" t="str">
        <f aca="false">IF(SUM($AA87)&lt;=0,"",ROUND((SUM($AA87)-SUM($AB87))*SUM($Y87),0))</f>
        <v/>
      </c>
      <c r="AD87" s="75" t="str">
        <f aca="false">IF(SUM($AA87)&lt;=0,"",$AA87-$AB87-$AC87)</f>
        <v/>
      </c>
      <c r="AE87" s="73" t="str">
        <f aca="false">IF(SUM($AC87)&lt;=0,"",ROUND($AC87*$Z87,0))</f>
        <v/>
      </c>
      <c r="AF87" s="73" t="n">
        <f aca="false">_xlfn.IFNA(INDEX(Cascade!$BD:$BD,MATCH($E87,Cascade!$E:$E,0)),"")</f>
        <v>1</v>
      </c>
      <c r="AG87" s="118" t="n">
        <f aca="false">IF(SUM($AF87)&lt;=0,"",SUM($AC87)/$AF87)</f>
        <v>0</v>
      </c>
      <c r="AH87" s="118" t="n">
        <f aca="false">_xlfn.IFNA(INDEX(Cascade!$BL:$BL,MATCH($E87,Cascade!$E:$E,0)),"")</f>
        <v>1</v>
      </c>
      <c r="AI87" s="118" t="str">
        <f aca="false">_xlfn.IFNA(INDEX(Cascade!$BO:$BO,MATCH($E87,Cascade!$E:$E,0)),"")</f>
        <v/>
      </c>
      <c r="AJ87" s="118" t="str">
        <f aca="false">_xlfn.IFNA(INDEX(Cascade!$BR:$BR,MATCH($E87,Cascade!$E:$E,0)),"")</f>
        <v/>
      </c>
    </row>
    <row r="88" customFormat="false" ht="15" hidden="false" customHeight="false" outlineLevel="0" collapsed="false">
      <c r="A88" s="0" t="s">
        <v>150</v>
      </c>
      <c r="B88" s="0" t="s">
        <v>117</v>
      </c>
      <c r="C88" s="0" t="s">
        <v>66</v>
      </c>
      <c r="D88" s="0" t="s">
        <v>58</v>
      </c>
      <c r="E88" s="0" t="str">
        <f aca="false">B88&amp;"|"&amp;C88&amp;"|"&amp;D88</f>
        <v>Quthing [#SNU] [HuwCoDZG0FY]|20-24|Male</v>
      </c>
      <c r="F88" s="73" t="n">
        <f aca="false">_xlfn.IFNA(INDEX(Cascade!$F:$F,MATCH($E88,Cascade!$E:$E,0)),"")</f>
        <v>5494</v>
      </c>
      <c r="G88" s="73" t="n">
        <f aca="false">_xlfn.IFNA(INDEX(Cascade!$H:$H,MATCH($E88,Cascade!$E:$E,0)),"")</f>
        <v>286</v>
      </c>
      <c r="H88" s="118" t="n">
        <f aca="false">_xlfn.IFNA(INDEX(Cascade!$J:$J,MATCH($E88,Cascade!$E:$E,0)),"")</f>
        <v>0.0520713</v>
      </c>
      <c r="I88" s="73" t="n">
        <f aca="false">_xlfn.IFNA(INDEX(Cascade!$P:$P,MATCH($E88,Cascade!$E:$E,0)),"")</f>
        <v>133</v>
      </c>
      <c r="J88" s="118" t="n">
        <f aca="false">_xlfn.IFNA(INDEX(Cascade!$Y:$Y,MATCH($E88,Cascade!$E:$E,0)),"")</f>
        <v>0.465034965034965</v>
      </c>
      <c r="K88" s="75" t="str">
        <f aca="false">_xlfn.IFNA(ROUND(INDEX(Spectrum!$N:$N,MATCH(RIGHT($B88,13)&amp;"|"&amp;$C88&amp;"|"&amp;$D88&amp;"|"&amp;K$14&amp;"|"&amp;"CY2021Q3",Spectrum!$Q:$Q,0)),0),"")</f>
        <v/>
      </c>
      <c r="L88" s="75" t="str">
        <f aca="false">_xlfn.IFNA(ROUND(INDEX(Spectrum!$N:$N,MATCH(RIGHT($B88,13)&amp;"|"&amp;$C88&amp;"|"&amp;$D88&amp;"|"&amp;L$14&amp;"|"&amp;"CY2021Q3",Spectrum!$Q:$Q,0)),0),"")</f>
        <v/>
      </c>
      <c r="M88" s="118" t="n">
        <f aca="false">IF(OR(LEFT($B88,4)="_Mil",SUM($F88)&lt;=0),"",SUM($L88)/$F88)</f>
        <v>0</v>
      </c>
      <c r="N88" s="118" t="n">
        <f aca="false">IF(LEFT($B88,4)="_Mil","",80%)</f>
        <v>0.8</v>
      </c>
      <c r="O88" s="75" t="n">
        <f aca="false">IF(LEFT($B88,4)="_Mil","",IF(SUM($F88)=0,"",ROUND(SUM($F88)*SUM($N88),0)))</f>
        <v>4395</v>
      </c>
      <c r="P88" s="75" t="n">
        <f aca="false">IF(LEFT($B88,4)="_Mil","",IF(SUM($F88)=0,"",ROUND(MAX(SUM($O88)-SUM($L88),0),0)))</f>
        <v>4395</v>
      </c>
      <c r="Q88" s="73"/>
      <c r="R88" s="73"/>
      <c r="S88" s="118" t="str">
        <f aca="false">IF(LEFT($B88,4)="_Mil","",IF(SUM($K88)&lt;=0,"",SUM($R88)/$K88))</f>
        <v/>
      </c>
      <c r="T88" s="118" t="str">
        <f aca="false">IF(SUM($S88)&lt;=0,"",$S88)</f>
        <v/>
      </c>
      <c r="U88" s="118" t="str">
        <f aca="false">IF(LEFT($B88,4)="_Mil",0,"")</f>
        <v/>
      </c>
      <c r="V88" s="118"/>
      <c r="W88" s="118" t="str">
        <f aca="false">IF(SUM($V88)=0,"",$V88)</f>
        <v/>
      </c>
      <c r="X88" s="118"/>
      <c r="Y88" s="118" t="str">
        <f aca="false">IF(SUM($X88)=0,"",$X88)</f>
        <v/>
      </c>
      <c r="Z88" s="118" t="n">
        <f aca="false">_xlfn.IFNA(INDEX(Cascade!$BA:$BA,MATCH($E88,Cascade!$E:$E,0)),"")</f>
        <v>0.95</v>
      </c>
      <c r="AA88" s="73" t="n">
        <f aca="false">IF(LEFT($B88,4)="_Mil",IF(SUM($R88)=0,"",ROUND(SUM($R88)*(1+$U88),0)),IF(SUM($P88)=0,"",ROUND(SUM($T88)*SUM($P88),0)))</f>
        <v>0</v>
      </c>
      <c r="AB88" s="75" t="str">
        <f aca="false">IF(SUM($AA88)&lt;=0,"",ROUND($AA88*$W88,0))</f>
        <v/>
      </c>
      <c r="AC88" s="75" t="str">
        <f aca="false">IF(SUM($AA88)&lt;=0,"",ROUND((SUM($AA88)-SUM($AB88))*SUM($Y88),0))</f>
        <v/>
      </c>
      <c r="AD88" s="75" t="str">
        <f aca="false">IF(SUM($AA88)&lt;=0,"",$AA88-$AB88-$AC88)</f>
        <v/>
      </c>
      <c r="AE88" s="73" t="str">
        <f aca="false">IF(SUM($AC88)&lt;=0,"",ROUND($AC88*$Z88,0))</f>
        <v/>
      </c>
      <c r="AF88" s="73" t="n">
        <f aca="false">_xlfn.IFNA(INDEX(Cascade!$BD:$BD,MATCH($E88,Cascade!$E:$E,0)),"")</f>
        <v>52</v>
      </c>
      <c r="AG88" s="118" t="n">
        <f aca="false">IF(SUM($AF88)&lt;=0,"",SUM($AC88)/$AF88)</f>
        <v>0</v>
      </c>
      <c r="AH88" s="118" t="n">
        <f aca="false">_xlfn.IFNA(INDEX(Cascade!$BL:$BL,MATCH($E88,Cascade!$E:$E,0)),"")</f>
        <v>0.307692307692308</v>
      </c>
      <c r="AI88" s="118" t="str">
        <f aca="false">_xlfn.IFNA(INDEX(Cascade!$BO:$BO,MATCH($E88,Cascade!$E:$E,0)),"")</f>
        <v/>
      </c>
      <c r="AJ88" s="118" t="n">
        <f aca="false">_xlfn.IFNA(INDEX(Cascade!$BR:$BR,MATCH($E88,Cascade!$E:$E,0)),"")</f>
        <v>0.692307692307692</v>
      </c>
    </row>
    <row r="89" customFormat="false" ht="15" hidden="false" customHeight="false" outlineLevel="0" collapsed="false">
      <c r="A89" s="0" t="s">
        <v>150</v>
      </c>
      <c r="B89" s="0" t="s">
        <v>117</v>
      </c>
      <c r="C89" s="0" t="s">
        <v>69</v>
      </c>
      <c r="D89" s="0" t="s">
        <v>58</v>
      </c>
      <c r="E89" s="0" t="str">
        <f aca="false">B89&amp;"|"&amp;C89&amp;"|"&amp;D89</f>
        <v>Quthing [#SNU] [HuwCoDZG0FY]|25-29|Male</v>
      </c>
      <c r="F89" s="73" t="n">
        <f aca="false">_xlfn.IFNA(INDEX(Cascade!$F:$F,MATCH($E89,Cascade!$E:$E,0)),"")</f>
        <v>5755</v>
      </c>
      <c r="G89" s="73" t="n">
        <f aca="false">_xlfn.IFNA(INDEX(Cascade!$H:$H,MATCH($E89,Cascade!$E:$E,0)),"")</f>
        <v>625</v>
      </c>
      <c r="H89" s="118" t="n">
        <f aca="false">_xlfn.IFNA(INDEX(Cascade!$J:$J,MATCH($E89,Cascade!$E:$E,0)),"")</f>
        <v>0.1085506</v>
      </c>
      <c r="I89" s="73" t="n">
        <f aca="false">_xlfn.IFNA(INDEX(Cascade!$P:$P,MATCH($E89,Cascade!$E:$E,0)),"")</f>
        <v>227</v>
      </c>
      <c r="J89" s="118" t="n">
        <f aca="false">_xlfn.IFNA(INDEX(Cascade!$Y:$Y,MATCH($E89,Cascade!$E:$E,0)),"")</f>
        <v>0.3632</v>
      </c>
      <c r="K89" s="75" t="str">
        <f aca="false">_xlfn.IFNA(ROUND(INDEX(Spectrum!$N:$N,MATCH(RIGHT($B89,13)&amp;"|"&amp;$C89&amp;"|"&amp;$D89&amp;"|"&amp;K$14&amp;"|"&amp;"CY2021Q3",Spectrum!$Q:$Q,0)),0),"")</f>
        <v/>
      </c>
      <c r="L89" s="75" t="str">
        <f aca="false">_xlfn.IFNA(ROUND(INDEX(Spectrum!$N:$N,MATCH(RIGHT($B89,13)&amp;"|"&amp;$C89&amp;"|"&amp;$D89&amp;"|"&amp;L$14&amp;"|"&amp;"CY2021Q3",Spectrum!$Q:$Q,0)),0),"")</f>
        <v/>
      </c>
      <c r="M89" s="118" t="n">
        <f aca="false">IF(OR(LEFT($B89,4)="_Mil",SUM($F89)&lt;=0),"",SUM($L89)/$F89)</f>
        <v>0</v>
      </c>
      <c r="N89" s="118" t="n">
        <f aca="false">IF(LEFT($B89,4)="_Mil","",80%)</f>
        <v>0.8</v>
      </c>
      <c r="O89" s="75" t="n">
        <f aca="false">IF(LEFT($B89,4)="_Mil","",IF(SUM($F89)=0,"",ROUND(SUM($F89)*SUM($N89),0)))</f>
        <v>4604</v>
      </c>
      <c r="P89" s="75" t="n">
        <f aca="false">IF(LEFT($B89,4)="_Mil","",IF(SUM($F89)=0,"",ROUND(MAX(SUM($O89)-SUM($L89),0),0)))</f>
        <v>4604</v>
      </c>
      <c r="Q89" s="73"/>
      <c r="R89" s="73"/>
      <c r="S89" s="118" t="str">
        <f aca="false">IF(LEFT($B89,4)="_Mil","",IF(SUM($K89)&lt;=0,"",SUM($R89)/$K89))</f>
        <v/>
      </c>
      <c r="T89" s="118" t="str">
        <f aca="false">IF(SUM($S89)&lt;=0,"",$S89)</f>
        <v/>
      </c>
      <c r="U89" s="118" t="str">
        <f aca="false">IF(LEFT($B89,4)="_Mil",0,"")</f>
        <v/>
      </c>
      <c r="V89" s="118"/>
      <c r="W89" s="118" t="str">
        <f aca="false">IF(SUM($V89)=0,"",$V89)</f>
        <v/>
      </c>
      <c r="X89" s="118"/>
      <c r="Y89" s="118" t="str">
        <f aca="false">IF(SUM($X89)=0,"",$X89)</f>
        <v/>
      </c>
      <c r="Z89" s="118" t="n">
        <f aca="false">_xlfn.IFNA(INDEX(Cascade!$BA:$BA,MATCH($E89,Cascade!$E:$E,0)),"")</f>
        <v>0.95</v>
      </c>
      <c r="AA89" s="73" t="n">
        <f aca="false">IF(LEFT($B89,4)="_Mil",IF(SUM($R89)=0,"",ROUND(SUM($R89)*(1+$U89),0)),IF(SUM($P89)=0,"",ROUND(SUM($T89)*SUM($P89),0)))</f>
        <v>0</v>
      </c>
      <c r="AB89" s="75" t="str">
        <f aca="false">IF(SUM($AA89)&lt;=0,"",ROUND($AA89*$W89,0))</f>
        <v/>
      </c>
      <c r="AC89" s="75" t="str">
        <f aca="false">IF(SUM($AA89)&lt;=0,"",ROUND((SUM($AA89)-SUM($AB89))*SUM($Y89),0))</f>
        <v/>
      </c>
      <c r="AD89" s="75" t="str">
        <f aca="false">IF(SUM($AA89)&lt;=0,"",$AA89-$AB89-$AC89)</f>
        <v/>
      </c>
      <c r="AE89" s="73" t="str">
        <f aca="false">IF(SUM($AC89)&lt;=0,"",ROUND($AC89*$Z89,0))</f>
        <v/>
      </c>
      <c r="AF89" s="73" t="n">
        <f aca="false">_xlfn.IFNA(INDEX(Cascade!$BD:$BD,MATCH($E89,Cascade!$E:$E,0)),"")</f>
        <v>16</v>
      </c>
      <c r="AG89" s="118" t="n">
        <f aca="false">IF(SUM($AF89)&lt;=0,"",SUM($AC89)/$AF89)</f>
        <v>0</v>
      </c>
      <c r="AH89" s="118" t="n">
        <f aca="false">_xlfn.IFNA(INDEX(Cascade!$BL:$BL,MATCH($E89,Cascade!$E:$E,0)),"")</f>
        <v>0.3125</v>
      </c>
      <c r="AI89" s="118" t="str">
        <f aca="false">_xlfn.IFNA(INDEX(Cascade!$BO:$BO,MATCH($E89,Cascade!$E:$E,0)),"")</f>
        <v/>
      </c>
      <c r="AJ89" s="118" t="n">
        <f aca="false">_xlfn.IFNA(INDEX(Cascade!$BR:$BR,MATCH($E89,Cascade!$E:$E,0)),"")</f>
        <v>0.6875</v>
      </c>
    </row>
    <row r="90" customFormat="false" ht="15" hidden="false" customHeight="false" outlineLevel="0" collapsed="false">
      <c r="A90" s="0" t="s">
        <v>150</v>
      </c>
      <c r="B90" s="0" t="s">
        <v>117</v>
      </c>
      <c r="C90" s="0" t="s">
        <v>72</v>
      </c>
      <c r="D90" s="0" t="s">
        <v>58</v>
      </c>
      <c r="E90" s="0" t="str">
        <f aca="false">B90&amp;"|"&amp;C90&amp;"|"&amp;D90</f>
        <v>Quthing [#SNU] [HuwCoDZG0FY]|30-34|Male</v>
      </c>
      <c r="F90" s="73" t="n">
        <f aca="false">_xlfn.IFNA(INDEX(Cascade!$F:$F,MATCH($E90,Cascade!$E:$E,0)),"")</f>
        <v>5415</v>
      </c>
      <c r="G90" s="73" t="n">
        <f aca="false">_xlfn.IFNA(INDEX(Cascade!$H:$H,MATCH($E90,Cascade!$E:$E,0)),"")</f>
        <v>1097</v>
      </c>
      <c r="H90" s="118" t="n">
        <f aca="false">_xlfn.IFNA(INDEX(Cascade!$J:$J,MATCH($E90,Cascade!$E:$E,0)),"")</f>
        <v>0.2025305</v>
      </c>
      <c r="I90" s="73" t="n">
        <f aca="false">_xlfn.IFNA(INDEX(Cascade!$P:$P,MATCH($E90,Cascade!$E:$E,0)),"")</f>
        <v>391</v>
      </c>
      <c r="J90" s="118" t="n">
        <f aca="false">_xlfn.IFNA(INDEX(Cascade!$Y:$Y,MATCH($E90,Cascade!$E:$E,0)),"")</f>
        <v>0.356426618049225</v>
      </c>
      <c r="K90" s="75" t="str">
        <f aca="false">_xlfn.IFNA(ROUND(INDEX(Spectrum!$N:$N,MATCH(RIGHT($B90,13)&amp;"|"&amp;$C90&amp;"|"&amp;$D90&amp;"|"&amp;K$14&amp;"|"&amp;"CY2021Q3",Spectrum!$Q:$Q,0)),0),"")</f>
        <v/>
      </c>
      <c r="L90" s="75" t="str">
        <f aca="false">_xlfn.IFNA(ROUND(INDEX(Spectrum!$N:$N,MATCH(RIGHT($B90,13)&amp;"|"&amp;$C90&amp;"|"&amp;$D90&amp;"|"&amp;L$14&amp;"|"&amp;"CY2021Q3",Spectrum!$Q:$Q,0)),0),"")</f>
        <v/>
      </c>
      <c r="M90" s="118" t="n">
        <f aca="false">IF(OR(LEFT($B90,4)="_Mil",SUM($F90)&lt;=0),"",SUM($L90)/$F90)</f>
        <v>0</v>
      </c>
      <c r="N90" s="118" t="n">
        <f aca="false">IF(LEFT($B90,4)="_Mil","",80%)</f>
        <v>0.8</v>
      </c>
      <c r="O90" s="75" t="n">
        <f aca="false">IF(LEFT($B90,4)="_Mil","",IF(SUM($F90)=0,"",ROUND(SUM($F90)*SUM($N90),0)))</f>
        <v>4332</v>
      </c>
      <c r="P90" s="75" t="n">
        <f aca="false">IF(LEFT($B90,4)="_Mil","",IF(SUM($F90)=0,"",ROUND(MAX(SUM($O90)-SUM($L90),0),0)))</f>
        <v>4332</v>
      </c>
      <c r="Q90" s="73"/>
      <c r="R90" s="73"/>
      <c r="S90" s="118" t="str">
        <f aca="false">IF(LEFT($B90,4)="_Mil","",IF(SUM($K90)&lt;=0,"",SUM($R90)/$K90))</f>
        <v/>
      </c>
      <c r="T90" s="118" t="str">
        <f aca="false">IF(SUM($S90)&lt;=0,"",$S90)</f>
        <v/>
      </c>
      <c r="U90" s="118" t="str">
        <f aca="false">IF(LEFT($B90,4)="_Mil",0,"")</f>
        <v/>
      </c>
      <c r="V90" s="118"/>
      <c r="W90" s="118" t="str">
        <f aca="false">IF(SUM($V90)=0,"",$V90)</f>
        <v/>
      </c>
      <c r="X90" s="118"/>
      <c r="Y90" s="118" t="str">
        <f aca="false">IF(SUM($X90)=0,"",$X90)</f>
        <v/>
      </c>
      <c r="Z90" s="118" t="n">
        <f aca="false">_xlfn.IFNA(INDEX(Cascade!$BA:$BA,MATCH($E90,Cascade!$E:$E,0)),"")</f>
        <v>0.95</v>
      </c>
      <c r="AA90" s="73" t="n">
        <f aca="false">IF(LEFT($B90,4)="_Mil",IF(SUM($R90)=0,"",ROUND(SUM($R90)*(1+$U90),0)),IF(SUM($P90)=0,"",ROUND(SUM($T90)*SUM($P90),0)))</f>
        <v>0</v>
      </c>
      <c r="AB90" s="75" t="str">
        <f aca="false">IF(SUM($AA90)&lt;=0,"",ROUND($AA90*$W90,0))</f>
        <v/>
      </c>
      <c r="AC90" s="75" t="str">
        <f aca="false">IF(SUM($AA90)&lt;=0,"",ROUND((SUM($AA90)-SUM($AB90))*SUM($Y90),0))</f>
        <v/>
      </c>
      <c r="AD90" s="75" t="str">
        <f aca="false">IF(SUM($AA90)&lt;=0,"",$AA90-$AB90-$AC90)</f>
        <v/>
      </c>
      <c r="AE90" s="73" t="str">
        <f aca="false">IF(SUM($AC90)&lt;=0,"",ROUND($AC90*$Z90,0))</f>
        <v/>
      </c>
      <c r="AF90" s="73" t="n">
        <f aca="false">_xlfn.IFNA(INDEX(Cascade!$BD:$BD,MATCH($E90,Cascade!$E:$E,0)),"")</f>
        <v>82</v>
      </c>
      <c r="AG90" s="118" t="n">
        <f aca="false">IF(SUM($AF90)&lt;=0,"",SUM($AC90)/$AF90)</f>
        <v>0</v>
      </c>
      <c r="AH90" s="118" t="n">
        <f aca="false">_xlfn.IFNA(INDEX(Cascade!$BL:$BL,MATCH($E90,Cascade!$E:$E,0)),"")</f>
        <v>0.304878048780488</v>
      </c>
      <c r="AI90" s="118" t="str">
        <f aca="false">_xlfn.IFNA(INDEX(Cascade!$BO:$BO,MATCH($E90,Cascade!$E:$E,0)),"")</f>
        <v/>
      </c>
      <c r="AJ90" s="118" t="n">
        <f aca="false">_xlfn.IFNA(INDEX(Cascade!$BR:$BR,MATCH($E90,Cascade!$E:$E,0)),"")</f>
        <v>0.695121951219512</v>
      </c>
    </row>
    <row r="91" customFormat="false" ht="15" hidden="false" customHeight="false" outlineLevel="0" collapsed="false">
      <c r="A91" s="0" t="s">
        <v>150</v>
      </c>
      <c r="B91" s="0" t="s">
        <v>117</v>
      </c>
      <c r="C91" s="0" t="s">
        <v>75</v>
      </c>
      <c r="D91" s="0" t="s">
        <v>58</v>
      </c>
      <c r="E91" s="0" t="str">
        <f aca="false">B91&amp;"|"&amp;C91&amp;"|"&amp;D91</f>
        <v>Quthing [#SNU] [HuwCoDZG0FY]|35-39|Male</v>
      </c>
      <c r="F91" s="73" t="n">
        <f aca="false">_xlfn.IFNA(INDEX(Cascade!$F:$F,MATCH($E91,Cascade!$E:$E,0)),"")</f>
        <v>3830</v>
      </c>
      <c r="G91" s="73" t="n">
        <f aca="false">_xlfn.IFNA(INDEX(Cascade!$H:$H,MATCH($E91,Cascade!$E:$E,0)),"")</f>
        <v>1249</v>
      </c>
      <c r="H91" s="118" t="n">
        <f aca="false">_xlfn.IFNA(INDEX(Cascade!$J:$J,MATCH($E91,Cascade!$E:$E,0)),"")</f>
        <v>0.3259964</v>
      </c>
      <c r="I91" s="73" t="n">
        <f aca="false">_xlfn.IFNA(INDEX(Cascade!$P:$P,MATCH($E91,Cascade!$E:$E,0)),"")</f>
        <v>547</v>
      </c>
      <c r="J91" s="118" t="n">
        <f aca="false">_xlfn.IFNA(INDEX(Cascade!$Y:$Y,MATCH($E91,Cascade!$E:$E,0)),"")</f>
        <v>0.437950360288231</v>
      </c>
      <c r="K91" s="75" t="str">
        <f aca="false">_xlfn.IFNA(ROUND(INDEX(Spectrum!$N:$N,MATCH(RIGHT($B91,13)&amp;"|"&amp;$C91&amp;"|"&amp;$D91&amp;"|"&amp;K$14&amp;"|"&amp;"CY2021Q3",Spectrum!$Q:$Q,0)),0),"")</f>
        <v/>
      </c>
      <c r="L91" s="75" t="str">
        <f aca="false">_xlfn.IFNA(ROUND(INDEX(Spectrum!$N:$N,MATCH(RIGHT($B91,13)&amp;"|"&amp;$C91&amp;"|"&amp;$D91&amp;"|"&amp;L$14&amp;"|"&amp;"CY2021Q3",Spectrum!$Q:$Q,0)),0),"")</f>
        <v/>
      </c>
      <c r="M91" s="118" t="n">
        <f aca="false">IF(OR(LEFT($B91,4)="_Mil",SUM($F91)&lt;=0),"",SUM($L91)/$F91)</f>
        <v>0</v>
      </c>
      <c r="N91" s="118" t="n">
        <f aca="false">IF(LEFT($B91,4)="_Mil","",80%)</f>
        <v>0.8</v>
      </c>
      <c r="O91" s="75" t="n">
        <f aca="false">IF(LEFT($B91,4)="_Mil","",IF(SUM($F91)=0,"",ROUND(SUM($F91)*SUM($N91),0)))</f>
        <v>3064</v>
      </c>
      <c r="P91" s="75" t="n">
        <f aca="false">IF(LEFT($B91,4)="_Mil","",IF(SUM($F91)=0,"",ROUND(MAX(SUM($O91)-SUM($L91),0),0)))</f>
        <v>3064</v>
      </c>
      <c r="Q91" s="73"/>
      <c r="R91" s="73"/>
      <c r="S91" s="118" t="str">
        <f aca="false">IF(LEFT($B91,4)="_Mil","",IF(SUM($K91)&lt;=0,"",SUM($R91)/$K91))</f>
        <v/>
      </c>
      <c r="T91" s="118" t="str">
        <f aca="false">IF(SUM($S91)&lt;=0,"",$S91)</f>
        <v/>
      </c>
      <c r="U91" s="118" t="str">
        <f aca="false">IF(LEFT($B91,4)="_Mil",0,"")</f>
        <v/>
      </c>
      <c r="V91" s="118"/>
      <c r="W91" s="118" t="str">
        <f aca="false">IF(SUM($V91)=0,"",$V91)</f>
        <v/>
      </c>
      <c r="X91" s="118"/>
      <c r="Y91" s="118" t="str">
        <f aca="false">IF(SUM($X91)=0,"",$X91)</f>
        <v/>
      </c>
      <c r="Z91" s="118" t="n">
        <f aca="false">_xlfn.IFNA(INDEX(Cascade!$BA:$BA,MATCH($E91,Cascade!$E:$E,0)),"")</f>
        <v>0.95</v>
      </c>
      <c r="AA91" s="73" t="n">
        <f aca="false">IF(LEFT($B91,4)="_Mil",IF(SUM($R91)=0,"",ROUND(SUM($R91)*(1+$U91),0)),IF(SUM($P91)=0,"",ROUND(SUM($T91)*SUM($P91),0)))</f>
        <v>0</v>
      </c>
      <c r="AB91" s="75" t="str">
        <f aca="false">IF(SUM($AA91)&lt;=0,"",ROUND($AA91*$W91,0))</f>
        <v/>
      </c>
      <c r="AC91" s="75" t="str">
        <f aca="false">IF(SUM($AA91)&lt;=0,"",ROUND((SUM($AA91)-SUM($AB91))*SUM($Y91),0))</f>
        <v/>
      </c>
      <c r="AD91" s="75" t="str">
        <f aca="false">IF(SUM($AA91)&lt;=0,"",$AA91-$AB91-$AC91)</f>
        <v/>
      </c>
      <c r="AE91" s="73" t="str">
        <f aca="false">IF(SUM($AC91)&lt;=0,"",ROUND($AC91*$Z91,0))</f>
        <v/>
      </c>
      <c r="AF91" s="73" t="n">
        <f aca="false">_xlfn.IFNA(INDEX(Cascade!$BD:$BD,MATCH($E91,Cascade!$E:$E,0)),"")</f>
        <v>55</v>
      </c>
      <c r="AG91" s="118" t="n">
        <f aca="false">IF(SUM($AF91)&lt;=0,"",SUM($AC91)/$AF91)</f>
        <v>0</v>
      </c>
      <c r="AH91" s="118" t="n">
        <f aca="false">_xlfn.IFNA(INDEX(Cascade!$BL:$BL,MATCH($E91,Cascade!$E:$E,0)),"")</f>
        <v>0.309090909090909</v>
      </c>
      <c r="AI91" s="118" t="n">
        <f aca="false">_xlfn.IFNA(INDEX(Cascade!$BO:$BO,MATCH($E91,Cascade!$E:$E,0)),"")</f>
        <v>-40.1818181818182</v>
      </c>
      <c r="AJ91" s="118" t="n">
        <f aca="false">_xlfn.IFNA(INDEX(Cascade!$BR:$BR,MATCH($E91,Cascade!$E:$E,0)),"")</f>
        <v>40.8727272727273</v>
      </c>
    </row>
    <row r="92" customFormat="false" ht="15" hidden="false" customHeight="false" outlineLevel="0" collapsed="false">
      <c r="A92" s="0" t="s">
        <v>150</v>
      </c>
      <c r="B92" s="0" t="s">
        <v>117</v>
      </c>
      <c r="C92" s="0" t="s">
        <v>77</v>
      </c>
      <c r="D92" s="0" t="s">
        <v>58</v>
      </c>
      <c r="E92" s="0" t="str">
        <f aca="false">B92&amp;"|"&amp;C92&amp;"|"&amp;D92</f>
        <v>Quthing [#SNU] [HuwCoDZG0FY]|40-44|Male</v>
      </c>
      <c r="F92" s="73" t="n">
        <f aca="false">_xlfn.IFNA(INDEX(Cascade!$F:$F,MATCH($E92,Cascade!$E:$E,0)),"")</f>
        <v>2490</v>
      </c>
      <c r="G92" s="73" t="n">
        <f aca="false">_xlfn.IFNA(INDEX(Cascade!$H:$H,MATCH($E92,Cascade!$E:$E,0)),"")</f>
        <v>1036</v>
      </c>
      <c r="H92" s="118" t="n">
        <f aca="false">_xlfn.IFNA(INDEX(Cascade!$J:$J,MATCH($E92,Cascade!$E:$E,0)),"")</f>
        <v>0.416006</v>
      </c>
      <c r="I92" s="73" t="n">
        <f aca="false">_xlfn.IFNA(INDEX(Cascade!$P:$P,MATCH($E92,Cascade!$E:$E,0)),"")</f>
        <v>573</v>
      </c>
      <c r="J92" s="118" t="n">
        <f aca="false">_xlfn.IFNA(INDEX(Cascade!$Y:$Y,MATCH($E92,Cascade!$E:$E,0)),"")</f>
        <v>0.553088803088803</v>
      </c>
      <c r="K92" s="75" t="str">
        <f aca="false">_xlfn.IFNA(ROUND(INDEX(Spectrum!$N:$N,MATCH(RIGHT($B92,13)&amp;"|"&amp;$C92&amp;"|"&amp;$D92&amp;"|"&amp;K$14&amp;"|"&amp;"CY2021Q3",Spectrum!$Q:$Q,0)),0),"")</f>
        <v/>
      </c>
      <c r="L92" s="75" t="str">
        <f aca="false">_xlfn.IFNA(ROUND(INDEX(Spectrum!$N:$N,MATCH(RIGHT($B92,13)&amp;"|"&amp;$C92&amp;"|"&amp;$D92&amp;"|"&amp;L$14&amp;"|"&amp;"CY2021Q3",Spectrum!$Q:$Q,0)),0),"")</f>
        <v/>
      </c>
      <c r="M92" s="118" t="n">
        <f aca="false">IF(OR(LEFT($B92,4)="_Mil",SUM($F92)&lt;=0),"",SUM($L92)/$F92)</f>
        <v>0</v>
      </c>
      <c r="N92" s="118" t="n">
        <f aca="false">IF(LEFT($B92,4)="_Mil","",80%)</f>
        <v>0.8</v>
      </c>
      <c r="O92" s="75" t="n">
        <f aca="false">IF(LEFT($B92,4)="_Mil","",IF(SUM($F92)=0,"",ROUND(SUM($F92)*SUM($N92),0)))</f>
        <v>1992</v>
      </c>
      <c r="P92" s="75" t="n">
        <f aca="false">IF(LEFT($B92,4)="_Mil","",IF(SUM($F92)=0,"",ROUND(MAX(SUM($O92)-SUM($L92),0),0)))</f>
        <v>1992</v>
      </c>
      <c r="Q92" s="73"/>
      <c r="R92" s="73"/>
      <c r="S92" s="118" t="str">
        <f aca="false">IF(LEFT($B92,4)="_Mil","",IF(SUM($K92)&lt;=0,"",SUM($R92)/$K92))</f>
        <v/>
      </c>
      <c r="T92" s="118" t="str">
        <f aca="false">IF(SUM($S92)&lt;=0,"",$S92)</f>
        <v/>
      </c>
      <c r="U92" s="118" t="str">
        <f aca="false">IF(LEFT($B92,4)="_Mil",0,"")</f>
        <v/>
      </c>
      <c r="V92" s="118"/>
      <c r="W92" s="118" t="str">
        <f aca="false">IF(SUM($V92)=0,"",$V92)</f>
        <v/>
      </c>
      <c r="X92" s="118"/>
      <c r="Y92" s="118" t="str">
        <f aca="false">IF(SUM($X92)=0,"",$X92)</f>
        <v/>
      </c>
      <c r="Z92" s="118" t="n">
        <f aca="false">_xlfn.IFNA(INDEX(Cascade!$BA:$BA,MATCH($E92,Cascade!$E:$E,0)),"")</f>
        <v>0.95</v>
      </c>
      <c r="AA92" s="73" t="n">
        <f aca="false">IF(LEFT($B92,4)="_Mil",IF(SUM($R92)=0,"",ROUND(SUM($R92)*(1+$U92),0)),IF(SUM($P92)=0,"",ROUND(SUM($T92)*SUM($P92),0)))</f>
        <v>0</v>
      </c>
      <c r="AB92" s="75" t="str">
        <f aca="false">IF(SUM($AA92)&lt;=0,"",ROUND($AA92*$W92,0))</f>
        <v/>
      </c>
      <c r="AC92" s="75" t="str">
        <f aca="false">IF(SUM($AA92)&lt;=0,"",ROUND((SUM($AA92)-SUM($AB92))*SUM($Y92),0))</f>
        <v/>
      </c>
      <c r="AD92" s="75" t="str">
        <f aca="false">IF(SUM($AA92)&lt;=0,"",$AA92-$AB92-$AC92)</f>
        <v/>
      </c>
      <c r="AE92" s="73" t="str">
        <f aca="false">IF(SUM($AC92)&lt;=0,"",ROUND($AC92*$Z92,0))</f>
        <v/>
      </c>
      <c r="AF92" s="73" t="str">
        <f aca="false">_xlfn.IFNA(INDEX(Cascade!$BD:$BD,MATCH($E92,Cascade!$E:$E,0)),"")</f>
        <v/>
      </c>
      <c r="AG92" s="118" t="str">
        <f aca="false">IF(SUM($AF92)&lt;=0,"",SUM($AC92)/$AF92)</f>
        <v/>
      </c>
      <c r="AH92" s="118" t="str">
        <f aca="false">_xlfn.IFNA(INDEX(Cascade!$BL:$BL,MATCH($E92,Cascade!$E:$E,0)),"")</f>
        <v/>
      </c>
      <c r="AI92" s="118" t="str">
        <f aca="false">_xlfn.IFNA(INDEX(Cascade!$BO:$BO,MATCH($E92,Cascade!$E:$E,0)),"")</f>
        <v/>
      </c>
      <c r="AJ92" s="118" t="str">
        <f aca="false">_xlfn.IFNA(INDEX(Cascade!$BR:$BR,MATCH($E92,Cascade!$E:$E,0)),"")</f>
        <v/>
      </c>
    </row>
    <row r="93" customFormat="false" ht="15" hidden="false" customHeight="false" outlineLevel="0" collapsed="false">
      <c r="A93" s="0" t="s">
        <v>150</v>
      </c>
      <c r="B93" s="0" t="s">
        <v>117</v>
      </c>
      <c r="C93" s="0" t="s">
        <v>80</v>
      </c>
      <c r="D93" s="0" t="s">
        <v>58</v>
      </c>
      <c r="E93" s="0" t="str">
        <f aca="false">B93&amp;"|"&amp;C93&amp;"|"&amp;D93</f>
        <v>Quthing [#SNU] [HuwCoDZG0FY]|45-49|Male</v>
      </c>
      <c r="F93" s="73" t="n">
        <f aca="false">_xlfn.IFNA(INDEX(Cascade!$F:$F,MATCH($E93,Cascade!$E:$E,0)),"")</f>
        <v>1782</v>
      </c>
      <c r="G93" s="73" t="n">
        <f aca="false">_xlfn.IFNA(INDEX(Cascade!$H:$H,MATCH($E93,Cascade!$E:$E,0)),"")</f>
        <v>841</v>
      </c>
      <c r="H93" s="118" t="n">
        <f aca="false">_xlfn.IFNA(INDEX(Cascade!$J:$J,MATCH($E93,Cascade!$E:$E,0)),"")</f>
        <v>0.4721665</v>
      </c>
      <c r="I93" s="73" t="n">
        <f aca="false">_xlfn.IFNA(INDEX(Cascade!$P:$P,MATCH($E93,Cascade!$E:$E,0)),"")</f>
        <v>512</v>
      </c>
      <c r="J93" s="118" t="n">
        <f aca="false">_xlfn.IFNA(INDEX(Cascade!$Y:$Y,MATCH($E93,Cascade!$E:$E,0)),"")</f>
        <v>0.608799048751486</v>
      </c>
      <c r="K93" s="75" t="str">
        <f aca="false">_xlfn.IFNA(ROUND(INDEX(Spectrum!$N:$N,MATCH(RIGHT($B93,13)&amp;"|"&amp;$C93&amp;"|"&amp;$D93&amp;"|"&amp;K$14&amp;"|"&amp;"CY2021Q3",Spectrum!$Q:$Q,0)),0),"")</f>
        <v/>
      </c>
      <c r="L93" s="75" t="str">
        <f aca="false">_xlfn.IFNA(ROUND(INDEX(Spectrum!$N:$N,MATCH(RIGHT($B93,13)&amp;"|"&amp;$C93&amp;"|"&amp;$D93&amp;"|"&amp;L$14&amp;"|"&amp;"CY2021Q3",Spectrum!$Q:$Q,0)),0),"")</f>
        <v/>
      </c>
      <c r="M93" s="118" t="n">
        <f aca="false">IF(OR(LEFT($B93,4)="_Mil",SUM($F93)&lt;=0),"",SUM($L93)/$F93)</f>
        <v>0</v>
      </c>
      <c r="N93" s="118" t="n">
        <f aca="false">IF(LEFT($B93,4)="_Mil","",80%)</f>
        <v>0.8</v>
      </c>
      <c r="O93" s="75" t="n">
        <f aca="false">IF(LEFT($B93,4)="_Mil","",IF(SUM($F93)=0,"",ROUND(SUM($F93)*SUM($N93),0)))</f>
        <v>1426</v>
      </c>
      <c r="P93" s="75" t="n">
        <f aca="false">IF(LEFT($B93,4)="_Mil","",IF(SUM($F93)=0,"",ROUND(MAX(SUM($O93)-SUM($L93),0),0)))</f>
        <v>1426</v>
      </c>
      <c r="Q93" s="73"/>
      <c r="R93" s="73"/>
      <c r="S93" s="118" t="str">
        <f aca="false">IF(LEFT($B93,4)="_Mil","",IF(SUM($K93)&lt;=0,"",SUM($R93)/$K93))</f>
        <v/>
      </c>
      <c r="T93" s="118" t="str">
        <f aca="false">IF(SUM($S93)&lt;=0,"",$S93)</f>
        <v/>
      </c>
      <c r="U93" s="118" t="str">
        <f aca="false">IF(LEFT($B93,4)="_Mil",0,"")</f>
        <v/>
      </c>
      <c r="V93" s="118"/>
      <c r="W93" s="118" t="str">
        <f aca="false">IF(SUM($V93)=0,"",$V93)</f>
        <v/>
      </c>
      <c r="X93" s="118"/>
      <c r="Y93" s="118" t="str">
        <f aca="false">IF(SUM($X93)=0,"",$X93)</f>
        <v/>
      </c>
      <c r="Z93" s="118" t="n">
        <f aca="false">_xlfn.IFNA(INDEX(Cascade!$BA:$BA,MATCH($E93,Cascade!$E:$E,0)),"")</f>
        <v>0.95</v>
      </c>
      <c r="AA93" s="73" t="n">
        <f aca="false">IF(LEFT($B93,4)="_Mil",IF(SUM($R93)=0,"",ROUND(SUM($R93)*(1+$U93),0)),IF(SUM($P93)=0,"",ROUND(SUM($T93)*SUM($P93),0)))</f>
        <v>0</v>
      </c>
      <c r="AB93" s="75" t="str">
        <f aca="false">IF(SUM($AA93)&lt;=0,"",ROUND($AA93*$W93,0))</f>
        <v/>
      </c>
      <c r="AC93" s="75" t="str">
        <f aca="false">IF(SUM($AA93)&lt;=0,"",ROUND((SUM($AA93)-SUM($AB93))*SUM($Y93),0))</f>
        <v/>
      </c>
      <c r="AD93" s="75" t="str">
        <f aca="false">IF(SUM($AA93)&lt;=0,"",$AA93-$AB93-$AC93)</f>
        <v/>
      </c>
      <c r="AE93" s="73" t="str">
        <f aca="false">IF(SUM($AC93)&lt;=0,"",ROUND($AC93*$Z93,0))</f>
        <v/>
      </c>
      <c r="AF93" s="73" t="n">
        <f aca="false">_xlfn.IFNA(INDEX(Cascade!$BD:$BD,MATCH($E93,Cascade!$E:$E,0)),"")</f>
        <v>22</v>
      </c>
      <c r="AG93" s="118" t="n">
        <f aca="false">IF(SUM($AF93)&lt;=0,"",SUM($AC93)/$AF93)</f>
        <v>0</v>
      </c>
      <c r="AH93" s="118" t="n">
        <f aca="false">_xlfn.IFNA(INDEX(Cascade!$BL:$BL,MATCH($E93,Cascade!$E:$E,0)),"")</f>
        <v>0.318181818181818</v>
      </c>
      <c r="AI93" s="118" t="str">
        <f aca="false">_xlfn.IFNA(INDEX(Cascade!$BO:$BO,MATCH($E93,Cascade!$E:$E,0)),"")</f>
        <v/>
      </c>
      <c r="AJ93" s="118" t="n">
        <f aca="false">_xlfn.IFNA(INDEX(Cascade!$BR:$BR,MATCH($E93,Cascade!$E:$E,0)),"")</f>
        <v>0.681818181818182</v>
      </c>
    </row>
    <row r="94" customFormat="false" ht="15" hidden="false" customHeight="false" outlineLevel="0" collapsed="false">
      <c r="A94" s="0" t="s">
        <v>150</v>
      </c>
      <c r="B94" s="0" t="s">
        <v>117</v>
      </c>
      <c r="C94" s="0" t="s">
        <v>86</v>
      </c>
      <c r="D94" s="0" t="s">
        <v>58</v>
      </c>
      <c r="E94" s="0" t="str">
        <f aca="false">B94&amp;"|"&amp;C94&amp;"|"&amp;D94</f>
        <v>Quthing [#SNU] [HuwCoDZG0FY]|50+|Male</v>
      </c>
      <c r="F94" s="73" t="n">
        <f aca="false">_xlfn.IFNA(INDEX(Cascade!$F:$F,MATCH($E94,Cascade!$E:$E,0)),"")</f>
        <v>7161</v>
      </c>
      <c r="G94" s="73" t="n">
        <f aca="false">_xlfn.IFNA(INDEX(Cascade!$H:$H,MATCH($E94,Cascade!$E:$E,0)),"")</f>
        <v>2180</v>
      </c>
      <c r="H94" s="118" t="n">
        <f aca="false">_xlfn.IFNA(INDEX(Cascade!$J:$J,MATCH($E94,Cascade!$E:$E,0)),"")</f>
        <v>0.3043469</v>
      </c>
      <c r="I94" s="73" t="n">
        <f aca="false">_xlfn.IFNA(INDEX(Cascade!$P:$P,MATCH($E94,Cascade!$E:$E,0)),"")</f>
        <v>1363</v>
      </c>
      <c r="J94" s="118" t="n">
        <f aca="false">_xlfn.IFNA(INDEX(Cascade!$Y:$Y,MATCH($E94,Cascade!$E:$E,0)),"")</f>
        <v>0.625229357798165</v>
      </c>
      <c r="K94" s="75" t="str">
        <f aca="false">_xlfn.IFNA(ROUND(INDEX(Spectrum!$N:$N,MATCH(RIGHT($B94,13)&amp;"|"&amp;$C94&amp;"|"&amp;$D94&amp;"|"&amp;K$14&amp;"|"&amp;"CY2021Q3",Spectrum!$Q:$Q,0)),0),"")</f>
        <v/>
      </c>
      <c r="L94" s="75" t="str">
        <f aca="false">_xlfn.IFNA(ROUND(INDEX(Spectrum!$N:$N,MATCH(RIGHT($B94,13)&amp;"|"&amp;$C94&amp;"|"&amp;$D94&amp;"|"&amp;L$14&amp;"|"&amp;"CY2021Q3",Spectrum!$Q:$Q,0)),0),"")</f>
        <v/>
      </c>
      <c r="M94" s="118" t="n">
        <f aca="false">IF(OR(LEFT($B94,4)="_Mil",SUM($F94)&lt;=0),"",SUM($L94)/$F94)</f>
        <v>0</v>
      </c>
      <c r="N94" s="118" t="n">
        <f aca="false">IF(LEFT($B94,4)="_Mil","",80%)</f>
        <v>0.8</v>
      </c>
      <c r="O94" s="75" t="n">
        <f aca="false">IF(LEFT($B94,4)="_Mil","",IF(SUM($F94)=0,"",ROUND(SUM($F94)*SUM($N94),0)))</f>
        <v>5729</v>
      </c>
      <c r="P94" s="75" t="n">
        <f aca="false">IF(LEFT($B94,4)="_Mil","",IF(SUM($F94)=0,"",ROUND(MAX(SUM($O94)-SUM($L94),0),0)))</f>
        <v>5729</v>
      </c>
      <c r="Q94" s="73"/>
      <c r="R94" s="73"/>
      <c r="S94" s="118" t="str">
        <f aca="false">IF(LEFT($B94,4)="_Mil","",IF(SUM($K94)&lt;=0,"",SUM($R94)/$K94))</f>
        <v/>
      </c>
      <c r="T94" s="118" t="str">
        <f aca="false">IF(SUM($S94)&lt;=0,"",$S94)</f>
        <v/>
      </c>
      <c r="U94" s="118" t="str">
        <f aca="false">IF(LEFT($B94,4)="_Mil",0,"")</f>
        <v/>
      </c>
      <c r="V94" s="118"/>
      <c r="W94" s="118" t="str">
        <f aca="false">IF(SUM($V94)=0,"",$V94)</f>
        <v/>
      </c>
      <c r="X94" s="118"/>
      <c r="Y94" s="118" t="str">
        <f aca="false">IF(SUM($X94)=0,"",$X94)</f>
        <v/>
      </c>
      <c r="Z94" s="118" t="n">
        <f aca="false">_xlfn.IFNA(INDEX(Cascade!$BA:$BA,MATCH($E94,Cascade!$E:$E,0)),"")</f>
        <v>0.95</v>
      </c>
      <c r="AA94" s="73" t="n">
        <f aca="false">IF(LEFT($B94,4)="_Mil",IF(SUM($R94)=0,"",ROUND(SUM($R94)*(1+$U94),0)),IF(SUM($P94)=0,"",ROUND(SUM($T94)*SUM($P94),0)))</f>
        <v>0</v>
      </c>
      <c r="AB94" s="75" t="str">
        <f aca="false">IF(SUM($AA94)&lt;=0,"",ROUND($AA94*$W94,0))</f>
        <v/>
      </c>
      <c r="AC94" s="75" t="str">
        <f aca="false">IF(SUM($AA94)&lt;=0,"",ROUND((SUM($AA94)-SUM($AB94))*SUM($Y94),0))</f>
        <v/>
      </c>
      <c r="AD94" s="75" t="str">
        <f aca="false">IF(SUM($AA94)&lt;=0,"",$AA94-$AB94-$AC94)</f>
        <v/>
      </c>
      <c r="AE94" s="73" t="str">
        <f aca="false">IF(SUM($AC94)&lt;=0,"",ROUND($AC94*$Z94,0))</f>
        <v/>
      </c>
      <c r="AF94" s="73" t="n">
        <f aca="false">_xlfn.IFNA(INDEX(Cascade!$BD:$BD,MATCH($E94,Cascade!$E:$E,0)),"")</f>
        <v>18</v>
      </c>
      <c r="AG94" s="118" t="n">
        <f aca="false">IF(SUM($AF94)&lt;=0,"",SUM($AC94)/$AF94)</f>
        <v>0</v>
      </c>
      <c r="AH94" s="118" t="n">
        <f aca="false">_xlfn.IFNA(INDEX(Cascade!$BL:$BL,MATCH($E94,Cascade!$E:$E,0)),"")</f>
        <v>0.277777777777778</v>
      </c>
      <c r="AI94" s="118" t="n">
        <f aca="false">_xlfn.IFNA(INDEX(Cascade!$BO:$BO,MATCH($E94,Cascade!$E:$E,0)),"")</f>
        <v>-447.222222222222</v>
      </c>
      <c r="AJ94" s="118" t="n">
        <f aca="false">_xlfn.IFNA(INDEX(Cascade!$BR:$BR,MATCH($E94,Cascade!$E:$E,0)),"")</f>
        <v>447.944444444445</v>
      </c>
    </row>
    <row r="95" customFormat="false" ht="15" hidden="false" customHeight="false" outlineLevel="0" collapsed="false">
      <c r="A95" s="0" t="s">
        <v>151</v>
      </c>
      <c r="B95" s="0" t="s">
        <v>101</v>
      </c>
      <c r="C95" s="0" t="s">
        <v>63</v>
      </c>
      <c r="D95" s="0" t="s">
        <v>58</v>
      </c>
      <c r="E95" s="0" t="str">
        <f aca="false">B95&amp;"|"&amp;C95&amp;"|"&amp;D95</f>
        <v>Thaba Tseka [#SNU] [jyhIrCoB31x]|15-19|Male</v>
      </c>
      <c r="F95" s="73" t="n">
        <f aca="false">_xlfn.IFNA(INDEX(Cascade!$F:$F,MATCH($E95,Cascade!$E:$E,0)),"")</f>
        <v>7851</v>
      </c>
      <c r="G95" s="73" t="n">
        <f aca="false">_xlfn.IFNA(INDEX(Cascade!$H:$H,MATCH($E95,Cascade!$E:$E,0)),"")</f>
        <v>197</v>
      </c>
      <c r="H95" s="118" t="n">
        <f aca="false">_xlfn.IFNA(INDEX(Cascade!$J:$J,MATCH($E95,Cascade!$E:$E,0)),"")</f>
        <v>0.0250636</v>
      </c>
      <c r="I95" s="73" t="n">
        <f aca="false">_xlfn.IFNA(INDEX(Cascade!$P:$P,MATCH($E95,Cascade!$E:$E,0)),"")</f>
        <v>176</v>
      </c>
      <c r="J95" s="118" t="n">
        <f aca="false">_xlfn.IFNA(INDEX(Cascade!$Y:$Y,MATCH($E95,Cascade!$E:$E,0)),"")</f>
        <v>0.893401015228426</v>
      </c>
      <c r="K95" s="75" t="str">
        <f aca="false">_xlfn.IFNA(ROUND(INDEX(Spectrum!$N:$N,MATCH(RIGHT($B95,13)&amp;"|"&amp;$C95&amp;"|"&amp;$D95&amp;"|"&amp;K$14&amp;"|"&amp;"CY2021Q3",Spectrum!$Q:$Q,0)),0),"")</f>
        <v/>
      </c>
      <c r="L95" s="75" t="str">
        <f aca="false">_xlfn.IFNA(ROUND(INDEX(Spectrum!$N:$N,MATCH(RIGHT($B95,13)&amp;"|"&amp;$C95&amp;"|"&amp;$D95&amp;"|"&amp;L$14&amp;"|"&amp;"CY2021Q3",Spectrum!$Q:$Q,0)),0),"")</f>
        <v/>
      </c>
      <c r="M95" s="118" t="n">
        <f aca="false">IF(OR(LEFT($B95,4)="_Mil",SUM($F95)&lt;=0),"",SUM($L95)/$F95)</f>
        <v>0</v>
      </c>
      <c r="N95" s="118" t="n">
        <f aca="false">IF(LEFT($B95,4)="_Mil","",80%)</f>
        <v>0.8</v>
      </c>
      <c r="O95" s="75" t="n">
        <f aca="false">IF(LEFT($B95,4)="_Mil","",IF(SUM($F95)=0,"",ROUND(SUM($F95)*SUM($N95),0)))</f>
        <v>6281</v>
      </c>
      <c r="P95" s="75" t="n">
        <f aca="false">IF(LEFT($B95,4)="_Mil","",IF(SUM($F95)=0,"",ROUND(MAX(SUM($O95)-SUM($L95),0),0)))</f>
        <v>6281</v>
      </c>
      <c r="Q95" s="73"/>
      <c r="R95" s="73"/>
      <c r="S95" s="118" t="str">
        <f aca="false">IF(LEFT($B95,4)="_Mil","",IF(SUM($K95)&lt;=0,"",SUM($R95)/$K95))</f>
        <v/>
      </c>
      <c r="T95" s="118" t="str">
        <f aca="false">IF(SUM($S95)&lt;=0,"",$S95)</f>
        <v/>
      </c>
      <c r="U95" s="118" t="str">
        <f aca="false">IF(LEFT($B95,4)="_Mil",0,"")</f>
        <v/>
      </c>
      <c r="V95" s="118"/>
      <c r="W95" s="118" t="str">
        <f aca="false">IF(SUM($V95)=0,"",$V95)</f>
        <v/>
      </c>
      <c r="X95" s="118"/>
      <c r="Y95" s="118" t="str">
        <f aca="false">IF(SUM($X95)=0,"",$X95)</f>
        <v/>
      </c>
      <c r="Z95" s="118" t="n">
        <f aca="false">_xlfn.IFNA(INDEX(Cascade!$BA:$BA,MATCH($E95,Cascade!$E:$E,0)),"")</f>
        <v>0.95</v>
      </c>
      <c r="AA95" s="73" t="n">
        <f aca="false">IF(LEFT($B95,4)="_Mil",IF(SUM($R95)=0,"",ROUND(SUM($R95)*(1+$U95),0)),IF(SUM($P95)=0,"",ROUND(SUM($T95)*SUM($P95),0)))</f>
        <v>0</v>
      </c>
      <c r="AB95" s="75" t="str">
        <f aca="false">IF(SUM($AA95)&lt;=0,"",ROUND($AA95*$W95,0))</f>
        <v/>
      </c>
      <c r="AC95" s="75" t="str">
        <f aca="false">IF(SUM($AA95)&lt;=0,"",ROUND((SUM($AA95)-SUM($AB95))*SUM($Y95),0))</f>
        <v/>
      </c>
      <c r="AD95" s="75" t="str">
        <f aca="false">IF(SUM($AA95)&lt;=0,"",$AA95-$AB95-$AC95)</f>
        <v/>
      </c>
      <c r="AE95" s="73" t="str">
        <f aca="false">IF(SUM($AC95)&lt;=0,"",ROUND($AC95*$Z95,0))</f>
        <v/>
      </c>
      <c r="AF95" s="73" t="str">
        <f aca="false">_xlfn.IFNA(INDEX(Cascade!$BD:$BD,MATCH($E95,Cascade!$E:$E,0)),"")</f>
        <v/>
      </c>
      <c r="AG95" s="118" t="str">
        <f aca="false">IF(SUM($AF95)&lt;=0,"",SUM($AC95)/$AF95)</f>
        <v/>
      </c>
      <c r="AH95" s="118" t="str">
        <f aca="false">_xlfn.IFNA(INDEX(Cascade!$BL:$BL,MATCH($E95,Cascade!$E:$E,0)),"")</f>
        <v/>
      </c>
      <c r="AI95" s="118" t="str">
        <f aca="false">_xlfn.IFNA(INDEX(Cascade!$BO:$BO,MATCH($E95,Cascade!$E:$E,0)),"")</f>
        <v/>
      </c>
      <c r="AJ95" s="118" t="str">
        <f aca="false">_xlfn.IFNA(INDEX(Cascade!$BR:$BR,MATCH($E95,Cascade!$E:$E,0)),"")</f>
        <v/>
      </c>
    </row>
    <row r="96" customFormat="false" ht="15" hidden="false" customHeight="false" outlineLevel="0" collapsed="false">
      <c r="A96" s="0" t="s">
        <v>151</v>
      </c>
      <c r="B96" s="0" t="s">
        <v>101</v>
      </c>
      <c r="C96" s="0" t="s">
        <v>66</v>
      </c>
      <c r="D96" s="0" t="s">
        <v>58</v>
      </c>
      <c r="E96" s="0" t="str">
        <f aca="false">B96&amp;"|"&amp;C96&amp;"|"&amp;D96</f>
        <v>Thaba Tseka [#SNU] [jyhIrCoB31x]|20-24|Male</v>
      </c>
      <c r="F96" s="73" t="n">
        <f aca="false">_xlfn.IFNA(INDEX(Cascade!$F:$F,MATCH($E96,Cascade!$E:$E,0)),"")</f>
        <v>6182</v>
      </c>
      <c r="G96" s="73" t="n">
        <f aca="false">_xlfn.IFNA(INDEX(Cascade!$H:$H,MATCH($E96,Cascade!$E:$E,0)),"")</f>
        <v>289</v>
      </c>
      <c r="H96" s="118" t="n">
        <f aca="false">_xlfn.IFNA(INDEX(Cascade!$J:$J,MATCH($E96,Cascade!$E:$E,0)),"")</f>
        <v>0.0467494</v>
      </c>
      <c r="I96" s="73" t="n">
        <f aca="false">_xlfn.IFNA(INDEX(Cascade!$P:$P,MATCH($E96,Cascade!$E:$E,0)),"")</f>
        <v>174</v>
      </c>
      <c r="J96" s="118" t="n">
        <f aca="false">_xlfn.IFNA(INDEX(Cascade!$Y:$Y,MATCH($E96,Cascade!$E:$E,0)),"")</f>
        <v>0.602076124567474</v>
      </c>
      <c r="K96" s="75" t="str">
        <f aca="false">_xlfn.IFNA(ROUND(INDEX(Spectrum!$N:$N,MATCH(RIGHT($B96,13)&amp;"|"&amp;$C96&amp;"|"&amp;$D96&amp;"|"&amp;K$14&amp;"|"&amp;"CY2021Q3",Spectrum!$Q:$Q,0)),0),"")</f>
        <v/>
      </c>
      <c r="L96" s="75" t="str">
        <f aca="false">_xlfn.IFNA(ROUND(INDEX(Spectrum!$N:$N,MATCH(RIGHT($B96,13)&amp;"|"&amp;$C96&amp;"|"&amp;$D96&amp;"|"&amp;L$14&amp;"|"&amp;"CY2021Q3",Spectrum!$Q:$Q,0)),0),"")</f>
        <v/>
      </c>
      <c r="M96" s="118" t="n">
        <f aca="false">IF(OR(LEFT($B96,4)="_Mil",SUM($F96)&lt;=0),"",SUM($L96)/$F96)</f>
        <v>0</v>
      </c>
      <c r="N96" s="118" t="n">
        <f aca="false">IF(LEFT($B96,4)="_Mil","",80%)</f>
        <v>0.8</v>
      </c>
      <c r="O96" s="75" t="n">
        <f aca="false">IF(LEFT($B96,4)="_Mil","",IF(SUM($F96)=0,"",ROUND(SUM($F96)*SUM($N96),0)))</f>
        <v>4946</v>
      </c>
      <c r="P96" s="75" t="n">
        <f aca="false">IF(LEFT($B96,4)="_Mil","",IF(SUM($F96)=0,"",ROUND(MAX(SUM($O96)-SUM($L96),0),0)))</f>
        <v>4946</v>
      </c>
      <c r="Q96" s="73"/>
      <c r="R96" s="73"/>
      <c r="S96" s="118" t="str">
        <f aca="false">IF(LEFT($B96,4)="_Mil","",IF(SUM($K96)&lt;=0,"",SUM($R96)/$K96))</f>
        <v/>
      </c>
      <c r="T96" s="118" t="str">
        <f aca="false">IF(SUM($S96)&lt;=0,"",$S96)</f>
        <v/>
      </c>
      <c r="U96" s="118" t="str">
        <f aca="false">IF(LEFT($B96,4)="_Mil",0,"")</f>
        <v/>
      </c>
      <c r="V96" s="118"/>
      <c r="W96" s="118" t="str">
        <f aca="false">IF(SUM($V96)=0,"",$V96)</f>
        <v/>
      </c>
      <c r="X96" s="118"/>
      <c r="Y96" s="118" t="str">
        <f aca="false">IF(SUM($X96)=0,"",$X96)</f>
        <v/>
      </c>
      <c r="Z96" s="118" t="n">
        <f aca="false">_xlfn.IFNA(INDEX(Cascade!$BA:$BA,MATCH($E96,Cascade!$E:$E,0)),"")</f>
        <v>0.95</v>
      </c>
      <c r="AA96" s="73" t="n">
        <f aca="false">IF(LEFT($B96,4)="_Mil",IF(SUM($R96)=0,"",ROUND(SUM($R96)*(1+$U96),0)),IF(SUM($P96)=0,"",ROUND(SUM($T96)*SUM($P96),0)))</f>
        <v>0</v>
      </c>
      <c r="AB96" s="75" t="str">
        <f aca="false">IF(SUM($AA96)&lt;=0,"",ROUND($AA96*$W96,0))</f>
        <v/>
      </c>
      <c r="AC96" s="75" t="str">
        <f aca="false">IF(SUM($AA96)&lt;=0,"",ROUND((SUM($AA96)-SUM($AB96))*SUM($Y96),0))</f>
        <v/>
      </c>
      <c r="AD96" s="75" t="str">
        <f aca="false">IF(SUM($AA96)&lt;=0,"",$AA96-$AB96-$AC96)</f>
        <v/>
      </c>
      <c r="AE96" s="73" t="str">
        <f aca="false">IF(SUM($AC96)&lt;=0,"",ROUND($AC96*$Z96,0))</f>
        <v/>
      </c>
      <c r="AF96" s="73" t="n">
        <f aca="false">_xlfn.IFNA(INDEX(Cascade!$BD:$BD,MATCH($E96,Cascade!$E:$E,0)),"")</f>
        <v>24</v>
      </c>
      <c r="AG96" s="118" t="n">
        <f aca="false">IF(SUM($AF96)&lt;=0,"",SUM($AC96)/$AF96)</f>
        <v>0</v>
      </c>
      <c r="AH96" s="118" t="n">
        <f aca="false">_xlfn.IFNA(INDEX(Cascade!$BL:$BL,MATCH($E96,Cascade!$E:$E,0)),"")</f>
        <v>0.291666666666667</v>
      </c>
      <c r="AI96" s="118" t="str">
        <f aca="false">_xlfn.IFNA(INDEX(Cascade!$BO:$BO,MATCH($E96,Cascade!$E:$E,0)),"")</f>
        <v/>
      </c>
      <c r="AJ96" s="118" t="n">
        <f aca="false">_xlfn.IFNA(INDEX(Cascade!$BR:$BR,MATCH($E96,Cascade!$E:$E,0)),"")</f>
        <v>0.708333333333333</v>
      </c>
    </row>
    <row r="97" customFormat="false" ht="15" hidden="false" customHeight="false" outlineLevel="0" collapsed="false">
      <c r="A97" s="0" t="s">
        <v>151</v>
      </c>
      <c r="B97" s="0" t="s">
        <v>101</v>
      </c>
      <c r="C97" s="0" t="s">
        <v>69</v>
      </c>
      <c r="D97" s="0" t="s">
        <v>58</v>
      </c>
      <c r="E97" s="0" t="str">
        <f aca="false">B97&amp;"|"&amp;C97&amp;"|"&amp;D97</f>
        <v>Thaba Tseka [#SNU] [jyhIrCoB31x]|25-29|Male</v>
      </c>
      <c r="F97" s="73" t="n">
        <f aca="false">_xlfn.IFNA(INDEX(Cascade!$F:$F,MATCH($E97,Cascade!$E:$E,0)),"")</f>
        <v>5944</v>
      </c>
      <c r="G97" s="73" t="n">
        <f aca="false">_xlfn.IFNA(INDEX(Cascade!$H:$H,MATCH($E97,Cascade!$E:$E,0)),"")</f>
        <v>586</v>
      </c>
      <c r="H97" s="118" t="n">
        <f aca="false">_xlfn.IFNA(INDEX(Cascade!$J:$J,MATCH($E97,Cascade!$E:$E,0)),"")</f>
        <v>0.0985727</v>
      </c>
      <c r="I97" s="73" t="n">
        <f aca="false">_xlfn.IFNA(INDEX(Cascade!$P:$P,MATCH($E97,Cascade!$E:$E,0)),"")</f>
        <v>309</v>
      </c>
      <c r="J97" s="118" t="n">
        <f aca="false">_xlfn.IFNA(INDEX(Cascade!$Y:$Y,MATCH($E97,Cascade!$E:$E,0)),"")</f>
        <v>0.527303754266212</v>
      </c>
      <c r="K97" s="75" t="str">
        <f aca="false">_xlfn.IFNA(ROUND(INDEX(Spectrum!$N:$N,MATCH(RIGHT($B97,13)&amp;"|"&amp;$C97&amp;"|"&amp;$D97&amp;"|"&amp;K$14&amp;"|"&amp;"CY2021Q3",Spectrum!$Q:$Q,0)),0),"")</f>
        <v/>
      </c>
      <c r="L97" s="75" t="str">
        <f aca="false">_xlfn.IFNA(ROUND(INDEX(Spectrum!$N:$N,MATCH(RIGHT($B97,13)&amp;"|"&amp;$C97&amp;"|"&amp;$D97&amp;"|"&amp;L$14&amp;"|"&amp;"CY2021Q3",Spectrum!$Q:$Q,0)),0),"")</f>
        <v/>
      </c>
      <c r="M97" s="118" t="n">
        <f aca="false">IF(OR(LEFT($B97,4)="_Mil",SUM($F97)&lt;=0),"",SUM($L97)/$F97)</f>
        <v>0</v>
      </c>
      <c r="N97" s="118" t="n">
        <f aca="false">IF(LEFT($B97,4)="_Mil","",80%)</f>
        <v>0.8</v>
      </c>
      <c r="O97" s="75" t="n">
        <f aca="false">IF(LEFT($B97,4)="_Mil","",IF(SUM($F97)=0,"",ROUND(SUM($F97)*SUM($N97),0)))</f>
        <v>4755</v>
      </c>
      <c r="P97" s="75" t="n">
        <f aca="false">IF(LEFT($B97,4)="_Mil","",IF(SUM($F97)=0,"",ROUND(MAX(SUM($O97)-SUM($L97),0),0)))</f>
        <v>4755</v>
      </c>
      <c r="Q97" s="73"/>
      <c r="R97" s="73"/>
      <c r="S97" s="118" t="str">
        <f aca="false">IF(LEFT($B97,4)="_Mil","",IF(SUM($K97)&lt;=0,"",SUM($R97)/$K97))</f>
        <v/>
      </c>
      <c r="T97" s="118" t="str">
        <f aca="false">IF(SUM($S97)&lt;=0,"",$S97)</f>
        <v/>
      </c>
      <c r="U97" s="118" t="str">
        <f aca="false">IF(LEFT($B97,4)="_Mil",0,"")</f>
        <v/>
      </c>
      <c r="V97" s="118"/>
      <c r="W97" s="118" t="str">
        <f aca="false">IF(SUM($V97)=0,"",$V97)</f>
        <v/>
      </c>
      <c r="X97" s="118"/>
      <c r="Y97" s="118" t="str">
        <f aca="false">IF(SUM($X97)=0,"",$X97)</f>
        <v/>
      </c>
      <c r="Z97" s="118" t="n">
        <f aca="false">_xlfn.IFNA(INDEX(Cascade!$BA:$BA,MATCH($E97,Cascade!$E:$E,0)),"")</f>
        <v>0.95</v>
      </c>
      <c r="AA97" s="73" t="n">
        <f aca="false">IF(LEFT($B97,4)="_Mil",IF(SUM($R97)=0,"",ROUND(SUM($R97)*(1+$U97),0)),IF(SUM($P97)=0,"",ROUND(SUM($T97)*SUM($P97),0)))</f>
        <v>0</v>
      </c>
      <c r="AB97" s="75" t="str">
        <f aca="false">IF(SUM($AA97)&lt;=0,"",ROUND($AA97*$W97,0))</f>
        <v/>
      </c>
      <c r="AC97" s="75" t="str">
        <f aca="false">IF(SUM($AA97)&lt;=0,"",ROUND((SUM($AA97)-SUM($AB97))*SUM($Y97),0))</f>
        <v/>
      </c>
      <c r="AD97" s="75" t="str">
        <f aca="false">IF(SUM($AA97)&lt;=0,"",$AA97-$AB97-$AC97)</f>
        <v/>
      </c>
      <c r="AE97" s="73" t="str">
        <f aca="false">IF(SUM($AC97)&lt;=0,"",ROUND($AC97*$Z97,0))</f>
        <v/>
      </c>
      <c r="AF97" s="73" t="n">
        <f aca="false">_xlfn.IFNA(INDEX(Cascade!$BD:$BD,MATCH($E97,Cascade!$E:$E,0)),"")</f>
        <v>5</v>
      </c>
      <c r="AG97" s="118" t="n">
        <f aca="false">IF(SUM($AF97)&lt;=0,"",SUM($AC97)/$AF97)</f>
        <v>0</v>
      </c>
      <c r="AH97" s="118" t="n">
        <f aca="false">_xlfn.IFNA(INDEX(Cascade!$BL:$BL,MATCH($E97,Cascade!$E:$E,0)),"")</f>
        <v>0.4</v>
      </c>
      <c r="AI97" s="118" t="str">
        <f aca="false">_xlfn.IFNA(INDEX(Cascade!$BO:$BO,MATCH($E97,Cascade!$E:$E,0)),"")</f>
        <v/>
      </c>
      <c r="AJ97" s="118" t="n">
        <f aca="false">_xlfn.IFNA(INDEX(Cascade!$BR:$BR,MATCH($E97,Cascade!$E:$E,0)),"")</f>
        <v>0.6</v>
      </c>
    </row>
    <row r="98" customFormat="false" ht="15" hidden="false" customHeight="false" outlineLevel="0" collapsed="false">
      <c r="A98" s="0" t="s">
        <v>151</v>
      </c>
      <c r="B98" s="0" t="s">
        <v>101</v>
      </c>
      <c r="C98" s="0" t="s">
        <v>72</v>
      </c>
      <c r="D98" s="0" t="s">
        <v>58</v>
      </c>
      <c r="E98" s="0" t="str">
        <f aca="false">B98&amp;"|"&amp;C98&amp;"|"&amp;D98</f>
        <v>Thaba Tseka [#SNU] [jyhIrCoB31x]|30-34|Male</v>
      </c>
      <c r="F98" s="73" t="n">
        <f aca="false">_xlfn.IFNA(INDEX(Cascade!$F:$F,MATCH($E98,Cascade!$E:$E,0)),"")</f>
        <v>5655</v>
      </c>
      <c r="G98" s="73" t="n">
        <f aca="false">_xlfn.IFNA(INDEX(Cascade!$H:$H,MATCH($E98,Cascade!$E:$E,0)),"")</f>
        <v>1027</v>
      </c>
      <c r="H98" s="118" t="n">
        <f aca="false">_xlfn.IFNA(INDEX(Cascade!$J:$J,MATCH($E98,Cascade!$E:$E,0)),"")</f>
        <v>0.1815696</v>
      </c>
      <c r="I98" s="73" t="n">
        <f aca="false">_xlfn.IFNA(INDEX(Cascade!$P:$P,MATCH($E98,Cascade!$E:$E,0)),"")</f>
        <v>546</v>
      </c>
      <c r="J98" s="118" t="n">
        <f aca="false">_xlfn.IFNA(INDEX(Cascade!$Y:$Y,MATCH($E98,Cascade!$E:$E,0)),"")</f>
        <v>0.531645569620253</v>
      </c>
      <c r="K98" s="75" t="str">
        <f aca="false">_xlfn.IFNA(ROUND(INDEX(Spectrum!$N:$N,MATCH(RIGHT($B98,13)&amp;"|"&amp;$C98&amp;"|"&amp;$D98&amp;"|"&amp;K$14&amp;"|"&amp;"CY2021Q3",Spectrum!$Q:$Q,0)),0),"")</f>
        <v/>
      </c>
      <c r="L98" s="75" t="str">
        <f aca="false">_xlfn.IFNA(ROUND(INDEX(Spectrum!$N:$N,MATCH(RIGHT($B98,13)&amp;"|"&amp;$C98&amp;"|"&amp;$D98&amp;"|"&amp;L$14&amp;"|"&amp;"CY2021Q3",Spectrum!$Q:$Q,0)),0),"")</f>
        <v/>
      </c>
      <c r="M98" s="118" t="n">
        <f aca="false">IF(OR(LEFT($B98,4)="_Mil",SUM($F98)&lt;=0),"",SUM($L98)/$F98)</f>
        <v>0</v>
      </c>
      <c r="N98" s="118" t="n">
        <f aca="false">IF(LEFT($B98,4)="_Mil","",80%)</f>
        <v>0.8</v>
      </c>
      <c r="O98" s="75" t="n">
        <f aca="false">IF(LEFT($B98,4)="_Mil","",IF(SUM($F98)=0,"",ROUND(SUM($F98)*SUM($N98),0)))</f>
        <v>4524</v>
      </c>
      <c r="P98" s="75" t="n">
        <f aca="false">IF(LEFT($B98,4)="_Mil","",IF(SUM($F98)=0,"",ROUND(MAX(SUM($O98)-SUM($L98),0),0)))</f>
        <v>4524</v>
      </c>
      <c r="Q98" s="73"/>
      <c r="R98" s="73"/>
      <c r="S98" s="118" t="str">
        <f aca="false">IF(LEFT($B98,4)="_Mil","",IF(SUM($K98)&lt;=0,"",SUM($R98)/$K98))</f>
        <v/>
      </c>
      <c r="T98" s="118" t="str">
        <f aca="false">IF(SUM($S98)&lt;=0,"",$S98)</f>
        <v/>
      </c>
      <c r="U98" s="118" t="str">
        <f aca="false">IF(LEFT($B98,4)="_Mil",0,"")</f>
        <v/>
      </c>
      <c r="V98" s="118"/>
      <c r="W98" s="118" t="str">
        <f aca="false">IF(SUM($V98)=0,"",$V98)</f>
        <v/>
      </c>
      <c r="X98" s="118"/>
      <c r="Y98" s="118" t="str">
        <f aca="false">IF(SUM($X98)=0,"",$X98)</f>
        <v/>
      </c>
      <c r="Z98" s="118" t="n">
        <f aca="false">_xlfn.IFNA(INDEX(Cascade!$BA:$BA,MATCH($E98,Cascade!$E:$E,0)),"")</f>
        <v>0.95</v>
      </c>
      <c r="AA98" s="73" t="n">
        <f aca="false">IF(LEFT($B98,4)="_Mil",IF(SUM($R98)=0,"",ROUND(SUM($R98)*(1+$U98),0)),IF(SUM($P98)=0,"",ROUND(SUM($T98)*SUM($P98),0)))</f>
        <v>0</v>
      </c>
      <c r="AB98" s="75" t="str">
        <f aca="false">IF(SUM($AA98)&lt;=0,"",ROUND($AA98*$W98,0))</f>
        <v/>
      </c>
      <c r="AC98" s="75" t="str">
        <f aca="false">IF(SUM($AA98)&lt;=0,"",ROUND((SUM($AA98)-SUM($AB98))*SUM($Y98),0))</f>
        <v/>
      </c>
      <c r="AD98" s="75" t="str">
        <f aca="false">IF(SUM($AA98)&lt;=0,"",$AA98-$AB98-$AC98)</f>
        <v/>
      </c>
      <c r="AE98" s="73" t="str">
        <f aca="false">IF(SUM($AC98)&lt;=0,"",ROUND($AC98*$Z98,0))</f>
        <v/>
      </c>
      <c r="AF98" s="73" t="n">
        <f aca="false">_xlfn.IFNA(INDEX(Cascade!$BD:$BD,MATCH($E98,Cascade!$E:$E,0)),"")</f>
        <v>37</v>
      </c>
      <c r="AG98" s="118" t="n">
        <f aca="false">IF(SUM($AF98)&lt;=0,"",SUM($AC98)/$AF98)</f>
        <v>0</v>
      </c>
      <c r="AH98" s="118" t="n">
        <f aca="false">_xlfn.IFNA(INDEX(Cascade!$BL:$BL,MATCH($E98,Cascade!$E:$E,0)),"")</f>
        <v>0.297297297297297</v>
      </c>
      <c r="AI98" s="118" t="n">
        <f aca="false">_xlfn.IFNA(INDEX(Cascade!$BO:$BO,MATCH($E98,Cascade!$E:$E,0)),"")</f>
        <v>-378</v>
      </c>
      <c r="AJ98" s="118" t="n">
        <f aca="false">_xlfn.IFNA(INDEX(Cascade!$BR:$BR,MATCH($E98,Cascade!$E:$E,0)),"")</f>
        <v>378.702702702703</v>
      </c>
    </row>
    <row r="99" customFormat="false" ht="15" hidden="false" customHeight="false" outlineLevel="0" collapsed="false">
      <c r="A99" s="0" t="s">
        <v>151</v>
      </c>
      <c r="B99" s="0" t="s">
        <v>101</v>
      </c>
      <c r="C99" s="0" t="s">
        <v>75</v>
      </c>
      <c r="D99" s="0" t="s">
        <v>58</v>
      </c>
      <c r="E99" s="0" t="str">
        <f aca="false">B99&amp;"|"&amp;C99&amp;"|"&amp;D99</f>
        <v>Thaba Tseka [#SNU] [jyhIrCoB31x]|35-39|Male</v>
      </c>
      <c r="F99" s="73" t="n">
        <f aca="false">_xlfn.IFNA(INDEX(Cascade!$F:$F,MATCH($E99,Cascade!$E:$E,0)),"")</f>
        <v>4692</v>
      </c>
      <c r="G99" s="73" t="n">
        <f aca="false">_xlfn.IFNA(INDEX(Cascade!$H:$H,MATCH($E99,Cascade!$E:$E,0)),"")</f>
        <v>1248</v>
      </c>
      <c r="H99" s="118" t="n">
        <f aca="false">_xlfn.IFNA(INDEX(Cascade!$J:$J,MATCH($E99,Cascade!$E:$E,0)),"")</f>
        <v>0.2661159</v>
      </c>
      <c r="I99" s="73" t="n">
        <f aca="false">_xlfn.IFNA(INDEX(Cascade!$P:$P,MATCH($E99,Cascade!$E:$E,0)),"")</f>
        <v>801</v>
      </c>
      <c r="J99" s="118" t="n">
        <f aca="false">_xlfn.IFNA(INDEX(Cascade!$Y:$Y,MATCH($E99,Cascade!$E:$E,0)),"")</f>
        <v>0.641826923076923</v>
      </c>
      <c r="K99" s="75" t="str">
        <f aca="false">_xlfn.IFNA(ROUND(INDEX(Spectrum!$N:$N,MATCH(RIGHT($B99,13)&amp;"|"&amp;$C99&amp;"|"&amp;$D99&amp;"|"&amp;K$14&amp;"|"&amp;"CY2021Q3",Spectrum!$Q:$Q,0)),0),"")</f>
        <v/>
      </c>
      <c r="L99" s="75" t="str">
        <f aca="false">_xlfn.IFNA(ROUND(INDEX(Spectrum!$N:$N,MATCH(RIGHT($B99,13)&amp;"|"&amp;$C99&amp;"|"&amp;$D99&amp;"|"&amp;L$14&amp;"|"&amp;"CY2021Q3",Spectrum!$Q:$Q,0)),0),"")</f>
        <v/>
      </c>
      <c r="M99" s="118" t="n">
        <f aca="false">IF(OR(LEFT($B99,4)="_Mil",SUM($F99)&lt;=0),"",SUM($L99)/$F99)</f>
        <v>0</v>
      </c>
      <c r="N99" s="118" t="n">
        <f aca="false">IF(LEFT($B99,4)="_Mil","",80%)</f>
        <v>0.8</v>
      </c>
      <c r="O99" s="75" t="n">
        <f aca="false">IF(LEFT($B99,4)="_Mil","",IF(SUM($F99)=0,"",ROUND(SUM($F99)*SUM($N99),0)))</f>
        <v>3754</v>
      </c>
      <c r="P99" s="75" t="n">
        <f aca="false">IF(LEFT($B99,4)="_Mil","",IF(SUM($F99)=0,"",ROUND(MAX(SUM($O99)-SUM($L99),0),0)))</f>
        <v>3754</v>
      </c>
      <c r="Q99" s="73"/>
      <c r="R99" s="73"/>
      <c r="S99" s="118" t="str">
        <f aca="false">IF(LEFT($B99,4)="_Mil","",IF(SUM($K99)&lt;=0,"",SUM($R99)/$K99))</f>
        <v/>
      </c>
      <c r="T99" s="118" t="str">
        <f aca="false">IF(SUM($S99)&lt;=0,"",$S99)</f>
        <v/>
      </c>
      <c r="U99" s="118" t="str">
        <f aca="false">IF(LEFT($B99,4)="_Mil",0,"")</f>
        <v/>
      </c>
      <c r="V99" s="118"/>
      <c r="W99" s="118" t="str">
        <f aca="false">IF(SUM($V99)=0,"",$V99)</f>
        <v/>
      </c>
      <c r="X99" s="118"/>
      <c r="Y99" s="118" t="str">
        <f aca="false">IF(SUM($X99)=0,"",$X99)</f>
        <v/>
      </c>
      <c r="Z99" s="118" t="n">
        <f aca="false">_xlfn.IFNA(INDEX(Cascade!$BA:$BA,MATCH($E99,Cascade!$E:$E,0)),"")</f>
        <v>0.95</v>
      </c>
      <c r="AA99" s="73" t="n">
        <f aca="false">IF(LEFT($B99,4)="_Mil",IF(SUM($R99)=0,"",ROUND(SUM($R99)*(1+$U99),0)),IF(SUM($P99)=0,"",ROUND(SUM($T99)*SUM($P99),0)))</f>
        <v>0</v>
      </c>
      <c r="AB99" s="75" t="str">
        <f aca="false">IF(SUM($AA99)&lt;=0,"",ROUND($AA99*$W99,0))</f>
        <v/>
      </c>
      <c r="AC99" s="75" t="str">
        <f aca="false">IF(SUM($AA99)&lt;=0,"",ROUND((SUM($AA99)-SUM($AB99))*SUM($Y99),0))</f>
        <v/>
      </c>
      <c r="AD99" s="75" t="str">
        <f aca="false">IF(SUM($AA99)&lt;=0,"",$AA99-$AB99-$AC99)</f>
        <v/>
      </c>
      <c r="AE99" s="73" t="str">
        <f aca="false">IF(SUM($AC99)&lt;=0,"",ROUND($AC99*$Z99,0))</f>
        <v/>
      </c>
      <c r="AF99" s="73" t="n">
        <f aca="false">_xlfn.IFNA(INDEX(Cascade!$BD:$BD,MATCH($E99,Cascade!$E:$E,0)),"")</f>
        <v>21</v>
      </c>
      <c r="AG99" s="118" t="n">
        <f aca="false">IF(SUM($AF99)&lt;=0,"",SUM($AC99)/$AF99)</f>
        <v>0</v>
      </c>
      <c r="AH99" s="118" t="n">
        <f aca="false">_xlfn.IFNA(INDEX(Cascade!$BL:$BL,MATCH($E99,Cascade!$E:$E,0)),"")</f>
        <v>0.285714285714286</v>
      </c>
      <c r="AI99" s="118" t="n">
        <f aca="false">_xlfn.IFNA(INDEX(Cascade!$BO:$BO,MATCH($E99,Cascade!$E:$E,0)),"")</f>
        <v>-263.571428571429</v>
      </c>
      <c r="AJ99" s="118" t="n">
        <f aca="false">_xlfn.IFNA(INDEX(Cascade!$BR:$BR,MATCH($E99,Cascade!$E:$E,0)),"")</f>
        <v>264.285714285714</v>
      </c>
    </row>
    <row r="100" customFormat="false" ht="15" hidden="false" customHeight="false" outlineLevel="0" collapsed="false">
      <c r="A100" s="0" t="s">
        <v>151</v>
      </c>
      <c r="B100" s="0" t="s">
        <v>101</v>
      </c>
      <c r="C100" s="0" t="s">
        <v>77</v>
      </c>
      <c r="D100" s="0" t="s">
        <v>58</v>
      </c>
      <c r="E100" s="0" t="str">
        <f aca="false">B100&amp;"|"&amp;C100&amp;"|"&amp;D100</f>
        <v>Thaba Tseka [#SNU] [jyhIrCoB31x]|40-44|Male</v>
      </c>
      <c r="F100" s="73" t="n">
        <f aca="false">_xlfn.IFNA(INDEX(Cascade!$F:$F,MATCH($E100,Cascade!$E:$E,0)),"")</f>
        <v>3343</v>
      </c>
      <c r="G100" s="73" t="n">
        <f aca="false">_xlfn.IFNA(INDEX(Cascade!$H:$H,MATCH($E100,Cascade!$E:$E,0)),"")</f>
        <v>1150</v>
      </c>
      <c r="H100" s="118" t="n">
        <f aca="false">_xlfn.IFNA(INDEX(Cascade!$J:$J,MATCH($E100,Cascade!$E:$E,0)),"")</f>
        <v>0.3440514</v>
      </c>
      <c r="I100" s="73" t="n">
        <f aca="false">_xlfn.IFNA(INDEX(Cascade!$P:$P,MATCH($E100,Cascade!$E:$E,0)),"")</f>
        <v>895</v>
      </c>
      <c r="J100" s="118" t="n">
        <f aca="false">_xlfn.IFNA(INDEX(Cascade!$Y:$Y,MATCH($E100,Cascade!$E:$E,0)),"")</f>
        <v>0.778260869565217</v>
      </c>
      <c r="K100" s="75" t="str">
        <f aca="false">_xlfn.IFNA(ROUND(INDEX(Spectrum!$N:$N,MATCH(RIGHT($B100,13)&amp;"|"&amp;$C100&amp;"|"&amp;$D100&amp;"|"&amp;K$14&amp;"|"&amp;"CY2021Q3",Spectrum!$Q:$Q,0)),0),"")</f>
        <v/>
      </c>
      <c r="L100" s="75" t="str">
        <f aca="false">_xlfn.IFNA(ROUND(INDEX(Spectrum!$N:$N,MATCH(RIGHT($B100,13)&amp;"|"&amp;$C100&amp;"|"&amp;$D100&amp;"|"&amp;L$14&amp;"|"&amp;"CY2021Q3",Spectrum!$Q:$Q,0)),0),"")</f>
        <v/>
      </c>
      <c r="M100" s="118" t="n">
        <f aca="false">IF(OR(LEFT($B100,4)="_Mil",SUM($F100)&lt;=0),"",SUM($L100)/$F100)</f>
        <v>0</v>
      </c>
      <c r="N100" s="118" t="n">
        <f aca="false">IF(LEFT($B100,4)="_Mil","",80%)</f>
        <v>0.8</v>
      </c>
      <c r="O100" s="75" t="n">
        <f aca="false">IF(LEFT($B100,4)="_Mil","",IF(SUM($F100)=0,"",ROUND(SUM($F100)*SUM($N100),0)))</f>
        <v>2674</v>
      </c>
      <c r="P100" s="75" t="n">
        <f aca="false">IF(LEFT($B100,4)="_Mil","",IF(SUM($F100)=0,"",ROUND(MAX(SUM($O100)-SUM($L100),0),0)))</f>
        <v>2674</v>
      </c>
      <c r="Q100" s="73"/>
      <c r="R100" s="73"/>
      <c r="S100" s="118" t="str">
        <f aca="false">IF(LEFT($B100,4)="_Mil","",IF(SUM($K100)&lt;=0,"",SUM($R100)/$K100))</f>
        <v/>
      </c>
      <c r="T100" s="118" t="str">
        <f aca="false">IF(SUM($S100)&lt;=0,"",$S100)</f>
        <v/>
      </c>
      <c r="U100" s="118" t="str">
        <f aca="false">IF(LEFT($B100,4)="_Mil",0,"")</f>
        <v/>
      </c>
      <c r="V100" s="118"/>
      <c r="W100" s="118" t="str">
        <f aca="false">IF(SUM($V100)=0,"",$V100)</f>
        <v/>
      </c>
      <c r="X100" s="118"/>
      <c r="Y100" s="118" t="str">
        <f aca="false">IF(SUM($X100)=0,"",$X100)</f>
        <v/>
      </c>
      <c r="Z100" s="118" t="n">
        <f aca="false">_xlfn.IFNA(INDEX(Cascade!$BA:$BA,MATCH($E100,Cascade!$E:$E,0)),"")</f>
        <v>0.95</v>
      </c>
      <c r="AA100" s="73" t="n">
        <f aca="false">IF(LEFT($B100,4)="_Mil",IF(SUM($R100)=0,"",ROUND(SUM($R100)*(1+$U100),0)),IF(SUM($P100)=0,"",ROUND(SUM($T100)*SUM($P100),0)))</f>
        <v>0</v>
      </c>
      <c r="AB100" s="75" t="str">
        <f aca="false">IF(SUM($AA100)&lt;=0,"",ROUND($AA100*$W100,0))</f>
        <v/>
      </c>
      <c r="AC100" s="75" t="str">
        <f aca="false">IF(SUM($AA100)&lt;=0,"",ROUND((SUM($AA100)-SUM($AB100))*SUM($Y100),0))</f>
        <v/>
      </c>
      <c r="AD100" s="75" t="str">
        <f aca="false">IF(SUM($AA100)&lt;=0,"",$AA100-$AB100-$AC100)</f>
        <v/>
      </c>
      <c r="AE100" s="73" t="str">
        <f aca="false">IF(SUM($AC100)&lt;=0,"",ROUND($AC100*$Z100,0))</f>
        <v/>
      </c>
      <c r="AF100" s="73" t="n">
        <f aca="false">_xlfn.IFNA(INDEX(Cascade!$BD:$BD,MATCH($E100,Cascade!$E:$E,0)),"")</f>
        <v>2</v>
      </c>
      <c r="AG100" s="118" t="n">
        <f aca="false">IF(SUM($AF100)&lt;=0,"",SUM($AC100)/$AF100)</f>
        <v>0</v>
      </c>
      <c r="AH100" s="118" t="n">
        <f aca="false">_xlfn.IFNA(INDEX(Cascade!$BL:$BL,MATCH($E100,Cascade!$E:$E,0)),"")</f>
        <v>0.5</v>
      </c>
      <c r="AI100" s="118" t="n">
        <f aca="false">_xlfn.IFNA(INDEX(Cascade!$BO:$BO,MATCH($E100,Cascade!$E:$E,0)),"")</f>
        <v>-1534.5</v>
      </c>
      <c r="AJ100" s="118" t="n">
        <f aca="false">_xlfn.IFNA(INDEX(Cascade!$BR:$BR,MATCH($E100,Cascade!$E:$E,0)),"")</f>
        <v>1535</v>
      </c>
    </row>
    <row r="101" customFormat="false" ht="15" hidden="false" customHeight="false" outlineLevel="0" collapsed="false">
      <c r="A101" s="0" t="s">
        <v>151</v>
      </c>
      <c r="B101" s="0" t="s">
        <v>101</v>
      </c>
      <c r="C101" s="0" t="s">
        <v>80</v>
      </c>
      <c r="D101" s="0" t="s">
        <v>58</v>
      </c>
      <c r="E101" s="0" t="str">
        <f aca="false">B101&amp;"|"&amp;C101&amp;"|"&amp;D101</f>
        <v>Thaba Tseka [#SNU] [jyhIrCoB31x]|45-49|Male</v>
      </c>
      <c r="F101" s="73" t="n">
        <f aca="false">_xlfn.IFNA(INDEX(Cascade!$F:$F,MATCH($E101,Cascade!$E:$E,0)),"")</f>
        <v>2384</v>
      </c>
      <c r="G101" s="73" t="n">
        <f aca="false">_xlfn.IFNA(INDEX(Cascade!$H:$H,MATCH($E101,Cascade!$E:$E,0)),"")</f>
        <v>976</v>
      </c>
      <c r="H101" s="118" t="n">
        <f aca="false">_xlfn.IFNA(INDEX(Cascade!$J:$J,MATCH($E101,Cascade!$E:$E,0)),"")</f>
        <v>0.4093487</v>
      </c>
      <c r="I101" s="73" t="n">
        <f aca="false">_xlfn.IFNA(INDEX(Cascade!$P:$P,MATCH($E101,Cascade!$E:$E,0)),"")</f>
        <v>785</v>
      </c>
      <c r="J101" s="118" t="n">
        <f aca="false">_xlfn.IFNA(INDEX(Cascade!$Y:$Y,MATCH($E101,Cascade!$E:$E,0)),"")</f>
        <v>0.804303278688525</v>
      </c>
      <c r="K101" s="75" t="str">
        <f aca="false">_xlfn.IFNA(ROUND(INDEX(Spectrum!$N:$N,MATCH(RIGHT($B101,13)&amp;"|"&amp;$C101&amp;"|"&amp;$D101&amp;"|"&amp;K$14&amp;"|"&amp;"CY2021Q3",Spectrum!$Q:$Q,0)),0),"")</f>
        <v/>
      </c>
      <c r="L101" s="75" t="str">
        <f aca="false">_xlfn.IFNA(ROUND(INDEX(Spectrum!$N:$N,MATCH(RIGHT($B101,13)&amp;"|"&amp;$C101&amp;"|"&amp;$D101&amp;"|"&amp;L$14&amp;"|"&amp;"CY2021Q3",Spectrum!$Q:$Q,0)),0),"")</f>
        <v/>
      </c>
      <c r="M101" s="118" t="n">
        <f aca="false">IF(OR(LEFT($B101,4)="_Mil",SUM($F101)&lt;=0),"",SUM($L101)/$F101)</f>
        <v>0</v>
      </c>
      <c r="N101" s="118" t="n">
        <f aca="false">IF(LEFT($B101,4)="_Mil","",80%)</f>
        <v>0.8</v>
      </c>
      <c r="O101" s="75" t="n">
        <f aca="false">IF(LEFT($B101,4)="_Mil","",IF(SUM($F101)=0,"",ROUND(SUM($F101)*SUM($N101),0)))</f>
        <v>1907</v>
      </c>
      <c r="P101" s="75" t="n">
        <f aca="false">IF(LEFT($B101,4)="_Mil","",IF(SUM($F101)=0,"",ROUND(MAX(SUM($O101)-SUM($L101),0),0)))</f>
        <v>1907</v>
      </c>
      <c r="Q101" s="73"/>
      <c r="R101" s="73"/>
      <c r="S101" s="118" t="str">
        <f aca="false">IF(LEFT($B101,4)="_Mil","",IF(SUM($K101)&lt;=0,"",SUM($R101)/$K101))</f>
        <v/>
      </c>
      <c r="T101" s="118" t="str">
        <f aca="false">IF(SUM($S101)&lt;=0,"",$S101)</f>
        <v/>
      </c>
      <c r="U101" s="118" t="str">
        <f aca="false">IF(LEFT($B101,4)="_Mil",0,"")</f>
        <v/>
      </c>
      <c r="V101" s="118"/>
      <c r="W101" s="118" t="str">
        <f aca="false">IF(SUM($V101)=0,"",$V101)</f>
        <v/>
      </c>
      <c r="X101" s="118"/>
      <c r="Y101" s="118" t="str">
        <f aca="false">IF(SUM($X101)=0,"",$X101)</f>
        <v/>
      </c>
      <c r="Z101" s="118" t="n">
        <f aca="false">_xlfn.IFNA(INDEX(Cascade!$BA:$BA,MATCH($E101,Cascade!$E:$E,0)),"")</f>
        <v>0.95</v>
      </c>
      <c r="AA101" s="73" t="n">
        <f aca="false">IF(LEFT($B101,4)="_Mil",IF(SUM($R101)=0,"",ROUND(SUM($R101)*(1+$U101),0)),IF(SUM($P101)=0,"",ROUND(SUM($T101)*SUM($P101),0)))</f>
        <v>0</v>
      </c>
      <c r="AB101" s="75" t="str">
        <f aca="false">IF(SUM($AA101)&lt;=0,"",ROUND($AA101*$W101,0))</f>
        <v/>
      </c>
      <c r="AC101" s="75" t="str">
        <f aca="false">IF(SUM($AA101)&lt;=0,"",ROUND((SUM($AA101)-SUM($AB101))*SUM($Y101),0))</f>
        <v/>
      </c>
      <c r="AD101" s="75" t="str">
        <f aca="false">IF(SUM($AA101)&lt;=0,"",$AA101-$AB101-$AC101)</f>
        <v/>
      </c>
      <c r="AE101" s="73" t="str">
        <f aca="false">IF(SUM($AC101)&lt;=0,"",ROUND($AC101*$Z101,0))</f>
        <v/>
      </c>
      <c r="AF101" s="73" t="n">
        <f aca="false">_xlfn.IFNA(INDEX(Cascade!$BD:$BD,MATCH($E101,Cascade!$E:$E,0)),"")</f>
        <v>1</v>
      </c>
      <c r="AG101" s="118" t="n">
        <f aca="false">IF(SUM($AF101)&lt;=0,"",SUM($AC101)/$AF101)</f>
        <v>0</v>
      </c>
      <c r="AH101" s="118" t="n">
        <f aca="false">_xlfn.IFNA(INDEX(Cascade!$BL:$BL,MATCH($E101,Cascade!$E:$E,0)),"")</f>
        <v>1</v>
      </c>
      <c r="AI101" s="118" t="n">
        <f aca="false">_xlfn.IFNA(INDEX(Cascade!$BO:$BO,MATCH($E101,Cascade!$E:$E,0)),"")</f>
        <v>-6400</v>
      </c>
      <c r="AJ101" s="118" t="n">
        <f aca="false">_xlfn.IFNA(INDEX(Cascade!$BR:$BR,MATCH($E101,Cascade!$E:$E,0)),"")</f>
        <v>6400</v>
      </c>
    </row>
    <row r="102" customFormat="false" ht="15" hidden="false" customHeight="false" outlineLevel="0" collapsed="false">
      <c r="A102" s="0" t="s">
        <v>151</v>
      </c>
      <c r="B102" s="0" t="s">
        <v>101</v>
      </c>
      <c r="C102" s="0" t="s">
        <v>86</v>
      </c>
      <c r="D102" s="0" t="s">
        <v>58</v>
      </c>
      <c r="E102" s="0" t="str">
        <f aca="false">B102&amp;"|"&amp;C102&amp;"|"&amp;D102</f>
        <v>Thaba Tseka [#SNU] [jyhIrCoB31x]|50+|Male</v>
      </c>
      <c r="F102" s="73" t="n">
        <f aca="false">_xlfn.IFNA(INDEX(Cascade!$F:$F,MATCH($E102,Cascade!$E:$E,0)),"")</f>
        <v>8523</v>
      </c>
      <c r="G102" s="73" t="n">
        <f aca="false">_xlfn.IFNA(INDEX(Cascade!$H:$H,MATCH($E102,Cascade!$E:$E,0)),"")</f>
        <v>2241</v>
      </c>
      <c r="H102" s="118" t="n">
        <f aca="false">_xlfn.IFNA(INDEX(Cascade!$J:$J,MATCH($E102,Cascade!$E:$E,0)),"")</f>
        <v>0.2629713</v>
      </c>
      <c r="I102" s="73" t="n">
        <f aca="false">_xlfn.IFNA(INDEX(Cascade!$P:$P,MATCH($E102,Cascade!$E:$E,0)),"")</f>
        <v>1647</v>
      </c>
      <c r="J102" s="118" t="n">
        <f aca="false">_xlfn.IFNA(INDEX(Cascade!$Y:$Y,MATCH($E102,Cascade!$E:$E,0)),"")</f>
        <v>0.734939759036145</v>
      </c>
      <c r="K102" s="75" t="str">
        <f aca="false">_xlfn.IFNA(ROUND(INDEX(Spectrum!$N:$N,MATCH(RIGHT($B102,13)&amp;"|"&amp;$C102&amp;"|"&amp;$D102&amp;"|"&amp;K$14&amp;"|"&amp;"CY2021Q3",Spectrum!$Q:$Q,0)),0),"")</f>
        <v/>
      </c>
      <c r="L102" s="75" t="str">
        <f aca="false">_xlfn.IFNA(ROUND(INDEX(Spectrum!$N:$N,MATCH(RIGHT($B102,13)&amp;"|"&amp;$C102&amp;"|"&amp;$D102&amp;"|"&amp;L$14&amp;"|"&amp;"CY2021Q3",Spectrum!$Q:$Q,0)),0),"")</f>
        <v/>
      </c>
      <c r="M102" s="118" t="n">
        <f aca="false">IF(OR(LEFT($B102,4)="_Mil",SUM($F102)&lt;=0),"",SUM($L102)/$F102)</f>
        <v>0</v>
      </c>
      <c r="N102" s="118" t="n">
        <f aca="false">IF(LEFT($B102,4)="_Mil","",80%)</f>
        <v>0.8</v>
      </c>
      <c r="O102" s="75" t="n">
        <f aca="false">IF(LEFT($B102,4)="_Mil","",IF(SUM($F102)=0,"",ROUND(SUM($F102)*SUM($N102),0)))</f>
        <v>6818</v>
      </c>
      <c r="P102" s="75" t="n">
        <f aca="false">IF(LEFT($B102,4)="_Mil","",IF(SUM($F102)=0,"",ROUND(MAX(SUM($O102)-SUM($L102),0),0)))</f>
        <v>6818</v>
      </c>
      <c r="Q102" s="73"/>
      <c r="R102" s="73"/>
      <c r="S102" s="118" t="str">
        <f aca="false">IF(LEFT($B102,4)="_Mil","",IF(SUM($K102)&lt;=0,"",SUM($R102)/$K102))</f>
        <v/>
      </c>
      <c r="T102" s="118" t="str">
        <f aca="false">IF(SUM($S102)&lt;=0,"",$S102)</f>
        <v/>
      </c>
      <c r="U102" s="118" t="str">
        <f aca="false">IF(LEFT($B102,4)="_Mil",0,"")</f>
        <v/>
      </c>
      <c r="V102" s="118"/>
      <c r="W102" s="118" t="str">
        <f aca="false">IF(SUM($V102)=0,"",$V102)</f>
        <v/>
      </c>
      <c r="X102" s="118"/>
      <c r="Y102" s="118" t="str">
        <f aca="false">IF(SUM($X102)=0,"",$X102)</f>
        <v/>
      </c>
      <c r="Z102" s="118" t="n">
        <f aca="false">_xlfn.IFNA(INDEX(Cascade!$BA:$BA,MATCH($E102,Cascade!$E:$E,0)),"")</f>
        <v>0.95</v>
      </c>
      <c r="AA102" s="73" t="n">
        <f aca="false">IF(LEFT($B102,4)="_Mil",IF(SUM($R102)=0,"",ROUND(SUM($R102)*(1+$U102),0)),IF(SUM($P102)=0,"",ROUND(SUM($T102)*SUM($P102),0)))</f>
        <v>0</v>
      </c>
      <c r="AB102" s="75" t="str">
        <f aca="false">IF(SUM($AA102)&lt;=0,"",ROUND($AA102*$W102,0))</f>
        <v/>
      </c>
      <c r="AC102" s="75" t="str">
        <f aca="false">IF(SUM($AA102)&lt;=0,"",ROUND((SUM($AA102)-SUM($AB102))*SUM($Y102),0))</f>
        <v/>
      </c>
      <c r="AD102" s="75" t="str">
        <f aca="false">IF(SUM($AA102)&lt;=0,"",$AA102-$AB102-$AC102)</f>
        <v/>
      </c>
      <c r="AE102" s="73" t="str">
        <f aca="false">IF(SUM($AC102)&lt;=0,"",ROUND($AC102*$Z102,0))</f>
        <v/>
      </c>
      <c r="AF102" s="73" t="str">
        <f aca="false">_xlfn.IFNA(INDEX(Cascade!$BD:$BD,MATCH($E102,Cascade!$E:$E,0)),"")</f>
        <v/>
      </c>
      <c r="AG102" s="118" t="str">
        <f aca="false">IF(SUM($AF102)&lt;=0,"",SUM($AC102)/$AF102)</f>
        <v/>
      </c>
      <c r="AH102" s="118" t="str">
        <f aca="false">_xlfn.IFNA(INDEX(Cascade!$BL:$BL,MATCH($E102,Cascade!$E:$E,0)),"")</f>
        <v/>
      </c>
      <c r="AI102" s="118" t="str">
        <f aca="false">_xlfn.IFNA(INDEX(Cascade!$BO:$BO,MATCH($E102,Cascade!$E:$E,0)),"")</f>
        <v/>
      </c>
      <c r="AJ102" s="118" t="str">
        <f aca="false">_xlfn.IFNA(INDEX(Cascade!$BR:$BR,MATCH($E102,Cascade!$E:$E,0)),"")</f>
        <v/>
      </c>
    </row>
  </sheetData>
  <mergeCells count="1">
    <mergeCell ref="A2:B3"/>
  </mergeCells>
  <conditionalFormatting sqref="F1:P1048576 S1:T1048576">
    <cfRule type="expression" priority="2" aboveAverage="0" equalAverage="0" bottom="0" percent="0" rank="0" text="" dxfId="0">
      <formula>LEFT($B1,4)="_Mil"</formula>
    </cfRule>
  </conditionalFormatting>
  <conditionalFormatting sqref="N1:N1048576">
    <cfRule type="expression" priority="3" aboveAverage="0" equalAverage="0" bottom="0" percent="0" rank="0" text="" dxfId="1">
      <formula>AND(ISNUMBER($N1),ROW($N1)&gt;14,OR(ROUND($N1,2)&lt;0.8,ROUND($N1,2)&gt;1))</formula>
    </cfRule>
  </conditionalFormatting>
  <conditionalFormatting sqref="Y1:Y1048576">
    <cfRule type="expression" priority="4" aboveAverage="0" equalAverage="0" bottom="0" percent="0" rank="0" text="" dxfId="2">
      <formula>AND(ROW($Y1)&gt;14,SUM($Y1)&gt;0.01)</formula>
    </cfRule>
  </conditionalFormatting>
  <conditionalFormatting sqref="T1:Z1048576 AG1:AJ1048576">
    <cfRule type="expression" priority="5" aboveAverage="0" equalAverage="0" bottom="0" percent="0" rank="0" text="" dxfId="3">
      <formula>AND(ROW(T1)&gt;14,OR(SUM(T1)&gt;1,SUM(T1)&lt;0))</formula>
    </cfRule>
  </conditionalFormatting>
  <conditionalFormatting sqref="AF1:AJ1048576">
    <cfRule type="expression" priority="6" aboveAverage="0" equalAverage="0" bottom="0" percent="0" rank="0" text="" dxfId="0">
      <formula>AND(ROW($AJ1)&gt;14,$AJ1&lt;0)</formula>
    </cfRule>
  </conditionalFormatting>
  <conditionalFormatting sqref="Z1:Z1048576">
    <cfRule type="expression" priority="7" aboveAverage="0" equalAverage="0" bottom="0" percent="0" rank="0" text="" dxfId="1">
      <formula>AND(ROW($Z1)&gt;14,ISNUMBER($Z1),$Z1&lt;95%)</formula>
    </cfRule>
  </conditionalFormatting>
  <conditionalFormatting sqref="O1:O1048576">
    <cfRule type="expression" priority="8" aboveAverage="0" equalAverage="0" bottom="0" percent="0" rank="0" text="" dxfId="2">
      <formula>AND(ISNUMBER($O1),ROW($O1)&gt;14,$O1&lt;$L1)</formula>
    </cfRule>
  </conditionalFormatting>
  <conditionalFormatting sqref="U1:U1048576">
    <cfRule type="expression" priority="9" aboveAverage="0" equalAverage="0" bottom="0" percent="0" rank="0" text="" dxfId="3">
      <formula>AND(ROW($U1)&gt;14,$E1&lt;&gt;"",LEFT($B1,4)&lt;&gt;"_Mil")</formula>
    </cfRule>
  </conditionalFormatting>
  <hyperlinks>
    <hyperlink ref="F3" location="Cascade!F:F" display="Host Country Est. Male Population (FY21)"/>
    <hyperlink ref="G3" location="Cascade!H:H" display="Host Country Est. PLHIV (FY21)"/>
    <hyperlink ref="H3" location="Cascade!J:J" display="Host Country Est. HIV Prevalence (FY21) (%)"/>
    <hyperlink ref="I3" location="Cascade!P:P" display="Host Country Est. TX_CURR_SUBNAT (FY21)"/>
    <hyperlink ref="J3" location="Cascade!Y:Y" display="Host Country Est. Art Coverage (FY21) (%)"/>
    <hyperlink ref="AC3" location="Cascade!BI:BI" display="HIV Positive"/>
    <hyperlink ref="AF3" location="Cascade!BD:BD" display="Total HTS_TST_POS (FY22)"/>
    <hyperlink ref="AG3" location="VMMC!AC:AC" display="Total Positives from VMMC_CIRC (FY22) (%)"/>
    <hyperlink ref="AH3" location="Cascade!BL:BL" display="Total Positives from HTS_INDEX (FY22) (%)"/>
    <hyperlink ref="AI3" location="Cascade!BO:BO" display="Total Positives from TB_STAT (FY22) (%)"/>
    <hyperlink ref="AJ3" location="Cascade!BR:BR" display="Total Positives from All Other Modalities (FY22) (%)"/>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Y2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
    <col collapsed="false" customWidth="true" hidden="false" outlineLevel="0" max="77" min="6" style="0" width="11.83"/>
    <col collapsed="false" customWidth="true" hidden="false" outlineLevel="0" max="1025" min="78" style="0" width="10.61"/>
  </cols>
  <sheetData>
    <row r="1" customFormat="false" ht="31" hidden="false" customHeight="true" outlineLevel="0" collapsed="false">
      <c r="A1" s="54" t="s">
        <v>545</v>
      </c>
      <c r="B1" s="54"/>
      <c r="C1" s="54"/>
      <c r="D1" s="54"/>
      <c r="E1" s="54"/>
      <c r="F1" s="82" t="s">
        <v>546</v>
      </c>
      <c r="G1" s="76"/>
      <c r="H1" s="76"/>
      <c r="I1" s="76"/>
      <c r="J1" s="76"/>
      <c r="K1" s="76"/>
      <c r="L1" s="76"/>
      <c r="M1" s="76"/>
      <c r="N1" s="80" t="s">
        <v>547</v>
      </c>
      <c r="O1" s="81"/>
      <c r="P1" s="81"/>
      <c r="Q1" s="76"/>
      <c r="R1" s="76"/>
      <c r="S1" s="76"/>
      <c r="T1" s="76"/>
      <c r="U1" s="79"/>
      <c r="V1" s="82" t="s">
        <v>548</v>
      </c>
      <c r="W1" s="81"/>
      <c r="X1" s="81"/>
      <c r="Y1" s="81"/>
      <c r="Z1" s="81"/>
      <c r="AA1" s="81"/>
      <c r="AB1" s="81"/>
      <c r="AC1" s="81"/>
      <c r="AD1" s="81"/>
      <c r="AE1" s="81"/>
      <c r="AF1" s="81"/>
      <c r="AG1" s="81"/>
      <c r="AH1" s="81"/>
      <c r="AI1" s="81"/>
      <c r="AJ1" s="81"/>
      <c r="AK1" s="81"/>
      <c r="AL1" s="82" t="s">
        <v>549</v>
      </c>
      <c r="AM1" s="76"/>
      <c r="AN1" s="76"/>
      <c r="AO1" s="82" t="s">
        <v>550</v>
      </c>
      <c r="AP1" s="76"/>
      <c r="AQ1" s="76"/>
      <c r="AR1" s="82" t="s">
        <v>551</v>
      </c>
      <c r="AS1" s="76"/>
      <c r="AT1" s="76"/>
      <c r="AU1" s="82" t="s">
        <v>552</v>
      </c>
      <c r="AV1" s="76"/>
      <c r="AW1" s="76"/>
      <c r="AX1" s="82" t="s">
        <v>553</v>
      </c>
      <c r="AY1" s="76"/>
      <c r="AZ1" s="76"/>
      <c r="BA1" s="82" t="s">
        <v>554</v>
      </c>
      <c r="BB1" s="76"/>
      <c r="BC1" s="76"/>
      <c r="BD1" s="82" t="s">
        <v>555</v>
      </c>
      <c r="BE1" s="76"/>
      <c r="BF1" s="76"/>
      <c r="BG1" s="82" t="s">
        <v>556</v>
      </c>
      <c r="BH1" s="76"/>
      <c r="BI1" s="76"/>
      <c r="BJ1" s="82" t="s">
        <v>557</v>
      </c>
      <c r="BK1" s="76"/>
      <c r="BL1" s="76"/>
      <c r="BM1" s="80" t="s">
        <v>558</v>
      </c>
      <c r="BN1" s="76"/>
      <c r="BO1" s="76"/>
      <c r="BP1" s="76"/>
      <c r="BQ1" s="76"/>
      <c r="BR1" s="76"/>
      <c r="BS1" s="76"/>
      <c r="BT1" s="76"/>
      <c r="BU1" s="76"/>
      <c r="BV1" s="79"/>
      <c r="BW1" s="80" t="s">
        <v>559</v>
      </c>
      <c r="BX1" s="81"/>
      <c r="BY1" s="76"/>
    </row>
    <row r="2" customFormat="false" ht="19" hidden="false" customHeight="true" outlineLevel="0" collapsed="false">
      <c r="A2" s="140" t="s">
        <v>560</v>
      </c>
      <c r="B2" s="140"/>
      <c r="C2" s="57"/>
      <c r="D2" s="57"/>
      <c r="E2" s="57"/>
      <c r="F2" s="91" t="s">
        <v>120</v>
      </c>
      <c r="G2" s="89"/>
      <c r="H2" s="89"/>
      <c r="I2" s="89"/>
      <c r="J2" s="89"/>
      <c r="K2" s="89"/>
      <c r="L2" s="89"/>
      <c r="M2" s="89"/>
      <c r="N2" s="88" t="s">
        <v>156</v>
      </c>
      <c r="O2" s="87"/>
      <c r="P2" s="87"/>
      <c r="Q2" s="84" t="s">
        <v>121</v>
      </c>
      <c r="R2" s="84"/>
      <c r="S2" s="84"/>
      <c r="T2" s="84"/>
      <c r="U2" s="87" t="s">
        <v>120</v>
      </c>
      <c r="V2" s="91" t="s">
        <v>120</v>
      </c>
      <c r="W2" s="87"/>
      <c r="X2" s="87"/>
      <c r="Y2" s="87"/>
      <c r="Z2" s="87"/>
      <c r="AA2" s="87"/>
      <c r="AB2" s="87" t="s">
        <v>156</v>
      </c>
      <c r="AC2" s="87"/>
      <c r="AD2" s="87"/>
      <c r="AE2" s="87"/>
      <c r="AF2" s="87"/>
      <c r="AG2" s="87"/>
      <c r="AH2" s="87"/>
      <c r="AI2" s="87"/>
      <c r="AJ2" s="87"/>
      <c r="AK2" s="87" t="s">
        <v>157</v>
      </c>
      <c r="AL2" s="91" t="s">
        <v>156</v>
      </c>
      <c r="AM2" s="84" t="s">
        <v>121</v>
      </c>
      <c r="AN2" s="84"/>
      <c r="AO2" s="91" t="s">
        <v>156</v>
      </c>
      <c r="AP2" s="84" t="s">
        <v>121</v>
      </c>
      <c r="AQ2" s="84"/>
      <c r="AR2" s="91" t="s">
        <v>156</v>
      </c>
      <c r="AS2" s="84" t="s">
        <v>121</v>
      </c>
      <c r="AT2" s="84"/>
      <c r="AU2" s="91" t="s">
        <v>156</v>
      </c>
      <c r="AV2" s="84" t="s">
        <v>121</v>
      </c>
      <c r="AW2" s="84"/>
      <c r="AX2" s="91" t="s">
        <v>156</v>
      </c>
      <c r="AY2" s="84" t="s">
        <v>121</v>
      </c>
      <c r="AZ2" s="84"/>
      <c r="BA2" s="91" t="s">
        <v>156</v>
      </c>
      <c r="BB2" s="84" t="s">
        <v>121</v>
      </c>
      <c r="BC2" s="84"/>
      <c r="BD2" s="91" t="s">
        <v>156</v>
      </c>
      <c r="BE2" s="84" t="s">
        <v>121</v>
      </c>
      <c r="BF2" s="84"/>
      <c r="BG2" s="91" t="s">
        <v>156</v>
      </c>
      <c r="BH2" s="84" t="s">
        <v>121</v>
      </c>
      <c r="BI2" s="84"/>
      <c r="BJ2" s="91" t="s">
        <v>156</v>
      </c>
      <c r="BK2" s="84" t="s">
        <v>121</v>
      </c>
      <c r="BL2" s="84"/>
      <c r="BM2" s="88" t="s">
        <v>157</v>
      </c>
      <c r="BN2" s="89"/>
      <c r="BO2" s="89"/>
      <c r="BP2" s="89" t="s">
        <v>120</v>
      </c>
      <c r="BQ2" s="89"/>
      <c r="BR2" s="89"/>
      <c r="BS2" s="89"/>
      <c r="BT2" s="84" t="s">
        <v>121</v>
      </c>
      <c r="BU2" s="84"/>
      <c r="BV2" s="87"/>
      <c r="BW2" s="88" t="s">
        <v>120</v>
      </c>
      <c r="BX2" s="87" t="s">
        <v>156</v>
      </c>
      <c r="BY2" s="84" t="s">
        <v>121</v>
      </c>
    </row>
    <row r="3" customFormat="false" ht="117" hidden="false" customHeight="true" outlineLevel="0" collapsed="false">
      <c r="A3" s="140"/>
      <c r="B3" s="140"/>
      <c r="C3" s="61"/>
      <c r="D3" s="61"/>
      <c r="E3" s="61"/>
      <c r="F3" s="170" t="s">
        <v>561</v>
      </c>
      <c r="G3" s="142" t="s">
        <v>365</v>
      </c>
      <c r="H3" s="142" t="s">
        <v>208</v>
      </c>
      <c r="I3" s="142" t="s">
        <v>209</v>
      </c>
      <c r="J3" s="142" t="s">
        <v>210</v>
      </c>
      <c r="K3" s="142" t="s">
        <v>211</v>
      </c>
      <c r="L3" s="142" t="s">
        <v>562</v>
      </c>
      <c r="M3" s="142" t="s">
        <v>214</v>
      </c>
      <c r="N3" s="148" t="s">
        <v>563</v>
      </c>
      <c r="O3" s="146" t="s">
        <v>564</v>
      </c>
      <c r="P3" s="146" t="s">
        <v>565</v>
      </c>
      <c r="Q3" s="100" t="s">
        <v>566</v>
      </c>
      <c r="R3" s="100" t="s">
        <v>567</v>
      </c>
      <c r="S3" s="100" t="s">
        <v>568</v>
      </c>
      <c r="T3" s="100" t="s">
        <v>569</v>
      </c>
      <c r="U3" s="95" t="s">
        <v>570</v>
      </c>
      <c r="V3" s="170" t="s">
        <v>571</v>
      </c>
      <c r="W3" s="144" t="s">
        <v>572</v>
      </c>
      <c r="X3" s="144" t="s">
        <v>573</v>
      </c>
      <c r="Y3" s="144" t="s">
        <v>574</v>
      </c>
      <c r="Z3" s="144" t="s">
        <v>575</v>
      </c>
      <c r="AA3" s="144" t="s">
        <v>576</v>
      </c>
      <c r="AB3" s="171" t="s">
        <v>577</v>
      </c>
      <c r="AC3" s="171" t="s">
        <v>578</v>
      </c>
      <c r="AD3" s="171" t="s">
        <v>579</v>
      </c>
      <c r="AE3" s="171" t="s">
        <v>580</v>
      </c>
      <c r="AF3" s="171" t="s">
        <v>581</v>
      </c>
      <c r="AG3" s="171" t="s">
        <v>582</v>
      </c>
      <c r="AH3" s="171" t="s">
        <v>583</v>
      </c>
      <c r="AI3" s="171" t="s">
        <v>584</v>
      </c>
      <c r="AJ3" s="171" t="s">
        <v>585</v>
      </c>
      <c r="AK3" s="95" t="s">
        <v>586</v>
      </c>
      <c r="AL3" s="148" t="s">
        <v>360</v>
      </c>
      <c r="AM3" s="104" t="s">
        <v>361</v>
      </c>
      <c r="AN3" s="100" t="s">
        <v>362</v>
      </c>
      <c r="AO3" s="148" t="s">
        <v>360</v>
      </c>
      <c r="AP3" s="104" t="s">
        <v>361</v>
      </c>
      <c r="AQ3" s="100" t="s">
        <v>362</v>
      </c>
      <c r="AR3" s="148" t="s">
        <v>360</v>
      </c>
      <c r="AS3" s="104" t="s">
        <v>361</v>
      </c>
      <c r="AT3" s="100" t="s">
        <v>362</v>
      </c>
      <c r="AU3" s="148" t="s">
        <v>360</v>
      </c>
      <c r="AV3" s="104" t="s">
        <v>361</v>
      </c>
      <c r="AW3" s="100" t="s">
        <v>362</v>
      </c>
      <c r="AX3" s="148" t="s">
        <v>360</v>
      </c>
      <c r="AY3" s="104" t="s">
        <v>361</v>
      </c>
      <c r="AZ3" s="100" t="s">
        <v>362</v>
      </c>
      <c r="BA3" s="148" t="s">
        <v>360</v>
      </c>
      <c r="BB3" s="104" t="s">
        <v>361</v>
      </c>
      <c r="BC3" s="100" t="s">
        <v>362</v>
      </c>
      <c r="BD3" s="148" t="s">
        <v>360</v>
      </c>
      <c r="BE3" s="104" t="s">
        <v>361</v>
      </c>
      <c r="BF3" s="100" t="s">
        <v>362</v>
      </c>
      <c r="BG3" s="148" t="s">
        <v>360</v>
      </c>
      <c r="BH3" s="104" t="s">
        <v>361</v>
      </c>
      <c r="BI3" s="100" t="s">
        <v>362</v>
      </c>
      <c r="BJ3" s="148" t="s">
        <v>360</v>
      </c>
      <c r="BK3" s="104" t="s">
        <v>361</v>
      </c>
      <c r="BL3" s="100" t="s">
        <v>362</v>
      </c>
      <c r="BM3" s="156" t="s">
        <v>587</v>
      </c>
      <c r="BN3" s="168" t="s">
        <v>588</v>
      </c>
      <c r="BO3" s="168" t="s">
        <v>589</v>
      </c>
      <c r="BP3" s="142" t="s">
        <v>590</v>
      </c>
      <c r="BQ3" s="142" t="s">
        <v>591</v>
      </c>
      <c r="BR3" s="142" t="s">
        <v>592</v>
      </c>
      <c r="BS3" s="142" t="s">
        <v>593</v>
      </c>
      <c r="BT3" s="100" t="s">
        <v>594</v>
      </c>
      <c r="BU3" s="100" t="s">
        <v>595</v>
      </c>
      <c r="BV3" s="95" t="s">
        <v>596</v>
      </c>
      <c r="BW3" s="145" t="s">
        <v>597</v>
      </c>
      <c r="BX3" s="146" t="s">
        <v>598</v>
      </c>
      <c r="BY3" s="100" t="s">
        <v>599</v>
      </c>
    </row>
    <row r="4" customFormat="false" ht="15" hidden="false" customHeight="false" outlineLevel="0" collapsed="false">
      <c r="A4" s="65"/>
      <c r="B4" s="65"/>
      <c r="C4" s="65"/>
      <c r="D4" s="65" t="s">
        <v>125</v>
      </c>
      <c r="E4" s="65"/>
      <c r="F4" s="114"/>
      <c r="G4" s="110" t="n">
        <f aca="false">SUBTOTAL(109,G$15:INDEX(G:G,COUNTA($B:$B)+14-COUNTA($B$1:$B$14)))</f>
        <v>2152</v>
      </c>
      <c r="H4" s="110" t="n">
        <f aca="false">SUBTOTAL(109,H$15:INDEX(H:H,COUNTA($B:$B)+14-COUNTA($B$1:$B$14)))</f>
        <v>753</v>
      </c>
      <c r="I4" s="110" t="n">
        <f aca="false">SUBTOTAL(109,I$15:INDEX(I:I,COUNTA($B:$B)+14-COUNTA($B$1:$B$14)))</f>
        <v>-859556</v>
      </c>
      <c r="J4" s="110" t="n">
        <f aca="false">SUBTOTAL(109,J$15:INDEX(J:J,COUNTA($B:$B)+14-COUNTA($B$1:$B$14)))</f>
        <v>0</v>
      </c>
      <c r="K4" s="110" t="n">
        <f aca="false">SUBTOTAL(109,K$15:INDEX(K:K,COUNTA($B:$B)+14-COUNTA($B$1:$B$14)))</f>
        <v>0</v>
      </c>
      <c r="L4" s="110" t="n">
        <f aca="false">SUBTOTAL(109,L$15:INDEX(L:L,COUNTA($B:$B)+14-COUNTA($B$1:$B$14)))</f>
        <v>-17484</v>
      </c>
      <c r="M4" s="110" t="n">
        <f aca="false">SUBTOTAL(109,M$15:INDEX(M:M,COUNTA($B:$B)+14-COUNTA($B$1:$B$14)))</f>
        <v>2188957</v>
      </c>
      <c r="N4" s="114" t="n">
        <f aca="false">IF(SUM($H$4)&gt;0,$Q$4/$H$4,"")</f>
        <v>8.1792828685259</v>
      </c>
      <c r="O4" s="108" t="n">
        <f aca="false">IF(SUM($Q$4:$R$4)=0,0,SUM($Q$4)/SUM($Q$4:$R$4))</f>
        <v>16.1653543307087</v>
      </c>
      <c r="P4" s="108" t="n">
        <f aca="false">IF(SUM($S$4:$T$4)=0,0,SUM($S$4)/SUM($S$4:$T$4))</f>
        <v>0.994298326282877</v>
      </c>
      <c r="Q4" s="105" t="n">
        <f aca="false">SUBTOTAL(109,Q$15:INDEX(Q:Q,COUNTA($B:$B)+14-COUNTA($B$1:$B$14)))</f>
        <v>6159</v>
      </c>
      <c r="R4" s="105" t="n">
        <f aca="false">SUBTOTAL(109,R$15:INDEX(R:R,COUNTA($B:$B)+14-COUNTA($B$1:$B$14)))</f>
        <v>-5778</v>
      </c>
      <c r="S4" s="105" t="n">
        <f aca="false">SUBTOTAL(109,S$15:INDEX(S:S,COUNTA($B:$B)+14-COUNTA($B$1:$B$14)))</f>
        <v>-5406</v>
      </c>
      <c r="T4" s="105" t="n">
        <f aca="false">SUBTOTAL(109,T$15:INDEX(T:T,COUNTA($B:$B)+14-COUNTA($B$1:$B$14)))</f>
        <v>-31</v>
      </c>
      <c r="U4" s="108" t="n">
        <f aca="false">IF(SUM($G$4)=0,"",(SUM($Q4)+SUM($S4))/SUM($G$4))</f>
        <v>0.349907063197026</v>
      </c>
      <c r="V4" s="114" t="n">
        <f aca="false">IF(OR(SUM($Q$4)=0,SUM($G$4)=0),"",SUM($Q$4)/SUM($G$4))</f>
        <v>2.86198884758364</v>
      </c>
      <c r="W4" s="108" t="n">
        <f aca="false">IF(OR(SUM($S$4)=0,SUM($G$4)=0),"",SUM($S$4)/SUM($G$4))</f>
        <v>-2.51208178438662</v>
      </c>
      <c r="X4" s="108" t="n">
        <f aca="false">IF(OR(SUM($G$4)=0,SUM($I$4)=0),"",SUM($I$4)/SUM($G$4))</f>
        <v>-399.421933085502</v>
      </c>
      <c r="Y4" s="108" t="str">
        <f aca="false">IF(OR(SUM($G$4)=0,SUM($J$4)=0),"",SUM($J$4)/SUM($G$4))</f>
        <v/>
      </c>
      <c r="Z4" s="108" t="str">
        <f aca="false">IF(OR(SUM($G$4)=0,SUM($K$4)=0),"",SUM($K$4)/SUM($G$4))</f>
        <v/>
      </c>
      <c r="AA4" s="108" t="n">
        <f aca="false">IF(OR(SUM($G$4)=0,SUM($L$4)=0),"",SUM($L$4)/SUM($G$4))</f>
        <v>-8.12453531598513</v>
      </c>
      <c r="AB4" s="108" t="n">
        <f aca="false">IF(OR(SUM($G$4)=0,SUM($AM$4)=0),"",SUM($AM$4)/SUM($G$4))</f>
        <v>23.3192379182156</v>
      </c>
      <c r="AC4" s="108" t="n">
        <f aca="false">IF(OR(SUM($G$4)=0,SUM($AP$4)=0),"",SUM($AP$4)/SUM($G$4))</f>
        <v>1.80204460966543</v>
      </c>
      <c r="AD4" s="108" t="n">
        <f aca="false">IF(OR(SUM($G$4)=0,SUM($AS$4)=0),"",SUM($AS$4)/SUM($G$4))</f>
        <v>2.00511152416357</v>
      </c>
      <c r="AE4" s="108" t="n">
        <f aca="false">IF(OR(SUM($G$4)=0,SUM($AV$4)=0),"",SUM($AV$4)/SUM($G$4))</f>
        <v>22.614312267658</v>
      </c>
      <c r="AF4" s="108" t="n">
        <f aca="false">IF(OR(SUM($G$4)=0,SUM($AY$4)=0),"",SUM($AY$4)/SUM($G$4))</f>
        <v>28.0720260223048</v>
      </c>
      <c r="AG4" s="108" t="n">
        <f aca="false">IF(OR(SUM($G$4)=0,SUM($BB$4)=0),"",SUM($BB$4)/SUM($G$4))</f>
        <v>24.1022304832714</v>
      </c>
      <c r="AH4" s="108" t="n">
        <f aca="false">IF(OR(SUM($G$4)=0,SUM($BE$4)=0),"",SUM($BE$4)/SUM($G$4))</f>
        <v>26.2532527881041</v>
      </c>
      <c r="AI4" s="108" t="n">
        <f aca="false">IF(OR(SUM($G$4)=0,SUM($BH$4)=0),"",SUM($BH$4)/SUM($G$4))</f>
        <v>24.342936802974</v>
      </c>
      <c r="AJ4" s="108" t="n">
        <f aca="false">IF(OR(SUM($G$4)=0,SUM($BK$4)=0),"",SUM($BK$4)/SUM($G$4))</f>
        <v>30.2063197026022</v>
      </c>
      <c r="AK4" s="108" t="n">
        <f aca="false">IF(SUM($G4)=0,"",SUM($V4:$AJ4))</f>
        <v>-224.479089219331</v>
      </c>
      <c r="AL4" s="114" t="n">
        <f aca="false">IF(SUM(AM4:AN4)&gt;0,AM4/(SUM(AM4:AN4)),"")</f>
        <v>1.63032390110783</v>
      </c>
      <c r="AM4" s="105" t="n">
        <f aca="false">SUBTOTAL(109,AM$15:INDEX(AM:AM,COUNTA($B:$B)+14-COUNTA($B$1:$B$14)))</f>
        <v>50183</v>
      </c>
      <c r="AN4" s="105" t="n">
        <f aca="false">SUBTOTAL(109,AN$15:INDEX(AN:AN,COUNTA($B:$B)+14-COUNTA($B$1:$B$14)))</f>
        <v>-19402</v>
      </c>
      <c r="AO4" s="114" t="n">
        <f aca="false">IF(SUM(AP4:AQ4)&gt;0,AP4/(SUM(AP4:AQ4)),"")</f>
        <v>1</v>
      </c>
      <c r="AP4" s="105" t="n">
        <f aca="false">SUBTOTAL(109,AP$15:INDEX(AP:AP,COUNTA($B:$B)+14-COUNTA($B$1:$B$14)))</f>
        <v>3878</v>
      </c>
      <c r="AQ4" s="105" t="n">
        <f aca="false">SUBTOTAL(109,AQ$15:INDEX(AQ:AQ,COUNTA($B:$B)+14-COUNTA($B$1:$B$14)))</f>
        <v>0</v>
      </c>
      <c r="AR4" s="114" t="n">
        <f aca="false">IF(SUM(AS4:AT4)&gt;0,AS4/(SUM(AS4:AT4)),"")</f>
        <v>1</v>
      </c>
      <c r="AS4" s="105" t="n">
        <f aca="false">SUBTOTAL(109,AS$15:INDEX(AS:AS,COUNTA($B:$B)+14-COUNTA($B$1:$B$14)))</f>
        <v>4315</v>
      </c>
      <c r="AT4" s="105" t="n">
        <f aca="false">SUBTOTAL(109,AT$15:INDEX(AT:AT,COUNTA($B:$B)+14-COUNTA($B$1:$B$14)))</f>
        <v>0</v>
      </c>
      <c r="AU4" s="114" t="n">
        <f aca="false">IF(SUM(AV4:AW4)&gt;0,AV4/(SUM(AV4:AW4)),"")</f>
        <v>1</v>
      </c>
      <c r="AV4" s="105" t="n">
        <f aca="false">SUBTOTAL(109,AV$15:INDEX(AV:AV,COUNTA($B:$B)+14-COUNTA($B$1:$B$14)))</f>
        <v>48666</v>
      </c>
      <c r="AW4" s="105" t="n">
        <f aca="false">SUBTOTAL(109,AW$15:INDEX(AW:AW,COUNTA($B:$B)+14-COUNTA($B$1:$B$14)))</f>
        <v>0</v>
      </c>
      <c r="AX4" s="114" t="n">
        <f aca="false">IF(SUM(AY4:AZ4)&gt;0,AY4/(SUM(AY4:AZ4)),"")</f>
        <v>1</v>
      </c>
      <c r="AY4" s="105" t="n">
        <f aca="false">SUBTOTAL(109,AY$15:INDEX(AY:AY,COUNTA($B:$B)+14-COUNTA($B$1:$B$14)))</f>
        <v>60411</v>
      </c>
      <c r="AZ4" s="105" t="n">
        <f aca="false">SUBTOTAL(109,AZ$15:INDEX(AZ:AZ,COUNTA($B:$B)+14-COUNTA($B$1:$B$14)))</f>
        <v>0</v>
      </c>
      <c r="BA4" s="114" t="n">
        <f aca="false">IF(SUM(BB4:BC4)&gt;0,BB4/(SUM(BB4:BC4)),"")</f>
        <v>5.85417607223476</v>
      </c>
      <c r="BB4" s="105" t="n">
        <f aca="false">SUBTOTAL(109,BB$15:INDEX(BB:BB,COUNTA($B:$B)+14-COUNTA($B$1:$B$14)))</f>
        <v>51868</v>
      </c>
      <c r="BC4" s="105" t="n">
        <f aca="false">SUBTOTAL(109,BC$15:INDEX(BC:BC,COUNTA($B:$B)+14-COUNTA($B$1:$B$14)))</f>
        <v>-43008</v>
      </c>
      <c r="BD4" s="114" t="n">
        <f aca="false">IF(SUM(BE4:BF4)&gt;0,BE4/(SUM(BE4:BF4)),"")</f>
        <v>1.00227075165428</v>
      </c>
      <c r="BE4" s="105" t="n">
        <f aca="false">SUBTOTAL(109,BE$15:INDEX(BE:BE,COUNTA($B:$B)+14-COUNTA($B$1:$B$14)))</f>
        <v>56497</v>
      </c>
      <c r="BF4" s="105" t="n">
        <f aca="false">SUBTOTAL(109,BF$15:INDEX(BF:BF,COUNTA($B:$B)+14-COUNTA($B$1:$B$14)))</f>
        <v>-128</v>
      </c>
      <c r="BG4" s="114" t="n">
        <f aca="false">IF(SUM(BH4:BI4)&gt;0,BH4/(SUM(BH4:BI4)),"")</f>
        <v>1.46974160424207</v>
      </c>
      <c r="BH4" s="105" t="n">
        <f aca="false">SUBTOTAL(109,BH$15:INDEX(BH:BH,COUNTA($B:$B)+14-COUNTA($B$1:$B$14)))</f>
        <v>52386</v>
      </c>
      <c r="BI4" s="105" t="n">
        <f aca="false">SUBTOTAL(109,BI$15:INDEX(BI:BI,COUNTA($B:$B)+14-COUNTA($B$1:$B$14)))</f>
        <v>-16743</v>
      </c>
      <c r="BJ4" s="114" t="n">
        <f aca="false">IF(SUM(BK4:BL4)&gt;0,BK4/(SUM(BK4:BL4)),"")</f>
        <v>1.30740144810941</v>
      </c>
      <c r="BK4" s="105" t="n">
        <f aca="false">SUBTOTAL(109,BK$15:INDEX(BK:BK,COUNTA($B:$B)+14-COUNTA($B$1:$B$14)))</f>
        <v>65004</v>
      </c>
      <c r="BL4" s="105" t="n">
        <f aca="false">SUBTOTAL(109,BL$15:INDEX(BL:BL,COUNTA($B:$B)+14-COUNTA($B$1:$B$14)))</f>
        <v>-15284</v>
      </c>
      <c r="BM4" s="169" t="n">
        <f aca="false">SUBTOTAL(109,BM$15:INDEX(BM:BM,COUNTA($B:$B)+14-COUNTA($B$1:$B$14)))</f>
        <v>2152</v>
      </c>
      <c r="BN4" s="110" t="n">
        <f aca="false">SUBTOTAL(109,BN$15:INDEX(BN:BN,COUNTA($B:$B)+14-COUNTA($B$1:$B$14)))</f>
        <v>-1793597</v>
      </c>
      <c r="BO4" s="110" t="n">
        <f aca="false">SUBTOTAL(109,BO$15:INDEX(BO:BO,COUNTA($B:$B)+14-COUNTA($B$1:$B$14)))</f>
        <v>-1795749</v>
      </c>
      <c r="BP4" s="110" t="n">
        <f aca="false">SUBTOTAL(109,BP$15:INDEX(BP:BP,COUNTA($B:$B)+14-COUNTA($B$1:$B$14)))</f>
        <v>819900</v>
      </c>
      <c r="BQ4" s="110" t="n">
        <f aca="false">SUBTOTAL(109,BQ$15:INDEX(BQ:BQ,COUNTA($B:$B)+14-COUNTA($B$1:$B$14)))</f>
        <v>110</v>
      </c>
      <c r="BR4" s="110" t="n">
        <f aca="false">SUBTOTAL(109,BR$15:INDEX(BR:BR,COUNTA($B:$B)+14-COUNTA($B$1:$B$14)))</f>
        <v>0</v>
      </c>
      <c r="BS4" s="110" t="n">
        <f aca="false">SUBTOTAL(109,BS$15:INDEX(BS:BS,COUNTA($B:$B)+14-COUNTA($B$1:$B$14)))</f>
        <v>15331</v>
      </c>
      <c r="BT4" s="105" t="n">
        <f aca="false">SUBTOTAL(109,BT$15:INDEX(BT:BT,COUNTA($B:$B)+14-COUNTA($B$1:$B$14)))</f>
        <v>2230726</v>
      </c>
      <c r="BU4" s="105" t="n">
        <f aca="false">SUBTOTAL(109,BU$15:INDEX(BU:BU,COUNTA($B:$B)+14-COUNTA($B$1:$B$14)))</f>
        <v>170834</v>
      </c>
      <c r="BV4" s="108" t="n">
        <f aca="false">IF(BU4&lt;&gt;0,BN4/BU4,"")</f>
        <v>-10.4990634182891</v>
      </c>
      <c r="BW4" s="169" t="n">
        <f aca="false">SUBTOTAL(109,BW$15:INDEX(BW:BW,COUNTA($B:$B)+14-COUNTA($B$1:$B$14)))</f>
        <v>0</v>
      </c>
      <c r="BX4" s="108"/>
      <c r="BY4" s="105" t="n">
        <f aca="false">SUBTOTAL(109,BY$15:INDEX(BY:BY,COUNTA($B:$B)+14-COUNTA($B$1:$B$14)))</f>
        <v>0</v>
      </c>
    </row>
    <row r="5" customFormat="false" ht="12.8" hidden="false" customHeight="false" outlineLevel="0" collapsed="false">
      <c r="A5" s="69" t="s">
        <v>126</v>
      </c>
      <c r="B5" s="69" t="s">
        <v>126</v>
      </c>
      <c r="C5" s="69" t="s">
        <v>126</v>
      </c>
      <c r="D5" s="69" t="s">
        <v>126</v>
      </c>
      <c r="E5" s="69" t="s">
        <v>126</v>
      </c>
      <c r="F5" s="125" t="s">
        <v>126</v>
      </c>
      <c r="G5" s="73" t="s">
        <v>126</v>
      </c>
      <c r="H5" s="73" t="s">
        <v>126</v>
      </c>
      <c r="I5" s="73" t="s">
        <v>126</v>
      </c>
      <c r="J5" s="73" t="s">
        <v>126</v>
      </c>
      <c r="K5" s="73" t="s">
        <v>126</v>
      </c>
      <c r="L5" s="73" t="s">
        <v>126</v>
      </c>
      <c r="M5" s="73" t="s">
        <v>126</v>
      </c>
      <c r="N5" s="125" t="s">
        <v>126</v>
      </c>
      <c r="O5" s="118" t="s">
        <v>126</v>
      </c>
      <c r="P5" s="118" t="s">
        <v>126</v>
      </c>
      <c r="Q5" s="115" t="s">
        <v>225</v>
      </c>
      <c r="R5" s="115" t="s">
        <v>225</v>
      </c>
      <c r="S5" s="115" t="s">
        <v>225</v>
      </c>
      <c r="T5" s="115" t="s">
        <v>225</v>
      </c>
      <c r="U5" s="118" t="s">
        <v>126</v>
      </c>
      <c r="V5" s="125" t="s">
        <v>126</v>
      </c>
      <c r="W5" s="118" t="s">
        <v>126</v>
      </c>
      <c r="X5" s="118" t="s">
        <v>126</v>
      </c>
      <c r="Y5" s="118" t="s">
        <v>126</v>
      </c>
      <c r="Z5" s="118" t="s">
        <v>126</v>
      </c>
      <c r="AA5" s="118" t="s">
        <v>126</v>
      </c>
      <c r="AB5" s="118" t="s">
        <v>126</v>
      </c>
      <c r="AC5" s="118" t="s">
        <v>126</v>
      </c>
      <c r="AD5" s="118" t="s">
        <v>126</v>
      </c>
      <c r="AE5" s="118" t="s">
        <v>126</v>
      </c>
      <c r="AF5" s="118" t="s">
        <v>126</v>
      </c>
      <c r="AG5" s="118" t="s">
        <v>126</v>
      </c>
      <c r="AH5" s="118" t="s">
        <v>126</v>
      </c>
      <c r="AI5" s="118" t="s">
        <v>126</v>
      </c>
      <c r="AJ5" s="118" t="s">
        <v>126</v>
      </c>
      <c r="AK5" s="118" t="s">
        <v>126</v>
      </c>
      <c r="AL5" s="125" t="s">
        <v>126</v>
      </c>
      <c r="AM5" s="115" t="s">
        <v>225</v>
      </c>
      <c r="AN5" s="115" t="s">
        <v>225</v>
      </c>
      <c r="AO5" s="125" t="s">
        <v>126</v>
      </c>
      <c r="AP5" s="115" t="s">
        <v>225</v>
      </c>
      <c r="AQ5" s="115" t="s">
        <v>225</v>
      </c>
      <c r="AR5" s="125" t="s">
        <v>126</v>
      </c>
      <c r="AS5" s="115" t="s">
        <v>225</v>
      </c>
      <c r="AT5" s="115" t="s">
        <v>225</v>
      </c>
      <c r="AU5" s="125" t="s">
        <v>126</v>
      </c>
      <c r="AV5" s="115" t="s">
        <v>225</v>
      </c>
      <c r="AW5" s="115" t="s">
        <v>225</v>
      </c>
      <c r="AX5" s="125" t="s">
        <v>126</v>
      </c>
      <c r="AY5" s="115" t="s">
        <v>225</v>
      </c>
      <c r="AZ5" s="115" t="s">
        <v>225</v>
      </c>
      <c r="BA5" s="125" t="s">
        <v>126</v>
      </c>
      <c r="BB5" s="115" t="s">
        <v>225</v>
      </c>
      <c r="BC5" s="115" t="s">
        <v>225</v>
      </c>
      <c r="BD5" s="125" t="s">
        <v>126</v>
      </c>
      <c r="BE5" s="115" t="s">
        <v>225</v>
      </c>
      <c r="BF5" s="115" t="s">
        <v>225</v>
      </c>
      <c r="BG5" s="125" t="s">
        <v>126</v>
      </c>
      <c r="BH5" s="115" t="s">
        <v>225</v>
      </c>
      <c r="BI5" s="115" t="s">
        <v>225</v>
      </c>
      <c r="BJ5" s="125" t="s">
        <v>126</v>
      </c>
      <c r="BK5" s="115" t="s">
        <v>225</v>
      </c>
      <c r="BL5" s="115" t="s">
        <v>225</v>
      </c>
      <c r="BM5" s="119" t="s">
        <v>126</v>
      </c>
      <c r="BN5" s="73" t="s">
        <v>126</v>
      </c>
      <c r="BO5" s="73" t="s">
        <v>126</v>
      </c>
      <c r="BP5" s="73" t="s">
        <v>126</v>
      </c>
      <c r="BQ5" s="73" t="s">
        <v>126</v>
      </c>
      <c r="BR5" s="73" t="s">
        <v>126</v>
      </c>
      <c r="BS5" s="73" t="s">
        <v>126</v>
      </c>
      <c r="BT5" s="115" t="s">
        <v>126</v>
      </c>
      <c r="BU5" s="115" t="s">
        <v>126</v>
      </c>
      <c r="BV5" s="118" t="s">
        <v>126</v>
      </c>
      <c r="BW5" s="119" t="s">
        <v>225</v>
      </c>
      <c r="BX5" s="118" t="s">
        <v>126</v>
      </c>
      <c r="BY5" s="115" t="s">
        <v>225</v>
      </c>
    </row>
    <row r="6" customFormat="false" ht="12.8" hidden="false" customHeight="false" outlineLevel="0" collapsed="false">
      <c r="A6" s="69" t="s">
        <v>128</v>
      </c>
      <c r="B6" s="69" t="s">
        <v>128</v>
      </c>
      <c r="C6" s="69" t="s">
        <v>128</v>
      </c>
      <c r="D6" s="69" t="s">
        <v>128</v>
      </c>
      <c r="E6" s="69" t="s">
        <v>128</v>
      </c>
      <c r="F6" s="125" t="s">
        <v>131</v>
      </c>
      <c r="G6" s="73" t="s">
        <v>131</v>
      </c>
      <c r="H6" s="73" t="s">
        <v>131</v>
      </c>
      <c r="I6" s="73" t="s">
        <v>131</v>
      </c>
      <c r="J6" s="73" t="s">
        <v>131</v>
      </c>
      <c r="K6" s="73" t="s">
        <v>131</v>
      </c>
      <c r="L6" s="73" t="s">
        <v>131</v>
      </c>
      <c r="M6" s="73" t="s">
        <v>131</v>
      </c>
      <c r="N6" s="125" t="s">
        <v>228</v>
      </c>
      <c r="O6" s="118" t="s">
        <v>228</v>
      </c>
      <c r="P6" s="118" t="s">
        <v>228</v>
      </c>
      <c r="Q6" s="115" t="s">
        <v>130</v>
      </c>
      <c r="R6" s="115" t="s">
        <v>130</v>
      </c>
      <c r="S6" s="115" t="s">
        <v>130</v>
      </c>
      <c r="T6" s="115" t="s">
        <v>130</v>
      </c>
      <c r="U6" s="118" t="s">
        <v>131</v>
      </c>
      <c r="V6" s="125" t="s">
        <v>131</v>
      </c>
      <c r="W6" s="118" t="s">
        <v>131</v>
      </c>
      <c r="X6" s="118" t="s">
        <v>131</v>
      </c>
      <c r="Y6" s="118" t="s">
        <v>131</v>
      </c>
      <c r="Z6" s="118" t="s">
        <v>131</v>
      </c>
      <c r="AA6" s="118" t="s">
        <v>131</v>
      </c>
      <c r="AB6" s="118" t="s">
        <v>228</v>
      </c>
      <c r="AC6" s="118" t="s">
        <v>228</v>
      </c>
      <c r="AD6" s="118" t="s">
        <v>228</v>
      </c>
      <c r="AE6" s="118" t="s">
        <v>228</v>
      </c>
      <c r="AF6" s="118" t="s">
        <v>228</v>
      </c>
      <c r="AG6" s="118" t="s">
        <v>228</v>
      </c>
      <c r="AH6" s="118" t="s">
        <v>228</v>
      </c>
      <c r="AI6" s="118" t="s">
        <v>228</v>
      </c>
      <c r="AJ6" s="118" t="s">
        <v>228</v>
      </c>
      <c r="AK6" s="118" t="s">
        <v>131</v>
      </c>
      <c r="AL6" s="125" t="s">
        <v>228</v>
      </c>
      <c r="AM6" s="115" t="s">
        <v>130</v>
      </c>
      <c r="AN6" s="115" t="s">
        <v>130</v>
      </c>
      <c r="AO6" s="125" t="s">
        <v>228</v>
      </c>
      <c r="AP6" s="115" t="s">
        <v>130</v>
      </c>
      <c r="AQ6" s="115" t="s">
        <v>130</v>
      </c>
      <c r="AR6" s="125" t="s">
        <v>228</v>
      </c>
      <c r="AS6" s="115" t="s">
        <v>130</v>
      </c>
      <c r="AT6" s="115" t="s">
        <v>130</v>
      </c>
      <c r="AU6" s="125" t="s">
        <v>228</v>
      </c>
      <c r="AV6" s="115" t="s">
        <v>130</v>
      </c>
      <c r="AW6" s="115" t="s">
        <v>130</v>
      </c>
      <c r="AX6" s="125" t="s">
        <v>228</v>
      </c>
      <c r="AY6" s="115" t="s">
        <v>130</v>
      </c>
      <c r="AZ6" s="115" t="s">
        <v>130</v>
      </c>
      <c r="BA6" s="125" t="s">
        <v>228</v>
      </c>
      <c r="BB6" s="115" t="s">
        <v>130</v>
      </c>
      <c r="BC6" s="115" t="s">
        <v>130</v>
      </c>
      <c r="BD6" s="125" t="s">
        <v>228</v>
      </c>
      <c r="BE6" s="115" t="s">
        <v>130</v>
      </c>
      <c r="BF6" s="115" t="s">
        <v>130</v>
      </c>
      <c r="BG6" s="125" t="s">
        <v>228</v>
      </c>
      <c r="BH6" s="115" t="s">
        <v>130</v>
      </c>
      <c r="BI6" s="115" t="s">
        <v>130</v>
      </c>
      <c r="BJ6" s="125" t="s">
        <v>228</v>
      </c>
      <c r="BK6" s="115" t="s">
        <v>130</v>
      </c>
      <c r="BL6" s="115" t="s">
        <v>130</v>
      </c>
      <c r="BM6" s="119" t="s">
        <v>131</v>
      </c>
      <c r="BN6" s="73" t="s">
        <v>131</v>
      </c>
      <c r="BO6" s="73" t="s">
        <v>131</v>
      </c>
      <c r="BP6" s="73" t="s">
        <v>131</v>
      </c>
      <c r="BQ6" s="73" t="s">
        <v>131</v>
      </c>
      <c r="BR6" s="73" t="s">
        <v>131</v>
      </c>
      <c r="BS6" s="73" t="s">
        <v>131</v>
      </c>
      <c r="BT6" s="115" t="s">
        <v>131</v>
      </c>
      <c r="BU6" s="115" t="s">
        <v>131</v>
      </c>
      <c r="BV6" s="118" t="s">
        <v>131</v>
      </c>
      <c r="BW6" s="119" t="s">
        <v>129</v>
      </c>
      <c r="BX6" s="118" t="s">
        <v>227</v>
      </c>
      <c r="BY6" s="115" t="s">
        <v>130</v>
      </c>
    </row>
    <row r="7" customFormat="false" ht="12.8" hidden="false" customHeight="false" outlineLevel="0" collapsed="false">
      <c r="A7" s="69" t="s">
        <v>132</v>
      </c>
      <c r="B7" s="69" t="s">
        <v>132</v>
      </c>
      <c r="C7" s="69" t="s">
        <v>132</v>
      </c>
      <c r="D7" s="69" t="s">
        <v>132</v>
      </c>
      <c r="E7" s="69" t="s">
        <v>132</v>
      </c>
      <c r="F7" s="125" t="s">
        <v>229</v>
      </c>
      <c r="G7" s="73" t="s">
        <v>133</v>
      </c>
      <c r="H7" s="73" t="s">
        <v>133</v>
      </c>
      <c r="I7" s="73" t="s">
        <v>133</v>
      </c>
      <c r="J7" s="73" t="s">
        <v>133</v>
      </c>
      <c r="K7" s="73" t="s">
        <v>133</v>
      </c>
      <c r="L7" s="73" t="s">
        <v>133</v>
      </c>
      <c r="M7" s="73" t="s">
        <v>133</v>
      </c>
      <c r="N7" s="125" t="s">
        <v>229</v>
      </c>
      <c r="O7" s="118" t="s">
        <v>229</v>
      </c>
      <c r="P7" s="118" t="s">
        <v>229</v>
      </c>
      <c r="Q7" s="115" t="s">
        <v>133</v>
      </c>
      <c r="R7" s="115" t="s">
        <v>133</v>
      </c>
      <c r="S7" s="115" t="s">
        <v>133</v>
      </c>
      <c r="T7" s="115" t="s">
        <v>133</v>
      </c>
      <c r="U7" s="118" t="s">
        <v>229</v>
      </c>
      <c r="V7" s="125" t="s">
        <v>229</v>
      </c>
      <c r="W7" s="118" t="s">
        <v>229</v>
      </c>
      <c r="X7" s="118" t="s">
        <v>229</v>
      </c>
      <c r="Y7" s="118" t="s">
        <v>229</v>
      </c>
      <c r="Z7" s="118" t="s">
        <v>229</v>
      </c>
      <c r="AA7" s="118" t="s">
        <v>229</v>
      </c>
      <c r="AB7" s="118" t="s">
        <v>229</v>
      </c>
      <c r="AC7" s="118" t="s">
        <v>229</v>
      </c>
      <c r="AD7" s="118" t="s">
        <v>229</v>
      </c>
      <c r="AE7" s="118" t="s">
        <v>229</v>
      </c>
      <c r="AF7" s="118" t="s">
        <v>229</v>
      </c>
      <c r="AG7" s="118" t="s">
        <v>229</v>
      </c>
      <c r="AH7" s="118" t="s">
        <v>229</v>
      </c>
      <c r="AI7" s="118" t="s">
        <v>229</v>
      </c>
      <c r="AJ7" s="118" t="s">
        <v>229</v>
      </c>
      <c r="AK7" s="118" t="s">
        <v>229</v>
      </c>
      <c r="AL7" s="125" t="s">
        <v>229</v>
      </c>
      <c r="AM7" s="115" t="s">
        <v>133</v>
      </c>
      <c r="AN7" s="115" t="s">
        <v>133</v>
      </c>
      <c r="AO7" s="125" t="s">
        <v>229</v>
      </c>
      <c r="AP7" s="115" t="s">
        <v>133</v>
      </c>
      <c r="AQ7" s="115" t="s">
        <v>133</v>
      </c>
      <c r="AR7" s="125" t="s">
        <v>229</v>
      </c>
      <c r="AS7" s="115" t="s">
        <v>133</v>
      </c>
      <c r="AT7" s="115" t="s">
        <v>133</v>
      </c>
      <c r="AU7" s="125" t="s">
        <v>229</v>
      </c>
      <c r="AV7" s="115" t="s">
        <v>133</v>
      </c>
      <c r="AW7" s="115" t="s">
        <v>133</v>
      </c>
      <c r="AX7" s="125" t="s">
        <v>229</v>
      </c>
      <c r="AY7" s="115" t="s">
        <v>133</v>
      </c>
      <c r="AZ7" s="115" t="s">
        <v>133</v>
      </c>
      <c r="BA7" s="125" t="s">
        <v>229</v>
      </c>
      <c r="BB7" s="115" t="s">
        <v>133</v>
      </c>
      <c r="BC7" s="115" t="s">
        <v>133</v>
      </c>
      <c r="BD7" s="125" t="s">
        <v>229</v>
      </c>
      <c r="BE7" s="115" t="s">
        <v>133</v>
      </c>
      <c r="BF7" s="115" t="s">
        <v>133</v>
      </c>
      <c r="BG7" s="125" t="s">
        <v>229</v>
      </c>
      <c r="BH7" s="115" t="s">
        <v>133</v>
      </c>
      <c r="BI7" s="115" t="s">
        <v>133</v>
      </c>
      <c r="BJ7" s="125" t="s">
        <v>229</v>
      </c>
      <c r="BK7" s="115" t="s">
        <v>133</v>
      </c>
      <c r="BL7" s="115" t="s">
        <v>133</v>
      </c>
      <c r="BM7" s="119" t="s">
        <v>133</v>
      </c>
      <c r="BN7" s="73" t="s">
        <v>133</v>
      </c>
      <c r="BO7" s="73" t="s">
        <v>133</v>
      </c>
      <c r="BP7" s="73" t="s">
        <v>133</v>
      </c>
      <c r="BQ7" s="73" t="s">
        <v>133</v>
      </c>
      <c r="BR7" s="73" t="s">
        <v>133</v>
      </c>
      <c r="BS7" s="73" t="s">
        <v>133</v>
      </c>
      <c r="BT7" s="115" t="s">
        <v>133</v>
      </c>
      <c r="BU7" s="115" t="s">
        <v>133</v>
      </c>
      <c r="BV7" s="118" t="s">
        <v>229</v>
      </c>
      <c r="BW7" s="119" t="s">
        <v>133</v>
      </c>
      <c r="BX7" s="118" t="s">
        <v>229</v>
      </c>
      <c r="BY7" s="115" t="s">
        <v>133</v>
      </c>
    </row>
    <row r="8" customFormat="false" ht="12.8" hidden="false" customHeight="false" outlineLevel="0" collapsed="false">
      <c r="Q8" s="115" t="s">
        <v>600</v>
      </c>
      <c r="R8" s="115" t="s">
        <v>600</v>
      </c>
      <c r="S8" s="115" t="s">
        <v>601</v>
      </c>
      <c r="T8" s="115" t="s">
        <v>601</v>
      </c>
      <c r="W8" s="118"/>
      <c r="Y8" s="118"/>
      <c r="Z8" s="118"/>
      <c r="AA8" s="118"/>
      <c r="AI8" s="118"/>
      <c r="AM8" s="115" t="s">
        <v>602</v>
      </c>
      <c r="AN8" s="115" t="s">
        <v>602</v>
      </c>
      <c r="AP8" s="115" t="s">
        <v>603</v>
      </c>
      <c r="AQ8" s="115" t="s">
        <v>603</v>
      </c>
      <c r="AS8" s="115" t="s">
        <v>604</v>
      </c>
      <c r="AT8" s="115" t="s">
        <v>604</v>
      </c>
      <c r="AV8" s="115" t="s">
        <v>605</v>
      </c>
      <c r="AW8" s="115" t="s">
        <v>605</v>
      </c>
      <c r="AY8" s="115" t="s">
        <v>606</v>
      </c>
      <c r="AZ8" s="115" t="s">
        <v>606</v>
      </c>
      <c r="BB8" s="115" t="s">
        <v>607</v>
      </c>
      <c r="BC8" s="115" t="s">
        <v>607</v>
      </c>
      <c r="BE8" s="115" t="s">
        <v>608</v>
      </c>
      <c r="BF8" s="115" t="s">
        <v>608</v>
      </c>
      <c r="BH8" s="115" t="s">
        <v>609</v>
      </c>
      <c r="BI8" s="115" t="s">
        <v>609</v>
      </c>
      <c r="BK8" s="115" t="s">
        <v>610</v>
      </c>
      <c r="BL8" s="115" t="s">
        <v>610</v>
      </c>
      <c r="BM8" s="119"/>
      <c r="BN8" s="73"/>
      <c r="BO8" s="73"/>
      <c r="BP8" s="73"/>
      <c r="BQ8" s="73"/>
      <c r="BR8" s="73"/>
      <c r="BS8" s="73"/>
      <c r="BT8" s="115"/>
      <c r="BU8" s="115"/>
      <c r="BW8" s="139" t="s">
        <v>611</v>
      </c>
      <c r="BY8" s="115" t="s">
        <v>611</v>
      </c>
    </row>
    <row r="9" customFormat="false" ht="12.8" hidden="false" customHeight="false" outlineLevel="0" collapsed="false">
      <c r="Q9" s="115" t="s">
        <v>612</v>
      </c>
      <c r="R9" s="115" t="s">
        <v>612</v>
      </c>
      <c r="S9" s="115" t="s">
        <v>613</v>
      </c>
      <c r="T9" s="115" t="s">
        <v>613</v>
      </c>
      <c r="W9" s="118"/>
      <c r="Y9" s="118"/>
      <c r="Z9" s="118"/>
      <c r="AA9" s="118"/>
      <c r="AI9" s="118"/>
      <c r="AM9" s="115" t="s">
        <v>614</v>
      </c>
      <c r="AN9" s="115" t="s">
        <v>614</v>
      </c>
      <c r="AP9" s="115" t="s">
        <v>615</v>
      </c>
      <c r="AQ9" s="115" t="s">
        <v>615</v>
      </c>
      <c r="AS9" s="115" t="s">
        <v>616</v>
      </c>
      <c r="AT9" s="115" t="s">
        <v>616</v>
      </c>
      <c r="AV9" s="115" t="s">
        <v>617</v>
      </c>
      <c r="AW9" s="115" t="s">
        <v>617</v>
      </c>
      <c r="AY9" s="115" t="s">
        <v>618</v>
      </c>
      <c r="AZ9" s="115" t="s">
        <v>618</v>
      </c>
      <c r="BB9" s="115" t="s">
        <v>619</v>
      </c>
      <c r="BC9" s="115" t="s">
        <v>619</v>
      </c>
      <c r="BE9" s="115" t="s">
        <v>620</v>
      </c>
      <c r="BF9" s="115" t="s">
        <v>620</v>
      </c>
      <c r="BH9" s="115" t="s">
        <v>621</v>
      </c>
      <c r="BI9" s="115" t="s">
        <v>621</v>
      </c>
      <c r="BK9" s="115" t="s">
        <v>622</v>
      </c>
      <c r="BL9" s="115" t="s">
        <v>622</v>
      </c>
      <c r="BM9" s="119"/>
      <c r="BN9" s="73"/>
      <c r="BO9" s="73"/>
      <c r="BP9" s="73"/>
      <c r="BQ9" s="73"/>
      <c r="BR9" s="73"/>
      <c r="BS9" s="73"/>
      <c r="BT9" s="115"/>
      <c r="BU9" s="115"/>
      <c r="BW9" s="139" t="s">
        <v>623</v>
      </c>
      <c r="BY9" s="115" t="s">
        <v>623</v>
      </c>
    </row>
    <row r="10" customFormat="false" ht="12.8" hidden="false" customHeight="false" outlineLevel="0" collapsed="false">
      <c r="Q10" s="115" t="s">
        <v>380</v>
      </c>
      <c r="R10" s="115" t="s">
        <v>381</v>
      </c>
      <c r="S10" s="115" t="s">
        <v>380</v>
      </c>
      <c r="T10" s="115" t="s">
        <v>381</v>
      </c>
      <c r="W10" s="118"/>
      <c r="Y10" s="118"/>
      <c r="Z10" s="118"/>
      <c r="AA10" s="118"/>
      <c r="AI10" s="118"/>
      <c r="AM10" s="115" t="s">
        <v>243</v>
      </c>
      <c r="AN10" s="115" t="s">
        <v>384</v>
      </c>
      <c r="AP10" s="115" t="s">
        <v>243</v>
      </c>
      <c r="AQ10" s="115" t="s">
        <v>384</v>
      </c>
      <c r="AS10" s="115" t="s">
        <v>243</v>
      </c>
      <c r="AT10" s="115" t="s">
        <v>384</v>
      </c>
      <c r="AV10" s="115" t="s">
        <v>243</v>
      </c>
      <c r="AW10" s="115" t="s">
        <v>384</v>
      </c>
      <c r="AY10" s="115" t="s">
        <v>243</v>
      </c>
      <c r="AZ10" s="115" t="s">
        <v>384</v>
      </c>
      <c r="BB10" s="115" t="s">
        <v>243</v>
      </c>
      <c r="BC10" s="115" t="s">
        <v>384</v>
      </c>
      <c r="BE10" s="115" t="s">
        <v>243</v>
      </c>
      <c r="BF10" s="115" t="s">
        <v>384</v>
      </c>
      <c r="BH10" s="115" t="s">
        <v>243</v>
      </c>
      <c r="BI10" s="115" t="s">
        <v>384</v>
      </c>
      <c r="BK10" s="115" t="s">
        <v>243</v>
      </c>
      <c r="BL10" s="115" t="s">
        <v>384</v>
      </c>
      <c r="BM10" s="119"/>
      <c r="BN10" s="73"/>
      <c r="BO10" s="73"/>
      <c r="BP10" s="73"/>
      <c r="BQ10" s="73"/>
      <c r="BR10" s="73"/>
      <c r="BS10" s="73"/>
      <c r="BT10" s="115"/>
      <c r="BU10" s="115"/>
      <c r="BY10" s="115"/>
    </row>
    <row r="11" customFormat="false" ht="12.8" hidden="false" customHeight="false" outlineLevel="0" collapsed="false">
      <c r="F11" s="125" t="s">
        <v>246</v>
      </c>
      <c r="G11" s="73" t="s">
        <v>246</v>
      </c>
      <c r="H11" s="73" t="s">
        <v>246</v>
      </c>
      <c r="I11" s="73" t="s">
        <v>246</v>
      </c>
      <c r="J11" s="73" t="s">
        <v>246</v>
      </c>
      <c r="K11" s="73" t="s">
        <v>246</v>
      </c>
      <c r="L11" s="73" t="s">
        <v>246</v>
      </c>
      <c r="M11" s="73" t="s">
        <v>246</v>
      </c>
      <c r="N11" s="125" t="s">
        <v>246</v>
      </c>
      <c r="O11" s="118" t="s">
        <v>246</v>
      </c>
      <c r="P11" s="118" t="s">
        <v>246</v>
      </c>
      <c r="Q11" s="115" t="s">
        <v>246</v>
      </c>
      <c r="R11" s="115" t="s">
        <v>246</v>
      </c>
      <c r="S11" s="115" t="s">
        <v>246</v>
      </c>
      <c r="T11" s="115" t="s">
        <v>246</v>
      </c>
      <c r="U11" s="118" t="s">
        <v>246</v>
      </c>
      <c r="V11" s="125" t="s">
        <v>246</v>
      </c>
      <c r="W11" s="118" t="s">
        <v>246</v>
      </c>
      <c r="X11" s="118" t="s">
        <v>247</v>
      </c>
      <c r="Y11" s="118" t="s">
        <v>247</v>
      </c>
      <c r="Z11" s="118" t="s">
        <v>246</v>
      </c>
      <c r="AA11" s="118" t="s">
        <v>248</v>
      </c>
      <c r="AB11" s="118" t="s">
        <v>246</v>
      </c>
      <c r="AC11" s="118" t="s">
        <v>624</v>
      </c>
      <c r="AD11" s="118" t="s">
        <v>624</v>
      </c>
      <c r="AE11" s="118" t="s">
        <v>246</v>
      </c>
      <c r="AF11" s="118" t="s">
        <v>246</v>
      </c>
      <c r="AG11" s="118" t="s">
        <v>246</v>
      </c>
      <c r="AH11" s="118" t="s">
        <v>246</v>
      </c>
      <c r="AI11" s="118" t="s">
        <v>246</v>
      </c>
      <c r="AJ11" s="118" t="s">
        <v>246</v>
      </c>
      <c r="AK11" s="118" t="s">
        <v>246</v>
      </c>
      <c r="AL11" s="125" t="s">
        <v>246</v>
      </c>
      <c r="AM11" s="115" t="s">
        <v>246</v>
      </c>
      <c r="AN11" s="115" t="s">
        <v>246</v>
      </c>
      <c r="AO11" s="125" t="s">
        <v>624</v>
      </c>
      <c r="AP11" s="115" t="s">
        <v>624</v>
      </c>
      <c r="AQ11" s="115" t="s">
        <v>624</v>
      </c>
      <c r="AR11" s="125" t="s">
        <v>624</v>
      </c>
      <c r="AS11" s="115" t="s">
        <v>624</v>
      </c>
      <c r="AT11" s="115" t="s">
        <v>624</v>
      </c>
      <c r="AU11" s="125" t="s">
        <v>246</v>
      </c>
      <c r="AV11" s="115" t="s">
        <v>246</v>
      </c>
      <c r="AW11" s="115" t="s">
        <v>246</v>
      </c>
      <c r="AX11" s="125" t="s">
        <v>246</v>
      </c>
      <c r="AY11" s="115" t="s">
        <v>246</v>
      </c>
      <c r="AZ11" s="115" t="s">
        <v>246</v>
      </c>
      <c r="BA11" s="125" t="s">
        <v>246</v>
      </c>
      <c r="BB11" s="115" t="s">
        <v>246</v>
      </c>
      <c r="BC11" s="115" t="s">
        <v>246</v>
      </c>
      <c r="BD11" s="125" t="s">
        <v>246</v>
      </c>
      <c r="BE11" s="115" t="s">
        <v>246</v>
      </c>
      <c r="BF11" s="115" t="s">
        <v>246</v>
      </c>
      <c r="BG11" s="125" t="s">
        <v>246</v>
      </c>
      <c r="BH11" s="115" t="s">
        <v>246</v>
      </c>
      <c r="BI11" s="115" t="s">
        <v>246</v>
      </c>
      <c r="BJ11" s="125" t="s">
        <v>246</v>
      </c>
      <c r="BK11" s="115" t="s">
        <v>246</v>
      </c>
      <c r="BL11" s="115" t="s">
        <v>246</v>
      </c>
      <c r="BM11" s="119" t="s">
        <v>246</v>
      </c>
      <c r="BN11" s="73" t="s">
        <v>246</v>
      </c>
      <c r="BO11" s="73" t="s">
        <v>246</v>
      </c>
      <c r="BP11" s="73" t="s">
        <v>246</v>
      </c>
      <c r="BQ11" s="73" t="s">
        <v>246</v>
      </c>
      <c r="BR11" s="73" t="s">
        <v>246</v>
      </c>
      <c r="BS11" s="73" t="s">
        <v>246</v>
      </c>
      <c r="BT11" s="115" t="s">
        <v>246</v>
      </c>
      <c r="BU11" s="115" t="s">
        <v>246</v>
      </c>
      <c r="BV11" s="118" t="s">
        <v>246</v>
      </c>
      <c r="BW11" s="119" t="s">
        <v>247</v>
      </c>
      <c r="BX11" s="118" t="s">
        <v>247</v>
      </c>
      <c r="BY11" s="115" t="s">
        <v>247</v>
      </c>
    </row>
    <row r="12" customFormat="false" ht="12.8" hidden="false" customHeight="false" outlineLevel="0" collapsed="false">
      <c r="F12" s="125" t="s">
        <v>249</v>
      </c>
      <c r="G12" s="73" t="s">
        <v>249</v>
      </c>
      <c r="H12" s="73" t="s">
        <v>249</v>
      </c>
      <c r="I12" s="73" t="s">
        <v>249</v>
      </c>
      <c r="J12" s="73" t="s">
        <v>249</v>
      </c>
      <c r="K12" s="73" t="s">
        <v>249</v>
      </c>
      <c r="L12" s="73" t="s">
        <v>249</v>
      </c>
      <c r="M12" s="73" t="s">
        <v>249</v>
      </c>
      <c r="N12" s="125" t="s">
        <v>249</v>
      </c>
      <c r="O12" s="118" t="s">
        <v>249</v>
      </c>
      <c r="P12" s="118" t="s">
        <v>249</v>
      </c>
      <c r="Q12" s="115" t="s">
        <v>249</v>
      </c>
      <c r="R12" s="115" t="s">
        <v>249</v>
      </c>
      <c r="S12" s="115" t="s">
        <v>249</v>
      </c>
      <c r="T12" s="115" t="s">
        <v>249</v>
      </c>
      <c r="U12" s="118" t="s">
        <v>249</v>
      </c>
      <c r="V12" s="125" t="s">
        <v>249</v>
      </c>
      <c r="W12" s="118" t="s">
        <v>249</v>
      </c>
      <c r="X12" s="118" t="s">
        <v>250</v>
      </c>
      <c r="Y12" s="118" t="s">
        <v>250</v>
      </c>
      <c r="Z12" s="118" t="s">
        <v>249</v>
      </c>
      <c r="AA12" s="118" t="s">
        <v>251</v>
      </c>
      <c r="AB12" s="118" t="s">
        <v>249</v>
      </c>
      <c r="AC12" s="118" t="s">
        <v>249</v>
      </c>
      <c r="AD12" s="118" t="s">
        <v>249</v>
      </c>
      <c r="AE12" s="118" t="s">
        <v>249</v>
      </c>
      <c r="AF12" s="118" t="s">
        <v>249</v>
      </c>
      <c r="AG12" s="118" t="s">
        <v>249</v>
      </c>
      <c r="AH12" s="118" t="s">
        <v>249</v>
      </c>
      <c r="AI12" s="118" t="s">
        <v>249</v>
      </c>
      <c r="AJ12" s="118" t="s">
        <v>249</v>
      </c>
      <c r="AK12" s="118" t="s">
        <v>249</v>
      </c>
      <c r="AL12" s="125" t="s">
        <v>249</v>
      </c>
      <c r="AM12" s="115" t="s">
        <v>249</v>
      </c>
      <c r="AN12" s="115" t="s">
        <v>249</v>
      </c>
      <c r="AO12" s="125" t="s">
        <v>249</v>
      </c>
      <c r="AP12" s="115" t="s">
        <v>249</v>
      </c>
      <c r="AQ12" s="115" t="s">
        <v>249</v>
      </c>
      <c r="AR12" s="125" t="s">
        <v>249</v>
      </c>
      <c r="AS12" s="115" t="s">
        <v>249</v>
      </c>
      <c r="AT12" s="115" t="s">
        <v>249</v>
      </c>
      <c r="AU12" s="125" t="s">
        <v>249</v>
      </c>
      <c r="AV12" s="115" t="s">
        <v>249</v>
      </c>
      <c r="AW12" s="115" t="s">
        <v>249</v>
      </c>
      <c r="AX12" s="125" t="s">
        <v>249</v>
      </c>
      <c r="AY12" s="115" t="s">
        <v>249</v>
      </c>
      <c r="AZ12" s="115" t="s">
        <v>249</v>
      </c>
      <c r="BA12" s="125" t="s">
        <v>249</v>
      </c>
      <c r="BB12" s="115" t="s">
        <v>249</v>
      </c>
      <c r="BC12" s="115" t="s">
        <v>249</v>
      </c>
      <c r="BD12" s="125" t="s">
        <v>249</v>
      </c>
      <c r="BE12" s="115" t="s">
        <v>249</v>
      </c>
      <c r="BF12" s="115" t="s">
        <v>249</v>
      </c>
      <c r="BG12" s="125" t="s">
        <v>249</v>
      </c>
      <c r="BH12" s="115" t="s">
        <v>249</v>
      </c>
      <c r="BI12" s="115" t="s">
        <v>249</v>
      </c>
      <c r="BJ12" s="125" t="s">
        <v>249</v>
      </c>
      <c r="BK12" s="115" t="s">
        <v>249</v>
      </c>
      <c r="BL12" s="115" t="s">
        <v>249</v>
      </c>
      <c r="BM12" s="119" t="s">
        <v>249</v>
      </c>
      <c r="BN12" s="73" t="s">
        <v>249</v>
      </c>
      <c r="BO12" s="73" t="s">
        <v>249</v>
      </c>
      <c r="BP12" s="73" t="s">
        <v>249</v>
      </c>
      <c r="BQ12" s="73" t="s">
        <v>249</v>
      </c>
      <c r="BR12" s="73" t="s">
        <v>249</v>
      </c>
      <c r="BS12" s="73" t="s">
        <v>249</v>
      </c>
      <c r="BT12" s="115" t="s">
        <v>249</v>
      </c>
      <c r="BU12" s="115" t="s">
        <v>249</v>
      </c>
      <c r="BV12" s="118" t="s">
        <v>249</v>
      </c>
      <c r="BW12" s="119" t="s">
        <v>249</v>
      </c>
      <c r="BX12" s="118" t="s">
        <v>249</v>
      </c>
      <c r="BY12" s="115" t="s">
        <v>249</v>
      </c>
    </row>
    <row r="13" customFormat="false" ht="12.8" hidden="false" customHeight="false" outlineLevel="0" collapsed="false">
      <c r="Q13" s="115"/>
      <c r="R13" s="115"/>
      <c r="S13" s="115"/>
      <c r="T13" s="115"/>
      <c r="W13" s="118"/>
      <c r="Y13" s="118"/>
      <c r="Z13" s="118"/>
      <c r="AA13" s="118"/>
      <c r="AI13" s="118"/>
      <c r="BM13" s="119"/>
      <c r="BN13" s="73"/>
      <c r="BO13" s="73"/>
      <c r="BP13" s="73"/>
      <c r="BQ13" s="73"/>
      <c r="BR13" s="73"/>
      <c r="BS13" s="73"/>
      <c r="BT13" s="115"/>
      <c r="BU13" s="115"/>
    </row>
    <row r="14" customFormat="false" ht="15" hidden="false" customHeight="false" outlineLevel="0" collapsed="false">
      <c r="A14" s="70" t="s">
        <v>135</v>
      </c>
      <c r="B14" s="70" t="s">
        <v>136</v>
      </c>
      <c r="C14" s="70" t="s">
        <v>252</v>
      </c>
      <c r="D14" s="70" t="s">
        <v>253</v>
      </c>
      <c r="E14" s="70" t="s">
        <v>42</v>
      </c>
      <c r="F14" s="166" t="s">
        <v>267</v>
      </c>
      <c r="G14" s="131" t="s">
        <v>423</v>
      </c>
      <c r="H14" s="131" t="s">
        <v>299</v>
      </c>
      <c r="I14" s="131" t="s">
        <v>300</v>
      </c>
      <c r="J14" s="131" t="s">
        <v>301</v>
      </c>
      <c r="K14" s="131" t="s">
        <v>302</v>
      </c>
      <c r="L14" s="131" t="s">
        <v>303</v>
      </c>
      <c r="M14" s="131" t="s">
        <v>305</v>
      </c>
      <c r="N14" s="163" t="s">
        <v>625</v>
      </c>
      <c r="O14" s="131" t="s">
        <v>626</v>
      </c>
      <c r="P14" s="131" t="s">
        <v>627</v>
      </c>
      <c r="Q14" s="131" t="s">
        <v>628</v>
      </c>
      <c r="R14" s="131" t="s">
        <v>629</v>
      </c>
      <c r="S14" s="131" t="s">
        <v>630</v>
      </c>
      <c r="T14" s="131" t="s">
        <v>631</v>
      </c>
      <c r="U14" s="131" t="s">
        <v>632</v>
      </c>
      <c r="V14" s="131" t="s">
        <v>633</v>
      </c>
      <c r="W14" s="131" t="s">
        <v>634</v>
      </c>
      <c r="X14" s="131" t="s">
        <v>635</v>
      </c>
      <c r="Y14" s="131" t="s">
        <v>636</v>
      </c>
      <c r="Z14" s="131" t="s">
        <v>637</v>
      </c>
      <c r="AA14" s="131" t="s">
        <v>638</v>
      </c>
      <c r="AB14" s="131" t="s">
        <v>639</v>
      </c>
      <c r="AC14" s="131" t="s">
        <v>640</v>
      </c>
      <c r="AD14" s="131" t="s">
        <v>641</v>
      </c>
      <c r="AE14" s="131" t="s">
        <v>642</v>
      </c>
      <c r="AF14" s="131" t="s">
        <v>643</v>
      </c>
      <c r="AG14" s="131" t="s">
        <v>644</v>
      </c>
      <c r="AH14" s="131" t="s">
        <v>645</v>
      </c>
      <c r="AI14" s="131" t="s">
        <v>646</v>
      </c>
      <c r="AJ14" s="131" t="s">
        <v>647</v>
      </c>
      <c r="AK14" s="131" t="s">
        <v>648</v>
      </c>
      <c r="AL14" s="131" t="s">
        <v>649</v>
      </c>
      <c r="AM14" s="131" t="s">
        <v>650</v>
      </c>
      <c r="AN14" s="131" t="s">
        <v>651</v>
      </c>
      <c r="AO14" s="131" t="s">
        <v>652</v>
      </c>
      <c r="AP14" s="131" t="s">
        <v>653</v>
      </c>
      <c r="AQ14" s="131" t="s">
        <v>654</v>
      </c>
      <c r="AR14" s="131" t="s">
        <v>655</v>
      </c>
      <c r="AS14" s="131" t="s">
        <v>656</v>
      </c>
      <c r="AT14" s="131" t="s">
        <v>657</v>
      </c>
      <c r="AU14" s="131" t="s">
        <v>658</v>
      </c>
      <c r="AV14" s="131" t="s">
        <v>659</v>
      </c>
      <c r="AW14" s="131" t="s">
        <v>660</v>
      </c>
      <c r="AX14" s="131" t="s">
        <v>661</v>
      </c>
      <c r="AY14" s="131" t="s">
        <v>662</v>
      </c>
      <c r="AZ14" s="131" t="s">
        <v>663</v>
      </c>
      <c r="BA14" s="131" t="s">
        <v>664</v>
      </c>
      <c r="BB14" s="131" t="s">
        <v>665</v>
      </c>
      <c r="BC14" s="131" t="s">
        <v>666</v>
      </c>
      <c r="BD14" s="131" t="s">
        <v>667</v>
      </c>
      <c r="BE14" s="131" t="s">
        <v>668</v>
      </c>
      <c r="BF14" s="131" t="s">
        <v>669</v>
      </c>
      <c r="BG14" s="131" t="s">
        <v>670</v>
      </c>
      <c r="BH14" s="131" t="s">
        <v>671</v>
      </c>
      <c r="BI14" s="131" t="s">
        <v>672</v>
      </c>
      <c r="BJ14" s="131" t="s">
        <v>673</v>
      </c>
      <c r="BK14" s="131" t="s">
        <v>674</v>
      </c>
      <c r="BL14" s="131" t="s">
        <v>675</v>
      </c>
      <c r="BM14" s="131" t="s">
        <v>676</v>
      </c>
      <c r="BN14" s="131" t="s">
        <v>677</v>
      </c>
      <c r="BO14" s="131" t="s">
        <v>678</v>
      </c>
      <c r="BP14" s="131" t="s">
        <v>405</v>
      </c>
      <c r="BQ14" s="131" t="s">
        <v>420</v>
      </c>
      <c r="BR14" s="131" t="s">
        <v>486</v>
      </c>
      <c r="BS14" s="131" t="s">
        <v>543</v>
      </c>
      <c r="BT14" s="128" t="s">
        <v>679</v>
      </c>
      <c r="BU14" s="128" t="s">
        <v>680</v>
      </c>
      <c r="BV14" s="131" t="s">
        <v>681</v>
      </c>
      <c r="BW14" s="163" t="s">
        <v>682</v>
      </c>
      <c r="BX14" s="131" t="s">
        <v>683</v>
      </c>
      <c r="BY14" s="131" t="s">
        <v>684</v>
      </c>
    </row>
    <row r="15" customFormat="false" ht="15" hidden="false" customHeight="false" outlineLevel="0" collapsed="false">
      <c r="A15" s="0" t="s">
        <v>140</v>
      </c>
      <c r="B15" s="0" t="s">
        <v>141</v>
      </c>
      <c r="C15" s="0" t="s">
        <v>54</v>
      </c>
      <c r="D15" s="0" t="s">
        <v>56</v>
      </c>
      <c r="E15" s="69" t="str">
        <f aca="false">B15&amp;"|"&amp;C15&amp;"|"&amp;D15</f>
        <v>_Military Lesotho [#Military] [dDOqoFnD5Be]|01-04|Female</v>
      </c>
      <c r="F15" s="125" t="str">
        <f aca="false">_xlfn.IFNA(INDEX(Cascade!$Y:$Y,MATCH($E15,Cascade!$E:$E,0)),"")</f>
        <v/>
      </c>
      <c r="G15" s="73" t="str">
        <f aca="false">_xlfn.IFNA(INDEX(Cascade!$BD:$BD,MATCH($E15,Cascade!$E:$E,0)),"")</f>
        <v/>
      </c>
      <c r="H15" s="73" t="str">
        <f aca="false">_xlfn.IFNA(INDEX(Cascade!$BE:$BE,MATCH($E15,Cascade!$E:$E,0)),"")</f>
        <v/>
      </c>
      <c r="I15" s="73" t="str">
        <f aca="false">_xlfn.IFNA(INDEX(Cascade!$BF:$BF,MATCH($E15,Cascade!$E:$E,0)),"")</f>
        <v/>
      </c>
      <c r="J15" s="73" t="str">
        <f aca="false">_xlfn.IFNA(INDEX(Cascade!$BG:$BG,MATCH($E15,Cascade!$E:$E,0)),"")</f>
        <v/>
      </c>
      <c r="K15" s="73" t="str">
        <f aca="false">_xlfn.IFNA(INDEX(Cascade!$BH:$BH,MATCH($E15,Cascade!$E:$E,0)),"")</f>
        <v/>
      </c>
      <c r="L15" s="73" t="str">
        <f aca="false">_xlfn.IFNA(INDEX(Cascade!$BI:$BI,MATCH($E15,Cascade!$E:$E,0)),"")</f>
        <v/>
      </c>
      <c r="M15" s="73" t="str">
        <f aca="false">_xlfn.IFNA(INDEX(Cascade!$BK:$BK,MATCH($E15,Cascade!$E:$E,0)),"")</f>
        <v/>
      </c>
      <c r="N15" s="118"/>
      <c r="O15" s="118"/>
      <c r="P15" s="118"/>
      <c r="Q15" s="115" t="str">
        <f aca="false">IF(OR(SUM($H15)=0,SUM($N15)=0,SUM($O15)=0),"",ROUND($H15*$N15,0))</f>
        <v/>
      </c>
      <c r="R15" s="115" t="str">
        <f aca="false">IF(OR(SUM($Q15)=0,SUM($O15)=0),"",ROUND(SUM($Q15)/SUM($O15),0)-SUM($Q15))</f>
        <v/>
      </c>
      <c r="S15" s="115" t="str">
        <f aca="false">IF(SUM($H15)=0,"",SUM($H15)-SUM($Q15))</f>
        <v/>
      </c>
      <c r="T15" s="115" t="str">
        <f aca="false">IF(OR(SUM($S15)=0,$N15&gt;1,SUM($P15)&lt;=0),"",ROUND($S15/$P15,0)-$S15)</f>
        <v/>
      </c>
      <c r="U15" s="118" t="str">
        <f aca="false">IF(SUM($G15)&lt;=0,"",SUM($Q15,$S15)/$G15)</f>
        <v/>
      </c>
      <c r="V15" s="125" t="str">
        <f aca="false">IF(OR(SUM($Q15)=0,SUM($G15)=0),"",SUM($Q15)/SUM($G15))</f>
        <v/>
      </c>
      <c r="W15" s="118" t="str">
        <f aca="false">IF(OR(SUM($S15)=0,SUM($G15)=0),"",SUM($S15)/SUM($G15))</f>
        <v/>
      </c>
      <c r="X15" s="118" t="str">
        <f aca="false">IF(OR(SUM($G15)=0,SUM($I15)=0),"",SUM($I15)/SUM($G15))</f>
        <v/>
      </c>
      <c r="Y15" s="118" t="str">
        <f aca="false">IF(OR(SUM($G15)=0,SUM($J15)=0),"",SUM($J15)/SUM($G15))</f>
        <v/>
      </c>
      <c r="Z15" s="118" t="str">
        <f aca="false">IF(OR(SUM($G15)=0,SUM($K15)=0),"",SUM($K15)/SUM($G15))</f>
        <v/>
      </c>
      <c r="AA15" s="118" t="str">
        <f aca="false">IF(OR(SUM($G15)=0,SUM($L15)=0),"",SUM($L15)/SUM($G15))</f>
        <v/>
      </c>
      <c r="AB15" s="118"/>
      <c r="AC15" s="118"/>
      <c r="AD15" s="118"/>
      <c r="AE15" s="118"/>
      <c r="AF15" s="118"/>
      <c r="AG15" s="118"/>
      <c r="AH15" s="118"/>
      <c r="AI15" s="118"/>
      <c r="AJ15" s="118"/>
      <c r="AK15" s="118" t="str">
        <f aca="false">IF(SUM($G15)&lt;=0,"",SUM($V15:$AJ15))</f>
        <v/>
      </c>
      <c r="AL15" s="118"/>
      <c r="AM15" s="115" t="str">
        <f aca="false">IF(OR(SUM($AB15)&lt;=0,SUM($G15)&lt;=0),"",ROUND($G15*$AB15,0))</f>
        <v/>
      </c>
      <c r="AN15" s="115" t="str">
        <f aca="false">IF(SUM($AM15)&lt;=0,"",IF(SUM($AL15)&lt;=0,"ENTER VALID YIELD!",ROUND($AM15/$AL15,0)-$AM15))</f>
        <v/>
      </c>
      <c r="AO15" s="118"/>
      <c r="AP15" s="115" t="str">
        <f aca="false">IF(OR(SUM($AC15)&lt;=0,SUM($G15)&lt;=0),"",ROUND($G15*$AC15,0))</f>
        <v/>
      </c>
      <c r="AQ15" s="115" t="str">
        <f aca="false">IF(SUM($AP15)&lt;=0,"",IF(SUM($AO15)&lt;=0,"ENTER VALID YIELD!",ROUND($AP15/$AO15,0)-$AP15))</f>
        <v/>
      </c>
      <c r="AR15" s="118"/>
      <c r="AS15" s="115" t="str">
        <f aca="false">IF(OR(SUM($AD15)&lt;=0,SUM($G15)&lt;=0),"",ROUND($G15*$AD15,0))</f>
        <v/>
      </c>
      <c r="AT15" s="115" t="str">
        <f aca="false">IF(SUM($AS15)&lt;=0,"",IF(SUM($AR15)&lt;=0,"ENTER VALID YIELD!",ROUND($AS15/$AR15,0)-$AS15))</f>
        <v/>
      </c>
      <c r="AU15" s="118"/>
      <c r="AV15" s="115" t="str">
        <f aca="false">IF(OR(SUM($AE15)&lt;=0,SUM($G15)&lt;=0),"",ROUND($G15*$AE15,0))</f>
        <v/>
      </c>
      <c r="AW15" s="115" t="str">
        <f aca="false">IF(SUM($AV15)&lt;=0,"",IF(SUM($AU15)&lt;=0,"ENTER VALID YIELD!",ROUND($AV15/$AU15,0)-$AV15))</f>
        <v/>
      </c>
      <c r="AX15" s="118"/>
      <c r="AY15" s="115" t="str">
        <f aca="false">IF(OR(SUM($AF15)&lt;=0,SUM($G15)&lt;=0),"",ROUND($G15*$AF15,0))</f>
        <v/>
      </c>
      <c r="AZ15" s="115" t="str">
        <f aca="false">IF(SUM($AY15)&lt;=0,"",IF(SUM($AX15)&lt;=0,"ENTER VALID YIELD!",ROUND($AY15/$AX15,0)-$AY15))</f>
        <v/>
      </c>
      <c r="BA15" s="118"/>
      <c r="BB15" s="115" t="str">
        <f aca="false">IF(OR(SUM($AG15)&lt;=0,SUM($G15)&lt;=0),"",ROUND($G15*$AG15,0))</f>
        <v/>
      </c>
      <c r="BC15" s="115" t="str">
        <f aca="false">IF(SUM($BB15)&lt;=0,"",IF(SUM($BA15)&lt;=0,"ENTER VALID YIELD!",ROUND($BB15/$BA15,0)-$BB15))</f>
        <v/>
      </c>
      <c r="BD15" s="118"/>
      <c r="BE15" s="115" t="str">
        <f aca="false">IF(OR(SUM($AH15)&lt;=0,SUM($G15)&lt;=0),"",ROUND($G15*$AH15,0))</f>
        <v/>
      </c>
      <c r="BF15" s="115" t="str">
        <f aca="false">IF(SUM($BE15)&lt;=0,"",IF(SUM($BD15)&lt;=0,"ENTER VALID YIELD!",ROUND($BE15/$BD15,0)-$BE15))</f>
        <v/>
      </c>
      <c r="BG15" s="118"/>
      <c r="BH15" s="115" t="str">
        <f aca="false">IF(OR(SUM($AI15)&lt;=0,SUM($G15)&lt;=0),"",ROUND($G15*$AI15,0))</f>
        <v/>
      </c>
      <c r="BI15" s="115" t="str">
        <f aca="false">IF(SUM($BH15)&lt;=0,"",IF(SUM($BG15)&lt;=0,"ENTER VALID YIELD!",ROUND($BH15/$BG15,0)-$BH15))</f>
        <v/>
      </c>
      <c r="BJ15" s="118"/>
      <c r="BK15" s="115" t="str">
        <f aca="false">IF(OR(SUM($AJ15)&lt;=0,SUM($G15)&lt;=0),"",ROUND($G15*$AJ15,0))</f>
        <v/>
      </c>
      <c r="BL15" s="115" t="str">
        <f aca="false">IF(SUM($BK15)&lt;=0,"",IF(SUM($BJ15)&lt;=0,"ENTER VALID YIELD!",ROUND($BK15/$BJ15,0)-$BK15))</f>
        <v/>
      </c>
      <c r="BM15" s="119" t="str">
        <f aca="false">IF(SUM($G15)&lt;=0,"",$G15)</f>
        <v/>
      </c>
      <c r="BN15" s="73" t="str">
        <f aca="false">IF(SUM($G15)&lt;=0,"",SUM($I15:$L15,$Q15,$S15,$AM15,$AP15,$AS15,$AV15,$AY15,$BB15,$BE15,$BH15,$BK15))</f>
        <v/>
      </c>
      <c r="BO15" s="73" t="str">
        <f aca="false">IF(AND(SUM($BN15)&lt;=0,SUM($BM15)&lt;=0),"",SUM($BN15)-SUM($BM15))</f>
        <v/>
      </c>
      <c r="BP15" s="73" t="str">
        <f aca="false">_xlfn.IFNA(INDEX(PMTCT!$AF:$AF,MATCH($E15,PMTCT!$E:$E,0)),"")</f>
        <v/>
      </c>
      <c r="BQ15" s="73" t="str">
        <f aca="false">_xlfn.IFNA(INDEX(PMTCT!$AV:$AV,MATCH($E15,PMTCT!$E:$E,0)),"")</f>
        <v/>
      </c>
      <c r="BR15" s="73" t="str">
        <f aca="false">_xlfn.IFNA(INDEX(TB!$R:$R,MATCH($E15,TB!$E:$E,0)),"")</f>
        <v/>
      </c>
      <c r="BS15" s="73" t="str">
        <f aca="false">_xlfn.IFNA(INDEX(VMMC!$AD:$AD,MATCH($E15,VMMC!$E:$E,0)),"")</f>
        <v/>
      </c>
      <c r="BT15" s="115" t="str">
        <f aca="false">IF(SUM($R15,$T15,$AN15,$AQ15,$AT15,$AW15,$AZ15,$BC15,$BF15,$BI15,$BL15,$BP15:$BS15)=0,"",SUM($R15,$T15,$AN15,$AQ15,$AT15,$AW15,$AZ15,$BC15,$BF15,$BI15,$BL15,$BP15:$BS15))</f>
        <v/>
      </c>
      <c r="BU15" s="115" t="str">
        <f aca="false">IF(OR(SUM($BT15)=0,SUM($BN15)=0),"",SUM($BT15,$BN15))</f>
        <v/>
      </c>
      <c r="BV15" s="118" t="str">
        <f aca="false">IF(SUM($BU15)=0,"",SUM($BN15)/$BU15)</f>
        <v/>
      </c>
      <c r="BW15" s="73"/>
      <c r="BX15" s="118" t="str">
        <f aca="false">IF(OR($C15="01-04",$C15="05-09"),"",0%)</f>
        <v/>
      </c>
      <c r="BY15" s="115" t="str">
        <f aca="false">IF(OR($C15="01-04",$C15="05-09",SUM($BW15)=0),"",ROUND($BW15*(1+$BX15),0))</f>
        <v/>
      </c>
    </row>
    <row r="16" customFormat="false" ht="15" hidden="false" customHeight="false" outlineLevel="0" collapsed="false">
      <c r="A16" s="0" t="s">
        <v>140</v>
      </c>
      <c r="B16" s="0" t="s">
        <v>141</v>
      </c>
      <c r="C16" s="0" t="s">
        <v>54</v>
      </c>
      <c r="D16" s="0" t="s">
        <v>58</v>
      </c>
      <c r="E16" s="0" t="str">
        <f aca="false">B16&amp;"|"&amp;C16&amp;"|"&amp;D16</f>
        <v>_Military Lesotho [#Military] [dDOqoFnD5Be]|01-04|Male</v>
      </c>
      <c r="F16" s="118" t="str">
        <f aca="false">_xlfn.IFNA(INDEX(Cascade!$Y:$Y,MATCH($E16,Cascade!$E:$E,0)),"")</f>
        <v/>
      </c>
      <c r="G16" s="73" t="str">
        <f aca="false">_xlfn.IFNA(INDEX(Cascade!$BD:$BD,MATCH($E16,Cascade!$E:$E,0)),"")</f>
        <v/>
      </c>
      <c r="H16" s="73" t="str">
        <f aca="false">_xlfn.IFNA(INDEX(Cascade!$BE:$BE,MATCH($E16,Cascade!$E:$E,0)),"")</f>
        <v/>
      </c>
      <c r="I16" s="73" t="str">
        <f aca="false">_xlfn.IFNA(INDEX(Cascade!$BF:$BF,MATCH($E16,Cascade!$E:$E,0)),"")</f>
        <v/>
      </c>
      <c r="J16" s="73" t="str">
        <f aca="false">_xlfn.IFNA(INDEX(Cascade!$BG:$BG,MATCH($E16,Cascade!$E:$E,0)),"")</f>
        <v/>
      </c>
      <c r="K16" s="73" t="str">
        <f aca="false">_xlfn.IFNA(INDEX(Cascade!$BH:$BH,MATCH($E16,Cascade!$E:$E,0)),"")</f>
        <v/>
      </c>
      <c r="L16" s="73" t="str">
        <f aca="false">_xlfn.IFNA(INDEX(Cascade!$BI:$BI,MATCH($E16,Cascade!$E:$E,0)),"")</f>
        <v/>
      </c>
      <c r="M16" s="73" t="str">
        <f aca="false">_xlfn.IFNA(INDEX(Cascade!$BK:$BK,MATCH($E16,Cascade!$E:$E,0)),"")</f>
        <v/>
      </c>
      <c r="N16" s="118" t="n">
        <v>15</v>
      </c>
      <c r="O16" s="118"/>
      <c r="P16" s="118" t="n">
        <v>3</v>
      </c>
      <c r="Q16" s="75" t="str">
        <f aca="false">IF(OR(SUM($H16)=0,SUM($N16)=0,SUM($O16)=0),"",ROUND($H16*$N16,0))</f>
        <v/>
      </c>
      <c r="R16" s="75" t="str">
        <f aca="false">IF(OR(SUM($Q16)=0,SUM($O16)=0),"",ROUND(SUM($Q16)/SUM($O16),0)-SUM($Q16))</f>
        <v/>
      </c>
      <c r="S16" s="75" t="str">
        <f aca="false">IF(SUM($H16)=0,"",SUM($H16)-SUM($Q16))</f>
        <v/>
      </c>
      <c r="T16" s="75" t="str">
        <f aca="false">IF(OR(SUM($S16)=0,$N16&gt;1,SUM($P16)&lt;=0),"",ROUND($S16/$P16,0)-$S16)</f>
        <v/>
      </c>
      <c r="U16" s="118" t="str">
        <f aca="false">IF(SUM($G16)&lt;=0,"",SUM($Q16,$S16)/$G16)</f>
        <v/>
      </c>
      <c r="V16" s="118" t="str">
        <f aca="false">IF(OR(SUM($Q16)=0,SUM($G16)=0),"",SUM($Q16)/SUM($G16))</f>
        <v/>
      </c>
      <c r="W16" s="118" t="str">
        <f aca="false">IF(OR(SUM($S16)=0,SUM($G16)=0),"",SUM($S16)/SUM($G16))</f>
        <v/>
      </c>
      <c r="X16" s="118" t="str">
        <f aca="false">IF(OR(SUM($G16)=0,SUM($I16)=0),"",SUM($I16)/SUM($G16))</f>
        <v/>
      </c>
      <c r="Y16" s="118" t="str">
        <f aca="false">IF(OR(SUM($G16)=0,SUM($J16)=0),"",SUM($J16)/SUM($G16))</f>
        <v/>
      </c>
      <c r="Z16" s="118" t="str">
        <f aca="false">IF(OR(SUM($G16)=0,SUM($K16)=0),"",SUM($K16)/SUM($G16))</f>
        <v/>
      </c>
      <c r="AA16" s="118" t="str">
        <f aca="false">IF(OR(SUM($G16)=0,SUM($L16)=0),"",SUM($L16)/SUM($G16))</f>
        <v/>
      </c>
      <c r="AB16" s="118" t="n">
        <v>46</v>
      </c>
      <c r="AC16" s="118" t="n">
        <v>24</v>
      </c>
      <c r="AD16" s="118" t="n">
        <v>10</v>
      </c>
      <c r="AE16" s="118" t="n">
        <v>27</v>
      </c>
      <c r="AF16" s="118" t="n">
        <v>9</v>
      </c>
      <c r="AG16" s="118" t="n">
        <v>36</v>
      </c>
      <c r="AH16" s="118" t="n">
        <v>38</v>
      </c>
      <c r="AI16" s="118" t="n">
        <v>2</v>
      </c>
      <c r="AJ16" s="118" t="n">
        <v>11</v>
      </c>
      <c r="AK16" s="118" t="str">
        <f aca="false">IF(SUM($G16)&lt;=0,"",SUM($V16:$AJ16))</f>
        <v/>
      </c>
      <c r="AL16" s="118"/>
      <c r="AM16" s="75" t="str">
        <f aca="false">IF(OR(SUM($AB16)&lt;=0,SUM($G16)&lt;=0),"",ROUND($G16*$AB16,0))</f>
        <v/>
      </c>
      <c r="AN16" s="75" t="str">
        <f aca="false">IF(SUM($AM16)&lt;=0,"",IF(SUM($AL16)&lt;=0,"ENTER VALID YIELD!",ROUND($AM16/$AL16,0)-$AM16))</f>
        <v/>
      </c>
      <c r="AO16" s="118"/>
      <c r="AP16" s="75" t="str">
        <f aca="false">IF(OR(SUM($AC16)&lt;=0,SUM($G16)&lt;=0),"",ROUND($G16*$AC16,0))</f>
        <v/>
      </c>
      <c r="AQ16" s="75" t="str">
        <f aca="false">IF(SUM($AP16)&lt;=0,"",IF(SUM($AO16)&lt;=0,"ENTER VALID YIELD!",ROUND($AP16/$AO16,0)-$AP16))</f>
        <v/>
      </c>
      <c r="AR16" s="118"/>
      <c r="AS16" s="75" t="str">
        <f aca="false">IF(OR(SUM($AD16)&lt;=0,SUM($G16)&lt;=0),"",ROUND($G16*$AD16,0))</f>
        <v/>
      </c>
      <c r="AT16" s="75" t="str">
        <f aca="false">IF(SUM($AS16)&lt;=0,"",IF(SUM($AR16)&lt;=0,"ENTER VALID YIELD!",ROUND($AS16/$AR16,0)-$AS16))</f>
        <v/>
      </c>
      <c r="AU16" s="118"/>
      <c r="AV16" s="75" t="str">
        <f aca="false">IF(OR(SUM($AE16)&lt;=0,SUM($G16)&lt;=0),"",ROUND($G16*$AE16,0))</f>
        <v/>
      </c>
      <c r="AW16" s="75" t="str">
        <f aca="false">IF(SUM($AV16)&lt;=0,"",IF(SUM($AU16)&lt;=0,"ENTER VALID YIELD!",ROUND($AV16/$AU16,0)-$AV16))</f>
        <v/>
      </c>
      <c r="AX16" s="118"/>
      <c r="AY16" s="75" t="str">
        <f aca="false">IF(OR(SUM($AF16)&lt;=0,SUM($G16)&lt;=0),"",ROUND($G16*$AF16,0))</f>
        <v/>
      </c>
      <c r="AZ16" s="75" t="str">
        <f aca="false">IF(SUM($AY16)&lt;=0,"",IF(SUM($AX16)&lt;=0,"ENTER VALID YIELD!",ROUND($AY16/$AX16,0)-$AY16))</f>
        <v/>
      </c>
      <c r="BA16" s="118"/>
      <c r="BB16" s="75" t="str">
        <f aca="false">IF(OR(SUM($AG16)&lt;=0,SUM($G16)&lt;=0),"",ROUND($G16*$AG16,0))</f>
        <v/>
      </c>
      <c r="BC16" s="75" t="str">
        <f aca="false">IF(SUM($BB16)&lt;=0,"",IF(SUM($BA16)&lt;=0,"ENTER VALID YIELD!",ROUND($BB16/$BA16,0)-$BB16))</f>
        <v/>
      </c>
      <c r="BD16" s="118"/>
      <c r="BE16" s="75" t="str">
        <f aca="false">IF(OR(SUM($AH16)&lt;=0,SUM($G16)&lt;=0),"",ROUND($G16*$AH16,0))</f>
        <v/>
      </c>
      <c r="BF16" s="75" t="str">
        <f aca="false">IF(SUM($BE16)&lt;=0,"",IF(SUM($BD16)&lt;=0,"ENTER VALID YIELD!",ROUND($BE16/$BD16,0)-$BE16))</f>
        <v/>
      </c>
      <c r="BG16" s="118"/>
      <c r="BH16" s="75" t="str">
        <f aca="false">IF(OR(SUM($AI16)&lt;=0,SUM($G16)&lt;=0),"",ROUND($G16*$AI16,0))</f>
        <v/>
      </c>
      <c r="BI16" s="75" t="str">
        <f aca="false">IF(SUM($BH16)&lt;=0,"",IF(SUM($BG16)&lt;=0,"ENTER VALID YIELD!",ROUND($BH16/$BG16,0)-$BH16))</f>
        <v/>
      </c>
      <c r="BJ16" s="118"/>
      <c r="BK16" s="75" t="str">
        <f aca="false">IF(OR(SUM($AJ16)&lt;=0,SUM($G16)&lt;=0),"",ROUND($G16*$AJ16,0))</f>
        <v/>
      </c>
      <c r="BL16" s="75" t="str">
        <f aca="false">IF(SUM($BK16)&lt;=0,"",IF(SUM($BJ16)&lt;=0,"ENTER VALID YIELD!",ROUND($BK16/$BJ16,0)-$BK16))</f>
        <v/>
      </c>
      <c r="BM16" s="73" t="str">
        <f aca="false">IF(SUM($G16)&lt;=0,"",$G16)</f>
        <v/>
      </c>
      <c r="BN16" s="73" t="str">
        <f aca="false">IF(SUM($G16)&lt;=0,"",SUM($I16:$L16,$Q16,$S16,$AM16,$AP16,$AS16,$AV16,$AY16,$BB16,$BE16,$BH16,$BK16))</f>
        <v/>
      </c>
      <c r="BO16" s="73" t="str">
        <f aca="false">IF(AND(SUM($BN16)&lt;=0,SUM($BM16)&lt;=0),"",SUM($BN16)-SUM($BM16))</f>
        <v/>
      </c>
      <c r="BP16" s="73" t="str">
        <f aca="false">_xlfn.IFNA(INDEX(PMTCT!$AF:$AF,MATCH($E16,PMTCT!$E:$E,0)),"")</f>
        <v/>
      </c>
      <c r="BQ16" s="73" t="str">
        <f aca="false">_xlfn.IFNA(INDEX(PMTCT!$AV:$AV,MATCH($E16,PMTCT!$E:$E,0)),"")</f>
        <v/>
      </c>
      <c r="BR16" s="73" t="str">
        <f aca="false">_xlfn.IFNA(INDEX(TB!$R:$R,MATCH($E16,TB!$E:$E,0)),"")</f>
        <v/>
      </c>
      <c r="BS16" s="73" t="str">
        <f aca="false">_xlfn.IFNA(INDEX(VMMC!$AD:$AD,MATCH($E16,VMMC!$E:$E,0)),"")</f>
        <v/>
      </c>
      <c r="BT16" s="73" t="str">
        <f aca="false">IF(SUM($R16,$T16,$AN16,$AQ16,$AT16,$AW16,$AZ16,$BC16,$BF16,$BI16,$BL16,$BP16:$BS16)=0,"",SUM($R16,$T16,$AN16,$AQ16,$AT16,$AW16,$AZ16,$BC16,$BF16,$BI16,$BL16,$BP16:$BS16))</f>
        <v/>
      </c>
      <c r="BU16" s="73" t="str">
        <f aca="false">IF(OR(SUM($BT16)=0,SUM($BN16)=0),"",SUM($BT16,$BN16))</f>
        <v/>
      </c>
      <c r="BV16" s="118" t="str">
        <f aca="false">IF(SUM($BU16)=0,"",SUM($BN16)/$BU16)</f>
        <v/>
      </c>
      <c r="BW16" s="73"/>
      <c r="BX16" s="118" t="str">
        <f aca="false">IF(OR($C16="01-04",$C16="05-09"),"",0%)</f>
        <v/>
      </c>
      <c r="BY16" s="75" t="str">
        <f aca="false">IF(OR($C16="01-04",$C16="05-09",SUM($BW16)=0),"",ROUND($BW16*(1+$BX16),0))</f>
        <v/>
      </c>
    </row>
    <row r="17" customFormat="false" ht="15" hidden="false" customHeight="false" outlineLevel="0" collapsed="false">
      <c r="A17" s="0" t="s">
        <v>140</v>
      </c>
      <c r="B17" s="0" t="s">
        <v>141</v>
      </c>
      <c r="C17" s="0" t="s">
        <v>83</v>
      </c>
      <c r="D17" s="0" t="s">
        <v>56</v>
      </c>
      <c r="E17" s="0" t="str">
        <f aca="false">B17&amp;"|"&amp;C17&amp;"|"&amp;D17</f>
        <v>_Military Lesotho [#Military] [dDOqoFnD5Be]|05-09|Female</v>
      </c>
      <c r="F17" s="118" t="str">
        <f aca="false">_xlfn.IFNA(INDEX(Cascade!$Y:$Y,MATCH($E17,Cascade!$E:$E,0)),"")</f>
        <v/>
      </c>
      <c r="G17" s="73" t="str">
        <f aca="false">_xlfn.IFNA(INDEX(Cascade!$BD:$BD,MATCH($E17,Cascade!$E:$E,0)),"")</f>
        <v/>
      </c>
      <c r="H17" s="73" t="str">
        <f aca="false">_xlfn.IFNA(INDEX(Cascade!$BE:$BE,MATCH($E17,Cascade!$E:$E,0)),"")</f>
        <v/>
      </c>
      <c r="I17" s="73" t="str">
        <f aca="false">_xlfn.IFNA(INDEX(Cascade!$BF:$BF,MATCH($E17,Cascade!$E:$E,0)),"")</f>
        <v/>
      </c>
      <c r="J17" s="73" t="str">
        <f aca="false">_xlfn.IFNA(INDEX(Cascade!$BG:$BG,MATCH($E17,Cascade!$E:$E,0)),"")</f>
        <v/>
      </c>
      <c r="K17" s="73" t="str">
        <f aca="false">_xlfn.IFNA(INDEX(Cascade!$BH:$BH,MATCH($E17,Cascade!$E:$E,0)),"")</f>
        <v/>
      </c>
      <c r="L17" s="73" t="str">
        <f aca="false">_xlfn.IFNA(INDEX(Cascade!$BI:$BI,MATCH($E17,Cascade!$E:$E,0)),"")</f>
        <v/>
      </c>
      <c r="M17" s="73" t="str">
        <f aca="false">_xlfn.IFNA(INDEX(Cascade!$BK:$BK,MATCH($E17,Cascade!$E:$E,0)),"")</f>
        <v/>
      </c>
      <c r="N17" s="118"/>
      <c r="O17" s="118"/>
      <c r="P17" s="118"/>
      <c r="Q17" s="75" t="str">
        <f aca="false">IF(OR(SUM($H17)=0,SUM($N17)=0,SUM($O17)=0),"",ROUND($H17*$N17,0))</f>
        <v/>
      </c>
      <c r="R17" s="75" t="str">
        <f aca="false">IF(OR(SUM($Q17)=0,SUM($O17)=0),"",ROUND(SUM($Q17)/SUM($O17),0)-SUM($Q17))</f>
        <v/>
      </c>
      <c r="S17" s="75" t="str">
        <f aca="false">IF(SUM($H17)=0,"",SUM($H17)-SUM($Q17))</f>
        <v/>
      </c>
      <c r="T17" s="75" t="str">
        <f aca="false">IF(OR(SUM($S17)=0,$N17&gt;1,SUM($P17)&lt;=0),"",ROUND($S17/$P17,0)-$S17)</f>
        <v/>
      </c>
      <c r="U17" s="118" t="str">
        <f aca="false">IF(SUM($G17)&lt;=0,"",SUM($Q17,$S17)/$G17)</f>
        <v/>
      </c>
      <c r="V17" s="118" t="str">
        <f aca="false">IF(OR(SUM($Q17)=0,SUM($G17)=0),"",SUM($Q17)/SUM($G17))</f>
        <v/>
      </c>
      <c r="W17" s="118" t="str">
        <f aca="false">IF(OR(SUM($S17)=0,SUM($G17)=0),"",SUM($S17)/SUM($G17))</f>
        <v/>
      </c>
      <c r="X17" s="118" t="str">
        <f aca="false">IF(OR(SUM($G17)=0,SUM($I17)=0),"",SUM($I17)/SUM($G17))</f>
        <v/>
      </c>
      <c r="Y17" s="118" t="str">
        <f aca="false">IF(OR(SUM($G17)=0,SUM($J17)=0),"",SUM($J17)/SUM($G17))</f>
        <v/>
      </c>
      <c r="Z17" s="118" t="str">
        <f aca="false">IF(OR(SUM($G17)=0,SUM($K17)=0),"",SUM($K17)/SUM($G17))</f>
        <v/>
      </c>
      <c r="AA17" s="118" t="str">
        <f aca="false">IF(OR(SUM($G17)=0,SUM($L17)=0),"",SUM($L17)/SUM($G17))</f>
        <v/>
      </c>
      <c r="AB17" s="118"/>
      <c r="AC17" s="118"/>
      <c r="AD17" s="118"/>
      <c r="AE17" s="118"/>
      <c r="AF17" s="118"/>
      <c r="AG17" s="118"/>
      <c r="AH17" s="118"/>
      <c r="AI17" s="118"/>
      <c r="AJ17" s="118"/>
      <c r="AK17" s="118" t="str">
        <f aca="false">IF(SUM($G17)&lt;=0,"",SUM($V17:$AJ17))</f>
        <v/>
      </c>
      <c r="AL17" s="118"/>
      <c r="AM17" s="75" t="str">
        <f aca="false">IF(OR(SUM($AB17)&lt;=0,SUM($G17)&lt;=0),"",ROUND($G17*$AB17,0))</f>
        <v/>
      </c>
      <c r="AN17" s="75" t="str">
        <f aca="false">IF(SUM($AM17)&lt;=0,"",IF(SUM($AL17)&lt;=0,"ENTER VALID YIELD!",ROUND($AM17/$AL17,0)-$AM17))</f>
        <v/>
      </c>
      <c r="AO17" s="118"/>
      <c r="AP17" s="75" t="str">
        <f aca="false">IF(OR(SUM($AC17)&lt;=0,SUM($G17)&lt;=0),"",ROUND($G17*$AC17,0))</f>
        <v/>
      </c>
      <c r="AQ17" s="75" t="str">
        <f aca="false">IF(SUM($AP17)&lt;=0,"",IF(SUM($AO17)&lt;=0,"ENTER VALID YIELD!",ROUND($AP17/$AO17,0)-$AP17))</f>
        <v/>
      </c>
      <c r="AR17" s="118"/>
      <c r="AS17" s="75" t="str">
        <f aca="false">IF(OR(SUM($AD17)&lt;=0,SUM($G17)&lt;=0),"",ROUND($G17*$AD17,0))</f>
        <v/>
      </c>
      <c r="AT17" s="75" t="str">
        <f aca="false">IF(SUM($AS17)&lt;=0,"",IF(SUM($AR17)&lt;=0,"ENTER VALID YIELD!",ROUND($AS17/$AR17,0)-$AS17))</f>
        <v/>
      </c>
      <c r="AU17" s="118"/>
      <c r="AV17" s="75" t="str">
        <f aca="false">IF(OR(SUM($AE17)&lt;=0,SUM($G17)&lt;=0),"",ROUND($G17*$AE17,0))</f>
        <v/>
      </c>
      <c r="AW17" s="75" t="str">
        <f aca="false">IF(SUM($AV17)&lt;=0,"",IF(SUM($AU17)&lt;=0,"ENTER VALID YIELD!",ROUND($AV17/$AU17,0)-$AV17))</f>
        <v/>
      </c>
      <c r="AX17" s="118"/>
      <c r="AY17" s="75" t="str">
        <f aca="false">IF(OR(SUM($AF17)&lt;=0,SUM($G17)&lt;=0),"",ROUND($G17*$AF17,0))</f>
        <v/>
      </c>
      <c r="AZ17" s="75" t="str">
        <f aca="false">IF(SUM($AY17)&lt;=0,"",IF(SUM($AX17)&lt;=0,"ENTER VALID YIELD!",ROUND($AY17/$AX17,0)-$AY17))</f>
        <v/>
      </c>
      <c r="BA17" s="118"/>
      <c r="BB17" s="75" t="str">
        <f aca="false">IF(OR(SUM($AG17)&lt;=0,SUM($G17)&lt;=0),"",ROUND($G17*$AG17,0))</f>
        <v/>
      </c>
      <c r="BC17" s="75" t="str">
        <f aca="false">IF(SUM($BB17)&lt;=0,"",IF(SUM($BA17)&lt;=0,"ENTER VALID YIELD!",ROUND($BB17/$BA17,0)-$BB17))</f>
        <v/>
      </c>
      <c r="BD17" s="118"/>
      <c r="BE17" s="75" t="str">
        <f aca="false">IF(OR(SUM($AH17)&lt;=0,SUM($G17)&lt;=0),"",ROUND($G17*$AH17,0))</f>
        <v/>
      </c>
      <c r="BF17" s="75" t="str">
        <f aca="false">IF(SUM($BE17)&lt;=0,"",IF(SUM($BD17)&lt;=0,"ENTER VALID YIELD!",ROUND($BE17/$BD17,0)-$BE17))</f>
        <v/>
      </c>
      <c r="BG17" s="118"/>
      <c r="BH17" s="75" t="str">
        <f aca="false">IF(OR(SUM($AI17)&lt;=0,SUM($G17)&lt;=0),"",ROUND($G17*$AI17,0))</f>
        <v/>
      </c>
      <c r="BI17" s="75" t="str">
        <f aca="false">IF(SUM($BH17)&lt;=0,"",IF(SUM($BG17)&lt;=0,"ENTER VALID YIELD!",ROUND($BH17/$BG17,0)-$BH17))</f>
        <v/>
      </c>
      <c r="BJ17" s="118"/>
      <c r="BK17" s="75" t="str">
        <f aca="false">IF(OR(SUM($AJ17)&lt;=0,SUM($G17)&lt;=0),"",ROUND($G17*$AJ17,0))</f>
        <v/>
      </c>
      <c r="BL17" s="75" t="str">
        <f aca="false">IF(SUM($BK17)&lt;=0,"",IF(SUM($BJ17)&lt;=0,"ENTER VALID YIELD!",ROUND($BK17/$BJ17,0)-$BK17))</f>
        <v/>
      </c>
      <c r="BM17" s="73" t="str">
        <f aca="false">IF(SUM($G17)&lt;=0,"",$G17)</f>
        <v/>
      </c>
      <c r="BN17" s="73" t="str">
        <f aca="false">IF(SUM($G17)&lt;=0,"",SUM($I17:$L17,$Q17,$S17,$AM17,$AP17,$AS17,$AV17,$AY17,$BB17,$BE17,$BH17,$BK17))</f>
        <v/>
      </c>
      <c r="BO17" s="73" t="str">
        <f aca="false">IF(AND(SUM($BN17)&lt;=0,SUM($BM17)&lt;=0),"",SUM($BN17)-SUM($BM17))</f>
        <v/>
      </c>
      <c r="BP17" s="73" t="str">
        <f aca="false">_xlfn.IFNA(INDEX(PMTCT!$AF:$AF,MATCH($E17,PMTCT!$E:$E,0)),"")</f>
        <v/>
      </c>
      <c r="BQ17" s="73" t="str">
        <f aca="false">_xlfn.IFNA(INDEX(PMTCT!$AV:$AV,MATCH($E17,PMTCT!$E:$E,0)),"")</f>
        <v/>
      </c>
      <c r="BR17" s="73" t="str">
        <f aca="false">_xlfn.IFNA(INDEX(TB!$R:$R,MATCH($E17,TB!$E:$E,0)),"")</f>
        <v/>
      </c>
      <c r="BS17" s="73" t="str">
        <f aca="false">_xlfn.IFNA(INDEX(VMMC!$AD:$AD,MATCH($E17,VMMC!$E:$E,0)),"")</f>
        <v/>
      </c>
      <c r="BT17" s="73" t="str">
        <f aca="false">IF(SUM($R17,$T17,$AN17,$AQ17,$AT17,$AW17,$AZ17,$BC17,$BF17,$BI17,$BL17,$BP17:$BS17)=0,"",SUM($R17,$T17,$AN17,$AQ17,$AT17,$AW17,$AZ17,$BC17,$BF17,$BI17,$BL17,$BP17:$BS17))</f>
        <v/>
      </c>
      <c r="BU17" s="73" t="str">
        <f aca="false">IF(OR(SUM($BT17)=0,SUM($BN17)=0),"",SUM($BT17,$BN17))</f>
        <v/>
      </c>
      <c r="BV17" s="118" t="str">
        <f aca="false">IF(SUM($BU17)=0,"",SUM($BN17)/$BU17)</f>
        <v/>
      </c>
      <c r="BW17" s="73"/>
      <c r="BX17" s="118" t="str">
        <f aca="false">IF(OR($C17="01-04",$C17="05-09"),"",0%)</f>
        <v/>
      </c>
      <c r="BY17" s="75" t="str">
        <f aca="false">IF(OR($C17="01-04",$C17="05-09",SUM($BW17)=0),"",ROUND($BW17*(1+$BX17),0))</f>
        <v/>
      </c>
    </row>
    <row r="18" customFormat="false" ht="15" hidden="false" customHeight="false" outlineLevel="0" collapsed="false">
      <c r="A18" s="0" t="s">
        <v>140</v>
      </c>
      <c r="B18" s="0" t="s">
        <v>141</v>
      </c>
      <c r="C18" s="0" t="s">
        <v>83</v>
      </c>
      <c r="D18" s="0" t="s">
        <v>58</v>
      </c>
      <c r="E18" s="0" t="str">
        <f aca="false">B18&amp;"|"&amp;C18&amp;"|"&amp;D18</f>
        <v>_Military Lesotho [#Military] [dDOqoFnD5Be]|05-09|Male</v>
      </c>
      <c r="F18" s="118" t="str">
        <f aca="false">_xlfn.IFNA(INDEX(Cascade!$Y:$Y,MATCH($E18,Cascade!$E:$E,0)),"")</f>
        <v/>
      </c>
      <c r="G18" s="73" t="str">
        <f aca="false">_xlfn.IFNA(INDEX(Cascade!$BD:$BD,MATCH($E18,Cascade!$E:$E,0)),"")</f>
        <v/>
      </c>
      <c r="H18" s="73" t="str">
        <f aca="false">_xlfn.IFNA(INDEX(Cascade!$BE:$BE,MATCH($E18,Cascade!$E:$E,0)),"")</f>
        <v/>
      </c>
      <c r="I18" s="73" t="str">
        <f aca="false">_xlfn.IFNA(INDEX(Cascade!$BF:$BF,MATCH($E18,Cascade!$E:$E,0)),"")</f>
        <v/>
      </c>
      <c r="J18" s="73" t="str">
        <f aca="false">_xlfn.IFNA(INDEX(Cascade!$BG:$BG,MATCH($E18,Cascade!$E:$E,0)),"")</f>
        <v/>
      </c>
      <c r="K18" s="73" t="str">
        <f aca="false">_xlfn.IFNA(INDEX(Cascade!$BH:$BH,MATCH($E18,Cascade!$E:$E,0)),"")</f>
        <v/>
      </c>
      <c r="L18" s="73" t="str">
        <f aca="false">_xlfn.IFNA(INDEX(Cascade!$BI:$BI,MATCH($E18,Cascade!$E:$E,0)),"")</f>
        <v/>
      </c>
      <c r="M18" s="73" t="str">
        <f aca="false">_xlfn.IFNA(INDEX(Cascade!$BK:$BK,MATCH($E18,Cascade!$E:$E,0)),"")</f>
        <v/>
      </c>
      <c r="N18" s="118" t="n">
        <v>24</v>
      </c>
      <c r="O18" s="118"/>
      <c r="P18" s="118" t="n">
        <v>33</v>
      </c>
      <c r="Q18" s="75" t="str">
        <f aca="false">IF(OR(SUM($H18)=0,SUM($N18)=0,SUM($O18)=0),"",ROUND($H18*$N18,0))</f>
        <v/>
      </c>
      <c r="R18" s="75" t="str">
        <f aca="false">IF(OR(SUM($Q18)=0,SUM($O18)=0),"",ROUND(SUM($Q18)/SUM($O18),0)-SUM($Q18))</f>
        <v/>
      </c>
      <c r="S18" s="75" t="str">
        <f aca="false">IF(SUM($H18)=0,"",SUM($H18)-SUM($Q18))</f>
        <v/>
      </c>
      <c r="T18" s="75" t="str">
        <f aca="false">IF(OR(SUM($S18)=0,$N18&gt;1,SUM($P18)&lt;=0),"",ROUND($S18/$P18,0)-$S18)</f>
        <v/>
      </c>
      <c r="U18" s="118" t="str">
        <f aca="false">IF(SUM($G18)&lt;=0,"",SUM($Q18,$S18)/$G18)</f>
        <v/>
      </c>
      <c r="V18" s="118" t="str">
        <f aca="false">IF(OR(SUM($Q18)=0,SUM($G18)=0),"",SUM($Q18)/SUM($G18))</f>
        <v/>
      </c>
      <c r="W18" s="118" t="str">
        <f aca="false">IF(OR(SUM($S18)=0,SUM($G18)=0),"",SUM($S18)/SUM($G18))</f>
        <v/>
      </c>
      <c r="X18" s="118" t="str">
        <f aca="false">IF(OR(SUM($G18)=0,SUM($I18)=0),"",SUM($I18)/SUM($G18))</f>
        <v/>
      </c>
      <c r="Y18" s="118" t="str">
        <f aca="false">IF(OR(SUM($G18)=0,SUM($J18)=0),"",SUM($J18)/SUM($G18))</f>
        <v/>
      </c>
      <c r="Z18" s="118" t="str">
        <f aca="false">IF(OR(SUM($G18)=0,SUM($K18)=0),"",SUM($K18)/SUM($G18))</f>
        <v/>
      </c>
      <c r="AA18" s="118" t="str">
        <f aca="false">IF(OR(SUM($G18)=0,SUM($L18)=0),"",SUM($L18)/SUM($G18))</f>
        <v/>
      </c>
      <c r="AB18" s="118" t="n">
        <v>43</v>
      </c>
      <c r="AC18" s="118"/>
      <c r="AD18" s="118"/>
      <c r="AE18" s="118" t="n">
        <v>32</v>
      </c>
      <c r="AF18" s="118" t="n">
        <v>14</v>
      </c>
      <c r="AG18" s="118" t="n">
        <v>31</v>
      </c>
      <c r="AH18" s="118" t="n">
        <v>18</v>
      </c>
      <c r="AI18" s="118" t="n">
        <v>45</v>
      </c>
      <c r="AJ18" s="118" t="n">
        <v>49</v>
      </c>
      <c r="AK18" s="118" t="str">
        <f aca="false">IF(SUM($G18)&lt;=0,"",SUM($V18:$AJ18))</f>
        <v/>
      </c>
      <c r="AL18" s="118"/>
      <c r="AM18" s="75" t="str">
        <f aca="false">IF(OR(SUM($AB18)&lt;=0,SUM($G18)&lt;=0),"",ROUND($G18*$AB18,0))</f>
        <v/>
      </c>
      <c r="AN18" s="75" t="str">
        <f aca="false">IF(SUM($AM18)&lt;=0,"",IF(SUM($AL18)&lt;=0,"ENTER VALID YIELD!",ROUND($AM18/$AL18,0)-$AM18))</f>
        <v/>
      </c>
      <c r="AO18" s="118"/>
      <c r="AP18" s="75" t="str">
        <f aca="false">IF(OR(SUM($AC18)&lt;=0,SUM($G18)&lt;=0),"",ROUND($G18*$AC18,0))</f>
        <v/>
      </c>
      <c r="AQ18" s="75" t="str">
        <f aca="false">IF(SUM($AP18)&lt;=0,"",IF(SUM($AO18)&lt;=0,"ENTER VALID YIELD!",ROUND($AP18/$AO18,0)-$AP18))</f>
        <v/>
      </c>
      <c r="AR18" s="118"/>
      <c r="AS18" s="75" t="str">
        <f aca="false">IF(OR(SUM($AD18)&lt;=0,SUM($G18)&lt;=0),"",ROUND($G18*$AD18,0))</f>
        <v/>
      </c>
      <c r="AT18" s="75" t="str">
        <f aca="false">IF(SUM($AS18)&lt;=0,"",IF(SUM($AR18)&lt;=0,"ENTER VALID YIELD!",ROUND($AS18/$AR18,0)-$AS18))</f>
        <v/>
      </c>
      <c r="AU18" s="118"/>
      <c r="AV18" s="75" t="str">
        <f aca="false">IF(OR(SUM($AE18)&lt;=0,SUM($G18)&lt;=0),"",ROUND($G18*$AE18,0))</f>
        <v/>
      </c>
      <c r="AW18" s="75" t="str">
        <f aca="false">IF(SUM($AV18)&lt;=0,"",IF(SUM($AU18)&lt;=0,"ENTER VALID YIELD!",ROUND($AV18/$AU18,0)-$AV18))</f>
        <v/>
      </c>
      <c r="AX18" s="118"/>
      <c r="AY18" s="75" t="str">
        <f aca="false">IF(OR(SUM($AF18)&lt;=0,SUM($G18)&lt;=0),"",ROUND($G18*$AF18,0))</f>
        <v/>
      </c>
      <c r="AZ18" s="75" t="str">
        <f aca="false">IF(SUM($AY18)&lt;=0,"",IF(SUM($AX18)&lt;=0,"ENTER VALID YIELD!",ROUND($AY18/$AX18,0)-$AY18))</f>
        <v/>
      </c>
      <c r="BA18" s="118"/>
      <c r="BB18" s="75" t="str">
        <f aca="false">IF(OR(SUM($AG18)&lt;=0,SUM($G18)&lt;=0),"",ROUND($G18*$AG18,0))</f>
        <v/>
      </c>
      <c r="BC18" s="75" t="str">
        <f aca="false">IF(SUM($BB18)&lt;=0,"",IF(SUM($BA18)&lt;=0,"ENTER VALID YIELD!",ROUND($BB18/$BA18,0)-$BB18))</f>
        <v/>
      </c>
      <c r="BD18" s="118"/>
      <c r="BE18" s="75" t="str">
        <f aca="false">IF(OR(SUM($AH18)&lt;=0,SUM($G18)&lt;=0),"",ROUND($G18*$AH18,0))</f>
        <v/>
      </c>
      <c r="BF18" s="75" t="str">
        <f aca="false">IF(SUM($BE18)&lt;=0,"",IF(SUM($BD18)&lt;=0,"ENTER VALID YIELD!",ROUND($BE18/$BD18,0)-$BE18))</f>
        <v/>
      </c>
      <c r="BG18" s="118"/>
      <c r="BH18" s="75" t="str">
        <f aca="false">IF(OR(SUM($AI18)&lt;=0,SUM($G18)&lt;=0),"",ROUND($G18*$AI18,0))</f>
        <v/>
      </c>
      <c r="BI18" s="75" t="str">
        <f aca="false">IF(SUM($BH18)&lt;=0,"",IF(SUM($BG18)&lt;=0,"ENTER VALID YIELD!",ROUND($BH18/$BG18,0)-$BH18))</f>
        <v/>
      </c>
      <c r="BJ18" s="118"/>
      <c r="BK18" s="75" t="str">
        <f aca="false">IF(OR(SUM($AJ18)&lt;=0,SUM($G18)&lt;=0),"",ROUND($G18*$AJ18,0))</f>
        <v/>
      </c>
      <c r="BL18" s="75" t="str">
        <f aca="false">IF(SUM($BK18)&lt;=0,"",IF(SUM($BJ18)&lt;=0,"ENTER VALID YIELD!",ROUND($BK18/$BJ18,0)-$BK18))</f>
        <v/>
      </c>
      <c r="BM18" s="73" t="str">
        <f aca="false">IF(SUM($G18)&lt;=0,"",$G18)</f>
        <v/>
      </c>
      <c r="BN18" s="73" t="str">
        <f aca="false">IF(SUM($G18)&lt;=0,"",SUM($I18:$L18,$Q18,$S18,$AM18,$AP18,$AS18,$AV18,$AY18,$BB18,$BE18,$BH18,$BK18))</f>
        <v/>
      </c>
      <c r="BO18" s="73" t="str">
        <f aca="false">IF(AND(SUM($BN18)&lt;=0,SUM($BM18)&lt;=0),"",SUM($BN18)-SUM($BM18))</f>
        <v/>
      </c>
      <c r="BP18" s="73" t="str">
        <f aca="false">_xlfn.IFNA(INDEX(PMTCT!$AF:$AF,MATCH($E18,PMTCT!$E:$E,0)),"")</f>
        <v/>
      </c>
      <c r="BQ18" s="73" t="str">
        <f aca="false">_xlfn.IFNA(INDEX(PMTCT!$AV:$AV,MATCH($E18,PMTCT!$E:$E,0)),"")</f>
        <v/>
      </c>
      <c r="BR18" s="73" t="str">
        <f aca="false">_xlfn.IFNA(INDEX(TB!$R:$R,MATCH($E18,TB!$E:$E,0)),"")</f>
        <v/>
      </c>
      <c r="BS18" s="73" t="str">
        <f aca="false">_xlfn.IFNA(INDEX(VMMC!$AD:$AD,MATCH($E18,VMMC!$E:$E,0)),"")</f>
        <v/>
      </c>
      <c r="BT18" s="73" t="str">
        <f aca="false">IF(SUM($R18,$T18,$AN18,$AQ18,$AT18,$AW18,$AZ18,$BC18,$BF18,$BI18,$BL18,$BP18:$BS18)=0,"",SUM($R18,$T18,$AN18,$AQ18,$AT18,$AW18,$AZ18,$BC18,$BF18,$BI18,$BL18,$BP18:$BS18))</f>
        <v/>
      </c>
      <c r="BU18" s="73" t="str">
        <f aca="false">IF(OR(SUM($BT18)=0,SUM($BN18)=0),"",SUM($BT18,$BN18))</f>
        <v/>
      </c>
      <c r="BV18" s="118" t="str">
        <f aca="false">IF(SUM($BU18)=0,"",SUM($BN18)/$BU18)</f>
        <v/>
      </c>
      <c r="BW18" s="73"/>
      <c r="BX18" s="118" t="str">
        <f aca="false">IF(OR($C18="01-04",$C18="05-09"),"",0%)</f>
        <v/>
      </c>
      <c r="BY18" s="75" t="str">
        <f aca="false">IF(OR($C18="01-04",$C18="05-09",SUM($BW18)=0),"",ROUND($BW18*(1+$BX18),0))</f>
        <v/>
      </c>
    </row>
    <row r="19" customFormat="false" ht="15" hidden="false" customHeight="false" outlineLevel="0" collapsed="false">
      <c r="A19" s="0" t="s">
        <v>140</v>
      </c>
      <c r="B19" s="0" t="s">
        <v>141</v>
      </c>
      <c r="C19" s="0" t="s">
        <v>61</v>
      </c>
      <c r="D19" s="0" t="s">
        <v>56</v>
      </c>
      <c r="E19" s="0" t="str">
        <f aca="false">B19&amp;"|"&amp;C19&amp;"|"&amp;D19</f>
        <v>_Military Lesotho [#Military] [dDOqoFnD5Be]|10-14|Female</v>
      </c>
      <c r="F19" s="118" t="str">
        <f aca="false">_xlfn.IFNA(INDEX(Cascade!$Y:$Y,MATCH($E19,Cascade!$E:$E,0)),"")</f>
        <v/>
      </c>
      <c r="G19" s="73" t="str">
        <f aca="false">_xlfn.IFNA(INDEX(Cascade!$BD:$BD,MATCH($E19,Cascade!$E:$E,0)),"")</f>
        <v/>
      </c>
      <c r="H19" s="73" t="str">
        <f aca="false">_xlfn.IFNA(INDEX(Cascade!$BE:$BE,MATCH($E19,Cascade!$E:$E,0)),"")</f>
        <v/>
      </c>
      <c r="I19" s="73" t="str">
        <f aca="false">_xlfn.IFNA(INDEX(Cascade!$BF:$BF,MATCH($E19,Cascade!$E:$E,0)),"")</f>
        <v/>
      </c>
      <c r="J19" s="73" t="str">
        <f aca="false">_xlfn.IFNA(INDEX(Cascade!$BG:$BG,MATCH($E19,Cascade!$E:$E,0)),"")</f>
        <v/>
      </c>
      <c r="K19" s="73" t="str">
        <f aca="false">_xlfn.IFNA(INDEX(Cascade!$BH:$BH,MATCH($E19,Cascade!$E:$E,0)),"")</f>
        <v/>
      </c>
      <c r="L19" s="73" t="str">
        <f aca="false">_xlfn.IFNA(INDEX(Cascade!$BI:$BI,MATCH($E19,Cascade!$E:$E,0)),"")</f>
        <v/>
      </c>
      <c r="M19" s="73" t="str">
        <f aca="false">_xlfn.IFNA(INDEX(Cascade!$BK:$BK,MATCH($E19,Cascade!$E:$E,0)),"")</f>
        <v/>
      </c>
      <c r="N19" s="118"/>
      <c r="O19" s="118"/>
      <c r="P19" s="118"/>
      <c r="Q19" s="75" t="str">
        <f aca="false">IF(OR(SUM($H19)=0,SUM($N19)=0,SUM($O19)=0),"",ROUND($H19*$N19,0))</f>
        <v/>
      </c>
      <c r="R19" s="75" t="str">
        <f aca="false">IF(OR(SUM($Q19)=0,SUM($O19)=0),"",ROUND(SUM($Q19)/SUM($O19),0)-SUM($Q19))</f>
        <v/>
      </c>
      <c r="S19" s="75" t="str">
        <f aca="false">IF(SUM($H19)=0,"",SUM($H19)-SUM($Q19))</f>
        <v/>
      </c>
      <c r="T19" s="75" t="str">
        <f aca="false">IF(OR(SUM($S19)=0,$N19&gt;1,SUM($P19)&lt;=0),"",ROUND($S19/$P19,0)-$S19)</f>
        <v/>
      </c>
      <c r="U19" s="118" t="str">
        <f aca="false">IF(SUM($G19)&lt;=0,"",SUM($Q19,$S19)/$G19)</f>
        <v/>
      </c>
      <c r="V19" s="118" t="str">
        <f aca="false">IF(OR(SUM($Q19)=0,SUM($G19)=0),"",SUM($Q19)/SUM($G19))</f>
        <v/>
      </c>
      <c r="W19" s="118" t="str">
        <f aca="false">IF(OR(SUM($S19)=0,SUM($G19)=0),"",SUM($S19)/SUM($G19))</f>
        <v/>
      </c>
      <c r="X19" s="118" t="str">
        <f aca="false">IF(OR(SUM($G19)=0,SUM($I19)=0),"",SUM($I19)/SUM($G19))</f>
        <v/>
      </c>
      <c r="Y19" s="118" t="str">
        <f aca="false">IF(OR(SUM($G19)=0,SUM($J19)=0),"",SUM($J19)/SUM($G19))</f>
        <v/>
      </c>
      <c r="Z19" s="118" t="str">
        <f aca="false">IF(OR(SUM($G19)=0,SUM($K19)=0),"",SUM($K19)/SUM($G19))</f>
        <v/>
      </c>
      <c r="AA19" s="118" t="str">
        <f aca="false">IF(OR(SUM($G19)=0,SUM($L19)=0),"",SUM($L19)/SUM($G19))</f>
        <v/>
      </c>
      <c r="AB19" s="118"/>
      <c r="AC19" s="118"/>
      <c r="AD19" s="118"/>
      <c r="AE19" s="118"/>
      <c r="AF19" s="118"/>
      <c r="AG19" s="118"/>
      <c r="AH19" s="118"/>
      <c r="AI19" s="118"/>
      <c r="AJ19" s="118"/>
      <c r="AK19" s="118" t="str">
        <f aca="false">IF(SUM($G19)&lt;=0,"",SUM($V19:$AJ19))</f>
        <v/>
      </c>
      <c r="AL19" s="118"/>
      <c r="AM19" s="75" t="str">
        <f aca="false">IF(OR(SUM($AB19)&lt;=0,SUM($G19)&lt;=0),"",ROUND($G19*$AB19,0))</f>
        <v/>
      </c>
      <c r="AN19" s="75" t="str">
        <f aca="false">IF(SUM($AM19)&lt;=0,"",IF(SUM($AL19)&lt;=0,"ENTER VALID YIELD!",ROUND($AM19/$AL19,0)-$AM19))</f>
        <v/>
      </c>
      <c r="AO19" s="118"/>
      <c r="AP19" s="75" t="str">
        <f aca="false">IF(OR(SUM($AC19)&lt;=0,SUM($G19)&lt;=0),"",ROUND($G19*$AC19,0))</f>
        <v/>
      </c>
      <c r="AQ19" s="75" t="str">
        <f aca="false">IF(SUM($AP19)&lt;=0,"",IF(SUM($AO19)&lt;=0,"ENTER VALID YIELD!",ROUND($AP19/$AO19,0)-$AP19))</f>
        <v/>
      </c>
      <c r="AR19" s="118"/>
      <c r="AS19" s="75" t="str">
        <f aca="false">IF(OR(SUM($AD19)&lt;=0,SUM($G19)&lt;=0),"",ROUND($G19*$AD19,0))</f>
        <v/>
      </c>
      <c r="AT19" s="75" t="str">
        <f aca="false">IF(SUM($AS19)&lt;=0,"",IF(SUM($AR19)&lt;=0,"ENTER VALID YIELD!",ROUND($AS19/$AR19,0)-$AS19))</f>
        <v/>
      </c>
      <c r="AU19" s="118"/>
      <c r="AV19" s="75" t="str">
        <f aca="false">IF(OR(SUM($AE19)&lt;=0,SUM($G19)&lt;=0),"",ROUND($G19*$AE19,0))</f>
        <v/>
      </c>
      <c r="AW19" s="75" t="str">
        <f aca="false">IF(SUM($AV19)&lt;=0,"",IF(SUM($AU19)&lt;=0,"ENTER VALID YIELD!",ROUND($AV19/$AU19,0)-$AV19))</f>
        <v/>
      </c>
      <c r="AX19" s="118"/>
      <c r="AY19" s="75" t="str">
        <f aca="false">IF(OR(SUM($AF19)&lt;=0,SUM($G19)&lt;=0),"",ROUND($G19*$AF19,0))</f>
        <v/>
      </c>
      <c r="AZ19" s="75" t="str">
        <f aca="false">IF(SUM($AY19)&lt;=0,"",IF(SUM($AX19)&lt;=0,"ENTER VALID YIELD!",ROUND($AY19/$AX19,0)-$AY19))</f>
        <v/>
      </c>
      <c r="BA19" s="118"/>
      <c r="BB19" s="75" t="str">
        <f aca="false">IF(OR(SUM($AG19)&lt;=0,SUM($G19)&lt;=0),"",ROUND($G19*$AG19,0))</f>
        <v/>
      </c>
      <c r="BC19" s="75" t="str">
        <f aca="false">IF(SUM($BB19)&lt;=0,"",IF(SUM($BA19)&lt;=0,"ENTER VALID YIELD!",ROUND($BB19/$BA19,0)-$BB19))</f>
        <v/>
      </c>
      <c r="BD19" s="118"/>
      <c r="BE19" s="75" t="str">
        <f aca="false">IF(OR(SUM($AH19)&lt;=0,SUM($G19)&lt;=0),"",ROUND($G19*$AH19,0))</f>
        <v/>
      </c>
      <c r="BF19" s="75" t="str">
        <f aca="false">IF(SUM($BE19)&lt;=0,"",IF(SUM($BD19)&lt;=0,"ENTER VALID YIELD!",ROUND($BE19/$BD19,0)-$BE19))</f>
        <v/>
      </c>
      <c r="BG19" s="118"/>
      <c r="BH19" s="75" t="str">
        <f aca="false">IF(OR(SUM($AI19)&lt;=0,SUM($G19)&lt;=0),"",ROUND($G19*$AI19,0))</f>
        <v/>
      </c>
      <c r="BI19" s="75" t="str">
        <f aca="false">IF(SUM($BH19)&lt;=0,"",IF(SUM($BG19)&lt;=0,"ENTER VALID YIELD!",ROUND($BH19/$BG19,0)-$BH19))</f>
        <v/>
      </c>
      <c r="BJ19" s="118"/>
      <c r="BK19" s="75" t="str">
        <f aca="false">IF(OR(SUM($AJ19)&lt;=0,SUM($G19)&lt;=0),"",ROUND($G19*$AJ19,0))</f>
        <v/>
      </c>
      <c r="BL19" s="75" t="str">
        <f aca="false">IF(SUM($BK19)&lt;=0,"",IF(SUM($BJ19)&lt;=0,"ENTER VALID YIELD!",ROUND($BK19/$BJ19,0)-$BK19))</f>
        <v/>
      </c>
      <c r="BM19" s="73" t="str">
        <f aca="false">IF(SUM($G19)&lt;=0,"",$G19)</f>
        <v/>
      </c>
      <c r="BN19" s="73" t="str">
        <f aca="false">IF(SUM($G19)&lt;=0,"",SUM($I19:$L19,$Q19,$S19,$AM19,$AP19,$AS19,$AV19,$AY19,$BB19,$BE19,$BH19,$BK19))</f>
        <v/>
      </c>
      <c r="BO19" s="73" t="str">
        <f aca="false">IF(AND(SUM($BN19)&lt;=0,SUM($BM19)&lt;=0),"",SUM($BN19)-SUM($BM19))</f>
        <v/>
      </c>
      <c r="BP19" s="73" t="str">
        <f aca="false">_xlfn.IFNA(INDEX(PMTCT!$AF:$AF,MATCH($E19,PMTCT!$E:$E,0)),"")</f>
        <v/>
      </c>
      <c r="BQ19" s="73" t="str">
        <f aca="false">_xlfn.IFNA(INDEX(PMTCT!$AV:$AV,MATCH($E19,PMTCT!$E:$E,0)),"")</f>
        <v/>
      </c>
      <c r="BR19" s="73" t="str">
        <f aca="false">_xlfn.IFNA(INDEX(TB!$R:$R,MATCH($E19,TB!$E:$E,0)),"")</f>
        <v/>
      </c>
      <c r="BS19" s="73" t="str">
        <f aca="false">_xlfn.IFNA(INDEX(VMMC!$AD:$AD,MATCH($E19,VMMC!$E:$E,0)),"")</f>
        <v/>
      </c>
      <c r="BT19" s="73" t="str">
        <f aca="false">IF(SUM($R19,$T19,$AN19,$AQ19,$AT19,$AW19,$AZ19,$BC19,$BF19,$BI19,$BL19,$BP19:$BS19)=0,"",SUM($R19,$T19,$AN19,$AQ19,$AT19,$AW19,$AZ19,$BC19,$BF19,$BI19,$BL19,$BP19:$BS19))</f>
        <v/>
      </c>
      <c r="BU19" s="73" t="str">
        <f aca="false">IF(OR(SUM($BT19)=0,SUM($BN19)=0),"",SUM($BT19,$BN19))</f>
        <v/>
      </c>
      <c r="BV19" s="118" t="str">
        <f aca="false">IF(SUM($BU19)=0,"",SUM($BN19)/$BU19)</f>
        <v/>
      </c>
      <c r="BW19" s="73" t="n">
        <v>19</v>
      </c>
      <c r="BX19" s="118" t="n">
        <f aca="false">IF(OR($C19="01-04",$C19="05-09"),"",0%)</f>
        <v>0</v>
      </c>
      <c r="BY19" s="75" t="n">
        <f aca="false">IF(OR($C19="01-04",$C19="05-09",SUM($BW19)=0),"",ROUND($BW19*(1+$BX19),0))</f>
        <v>19</v>
      </c>
    </row>
    <row r="20" customFormat="false" ht="15" hidden="false" customHeight="false" outlineLevel="0" collapsed="false">
      <c r="A20" s="0" t="s">
        <v>140</v>
      </c>
      <c r="B20" s="0" t="s">
        <v>141</v>
      </c>
      <c r="C20" s="0" t="s">
        <v>61</v>
      </c>
      <c r="D20" s="0" t="s">
        <v>58</v>
      </c>
      <c r="E20" s="0" t="str">
        <f aca="false">B20&amp;"|"&amp;C20&amp;"|"&amp;D20</f>
        <v>_Military Lesotho [#Military] [dDOqoFnD5Be]|10-14|Male</v>
      </c>
      <c r="F20" s="118" t="str">
        <f aca="false">_xlfn.IFNA(INDEX(Cascade!$Y:$Y,MATCH($E20,Cascade!$E:$E,0)),"")</f>
        <v/>
      </c>
      <c r="G20" s="73" t="str">
        <f aca="false">_xlfn.IFNA(INDEX(Cascade!$BD:$BD,MATCH($E20,Cascade!$E:$E,0)),"")</f>
        <v/>
      </c>
      <c r="H20" s="73" t="str">
        <f aca="false">_xlfn.IFNA(INDEX(Cascade!$BE:$BE,MATCH($E20,Cascade!$E:$E,0)),"")</f>
        <v/>
      </c>
      <c r="I20" s="73" t="str">
        <f aca="false">_xlfn.IFNA(INDEX(Cascade!$BF:$BF,MATCH($E20,Cascade!$E:$E,0)),"")</f>
        <v/>
      </c>
      <c r="J20" s="73" t="str">
        <f aca="false">_xlfn.IFNA(INDEX(Cascade!$BG:$BG,MATCH($E20,Cascade!$E:$E,0)),"")</f>
        <v/>
      </c>
      <c r="K20" s="73" t="str">
        <f aca="false">_xlfn.IFNA(INDEX(Cascade!$BH:$BH,MATCH($E20,Cascade!$E:$E,0)),"")</f>
        <v/>
      </c>
      <c r="L20" s="73" t="str">
        <f aca="false">_xlfn.IFNA(INDEX(Cascade!$BI:$BI,MATCH($E20,Cascade!$E:$E,0)),"")</f>
        <v/>
      </c>
      <c r="M20" s="73" t="str">
        <f aca="false">_xlfn.IFNA(INDEX(Cascade!$BK:$BK,MATCH($E20,Cascade!$E:$E,0)),"")</f>
        <v/>
      </c>
      <c r="N20" s="118"/>
      <c r="O20" s="118"/>
      <c r="P20" s="118"/>
      <c r="Q20" s="75" t="str">
        <f aca="false">IF(OR(SUM($H20)=0,SUM($N20)=0,SUM($O20)=0),"",ROUND($H20*$N20,0))</f>
        <v/>
      </c>
      <c r="R20" s="75" t="str">
        <f aca="false">IF(OR(SUM($Q20)=0,SUM($O20)=0),"",ROUND(SUM($Q20)/SUM($O20),0)-SUM($Q20))</f>
        <v/>
      </c>
      <c r="S20" s="75" t="str">
        <f aca="false">IF(SUM($H20)=0,"",SUM($H20)-SUM($Q20))</f>
        <v/>
      </c>
      <c r="T20" s="75" t="str">
        <f aca="false">IF(OR(SUM($S20)=0,$N20&gt;1,SUM($P20)&lt;=0),"",ROUND($S20/$P20,0)-$S20)</f>
        <v/>
      </c>
      <c r="U20" s="118" t="str">
        <f aca="false">IF(SUM($G20)&lt;=0,"",SUM($Q20,$S20)/$G20)</f>
        <v/>
      </c>
      <c r="V20" s="118" t="str">
        <f aca="false">IF(OR(SUM($Q20)=0,SUM($G20)=0),"",SUM($Q20)/SUM($G20))</f>
        <v/>
      </c>
      <c r="W20" s="118" t="str">
        <f aca="false">IF(OR(SUM($S20)=0,SUM($G20)=0),"",SUM($S20)/SUM($G20))</f>
        <v/>
      </c>
      <c r="X20" s="118" t="str">
        <f aca="false">IF(OR(SUM($G20)=0,SUM($I20)=0),"",SUM($I20)/SUM($G20))</f>
        <v/>
      </c>
      <c r="Y20" s="118" t="str">
        <f aca="false">IF(OR(SUM($G20)=0,SUM($J20)=0),"",SUM($J20)/SUM($G20))</f>
        <v/>
      </c>
      <c r="Z20" s="118" t="str">
        <f aca="false">IF(OR(SUM($G20)=0,SUM($K20)=0),"",SUM($K20)/SUM($G20))</f>
        <v/>
      </c>
      <c r="AA20" s="118" t="str">
        <f aca="false">IF(OR(SUM($G20)=0,SUM($L20)=0),"",SUM($L20)/SUM($G20))</f>
        <v/>
      </c>
      <c r="AB20" s="118"/>
      <c r="AC20" s="118"/>
      <c r="AD20" s="118"/>
      <c r="AE20" s="118"/>
      <c r="AF20" s="118"/>
      <c r="AG20" s="118"/>
      <c r="AH20" s="118"/>
      <c r="AI20" s="118"/>
      <c r="AJ20" s="118"/>
      <c r="AK20" s="118" t="str">
        <f aca="false">IF(SUM($G20)&lt;=0,"",SUM($V20:$AJ20))</f>
        <v/>
      </c>
      <c r="AL20" s="118"/>
      <c r="AM20" s="75" t="str">
        <f aca="false">IF(OR(SUM($AB20)&lt;=0,SUM($G20)&lt;=0),"",ROUND($G20*$AB20,0))</f>
        <v/>
      </c>
      <c r="AN20" s="75" t="str">
        <f aca="false">IF(SUM($AM20)&lt;=0,"",IF(SUM($AL20)&lt;=0,"ENTER VALID YIELD!",ROUND($AM20/$AL20,0)-$AM20))</f>
        <v/>
      </c>
      <c r="AO20" s="118"/>
      <c r="AP20" s="75" t="str">
        <f aca="false">IF(OR(SUM($AC20)&lt;=0,SUM($G20)&lt;=0),"",ROUND($G20*$AC20,0))</f>
        <v/>
      </c>
      <c r="AQ20" s="75" t="str">
        <f aca="false">IF(SUM($AP20)&lt;=0,"",IF(SUM($AO20)&lt;=0,"ENTER VALID YIELD!",ROUND($AP20/$AO20,0)-$AP20))</f>
        <v/>
      </c>
      <c r="AR20" s="118"/>
      <c r="AS20" s="75" t="str">
        <f aca="false">IF(OR(SUM($AD20)&lt;=0,SUM($G20)&lt;=0),"",ROUND($G20*$AD20,0))</f>
        <v/>
      </c>
      <c r="AT20" s="75" t="str">
        <f aca="false">IF(SUM($AS20)&lt;=0,"",IF(SUM($AR20)&lt;=0,"ENTER VALID YIELD!",ROUND($AS20/$AR20,0)-$AS20))</f>
        <v/>
      </c>
      <c r="AU20" s="118"/>
      <c r="AV20" s="75" t="str">
        <f aca="false">IF(OR(SUM($AE20)&lt;=0,SUM($G20)&lt;=0),"",ROUND($G20*$AE20,0))</f>
        <v/>
      </c>
      <c r="AW20" s="75" t="str">
        <f aca="false">IF(SUM($AV20)&lt;=0,"",IF(SUM($AU20)&lt;=0,"ENTER VALID YIELD!",ROUND($AV20/$AU20,0)-$AV20))</f>
        <v/>
      </c>
      <c r="AX20" s="118"/>
      <c r="AY20" s="75" t="str">
        <f aca="false">IF(OR(SUM($AF20)&lt;=0,SUM($G20)&lt;=0),"",ROUND($G20*$AF20,0))</f>
        <v/>
      </c>
      <c r="AZ20" s="75" t="str">
        <f aca="false">IF(SUM($AY20)&lt;=0,"",IF(SUM($AX20)&lt;=0,"ENTER VALID YIELD!",ROUND($AY20/$AX20,0)-$AY20))</f>
        <v/>
      </c>
      <c r="BA20" s="118"/>
      <c r="BB20" s="75" t="str">
        <f aca="false">IF(OR(SUM($AG20)&lt;=0,SUM($G20)&lt;=0),"",ROUND($G20*$AG20,0))</f>
        <v/>
      </c>
      <c r="BC20" s="75" t="str">
        <f aca="false">IF(SUM($BB20)&lt;=0,"",IF(SUM($BA20)&lt;=0,"ENTER VALID YIELD!",ROUND($BB20/$BA20,0)-$BB20))</f>
        <v/>
      </c>
      <c r="BD20" s="118"/>
      <c r="BE20" s="75" t="str">
        <f aca="false">IF(OR(SUM($AH20)&lt;=0,SUM($G20)&lt;=0),"",ROUND($G20*$AH20,0))</f>
        <v/>
      </c>
      <c r="BF20" s="75" t="str">
        <f aca="false">IF(SUM($BE20)&lt;=0,"",IF(SUM($BD20)&lt;=0,"ENTER VALID YIELD!",ROUND($BE20/$BD20,0)-$BE20))</f>
        <v/>
      </c>
      <c r="BG20" s="118"/>
      <c r="BH20" s="75" t="str">
        <f aca="false">IF(OR(SUM($AI20)&lt;=0,SUM($G20)&lt;=0),"",ROUND($G20*$AI20,0))</f>
        <v/>
      </c>
      <c r="BI20" s="75" t="str">
        <f aca="false">IF(SUM($BH20)&lt;=0,"",IF(SUM($BG20)&lt;=0,"ENTER VALID YIELD!",ROUND($BH20/$BG20,0)-$BH20))</f>
        <v/>
      </c>
      <c r="BJ20" s="118"/>
      <c r="BK20" s="75" t="str">
        <f aca="false">IF(OR(SUM($AJ20)&lt;=0,SUM($G20)&lt;=0),"",ROUND($G20*$AJ20,0))</f>
        <v/>
      </c>
      <c r="BL20" s="75" t="str">
        <f aca="false">IF(SUM($BK20)&lt;=0,"",IF(SUM($BJ20)&lt;=0,"ENTER VALID YIELD!",ROUND($BK20/$BJ20,0)-$BK20))</f>
        <v/>
      </c>
      <c r="BM20" s="73" t="str">
        <f aca="false">IF(SUM($G20)&lt;=0,"",$G20)</f>
        <v/>
      </c>
      <c r="BN20" s="73" t="str">
        <f aca="false">IF(SUM($G20)&lt;=0,"",SUM($I20:$L20,$Q20,$S20,$AM20,$AP20,$AS20,$AV20,$AY20,$BB20,$BE20,$BH20,$BK20))</f>
        <v/>
      </c>
      <c r="BO20" s="73" t="str">
        <f aca="false">IF(AND(SUM($BN20)&lt;=0,SUM($BM20)&lt;=0),"",SUM($BN20)-SUM($BM20))</f>
        <v/>
      </c>
      <c r="BP20" s="73" t="str">
        <f aca="false">_xlfn.IFNA(INDEX(PMTCT!$AF:$AF,MATCH($E20,PMTCT!$E:$E,0)),"")</f>
        <v/>
      </c>
      <c r="BQ20" s="73" t="str">
        <f aca="false">_xlfn.IFNA(INDEX(PMTCT!$AV:$AV,MATCH($E20,PMTCT!$E:$E,0)),"")</f>
        <v/>
      </c>
      <c r="BR20" s="73" t="str">
        <f aca="false">_xlfn.IFNA(INDEX(TB!$R:$R,MATCH($E20,TB!$E:$E,0)),"")</f>
        <v/>
      </c>
      <c r="BS20" s="73" t="str">
        <f aca="false">_xlfn.IFNA(INDEX(VMMC!$AD:$AD,MATCH($E20,VMMC!$E:$E,0)),"")</f>
        <v/>
      </c>
      <c r="BT20" s="73" t="str">
        <f aca="false">IF(SUM($R20,$T20,$AN20,$AQ20,$AT20,$AW20,$AZ20,$BC20,$BF20,$BI20,$BL20,$BP20:$BS20)=0,"",SUM($R20,$T20,$AN20,$AQ20,$AT20,$AW20,$AZ20,$BC20,$BF20,$BI20,$BL20,$BP20:$BS20))</f>
        <v/>
      </c>
      <c r="BU20" s="73" t="str">
        <f aca="false">IF(OR(SUM($BT20)=0,SUM($BN20)=0),"",SUM($BT20,$BN20))</f>
        <v/>
      </c>
      <c r="BV20" s="118" t="str">
        <f aca="false">IF(SUM($BU20)=0,"",SUM($BN20)/$BU20)</f>
        <v/>
      </c>
      <c r="BW20" s="73" t="n">
        <v>15</v>
      </c>
      <c r="BX20" s="118" t="n">
        <f aca="false">IF(OR($C20="01-04",$C20="05-09"),"",0%)</f>
        <v>0</v>
      </c>
      <c r="BY20" s="75" t="n">
        <f aca="false">IF(OR($C20="01-04",$C20="05-09",SUM($BW20)=0),"",ROUND($BW20*(1+$BX20),0))</f>
        <v>15</v>
      </c>
    </row>
    <row r="21" customFormat="false" ht="15" hidden="false" customHeight="false" outlineLevel="0" collapsed="false">
      <c r="A21" s="0" t="s">
        <v>140</v>
      </c>
      <c r="B21" s="0" t="s">
        <v>141</v>
      </c>
      <c r="C21" s="0" t="s">
        <v>63</v>
      </c>
      <c r="D21" s="0" t="s">
        <v>56</v>
      </c>
      <c r="E21" s="0" t="str">
        <f aca="false">B21&amp;"|"&amp;C21&amp;"|"&amp;D21</f>
        <v>_Military Lesotho [#Military] [dDOqoFnD5Be]|15-19|Female</v>
      </c>
      <c r="F21" s="118" t="str">
        <f aca="false">_xlfn.IFNA(INDEX(Cascade!$Y:$Y,MATCH($E21,Cascade!$E:$E,0)),"")</f>
        <v/>
      </c>
      <c r="G21" s="73" t="n">
        <f aca="false">_xlfn.IFNA(INDEX(Cascade!$BD:$BD,MATCH($E21,Cascade!$E:$E,0)),"")</f>
        <v>1</v>
      </c>
      <c r="H21" s="73" t="n">
        <f aca="false">_xlfn.IFNA(INDEX(Cascade!$BE:$BE,MATCH($E21,Cascade!$E:$E,0)),"")</f>
        <v>0</v>
      </c>
      <c r="I21" s="73" t="str">
        <f aca="false">_xlfn.IFNA(INDEX(Cascade!$BF:$BF,MATCH($E21,Cascade!$E:$E,0)),"")</f>
        <v/>
      </c>
      <c r="J21" s="73" t="str">
        <f aca="false">_xlfn.IFNA(INDEX(Cascade!$BG:$BG,MATCH($E21,Cascade!$E:$E,0)),"")</f>
        <v/>
      </c>
      <c r="K21" s="73" t="str">
        <f aca="false">_xlfn.IFNA(INDEX(Cascade!$BH:$BH,MATCH($E21,Cascade!$E:$E,0)),"")</f>
        <v/>
      </c>
      <c r="L21" s="73" t="str">
        <f aca="false">_xlfn.IFNA(INDEX(Cascade!$BI:$BI,MATCH($E21,Cascade!$E:$E,0)),"")</f>
        <v/>
      </c>
      <c r="M21" s="73" t="n">
        <f aca="false">_xlfn.IFNA(INDEX(Cascade!$BK:$BK,MATCH($E21,Cascade!$E:$E,0)),"")</f>
        <v>1</v>
      </c>
      <c r="N21" s="118"/>
      <c r="O21" s="118"/>
      <c r="P21" s="118"/>
      <c r="Q21" s="75" t="str">
        <f aca="false">IF(OR(SUM($H21)=0,SUM($N21)=0,SUM($O21)=0),"",ROUND($H21*$N21,0))</f>
        <v/>
      </c>
      <c r="R21" s="75" t="str">
        <f aca="false">IF(OR(SUM($Q21)=0,SUM($O21)=0),"",ROUND(SUM($Q21)/SUM($O21),0)-SUM($Q21))</f>
        <v/>
      </c>
      <c r="S21" s="75" t="str">
        <f aca="false">IF(SUM($H21)=0,"",SUM($H21)-SUM($Q21))</f>
        <v/>
      </c>
      <c r="T21" s="75" t="str">
        <f aca="false">IF(OR(SUM($S21)=0,$N21&gt;1,SUM($P21)&lt;=0),"",ROUND($S21/$P21,0)-$S21)</f>
        <v/>
      </c>
      <c r="U21" s="118" t="n">
        <f aca="false">IF(SUM($G21)&lt;=0,"",SUM($Q21,$S21)/$G21)</f>
        <v>0</v>
      </c>
      <c r="V21" s="118" t="str">
        <f aca="false">IF(OR(SUM($Q21)=0,SUM($G21)=0),"",SUM($Q21)/SUM($G21))</f>
        <v/>
      </c>
      <c r="W21" s="118" t="str">
        <f aca="false">IF(OR(SUM($S21)=0,SUM($G21)=0),"",SUM($S21)/SUM($G21))</f>
        <v/>
      </c>
      <c r="X21" s="118" t="str">
        <f aca="false">IF(OR(SUM($G21)=0,SUM($I21)=0),"",SUM($I21)/SUM($G21))</f>
        <v/>
      </c>
      <c r="Y21" s="118" t="str">
        <f aca="false">IF(OR(SUM($G21)=0,SUM($J21)=0),"",SUM($J21)/SUM($G21))</f>
        <v/>
      </c>
      <c r="Z21" s="118" t="str">
        <f aca="false">IF(OR(SUM($G21)=0,SUM($K21)=0),"",SUM($K21)/SUM($G21))</f>
        <v/>
      </c>
      <c r="AA21" s="118" t="str">
        <f aca="false">IF(OR(SUM($G21)=0,SUM($L21)=0),"",SUM($L21)/SUM($G21))</f>
        <v/>
      </c>
      <c r="AB21" s="118"/>
      <c r="AC21" s="118"/>
      <c r="AD21" s="118"/>
      <c r="AE21" s="118"/>
      <c r="AF21" s="118"/>
      <c r="AG21" s="118"/>
      <c r="AH21" s="118"/>
      <c r="AI21" s="118"/>
      <c r="AJ21" s="118"/>
      <c r="AK21" s="118" t="n">
        <f aca="false">IF(SUM($G21)&lt;=0,"",SUM($V21:$AJ21))</f>
        <v>0</v>
      </c>
      <c r="AL21" s="118"/>
      <c r="AM21" s="75" t="str">
        <f aca="false">IF(OR(SUM($AB21)&lt;=0,SUM($G21)&lt;=0),"",ROUND($G21*$AB21,0))</f>
        <v/>
      </c>
      <c r="AN21" s="75" t="str">
        <f aca="false">IF(SUM($AM21)&lt;=0,"",IF(SUM($AL21)&lt;=0,"ENTER VALID YIELD!",ROUND($AM21/$AL21,0)-$AM21))</f>
        <v/>
      </c>
      <c r="AO21" s="118"/>
      <c r="AP21" s="75" t="str">
        <f aca="false">IF(OR(SUM($AC21)&lt;=0,SUM($G21)&lt;=0),"",ROUND($G21*$AC21,0))</f>
        <v/>
      </c>
      <c r="AQ21" s="75" t="str">
        <f aca="false">IF(SUM($AP21)&lt;=0,"",IF(SUM($AO21)&lt;=0,"ENTER VALID YIELD!",ROUND($AP21/$AO21,0)-$AP21))</f>
        <v/>
      </c>
      <c r="AR21" s="118"/>
      <c r="AS21" s="75" t="str">
        <f aca="false">IF(OR(SUM($AD21)&lt;=0,SUM($G21)&lt;=0),"",ROUND($G21*$AD21,0))</f>
        <v/>
      </c>
      <c r="AT21" s="75" t="str">
        <f aca="false">IF(SUM($AS21)&lt;=0,"",IF(SUM($AR21)&lt;=0,"ENTER VALID YIELD!",ROUND($AS21/$AR21,0)-$AS21))</f>
        <v/>
      </c>
      <c r="AU21" s="118"/>
      <c r="AV21" s="75" t="str">
        <f aca="false">IF(OR(SUM($AE21)&lt;=0,SUM($G21)&lt;=0),"",ROUND($G21*$AE21,0))</f>
        <v/>
      </c>
      <c r="AW21" s="75" t="str">
        <f aca="false">IF(SUM($AV21)&lt;=0,"",IF(SUM($AU21)&lt;=0,"ENTER VALID YIELD!",ROUND($AV21/$AU21,0)-$AV21))</f>
        <v/>
      </c>
      <c r="AX21" s="118"/>
      <c r="AY21" s="75" t="str">
        <f aca="false">IF(OR(SUM($AF21)&lt;=0,SUM($G21)&lt;=0),"",ROUND($G21*$AF21,0))</f>
        <v/>
      </c>
      <c r="AZ21" s="75" t="str">
        <f aca="false">IF(SUM($AY21)&lt;=0,"",IF(SUM($AX21)&lt;=0,"ENTER VALID YIELD!",ROUND($AY21/$AX21,0)-$AY21))</f>
        <v/>
      </c>
      <c r="BA21" s="118"/>
      <c r="BB21" s="75" t="str">
        <f aca="false">IF(OR(SUM($AG21)&lt;=0,SUM($G21)&lt;=0),"",ROUND($G21*$AG21,0))</f>
        <v/>
      </c>
      <c r="BC21" s="75" t="str">
        <f aca="false">IF(SUM($BB21)&lt;=0,"",IF(SUM($BA21)&lt;=0,"ENTER VALID YIELD!",ROUND($BB21/$BA21,0)-$BB21))</f>
        <v/>
      </c>
      <c r="BD21" s="118"/>
      <c r="BE21" s="75" t="str">
        <f aca="false">IF(OR(SUM($AH21)&lt;=0,SUM($G21)&lt;=0),"",ROUND($G21*$AH21,0))</f>
        <v/>
      </c>
      <c r="BF21" s="75" t="str">
        <f aca="false">IF(SUM($BE21)&lt;=0,"",IF(SUM($BD21)&lt;=0,"ENTER VALID YIELD!",ROUND($BE21/$BD21,0)-$BE21))</f>
        <v/>
      </c>
      <c r="BG21" s="118"/>
      <c r="BH21" s="75" t="str">
        <f aca="false">IF(OR(SUM($AI21)&lt;=0,SUM($G21)&lt;=0),"",ROUND($G21*$AI21,0))</f>
        <v/>
      </c>
      <c r="BI21" s="75" t="str">
        <f aca="false">IF(SUM($BH21)&lt;=0,"",IF(SUM($BG21)&lt;=0,"ENTER VALID YIELD!",ROUND($BH21/$BG21,0)-$BH21))</f>
        <v/>
      </c>
      <c r="BJ21" s="118"/>
      <c r="BK21" s="75" t="str">
        <f aca="false">IF(OR(SUM($AJ21)&lt;=0,SUM($G21)&lt;=0),"",ROUND($G21*$AJ21,0))</f>
        <v/>
      </c>
      <c r="BL21" s="75" t="str">
        <f aca="false">IF(SUM($BK21)&lt;=0,"",IF(SUM($BJ21)&lt;=0,"ENTER VALID YIELD!",ROUND($BK21/$BJ21,0)-$BK21))</f>
        <v/>
      </c>
      <c r="BM21" s="73" t="n">
        <f aca="false">IF(SUM($G21)&lt;=0,"",$G21)</f>
        <v>1</v>
      </c>
      <c r="BN21" s="73" t="n">
        <f aca="false">IF(SUM($G21)&lt;=0,"",SUM($I21:$L21,$Q21,$S21,$AM21,$AP21,$AS21,$AV21,$AY21,$BB21,$BE21,$BH21,$BK21))</f>
        <v>0</v>
      </c>
      <c r="BO21" s="73" t="n">
        <f aca="false">IF(AND(SUM($BN21)&lt;=0,SUM($BM21)&lt;=0),"",SUM($BN21)-SUM($BM21))</f>
        <v>-1</v>
      </c>
      <c r="BP21" s="73" t="str">
        <f aca="false">_xlfn.IFNA(INDEX(PMTCT!$AF:$AF,MATCH($E21,PMTCT!$E:$E,0)),"")</f>
        <v/>
      </c>
      <c r="BQ21" s="73" t="str">
        <f aca="false">_xlfn.IFNA(INDEX(PMTCT!$AV:$AV,MATCH($E21,PMTCT!$E:$E,0)),"")</f>
        <v/>
      </c>
      <c r="BR21" s="73" t="str">
        <f aca="false">_xlfn.IFNA(INDEX(TB!$R:$R,MATCH($E21,TB!$E:$E,0)),"")</f>
        <v/>
      </c>
      <c r="BS21" s="73" t="str">
        <f aca="false">_xlfn.IFNA(INDEX(VMMC!$AD:$AD,MATCH($E21,VMMC!$E:$E,0)),"")</f>
        <v/>
      </c>
      <c r="BT21" s="73" t="str">
        <f aca="false">IF(SUM($R21,$T21,$AN21,$AQ21,$AT21,$AW21,$AZ21,$BC21,$BF21,$BI21,$BL21,$BP21:$BS21)=0,"",SUM($R21,$T21,$AN21,$AQ21,$AT21,$AW21,$AZ21,$BC21,$BF21,$BI21,$BL21,$BP21:$BS21))</f>
        <v/>
      </c>
      <c r="BU21" s="73" t="str">
        <f aca="false">IF(OR(SUM($BT21)=0,SUM($BN21)=0),"",SUM($BT21,$BN21))</f>
        <v/>
      </c>
      <c r="BV21" s="118" t="str">
        <f aca="false">IF(SUM($BU21)=0,"",SUM($BN21)/$BU21)</f>
        <v/>
      </c>
      <c r="BW21" s="73" t="n">
        <v>24</v>
      </c>
      <c r="BX21" s="118" t="n">
        <f aca="false">IF(OR($C21="01-04",$C21="05-09"),"",0%)</f>
        <v>0</v>
      </c>
      <c r="BY21" s="75" t="n">
        <f aca="false">IF(OR($C21="01-04",$C21="05-09",SUM($BW21)=0),"",ROUND($BW21*(1+$BX21),0))</f>
        <v>24</v>
      </c>
    </row>
    <row r="22" customFormat="false" ht="15" hidden="false" customHeight="false" outlineLevel="0" collapsed="false">
      <c r="A22" s="0" t="s">
        <v>140</v>
      </c>
      <c r="B22" s="0" t="s">
        <v>141</v>
      </c>
      <c r="C22" s="0" t="s">
        <v>63</v>
      </c>
      <c r="D22" s="0" t="s">
        <v>58</v>
      </c>
      <c r="E22" s="0" t="str">
        <f aca="false">B22&amp;"|"&amp;C22&amp;"|"&amp;D22</f>
        <v>_Military Lesotho [#Military] [dDOqoFnD5Be]|15-19|Male</v>
      </c>
      <c r="F22" s="118" t="str">
        <f aca="false">_xlfn.IFNA(INDEX(Cascade!$Y:$Y,MATCH($E22,Cascade!$E:$E,0)),"")</f>
        <v/>
      </c>
      <c r="G22" s="73" t="n">
        <f aca="false">_xlfn.IFNA(INDEX(Cascade!$BD:$BD,MATCH($E22,Cascade!$E:$E,0)),"")</f>
        <v>1</v>
      </c>
      <c r="H22" s="73" t="n">
        <f aca="false">_xlfn.IFNA(INDEX(Cascade!$BE:$BE,MATCH($E22,Cascade!$E:$E,0)),"")</f>
        <v>0</v>
      </c>
      <c r="I22" s="73" t="str">
        <f aca="false">_xlfn.IFNA(INDEX(Cascade!$BF:$BF,MATCH($E22,Cascade!$E:$E,0)),"")</f>
        <v/>
      </c>
      <c r="J22" s="73" t="str">
        <f aca="false">_xlfn.IFNA(INDEX(Cascade!$BG:$BG,MATCH($E22,Cascade!$E:$E,0)),"")</f>
        <v/>
      </c>
      <c r="K22" s="73" t="str">
        <f aca="false">_xlfn.IFNA(INDEX(Cascade!$BH:$BH,MATCH($E22,Cascade!$E:$E,0)),"")</f>
        <v/>
      </c>
      <c r="L22" s="73" t="n">
        <f aca="false">_xlfn.IFNA(INDEX(Cascade!$BI:$BI,MATCH($E22,Cascade!$E:$E,0)),"")</f>
        <v>-0</v>
      </c>
      <c r="M22" s="73" t="n">
        <f aca="false">_xlfn.IFNA(INDEX(Cascade!$BK:$BK,MATCH($E22,Cascade!$E:$E,0)),"")</f>
        <v>1</v>
      </c>
      <c r="N22" s="118"/>
      <c r="O22" s="118"/>
      <c r="P22" s="118"/>
      <c r="Q22" s="75" t="str">
        <f aca="false">IF(OR(SUM($H22)=0,SUM($N22)=0,SUM($O22)=0),"",ROUND($H22*$N22,0))</f>
        <v/>
      </c>
      <c r="R22" s="75" t="str">
        <f aca="false">IF(OR(SUM($Q22)=0,SUM($O22)=0),"",ROUND(SUM($Q22)/SUM($O22),0)-SUM($Q22))</f>
        <v/>
      </c>
      <c r="S22" s="75" t="str">
        <f aca="false">IF(SUM($H22)=0,"",SUM($H22)-SUM($Q22))</f>
        <v/>
      </c>
      <c r="T22" s="75" t="str">
        <f aca="false">IF(OR(SUM($S22)=0,$N22&gt;1,SUM($P22)&lt;=0),"",ROUND($S22/$P22,0)-$S22)</f>
        <v/>
      </c>
      <c r="U22" s="118" t="n">
        <f aca="false">IF(SUM($G22)&lt;=0,"",SUM($Q22,$S22)/$G22)</f>
        <v>0</v>
      </c>
      <c r="V22" s="118" t="str">
        <f aca="false">IF(OR(SUM($Q22)=0,SUM($G22)=0),"",SUM($Q22)/SUM($G22))</f>
        <v/>
      </c>
      <c r="W22" s="118" t="str">
        <f aca="false">IF(OR(SUM($S22)=0,SUM($G22)=0),"",SUM($S22)/SUM($G22))</f>
        <v/>
      </c>
      <c r="X22" s="118" t="str">
        <f aca="false">IF(OR(SUM($G22)=0,SUM($I22)=0),"",SUM($I22)/SUM($G22))</f>
        <v/>
      </c>
      <c r="Y22" s="118" t="str">
        <f aca="false">IF(OR(SUM($G22)=0,SUM($J22)=0),"",SUM($J22)/SUM($G22))</f>
        <v/>
      </c>
      <c r="Z22" s="118" t="str">
        <f aca="false">IF(OR(SUM($G22)=0,SUM($K22)=0),"",SUM($K22)/SUM($G22))</f>
        <v/>
      </c>
      <c r="AA22" s="118" t="str">
        <f aca="false">IF(OR(SUM($G22)=0,SUM($L22)=0),"",SUM($L22)/SUM($G22))</f>
        <v/>
      </c>
      <c r="AB22" s="118"/>
      <c r="AC22" s="118"/>
      <c r="AD22" s="118"/>
      <c r="AE22" s="118"/>
      <c r="AF22" s="118"/>
      <c r="AG22" s="118"/>
      <c r="AH22" s="118"/>
      <c r="AI22" s="118"/>
      <c r="AJ22" s="118"/>
      <c r="AK22" s="118" t="n">
        <f aca="false">IF(SUM($G22)&lt;=0,"",SUM($V22:$AJ22))</f>
        <v>0</v>
      </c>
      <c r="AL22" s="118"/>
      <c r="AM22" s="75" t="str">
        <f aca="false">IF(OR(SUM($AB22)&lt;=0,SUM($G22)&lt;=0),"",ROUND($G22*$AB22,0))</f>
        <v/>
      </c>
      <c r="AN22" s="75" t="str">
        <f aca="false">IF(SUM($AM22)&lt;=0,"",IF(SUM($AL22)&lt;=0,"ENTER VALID YIELD!",ROUND($AM22/$AL22,0)-$AM22))</f>
        <v/>
      </c>
      <c r="AO22" s="118"/>
      <c r="AP22" s="75" t="str">
        <f aca="false">IF(OR(SUM($AC22)&lt;=0,SUM($G22)&lt;=0),"",ROUND($G22*$AC22,0))</f>
        <v/>
      </c>
      <c r="AQ22" s="75" t="str">
        <f aca="false">IF(SUM($AP22)&lt;=0,"",IF(SUM($AO22)&lt;=0,"ENTER VALID YIELD!",ROUND($AP22/$AO22,0)-$AP22))</f>
        <v/>
      </c>
      <c r="AR22" s="118"/>
      <c r="AS22" s="75" t="str">
        <f aca="false">IF(OR(SUM($AD22)&lt;=0,SUM($G22)&lt;=0),"",ROUND($G22*$AD22,0))</f>
        <v/>
      </c>
      <c r="AT22" s="75" t="str">
        <f aca="false">IF(SUM($AS22)&lt;=0,"",IF(SUM($AR22)&lt;=0,"ENTER VALID YIELD!",ROUND($AS22/$AR22,0)-$AS22))</f>
        <v/>
      </c>
      <c r="AU22" s="118"/>
      <c r="AV22" s="75" t="str">
        <f aca="false">IF(OR(SUM($AE22)&lt;=0,SUM($G22)&lt;=0),"",ROUND($G22*$AE22,0))</f>
        <v/>
      </c>
      <c r="AW22" s="75" t="str">
        <f aca="false">IF(SUM($AV22)&lt;=0,"",IF(SUM($AU22)&lt;=0,"ENTER VALID YIELD!",ROUND($AV22/$AU22,0)-$AV22))</f>
        <v/>
      </c>
      <c r="AX22" s="118"/>
      <c r="AY22" s="75" t="str">
        <f aca="false">IF(OR(SUM($AF22)&lt;=0,SUM($G22)&lt;=0),"",ROUND($G22*$AF22,0))</f>
        <v/>
      </c>
      <c r="AZ22" s="75" t="str">
        <f aca="false">IF(SUM($AY22)&lt;=0,"",IF(SUM($AX22)&lt;=0,"ENTER VALID YIELD!",ROUND($AY22/$AX22,0)-$AY22))</f>
        <v/>
      </c>
      <c r="BA22" s="118"/>
      <c r="BB22" s="75" t="str">
        <f aca="false">IF(OR(SUM($AG22)&lt;=0,SUM($G22)&lt;=0),"",ROUND($G22*$AG22,0))</f>
        <v/>
      </c>
      <c r="BC22" s="75" t="str">
        <f aca="false">IF(SUM($BB22)&lt;=0,"",IF(SUM($BA22)&lt;=0,"ENTER VALID YIELD!",ROUND($BB22/$BA22,0)-$BB22))</f>
        <v/>
      </c>
      <c r="BD22" s="118"/>
      <c r="BE22" s="75" t="str">
        <f aca="false">IF(OR(SUM($AH22)&lt;=0,SUM($G22)&lt;=0),"",ROUND($G22*$AH22,0))</f>
        <v/>
      </c>
      <c r="BF22" s="75" t="str">
        <f aca="false">IF(SUM($BE22)&lt;=0,"",IF(SUM($BD22)&lt;=0,"ENTER VALID YIELD!",ROUND($BE22/$BD22,0)-$BE22))</f>
        <v/>
      </c>
      <c r="BG22" s="118"/>
      <c r="BH22" s="75" t="str">
        <f aca="false">IF(OR(SUM($AI22)&lt;=0,SUM($G22)&lt;=0),"",ROUND($G22*$AI22,0))</f>
        <v/>
      </c>
      <c r="BI22" s="75" t="str">
        <f aca="false">IF(SUM($BH22)&lt;=0,"",IF(SUM($BG22)&lt;=0,"ENTER VALID YIELD!",ROUND($BH22/$BG22,0)-$BH22))</f>
        <v/>
      </c>
      <c r="BJ22" s="118"/>
      <c r="BK22" s="75" t="str">
        <f aca="false">IF(OR(SUM($AJ22)&lt;=0,SUM($G22)&lt;=0),"",ROUND($G22*$AJ22,0))</f>
        <v/>
      </c>
      <c r="BL22" s="75" t="str">
        <f aca="false">IF(SUM($BK22)&lt;=0,"",IF(SUM($BJ22)&lt;=0,"ENTER VALID YIELD!",ROUND($BK22/$BJ22,0)-$BK22))</f>
        <v/>
      </c>
      <c r="BM22" s="73" t="n">
        <f aca="false">IF(SUM($G22)&lt;=0,"",$G22)</f>
        <v>1</v>
      </c>
      <c r="BN22" s="73" t="n">
        <f aca="false">IF(SUM($G22)&lt;=0,"",SUM($I22:$L22,$Q22,$S22,$AM22,$AP22,$AS22,$AV22,$AY22,$BB22,$BE22,$BH22,$BK22))</f>
        <v>0</v>
      </c>
      <c r="BO22" s="73" t="n">
        <f aca="false">IF(AND(SUM($BN22)&lt;=0,SUM($BM22)&lt;=0),"",SUM($BN22)-SUM($BM22))</f>
        <v>-1</v>
      </c>
      <c r="BP22" s="73" t="str">
        <f aca="false">_xlfn.IFNA(INDEX(PMTCT!$AF:$AF,MATCH($E22,PMTCT!$E:$E,0)),"")</f>
        <v/>
      </c>
      <c r="BQ22" s="73" t="str">
        <f aca="false">_xlfn.IFNA(INDEX(PMTCT!$AV:$AV,MATCH($E22,PMTCT!$E:$E,0)),"")</f>
        <v/>
      </c>
      <c r="BR22" s="73" t="str">
        <f aca="false">_xlfn.IFNA(INDEX(TB!$R:$R,MATCH($E22,TB!$E:$E,0)),"")</f>
        <v/>
      </c>
      <c r="BS22" s="73" t="n">
        <f aca="false">_xlfn.IFNA(INDEX(VMMC!$AD:$AD,MATCH($E22,VMMC!$E:$E,0)),"")</f>
        <v>-220</v>
      </c>
      <c r="BT22" s="73" t="n">
        <f aca="false">IF(SUM($R22,$T22,$AN22,$AQ22,$AT22,$AW22,$AZ22,$BC22,$BF22,$BI22,$BL22,$BP22:$BS22)=0,"",SUM($R22,$T22,$AN22,$AQ22,$AT22,$AW22,$AZ22,$BC22,$BF22,$BI22,$BL22,$BP22:$BS22))</f>
        <v>-220</v>
      </c>
      <c r="BU22" s="73" t="str">
        <f aca="false">IF(OR(SUM($BT22)=0,SUM($BN22)=0),"",SUM($BT22,$BN22))</f>
        <v/>
      </c>
      <c r="BV22" s="118" t="str">
        <f aca="false">IF(SUM($BU22)=0,"",SUM($BN22)/$BU22)</f>
        <v/>
      </c>
      <c r="BW22" s="73" t="n">
        <v>6</v>
      </c>
      <c r="BX22" s="118" t="n">
        <f aca="false">IF(OR($C22="01-04",$C22="05-09"),"",0%)</f>
        <v>0</v>
      </c>
      <c r="BY22" s="75" t="n">
        <f aca="false">IF(OR($C22="01-04",$C22="05-09",SUM($BW22)=0),"",ROUND($BW22*(1+$BX22),0))</f>
        <v>6</v>
      </c>
    </row>
    <row r="23" customFormat="false" ht="15" hidden="false" customHeight="false" outlineLevel="0" collapsed="false">
      <c r="A23" s="0" t="s">
        <v>140</v>
      </c>
      <c r="B23" s="0" t="s">
        <v>141</v>
      </c>
      <c r="C23" s="0" t="s">
        <v>66</v>
      </c>
      <c r="D23" s="0" t="s">
        <v>56</v>
      </c>
      <c r="E23" s="0" t="str">
        <f aca="false">B23&amp;"|"&amp;C23&amp;"|"&amp;D23</f>
        <v>_Military Lesotho [#Military] [dDOqoFnD5Be]|20-24|Female</v>
      </c>
      <c r="F23" s="118" t="str">
        <f aca="false">_xlfn.IFNA(INDEX(Cascade!$Y:$Y,MATCH($E23,Cascade!$E:$E,0)),"")</f>
        <v/>
      </c>
      <c r="G23" s="73" t="n">
        <f aca="false">_xlfn.IFNA(INDEX(Cascade!$BD:$BD,MATCH($E23,Cascade!$E:$E,0)),"")</f>
        <v>1</v>
      </c>
      <c r="H23" s="73" t="n">
        <f aca="false">_xlfn.IFNA(INDEX(Cascade!$BE:$BE,MATCH($E23,Cascade!$E:$E,0)),"")</f>
        <v>0</v>
      </c>
      <c r="I23" s="73" t="str">
        <f aca="false">_xlfn.IFNA(INDEX(Cascade!$BF:$BF,MATCH($E23,Cascade!$E:$E,0)),"")</f>
        <v/>
      </c>
      <c r="J23" s="73" t="str">
        <f aca="false">_xlfn.IFNA(INDEX(Cascade!$BG:$BG,MATCH($E23,Cascade!$E:$E,0)),"")</f>
        <v/>
      </c>
      <c r="K23" s="73" t="n">
        <f aca="false">_xlfn.IFNA(INDEX(Cascade!$BH:$BH,MATCH($E23,Cascade!$E:$E,0)),"")</f>
        <v>-0</v>
      </c>
      <c r="L23" s="73" t="str">
        <f aca="false">_xlfn.IFNA(INDEX(Cascade!$BI:$BI,MATCH($E23,Cascade!$E:$E,0)),"")</f>
        <v/>
      </c>
      <c r="M23" s="73" t="n">
        <f aca="false">_xlfn.IFNA(INDEX(Cascade!$BK:$BK,MATCH($E23,Cascade!$E:$E,0)),"")</f>
        <v>1</v>
      </c>
      <c r="N23" s="118" t="n">
        <v>3</v>
      </c>
      <c r="O23" s="118"/>
      <c r="P23" s="118" t="n">
        <v>50</v>
      </c>
      <c r="Q23" s="75" t="str">
        <f aca="false">IF(OR(SUM($H23)=0,SUM($N23)=0,SUM($O23)=0),"",ROUND($H23*$N23,0))</f>
        <v/>
      </c>
      <c r="R23" s="75" t="str">
        <f aca="false">IF(OR(SUM($Q23)=0,SUM($O23)=0),"",ROUND(SUM($Q23)/SUM($O23),0)-SUM($Q23))</f>
        <v/>
      </c>
      <c r="S23" s="75" t="str">
        <f aca="false">IF(SUM($H23)=0,"",SUM($H23)-SUM($Q23))</f>
        <v/>
      </c>
      <c r="T23" s="75" t="str">
        <f aca="false">IF(OR(SUM($S23)=0,$N23&gt;1,SUM($P23)&lt;=0),"",ROUND($S23/$P23,0)-$S23)</f>
        <v/>
      </c>
      <c r="U23" s="118" t="n">
        <f aca="false">IF(SUM($G23)&lt;=0,"",SUM($Q23,$S23)/$G23)</f>
        <v>0</v>
      </c>
      <c r="V23" s="118" t="str">
        <f aca="false">IF(OR(SUM($Q23)=0,SUM($G23)=0),"",SUM($Q23)/SUM($G23))</f>
        <v/>
      </c>
      <c r="W23" s="118" t="str">
        <f aca="false">IF(OR(SUM($S23)=0,SUM($G23)=0),"",SUM($S23)/SUM($G23))</f>
        <v/>
      </c>
      <c r="X23" s="118" t="str">
        <f aca="false">IF(OR(SUM($G23)=0,SUM($I23)=0),"",SUM($I23)/SUM($G23))</f>
        <v/>
      </c>
      <c r="Y23" s="118" t="str">
        <f aca="false">IF(OR(SUM($G23)=0,SUM($J23)=0),"",SUM($J23)/SUM($G23))</f>
        <v/>
      </c>
      <c r="Z23" s="118" t="str">
        <f aca="false">IF(OR(SUM($G23)=0,SUM($K23)=0),"",SUM($K23)/SUM($G23))</f>
        <v/>
      </c>
      <c r="AA23" s="118" t="str">
        <f aca="false">IF(OR(SUM($G23)=0,SUM($L23)=0),"",SUM($L23)/SUM($G23))</f>
        <v/>
      </c>
      <c r="AB23" s="118" t="n">
        <v>49</v>
      </c>
      <c r="AC23" s="118"/>
      <c r="AD23" s="118"/>
      <c r="AE23" s="118" t="n">
        <v>3</v>
      </c>
      <c r="AF23" s="118" t="n">
        <v>6</v>
      </c>
      <c r="AG23" s="118" t="n">
        <v>9</v>
      </c>
      <c r="AH23" s="118" t="n">
        <v>14</v>
      </c>
      <c r="AI23" s="118" t="n">
        <v>32</v>
      </c>
      <c r="AJ23" s="118" t="n">
        <v>38</v>
      </c>
      <c r="AK23" s="118" t="n">
        <f aca="false">IF(SUM($G23)&lt;=0,"",SUM($V23:$AJ23))</f>
        <v>151</v>
      </c>
      <c r="AL23" s="118"/>
      <c r="AM23" s="75" t="n">
        <f aca="false">IF(OR(SUM($AB23)&lt;=0,SUM($G23)&lt;=0),"",ROUND($G23*$AB23,0))</f>
        <v>49</v>
      </c>
      <c r="AN23" s="75" t="str">
        <f aca="false">IF(SUM($AM23)&lt;=0,"",IF(SUM($AL23)&lt;=0,"ENTER VALID YIELD!",ROUND($AM23/$AL23,0)-$AM23))</f>
        <v>ENTER VALID YIELD!</v>
      </c>
      <c r="AO23" s="118"/>
      <c r="AP23" s="75" t="str">
        <f aca="false">IF(OR(SUM($AC23)&lt;=0,SUM($G23)&lt;=0),"",ROUND($G23*$AC23,0))</f>
        <v/>
      </c>
      <c r="AQ23" s="75" t="str">
        <f aca="false">IF(SUM($AP23)&lt;=0,"",IF(SUM($AO23)&lt;=0,"ENTER VALID YIELD!",ROUND($AP23/$AO23,0)-$AP23))</f>
        <v/>
      </c>
      <c r="AR23" s="118"/>
      <c r="AS23" s="75" t="str">
        <f aca="false">IF(OR(SUM($AD23)&lt;=0,SUM($G23)&lt;=0),"",ROUND($G23*$AD23,0))</f>
        <v/>
      </c>
      <c r="AT23" s="75" t="str">
        <f aca="false">IF(SUM($AS23)&lt;=0,"",IF(SUM($AR23)&lt;=0,"ENTER VALID YIELD!",ROUND($AS23/$AR23,0)-$AS23))</f>
        <v/>
      </c>
      <c r="AU23" s="118"/>
      <c r="AV23" s="75" t="n">
        <f aca="false">IF(OR(SUM($AE23)&lt;=0,SUM($G23)&lt;=0),"",ROUND($G23*$AE23,0))</f>
        <v>3</v>
      </c>
      <c r="AW23" s="75" t="str">
        <f aca="false">IF(SUM($AV23)&lt;=0,"",IF(SUM($AU23)&lt;=0,"ENTER VALID YIELD!",ROUND($AV23/$AU23,0)-$AV23))</f>
        <v>ENTER VALID YIELD!</v>
      </c>
      <c r="AX23" s="118"/>
      <c r="AY23" s="75" t="n">
        <f aca="false">IF(OR(SUM($AF23)&lt;=0,SUM($G23)&lt;=0),"",ROUND($G23*$AF23,0))</f>
        <v>6</v>
      </c>
      <c r="AZ23" s="75" t="str">
        <f aca="false">IF(SUM($AY23)&lt;=0,"",IF(SUM($AX23)&lt;=0,"ENTER VALID YIELD!",ROUND($AY23/$AX23,0)-$AY23))</f>
        <v>ENTER VALID YIELD!</v>
      </c>
      <c r="BA23" s="118" t="n">
        <v>36</v>
      </c>
      <c r="BB23" s="75" t="n">
        <f aca="false">IF(OR(SUM($AG23)&lt;=0,SUM($G23)&lt;=0),"",ROUND($G23*$AG23,0))</f>
        <v>9</v>
      </c>
      <c r="BC23" s="75" t="n">
        <f aca="false">IF(SUM($BB23)&lt;=0,"",IF(SUM($BA23)&lt;=0,"ENTER VALID YIELD!",ROUND($BB23/$BA23,0)-$BB23))</f>
        <v>-9</v>
      </c>
      <c r="BD23" s="118"/>
      <c r="BE23" s="75" t="n">
        <f aca="false">IF(OR(SUM($AH23)&lt;=0,SUM($G23)&lt;=0),"",ROUND($G23*$AH23,0))</f>
        <v>14</v>
      </c>
      <c r="BF23" s="75" t="str">
        <f aca="false">IF(SUM($BE23)&lt;=0,"",IF(SUM($BD23)&lt;=0,"ENTER VALID YIELD!",ROUND($BE23/$BD23,0)-$BE23))</f>
        <v>ENTER VALID YIELD!</v>
      </c>
      <c r="BG23" s="118" t="n">
        <v>39</v>
      </c>
      <c r="BH23" s="75" t="n">
        <f aca="false">IF(OR(SUM($AI23)&lt;=0,SUM($G23)&lt;=0),"",ROUND($G23*$AI23,0))</f>
        <v>32</v>
      </c>
      <c r="BI23" s="75" t="n">
        <f aca="false">IF(SUM($BH23)&lt;=0,"",IF(SUM($BG23)&lt;=0,"ENTER VALID YIELD!",ROUND($BH23/$BG23,0)-$BH23))</f>
        <v>-31</v>
      </c>
      <c r="BJ23" s="118"/>
      <c r="BK23" s="75" t="n">
        <f aca="false">IF(OR(SUM($AJ23)&lt;=0,SUM($G23)&lt;=0),"",ROUND($G23*$AJ23,0))</f>
        <v>38</v>
      </c>
      <c r="BL23" s="75" t="str">
        <f aca="false">IF(SUM($BK23)&lt;=0,"",IF(SUM($BJ23)&lt;=0,"ENTER VALID YIELD!",ROUND($BK23/$BJ23,0)-$BK23))</f>
        <v>ENTER VALID YIELD!</v>
      </c>
      <c r="BM23" s="73" t="n">
        <f aca="false">IF(SUM($G23)&lt;=0,"",$G23)</f>
        <v>1</v>
      </c>
      <c r="BN23" s="73" t="n">
        <f aca="false">IF(SUM($G23)&lt;=0,"",SUM($I23:$L23,$Q23,$S23,$AM23,$AP23,$AS23,$AV23,$AY23,$BB23,$BE23,$BH23,$BK23))</f>
        <v>151</v>
      </c>
      <c r="BO23" s="73" t="n">
        <f aca="false">IF(AND(SUM($BN23)&lt;=0,SUM($BM23)&lt;=0),"",SUM($BN23)-SUM($BM23))</f>
        <v>150</v>
      </c>
      <c r="BP23" s="73" t="str">
        <f aca="false">_xlfn.IFNA(INDEX(PMTCT!$AF:$AF,MATCH($E23,PMTCT!$E:$E,0)),"")</f>
        <v/>
      </c>
      <c r="BQ23" s="73" t="str">
        <f aca="false">_xlfn.IFNA(INDEX(PMTCT!$AV:$AV,MATCH($E23,PMTCT!$E:$E,0)),"")</f>
        <v/>
      </c>
      <c r="BR23" s="73" t="n">
        <f aca="false">_xlfn.IFNA(INDEX(TB!$R:$R,MATCH($E23,TB!$E:$E,0)),"")</f>
        <v>-286</v>
      </c>
      <c r="BS23" s="73" t="str">
        <f aca="false">_xlfn.IFNA(INDEX(VMMC!$AD:$AD,MATCH($E23,VMMC!$E:$E,0)),"")</f>
        <v/>
      </c>
      <c r="BT23" s="73" t="n">
        <f aca="false">IF(SUM($R23,$T23,$AN23,$AQ23,$AT23,$AW23,$AZ23,$BC23,$BF23,$BI23,$BL23,$BP23:$BS23)=0,"",SUM($R23,$T23,$AN23,$AQ23,$AT23,$AW23,$AZ23,$BC23,$BF23,$BI23,$BL23,$BP23:$BS23))</f>
        <v>-326</v>
      </c>
      <c r="BU23" s="73" t="n">
        <f aca="false">IF(OR(SUM($BT23)=0,SUM($BN23)=0),"",SUM($BT23,$BN23))</f>
        <v>-175</v>
      </c>
      <c r="BV23" s="118" t="n">
        <f aca="false">IF(SUM($BU23)=0,"",SUM($BN23)/$BU23)</f>
        <v>-0.862857142857143</v>
      </c>
      <c r="BW23" s="73" t="n">
        <v>19</v>
      </c>
      <c r="BX23" s="118" t="n">
        <f aca="false">IF(OR($C23="01-04",$C23="05-09"),"",0%)</f>
        <v>0</v>
      </c>
      <c r="BY23" s="75" t="n">
        <f aca="false">IF(OR($C23="01-04",$C23="05-09",SUM($BW23)=0),"",ROUND($BW23*(1+$BX23),0))</f>
        <v>19</v>
      </c>
    </row>
    <row r="24" customFormat="false" ht="15" hidden="false" customHeight="false" outlineLevel="0" collapsed="false">
      <c r="A24" s="0" t="s">
        <v>140</v>
      </c>
      <c r="B24" s="0" t="s">
        <v>141</v>
      </c>
      <c r="C24" s="0" t="s">
        <v>66</v>
      </c>
      <c r="D24" s="0" t="s">
        <v>58</v>
      </c>
      <c r="E24" s="0" t="str">
        <f aca="false">B24&amp;"|"&amp;C24&amp;"|"&amp;D24</f>
        <v>_Military Lesotho [#Military] [dDOqoFnD5Be]|20-24|Male</v>
      </c>
      <c r="F24" s="118" t="str">
        <f aca="false">_xlfn.IFNA(INDEX(Cascade!$Y:$Y,MATCH($E24,Cascade!$E:$E,0)),"")</f>
        <v/>
      </c>
      <c r="G24" s="73" t="str">
        <f aca="false">_xlfn.IFNA(INDEX(Cascade!$BD:$BD,MATCH($E24,Cascade!$E:$E,0)),"")</f>
        <v/>
      </c>
      <c r="H24" s="73" t="str">
        <f aca="false">_xlfn.IFNA(INDEX(Cascade!$BE:$BE,MATCH($E24,Cascade!$E:$E,0)),"")</f>
        <v/>
      </c>
      <c r="I24" s="73" t="str">
        <f aca="false">_xlfn.IFNA(INDEX(Cascade!$BF:$BF,MATCH($E24,Cascade!$E:$E,0)),"")</f>
        <v/>
      </c>
      <c r="J24" s="73" t="str">
        <f aca="false">_xlfn.IFNA(INDEX(Cascade!$BG:$BG,MATCH($E24,Cascade!$E:$E,0)),"")</f>
        <v/>
      </c>
      <c r="K24" s="73" t="str">
        <f aca="false">_xlfn.IFNA(INDEX(Cascade!$BH:$BH,MATCH($E24,Cascade!$E:$E,0)),"")</f>
        <v/>
      </c>
      <c r="L24" s="73" t="n">
        <f aca="false">_xlfn.IFNA(INDEX(Cascade!$BI:$BI,MATCH($E24,Cascade!$E:$E,0)),"")</f>
        <v>-0</v>
      </c>
      <c r="M24" s="73" t="str">
        <f aca="false">_xlfn.IFNA(INDEX(Cascade!$BK:$BK,MATCH($E24,Cascade!$E:$E,0)),"")</f>
        <v/>
      </c>
      <c r="N24" s="118"/>
      <c r="O24" s="118"/>
      <c r="P24" s="118"/>
      <c r="Q24" s="75" t="str">
        <f aca="false">IF(OR(SUM($H24)=0,SUM($N24)=0,SUM($O24)=0),"",ROUND($H24*$N24,0))</f>
        <v/>
      </c>
      <c r="R24" s="75" t="str">
        <f aca="false">IF(OR(SUM($Q24)=0,SUM($O24)=0),"",ROUND(SUM($Q24)/SUM($O24),0)-SUM($Q24))</f>
        <v/>
      </c>
      <c r="S24" s="75" t="str">
        <f aca="false">IF(SUM($H24)=0,"",SUM($H24)-SUM($Q24))</f>
        <v/>
      </c>
      <c r="T24" s="75" t="str">
        <f aca="false">IF(OR(SUM($S24)=0,$N24&gt;1,SUM($P24)&lt;=0),"",ROUND($S24/$P24,0)-$S24)</f>
        <v/>
      </c>
      <c r="U24" s="118" t="str">
        <f aca="false">IF(SUM($G24)&lt;=0,"",SUM($Q24,$S24)/$G24)</f>
        <v/>
      </c>
      <c r="V24" s="118" t="str">
        <f aca="false">IF(OR(SUM($Q24)=0,SUM($G24)=0),"",SUM($Q24)/SUM($G24))</f>
        <v/>
      </c>
      <c r="W24" s="118" t="str">
        <f aca="false">IF(OR(SUM($S24)=0,SUM($G24)=0),"",SUM($S24)/SUM($G24))</f>
        <v/>
      </c>
      <c r="X24" s="118" t="str">
        <f aca="false">IF(OR(SUM($G24)=0,SUM($I24)=0),"",SUM($I24)/SUM($G24))</f>
        <v/>
      </c>
      <c r="Y24" s="118" t="str">
        <f aca="false">IF(OR(SUM($G24)=0,SUM($J24)=0),"",SUM($J24)/SUM($G24))</f>
        <v/>
      </c>
      <c r="Z24" s="118" t="str">
        <f aca="false">IF(OR(SUM($G24)=0,SUM($K24)=0),"",SUM($K24)/SUM($G24))</f>
        <v/>
      </c>
      <c r="AA24" s="118" t="str">
        <f aca="false">IF(OR(SUM($G24)=0,SUM($L24)=0),"",SUM($L24)/SUM($G24))</f>
        <v/>
      </c>
      <c r="AB24" s="118" t="n">
        <v>17</v>
      </c>
      <c r="AC24" s="118"/>
      <c r="AD24" s="118"/>
      <c r="AE24" s="118" t="n">
        <v>34</v>
      </c>
      <c r="AF24" s="118" t="n">
        <v>2</v>
      </c>
      <c r="AG24" s="118" t="n">
        <v>17</v>
      </c>
      <c r="AH24" s="118" t="n">
        <v>14</v>
      </c>
      <c r="AI24" s="118" t="n">
        <v>5</v>
      </c>
      <c r="AJ24" s="118" t="n">
        <v>14</v>
      </c>
      <c r="AK24" s="118" t="str">
        <f aca="false">IF(SUM($G24)&lt;=0,"",SUM($V24:$AJ24))</f>
        <v/>
      </c>
      <c r="AL24" s="118" t="n">
        <v>0</v>
      </c>
      <c r="AM24" s="75" t="str">
        <f aca="false">IF(OR(SUM($AB24)&lt;=0,SUM($G24)&lt;=0),"",ROUND($G24*$AB24,0))</f>
        <v/>
      </c>
      <c r="AN24" s="75" t="str">
        <f aca="false">IF(SUM($AM24)&lt;=0,"",IF(SUM($AL24)&lt;=0,"ENTER VALID YIELD!",ROUND($AM24/$AL24,0)-$AM24))</f>
        <v/>
      </c>
      <c r="AO24" s="118"/>
      <c r="AP24" s="75" t="str">
        <f aca="false">IF(OR(SUM($AC24)&lt;=0,SUM($G24)&lt;=0),"",ROUND($G24*$AC24,0))</f>
        <v/>
      </c>
      <c r="AQ24" s="75" t="str">
        <f aca="false">IF(SUM($AP24)&lt;=0,"",IF(SUM($AO24)&lt;=0,"ENTER VALID YIELD!",ROUND($AP24/$AO24,0)-$AP24))</f>
        <v/>
      </c>
      <c r="AR24" s="118"/>
      <c r="AS24" s="75" t="str">
        <f aca="false">IF(OR(SUM($AD24)&lt;=0,SUM($G24)&lt;=0),"",ROUND($G24*$AD24,0))</f>
        <v/>
      </c>
      <c r="AT24" s="75" t="str">
        <f aca="false">IF(SUM($AS24)&lt;=0,"",IF(SUM($AR24)&lt;=0,"ENTER VALID YIELD!",ROUND($AS24/$AR24,0)-$AS24))</f>
        <v/>
      </c>
      <c r="AU24" s="118"/>
      <c r="AV24" s="75" t="str">
        <f aca="false">IF(OR(SUM($AE24)&lt;=0,SUM($G24)&lt;=0),"",ROUND($G24*$AE24,0))</f>
        <v/>
      </c>
      <c r="AW24" s="75" t="str">
        <f aca="false">IF(SUM($AV24)&lt;=0,"",IF(SUM($AU24)&lt;=0,"ENTER VALID YIELD!",ROUND($AV24/$AU24,0)-$AV24))</f>
        <v/>
      </c>
      <c r="AX24" s="118"/>
      <c r="AY24" s="75" t="str">
        <f aca="false">IF(OR(SUM($AF24)&lt;=0,SUM($G24)&lt;=0),"",ROUND($G24*$AF24,0))</f>
        <v/>
      </c>
      <c r="AZ24" s="75" t="str">
        <f aca="false">IF(SUM($AY24)&lt;=0,"",IF(SUM($AX24)&lt;=0,"ENTER VALID YIELD!",ROUND($AY24/$AX24,0)-$AY24))</f>
        <v/>
      </c>
      <c r="BA24" s="118" t="n">
        <v>17</v>
      </c>
      <c r="BB24" s="75" t="str">
        <f aca="false">IF(OR(SUM($AG24)&lt;=0,SUM($G24)&lt;=0),"",ROUND($G24*$AG24,0))</f>
        <v/>
      </c>
      <c r="BC24" s="75" t="str">
        <f aca="false">IF(SUM($BB24)&lt;=0,"",IF(SUM($BA24)&lt;=0,"ENTER VALID YIELD!",ROUND($BB24/$BA24,0)-$BB24))</f>
        <v/>
      </c>
      <c r="BD24" s="118"/>
      <c r="BE24" s="75" t="str">
        <f aca="false">IF(OR(SUM($AH24)&lt;=0,SUM($G24)&lt;=0),"",ROUND($G24*$AH24,0))</f>
        <v/>
      </c>
      <c r="BF24" s="75" t="str">
        <f aca="false">IF(SUM($BE24)&lt;=0,"",IF(SUM($BD24)&lt;=0,"ENTER VALID YIELD!",ROUND($BE24/$BD24,0)-$BE24))</f>
        <v/>
      </c>
      <c r="BG24" s="118" t="n">
        <v>17</v>
      </c>
      <c r="BH24" s="75" t="str">
        <f aca="false">IF(OR(SUM($AI24)&lt;=0,SUM($G24)&lt;=0),"",ROUND($G24*$AI24,0))</f>
        <v/>
      </c>
      <c r="BI24" s="75" t="str">
        <f aca="false">IF(SUM($BH24)&lt;=0,"",IF(SUM($BG24)&lt;=0,"ENTER VALID YIELD!",ROUND($BH24/$BG24,0)-$BH24))</f>
        <v/>
      </c>
      <c r="BJ24" s="118"/>
      <c r="BK24" s="75" t="str">
        <f aca="false">IF(OR(SUM($AJ24)&lt;=0,SUM($G24)&lt;=0),"",ROUND($G24*$AJ24,0))</f>
        <v/>
      </c>
      <c r="BL24" s="75" t="str">
        <f aca="false">IF(SUM($BK24)&lt;=0,"",IF(SUM($BJ24)&lt;=0,"ENTER VALID YIELD!",ROUND($BK24/$BJ24,0)-$BK24))</f>
        <v/>
      </c>
      <c r="BM24" s="73" t="str">
        <f aca="false">IF(SUM($G24)&lt;=0,"",$G24)</f>
        <v/>
      </c>
      <c r="BN24" s="73" t="str">
        <f aca="false">IF(SUM($G24)&lt;=0,"",SUM($I24:$L24,$Q24,$S24,$AM24,$AP24,$AS24,$AV24,$AY24,$BB24,$BE24,$BH24,$BK24))</f>
        <v/>
      </c>
      <c r="BO24" s="73" t="str">
        <f aca="false">IF(AND(SUM($BN24)&lt;=0,SUM($BM24)&lt;=0),"",SUM($BN24)-SUM($BM24))</f>
        <v/>
      </c>
      <c r="BP24" s="73" t="str">
        <f aca="false">_xlfn.IFNA(INDEX(PMTCT!$AF:$AF,MATCH($E24,PMTCT!$E:$E,0)),"")</f>
        <v/>
      </c>
      <c r="BQ24" s="73" t="str">
        <f aca="false">_xlfn.IFNA(INDEX(PMTCT!$AV:$AV,MATCH($E24,PMTCT!$E:$E,0)),"")</f>
        <v/>
      </c>
      <c r="BR24" s="73" t="str">
        <f aca="false">_xlfn.IFNA(INDEX(TB!$R:$R,MATCH($E24,TB!$E:$E,0)),"")</f>
        <v/>
      </c>
      <c r="BS24" s="73" t="n">
        <f aca="false">_xlfn.IFNA(INDEX(VMMC!$AD:$AD,MATCH($E24,VMMC!$E:$E,0)),"")</f>
        <v>-520</v>
      </c>
      <c r="BT24" s="73" t="n">
        <f aca="false">IF(SUM($R24,$T24,$AN24,$AQ24,$AT24,$AW24,$AZ24,$BC24,$BF24,$BI24,$BL24,$BP24:$BS24)=0,"",SUM($R24,$T24,$AN24,$AQ24,$AT24,$AW24,$AZ24,$BC24,$BF24,$BI24,$BL24,$BP24:$BS24))</f>
        <v>-520</v>
      </c>
      <c r="BU24" s="73" t="str">
        <f aca="false">IF(OR(SUM($BT24)=0,SUM($BN24)=0),"",SUM($BT24,$BN24))</f>
        <v/>
      </c>
      <c r="BV24" s="118" t="str">
        <f aca="false">IF(SUM($BU24)=0,"",SUM($BN24)/$BU24)</f>
        <v/>
      </c>
      <c r="BW24" s="73" t="n">
        <v>47</v>
      </c>
      <c r="BX24" s="118" t="n">
        <f aca="false">IF(OR($C24="01-04",$C24="05-09"),"",0%)</f>
        <v>0</v>
      </c>
      <c r="BY24" s="75" t="n">
        <f aca="false">IF(OR($C24="01-04",$C24="05-09",SUM($BW24)=0),"",ROUND($BW24*(1+$BX24),0))</f>
        <v>47</v>
      </c>
    </row>
    <row r="25" customFormat="false" ht="15" hidden="false" customHeight="false" outlineLevel="0" collapsed="false">
      <c r="A25" s="0" t="s">
        <v>140</v>
      </c>
      <c r="B25" s="0" t="s">
        <v>141</v>
      </c>
      <c r="C25" s="0" t="s">
        <v>69</v>
      </c>
      <c r="D25" s="0" t="s">
        <v>56</v>
      </c>
      <c r="E25" s="0" t="str">
        <f aca="false">B25&amp;"|"&amp;C25&amp;"|"&amp;D25</f>
        <v>_Military Lesotho [#Military] [dDOqoFnD5Be]|25-29|Female</v>
      </c>
      <c r="F25" s="118" t="str">
        <f aca="false">_xlfn.IFNA(INDEX(Cascade!$Y:$Y,MATCH($E25,Cascade!$E:$E,0)),"")</f>
        <v/>
      </c>
      <c r="G25" s="73" t="str">
        <f aca="false">_xlfn.IFNA(INDEX(Cascade!$BD:$BD,MATCH($E25,Cascade!$E:$E,0)),"")</f>
        <v/>
      </c>
      <c r="H25" s="73" t="str">
        <f aca="false">_xlfn.IFNA(INDEX(Cascade!$BE:$BE,MATCH($E25,Cascade!$E:$E,0)),"")</f>
        <v/>
      </c>
      <c r="I25" s="73" t="n">
        <f aca="false">_xlfn.IFNA(INDEX(Cascade!$BF:$BF,MATCH($E25,Cascade!$E:$E,0)),"")</f>
        <v>-5355</v>
      </c>
      <c r="J25" s="73" t="str">
        <f aca="false">_xlfn.IFNA(INDEX(Cascade!$BG:$BG,MATCH($E25,Cascade!$E:$E,0)),"")</f>
        <v/>
      </c>
      <c r="K25" s="73" t="n">
        <f aca="false">_xlfn.IFNA(INDEX(Cascade!$BH:$BH,MATCH($E25,Cascade!$E:$E,0)),"")</f>
        <v>-0</v>
      </c>
      <c r="L25" s="73" t="str">
        <f aca="false">_xlfn.IFNA(INDEX(Cascade!$BI:$BI,MATCH($E25,Cascade!$E:$E,0)),"")</f>
        <v/>
      </c>
      <c r="M25" s="73" t="str">
        <f aca="false">_xlfn.IFNA(INDEX(Cascade!$BK:$BK,MATCH($E25,Cascade!$E:$E,0)),"")</f>
        <v/>
      </c>
      <c r="N25" s="118" t="n">
        <v>41</v>
      </c>
      <c r="O25" s="118"/>
      <c r="P25" s="118" t="n">
        <v>8</v>
      </c>
      <c r="Q25" s="75" t="str">
        <f aca="false">IF(OR(SUM($H25)=0,SUM($N25)=0,SUM($O25)=0),"",ROUND($H25*$N25,0))</f>
        <v/>
      </c>
      <c r="R25" s="75" t="str">
        <f aca="false">IF(OR(SUM($Q25)=0,SUM($O25)=0),"",ROUND(SUM($Q25)/SUM($O25),0)-SUM($Q25))</f>
        <v/>
      </c>
      <c r="S25" s="75" t="str">
        <f aca="false">IF(SUM($H25)=0,"",SUM($H25)-SUM($Q25))</f>
        <v/>
      </c>
      <c r="T25" s="75" t="str">
        <f aca="false">IF(OR(SUM($S25)=0,$N25&gt;1,SUM($P25)&lt;=0),"",ROUND($S25/$P25,0)-$S25)</f>
        <v/>
      </c>
      <c r="U25" s="118" t="str">
        <f aca="false">IF(SUM($G25)&lt;=0,"",SUM($Q25,$S25)/$G25)</f>
        <v/>
      </c>
      <c r="V25" s="118" t="str">
        <f aca="false">IF(OR(SUM($Q25)=0,SUM($G25)=0),"",SUM($Q25)/SUM($G25))</f>
        <v/>
      </c>
      <c r="W25" s="118" t="str">
        <f aca="false">IF(OR(SUM($S25)=0,SUM($G25)=0),"",SUM($S25)/SUM($G25))</f>
        <v/>
      </c>
      <c r="X25" s="118" t="str">
        <f aca="false">IF(OR(SUM($G25)=0,SUM($I25)=0),"",SUM($I25)/SUM($G25))</f>
        <v/>
      </c>
      <c r="Y25" s="118" t="str">
        <f aca="false">IF(OR(SUM($G25)=0,SUM($J25)=0),"",SUM($J25)/SUM($G25))</f>
        <v/>
      </c>
      <c r="Z25" s="118" t="str">
        <f aca="false">IF(OR(SUM($G25)=0,SUM($K25)=0),"",SUM($K25)/SUM($G25))</f>
        <v/>
      </c>
      <c r="AA25" s="118" t="str">
        <f aca="false">IF(OR(SUM($G25)=0,SUM($L25)=0),"",SUM($L25)/SUM($G25))</f>
        <v/>
      </c>
      <c r="AB25" s="118" t="n">
        <v>26</v>
      </c>
      <c r="AC25" s="118"/>
      <c r="AD25" s="118"/>
      <c r="AE25" s="118" t="n">
        <v>26</v>
      </c>
      <c r="AF25" s="118" t="n">
        <v>48</v>
      </c>
      <c r="AG25" s="118" t="n">
        <v>26</v>
      </c>
      <c r="AH25" s="118" t="n">
        <v>6</v>
      </c>
      <c r="AI25" s="118" t="n">
        <v>12</v>
      </c>
      <c r="AJ25" s="118" t="n">
        <v>49</v>
      </c>
      <c r="AK25" s="118" t="str">
        <f aca="false">IF(SUM($G25)&lt;=0,"",SUM($V25:$AJ25))</f>
        <v/>
      </c>
      <c r="AL25" s="118"/>
      <c r="AM25" s="75" t="str">
        <f aca="false">IF(OR(SUM($AB25)&lt;=0,SUM($G25)&lt;=0),"",ROUND($G25*$AB25,0))</f>
        <v/>
      </c>
      <c r="AN25" s="75" t="str">
        <f aca="false">IF(SUM($AM25)&lt;=0,"",IF(SUM($AL25)&lt;=0,"ENTER VALID YIELD!",ROUND($AM25/$AL25,0)-$AM25))</f>
        <v/>
      </c>
      <c r="AO25" s="118"/>
      <c r="AP25" s="75" t="str">
        <f aca="false">IF(OR(SUM($AC25)&lt;=0,SUM($G25)&lt;=0),"",ROUND($G25*$AC25,0))</f>
        <v/>
      </c>
      <c r="AQ25" s="75" t="str">
        <f aca="false">IF(SUM($AP25)&lt;=0,"",IF(SUM($AO25)&lt;=0,"ENTER VALID YIELD!",ROUND($AP25/$AO25,0)-$AP25))</f>
        <v/>
      </c>
      <c r="AR25" s="118"/>
      <c r="AS25" s="75" t="str">
        <f aca="false">IF(OR(SUM($AD25)&lt;=0,SUM($G25)&lt;=0),"",ROUND($G25*$AD25,0))</f>
        <v/>
      </c>
      <c r="AT25" s="75" t="str">
        <f aca="false">IF(SUM($AS25)&lt;=0,"",IF(SUM($AR25)&lt;=0,"ENTER VALID YIELD!",ROUND($AS25/$AR25,0)-$AS25))</f>
        <v/>
      </c>
      <c r="AU25" s="118"/>
      <c r="AV25" s="75" t="str">
        <f aca="false">IF(OR(SUM($AE25)&lt;=0,SUM($G25)&lt;=0),"",ROUND($G25*$AE25,0))</f>
        <v/>
      </c>
      <c r="AW25" s="75" t="str">
        <f aca="false">IF(SUM($AV25)&lt;=0,"",IF(SUM($AU25)&lt;=0,"ENTER VALID YIELD!",ROUND($AV25/$AU25,0)-$AV25))</f>
        <v/>
      </c>
      <c r="AX25" s="118"/>
      <c r="AY25" s="75" t="str">
        <f aca="false">IF(OR(SUM($AF25)&lt;=0,SUM($G25)&lt;=0),"",ROUND($G25*$AF25,0))</f>
        <v/>
      </c>
      <c r="AZ25" s="75" t="str">
        <f aca="false">IF(SUM($AY25)&lt;=0,"",IF(SUM($AX25)&lt;=0,"ENTER VALID YIELD!",ROUND($AY25/$AX25,0)-$AY25))</f>
        <v/>
      </c>
      <c r="BA25" s="118" t="n">
        <v>46</v>
      </c>
      <c r="BB25" s="75" t="str">
        <f aca="false">IF(OR(SUM($AG25)&lt;=0,SUM($G25)&lt;=0),"",ROUND($G25*$AG25,0))</f>
        <v/>
      </c>
      <c r="BC25" s="75" t="str">
        <f aca="false">IF(SUM($BB25)&lt;=0,"",IF(SUM($BA25)&lt;=0,"ENTER VALID YIELD!",ROUND($BB25/$BA25,0)-$BB25))</f>
        <v/>
      </c>
      <c r="BD25" s="118" t="n">
        <v>25</v>
      </c>
      <c r="BE25" s="75" t="str">
        <f aca="false">IF(OR(SUM($AH25)&lt;=0,SUM($G25)&lt;=0),"",ROUND($G25*$AH25,0))</f>
        <v/>
      </c>
      <c r="BF25" s="75" t="str">
        <f aca="false">IF(SUM($BE25)&lt;=0,"",IF(SUM($BD25)&lt;=0,"ENTER VALID YIELD!",ROUND($BE25/$BD25,0)-$BE25))</f>
        <v/>
      </c>
      <c r="BG25" s="118" t="n">
        <v>5</v>
      </c>
      <c r="BH25" s="75" t="str">
        <f aca="false">IF(OR(SUM($AI25)&lt;=0,SUM($G25)&lt;=0),"",ROUND($G25*$AI25,0))</f>
        <v/>
      </c>
      <c r="BI25" s="75" t="str">
        <f aca="false">IF(SUM($BH25)&lt;=0,"",IF(SUM($BG25)&lt;=0,"ENTER VALID YIELD!",ROUND($BH25/$BG25,0)-$BH25))</f>
        <v/>
      </c>
      <c r="BJ25" s="118"/>
      <c r="BK25" s="75" t="str">
        <f aca="false">IF(OR(SUM($AJ25)&lt;=0,SUM($G25)&lt;=0),"",ROUND($G25*$AJ25,0))</f>
        <v/>
      </c>
      <c r="BL25" s="75" t="str">
        <f aca="false">IF(SUM($BK25)&lt;=0,"",IF(SUM($BJ25)&lt;=0,"ENTER VALID YIELD!",ROUND($BK25/$BJ25,0)-$BK25))</f>
        <v/>
      </c>
      <c r="BM25" s="73" t="str">
        <f aca="false">IF(SUM($G25)&lt;=0,"",$G25)</f>
        <v/>
      </c>
      <c r="BN25" s="73" t="str">
        <f aca="false">IF(SUM($G25)&lt;=0,"",SUM($I25:$L25,$Q25,$S25,$AM25,$AP25,$AS25,$AV25,$AY25,$BB25,$BE25,$BH25,$BK25))</f>
        <v/>
      </c>
      <c r="BO25" s="73" t="str">
        <f aca="false">IF(AND(SUM($BN25)&lt;=0,SUM($BM25)&lt;=0),"",SUM($BN25)-SUM($BM25))</f>
        <v/>
      </c>
      <c r="BP25" s="73" t="n">
        <f aca="false">_xlfn.IFNA(INDEX(PMTCT!$AF:$AF,MATCH($E25,PMTCT!$E:$E,0)),"")</f>
        <v>4590</v>
      </c>
      <c r="BQ25" s="73" t="str">
        <f aca="false">_xlfn.IFNA(INDEX(PMTCT!$AV:$AV,MATCH($E25,PMTCT!$E:$E,0)),"")</f>
        <v/>
      </c>
      <c r="BR25" s="73" t="n">
        <f aca="false">_xlfn.IFNA(INDEX(TB!$R:$R,MATCH($E25,TB!$E:$E,0)),"")</f>
        <v>-108</v>
      </c>
      <c r="BS25" s="73" t="str">
        <f aca="false">_xlfn.IFNA(INDEX(VMMC!$AD:$AD,MATCH($E25,VMMC!$E:$E,0)),"")</f>
        <v/>
      </c>
      <c r="BT25" s="73" t="n">
        <f aca="false">IF(SUM($R25,$T25,$AN25,$AQ25,$AT25,$AW25,$AZ25,$BC25,$BF25,$BI25,$BL25,$BP25:$BS25)=0,"",SUM($R25,$T25,$AN25,$AQ25,$AT25,$AW25,$AZ25,$BC25,$BF25,$BI25,$BL25,$BP25:$BS25))</f>
        <v>4482</v>
      </c>
      <c r="BU25" s="73" t="str">
        <f aca="false">IF(OR(SUM($BT25)=0,SUM($BN25)=0),"",SUM($BT25,$BN25))</f>
        <v/>
      </c>
      <c r="BV25" s="118" t="str">
        <f aca="false">IF(SUM($BU25)=0,"",SUM($BN25)/$BU25)</f>
        <v/>
      </c>
      <c r="BW25" s="73" t="n">
        <v>25</v>
      </c>
      <c r="BX25" s="118" t="n">
        <f aca="false">IF(OR($C25="01-04",$C25="05-09"),"",0%)</f>
        <v>0</v>
      </c>
      <c r="BY25" s="75" t="n">
        <f aca="false">IF(OR($C25="01-04",$C25="05-09",SUM($BW25)=0),"",ROUND($BW25*(1+$BX25),0))</f>
        <v>25</v>
      </c>
    </row>
    <row r="26" customFormat="false" ht="15" hidden="false" customHeight="false" outlineLevel="0" collapsed="false">
      <c r="A26" s="0" t="s">
        <v>140</v>
      </c>
      <c r="B26" s="0" t="s">
        <v>141</v>
      </c>
      <c r="C26" s="0" t="s">
        <v>69</v>
      </c>
      <c r="D26" s="0" t="s">
        <v>58</v>
      </c>
      <c r="E26" s="0" t="str">
        <f aca="false">B26&amp;"|"&amp;C26&amp;"|"&amp;D26</f>
        <v>_Military Lesotho [#Military] [dDOqoFnD5Be]|25-29|Male</v>
      </c>
      <c r="F26" s="118" t="str">
        <f aca="false">_xlfn.IFNA(INDEX(Cascade!$Y:$Y,MATCH($E26,Cascade!$E:$E,0)),"")</f>
        <v/>
      </c>
      <c r="G26" s="73" t="n">
        <f aca="false">_xlfn.IFNA(INDEX(Cascade!$BD:$BD,MATCH($E26,Cascade!$E:$E,0)),"")</f>
        <v>1</v>
      </c>
      <c r="H26" s="73" t="n">
        <f aca="false">_xlfn.IFNA(INDEX(Cascade!$BE:$BE,MATCH($E26,Cascade!$E:$E,0)),"")</f>
        <v>0</v>
      </c>
      <c r="I26" s="73" t="str">
        <f aca="false">_xlfn.IFNA(INDEX(Cascade!$BF:$BF,MATCH($E26,Cascade!$E:$E,0)),"")</f>
        <v/>
      </c>
      <c r="J26" s="73" t="str">
        <f aca="false">_xlfn.IFNA(INDEX(Cascade!$BG:$BG,MATCH($E26,Cascade!$E:$E,0)),"")</f>
        <v/>
      </c>
      <c r="K26" s="73" t="n">
        <f aca="false">_xlfn.IFNA(INDEX(Cascade!$BH:$BH,MATCH($E26,Cascade!$E:$E,0)),"")</f>
        <v>-0</v>
      </c>
      <c r="L26" s="73" t="n">
        <f aca="false">_xlfn.IFNA(INDEX(Cascade!$BI:$BI,MATCH($E26,Cascade!$E:$E,0)),"")</f>
        <v>-0</v>
      </c>
      <c r="M26" s="73" t="n">
        <f aca="false">_xlfn.IFNA(INDEX(Cascade!$BK:$BK,MATCH($E26,Cascade!$E:$E,0)),"")</f>
        <v>1</v>
      </c>
      <c r="N26" s="118" t="n">
        <v>3</v>
      </c>
      <c r="O26" s="118"/>
      <c r="P26" s="118" t="n">
        <v>1</v>
      </c>
      <c r="Q26" s="75" t="str">
        <f aca="false">IF(OR(SUM($H26)=0,SUM($N26)=0,SUM($O26)=0),"",ROUND($H26*$N26,0))</f>
        <v/>
      </c>
      <c r="R26" s="75" t="str">
        <f aca="false">IF(OR(SUM($Q26)=0,SUM($O26)=0),"",ROUND(SUM($Q26)/SUM($O26),0)-SUM($Q26))</f>
        <v/>
      </c>
      <c r="S26" s="75" t="str">
        <f aca="false">IF(SUM($H26)=0,"",SUM($H26)-SUM($Q26))</f>
        <v/>
      </c>
      <c r="T26" s="75" t="str">
        <f aca="false">IF(OR(SUM($S26)=0,$N26&gt;1,SUM($P26)&lt;=0),"",ROUND($S26/$P26,0)-$S26)</f>
        <v/>
      </c>
      <c r="U26" s="118" t="n">
        <f aca="false">IF(SUM($G26)&lt;=0,"",SUM($Q26,$S26)/$G26)</f>
        <v>0</v>
      </c>
      <c r="V26" s="118" t="str">
        <f aca="false">IF(OR(SUM($Q26)=0,SUM($G26)=0),"",SUM($Q26)/SUM($G26))</f>
        <v/>
      </c>
      <c r="W26" s="118" t="str">
        <f aca="false">IF(OR(SUM($S26)=0,SUM($G26)=0),"",SUM($S26)/SUM($G26))</f>
        <v/>
      </c>
      <c r="X26" s="118" t="str">
        <f aca="false">IF(OR(SUM($G26)=0,SUM($I26)=0),"",SUM($I26)/SUM($G26))</f>
        <v/>
      </c>
      <c r="Y26" s="118" t="str">
        <f aca="false">IF(OR(SUM($G26)=0,SUM($J26)=0),"",SUM($J26)/SUM($G26))</f>
        <v/>
      </c>
      <c r="Z26" s="118" t="str">
        <f aca="false">IF(OR(SUM($G26)=0,SUM($K26)=0),"",SUM($K26)/SUM($G26))</f>
        <v/>
      </c>
      <c r="AA26" s="118" t="str">
        <f aca="false">IF(OR(SUM($G26)=0,SUM($L26)=0),"",SUM($L26)/SUM($G26))</f>
        <v/>
      </c>
      <c r="AB26" s="118" t="n">
        <v>42</v>
      </c>
      <c r="AC26" s="118"/>
      <c r="AD26" s="118"/>
      <c r="AE26" s="118" t="n">
        <v>44</v>
      </c>
      <c r="AF26" s="118" t="n">
        <v>36</v>
      </c>
      <c r="AG26" s="118" t="n">
        <v>43</v>
      </c>
      <c r="AH26" s="118" t="n">
        <v>32</v>
      </c>
      <c r="AI26" s="118" t="n">
        <v>23</v>
      </c>
      <c r="AJ26" s="118" t="n">
        <v>5</v>
      </c>
      <c r="AK26" s="118" t="n">
        <f aca="false">IF(SUM($G26)&lt;=0,"",SUM($V26:$AJ26))</f>
        <v>225</v>
      </c>
      <c r="AL26" s="118" t="n">
        <v>41</v>
      </c>
      <c r="AM26" s="75" t="n">
        <f aca="false">IF(OR(SUM($AB26)&lt;=0,SUM($G26)&lt;=0),"",ROUND($G26*$AB26,0))</f>
        <v>42</v>
      </c>
      <c r="AN26" s="75" t="n">
        <f aca="false">IF(SUM($AM26)&lt;=0,"",IF(SUM($AL26)&lt;=0,"ENTER VALID YIELD!",ROUND($AM26/$AL26,0)-$AM26))</f>
        <v>-41</v>
      </c>
      <c r="AO26" s="118"/>
      <c r="AP26" s="75" t="str">
        <f aca="false">IF(OR(SUM($AC26)&lt;=0,SUM($G26)&lt;=0),"",ROUND($G26*$AC26,0))</f>
        <v/>
      </c>
      <c r="AQ26" s="75" t="str">
        <f aca="false">IF(SUM($AP26)&lt;=0,"",IF(SUM($AO26)&lt;=0,"ENTER VALID YIELD!",ROUND($AP26/$AO26,0)-$AP26))</f>
        <v/>
      </c>
      <c r="AR26" s="118"/>
      <c r="AS26" s="75" t="str">
        <f aca="false">IF(OR(SUM($AD26)&lt;=0,SUM($G26)&lt;=0),"",ROUND($G26*$AD26,0))</f>
        <v/>
      </c>
      <c r="AT26" s="75" t="str">
        <f aca="false">IF(SUM($AS26)&lt;=0,"",IF(SUM($AR26)&lt;=0,"ENTER VALID YIELD!",ROUND($AS26/$AR26,0)-$AS26))</f>
        <v/>
      </c>
      <c r="AU26" s="118"/>
      <c r="AV26" s="75" t="n">
        <f aca="false">IF(OR(SUM($AE26)&lt;=0,SUM($G26)&lt;=0),"",ROUND($G26*$AE26,0))</f>
        <v>44</v>
      </c>
      <c r="AW26" s="75" t="str">
        <f aca="false">IF(SUM($AV26)&lt;=0,"",IF(SUM($AU26)&lt;=0,"ENTER VALID YIELD!",ROUND($AV26/$AU26,0)-$AV26))</f>
        <v>ENTER VALID YIELD!</v>
      </c>
      <c r="AX26" s="118"/>
      <c r="AY26" s="75" t="n">
        <f aca="false">IF(OR(SUM($AF26)&lt;=0,SUM($G26)&lt;=0),"",ROUND($G26*$AF26,0))</f>
        <v>36</v>
      </c>
      <c r="AZ26" s="75" t="str">
        <f aca="false">IF(SUM($AY26)&lt;=0,"",IF(SUM($AX26)&lt;=0,"ENTER VALID YIELD!",ROUND($AY26/$AX26,0)-$AY26))</f>
        <v>ENTER VALID YIELD!</v>
      </c>
      <c r="BA26" s="118" t="n">
        <v>30</v>
      </c>
      <c r="BB26" s="75" t="n">
        <f aca="false">IF(OR(SUM($AG26)&lt;=0,SUM($G26)&lt;=0),"",ROUND($G26*$AG26,0))</f>
        <v>43</v>
      </c>
      <c r="BC26" s="75" t="n">
        <f aca="false">IF(SUM($BB26)&lt;=0,"",IF(SUM($BA26)&lt;=0,"ENTER VALID YIELD!",ROUND($BB26/$BA26,0)-$BB26))</f>
        <v>-42</v>
      </c>
      <c r="BD26" s="118"/>
      <c r="BE26" s="75" t="n">
        <f aca="false">IF(OR(SUM($AH26)&lt;=0,SUM($G26)&lt;=0),"",ROUND($G26*$AH26,0))</f>
        <v>32</v>
      </c>
      <c r="BF26" s="75" t="str">
        <f aca="false">IF(SUM($BE26)&lt;=0,"",IF(SUM($BD26)&lt;=0,"ENTER VALID YIELD!",ROUND($BE26/$BD26,0)-$BE26))</f>
        <v>ENTER VALID YIELD!</v>
      </c>
      <c r="BG26" s="118" t="n">
        <v>3</v>
      </c>
      <c r="BH26" s="75" t="n">
        <f aca="false">IF(OR(SUM($AI26)&lt;=0,SUM($G26)&lt;=0),"",ROUND($G26*$AI26,0))</f>
        <v>23</v>
      </c>
      <c r="BI26" s="75" t="n">
        <f aca="false">IF(SUM($BH26)&lt;=0,"",IF(SUM($BG26)&lt;=0,"ENTER VALID YIELD!",ROUND($BH26/$BG26,0)-$BH26))</f>
        <v>-15</v>
      </c>
      <c r="BJ26" s="118"/>
      <c r="BK26" s="75" t="n">
        <f aca="false">IF(OR(SUM($AJ26)&lt;=0,SUM($G26)&lt;=0),"",ROUND($G26*$AJ26,0))</f>
        <v>5</v>
      </c>
      <c r="BL26" s="75" t="str">
        <f aca="false">IF(SUM($BK26)&lt;=0,"",IF(SUM($BJ26)&lt;=0,"ENTER VALID YIELD!",ROUND($BK26/$BJ26,0)-$BK26))</f>
        <v>ENTER VALID YIELD!</v>
      </c>
      <c r="BM26" s="73" t="n">
        <f aca="false">IF(SUM($G26)&lt;=0,"",$G26)</f>
        <v>1</v>
      </c>
      <c r="BN26" s="73" t="n">
        <f aca="false">IF(SUM($G26)&lt;=0,"",SUM($I26:$L26,$Q26,$S26,$AM26,$AP26,$AS26,$AV26,$AY26,$BB26,$BE26,$BH26,$BK26))</f>
        <v>225</v>
      </c>
      <c r="BO26" s="73" t="n">
        <f aca="false">IF(AND(SUM($BN26)&lt;=0,SUM($BM26)&lt;=0),"",SUM($BN26)-SUM($BM26))</f>
        <v>224</v>
      </c>
      <c r="BP26" s="73" t="str">
        <f aca="false">_xlfn.IFNA(INDEX(PMTCT!$AF:$AF,MATCH($E26,PMTCT!$E:$E,0)),"")</f>
        <v/>
      </c>
      <c r="BQ26" s="73" t="str">
        <f aca="false">_xlfn.IFNA(INDEX(PMTCT!$AV:$AV,MATCH($E26,PMTCT!$E:$E,0)),"")</f>
        <v/>
      </c>
      <c r="BR26" s="73" t="n">
        <f aca="false">_xlfn.IFNA(INDEX(TB!$R:$R,MATCH($E26,TB!$E:$E,0)),"")</f>
        <v>-495</v>
      </c>
      <c r="BS26" s="73" t="n">
        <f aca="false">_xlfn.IFNA(INDEX(VMMC!$AD:$AD,MATCH($E26,VMMC!$E:$E,0)),"")</f>
        <v>-816</v>
      </c>
      <c r="BT26" s="73" t="n">
        <f aca="false">IF(SUM($R26,$T26,$AN26,$AQ26,$AT26,$AW26,$AZ26,$BC26,$BF26,$BI26,$BL26,$BP26:$BS26)=0,"",SUM($R26,$T26,$AN26,$AQ26,$AT26,$AW26,$AZ26,$BC26,$BF26,$BI26,$BL26,$BP26:$BS26))</f>
        <v>-1409</v>
      </c>
      <c r="BU26" s="73" t="n">
        <f aca="false">IF(OR(SUM($BT26)=0,SUM($BN26)=0),"",SUM($BT26,$BN26))</f>
        <v>-1184</v>
      </c>
      <c r="BV26" s="118" t="n">
        <f aca="false">IF(SUM($BU26)=0,"",SUM($BN26)/$BU26)</f>
        <v>-0.190033783783784</v>
      </c>
      <c r="BW26" s="73" t="n">
        <v>39</v>
      </c>
      <c r="BX26" s="118" t="n">
        <f aca="false">IF(OR($C26="01-04",$C26="05-09"),"",0%)</f>
        <v>0</v>
      </c>
      <c r="BY26" s="75" t="n">
        <f aca="false">IF(OR($C26="01-04",$C26="05-09",SUM($BW26)=0),"",ROUND($BW26*(1+$BX26),0))</f>
        <v>39</v>
      </c>
    </row>
    <row r="27" customFormat="false" ht="15" hidden="false" customHeight="false" outlineLevel="0" collapsed="false">
      <c r="A27" s="0" t="s">
        <v>140</v>
      </c>
      <c r="B27" s="0" t="s">
        <v>141</v>
      </c>
      <c r="C27" s="0" t="s">
        <v>72</v>
      </c>
      <c r="D27" s="0" t="s">
        <v>56</v>
      </c>
      <c r="E27" s="0" t="str">
        <f aca="false">B27&amp;"|"&amp;C27&amp;"|"&amp;D27</f>
        <v>_Military Lesotho [#Military] [dDOqoFnD5Be]|30-34|Female</v>
      </c>
      <c r="F27" s="118" t="str">
        <f aca="false">_xlfn.IFNA(INDEX(Cascade!$Y:$Y,MATCH($E27,Cascade!$E:$E,0)),"")</f>
        <v/>
      </c>
      <c r="G27" s="73" t="str">
        <f aca="false">_xlfn.IFNA(INDEX(Cascade!$BD:$BD,MATCH($E27,Cascade!$E:$E,0)),"")</f>
        <v/>
      </c>
      <c r="H27" s="73" t="str">
        <f aca="false">_xlfn.IFNA(INDEX(Cascade!$BE:$BE,MATCH($E27,Cascade!$E:$E,0)),"")</f>
        <v/>
      </c>
      <c r="I27" s="73" t="n">
        <f aca="false">_xlfn.IFNA(INDEX(Cascade!$BF:$BF,MATCH($E27,Cascade!$E:$E,0)),"")</f>
        <v>-27962</v>
      </c>
      <c r="J27" s="73" t="str">
        <f aca="false">_xlfn.IFNA(INDEX(Cascade!$BG:$BG,MATCH($E27,Cascade!$E:$E,0)),"")</f>
        <v/>
      </c>
      <c r="K27" s="73" t="n">
        <f aca="false">_xlfn.IFNA(INDEX(Cascade!$BH:$BH,MATCH($E27,Cascade!$E:$E,0)),"")</f>
        <v>0</v>
      </c>
      <c r="L27" s="73" t="str">
        <f aca="false">_xlfn.IFNA(INDEX(Cascade!$BI:$BI,MATCH($E27,Cascade!$E:$E,0)),"")</f>
        <v/>
      </c>
      <c r="M27" s="73" t="str">
        <f aca="false">_xlfn.IFNA(INDEX(Cascade!$BK:$BK,MATCH($E27,Cascade!$E:$E,0)),"")</f>
        <v/>
      </c>
      <c r="N27" s="118" t="n">
        <v>9</v>
      </c>
      <c r="O27" s="118"/>
      <c r="P27" s="118" t="n">
        <v>12</v>
      </c>
      <c r="Q27" s="75" t="str">
        <f aca="false">IF(OR(SUM($H27)=0,SUM($N27)=0,SUM($O27)=0),"",ROUND($H27*$N27,0))</f>
        <v/>
      </c>
      <c r="R27" s="75" t="str">
        <f aca="false">IF(OR(SUM($Q27)=0,SUM($O27)=0),"",ROUND(SUM($Q27)/SUM($O27),0)-SUM($Q27))</f>
        <v/>
      </c>
      <c r="S27" s="75" t="str">
        <f aca="false">IF(SUM($H27)=0,"",SUM($H27)-SUM($Q27))</f>
        <v/>
      </c>
      <c r="T27" s="75" t="str">
        <f aca="false">IF(OR(SUM($S27)=0,$N27&gt;1,SUM($P27)&lt;=0),"",ROUND($S27/$P27,0)-$S27)</f>
        <v/>
      </c>
      <c r="U27" s="118" t="str">
        <f aca="false">IF(SUM($G27)&lt;=0,"",SUM($Q27,$S27)/$G27)</f>
        <v/>
      </c>
      <c r="V27" s="118" t="str">
        <f aca="false">IF(OR(SUM($Q27)=0,SUM($G27)=0),"",SUM($Q27)/SUM($G27))</f>
        <v/>
      </c>
      <c r="W27" s="118" t="str">
        <f aca="false">IF(OR(SUM($S27)=0,SUM($G27)=0),"",SUM($S27)/SUM($G27))</f>
        <v/>
      </c>
      <c r="X27" s="118" t="str">
        <f aca="false">IF(OR(SUM($G27)=0,SUM($I27)=0),"",SUM($I27)/SUM($G27))</f>
        <v/>
      </c>
      <c r="Y27" s="118" t="str">
        <f aca="false">IF(OR(SUM($G27)=0,SUM($J27)=0),"",SUM($J27)/SUM($G27))</f>
        <v/>
      </c>
      <c r="Z27" s="118" t="str">
        <f aca="false">IF(OR(SUM($G27)=0,SUM($K27)=0),"",SUM($K27)/SUM($G27))</f>
        <v/>
      </c>
      <c r="AA27" s="118" t="str">
        <f aca="false">IF(OR(SUM($G27)=0,SUM($L27)=0),"",SUM($L27)/SUM($G27))</f>
        <v/>
      </c>
      <c r="AB27" s="118" t="n">
        <v>23</v>
      </c>
      <c r="AC27" s="118"/>
      <c r="AD27" s="118"/>
      <c r="AE27" s="118" t="n">
        <v>21</v>
      </c>
      <c r="AF27" s="118" t="n">
        <v>23</v>
      </c>
      <c r="AG27" s="118" t="n">
        <v>28</v>
      </c>
      <c r="AH27" s="118" t="n">
        <v>49</v>
      </c>
      <c r="AI27" s="118" t="n">
        <v>30</v>
      </c>
      <c r="AJ27" s="118" t="n">
        <v>39</v>
      </c>
      <c r="AK27" s="118" t="str">
        <f aca="false">IF(SUM($G27)&lt;=0,"",SUM($V27:$AJ27))</f>
        <v/>
      </c>
      <c r="AL27" s="118"/>
      <c r="AM27" s="75" t="str">
        <f aca="false">IF(OR(SUM($AB27)&lt;=0,SUM($G27)&lt;=0),"",ROUND($G27*$AB27,0))</f>
        <v/>
      </c>
      <c r="AN27" s="75" t="str">
        <f aca="false">IF(SUM($AM27)&lt;=0,"",IF(SUM($AL27)&lt;=0,"ENTER VALID YIELD!",ROUND($AM27/$AL27,0)-$AM27))</f>
        <v/>
      </c>
      <c r="AO27" s="118"/>
      <c r="AP27" s="75" t="str">
        <f aca="false">IF(OR(SUM($AC27)&lt;=0,SUM($G27)&lt;=0),"",ROUND($G27*$AC27,0))</f>
        <v/>
      </c>
      <c r="AQ27" s="75" t="str">
        <f aca="false">IF(SUM($AP27)&lt;=0,"",IF(SUM($AO27)&lt;=0,"ENTER VALID YIELD!",ROUND($AP27/$AO27,0)-$AP27))</f>
        <v/>
      </c>
      <c r="AR27" s="118"/>
      <c r="AS27" s="75" t="str">
        <f aca="false">IF(OR(SUM($AD27)&lt;=0,SUM($G27)&lt;=0),"",ROUND($G27*$AD27,0))</f>
        <v/>
      </c>
      <c r="AT27" s="75" t="str">
        <f aca="false">IF(SUM($AS27)&lt;=0,"",IF(SUM($AR27)&lt;=0,"ENTER VALID YIELD!",ROUND($AS27/$AR27,0)-$AS27))</f>
        <v/>
      </c>
      <c r="AU27" s="118"/>
      <c r="AV27" s="75" t="str">
        <f aca="false">IF(OR(SUM($AE27)&lt;=0,SUM($G27)&lt;=0),"",ROUND($G27*$AE27,0))</f>
        <v/>
      </c>
      <c r="AW27" s="75" t="str">
        <f aca="false">IF(SUM($AV27)&lt;=0,"",IF(SUM($AU27)&lt;=0,"ENTER VALID YIELD!",ROUND($AV27/$AU27,0)-$AV27))</f>
        <v/>
      </c>
      <c r="AX27" s="118"/>
      <c r="AY27" s="75" t="str">
        <f aca="false">IF(OR(SUM($AF27)&lt;=0,SUM($G27)&lt;=0),"",ROUND($G27*$AF27,0))</f>
        <v/>
      </c>
      <c r="AZ27" s="75" t="str">
        <f aca="false">IF(SUM($AY27)&lt;=0,"",IF(SUM($AX27)&lt;=0,"ENTER VALID YIELD!",ROUND($AY27/$AX27,0)-$AY27))</f>
        <v/>
      </c>
      <c r="BA27" s="118" t="n">
        <v>49</v>
      </c>
      <c r="BB27" s="75" t="str">
        <f aca="false">IF(OR(SUM($AG27)&lt;=0,SUM($G27)&lt;=0),"",ROUND($G27*$AG27,0))</f>
        <v/>
      </c>
      <c r="BC27" s="75" t="str">
        <f aca="false">IF(SUM($BB27)&lt;=0,"",IF(SUM($BA27)&lt;=0,"ENTER VALID YIELD!",ROUND($BB27/$BA27,0)-$BB27))</f>
        <v/>
      </c>
      <c r="BD27" s="118"/>
      <c r="BE27" s="75" t="str">
        <f aca="false">IF(OR(SUM($AH27)&lt;=0,SUM($G27)&lt;=0),"",ROUND($G27*$AH27,0))</f>
        <v/>
      </c>
      <c r="BF27" s="75" t="str">
        <f aca="false">IF(SUM($BE27)&lt;=0,"",IF(SUM($BD27)&lt;=0,"ENTER VALID YIELD!",ROUND($BE27/$BD27,0)-$BE27))</f>
        <v/>
      </c>
      <c r="BG27" s="118" t="n">
        <v>2</v>
      </c>
      <c r="BH27" s="75" t="str">
        <f aca="false">IF(OR(SUM($AI27)&lt;=0,SUM($G27)&lt;=0),"",ROUND($G27*$AI27,0))</f>
        <v/>
      </c>
      <c r="BI27" s="75" t="str">
        <f aca="false">IF(SUM($BH27)&lt;=0,"",IF(SUM($BG27)&lt;=0,"ENTER VALID YIELD!",ROUND($BH27/$BG27,0)-$BH27))</f>
        <v/>
      </c>
      <c r="BJ27" s="118"/>
      <c r="BK27" s="75" t="str">
        <f aca="false">IF(OR(SUM($AJ27)&lt;=0,SUM($G27)&lt;=0),"",ROUND($G27*$AJ27,0))</f>
        <v/>
      </c>
      <c r="BL27" s="75" t="str">
        <f aca="false">IF(SUM($BK27)&lt;=0,"",IF(SUM($BJ27)&lt;=0,"ENTER VALID YIELD!",ROUND($BK27/$BJ27,0)-$BK27))</f>
        <v/>
      </c>
      <c r="BM27" s="73" t="str">
        <f aca="false">IF(SUM($G27)&lt;=0,"",$G27)</f>
        <v/>
      </c>
      <c r="BN27" s="73" t="str">
        <f aca="false">IF(SUM($G27)&lt;=0,"",SUM($I27:$L27,$Q27,$S27,$AM27,$AP27,$AS27,$AV27,$AY27,$BB27,$BE27,$BH27,$BK27))</f>
        <v/>
      </c>
      <c r="BO27" s="73" t="str">
        <f aca="false">IF(AND(SUM($BN27)&lt;=0,SUM($BM27)&lt;=0),"",SUM($BN27)-SUM($BM27))</f>
        <v/>
      </c>
      <c r="BP27" s="73" t="n">
        <f aca="false">_xlfn.IFNA(INDEX(PMTCT!$AF:$AF,MATCH($E27,PMTCT!$E:$E,0)),"")</f>
        <v>27280</v>
      </c>
      <c r="BQ27" s="73" t="str">
        <f aca="false">_xlfn.IFNA(INDEX(PMTCT!$AV:$AV,MATCH($E27,PMTCT!$E:$E,0)),"")</f>
        <v/>
      </c>
      <c r="BR27" s="73" t="n">
        <f aca="false">_xlfn.IFNA(INDEX(TB!$R:$R,MATCH($E27,TB!$E:$E,0)),"")</f>
        <v>23</v>
      </c>
      <c r="BS27" s="73" t="str">
        <f aca="false">_xlfn.IFNA(INDEX(VMMC!$AD:$AD,MATCH($E27,VMMC!$E:$E,0)),"")</f>
        <v/>
      </c>
      <c r="BT27" s="73" t="n">
        <f aca="false">IF(SUM($R27,$T27,$AN27,$AQ27,$AT27,$AW27,$AZ27,$BC27,$BF27,$BI27,$BL27,$BP27:$BS27)=0,"",SUM($R27,$T27,$AN27,$AQ27,$AT27,$AW27,$AZ27,$BC27,$BF27,$BI27,$BL27,$BP27:$BS27))</f>
        <v>27303</v>
      </c>
      <c r="BU27" s="73" t="str">
        <f aca="false">IF(OR(SUM($BT27)=0,SUM($BN27)=0),"",SUM($BT27,$BN27))</f>
        <v/>
      </c>
      <c r="BV27" s="118" t="str">
        <f aca="false">IF(SUM($BU27)=0,"",SUM($BN27)/$BU27)</f>
        <v/>
      </c>
      <c r="BW27" s="73" t="n">
        <v>21</v>
      </c>
      <c r="BX27" s="118" t="n">
        <f aca="false">IF(OR($C27="01-04",$C27="05-09"),"",0%)</f>
        <v>0</v>
      </c>
      <c r="BY27" s="75" t="n">
        <f aca="false">IF(OR($C27="01-04",$C27="05-09",SUM($BW27)=0),"",ROUND($BW27*(1+$BX27),0))</f>
        <v>21</v>
      </c>
    </row>
    <row r="28" customFormat="false" ht="15" hidden="false" customHeight="false" outlineLevel="0" collapsed="false">
      <c r="A28" s="0" t="s">
        <v>140</v>
      </c>
      <c r="B28" s="0" t="s">
        <v>141</v>
      </c>
      <c r="C28" s="0" t="s">
        <v>72</v>
      </c>
      <c r="D28" s="0" t="s">
        <v>58</v>
      </c>
      <c r="E28" s="0" t="str">
        <f aca="false">B28&amp;"|"&amp;C28&amp;"|"&amp;D28</f>
        <v>_Military Lesotho [#Military] [dDOqoFnD5Be]|30-34|Male</v>
      </c>
      <c r="F28" s="118" t="str">
        <f aca="false">_xlfn.IFNA(INDEX(Cascade!$Y:$Y,MATCH($E28,Cascade!$E:$E,0)),"")</f>
        <v/>
      </c>
      <c r="G28" s="73" t="str">
        <f aca="false">_xlfn.IFNA(INDEX(Cascade!$BD:$BD,MATCH($E28,Cascade!$E:$E,0)),"")</f>
        <v/>
      </c>
      <c r="H28" s="73" t="str">
        <f aca="false">_xlfn.IFNA(INDEX(Cascade!$BE:$BE,MATCH($E28,Cascade!$E:$E,0)),"")</f>
        <v/>
      </c>
      <c r="I28" s="73" t="str">
        <f aca="false">_xlfn.IFNA(INDEX(Cascade!$BF:$BF,MATCH($E28,Cascade!$E:$E,0)),"")</f>
        <v/>
      </c>
      <c r="J28" s="73" t="str">
        <f aca="false">_xlfn.IFNA(INDEX(Cascade!$BG:$BG,MATCH($E28,Cascade!$E:$E,0)),"")</f>
        <v/>
      </c>
      <c r="K28" s="73" t="n">
        <f aca="false">_xlfn.IFNA(INDEX(Cascade!$BH:$BH,MATCH($E28,Cascade!$E:$E,0)),"")</f>
        <v>-9240</v>
      </c>
      <c r="L28" s="73" t="str">
        <f aca="false">_xlfn.IFNA(INDEX(Cascade!$BI:$BI,MATCH($E28,Cascade!$E:$E,0)),"")</f>
        <v/>
      </c>
      <c r="M28" s="73" t="str">
        <f aca="false">_xlfn.IFNA(INDEX(Cascade!$BK:$BK,MATCH($E28,Cascade!$E:$E,0)),"")</f>
        <v/>
      </c>
      <c r="N28" s="118" t="n">
        <v>5</v>
      </c>
      <c r="O28" s="118"/>
      <c r="P28" s="118" t="n">
        <v>35</v>
      </c>
      <c r="Q28" s="75" t="str">
        <f aca="false">IF(OR(SUM($H28)=0,SUM($N28)=0,SUM($O28)=0),"",ROUND($H28*$N28,0))</f>
        <v/>
      </c>
      <c r="R28" s="75" t="str">
        <f aca="false">IF(OR(SUM($Q28)=0,SUM($O28)=0),"",ROUND(SUM($Q28)/SUM($O28),0)-SUM($Q28))</f>
        <v/>
      </c>
      <c r="S28" s="75" t="str">
        <f aca="false">IF(SUM($H28)=0,"",SUM($H28)-SUM($Q28))</f>
        <v/>
      </c>
      <c r="T28" s="75" t="str">
        <f aca="false">IF(OR(SUM($S28)=0,$N28&gt;1,SUM($P28)&lt;=0),"",ROUND($S28/$P28,0)-$S28)</f>
        <v/>
      </c>
      <c r="U28" s="118" t="str">
        <f aca="false">IF(SUM($G28)&lt;=0,"",SUM($Q28,$S28)/$G28)</f>
        <v/>
      </c>
      <c r="V28" s="118" t="str">
        <f aca="false">IF(OR(SUM($Q28)=0,SUM($G28)=0),"",SUM($Q28)/SUM($G28))</f>
        <v/>
      </c>
      <c r="W28" s="118" t="str">
        <f aca="false">IF(OR(SUM($S28)=0,SUM($G28)=0),"",SUM($S28)/SUM($G28))</f>
        <v/>
      </c>
      <c r="X28" s="118" t="str">
        <f aca="false">IF(OR(SUM($G28)=0,SUM($I28)=0),"",SUM($I28)/SUM($G28))</f>
        <v/>
      </c>
      <c r="Y28" s="118" t="str">
        <f aca="false">IF(OR(SUM($G28)=0,SUM($J28)=0),"",SUM($J28)/SUM($G28))</f>
        <v/>
      </c>
      <c r="Z28" s="118" t="str">
        <f aca="false">IF(OR(SUM($G28)=0,SUM($K28)=0),"",SUM($K28)/SUM($G28))</f>
        <v/>
      </c>
      <c r="AA28" s="118" t="str">
        <f aca="false">IF(OR(SUM($G28)=0,SUM($L28)=0),"",SUM($L28)/SUM($G28))</f>
        <v/>
      </c>
      <c r="AB28" s="118" t="n">
        <v>25</v>
      </c>
      <c r="AC28" s="118"/>
      <c r="AD28" s="118"/>
      <c r="AE28" s="118" t="n">
        <v>29</v>
      </c>
      <c r="AF28" s="118" t="n">
        <v>22</v>
      </c>
      <c r="AG28" s="118" t="n">
        <v>1</v>
      </c>
      <c r="AH28" s="118" t="n">
        <v>47</v>
      </c>
      <c r="AI28" s="118" t="n">
        <v>38</v>
      </c>
      <c r="AJ28" s="118" t="n">
        <v>50</v>
      </c>
      <c r="AK28" s="118" t="str">
        <f aca="false">IF(SUM($G28)&lt;=0,"",SUM($V28:$AJ28))</f>
        <v/>
      </c>
      <c r="AL28" s="118"/>
      <c r="AM28" s="75" t="str">
        <f aca="false">IF(OR(SUM($AB28)&lt;=0,SUM($G28)&lt;=0),"",ROUND($G28*$AB28,0))</f>
        <v/>
      </c>
      <c r="AN28" s="75" t="str">
        <f aca="false">IF(SUM($AM28)&lt;=0,"",IF(SUM($AL28)&lt;=0,"ENTER VALID YIELD!",ROUND($AM28/$AL28,0)-$AM28))</f>
        <v/>
      </c>
      <c r="AO28" s="118"/>
      <c r="AP28" s="75" t="str">
        <f aca="false">IF(OR(SUM($AC28)&lt;=0,SUM($G28)&lt;=0),"",ROUND($G28*$AC28,0))</f>
        <v/>
      </c>
      <c r="AQ28" s="75" t="str">
        <f aca="false">IF(SUM($AP28)&lt;=0,"",IF(SUM($AO28)&lt;=0,"ENTER VALID YIELD!",ROUND($AP28/$AO28,0)-$AP28))</f>
        <v/>
      </c>
      <c r="AR28" s="118"/>
      <c r="AS28" s="75" t="str">
        <f aca="false">IF(OR(SUM($AD28)&lt;=0,SUM($G28)&lt;=0),"",ROUND($G28*$AD28,0))</f>
        <v/>
      </c>
      <c r="AT28" s="75" t="str">
        <f aca="false">IF(SUM($AS28)&lt;=0,"",IF(SUM($AR28)&lt;=0,"ENTER VALID YIELD!",ROUND($AS28/$AR28,0)-$AS28))</f>
        <v/>
      </c>
      <c r="AU28" s="118"/>
      <c r="AV28" s="75" t="str">
        <f aca="false">IF(OR(SUM($AE28)&lt;=0,SUM($G28)&lt;=0),"",ROUND($G28*$AE28,0))</f>
        <v/>
      </c>
      <c r="AW28" s="75" t="str">
        <f aca="false">IF(SUM($AV28)&lt;=0,"",IF(SUM($AU28)&lt;=0,"ENTER VALID YIELD!",ROUND($AV28/$AU28,0)-$AV28))</f>
        <v/>
      </c>
      <c r="AX28" s="118"/>
      <c r="AY28" s="75" t="str">
        <f aca="false">IF(OR(SUM($AF28)&lt;=0,SUM($G28)&lt;=0),"",ROUND($G28*$AF28,0))</f>
        <v/>
      </c>
      <c r="AZ28" s="75" t="str">
        <f aca="false">IF(SUM($AY28)&lt;=0,"",IF(SUM($AX28)&lt;=0,"ENTER VALID YIELD!",ROUND($AY28/$AX28,0)-$AY28))</f>
        <v/>
      </c>
      <c r="BA28" s="118" t="n">
        <v>34</v>
      </c>
      <c r="BB28" s="75" t="str">
        <f aca="false">IF(OR(SUM($AG28)&lt;=0,SUM($G28)&lt;=0),"",ROUND($G28*$AG28,0))</f>
        <v/>
      </c>
      <c r="BC28" s="75" t="str">
        <f aca="false">IF(SUM($BB28)&lt;=0,"",IF(SUM($BA28)&lt;=0,"ENTER VALID YIELD!",ROUND($BB28/$BA28,0)-$BB28))</f>
        <v/>
      </c>
      <c r="BD28" s="118" t="n">
        <v>26</v>
      </c>
      <c r="BE28" s="75" t="str">
        <f aca="false">IF(OR(SUM($AH28)&lt;=0,SUM($G28)&lt;=0),"",ROUND($G28*$AH28,0))</f>
        <v/>
      </c>
      <c r="BF28" s="75" t="str">
        <f aca="false">IF(SUM($BE28)&lt;=0,"",IF(SUM($BD28)&lt;=0,"ENTER VALID YIELD!",ROUND($BE28/$BD28,0)-$BE28))</f>
        <v/>
      </c>
      <c r="BG28" s="118" t="n">
        <v>17</v>
      </c>
      <c r="BH28" s="75" t="str">
        <f aca="false">IF(OR(SUM($AI28)&lt;=0,SUM($G28)&lt;=0),"",ROUND($G28*$AI28,0))</f>
        <v/>
      </c>
      <c r="BI28" s="75" t="str">
        <f aca="false">IF(SUM($BH28)&lt;=0,"",IF(SUM($BG28)&lt;=0,"ENTER VALID YIELD!",ROUND($BH28/$BG28,0)-$BH28))</f>
        <v/>
      </c>
      <c r="BJ28" s="118"/>
      <c r="BK28" s="75" t="str">
        <f aca="false">IF(OR(SUM($AJ28)&lt;=0,SUM($G28)&lt;=0),"",ROUND($G28*$AJ28,0))</f>
        <v/>
      </c>
      <c r="BL28" s="75" t="str">
        <f aca="false">IF(SUM($BK28)&lt;=0,"",IF(SUM($BJ28)&lt;=0,"ENTER VALID YIELD!",ROUND($BK28/$BJ28,0)-$BK28))</f>
        <v/>
      </c>
      <c r="BM28" s="73" t="str">
        <f aca="false">IF(SUM($G28)&lt;=0,"",$G28)</f>
        <v/>
      </c>
      <c r="BN28" s="73" t="str">
        <f aca="false">IF(SUM($G28)&lt;=0,"",SUM($I28:$L28,$Q28,$S28,$AM28,$AP28,$AS28,$AV28,$AY28,$BB28,$BE28,$BH28,$BK28))</f>
        <v/>
      </c>
      <c r="BO28" s="73" t="str">
        <f aca="false">IF(AND(SUM($BN28)&lt;=0,SUM($BM28)&lt;=0),"",SUM($BN28)-SUM($BM28))</f>
        <v/>
      </c>
      <c r="BP28" s="73" t="str">
        <f aca="false">_xlfn.IFNA(INDEX(PMTCT!$AF:$AF,MATCH($E28,PMTCT!$E:$E,0)),"")</f>
        <v/>
      </c>
      <c r="BQ28" s="73" t="str">
        <f aca="false">_xlfn.IFNA(INDEX(PMTCT!$AV:$AV,MATCH($E28,PMTCT!$E:$E,0)),"")</f>
        <v/>
      </c>
      <c r="BR28" s="73" t="n">
        <f aca="false">_xlfn.IFNA(INDEX(TB!$R:$R,MATCH($E28,TB!$E:$E,0)),"")</f>
        <v>8932</v>
      </c>
      <c r="BS28" s="73" t="str">
        <f aca="false">_xlfn.IFNA(INDEX(VMMC!$AD:$AD,MATCH($E28,VMMC!$E:$E,0)),"")</f>
        <v/>
      </c>
      <c r="BT28" s="73" t="n">
        <f aca="false">IF(SUM($R28,$T28,$AN28,$AQ28,$AT28,$AW28,$AZ28,$BC28,$BF28,$BI28,$BL28,$BP28:$BS28)=0,"",SUM($R28,$T28,$AN28,$AQ28,$AT28,$AW28,$AZ28,$BC28,$BF28,$BI28,$BL28,$BP28:$BS28))</f>
        <v>8932</v>
      </c>
      <c r="BU28" s="73" t="str">
        <f aca="false">IF(OR(SUM($BT28)=0,SUM($BN28)=0),"",SUM($BT28,$BN28))</f>
        <v/>
      </c>
      <c r="BV28" s="118" t="str">
        <f aca="false">IF(SUM($BU28)=0,"",SUM($BN28)/$BU28)</f>
        <v/>
      </c>
      <c r="BW28" s="73" t="n">
        <v>10</v>
      </c>
      <c r="BX28" s="118" t="n">
        <f aca="false">IF(OR($C28="01-04",$C28="05-09"),"",0%)</f>
        <v>0</v>
      </c>
      <c r="BY28" s="75" t="n">
        <f aca="false">IF(OR($C28="01-04",$C28="05-09",SUM($BW28)=0),"",ROUND($BW28*(1+$BX28),0))</f>
        <v>10</v>
      </c>
    </row>
    <row r="29" customFormat="false" ht="15" hidden="false" customHeight="false" outlineLevel="0" collapsed="false">
      <c r="A29" s="0" t="s">
        <v>140</v>
      </c>
      <c r="B29" s="0" t="s">
        <v>141</v>
      </c>
      <c r="C29" s="0" t="s">
        <v>75</v>
      </c>
      <c r="D29" s="0" t="s">
        <v>56</v>
      </c>
      <c r="E29" s="0" t="str">
        <f aca="false">B29&amp;"|"&amp;C29&amp;"|"&amp;D29</f>
        <v>_Military Lesotho [#Military] [dDOqoFnD5Be]|35-39|Female</v>
      </c>
      <c r="F29" s="118" t="str">
        <f aca="false">_xlfn.IFNA(INDEX(Cascade!$Y:$Y,MATCH($E29,Cascade!$E:$E,0)),"")</f>
        <v/>
      </c>
      <c r="G29" s="73" t="str">
        <f aca="false">_xlfn.IFNA(INDEX(Cascade!$BD:$BD,MATCH($E29,Cascade!$E:$E,0)),"")</f>
        <v/>
      </c>
      <c r="H29" s="73" t="str">
        <f aca="false">_xlfn.IFNA(INDEX(Cascade!$BE:$BE,MATCH($E29,Cascade!$E:$E,0)),"")</f>
        <v/>
      </c>
      <c r="I29" s="73" t="n">
        <f aca="false">_xlfn.IFNA(INDEX(Cascade!$BF:$BF,MATCH($E29,Cascade!$E:$E,0)),"")</f>
        <v>-0</v>
      </c>
      <c r="J29" s="73" t="str">
        <f aca="false">_xlfn.IFNA(INDEX(Cascade!$BG:$BG,MATCH($E29,Cascade!$E:$E,0)),"")</f>
        <v/>
      </c>
      <c r="K29" s="73" t="n">
        <f aca="false">_xlfn.IFNA(INDEX(Cascade!$BH:$BH,MATCH($E29,Cascade!$E:$E,0)),"")</f>
        <v>403</v>
      </c>
      <c r="L29" s="73" t="str">
        <f aca="false">_xlfn.IFNA(INDEX(Cascade!$BI:$BI,MATCH($E29,Cascade!$E:$E,0)),"")</f>
        <v/>
      </c>
      <c r="M29" s="73" t="str">
        <f aca="false">_xlfn.IFNA(INDEX(Cascade!$BK:$BK,MATCH($E29,Cascade!$E:$E,0)),"")</f>
        <v/>
      </c>
      <c r="N29" s="118" t="n">
        <v>49</v>
      </c>
      <c r="O29" s="118"/>
      <c r="P29" s="118" t="n">
        <v>43</v>
      </c>
      <c r="Q29" s="75" t="str">
        <f aca="false">IF(OR(SUM($H29)=0,SUM($N29)=0,SUM($O29)=0),"",ROUND($H29*$N29,0))</f>
        <v/>
      </c>
      <c r="R29" s="75" t="str">
        <f aca="false">IF(OR(SUM($Q29)=0,SUM($O29)=0),"",ROUND(SUM($Q29)/SUM($O29),0)-SUM($Q29))</f>
        <v/>
      </c>
      <c r="S29" s="75" t="str">
        <f aca="false">IF(SUM($H29)=0,"",SUM($H29)-SUM($Q29))</f>
        <v/>
      </c>
      <c r="T29" s="75" t="str">
        <f aca="false">IF(OR(SUM($S29)=0,$N29&gt;1,SUM($P29)&lt;=0),"",ROUND($S29/$P29,0)-$S29)</f>
        <v/>
      </c>
      <c r="U29" s="118" t="str">
        <f aca="false">IF(SUM($G29)&lt;=0,"",SUM($Q29,$S29)/$G29)</f>
        <v/>
      </c>
      <c r="V29" s="118" t="str">
        <f aca="false">IF(OR(SUM($Q29)=0,SUM($G29)=0),"",SUM($Q29)/SUM($G29))</f>
        <v/>
      </c>
      <c r="W29" s="118" t="str">
        <f aca="false">IF(OR(SUM($S29)=0,SUM($G29)=0),"",SUM($S29)/SUM($G29))</f>
        <v/>
      </c>
      <c r="X29" s="118" t="str">
        <f aca="false">IF(OR(SUM($G29)=0,SUM($I29)=0),"",SUM($I29)/SUM($G29))</f>
        <v/>
      </c>
      <c r="Y29" s="118" t="str">
        <f aca="false">IF(OR(SUM($G29)=0,SUM($J29)=0),"",SUM($J29)/SUM($G29))</f>
        <v/>
      </c>
      <c r="Z29" s="118" t="str">
        <f aca="false">IF(OR(SUM($G29)=0,SUM($K29)=0),"",SUM($K29)/SUM($G29))</f>
        <v/>
      </c>
      <c r="AA29" s="118" t="str">
        <f aca="false">IF(OR(SUM($G29)=0,SUM($L29)=0),"",SUM($L29)/SUM($G29))</f>
        <v/>
      </c>
      <c r="AB29" s="118" t="n">
        <v>38</v>
      </c>
      <c r="AC29" s="118"/>
      <c r="AD29" s="118"/>
      <c r="AE29" s="118" t="n">
        <v>7</v>
      </c>
      <c r="AF29" s="118" t="n">
        <v>2</v>
      </c>
      <c r="AG29" s="118" t="n">
        <v>29</v>
      </c>
      <c r="AH29" s="118" t="n">
        <v>9</v>
      </c>
      <c r="AI29" s="118" t="n">
        <v>9</v>
      </c>
      <c r="AJ29" s="118" t="n">
        <v>50</v>
      </c>
      <c r="AK29" s="118" t="str">
        <f aca="false">IF(SUM($G29)&lt;=0,"",SUM($V29:$AJ29))</f>
        <v/>
      </c>
      <c r="AL29" s="118" t="n">
        <v>45</v>
      </c>
      <c r="AM29" s="75" t="str">
        <f aca="false">IF(OR(SUM($AB29)&lt;=0,SUM($G29)&lt;=0),"",ROUND($G29*$AB29,0))</f>
        <v/>
      </c>
      <c r="AN29" s="75" t="str">
        <f aca="false">IF(SUM($AM29)&lt;=0,"",IF(SUM($AL29)&lt;=0,"ENTER VALID YIELD!",ROUND($AM29/$AL29,0)-$AM29))</f>
        <v/>
      </c>
      <c r="AO29" s="118"/>
      <c r="AP29" s="75" t="str">
        <f aca="false">IF(OR(SUM($AC29)&lt;=0,SUM($G29)&lt;=0),"",ROUND($G29*$AC29,0))</f>
        <v/>
      </c>
      <c r="AQ29" s="75" t="str">
        <f aca="false">IF(SUM($AP29)&lt;=0,"",IF(SUM($AO29)&lt;=0,"ENTER VALID YIELD!",ROUND($AP29/$AO29,0)-$AP29))</f>
        <v/>
      </c>
      <c r="AR29" s="118"/>
      <c r="AS29" s="75" t="str">
        <f aca="false">IF(OR(SUM($AD29)&lt;=0,SUM($G29)&lt;=0),"",ROUND($G29*$AD29,0))</f>
        <v/>
      </c>
      <c r="AT29" s="75" t="str">
        <f aca="false">IF(SUM($AS29)&lt;=0,"",IF(SUM($AR29)&lt;=0,"ENTER VALID YIELD!",ROUND($AS29/$AR29,0)-$AS29))</f>
        <v/>
      </c>
      <c r="AU29" s="118"/>
      <c r="AV29" s="75" t="str">
        <f aca="false">IF(OR(SUM($AE29)&lt;=0,SUM($G29)&lt;=0),"",ROUND($G29*$AE29,0))</f>
        <v/>
      </c>
      <c r="AW29" s="75" t="str">
        <f aca="false">IF(SUM($AV29)&lt;=0,"",IF(SUM($AU29)&lt;=0,"ENTER VALID YIELD!",ROUND($AV29/$AU29,0)-$AV29))</f>
        <v/>
      </c>
      <c r="AX29" s="118"/>
      <c r="AY29" s="75" t="str">
        <f aca="false">IF(OR(SUM($AF29)&lt;=0,SUM($G29)&lt;=0),"",ROUND($G29*$AF29,0))</f>
        <v/>
      </c>
      <c r="AZ29" s="75" t="str">
        <f aca="false">IF(SUM($AY29)&lt;=0,"",IF(SUM($AX29)&lt;=0,"ENTER VALID YIELD!",ROUND($AY29/$AX29,0)-$AY29))</f>
        <v/>
      </c>
      <c r="BA29" s="118"/>
      <c r="BB29" s="75" t="str">
        <f aca="false">IF(OR(SUM($AG29)&lt;=0,SUM($G29)&lt;=0),"",ROUND($G29*$AG29,0))</f>
        <v/>
      </c>
      <c r="BC29" s="75" t="str">
        <f aca="false">IF(SUM($BB29)&lt;=0,"",IF(SUM($BA29)&lt;=0,"ENTER VALID YIELD!",ROUND($BB29/$BA29,0)-$BB29))</f>
        <v/>
      </c>
      <c r="BD29" s="118" t="n">
        <v>39</v>
      </c>
      <c r="BE29" s="75" t="str">
        <f aca="false">IF(OR(SUM($AH29)&lt;=0,SUM($G29)&lt;=0),"",ROUND($G29*$AH29,0))</f>
        <v/>
      </c>
      <c r="BF29" s="75" t="str">
        <f aca="false">IF(SUM($BE29)&lt;=0,"",IF(SUM($BD29)&lt;=0,"ENTER VALID YIELD!",ROUND($BE29/$BD29,0)-$BE29))</f>
        <v/>
      </c>
      <c r="BG29" s="118" t="n">
        <v>39</v>
      </c>
      <c r="BH29" s="75" t="str">
        <f aca="false">IF(OR(SUM($AI29)&lt;=0,SUM($G29)&lt;=0),"",ROUND($G29*$AI29,0))</f>
        <v/>
      </c>
      <c r="BI29" s="75" t="str">
        <f aca="false">IF(SUM($BH29)&lt;=0,"",IF(SUM($BG29)&lt;=0,"ENTER VALID YIELD!",ROUND($BH29/$BG29,0)-$BH29))</f>
        <v/>
      </c>
      <c r="BJ29" s="118"/>
      <c r="BK29" s="75" t="str">
        <f aca="false">IF(OR(SUM($AJ29)&lt;=0,SUM($G29)&lt;=0),"",ROUND($G29*$AJ29,0))</f>
        <v/>
      </c>
      <c r="BL29" s="75" t="str">
        <f aca="false">IF(SUM($BK29)&lt;=0,"",IF(SUM($BJ29)&lt;=0,"ENTER VALID YIELD!",ROUND($BK29/$BJ29,0)-$BK29))</f>
        <v/>
      </c>
      <c r="BM29" s="73" t="str">
        <f aca="false">IF(SUM($G29)&lt;=0,"",$G29)</f>
        <v/>
      </c>
      <c r="BN29" s="73" t="str">
        <f aca="false">IF(SUM($G29)&lt;=0,"",SUM($I29:$L29,$Q29,$S29,$AM29,$AP29,$AS29,$AV29,$AY29,$BB29,$BE29,$BH29,$BK29))</f>
        <v/>
      </c>
      <c r="BO29" s="73" t="str">
        <f aca="false">IF(AND(SUM($BN29)&lt;=0,SUM($BM29)&lt;=0),"",SUM($BN29)-SUM($BM29))</f>
        <v/>
      </c>
      <c r="BP29" s="73" t="n">
        <f aca="false">_xlfn.IFNA(INDEX(PMTCT!$AF:$AF,MATCH($E29,PMTCT!$E:$E,0)),"")</f>
        <v>-672</v>
      </c>
      <c r="BQ29" s="73" t="str">
        <f aca="false">_xlfn.IFNA(INDEX(PMTCT!$AV:$AV,MATCH($E29,PMTCT!$E:$E,0)),"")</f>
        <v/>
      </c>
      <c r="BR29" s="73" t="n">
        <f aca="false">_xlfn.IFNA(INDEX(TB!$R:$R,MATCH($E29,TB!$E:$E,0)),"")</f>
        <v>-372</v>
      </c>
      <c r="BS29" s="73" t="str">
        <f aca="false">_xlfn.IFNA(INDEX(VMMC!$AD:$AD,MATCH($E29,VMMC!$E:$E,0)),"")</f>
        <v/>
      </c>
      <c r="BT29" s="73" t="n">
        <f aca="false">IF(SUM($R29,$T29,$AN29,$AQ29,$AT29,$AW29,$AZ29,$BC29,$BF29,$BI29,$BL29,$BP29:$BS29)=0,"",SUM($R29,$T29,$AN29,$AQ29,$AT29,$AW29,$AZ29,$BC29,$BF29,$BI29,$BL29,$BP29:$BS29))</f>
        <v>-1044</v>
      </c>
      <c r="BU29" s="73" t="str">
        <f aca="false">IF(OR(SUM($BT29)=0,SUM($BN29)=0),"",SUM($BT29,$BN29))</f>
        <v/>
      </c>
      <c r="BV29" s="118" t="str">
        <f aca="false">IF(SUM($BU29)=0,"",SUM($BN29)/$BU29)</f>
        <v/>
      </c>
      <c r="BW29" s="73" t="n">
        <v>19</v>
      </c>
      <c r="BX29" s="118" t="n">
        <f aca="false">IF(OR($C29="01-04",$C29="05-09"),"",0%)</f>
        <v>0</v>
      </c>
      <c r="BY29" s="75" t="n">
        <f aca="false">IF(OR($C29="01-04",$C29="05-09",SUM($BW29)=0),"",ROUND($BW29*(1+$BX29),0))</f>
        <v>19</v>
      </c>
    </row>
    <row r="30" customFormat="false" ht="15" hidden="false" customHeight="false" outlineLevel="0" collapsed="false">
      <c r="A30" s="0" t="s">
        <v>140</v>
      </c>
      <c r="B30" s="0" t="s">
        <v>141</v>
      </c>
      <c r="C30" s="0" t="s">
        <v>75</v>
      </c>
      <c r="D30" s="0" t="s">
        <v>58</v>
      </c>
      <c r="E30" s="0" t="str">
        <f aca="false">B30&amp;"|"&amp;C30&amp;"|"&amp;D30</f>
        <v>_Military Lesotho [#Military] [dDOqoFnD5Be]|35-39|Male</v>
      </c>
      <c r="F30" s="118" t="str">
        <f aca="false">_xlfn.IFNA(INDEX(Cascade!$Y:$Y,MATCH($E30,Cascade!$E:$E,0)),"")</f>
        <v/>
      </c>
      <c r="G30" s="73" t="str">
        <f aca="false">_xlfn.IFNA(INDEX(Cascade!$BD:$BD,MATCH($E30,Cascade!$E:$E,0)),"")</f>
        <v/>
      </c>
      <c r="H30" s="73" t="str">
        <f aca="false">_xlfn.IFNA(INDEX(Cascade!$BE:$BE,MATCH($E30,Cascade!$E:$E,0)),"")</f>
        <v/>
      </c>
      <c r="I30" s="73" t="str">
        <f aca="false">_xlfn.IFNA(INDEX(Cascade!$BF:$BF,MATCH($E30,Cascade!$E:$E,0)),"")</f>
        <v/>
      </c>
      <c r="J30" s="73" t="str">
        <f aca="false">_xlfn.IFNA(INDEX(Cascade!$BG:$BG,MATCH($E30,Cascade!$E:$E,0)),"")</f>
        <v/>
      </c>
      <c r="K30" s="73" t="n">
        <f aca="false">_xlfn.IFNA(INDEX(Cascade!$BH:$BH,MATCH($E30,Cascade!$E:$E,0)),"")</f>
        <v>-0</v>
      </c>
      <c r="L30" s="73" t="n">
        <f aca="false">_xlfn.IFNA(INDEX(Cascade!$BI:$BI,MATCH($E30,Cascade!$E:$E,0)),"")</f>
        <v>-17484</v>
      </c>
      <c r="M30" s="73" t="str">
        <f aca="false">_xlfn.IFNA(INDEX(Cascade!$BK:$BK,MATCH($E30,Cascade!$E:$E,0)),"")</f>
        <v/>
      </c>
      <c r="N30" s="118" t="n">
        <v>46</v>
      </c>
      <c r="O30" s="118"/>
      <c r="P30" s="118" t="n">
        <v>30</v>
      </c>
      <c r="Q30" s="75" t="str">
        <f aca="false">IF(OR(SUM($H30)=0,SUM($N30)=0,SUM($O30)=0),"",ROUND($H30*$N30,0))</f>
        <v/>
      </c>
      <c r="R30" s="75" t="str">
        <f aca="false">IF(OR(SUM($Q30)=0,SUM($O30)=0),"",ROUND(SUM($Q30)/SUM($O30),0)-SUM($Q30))</f>
        <v/>
      </c>
      <c r="S30" s="75" t="str">
        <f aca="false">IF(SUM($H30)=0,"",SUM($H30)-SUM($Q30))</f>
        <v/>
      </c>
      <c r="T30" s="75" t="str">
        <f aca="false">IF(OR(SUM($S30)=0,$N30&gt;1,SUM($P30)&lt;=0),"",ROUND($S30/$P30,0)-$S30)</f>
        <v/>
      </c>
      <c r="U30" s="118" t="str">
        <f aca="false">IF(SUM($G30)&lt;=0,"",SUM($Q30,$S30)/$G30)</f>
        <v/>
      </c>
      <c r="V30" s="118" t="str">
        <f aca="false">IF(OR(SUM($Q30)=0,SUM($G30)=0),"",SUM($Q30)/SUM($G30))</f>
        <v/>
      </c>
      <c r="W30" s="118" t="str">
        <f aca="false">IF(OR(SUM($S30)=0,SUM($G30)=0),"",SUM($S30)/SUM($G30))</f>
        <v/>
      </c>
      <c r="X30" s="118" t="str">
        <f aca="false">IF(OR(SUM($G30)=0,SUM($I30)=0),"",SUM($I30)/SUM($G30))</f>
        <v/>
      </c>
      <c r="Y30" s="118" t="str">
        <f aca="false">IF(OR(SUM($G30)=0,SUM($J30)=0),"",SUM($J30)/SUM($G30))</f>
        <v/>
      </c>
      <c r="Z30" s="118" t="str">
        <f aca="false">IF(OR(SUM($G30)=0,SUM($K30)=0),"",SUM($K30)/SUM($G30))</f>
        <v/>
      </c>
      <c r="AA30" s="118" t="str">
        <f aca="false">IF(OR(SUM($G30)=0,SUM($L30)=0),"",SUM($L30)/SUM($G30))</f>
        <v/>
      </c>
      <c r="AB30" s="118" t="n">
        <v>37</v>
      </c>
      <c r="AC30" s="118"/>
      <c r="AD30" s="118"/>
      <c r="AE30" s="118" t="n">
        <v>26</v>
      </c>
      <c r="AF30" s="118" t="n">
        <v>4</v>
      </c>
      <c r="AG30" s="118" t="n">
        <v>21</v>
      </c>
      <c r="AH30" s="118" t="n">
        <v>27</v>
      </c>
      <c r="AI30" s="118" t="n">
        <v>2</v>
      </c>
      <c r="AJ30" s="118" t="n">
        <v>48</v>
      </c>
      <c r="AK30" s="118" t="str">
        <f aca="false">IF(SUM($G30)&lt;=0,"",SUM($V30:$AJ30))</f>
        <v/>
      </c>
      <c r="AL30" s="118" t="n">
        <v>47</v>
      </c>
      <c r="AM30" s="75" t="str">
        <f aca="false">IF(OR(SUM($AB30)&lt;=0,SUM($G30)&lt;=0),"",ROUND($G30*$AB30,0))</f>
        <v/>
      </c>
      <c r="AN30" s="75" t="str">
        <f aca="false">IF(SUM($AM30)&lt;=0,"",IF(SUM($AL30)&lt;=0,"ENTER VALID YIELD!",ROUND($AM30/$AL30,0)-$AM30))</f>
        <v/>
      </c>
      <c r="AO30" s="118"/>
      <c r="AP30" s="75" t="str">
        <f aca="false">IF(OR(SUM($AC30)&lt;=0,SUM($G30)&lt;=0),"",ROUND($G30*$AC30,0))</f>
        <v/>
      </c>
      <c r="AQ30" s="75" t="str">
        <f aca="false">IF(SUM($AP30)&lt;=0,"",IF(SUM($AO30)&lt;=0,"ENTER VALID YIELD!",ROUND($AP30/$AO30,0)-$AP30))</f>
        <v/>
      </c>
      <c r="AR30" s="118"/>
      <c r="AS30" s="75" t="str">
        <f aca="false">IF(OR(SUM($AD30)&lt;=0,SUM($G30)&lt;=0),"",ROUND($G30*$AD30,0))</f>
        <v/>
      </c>
      <c r="AT30" s="75" t="str">
        <f aca="false">IF(SUM($AS30)&lt;=0,"",IF(SUM($AR30)&lt;=0,"ENTER VALID YIELD!",ROUND($AS30/$AR30,0)-$AS30))</f>
        <v/>
      </c>
      <c r="AU30" s="118"/>
      <c r="AV30" s="75" t="str">
        <f aca="false">IF(OR(SUM($AE30)&lt;=0,SUM($G30)&lt;=0),"",ROUND($G30*$AE30,0))</f>
        <v/>
      </c>
      <c r="AW30" s="75" t="str">
        <f aca="false">IF(SUM($AV30)&lt;=0,"",IF(SUM($AU30)&lt;=0,"ENTER VALID YIELD!",ROUND($AV30/$AU30,0)-$AV30))</f>
        <v/>
      </c>
      <c r="AX30" s="118"/>
      <c r="AY30" s="75" t="str">
        <f aca="false">IF(OR(SUM($AF30)&lt;=0,SUM($G30)&lt;=0),"",ROUND($G30*$AF30,0))</f>
        <v/>
      </c>
      <c r="AZ30" s="75" t="str">
        <f aca="false">IF(SUM($AY30)&lt;=0,"",IF(SUM($AX30)&lt;=0,"ENTER VALID YIELD!",ROUND($AY30/$AX30,0)-$AY30))</f>
        <v/>
      </c>
      <c r="BA30" s="118" t="n">
        <v>27</v>
      </c>
      <c r="BB30" s="75" t="str">
        <f aca="false">IF(OR(SUM($AG30)&lt;=0,SUM($G30)&lt;=0),"",ROUND($G30*$AG30,0))</f>
        <v/>
      </c>
      <c r="BC30" s="75" t="str">
        <f aca="false">IF(SUM($BB30)&lt;=0,"",IF(SUM($BA30)&lt;=0,"ENTER VALID YIELD!",ROUND($BB30/$BA30,0)-$BB30))</f>
        <v/>
      </c>
      <c r="BD30" s="118"/>
      <c r="BE30" s="75" t="str">
        <f aca="false">IF(OR(SUM($AH30)&lt;=0,SUM($G30)&lt;=0),"",ROUND($G30*$AH30,0))</f>
        <v/>
      </c>
      <c r="BF30" s="75" t="str">
        <f aca="false">IF(SUM($BE30)&lt;=0,"",IF(SUM($BD30)&lt;=0,"ENTER VALID YIELD!",ROUND($BE30/$BD30,0)-$BE30))</f>
        <v/>
      </c>
      <c r="BG30" s="118" t="n">
        <v>2</v>
      </c>
      <c r="BH30" s="75" t="str">
        <f aca="false">IF(OR(SUM($AI30)&lt;=0,SUM($G30)&lt;=0),"",ROUND($G30*$AI30,0))</f>
        <v/>
      </c>
      <c r="BI30" s="75" t="str">
        <f aca="false">IF(SUM($BH30)&lt;=0,"",IF(SUM($BG30)&lt;=0,"ENTER VALID YIELD!",ROUND($BH30/$BG30,0)-$BH30))</f>
        <v/>
      </c>
      <c r="BJ30" s="118"/>
      <c r="BK30" s="75" t="str">
        <f aca="false">IF(OR(SUM($AJ30)&lt;=0,SUM($G30)&lt;=0),"",ROUND($G30*$AJ30,0))</f>
        <v/>
      </c>
      <c r="BL30" s="75" t="str">
        <f aca="false">IF(SUM($BK30)&lt;=0,"",IF(SUM($BJ30)&lt;=0,"ENTER VALID YIELD!",ROUND($BK30/$BJ30,0)-$BK30))</f>
        <v/>
      </c>
      <c r="BM30" s="73" t="str">
        <f aca="false">IF(SUM($G30)&lt;=0,"",$G30)</f>
        <v/>
      </c>
      <c r="BN30" s="73" t="str">
        <f aca="false">IF(SUM($G30)&lt;=0,"",SUM($I30:$L30,$Q30,$S30,$AM30,$AP30,$AS30,$AV30,$AY30,$BB30,$BE30,$BH30,$BK30))</f>
        <v/>
      </c>
      <c r="BO30" s="73" t="str">
        <f aca="false">IF(AND(SUM($BN30)&lt;=0,SUM($BM30)&lt;=0),"",SUM($BN30)-SUM($BM30))</f>
        <v/>
      </c>
      <c r="BP30" s="73" t="str">
        <f aca="false">_xlfn.IFNA(INDEX(PMTCT!$AF:$AF,MATCH($E30,PMTCT!$E:$E,0)),"")</f>
        <v/>
      </c>
      <c r="BQ30" s="73" t="str">
        <f aca="false">_xlfn.IFNA(INDEX(PMTCT!$AV:$AV,MATCH($E30,PMTCT!$E:$E,0)),"")</f>
        <v/>
      </c>
      <c r="BR30" s="73" t="n">
        <f aca="false">_xlfn.IFNA(INDEX(TB!$R:$R,MATCH($E30,TB!$E:$E,0)),"")</f>
        <v>-105</v>
      </c>
      <c r="BS30" s="73" t="n">
        <f aca="false">_xlfn.IFNA(INDEX(VMMC!$AD:$AD,MATCH($E30,VMMC!$E:$E,0)),"")</f>
        <v>16920</v>
      </c>
      <c r="BT30" s="73" t="n">
        <f aca="false">IF(SUM($R30,$T30,$AN30,$AQ30,$AT30,$AW30,$AZ30,$BC30,$BF30,$BI30,$BL30,$BP30:$BS30)=0,"",SUM($R30,$T30,$AN30,$AQ30,$AT30,$AW30,$AZ30,$BC30,$BF30,$BI30,$BL30,$BP30:$BS30))</f>
        <v>16815</v>
      </c>
      <c r="BU30" s="73" t="str">
        <f aca="false">IF(OR(SUM($BT30)=0,SUM($BN30)=0),"",SUM($BT30,$BN30))</f>
        <v/>
      </c>
      <c r="BV30" s="118" t="str">
        <f aca="false">IF(SUM($BU30)=0,"",SUM($BN30)/$BU30)</f>
        <v/>
      </c>
      <c r="BW30" s="73" t="n">
        <v>31</v>
      </c>
      <c r="BX30" s="118" t="n">
        <f aca="false">IF(OR($C30="01-04",$C30="05-09"),"",0%)</f>
        <v>0</v>
      </c>
      <c r="BY30" s="75" t="n">
        <f aca="false">IF(OR($C30="01-04",$C30="05-09",SUM($BW30)=0),"",ROUND($BW30*(1+$BX30),0))</f>
        <v>31</v>
      </c>
    </row>
    <row r="31" customFormat="false" ht="15" hidden="false" customHeight="false" outlineLevel="0" collapsed="false">
      <c r="A31" s="0" t="s">
        <v>140</v>
      </c>
      <c r="B31" s="0" t="s">
        <v>141</v>
      </c>
      <c r="C31" s="0" t="s">
        <v>77</v>
      </c>
      <c r="D31" s="0" t="s">
        <v>56</v>
      </c>
      <c r="E31" s="0" t="str">
        <f aca="false">B31&amp;"|"&amp;C31&amp;"|"&amp;D31</f>
        <v>_Military Lesotho [#Military] [dDOqoFnD5Be]|40-44|Female</v>
      </c>
      <c r="F31" s="118" t="str">
        <f aca="false">_xlfn.IFNA(INDEX(Cascade!$Y:$Y,MATCH($E31,Cascade!$E:$E,0)),"")</f>
        <v/>
      </c>
      <c r="G31" s="73" t="str">
        <f aca="false">_xlfn.IFNA(INDEX(Cascade!$BD:$BD,MATCH($E31,Cascade!$E:$E,0)),"")</f>
        <v/>
      </c>
      <c r="H31" s="73" t="str">
        <f aca="false">_xlfn.IFNA(INDEX(Cascade!$BE:$BE,MATCH($E31,Cascade!$E:$E,0)),"")</f>
        <v/>
      </c>
      <c r="I31" s="73" t="str">
        <f aca="false">_xlfn.IFNA(INDEX(Cascade!$BF:$BF,MATCH($E31,Cascade!$E:$E,0)),"")</f>
        <v/>
      </c>
      <c r="J31" s="73" t="str">
        <f aca="false">_xlfn.IFNA(INDEX(Cascade!$BG:$BG,MATCH($E31,Cascade!$E:$E,0)),"")</f>
        <v/>
      </c>
      <c r="K31" s="73" t="n">
        <f aca="false">_xlfn.IFNA(INDEX(Cascade!$BH:$BH,MATCH($E31,Cascade!$E:$E,0)),"")</f>
        <v>-0</v>
      </c>
      <c r="L31" s="73" t="str">
        <f aca="false">_xlfn.IFNA(INDEX(Cascade!$BI:$BI,MATCH($E31,Cascade!$E:$E,0)),"")</f>
        <v/>
      </c>
      <c r="M31" s="73" t="str">
        <f aca="false">_xlfn.IFNA(INDEX(Cascade!$BK:$BK,MATCH($E31,Cascade!$E:$E,0)),"")</f>
        <v/>
      </c>
      <c r="N31" s="118" t="n">
        <v>37</v>
      </c>
      <c r="O31" s="118"/>
      <c r="P31" s="118" t="n">
        <v>48</v>
      </c>
      <c r="Q31" s="75" t="str">
        <f aca="false">IF(OR(SUM($H31)=0,SUM($N31)=0,SUM($O31)=0),"",ROUND($H31*$N31,0))</f>
        <v/>
      </c>
      <c r="R31" s="75" t="str">
        <f aca="false">IF(OR(SUM($Q31)=0,SUM($O31)=0),"",ROUND(SUM($Q31)/SUM($O31),0)-SUM($Q31))</f>
        <v/>
      </c>
      <c r="S31" s="75" t="str">
        <f aca="false">IF(SUM($H31)=0,"",SUM($H31)-SUM($Q31))</f>
        <v/>
      </c>
      <c r="T31" s="75" t="str">
        <f aca="false">IF(OR(SUM($S31)=0,$N31&gt;1,SUM($P31)&lt;=0),"",ROUND($S31/$P31,0)-$S31)</f>
        <v/>
      </c>
      <c r="U31" s="118" t="str">
        <f aca="false">IF(SUM($G31)&lt;=0,"",SUM($Q31,$S31)/$G31)</f>
        <v/>
      </c>
      <c r="V31" s="118" t="str">
        <f aca="false">IF(OR(SUM($Q31)=0,SUM($G31)=0),"",SUM($Q31)/SUM($G31))</f>
        <v/>
      </c>
      <c r="W31" s="118" t="str">
        <f aca="false">IF(OR(SUM($S31)=0,SUM($G31)=0),"",SUM($S31)/SUM($G31))</f>
        <v/>
      </c>
      <c r="X31" s="118" t="str">
        <f aca="false">IF(OR(SUM($G31)=0,SUM($I31)=0),"",SUM($I31)/SUM($G31))</f>
        <v/>
      </c>
      <c r="Y31" s="118" t="str">
        <f aca="false">IF(OR(SUM($G31)=0,SUM($J31)=0),"",SUM($J31)/SUM($G31))</f>
        <v/>
      </c>
      <c r="Z31" s="118" t="str">
        <f aca="false">IF(OR(SUM($G31)=0,SUM($K31)=0),"",SUM($K31)/SUM($G31))</f>
        <v/>
      </c>
      <c r="AA31" s="118" t="str">
        <f aca="false">IF(OR(SUM($G31)=0,SUM($L31)=0),"",SUM($L31)/SUM($G31))</f>
        <v/>
      </c>
      <c r="AB31" s="118" t="n">
        <v>23</v>
      </c>
      <c r="AC31" s="118"/>
      <c r="AD31" s="118"/>
      <c r="AE31" s="118" t="n">
        <v>17</v>
      </c>
      <c r="AF31" s="118" t="n">
        <v>4</v>
      </c>
      <c r="AG31" s="118" t="n">
        <v>31</v>
      </c>
      <c r="AH31" s="118" t="n">
        <v>23</v>
      </c>
      <c r="AI31" s="118" t="n">
        <v>30</v>
      </c>
      <c r="AJ31" s="118" t="n">
        <v>0</v>
      </c>
      <c r="AK31" s="118" t="str">
        <f aca="false">IF(SUM($G31)&lt;=0,"",SUM($V31:$AJ31))</f>
        <v/>
      </c>
      <c r="AL31" s="118"/>
      <c r="AM31" s="75" t="str">
        <f aca="false">IF(OR(SUM($AB31)&lt;=0,SUM($G31)&lt;=0),"",ROUND($G31*$AB31,0))</f>
        <v/>
      </c>
      <c r="AN31" s="75" t="str">
        <f aca="false">IF(SUM($AM31)&lt;=0,"",IF(SUM($AL31)&lt;=0,"ENTER VALID YIELD!",ROUND($AM31/$AL31,0)-$AM31))</f>
        <v/>
      </c>
      <c r="AO31" s="118"/>
      <c r="AP31" s="75" t="str">
        <f aca="false">IF(OR(SUM($AC31)&lt;=0,SUM($G31)&lt;=0),"",ROUND($G31*$AC31,0))</f>
        <v/>
      </c>
      <c r="AQ31" s="75" t="str">
        <f aca="false">IF(SUM($AP31)&lt;=0,"",IF(SUM($AO31)&lt;=0,"ENTER VALID YIELD!",ROUND($AP31/$AO31,0)-$AP31))</f>
        <v/>
      </c>
      <c r="AR31" s="118"/>
      <c r="AS31" s="75" t="str">
        <f aca="false">IF(OR(SUM($AD31)&lt;=0,SUM($G31)&lt;=0),"",ROUND($G31*$AD31,0))</f>
        <v/>
      </c>
      <c r="AT31" s="75" t="str">
        <f aca="false">IF(SUM($AS31)&lt;=0,"",IF(SUM($AR31)&lt;=0,"ENTER VALID YIELD!",ROUND($AS31/$AR31,0)-$AS31))</f>
        <v/>
      </c>
      <c r="AU31" s="118"/>
      <c r="AV31" s="75" t="str">
        <f aca="false">IF(OR(SUM($AE31)&lt;=0,SUM($G31)&lt;=0),"",ROUND($G31*$AE31,0))</f>
        <v/>
      </c>
      <c r="AW31" s="75" t="str">
        <f aca="false">IF(SUM($AV31)&lt;=0,"",IF(SUM($AU31)&lt;=0,"ENTER VALID YIELD!",ROUND($AV31/$AU31,0)-$AV31))</f>
        <v/>
      </c>
      <c r="AX31" s="118"/>
      <c r="AY31" s="75" t="str">
        <f aca="false">IF(OR(SUM($AF31)&lt;=0,SUM($G31)&lt;=0),"",ROUND($G31*$AF31,0))</f>
        <v/>
      </c>
      <c r="AZ31" s="75" t="str">
        <f aca="false">IF(SUM($AY31)&lt;=0,"",IF(SUM($AX31)&lt;=0,"ENTER VALID YIELD!",ROUND($AY31/$AX31,0)-$AY31))</f>
        <v/>
      </c>
      <c r="BA31" s="118" t="n">
        <v>46</v>
      </c>
      <c r="BB31" s="75" t="str">
        <f aca="false">IF(OR(SUM($AG31)&lt;=0,SUM($G31)&lt;=0),"",ROUND($G31*$AG31,0))</f>
        <v/>
      </c>
      <c r="BC31" s="75" t="str">
        <f aca="false">IF(SUM($BB31)&lt;=0,"",IF(SUM($BA31)&lt;=0,"ENTER VALID YIELD!",ROUND($BB31/$BA31,0)-$BB31))</f>
        <v/>
      </c>
      <c r="BD31" s="118"/>
      <c r="BE31" s="75" t="str">
        <f aca="false">IF(OR(SUM($AH31)&lt;=0,SUM($G31)&lt;=0),"",ROUND($G31*$AH31,0))</f>
        <v/>
      </c>
      <c r="BF31" s="75" t="str">
        <f aca="false">IF(SUM($BE31)&lt;=0,"",IF(SUM($BD31)&lt;=0,"ENTER VALID YIELD!",ROUND($BE31/$BD31,0)-$BE31))</f>
        <v/>
      </c>
      <c r="BG31" s="118" t="n">
        <v>30</v>
      </c>
      <c r="BH31" s="75" t="str">
        <f aca="false">IF(OR(SUM($AI31)&lt;=0,SUM($G31)&lt;=0),"",ROUND($G31*$AI31,0))</f>
        <v/>
      </c>
      <c r="BI31" s="75" t="str">
        <f aca="false">IF(SUM($BH31)&lt;=0,"",IF(SUM($BG31)&lt;=0,"ENTER VALID YIELD!",ROUND($BH31/$BG31,0)-$BH31))</f>
        <v/>
      </c>
      <c r="BJ31" s="118"/>
      <c r="BK31" s="75" t="str">
        <f aca="false">IF(OR(SUM($AJ31)&lt;=0,SUM($G31)&lt;=0),"",ROUND($G31*$AJ31,0))</f>
        <v/>
      </c>
      <c r="BL31" s="75" t="str">
        <f aca="false">IF(SUM($BK31)&lt;=0,"",IF(SUM($BJ31)&lt;=0,"ENTER VALID YIELD!",ROUND($BK31/$BJ31,0)-$BK31))</f>
        <v/>
      </c>
      <c r="BM31" s="73" t="str">
        <f aca="false">IF(SUM($G31)&lt;=0,"",$G31)</f>
        <v/>
      </c>
      <c r="BN31" s="73" t="str">
        <f aca="false">IF(SUM($G31)&lt;=0,"",SUM($I31:$L31,$Q31,$S31,$AM31,$AP31,$AS31,$AV31,$AY31,$BB31,$BE31,$BH31,$BK31))</f>
        <v/>
      </c>
      <c r="BO31" s="73" t="str">
        <f aca="false">IF(AND(SUM($BN31)&lt;=0,SUM($BM31)&lt;=0),"",SUM($BN31)-SUM($BM31))</f>
        <v/>
      </c>
      <c r="BP31" s="73" t="str">
        <f aca="false">_xlfn.IFNA(INDEX(PMTCT!$AF:$AF,MATCH($E31,PMTCT!$E:$E,0)),"")</f>
        <v/>
      </c>
      <c r="BQ31" s="73" t="str">
        <f aca="false">_xlfn.IFNA(INDEX(PMTCT!$AV:$AV,MATCH($E31,PMTCT!$E:$E,0)),"")</f>
        <v/>
      </c>
      <c r="BR31" s="73" t="n">
        <f aca="false">_xlfn.IFNA(INDEX(TB!$R:$R,MATCH($E31,TB!$E:$E,0)),"")</f>
        <v>-525</v>
      </c>
      <c r="BS31" s="73" t="str">
        <f aca="false">_xlfn.IFNA(INDEX(VMMC!$AD:$AD,MATCH($E31,VMMC!$E:$E,0)),"")</f>
        <v/>
      </c>
      <c r="BT31" s="73" t="n">
        <f aca="false">IF(SUM($R31,$T31,$AN31,$AQ31,$AT31,$AW31,$AZ31,$BC31,$BF31,$BI31,$BL31,$BP31:$BS31)=0,"",SUM($R31,$T31,$AN31,$AQ31,$AT31,$AW31,$AZ31,$BC31,$BF31,$BI31,$BL31,$BP31:$BS31))</f>
        <v>-525</v>
      </c>
      <c r="BU31" s="73" t="str">
        <f aca="false">IF(OR(SUM($BT31)=0,SUM($BN31)=0),"",SUM($BT31,$BN31))</f>
        <v/>
      </c>
      <c r="BV31" s="118" t="str">
        <f aca="false">IF(SUM($BU31)=0,"",SUM($BN31)/$BU31)</f>
        <v/>
      </c>
      <c r="BW31" s="73" t="n">
        <v>50</v>
      </c>
      <c r="BX31" s="118" t="n">
        <f aca="false">IF(OR($C31="01-04",$C31="05-09"),"",0%)</f>
        <v>0</v>
      </c>
      <c r="BY31" s="75" t="n">
        <f aca="false">IF(OR($C31="01-04",$C31="05-09",SUM($BW31)=0),"",ROUND($BW31*(1+$BX31),0))</f>
        <v>50</v>
      </c>
    </row>
    <row r="32" customFormat="false" ht="15" hidden="false" customHeight="false" outlineLevel="0" collapsed="false">
      <c r="A32" s="0" t="s">
        <v>140</v>
      </c>
      <c r="B32" s="0" t="s">
        <v>141</v>
      </c>
      <c r="C32" s="0" t="s">
        <v>77</v>
      </c>
      <c r="D32" s="0" t="s">
        <v>58</v>
      </c>
      <c r="E32" s="0" t="str">
        <f aca="false">B32&amp;"|"&amp;C32&amp;"|"&amp;D32</f>
        <v>_Military Lesotho [#Military] [dDOqoFnD5Be]|40-44|Male</v>
      </c>
      <c r="F32" s="118" t="str">
        <f aca="false">_xlfn.IFNA(INDEX(Cascade!$Y:$Y,MATCH($E32,Cascade!$E:$E,0)),"")</f>
        <v/>
      </c>
      <c r="G32" s="73" t="n">
        <f aca="false">_xlfn.IFNA(INDEX(Cascade!$BD:$BD,MATCH($E32,Cascade!$E:$E,0)),"")</f>
        <v>1</v>
      </c>
      <c r="H32" s="73" t="n">
        <f aca="false">_xlfn.IFNA(INDEX(Cascade!$BE:$BE,MATCH($E32,Cascade!$E:$E,0)),"")</f>
        <v>0</v>
      </c>
      <c r="I32" s="73" t="str">
        <f aca="false">_xlfn.IFNA(INDEX(Cascade!$BF:$BF,MATCH($E32,Cascade!$E:$E,0)),"")</f>
        <v/>
      </c>
      <c r="J32" s="73" t="str">
        <f aca="false">_xlfn.IFNA(INDEX(Cascade!$BG:$BG,MATCH($E32,Cascade!$E:$E,0)),"")</f>
        <v/>
      </c>
      <c r="K32" s="73" t="n">
        <f aca="false">_xlfn.IFNA(INDEX(Cascade!$BH:$BH,MATCH($E32,Cascade!$E:$E,0)),"")</f>
        <v>45</v>
      </c>
      <c r="L32" s="73" t="n">
        <f aca="false">_xlfn.IFNA(INDEX(Cascade!$BI:$BI,MATCH($E32,Cascade!$E:$E,0)),"")</f>
        <v>-0</v>
      </c>
      <c r="M32" s="73" t="n">
        <f aca="false">_xlfn.IFNA(INDEX(Cascade!$BK:$BK,MATCH($E32,Cascade!$E:$E,0)),"")</f>
        <v>-44</v>
      </c>
      <c r="N32" s="118" t="n">
        <v>11</v>
      </c>
      <c r="O32" s="118"/>
      <c r="P32" s="118" t="n">
        <v>13</v>
      </c>
      <c r="Q32" s="75" t="str">
        <f aca="false">IF(OR(SUM($H32)=0,SUM($N32)=0,SUM($O32)=0),"",ROUND($H32*$N32,0))</f>
        <v/>
      </c>
      <c r="R32" s="75" t="str">
        <f aca="false">IF(OR(SUM($Q32)=0,SUM($O32)=0),"",ROUND(SUM($Q32)/SUM($O32),0)-SUM($Q32))</f>
        <v/>
      </c>
      <c r="S32" s="75" t="str">
        <f aca="false">IF(SUM($H32)=0,"",SUM($H32)-SUM($Q32))</f>
        <v/>
      </c>
      <c r="T32" s="75" t="str">
        <f aca="false">IF(OR(SUM($S32)=0,$N32&gt;1,SUM($P32)&lt;=0),"",ROUND($S32/$P32,0)-$S32)</f>
        <v/>
      </c>
      <c r="U32" s="118" t="n">
        <f aca="false">IF(SUM($G32)&lt;=0,"",SUM($Q32,$S32)/$G32)</f>
        <v>0</v>
      </c>
      <c r="V32" s="118" t="str">
        <f aca="false">IF(OR(SUM($Q32)=0,SUM($G32)=0),"",SUM($Q32)/SUM($G32))</f>
        <v/>
      </c>
      <c r="W32" s="118" t="str">
        <f aca="false">IF(OR(SUM($S32)=0,SUM($G32)=0),"",SUM($S32)/SUM($G32))</f>
        <v/>
      </c>
      <c r="X32" s="118" t="str">
        <f aca="false">IF(OR(SUM($G32)=0,SUM($I32)=0),"",SUM($I32)/SUM($G32))</f>
        <v/>
      </c>
      <c r="Y32" s="118" t="str">
        <f aca="false">IF(OR(SUM($G32)=0,SUM($J32)=0),"",SUM($J32)/SUM($G32))</f>
        <v/>
      </c>
      <c r="Z32" s="118" t="n">
        <f aca="false">IF(OR(SUM($G32)=0,SUM($K32)=0),"",SUM($K32)/SUM($G32))</f>
        <v>45</v>
      </c>
      <c r="AA32" s="118" t="str">
        <f aca="false">IF(OR(SUM($G32)=0,SUM($L32)=0),"",SUM($L32)/SUM($G32))</f>
        <v/>
      </c>
      <c r="AB32" s="118" t="n">
        <v>39</v>
      </c>
      <c r="AC32" s="118"/>
      <c r="AD32" s="118"/>
      <c r="AE32" s="118" t="n">
        <v>25</v>
      </c>
      <c r="AF32" s="118" t="n">
        <v>32</v>
      </c>
      <c r="AG32" s="118" t="n">
        <v>2</v>
      </c>
      <c r="AH32" s="118" t="n">
        <v>26</v>
      </c>
      <c r="AI32" s="118" t="n">
        <v>2</v>
      </c>
      <c r="AJ32" s="118" t="n">
        <v>48</v>
      </c>
      <c r="AK32" s="118" t="n">
        <f aca="false">IF(SUM($G32)&lt;=0,"",SUM($V32:$AJ32))</f>
        <v>219</v>
      </c>
      <c r="AL32" s="118" t="n">
        <v>38</v>
      </c>
      <c r="AM32" s="75" t="n">
        <f aca="false">IF(OR(SUM($AB32)&lt;=0,SUM($G32)&lt;=0),"",ROUND($G32*$AB32,0))</f>
        <v>39</v>
      </c>
      <c r="AN32" s="75" t="n">
        <f aca="false">IF(SUM($AM32)&lt;=0,"",IF(SUM($AL32)&lt;=0,"ENTER VALID YIELD!",ROUND($AM32/$AL32,0)-$AM32))</f>
        <v>-38</v>
      </c>
      <c r="AO32" s="118"/>
      <c r="AP32" s="75" t="str">
        <f aca="false">IF(OR(SUM($AC32)&lt;=0,SUM($G32)&lt;=0),"",ROUND($G32*$AC32,0))</f>
        <v/>
      </c>
      <c r="AQ32" s="75" t="str">
        <f aca="false">IF(SUM($AP32)&lt;=0,"",IF(SUM($AO32)&lt;=0,"ENTER VALID YIELD!",ROUND($AP32/$AO32,0)-$AP32))</f>
        <v/>
      </c>
      <c r="AR32" s="118"/>
      <c r="AS32" s="75" t="str">
        <f aca="false">IF(OR(SUM($AD32)&lt;=0,SUM($G32)&lt;=0),"",ROUND($G32*$AD32,0))</f>
        <v/>
      </c>
      <c r="AT32" s="75" t="str">
        <f aca="false">IF(SUM($AS32)&lt;=0,"",IF(SUM($AR32)&lt;=0,"ENTER VALID YIELD!",ROUND($AS32/$AR32,0)-$AS32))</f>
        <v/>
      </c>
      <c r="AU32" s="118"/>
      <c r="AV32" s="75" t="n">
        <f aca="false">IF(OR(SUM($AE32)&lt;=0,SUM($G32)&lt;=0),"",ROUND($G32*$AE32,0))</f>
        <v>25</v>
      </c>
      <c r="AW32" s="75" t="str">
        <f aca="false">IF(SUM($AV32)&lt;=0,"",IF(SUM($AU32)&lt;=0,"ENTER VALID YIELD!",ROUND($AV32/$AU32,0)-$AV32))</f>
        <v>ENTER VALID YIELD!</v>
      </c>
      <c r="AX32" s="118"/>
      <c r="AY32" s="75" t="n">
        <f aca="false">IF(OR(SUM($AF32)&lt;=0,SUM($G32)&lt;=0),"",ROUND($G32*$AF32,0))</f>
        <v>32</v>
      </c>
      <c r="AZ32" s="75" t="str">
        <f aca="false">IF(SUM($AY32)&lt;=0,"",IF(SUM($AX32)&lt;=0,"ENTER VALID YIELD!",ROUND($AY32/$AX32,0)-$AY32))</f>
        <v>ENTER VALID YIELD!</v>
      </c>
      <c r="BA32" s="118" t="n">
        <v>6</v>
      </c>
      <c r="BB32" s="75" t="n">
        <f aca="false">IF(OR(SUM($AG32)&lt;=0,SUM($G32)&lt;=0),"",ROUND($G32*$AG32,0))</f>
        <v>2</v>
      </c>
      <c r="BC32" s="75" t="n">
        <f aca="false">IF(SUM($BB32)&lt;=0,"",IF(SUM($BA32)&lt;=0,"ENTER VALID YIELD!",ROUND($BB32/$BA32,0)-$BB32))</f>
        <v>-2</v>
      </c>
      <c r="BD32" s="118"/>
      <c r="BE32" s="75" t="n">
        <f aca="false">IF(OR(SUM($AH32)&lt;=0,SUM($G32)&lt;=0),"",ROUND($G32*$AH32,0))</f>
        <v>26</v>
      </c>
      <c r="BF32" s="75" t="str">
        <f aca="false">IF(SUM($BE32)&lt;=0,"",IF(SUM($BD32)&lt;=0,"ENTER VALID YIELD!",ROUND($BE32/$BD32,0)-$BE32))</f>
        <v>ENTER VALID YIELD!</v>
      </c>
      <c r="BG32" s="118" t="n">
        <v>27</v>
      </c>
      <c r="BH32" s="75" t="n">
        <f aca="false">IF(OR(SUM($AI32)&lt;=0,SUM($G32)&lt;=0),"",ROUND($G32*$AI32,0))</f>
        <v>2</v>
      </c>
      <c r="BI32" s="75" t="n">
        <f aca="false">IF(SUM($BH32)&lt;=0,"",IF(SUM($BG32)&lt;=0,"ENTER VALID YIELD!",ROUND($BH32/$BG32,0)-$BH32))</f>
        <v>-2</v>
      </c>
      <c r="BJ32" s="118"/>
      <c r="BK32" s="75" t="n">
        <f aca="false">IF(OR(SUM($AJ32)&lt;=0,SUM($G32)&lt;=0),"",ROUND($G32*$AJ32,0))</f>
        <v>48</v>
      </c>
      <c r="BL32" s="75" t="str">
        <f aca="false">IF(SUM($BK32)&lt;=0,"",IF(SUM($BJ32)&lt;=0,"ENTER VALID YIELD!",ROUND($BK32/$BJ32,0)-$BK32))</f>
        <v>ENTER VALID YIELD!</v>
      </c>
      <c r="BM32" s="73" t="n">
        <f aca="false">IF(SUM($G32)&lt;=0,"",$G32)</f>
        <v>1</v>
      </c>
      <c r="BN32" s="73" t="n">
        <f aca="false">IF(SUM($G32)&lt;=0,"",SUM($I32:$L32,$Q32,$S32,$AM32,$AP32,$AS32,$AV32,$AY32,$BB32,$BE32,$BH32,$BK32))</f>
        <v>219</v>
      </c>
      <c r="BO32" s="73" t="n">
        <f aca="false">IF(AND(SUM($BN32)&lt;=0,SUM($BM32)&lt;=0),"",SUM($BN32)-SUM($BM32))</f>
        <v>218</v>
      </c>
      <c r="BP32" s="73" t="str">
        <f aca="false">_xlfn.IFNA(INDEX(PMTCT!$AF:$AF,MATCH($E32,PMTCT!$E:$E,0)),"")</f>
        <v/>
      </c>
      <c r="BQ32" s="73" t="str">
        <f aca="false">_xlfn.IFNA(INDEX(PMTCT!$AV:$AV,MATCH($E32,PMTCT!$E:$E,0)),"")</f>
        <v/>
      </c>
      <c r="BR32" s="73" t="n">
        <f aca="false">_xlfn.IFNA(INDEX(TB!$R:$R,MATCH($E32,TB!$E:$E,0)),"")</f>
        <v>-40</v>
      </c>
      <c r="BS32" s="73" t="n">
        <f aca="false">_xlfn.IFNA(INDEX(VMMC!$AD:$AD,MATCH($E32,VMMC!$E:$E,0)),"")</f>
        <v>-33</v>
      </c>
      <c r="BT32" s="73" t="n">
        <f aca="false">IF(SUM($R32,$T32,$AN32,$AQ32,$AT32,$AW32,$AZ32,$BC32,$BF32,$BI32,$BL32,$BP32:$BS32)=0,"",SUM($R32,$T32,$AN32,$AQ32,$AT32,$AW32,$AZ32,$BC32,$BF32,$BI32,$BL32,$BP32:$BS32))</f>
        <v>-115</v>
      </c>
      <c r="BU32" s="73" t="n">
        <f aca="false">IF(OR(SUM($BT32)=0,SUM($BN32)=0),"",SUM($BT32,$BN32))</f>
        <v>104</v>
      </c>
      <c r="BV32" s="118" t="n">
        <f aca="false">IF(SUM($BU32)=0,"",SUM($BN32)/$BU32)</f>
        <v>2.10576923076923</v>
      </c>
      <c r="BW32" s="73" t="n">
        <v>48</v>
      </c>
      <c r="BX32" s="118" t="n">
        <f aca="false">IF(OR($C32="01-04",$C32="05-09"),"",0%)</f>
        <v>0</v>
      </c>
      <c r="BY32" s="75" t="n">
        <f aca="false">IF(OR($C32="01-04",$C32="05-09",SUM($BW32)=0),"",ROUND($BW32*(1+$BX32),0))</f>
        <v>48</v>
      </c>
    </row>
    <row r="33" customFormat="false" ht="15" hidden="false" customHeight="false" outlineLevel="0" collapsed="false">
      <c r="A33" s="0" t="s">
        <v>140</v>
      </c>
      <c r="B33" s="0" t="s">
        <v>141</v>
      </c>
      <c r="C33" s="0" t="s">
        <v>80</v>
      </c>
      <c r="D33" s="0" t="s">
        <v>56</v>
      </c>
      <c r="E33" s="0" t="str">
        <f aca="false">B33&amp;"|"&amp;C33&amp;"|"&amp;D33</f>
        <v>_Military Lesotho [#Military] [dDOqoFnD5Be]|45-49|Female</v>
      </c>
      <c r="F33" s="118" t="str">
        <f aca="false">_xlfn.IFNA(INDEX(Cascade!$Y:$Y,MATCH($E33,Cascade!$E:$E,0)),"")</f>
        <v/>
      </c>
      <c r="G33" s="73" t="str">
        <f aca="false">_xlfn.IFNA(INDEX(Cascade!$BD:$BD,MATCH($E33,Cascade!$E:$E,0)),"")</f>
        <v/>
      </c>
      <c r="H33" s="73" t="str">
        <f aca="false">_xlfn.IFNA(INDEX(Cascade!$BE:$BE,MATCH($E33,Cascade!$E:$E,0)),"")</f>
        <v/>
      </c>
      <c r="I33" s="73" t="str">
        <f aca="false">_xlfn.IFNA(INDEX(Cascade!$BF:$BF,MATCH($E33,Cascade!$E:$E,0)),"")</f>
        <v/>
      </c>
      <c r="J33" s="73" t="str">
        <f aca="false">_xlfn.IFNA(INDEX(Cascade!$BG:$BG,MATCH($E33,Cascade!$E:$E,0)),"")</f>
        <v/>
      </c>
      <c r="K33" s="73" t="n">
        <f aca="false">_xlfn.IFNA(INDEX(Cascade!$BH:$BH,MATCH($E33,Cascade!$E:$E,0)),"")</f>
        <v>-0</v>
      </c>
      <c r="L33" s="73" t="str">
        <f aca="false">_xlfn.IFNA(INDEX(Cascade!$BI:$BI,MATCH($E33,Cascade!$E:$E,0)),"")</f>
        <v/>
      </c>
      <c r="M33" s="73" t="str">
        <f aca="false">_xlfn.IFNA(INDEX(Cascade!$BK:$BK,MATCH($E33,Cascade!$E:$E,0)),"")</f>
        <v/>
      </c>
      <c r="N33" s="118" t="n">
        <v>36</v>
      </c>
      <c r="O33" s="118"/>
      <c r="P33" s="118" t="n">
        <v>44</v>
      </c>
      <c r="Q33" s="75" t="str">
        <f aca="false">IF(OR(SUM($H33)=0,SUM($N33)=0,SUM($O33)=0),"",ROUND($H33*$N33,0))</f>
        <v/>
      </c>
      <c r="R33" s="75" t="str">
        <f aca="false">IF(OR(SUM($Q33)=0,SUM($O33)=0),"",ROUND(SUM($Q33)/SUM($O33),0)-SUM($Q33))</f>
        <v/>
      </c>
      <c r="S33" s="75" t="str">
        <f aca="false">IF(SUM($H33)=0,"",SUM($H33)-SUM($Q33))</f>
        <v/>
      </c>
      <c r="T33" s="75" t="str">
        <f aca="false">IF(OR(SUM($S33)=0,$N33&gt;1,SUM($P33)&lt;=0),"",ROUND($S33/$P33,0)-$S33)</f>
        <v/>
      </c>
      <c r="U33" s="118" t="str">
        <f aca="false">IF(SUM($G33)&lt;=0,"",SUM($Q33,$S33)/$G33)</f>
        <v/>
      </c>
      <c r="V33" s="118" t="str">
        <f aca="false">IF(OR(SUM($Q33)=0,SUM($G33)=0),"",SUM($Q33)/SUM($G33))</f>
        <v/>
      </c>
      <c r="W33" s="118" t="str">
        <f aca="false">IF(OR(SUM($S33)=0,SUM($G33)=0),"",SUM($S33)/SUM($G33))</f>
        <v/>
      </c>
      <c r="X33" s="118" t="str">
        <f aca="false">IF(OR(SUM($G33)=0,SUM($I33)=0),"",SUM($I33)/SUM($G33))</f>
        <v/>
      </c>
      <c r="Y33" s="118" t="str">
        <f aca="false">IF(OR(SUM($G33)=0,SUM($J33)=0),"",SUM($J33)/SUM($G33))</f>
        <v/>
      </c>
      <c r="Z33" s="118" t="str">
        <f aca="false">IF(OR(SUM($G33)=0,SUM($K33)=0),"",SUM($K33)/SUM($G33))</f>
        <v/>
      </c>
      <c r="AA33" s="118" t="str">
        <f aca="false">IF(OR(SUM($G33)=0,SUM($L33)=0),"",SUM($L33)/SUM($G33))</f>
        <v/>
      </c>
      <c r="AB33" s="118" t="n">
        <v>41</v>
      </c>
      <c r="AC33" s="118"/>
      <c r="AD33" s="118"/>
      <c r="AE33" s="118" t="n">
        <v>4</v>
      </c>
      <c r="AF33" s="118" t="n">
        <v>16</v>
      </c>
      <c r="AG33" s="118" t="n">
        <v>49</v>
      </c>
      <c r="AH33" s="118" t="n">
        <v>37</v>
      </c>
      <c r="AI33" s="118" t="n">
        <v>33</v>
      </c>
      <c r="AJ33" s="118" t="n">
        <v>7</v>
      </c>
      <c r="AK33" s="118" t="str">
        <f aca="false">IF(SUM($G33)&lt;=0,"",SUM($V33:$AJ33))</f>
        <v/>
      </c>
      <c r="AL33" s="118" t="n">
        <v>22</v>
      </c>
      <c r="AM33" s="75" t="str">
        <f aca="false">IF(OR(SUM($AB33)&lt;=0,SUM($G33)&lt;=0),"",ROUND($G33*$AB33,0))</f>
        <v/>
      </c>
      <c r="AN33" s="75" t="str">
        <f aca="false">IF(SUM($AM33)&lt;=0,"",IF(SUM($AL33)&lt;=0,"ENTER VALID YIELD!",ROUND($AM33/$AL33,0)-$AM33))</f>
        <v/>
      </c>
      <c r="AO33" s="118"/>
      <c r="AP33" s="75" t="str">
        <f aca="false">IF(OR(SUM($AC33)&lt;=0,SUM($G33)&lt;=0),"",ROUND($G33*$AC33,0))</f>
        <v/>
      </c>
      <c r="AQ33" s="75" t="str">
        <f aca="false">IF(SUM($AP33)&lt;=0,"",IF(SUM($AO33)&lt;=0,"ENTER VALID YIELD!",ROUND($AP33/$AO33,0)-$AP33))</f>
        <v/>
      </c>
      <c r="AR33" s="118"/>
      <c r="AS33" s="75" t="str">
        <f aca="false">IF(OR(SUM($AD33)&lt;=0,SUM($G33)&lt;=0),"",ROUND($G33*$AD33,0))</f>
        <v/>
      </c>
      <c r="AT33" s="75" t="str">
        <f aca="false">IF(SUM($AS33)&lt;=0,"",IF(SUM($AR33)&lt;=0,"ENTER VALID YIELD!",ROUND($AS33/$AR33,0)-$AS33))</f>
        <v/>
      </c>
      <c r="AU33" s="118"/>
      <c r="AV33" s="75" t="str">
        <f aca="false">IF(OR(SUM($AE33)&lt;=0,SUM($G33)&lt;=0),"",ROUND($G33*$AE33,0))</f>
        <v/>
      </c>
      <c r="AW33" s="75" t="str">
        <f aca="false">IF(SUM($AV33)&lt;=0,"",IF(SUM($AU33)&lt;=0,"ENTER VALID YIELD!",ROUND($AV33/$AU33,0)-$AV33))</f>
        <v/>
      </c>
      <c r="AX33" s="118"/>
      <c r="AY33" s="75" t="str">
        <f aca="false">IF(OR(SUM($AF33)&lt;=0,SUM($G33)&lt;=0),"",ROUND($G33*$AF33,0))</f>
        <v/>
      </c>
      <c r="AZ33" s="75" t="str">
        <f aca="false">IF(SUM($AY33)&lt;=0,"",IF(SUM($AX33)&lt;=0,"ENTER VALID YIELD!",ROUND($AY33/$AX33,0)-$AY33))</f>
        <v/>
      </c>
      <c r="BA33" s="118" t="n">
        <v>45</v>
      </c>
      <c r="BB33" s="75" t="str">
        <f aca="false">IF(OR(SUM($AG33)&lt;=0,SUM($G33)&lt;=0),"",ROUND($G33*$AG33,0))</f>
        <v/>
      </c>
      <c r="BC33" s="75" t="str">
        <f aca="false">IF(SUM($BB33)&lt;=0,"",IF(SUM($BA33)&lt;=0,"ENTER VALID YIELD!",ROUND($BB33/$BA33,0)-$BB33))</f>
        <v/>
      </c>
      <c r="BD33" s="118"/>
      <c r="BE33" s="75" t="str">
        <f aca="false">IF(OR(SUM($AH33)&lt;=0,SUM($G33)&lt;=0),"",ROUND($G33*$AH33,0))</f>
        <v/>
      </c>
      <c r="BF33" s="75" t="str">
        <f aca="false">IF(SUM($BE33)&lt;=0,"",IF(SUM($BD33)&lt;=0,"ENTER VALID YIELD!",ROUND($BE33/$BD33,0)-$BE33))</f>
        <v/>
      </c>
      <c r="BG33" s="118"/>
      <c r="BH33" s="75" t="str">
        <f aca="false">IF(OR(SUM($AI33)&lt;=0,SUM($G33)&lt;=0),"",ROUND($G33*$AI33,0))</f>
        <v/>
      </c>
      <c r="BI33" s="75" t="str">
        <f aca="false">IF(SUM($BH33)&lt;=0,"",IF(SUM($BG33)&lt;=0,"ENTER VALID YIELD!",ROUND($BH33/$BG33,0)-$BH33))</f>
        <v/>
      </c>
      <c r="BJ33" s="118"/>
      <c r="BK33" s="75" t="str">
        <f aca="false">IF(OR(SUM($AJ33)&lt;=0,SUM($G33)&lt;=0),"",ROUND($G33*$AJ33,0))</f>
        <v/>
      </c>
      <c r="BL33" s="75" t="str">
        <f aca="false">IF(SUM($BK33)&lt;=0,"",IF(SUM($BJ33)&lt;=0,"ENTER VALID YIELD!",ROUND($BK33/$BJ33,0)-$BK33))</f>
        <v/>
      </c>
      <c r="BM33" s="73" t="str">
        <f aca="false">IF(SUM($G33)&lt;=0,"",$G33)</f>
        <v/>
      </c>
      <c r="BN33" s="73" t="str">
        <f aca="false">IF(SUM($G33)&lt;=0,"",SUM($I33:$L33,$Q33,$S33,$AM33,$AP33,$AS33,$AV33,$AY33,$BB33,$BE33,$BH33,$BK33))</f>
        <v/>
      </c>
      <c r="BO33" s="73" t="str">
        <f aca="false">IF(AND(SUM($BN33)&lt;=0,SUM($BM33)&lt;=0),"",SUM($BN33)-SUM($BM33))</f>
        <v/>
      </c>
      <c r="BP33" s="73" t="str">
        <f aca="false">_xlfn.IFNA(INDEX(PMTCT!$AF:$AF,MATCH($E33,PMTCT!$E:$E,0)),"")</f>
        <v/>
      </c>
      <c r="BQ33" s="73" t="str">
        <f aca="false">_xlfn.IFNA(INDEX(PMTCT!$AV:$AV,MATCH($E33,PMTCT!$E:$E,0)),"")</f>
        <v/>
      </c>
      <c r="BR33" s="73" t="n">
        <f aca="false">_xlfn.IFNA(INDEX(TB!$R:$R,MATCH($E33,TB!$E:$E,0)),"")</f>
        <v>-1184</v>
      </c>
      <c r="BS33" s="73" t="str">
        <f aca="false">_xlfn.IFNA(INDEX(VMMC!$AD:$AD,MATCH($E33,VMMC!$E:$E,0)),"")</f>
        <v/>
      </c>
      <c r="BT33" s="73" t="n">
        <f aca="false">IF(SUM($R33,$T33,$AN33,$AQ33,$AT33,$AW33,$AZ33,$BC33,$BF33,$BI33,$BL33,$BP33:$BS33)=0,"",SUM($R33,$T33,$AN33,$AQ33,$AT33,$AW33,$AZ33,$BC33,$BF33,$BI33,$BL33,$BP33:$BS33))</f>
        <v>-1184</v>
      </c>
      <c r="BU33" s="73" t="str">
        <f aca="false">IF(OR(SUM($BT33)=0,SUM($BN33)=0),"",SUM($BT33,$BN33))</f>
        <v/>
      </c>
      <c r="BV33" s="118" t="str">
        <f aca="false">IF(SUM($BU33)=0,"",SUM($BN33)/$BU33)</f>
        <v/>
      </c>
      <c r="BW33" s="73" t="n">
        <v>7</v>
      </c>
      <c r="BX33" s="118" t="n">
        <f aca="false">IF(OR($C33="01-04",$C33="05-09"),"",0%)</f>
        <v>0</v>
      </c>
      <c r="BY33" s="75" t="n">
        <f aca="false">IF(OR($C33="01-04",$C33="05-09",SUM($BW33)=0),"",ROUND($BW33*(1+$BX33),0))</f>
        <v>7</v>
      </c>
    </row>
    <row r="34" customFormat="false" ht="15" hidden="false" customHeight="false" outlineLevel="0" collapsed="false">
      <c r="A34" s="0" t="s">
        <v>140</v>
      </c>
      <c r="B34" s="0" t="s">
        <v>141</v>
      </c>
      <c r="C34" s="0" t="s">
        <v>80</v>
      </c>
      <c r="D34" s="0" t="s">
        <v>58</v>
      </c>
      <c r="E34" s="0" t="str">
        <f aca="false">B34&amp;"|"&amp;C34&amp;"|"&amp;D34</f>
        <v>_Military Lesotho [#Military] [dDOqoFnD5Be]|45-49|Male</v>
      </c>
      <c r="F34" s="118" t="str">
        <f aca="false">_xlfn.IFNA(INDEX(Cascade!$Y:$Y,MATCH($E34,Cascade!$E:$E,0)),"")</f>
        <v/>
      </c>
      <c r="G34" s="73" t="n">
        <f aca="false">_xlfn.IFNA(INDEX(Cascade!$BD:$BD,MATCH($E34,Cascade!$E:$E,0)),"")</f>
        <v>1</v>
      </c>
      <c r="H34" s="73" t="n">
        <f aca="false">_xlfn.IFNA(INDEX(Cascade!$BE:$BE,MATCH($E34,Cascade!$E:$E,0)),"")</f>
        <v>0</v>
      </c>
      <c r="I34" s="73" t="str">
        <f aca="false">_xlfn.IFNA(INDEX(Cascade!$BF:$BF,MATCH($E34,Cascade!$E:$E,0)),"")</f>
        <v/>
      </c>
      <c r="J34" s="73" t="str">
        <f aca="false">_xlfn.IFNA(INDEX(Cascade!$BG:$BG,MATCH($E34,Cascade!$E:$E,0)),"")</f>
        <v/>
      </c>
      <c r="K34" s="73" t="n">
        <f aca="false">_xlfn.IFNA(INDEX(Cascade!$BH:$BH,MATCH($E34,Cascade!$E:$E,0)),"")</f>
        <v>0</v>
      </c>
      <c r="L34" s="73" t="str">
        <f aca="false">_xlfn.IFNA(INDEX(Cascade!$BI:$BI,MATCH($E34,Cascade!$E:$E,0)),"")</f>
        <v/>
      </c>
      <c r="M34" s="73" t="n">
        <f aca="false">_xlfn.IFNA(INDEX(Cascade!$BK:$BK,MATCH($E34,Cascade!$E:$E,0)),"")</f>
        <v>1</v>
      </c>
      <c r="N34" s="118"/>
      <c r="O34" s="118"/>
      <c r="P34" s="118"/>
      <c r="Q34" s="75" t="str">
        <f aca="false">IF(OR(SUM($H34)=0,SUM($N34)=0,SUM($O34)=0),"",ROUND($H34*$N34,0))</f>
        <v/>
      </c>
      <c r="R34" s="75" t="str">
        <f aca="false">IF(OR(SUM($Q34)=0,SUM($O34)=0),"",ROUND(SUM($Q34)/SUM($O34),0)-SUM($Q34))</f>
        <v/>
      </c>
      <c r="S34" s="75" t="str">
        <f aca="false">IF(SUM($H34)=0,"",SUM($H34)-SUM($Q34))</f>
        <v/>
      </c>
      <c r="T34" s="75" t="str">
        <f aca="false">IF(OR(SUM($S34)=0,$N34&gt;1,SUM($P34)&lt;=0),"",ROUND($S34/$P34,0)-$S34)</f>
        <v/>
      </c>
      <c r="U34" s="118" t="n">
        <f aca="false">IF(SUM($G34)&lt;=0,"",SUM($Q34,$S34)/$G34)</f>
        <v>0</v>
      </c>
      <c r="V34" s="118" t="str">
        <f aca="false">IF(OR(SUM($Q34)=0,SUM($G34)=0),"",SUM($Q34)/SUM($G34))</f>
        <v/>
      </c>
      <c r="W34" s="118" t="str">
        <f aca="false">IF(OR(SUM($S34)=0,SUM($G34)=0),"",SUM($S34)/SUM($G34))</f>
        <v/>
      </c>
      <c r="X34" s="118" t="str">
        <f aca="false">IF(OR(SUM($G34)=0,SUM($I34)=0),"",SUM($I34)/SUM($G34))</f>
        <v/>
      </c>
      <c r="Y34" s="118" t="str">
        <f aca="false">IF(OR(SUM($G34)=0,SUM($J34)=0),"",SUM($J34)/SUM($G34))</f>
        <v/>
      </c>
      <c r="Z34" s="118" t="str">
        <f aca="false">IF(OR(SUM($G34)=0,SUM($K34)=0),"",SUM($K34)/SUM($G34))</f>
        <v/>
      </c>
      <c r="AA34" s="118" t="str">
        <f aca="false">IF(OR(SUM($G34)=0,SUM($L34)=0),"",SUM($L34)/SUM($G34))</f>
        <v/>
      </c>
      <c r="AB34" s="118" t="n">
        <v>43</v>
      </c>
      <c r="AC34" s="118"/>
      <c r="AD34" s="118"/>
      <c r="AE34" s="118" t="n">
        <v>13</v>
      </c>
      <c r="AF34" s="118" t="n">
        <v>12</v>
      </c>
      <c r="AG34" s="118" t="n">
        <v>43</v>
      </c>
      <c r="AH34" s="118" t="n">
        <v>36</v>
      </c>
      <c r="AI34" s="118" t="n">
        <v>18</v>
      </c>
      <c r="AJ34" s="118" t="n">
        <v>18</v>
      </c>
      <c r="AK34" s="118" t="n">
        <f aca="false">IF(SUM($G34)&lt;=0,"",SUM($V34:$AJ34))</f>
        <v>183</v>
      </c>
      <c r="AL34" s="118"/>
      <c r="AM34" s="75" t="n">
        <f aca="false">IF(OR(SUM($AB34)&lt;=0,SUM($G34)&lt;=0),"",ROUND($G34*$AB34,0))</f>
        <v>43</v>
      </c>
      <c r="AN34" s="75" t="str">
        <f aca="false">IF(SUM($AM34)&lt;=0,"",IF(SUM($AL34)&lt;=0,"ENTER VALID YIELD!",ROUND($AM34/$AL34,0)-$AM34))</f>
        <v>ENTER VALID YIELD!</v>
      </c>
      <c r="AO34" s="118"/>
      <c r="AP34" s="75" t="str">
        <f aca="false">IF(OR(SUM($AC34)&lt;=0,SUM($G34)&lt;=0),"",ROUND($G34*$AC34,0))</f>
        <v/>
      </c>
      <c r="AQ34" s="75" t="str">
        <f aca="false">IF(SUM($AP34)&lt;=0,"",IF(SUM($AO34)&lt;=0,"ENTER VALID YIELD!",ROUND($AP34/$AO34,0)-$AP34))</f>
        <v/>
      </c>
      <c r="AR34" s="118"/>
      <c r="AS34" s="75" t="str">
        <f aca="false">IF(OR(SUM($AD34)&lt;=0,SUM($G34)&lt;=0),"",ROUND($G34*$AD34,0))</f>
        <v/>
      </c>
      <c r="AT34" s="75" t="str">
        <f aca="false">IF(SUM($AS34)&lt;=0,"",IF(SUM($AR34)&lt;=0,"ENTER VALID YIELD!",ROUND($AS34/$AR34,0)-$AS34))</f>
        <v/>
      </c>
      <c r="AU34" s="118"/>
      <c r="AV34" s="75" t="n">
        <f aca="false">IF(OR(SUM($AE34)&lt;=0,SUM($G34)&lt;=0),"",ROUND($G34*$AE34,0))</f>
        <v>13</v>
      </c>
      <c r="AW34" s="75" t="str">
        <f aca="false">IF(SUM($AV34)&lt;=0,"",IF(SUM($AU34)&lt;=0,"ENTER VALID YIELD!",ROUND($AV34/$AU34,0)-$AV34))</f>
        <v>ENTER VALID YIELD!</v>
      </c>
      <c r="AX34" s="118"/>
      <c r="AY34" s="75" t="n">
        <f aca="false">IF(OR(SUM($AF34)&lt;=0,SUM($G34)&lt;=0),"",ROUND($G34*$AF34,0))</f>
        <v>12</v>
      </c>
      <c r="AZ34" s="75" t="str">
        <f aca="false">IF(SUM($AY34)&lt;=0,"",IF(SUM($AX34)&lt;=0,"ENTER VALID YIELD!",ROUND($AY34/$AX34,0)-$AY34))</f>
        <v>ENTER VALID YIELD!</v>
      </c>
      <c r="BA34" s="118" t="n">
        <v>32</v>
      </c>
      <c r="BB34" s="75" t="n">
        <f aca="false">IF(OR(SUM($AG34)&lt;=0,SUM($G34)&lt;=0),"",ROUND($G34*$AG34,0))</f>
        <v>43</v>
      </c>
      <c r="BC34" s="75" t="n">
        <f aca="false">IF(SUM($BB34)&lt;=0,"",IF(SUM($BA34)&lt;=0,"ENTER VALID YIELD!",ROUND($BB34/$BA34,0)-$BB34))</f>
        <v>-42</v>
      </c>
      <c r="BD34" s="118"/>
      <c r="BE34" s="75" t="n">
        <f aca="false">IF(OR(SUM($AH34)&lt;=0,SUM($G34)&lt;=0),"",ROUND($G34*$AH34,0))</f>
        <v>36</v>
      </c>
      <c r="BF34" s="75" t="str">
        <f aca="false">IF(SUM($BE34)&lt;=0,"",IF(SUM($BD34)&lt;=0,"ENTER VALID YIELD!",ROUND($BE34/$BD34,0)-$BE34))</f>
        <v>ENTER VALID YIELD!</v>
      </c>
      <c r="BG34" s="118" t="n">
        <v>6</v>
      </c>
      <c r="BH34" s="75" t="n">
        <f aca="false">IF(OR(SUM($AI34)&lt;=0,SUM($G34)&lt;=0),"",ROUND($G34*$AI34,0))</f>
        <v>18</v>
      </c>
      <c r="BI34" s="75" t="n">
        <f aca="false">IF(SUM($BH34)&lt;=0,"",IF(SUM($BG34)&lt;=0,"ENTER VALID YIELD!",ROUND($BH34/$BG34,0)-$BH34))</f>
        <v>-15</v>
      </c>
      <c r="BJ34" s="118"/>
      <c r="BK34" s="75" t="n">
        <f aca="false">IF(OR(SUM($AJ34)&lt;=0,SUM($G34)&lt;=0),"",ROUND($G34*$AJ34,0))</f>
        <v>18</v>
      </c>
      <c r="BL34" s="75" t="str">
        <f aca="false">IF(SUM($BK34)&lt;=0,"",IF(SUM($BJ34)&lt;=0,"ENTER VALID YIELD!",ROUND($BK34/$BJ34,0)-$BK34))</f>
        <v>ENTER VALID YIELD!</v>
      </c>
      <c r="BM34" s="73" t="n">
        <f aca="false">IF(SUM($G34)&lt;=0,"",$G34)</f>
        <v>1</v>
      </c>
      <c r="BN34" s="73" t="n">
        <f aca="false">IF(SUM($G34)&lt;=0,"",SUM($I34:$L34,$Q34,$S34,$AM34,$AP34,$AS34,$AV34,$AY34,$BB34,$BE34,$BH34,$BK34))</f>
        <v>183</v>
      </c>
      <c r="BO34" s="73" t="n">
        <f aca="false">IF(AND(SUM($BN34)&lt;=0,SUM($BM34)&lt;=0),"",SUM($BN34)-SUM($BM34))</f>
        <v>182</v>
      </c>
      <c r="BP34" s="73" t="str">
        <f aca="false">_xlfn.IFNA(INDEX(PMTCT!$AF:$AF,MATCH($E34,PMTCT!$E:$E,0)),"")</f>
        <v/>
      </c>
      <c r="BQ34" s="73" t="str">
        <f aca="false">_xlfn.IFNA(INDEX(PMTCT!$AV:$AV,MATCH($E34,PMTCT!$E:$E,0)),"")</f>
        <v/>
      </c>
      <c r="BR34" s="73" t="n">
        <f aca="false">_xlfn.IFNA(INDEX(TB!$R:$R,MATCH($E34,TB!$E:$E,0)),"")</f>
        <v>41</v>
      </c>
      <c r="BS34" s="73" t="str">
        <f aca="false">_xlfn.IFNA(INDEX(VMMC!$AD:$AD,MATCH($E34,VMMC!$E:$E,0)),"")</f>
        <v/>
      </c>
      <c r="BT34" s="73" t="n">
        <f aca="false">IF(SUM($R34,$T34,$AN34,$AQ34,$AT34,$AW34,$AZ34,$BC34,$BF34,$BI34,$BL34,$BP34:$BS34)=0,"",SUM($R34,$T34,$AN34,$AQ34,$AT34,$AW34,$AZ34,$BC34,$BF34,$BI34,$BL34,$BP34:$BS34))</f>
        <v>-16</v>
      </c>
      <c r="BU34" s="73" t="n">
        <f aca="false">IF(OR(SUM($BT34)=0,SUM($BN34)=0),"",SUM($BT34,$BN34))</f>
        <v>167</v>
      </c>
      <c r="BV34" s="118" t="n">
        <f aca="false">IF(SUM($BU34)=0,"",SUM($BN34)/$BU34)</f>
        <v>1.09580838323353</v>
      </c>
      <c r="BW34" s="73" t="n">
        <v>7</v>
      </c>
      <c r="BX34" s="118" t="n">
        <f aca="false">IF(OR($C34="01-04",$C34="05-09"),"",0%)</f>
        <v>0</v>
      </c>
      <c r="BY34" s="75" t="n">
        <f aca="false">IF(OR($C34="01-04",$C34="05-09",SUM($BW34)=0),"",ROUND($BW34*(1+$BX34),0))</f>
        <v>7</v>
      </c>
    </row>
    <row r="35" customFormat="false" ht="15" hidden="false" customHeight="false" outlineLevel="0" collapsed="false">
      <c r="A35" s="0" t="s">
        <v>140</v>
      </c>
      <c r="B35" s="0" t="s">
        <v>141</v>
      </c>
      <c r="C35" s="0" t="s">
        <v>86</v>
      </c>
      <c r="D35" s="0" t="s">
        <v>56</v>
      </c>
      <c r="E35" s="0" t="str">
        <f aca="false">B35&amp;"|"&amp;C35&amp;"|"&amp;D35</f>
        <v>_Military Lesotho [#Military] [dDOqoFnD5Be]|50+|Female</v>
      </c>
      <c r="F35" s="118" t="str">
        <f aca="false">_xlfn.IFNA(INDEX(Cascade!$Y:$Y,MATCH($E35,Cascade!$E:$E,0)),"")</f>
        <v/>
      </c>
      <c r="G35" s="73" t="n">
        <f aca="false">_xlfn.IFNA(INDEX(Cascade!$BD:$BD,MATCH($E35,Cascade!$E:$E,0)),"")</f>
        <v>1</v>
      </c>
      <c r="H35" s="73" t="n">
        <f aca="false">_xlfn.IFNA(INDEX(Cascade!$BE:$BE,MATCH($E35,Cascade!$E:$E,0)),"")</f>
        <v>0</v>
      </c>
      <c r="I35" s="73" t="str">
        <f aca="false">_xlfn.IFNA(INDEX(Cascade!$BF:$BF,MATCH($E35,Cascade!$E:$E,0)),"")</f>
        <v/>
      </c>
      <c r="J35" s="73" t="str">
        <f aca="false">_xlfn.IFNA(INDEX(Cascade!$BG:$BG,MATCH($E35,Cascade!$E:$E,0)),"")</f>
        <v/>
      </c>
      <c r="K35" s="73" t="n">
        <f aca="false">_xlfn.IFNA(INDEX(Cascade!$BH:$BH,MATCH($E35,Cascade!$E:$E,0)),"")</f>
        <v>1634</v>
      </c>
      <c r="L35" s="73" t="str">
        <f aca="false">_xlfn.IFNA(INDEX(Cascade!$BI:$BI,MATCH($E35,Cascade!$E:$E,0)),"")</f>
        <v/>
      </c>
      <c r="M35" s="73" t="n">
        <f aca="false">_xlfn.IFNA(INDEX(Cascade!$BK:$BK,MATCH($E35,Cascade!$E:$E,0)),"")</f>
        <v>-1633</v>
      </c>
      <c r="N35" s="118" t="n">
        <v>47</v>
      </c>
      <c r="O35" s="118"/>
      <c r="P35" s="118" t="n">
        <v>27</v>
      </c>
      <c r="Q35" s="75" t="str">
        <f aca="false">IF(OR(SUM($H35)=0,SUM($N35)=0,SUM($O35)=0),"",ROUND($H35*$N35,0))</f>
        <v/>
      </c>
      <c r="R35" s="75" t="str">
        <f aca="false">IF(OR(SUM($Q35)=0,SUM($O35)=0),"",ROUND(SUM($Q35)/SUM($O35),0)-SUM($Q35))</f>
        <v/>
      </c>
      <c r="S35" s="75" t="str">
        <f aca="false">IF(SUM($H35)=0,"",SUM($H35)-SUM($Q35))</f>
        <v/>
      </c>
      <c r="T35" s="75" t="str">
        <f aca="false">IF(OR(SUM($S35)=0,$N35&gt;1,SUM($P35)&lt;=0),"",ROUND($S35/$P35,0)-$S35)</f>
        <v/>
      </c>
      <c r="U35" s="118" t="n">
        <f aca="false">IF(SUM($G35)&lt;=0,"",SUM($Q35,$S35)/$G35)</f>
        <v>0</v>
      </c>
      <c r="V35" s="118" t="str">
        <f aca="false">IF(OR(SUM($Q35)=0,SUM($G35)=0),"",SUM($Q35)/SUM($G35))</f>
        <v/>
      </c>
      <c r="W35" s="118" t="str">
        <f aca="false">IF(OR(SUM($S35)=0,SUM($G35)=0),"",SUM($S35)/SUM($G35))</f>
        <v/>
      </c>
      <c r="X35" s="118" t="str">
        <f aca="false">IF(OR(SUM($G35)=0,SUM($I35)=0),"",SUM($I35)/SUM($G35))</f>
        <v/>
      </c>
      <c r="Y35" s="118" t="str">
        <f aca="false">IF(OR(SUM($G35)=0,SUM($J35)=0),"",SUM($J35)/SUM($G35))</f>
        <v/>
      </c>
      <c r="Z35" s="118" t="n">
        <f aca="false">IF(OR(SUM($G35)=0,SUM($K35)=0),"",SUM($K35)/SUM($G35))</f>
        <v>1634</v>
      </c>
      <c r="AA35" s="118" t="str">
        <f aca="false">IF(OR(SUM($G35)=0,SUM($L35)=0),"",SUM($L35)/SUM($G35))</f>
        <v/>
      </c>
      <c r="AB35" s="118" t="n">
        <v>37</v>
      </c>
      <c r="AC35" s="118"/>
      <c r="AD35" s="118"/>
      <c r="AE35" s="118" t="n">
        <v>38</v>
      </c>
      <c r="AF35" s="118" t="n">
        <v>16</v>
      </c>
      <c r="AG35" s="118" t="n">
        <v>37</v>
      </c>
      <c r="AH35" s="118" t="n">
        <v>40</v>
      </c>
      <c r="AI35" s="118" t="n">
        <v>28</v>
      </c>
      <c r="AJ35" s="118" t="n">
        <v>2</v>
      </c>
      <c r="AK35" s="118" t="n">
        <f aca="false">IF(SUM($G35)&lt;=0,"",SUM($V35:$AJ35))</f>
        <v>1832</v>
      </c>
      <c r="AL35" s="118" t="n">
        <v>46</v>
      </c>
      <c r="AM35" s="75" t="n">
        <f aca="false">IF(OR(SUM($AB35)&lt;=0,SUM($G35)&lt;=0),"",ROUND($G35*$AB35,0))</f>
        <v>37</v>
      </c>
      <c r="AN35" s="75" t="n">
        <f aca="false">IF(SUM($AM35)&lt;=0,"",IF(SUM($AL35)&lt;=0,"ENTER VALID YIELD!",ROUND($AM35/$AL35,0)-$AM35))</f>
        <v>-36</v>
      </c>
      <c r="AO35" s="118"/>
      <c r="AP35" s="75" t="str">
        <f aca="false">IF(OR(SUM($AC35)&lt;=0,SUM($G35)&lt;=0),"",ROUND($G35*$AC35,0))</f>
        <v/>
      </c>
      <c r="AQ35" s="75" t="str">
        <f aca="false">IF(SUM($AP35)&lt;=0,"",IF(SUM($AO35)&lt;=0,"ENTER VALID YIELD!",ROUND($AP35/$AO35,0)-$AP35))</f>
        <v/>
      </c>
      <c r="AR35" s="118"/>
      <c r="AS35" s="75" t="str">
        <f aca="false">IF(OR(SUM($AD35)&lt;=0,SUM($G35)&lt;=0),"",ROUND($G35*$AD35,0))</f>
        <v/>
      </c>
      <c r="AT35" s="75" t="str">
        <f aca="false">IF(SUM($AS35)&lt;=0,"",IF(SUM($AR35)&lt;=0,"ENTER VALID YIELD!",ROUND($AS35/$AR35,0)-$AS35))</f>
        <v/>
      </c>
      <c r="AU35" s="118"/>
      <c r="AV35" s="75" t="n">
        <f aca="false">IF(OR(SUM($AE35)&lt;=0,SUM($G35)&lt;=0),"",ROUND($G35*$AE35,0))</f>
        <v>38</v>
      </c>
      <c r="AW35" s="75" t="str">
        <f aca="false">IF(SUM($AV35)&lt;=0,"",IF(SUM($AU35)&lt;=0,"ENTER VALID YIELD!",ROUND($AV35/$AU35,0)-$AV35))</f>
        <v>ENTER VALID YIELD!</v>
      </c>
      <c r="AX35" s="118"/>
      <c r="AY35" s="75" t="n">
        <f aca="false">IF(OR(SUM($AF35)&lt;=0,SUM($G35)&lt;=0),"",ROUND($G35*$AF35,0))</f>
        <v>16</v>
      </c>
      <c r="AZ35" s="75" t="str">
        <f aca="false">IF(SUM($AY35)&lt;=0,"",IF(SUM($AX35)&lt;=0,"ENTER VALID YIELD!",ROUND($AY35/$AX35,0)-$AY35))</f>
        <v>ENTER VALID YIELD!</v>
      </c>
      <c r="BA35" s="118"/>
      <c r="BB35" s="75" t="n">
        <f aca="false">IF(OR(SUM($AG35)&lt;=0,SUM($G35)&lt;=0),"",ROUND($G35*$AG35,0))</f>
        <v>37</v>
      </c>
      <c r="BC35" s="75" t="str">
        <f aca="false">IF(SUM($BB35)&lt;=0,"",IF(SUM($BA35)&lt;=0,"ENTER VALID YIELD!",ROUND($BB35/$BA35,0)-$BB35))</f>
        <v>ENTER VALID YIELD!</v>
      </c>
      <c r="BD35" s="118"/>
      <c r="BE35" s="75" t="n">
        <f aca="false">IF(OR(SUM($AH35)&lt;=0,SUM($G35)&lt;=0),"",ROUND($G35*$AH35,0))</f>
        <v>40</v>
      </c>
      <c r="BF35" s="75" t="str">
        <f aca="false">IF(SUM($BE35)&lt;=0,"",IF(SUM($BD35)&lt;=0,"ENTER VALID YIELD!",ROUND($BE35/$BD35,0)-$BE35))</f>
        <v>ENTER VALID YIELD!</v>
      </c>
      <c r="BG35" s="118" t="n">
        <v>35</v>
      </c>
      <c r="BH35" s="75" t="n">
        <f aca="false">IF(OR(SUM($AI35)&lt;=0,SUM($G35)&lt;=0),"",ROUND($G35*$AI35,0))</f>
        <v>28</v>
      </c>
      <c r="BI35" s="75" t="n">
        <f aca="false">IF(SUM($BH35)&lt;=0,"",IF(SUM($BG35)&lt;=0,"ENTER VALID YIELD!",ROUND($BH35/$BG35,0)-$BH35))</f>
        <v>-27</v>
      </c>
      <c r="BJ35" s="118"/>
      <c r="BK35" s="75" t="n">
        <f aca="false">IF(OR(SUM($AJ35)&lt;=0,SUM($G35)&lt;=0),"",ROUND($G35*$AJ35,0))</f>
        <v>2</v>
      </c>
      <c r="BL35" s="75" t="str">
        <f aca="false">IF(SUM($BK35)&lt;=0,"",IF(SUM($BJ35)&lt;=0,"ENTER VALID YIELD!",ROUND($BK35/$BJ35,0)-$BK35))</f>
        <v>ENTER VALID YIELD!</v>
      </c>
      <c r="BM35" s="73" t="n">
        <f aca="false">IF(SUM($G35)&lt;=0,"",$G35)</f>
        <v>1</v>
      </c>
      <c r="BN35" s="73" t="n">
        <f aca="false">IF(SUM($G35)&lt;=0,"",SUM($I35:$L35,$Q35,$S35,$AM35,$AP35,$AS35,$AV35,$AY35,$BB35,$BE35,$BH35,$BK35))</f>
        <v>1832</v>
      </c>
      <c r="BO35" s="73" t="n">
        <f aca="false">IF(AND(SUM($BN35)&lt;=0,SUM($BM35)&lt;=0),"",SUM($BN35)-SUM($BM35))</f>
        <v>1831</v>
      </c>
      <c r="BP35" s="73" t="str">
        <f aca="false">_xlfn.IFNA(INDEX(PMTCT!$AF:$AF,MATCH($E35,PMTCT!$E:$E,0)),"")</f>
        <v/>
      </c>
      <c r="BQ35" s="73" t="str">
        <f aca="false">_xlfn.IFNA(INDEX(PMTCT!$AV:$AV,MATCH($E35,PMTCT!$E:$E,0)),"")</f>
        <v/>
      </c>
      <c r="BR35" s="73" t="n">
        <f aca="false">_xlfn.IFNA(INDEX(TB!$R:$R,MATCH($E35,TB!$E:$E,0)),"")</f>
        <v>-1591</v>
      </c>
      <c r="BS35" s="73" t="str">
        <f aca="false">_xlfn.IFNA(INDEX(VMMC!$AD:$AD,MATCH($E35,VMMC!$E:$E,0)),"")</f>
        <v/>
      </c>
      <c r="BT35" s="73" t="n">
        <f aca="false">IF(SUM($R35,$T35,$AN35,$AQ35,$AT35,$AW35,$AZ35,$BC35,$BF35,$BI35,$BL35,$BP35:$BS35)=0,"",SUM($R35,$T35,$AN35,$AQ35,$AT35,$AW35,$AZ35,$BC35,$BF35,$BI35,$BL35,$BP35:$BS35))</f>
        <v>-1654</v>
      </c>
      <c r="BU35" s="73" t="n">
        <f aca="false">IF(OR(SUM($BT35)=0,SUM($BN35)=0),"",SUM($BT35,$BN35))</f>
        <v>178</v>
      </c>
      <c r="BV35" s="118" t="n">
        <f aca="false">IF(SUM($BU35)=0,"",SUM($BN35)/$BU35)</f>
        <v>10.2921348314607</v>
      </c>
      <c r="BW35" s="73" t="n">
        <v>24</v>
      </c>
      <c r="BX35" s="118" t="n">
        <f aca="false">IF(OR($C35="01-04",$C35="05-09"),"",0%)</f>
        <v>0</v>
      </c>
      <c r="BY35" s="75" t="n">
        <f aca="false">IF(OR($C35="01-04",$C35="05-09",SUM($BW35)=0),"",ROUND($BW35*(1+$BX35),0))</f>
        <v>24</v>
      </c>
    </row>
    <row r="36" customFormat="false" ht="15" hidden="false" customHeight="false" outlineLevel="0" collapsed="false">
      <c r="A36" s="0" t="s">
        <v>140</v>
      </c>
      <c r="B36" s="0" t="s">
        <v>141</v>
      </c>
      <c r="C36" s="0" t="s">
        <v>86</v>
      </c>
      <c r="D36" s="0" t="s">
        <v>58</v>
      </c>
      <c r="E36" s="0" t="str">
        <f aca="false">B36&amp;"|"&amp;C36&amp;"|"&amp;D36</f>
        <v>_Military Lesotho [#Military] [dDOqoFnD5Be]|50+|Male</v>
      </c>
      <c r="F36" s="118" t="str">
        <f aca="false">_xlfn.IFNA(INDEX(Cascade!$Y:$Y,MATCH($E36,Cascade!$E:$E,0)),"")</f>
        <v/>
      </c>
      <c r="G36" s="73" t="str">
        <f aca="false">_xlfn.IFNA(INDEX(Cascade!$BD:$BD,MATCH($E36,Cascade!$E:$E,0)),"")</f>
        <v/>
      </c>
      <c r="H36" s="73" t="str">
        <f aca="false">_xlfn.IFNA(INDEX(Cascade!$BE:$BE,MATCH($E36,Cascade!$E:$E,0)),"")</f>
        <v/>
      </c>
      <c r="I36" s="73" t="str">
        <f aca="false">_xlfn.IFNA(INDEX(Cascade!$BF:$BF,MATCH($E36,Cascade!$E:$E,0)),"")</f>
        <v/>
      </c>
      <c r="J36" s="73" t="str">
        <f aca="false">_xlfn.IFNA(INDEX(Cascade!$BG:$BG,MATCH($E36,Cascade!$E:$E,0)),"")</f>
        <v/>
      </c>
      <c r="K36" s="73" t="n">
        <f aca="false">_xlfn.IFNA(INDEX(Cascade!$BH:$BH,MATCH($E36,Cascade!$E:$E,0)),"")</f>
        <v>312</v>
      </c>
      <c r="L36" s="73" t="str">
        <f aca="false">_xlfn.IFNA(INDEX(Cascade!$BI:$BI,MATCH($E36,Cascade!$E:$E,0)),"")</f>
        <v/>
      </c>
      <c r="M36" s="73" t="str">
        <f aca="false">_xlfn.IFNA(INDEX(Cascade!$BK:$BK,MATCH($E36,Cascade!$E:$E,0)),"")</f>
        <v/>
      </c>
      <c r="N36" s="118" t="n">
        <v>48</v>
      </c>
      <c r="O36" s="118"/>
      <c r="P36" s="118" t="n">
        <v>45</v>
      </c>
      <c r="Q36" s="75" t="str">
        <f aca="false">IF(OR(SUM($H36)=0,SUM($N36)=0,SUM($O36)=0),"",ROUND($H36*$N36,0))</f>
        <v/>
      </c>
      <c r="R36" s="75" t="str">
        <f aca="false">IF(OR(SUM($Q36)=0,SUM($O36)=0),"",ROUND(SUM($Q36)/SUM($O36),0)-SUM($Q36))</f>
        <v/>
      </c>
      <c r="S36" s="75" t="str">
        <f aca="false">IF(SUM($H36)=0,"",SUM($H36)-SUM($Q36))</f>
        <v/>
      </c>
      <c r="T36" s="75" t="str">
        <f aca="false">IF(OR(SUM($S36)=0,$N36&gt;1,SUM($P36)&lt;=0),"",ROUND($S36/$P36,0)-$S36)</f>
        <v/>
      </c>
      <c r="U36" s="118" t="str">
        <f aca="false">IF(SUM($G36)&lt;=0,"",SUM($Q36,$S36)/$G36)</f>
        <v/>
      </c>
      <c r="V36" s="118" t="str">
        <f aca="false">IF(OR(SUM($Q36)=0,SUM($G36)=0),"",SUM($Q36)/SUM($G36))</f>
        <v/>
      </c>
      <c r="W36" s="118" t="str">
        <f aca="false">IF(OR(SUM($S36)=0,SUM($G36)=0),"",SUM($S36)/SUM($G36))</f>
        <v/>
      </c>
      <c r="X36" s="118" t="str">
        <f aca="false">IF(OR(SUM($G36)=0,SUM($I36)=0),"",SUM($I36)/SUM($G36))</f>
        <v/>
      </c>
      <c r="Y36" s="118" t="str">
        <f aca="false">IF(OR(SUM($G36)=0,SUM($J36)=0),"",SUM($J36)/SUM($G36))</f>
        <v/>
      </c>
      <c r="Z36" s="118" t="str">
        <f aca="false">IF(OR(SUM($G36)=0,SUM($K36)=0),"",SUM($K36)/SUM($G36))</f>
        <v/>
      </c>
      <c r="AA36" s="118" t="str">
        <f aca="false">IF(OR(SUM($G36)=0,SUM($L36)=0),"",SUM($L36)/SUM($G36))</f>
        <v/>
      </c>
      <c r="AB36" s="118" t="n">
        <v>17</v>
      </c>
      <c r="AC36" s="118"/>
      <c r="AD36" s="118"/>
      <c r="AE36" s="118" t="n">
        <v>33</v>
      </c>
      <c r="AF36" s="118" t="n">
        <v>26</v>
      </c>
      <c r="AG36" s="118" t="n">
        <v>12</v>
      </c>
      <c r="AH36" s="118" t="n">
        <v>6</v>
      </c>
      <c r="AI36" s="118" t="n">
        <v>22</v>
      </c>
      <c r="AJ36" s="118" t="n">
        <v>42</v>
      </c>
      <c r="AK36" s="118" t="str">
        <f aca="false">IF(SUM($G36)&lt;=0,"",SUM($V36:$AJ36))</f>
        <v/>
      </c>
      <c r="AL36" s="118"/>
      <c r="AM36" s="75" t="str">
        <f aca="false">IF(OR(SUM($AB36)&lt;=0,SUM($G36)&lt;=0),"",ROUND($G36*$AB36,0))</f>
        <v/>
      </c>
      <c r="AN36" s="75" t="str">
        <f aca="false">IF(SUM($AM36)&lt;=0,"",IF(SUM($AL36)&lt;=0,"ENTER VALID YIELD!",ROUND($AM36/$AL36,0)-$AM36))</f>
        <v/>
      </c>
      <c r="AO36" s="118"/>
      <c r="AP36" s="75" t="str">
        <f aca="false">IF(OR(SUM($AC36)&lt;=0,SUM($G36)&lt;=0),"",ROUND($G36*$AC36,0))</f>
        <v/>
      </c>
      <c r="AQ36" s="75" t="str">
        <f aca="false">IF(SUM($AP36)&lt;=0,"",IF(SUM($AO36)&lt;=0,"ENTER VALID YIELD!",ROUND($AP36/$AO36,0)-$AP36))</f>
        <v/>
      </c>
      <c r="AR36" s="118"/>
      <c r="AS36" s="75" t="str">
        <f aca="false">IF(OR(SUM($AD36)&lt;=0,SUM($G36)&lt;=0),"",ROUND($G36*$AD36,0))</f>
        <v/>
      </c>
      <c r="AT36" s="75" t="str">
        <f aca="false">IF(SUM($AS36)&lt;=0,"",IF(SUM($AR36)&lt;=0,"ENTER VALID YIELD!",ROUND($AS36/$AR36,0)-$AS36))</f>
        <v/>
      </c>
      <c r="AU36" s="118"/>
      <c r="AV36" s="75" t="str">
        <f aca="false">IF(OR(SUM($AE36)&lt;=0,SUM($G36)&lt;=0),"",ROUND($G36*$AE36,0))</f>
        <v/>
      </c>
      <c r="AW36" s="75" t="str">
        <f aca="false">IF(SUM($AV36)&lt;=0,"",IF(SUM($AU36)&lt;=0,"ENTER VALID YIELD!",ROUND($AV36/$AU36,0)-$AV36))</f>
        <v/>
      </c>
      <c r="AX36" s="118"/>
      <c r="AY36" s="75" t="str">
        <f aca="false">IF(OR(SUM($AF36)&lt;=0,SUM($G36)&lt;=0),"",ROUND($G36*$AF36,0))</f>
        <v/>
      </c>
      <c r="AZ36" s="75" t="str">
        <f aca="false">IF(SUM($AY36)&lt;=0,"",IF(SUM($AX36)&lt;=0,"ENTER VALID YIELD!",ROUND($AY36/$AX36,0)-$AY36))</f>
        <v/>
      </c>
      <c r="BA36" s="118" t="n">
        <v>18</v>
      </c>
      <c r="BB36" s="75" t="str">
        <f aca="false">IF(OR(SUM($AG36)&lt;=0,SUM($G36)&lt;=0),"",ROUND($G36*$AG36,0))</f>
        <v/>
      </c>
      <c r="BC36" s="75" t="str">
        <f aca="false">IF(SUM($BB36)&lt;=0,"",IF(SUM($BA36)&lt;=0,"ENTER VALID YIELD!",ROUND($BB36/$BA36,0)-$BB36))</f>
        <v/>
      </c>
      <c r="BD36" s="118"/>
      <c r="BE36" s="75" t="str">
        <f aca="false">IF(OR(SUM($AH36)&lt;=0,SUM($G36)&lt;=0),"",ROUND($G36*$AH36,0))</f>
        <v/>
      </c>
      <c r="BF36" s="75" t="str">
        <f aca="false">IF(SUM($BE36)&lt;=0,"",IF(SUM($BD36)&lt;=0,"ENTER VALID YIELD!",ROUND($BE36/$BD36,0)-$BE36))</f>
        <v/>
      </c>
      <c r="BG36" s="118" t="n">
        <v>47</v>
      </c>
      <c r="BH36" s="75" t="str">
        <f aca="false">IF(OR(SUM($AI36)&lt;=0,SUM($G36)&lt;=0),"",ROUND($G36*$AI36,0))</f>
        <v/>
      </c>
      <c r="BI36" s="75" t="str">
        <f aca="false">IF(SUM($BH36)&lt;=0,"",IF(SUM($BG36)&lt;=0,"ENTER VALID YIELD!",ROUND($BH36/$BG36,0)-$BH36))</f>
        <v/>
      </c>
      <c r="BJ36" s="118"/>
      <c r="BK36" s="75" t="str">
        <f aca="false">IF(OR(SUM($AJ36)&lt;=0,SUM($G36)&lt;=0),"",ROUND($G36*$AJ36,0))</f>
        <v/>
      </c>
      <c r="BL36" s="75" t="str">
        <f aca="false">IF(SUM($BK36)&lt;=0,"",IF(SUM($BJ36)&lt;=0,"ENTER VALID YIELD!",ROUND($BK36/$BJ36,0)-$BK36))</f>
        <v/>
      </c>
      <c r="BM36" s="73" t="str">
        <f aca="false">IF(SUM($G36)&lt;=0,"",$G36)</f>
        <v/>
      </c>
      <c r="BN36" s="73" t="str">
        <f aca="false">IF(SUM($G36)&lt;=0,"",SUM($I36:$L36,$Q36,$S36,$AM36,$AP36,$AS36,$AV36,$AY36,$BB36,$BE36,$BH36,$BK36))</f>
        <v/>
      </c>
      <c r="BO36" s="73" t="str">
        <f aca="false">IF(AND(SUM($BN36)&lt;=0,SUM($BM36)&lt;=0),"",SUM($BN36)-SUM($BM36))</f>
        <v/>
      </c>
      <c r="BP36" s="73" t="str">
        <f aca="false">_xlfn.IFNA(INDEX(PMTCT!$AF:$AF,MATCH($E36,PMTCT!$E:$E,0)),"")</f>
        <v/>
      </c>
      <c r="BQ36" s="73" t="str">
        <f aca="false">_xlfn.IFNA(INDEX(PMTCT!$AV:$AV,MATCH($E36,PMTCT!$E:$E,0)),"")</f>
        <v/>
      </c>
      <c r="BR36" s="73" t="n">
        <f aca="false">_xlfn.IFNA(INDEX(TB!$R:$R,MATCH($E36,TB!$E:$E,0)),"")</f>
        <v>-299</v>
      </c>
      <c r="BS36" s="73" t="str">
        <f aca="false">_xlfn.IFNA(INDEX(VMMC!$AD:$AD,MATCH($E36,VMMC!$E:$E,0)),"")</f>
        <v/>
      </c>
      <c r="BT36" s="73" t="n">
        <f aca="false">IF(SUM($R36,$T36,$AN36,$AQ36,$AT36,$AW36,$AZ36,$BC36,$BF36,$BI36,$BL36,$BP36:$BS36)=0,"",SUM($R36,$T36,$AN36,$AQ36,$AT36,$AW36,$AZ36,$BC36,$BF36,$BI36,$BL36,$BP36:$BS36))</f>
        <v>-299</v>
      </c>
      <c r="BU36" s="73" t="str">
        <f aca="false">IF(OR(SUM($BT36)=0,SUM($BN36)=0),"",SUM($BT36,$BN36))</f>
        <v/>
      </c>
      <c r="BV36" s="118" t="str">
        <f aca="false">IF(SUM($BU36)=0,"",SUM($BN36)/$BU36)</f>
        <v/>
      </c>
      <c r="BW36" s="73" t="n">
        <v>32</v>
      </c>
      <c r="BX36" s="118" t="n">
        <f aca="false">IF(OR($C36="01-04",$C36="05-09"),"",0%)</f>
        <v>0</v>
      </c>
      <c r="BY36" s="75" t="n">
        <f aca="false">IF(OR($C36="01-04",$C36="05-09",SUM($BW36)=0),"",ROUND($BW36*(1+$BX36),0))</f>
        <v>32</v>
      </c>
    </row>
    <row r="37" customFormat="false" ht="15" hidden="false" customHeight="false" outlineLevel="0" collapsed="false">
      <c r="A37" s="0" t="s">
        <v>142</v>
      </c>
      <c r="B37" s="0" t="s">
        <v>109</v>
      </c>
      <c r="C37" s="0" t="s">
        <v>54</v>
      </c>
      <c r="D37" s="0" t="s">
        <v>56</v>
      </c>
      <c r="E37" s="0" t="str">
        <f aca="false">B37&amp;"|"&amp;C37&amp;"|"&amp;D37</f>
        <v>Berea [#SNU] [#DREAMS] [wpg5evyl1OL]|01-04|Female</v>
      </c>
      <c r="F37" s="118" t="n">
        <f aca="false">_xlfn.IFNA(INDEX(Cascade!$Y:$Y,MATCH($E37,Cascade!$E:$E,0)),"")</f>
        <v>0.539473684210526</v>
      </c>
      <c r="G37" s="73" t="n">
        <f aca="false">_xlfn.IFNA(INDEX(Cascade!$BD:$BD,MATCH($E37,Cascade!$E:$E,0)),"")</f>
        <v>4</v>
      </c>
      <c r="H37" s="73" t="n">
        <f aca="false">_xlfn.IFNA(INDEX(Cascade!$BE:$BE,MATCH($E37,Cascade!$E:$E,0)),"")</f>
        <v>1</v>
      </c>
      <c r="I37" s="73" t="str">
        <f aca="false">_xlfn.IFNA(INDEX(Cascade!$BF:$BF,MATCH($E37,Cascade!$E:$E,0)),"")</f>
        <v/>
      </c>
      <c r="J37" s="73" t="str">
        <f aca="false">_xlfn.IFNA(INDEX(Cascade!$BG:$BG,MATCH($E37,Cascade!$E:$E,0)),"")</f>
        <v/>
      </c>
      <c r="K37" s="73" t="n">
        <f aca="false">_xlfn.IFNA(INDEX(Cascade!$BH:$BH,MATCH($E37,Cascade!$E:$E,0)),"")</f>
        <v>0</v>
      </c>
      <c r="L37" s="73" t="str">
        <f aca="false">_xlfn.IFNA(INDEX(Cascade!$BI:$BI,MATCH($E37,Cascade!$E:$E,0)),"")</f>
        <v/>
      </c>
      <c r="M37" s="73" t="n">
        <f aca="false">_xlfn.IFNA(INDEX(Cascade!$BK:$BK,MATCH($E37,Cascade!$E:$E,0)),"")</f>
        <v>3</v>
      </c>
      <c r="N37" s="118" t="n">
        <v>15</v>
      </c>
      <c r="O37" s="118"/>
      <c r="P37" s="118" t="n">
        <v>28</v>
      </c>
      <c r="Q37" s="75" t="str">
        <f aca="false">IF(OR(SUM($H37)=0,SUM($N37)=0,SUM($O37)=0),"",ROUND($H37*$N37,0))</f>
        <v/>
      </c>
      <c r="R37" s="75" t="str">
        <f aca="false">IF(OR(SUM($Q37)=0,SUM($O37)=0),"",ROUND(SUM($Q37)/SUM($O37),0)-SUM($Q37))</f>
        <v/>
      </c>
      <c r="S37" s="75" t="n">
        <f aca="false">IF(SUM($H37)=0,"",SUM($H37)-SUM($Q37))</f>
        <v>1</v>
      </c>
      <c r="T37" s="75" t="str">
        <f aca="false">IF(OR(SUM($S37)=0,$N37&gt;1,SUM($P37)&lt;=0),"",ROUND($S37/$P37,0)-$S37)</f>
        <v/>
      </c>
      <c r="U37" s="118" t="n">
        <f aca="false">IF(SUM($G37)&lt;=0,"",SUM($Q37,$S37)/$G37)</f>
        <v>0.25</v>
      </c>
      <c r="V37" s="118" t="str">
        <f aca="false">IF(OR(SUM($Q37)=0,SUM($G37)=0),"",SUM($Q37)/SUM($G37))</f>
        <v/>
      </c>
      <c r="W37" s="118" t="n">
        <f aca="false">IF(OR(SUM($S37)=0,SUM($G37)=0),"",SUM($S37)/SUM($G37))</f>
        <v>0.25</v>
      </c>
      <c r="X37" s="118" t="str">
        <f aca="false">IF(OR(SUM($G37)=0,SUM($I37)=0),"",SUM($I37)/SUM($G37))</f>
        <v/>
      </c>
      <c r="Y37" s="118" t="str">
        <f aca="false">IF(OR(SUM($G37)=0,SUM($J37)=0),"",SUM($J37)/SUM($G37))</f>
        <v/>
      </c>
      <c r="Z37" s="118" t="str">
        <f aca="false">IF(OR(SUM($G37)=0,SUM($K37)=0),"",SUM($K37)/SUM($G37))</f>
        <v/>
      </c>
      <c r="AA37" s="118" t="str">
        <f aca="false">IF(OR(SUM($G37)=0,SUM($L37)=0),"",SUM($L37)/SUM($G37))</f>
        <v/>
      </c>
      <c r="AB37" s="118" t="n">
        <v>4</v>
      </c>
      <c r="AC37" s="118" t="n">
        <v>46</v>
      </c>
      <c r="AD37" s="118" t="n">
        <v>31</v>
      </c>
      <c r="AE37" s="118" t="n">
        <v>23</v>
      </c>
      <c r="AF37" s="118" t="n">
        <v>31</v>
      </c>
      <c r="AG37" s="118" t="n">
        <v>20</v>
      </c>
      <c r="AH37" s="118" t="n">
        <v>30</v>
      </c>
      <c r="AI37" s="118" t="n">
        <v>31</v>
      </c>
      <c r="AJ37" s="118" t="n">
        <v>48</v>
      </c>
      <c r="AK37" s="118" t="n">
        <f aca="false">IF(SUM($G37)&lt;=0,"",SUM($V37:$AJ37))</f>
        <v>264.25</v>
      </c>
      <c r="AL37" s="118"/>
      <c r="AM37" s="75" t="n">
        <f aca="false">IF(OR(SUM($AB37)&lt;=0,SUM($G37)&lt;=0),"",ROUND($G37*$AB37,0))</f>
        <v>16</v>
      </c>
      <c r="AN37" s="75" t="str">
        <f aca="false">IF(SUM($AM37)&lt;=0,"",IF(SUM($AL37)&lt;=0,"ENTER VALID YIELD!",ROUND($AM37/$AL37,0)-$AM37))</f>
        <v>ENTER VALID YIELD!</v>
      </c>
      <c r="AO37" s="118"/>
      <c r="AP37" s="75" t="n">
        <f aca="false">IF(OR(SUM($AC37)&lt;=0,SUM($G37)&lt;=0),"",ROUND($G37*$AC37,0))</f>
        <v>184</v>
      </c>
      <c r="AQ37" s="75" t="str">
        <f aca="false">IF(SUM($AP37)&lt;=0,"",IF(SUM($AO37)&lt;=0,"ENTER VALID YIELD!",ROUND($AP37/$AO37,0)-$AP37))</f>
        <v>ENTER VALID YIELD!</v>
      </c>
      <c r="AR37" s="118"/>
      <c r="AS37" s="75" t="n">
        <f aca="false">IF(OR(SUM($AD37)&lt;=0,SUM($G37)&lt;=0),"",ROUND($G37*$AD37,0))</f>
        <v>124</v>
      </c>
      <c r="AT37" s="75" t="str">
        <f aca="false">IF(SUM($AS37)&lt;=0,"",IF(SUM($AR37)&lt;=0,"ENTER VALID YIELD!",ROUND($AS37/$AR37,0)-$AS37))</f>
        <v>ENTER VALID YIELD!</v>
      </c>
      <c r="AU37" s="118"/>
      <c r="AV37" s="75" t="n">
        <f aca="false">IF(OR(SUM($AE37)&lt;=0,SUM($G37)&lt;=0),"",ROUND($G37*$AE37,0))</f>
        <v>92</v>
      </c>
      <c r="AW37" s="75" t="str">
        <f aca="false">IF(SUM($AV37)&lt;=0,"",IF(SUM($AU37)&lt;=0,"ENTER VALID YIELD!",ROUND($AV37/$AU37,0)-$AV37))</f>
        <v>ENTER VALID YIELD!</v>
      </c>
      <c r="AX37" s="118"/>
      <c r="AY37" s="75" t="n">
        <f aca="false">IF(OR(SUM($AF37)&lt;=0,SUM($G37)&lt;=0),"",ROUND($G37*$AF37,0))</f>
        <v>124</v>
      </c>
      <c r="AZ37" s="75" t="str">
        <f aca="false">IF(SUM($AY37)&lt;=0,"",IF(SUM($AX37)&lt;=0,"ENTER VALID YIELD!",ROUND($AY37/$AX37,0)-$AY37))</f>
        <v>ENTER VALID YIELD!</v>
      </c>
      <c r="BA37" s="118" t="n">
        <v>13</v>
      </c>
      <c r="BB37" s="75" t="n">
        <f aca="false">IF(OR(SUM($AG37)&lt;=0,SUM($G37)&lt;=0),"",ROUND($G37*$AG37,0))</f>
        <v>80</v>
      </c>
      <c r="BC37" s="75" t="n">
        <f aca="false">IF(SUM($BB37)&lt;=0,"",IF(SUM($BA37)&lt;=0,"ENTER VALID YIELD!",ROUND($BB37/$BA37,0)-$BB37))</f>
        <v>-74</v>
      </c>
      <c r="BD37" s="118"/>
      <c r="BE37" s="75" t="n">
        <f aca="false">IF(OR(SUM($AH37)&lt;=0,SUM($G37)&lt;=0),"",ROUND($G37*$AH37,0))</f>
        <v>120</v>
      </c>
      <c r="BF37" s="75" t="str">
        <f aca="false">IF(SUM($BE37)&lt;=0,"",IF(SUM($BD37)&lt;=0,"ENTER VALID YIELD!",ROUND($BE37/$BD37,0)-$BE37))</f>
        <v>ENTER VALID YIELD!</v>
      </c>
      <c r="BG37" s="118"/>
      <c r="BH37" s="75" t="n">
        <f aca="false">IF(OR(SUM($AI37)&lt;=0,SUM($G37)&lt;=0),"",ROUND($G37*$AI37,0))</f>
        <v>124</v>
      </c>
      <c r="BI37" s="75" t="str">
        <f aca="false">IF(SUM($BH37)&lt;=0,"",IF(SUM($BG37)&lt;=0,"ENTER VALID YIELD!",ROUND($BH37/$BG37,0)-$BH37))</f>
        <v>ENTER VALID YIELD!</v>
      </c>
      <c r="BJ37" s="118"/>
      <c r="BK37" s="75" t="n">
        <f aca="false">IF(OR(SUM($AJ37)&lt;=0,SUM($G37)&lt;=0),"",ROUND($G37*$AJ37,0))</f>
        <v>192</v>
      </c>
      <c r="BL37" s="75" t="str">
        <f aca="false">IF(SUM($BK37)&lt;=0,"",IF(SUM($BJ37)&lt;=0,"ENTER VALID YIELD!",ROUND($BK37/$BJ37,0)-$BK37))</f>
        <v>ENTER VALID YIELD!</v>
      </c>
      <c r="BM37" s="73" t="n">
        <f aca="false">IF(SUM($G37)&lt;=0,"",$G37)</f>
        <v>4</v>
      </c>
      <c r="BN37" s="73" t="n">
        <f aca="false">IF(SUM($G37)&lt;=0,"",SUM($I37:$L37,$Q37,$S37,$AM37,$AP37,$AS37,$AV37,$AY37,$BB37,$BE37,$BH37,$BK37))</f>
        <v>1057</v>
      </c>
      <c r="BO37" s="73" t="n">
        <f aca="false">IF(AND(SUM($BN37)&lt;=0,SUM($BM37)&lt;=0),"",SUM($BN37)-SUM($BM37))</f>
        <v>1053</v>
      </c>
      <c r="BP37" s="73" t="str">
        <f aca="false">_xlfn.IFNA(INDEX(PMTCT!$AF:$AF,MATCH($E37,PMTCT!$E:$E,0)),"")</f>
        <v/>
      </c>
      <c r="BQ37" s="73" t="str">
        <f aca="false">_xlfn.IFNA(INDEX(PMTCT!$AV:$AV,MATCH($E37,PMTCT!$E:$E,0)),"")</f>
        <v/>
      </c>
      <c r="BR37" s="73" t="n">
        <f aca="false">_xlfn.IFNA(INDEX(TB!$R:$R,MATCH($E37,TB!$E:$E,0)),"")</f>
        <v>0</v>
      </c>
      <c r="BS37" s="73" t="str">
        <f aca="false">_xlfn.IFNA(INDEX(VMMC!$AD:$AD,MATCH($E37,VMMC!$E:$E,0)),"")</f>
        <v/>
      </c>
      <c r="BT37" s="73" t="n">
        <f aca="false">IF(SUM($R37,$T37,$AN37,$AQ37,$AT37,$AW37,$AZ37,$BC37,$BF37,$BI37,$BL37,$BP37:$BS37)=0,"",SUM($R37,$T37,$AN37,$AQ37,$AT37,$AW37,$AZ37,$BC37,$BF37,$BI37,$BL37,$BP37:$BS37))</f>
        <v>-74</v>
      </c>
      <c r="BU37" s="73" t="n">
        <f aca="false">IF(OR(SUM($BT37)=0,SUM($BN37)=0),"",SUM($BT37,$BN37))</f>
        <v>983</v>
      </c>
      <c r="BV37" s="118" t="n">
        <f aca="false">IF(SUM($BU37)=0,"",SUM($BN37)/$BU37)</f>
        <v>1.07527975584944</v>
      </c>
      <c r="BW37" s="73"/>
      <c r="BX37" s="118" t="str">
        <f aca="false">IF(OR($C37="01-04",$C37="05-09"),"",0%)</f>
        <v/>
      </c>
      <c r="BY37" s="75" t="str">
        <f aca="false">IF(OR($C37="01-04",$C37="05-09",SUM($BW37)=0),"",ROUND($BW37*(1+$BX37),0))</f>
        <v/>
      </c>
    </row>
    <row r="38" customFormat="false" ht="15" hidden="false" customHeight="false" outlineLevel="0" collapsed="false">
      <c r="A38" s="0" t="s">
        <v>142</v>
      </c>
      <c r="B38" s="0" t="s">
        <v>109</v>
      </c>
      <c r="C38" s="0" t="s">
        <v>54</v>
      </c>
      <c r="D38" s="0" t="s">
        <v>58</v>
      </c>
      <c r="E38" s="0" t="str">
        <f aca="false">B38&amp;"|"&amp;C38&amp;"|"&amp;D38</f>
        <v>Berea [#SNU] [#DREAMS] [wpg5evyl1OL]|01-04|Male</v>
      </c>
      <c r="F38" s="118" t="n">
        <f aca="false">_xlfn.IFNA(INDEX(Cascade!$Y:$Y,MATCH($E38,Cascade!$E:$E,0)),"")</f>
        <v>0.538461538461538</v>
      </c>
      <c r="G38" s="73" t="n">
        <f aca="false">_xlfn.IFNA(INDEX(Cascade!$BD:$BD,MATCH($E38,Cascade!$E:$E,0)),"")</f>
        <v>7</v>
      </c>
      <c r="H38" s="73" t="n">
        <f aca="false">_xlfn.IFNA(INDEX(Cascade!$BE:$BE,MATCH($E38,Cascade!$E:$E,0)),"")</f>
        <v>2</v>
      </c>
      <c r="I38" s="73" t="str">
        <f aca="false">_xlfn.IFNA(INDEX(Cascade!$BF:$BF,MATCH($E38,Cascade!$E:$E,0)),"")</f>
        <v/>
      </c>
      <c r="J38" s="73" t="str">
        <f aca="false">_xlfn.IFNA(INDEX(Cascade!$BG:$BG,MATCH($E38,Cascade!$E:$E,0)),"")</f>
        <v/>
      </c>
      <c r="K38" s="73" t="n">
        <f aca="false">_xlfn.IFNA(INDEX(Cascade!$BH:$BH,MATCH($E38,Cascade!$E:$E,0)),"")</f>
        <v>-2240</v>
      </c>
      <c r="L38" s="73" t="str">
        <f aca="false">_xlfn.IFNA(INDEX(Cascade!$BI:$BI,MATCH($E38,Cascade!$E:$E,0)),"")</f>
        <v/>
      </c>
      <c r="M38" s="73" t="n">
        <f aca="false">_xlfn.IFNA(INDEX(Cascade!$BK:$BK,MATCH($E38,Cascade!$E:$E,0)),"")</f>
        <v>2245</v>
      </c>
      <c r="N38" s="118" t="n">
        <v>24</v>
      </c>
      <c r="O38" s="118" t="n">
        <v>42</v>
      </c>
      <c r="P38" s="118" t="n">
        <v>13</v>
      </c>
      <c r="Q38" s="75" t="n">
        <f aca="false">IF(OR(SUM($H38)=0,SUM($N38)=0,SUM($O38)=0),"",ROUND($H38*$N38,0))</f>
        <v>48</v>
      </c>
      <c r="R38" s="75" t="n">
        <f aca="false">IF(OR(SUM($Q38)=0,SUM($O38)=0),"",ROUND(SUM($Q38)/SUM($O38),0)-SUM($Q38))</f>
        <v>-47</v>
      </c>
      <c r="S38" s="75" t="n">
        <f aca="false">IF(SUM($H38)=0,"",SUM($H38)-SUM($Q38))</f>
        <v>-46</v>
      </c>
      <c r="T38" s="75" t="str">
        <f aca="false">IF(OR(SUM($S38)=0,$N38&gt;1,SUM($P38)&lt;=0),"",ROUND($S38/$P38,0)-$S38)</f>
        <v/>
      </c>
      <c r="U38" s="118" t="n">
        <f aca="false">IF(SUM($G38)&lt;=0,"",SUM($Q38,$S38)/$G38)</f>
        <v>0.285714285714286</v>
      </c>
      <c r="V38" s="118" t="n">
        <f aca="false">IF(OR(SUM($Q38)=0,SUM($G38)=0),"",SUM($Q38)/SUM($G38))</f>
        <v>6.85714285714286</v>
      </c>
      <c r="W38" s="118" t="n">
        <f aca="false">IF(OR(SUM($S38)=0,SUM($G38)=0),"",SUM($S38)/SUM($G38))</f>
        <v>-6.57142857142857</v>
      </c>
      <c r="X38" s="118" t="str">
        <f aca="false">IF(OR(SUM($G38)=0,SUM($I38)=0),"",SUM($I38)/SUM($G38))</f>
        <v/>
      </c>
      <c r="Y38" s="118" t="str">
        <f aca="false">IF(OR(SUM($G38)=0,SUM($J38)=0),"",SUM($J38)/SUM($G38))</f>
        <v/>
      </c>
      <c r="Z38" s="118" t="n">
        <f aca="false">IF(OR(SUM($G38)=0,SUM($K38)=0),"",SUM($K38)/SUM($G38))</f>
        <v>-320</v>
      </c>
      <c r="AA38" s="118" t="str">
        <f aca="false">IF(OR(SUM($G38)=0,SUM($L38)=0),"",SUM($L38)/SUM($G38))</f>
        <v/>
      </c>
      <c r="AB38" s="118" t="n">
        <v>19</v>
      </c>
      <c r="AC38" s="118" t="n">
        <v>44</v>
      </c>
      <c r="AD38" s="118" t="n">
        <v>39</v>
      </c>
      <c r="AE38" s="118" t="n">
        <v>11</v>
      </c>
      <c r="AF38" s="118" t="n">
        <v>20</v>
      </c>
      <c r="AG38" s="118" t="n">
        <v>22</v>
      </c>
      <c r="AH38" s="118" t="n">
        <v>11</v>
      </c>
      <c r="AI38" s="118" t="n">
        <v>8</v>
      </c>
      <c r="AJ38" s="118" t="n">
        <v>25</v>
      </c>
      <c r="AK38" s="118" t="n">
        <f aca="false">IF(SUM($G38)&lt;=0,"",SUM($V38:$AJ38))</f>
        <v>-120.714285714286</v>
      </c>
      <c r="AL38" s="118"/>
      <c r="AM38" s="75" t="n">
        <f aca="false">IF(OR(SUM($AB38)&lt;=0,SUM($G38)&lt;=0),"",ROUND($G38*$AB38,0))</f>
        <v>133</v>
      </c>
      <c r="AN38" s="75" t="str">
        <f aca="false">IF(SUM($AM38)&lt;=0,"",IF(SUM($AL38)&lt;=0,"ENTER VALID YIELD!",ROUND($AM38/$AL38,0)-$AM38))</f>
        <v>ENTER VALID YIELD!</v>
      </c>
      <c r="AO38" s="118"/>
      <c r="AP38" s="75" t="n">
        <f aca="false">IF(OR(SUM($AC38)&lt;=0,SUM($G38)&lt;=0),"",ROUND($G38*$AC38,0))</f>
        <v>308</v>
      </c>
      <c r="AQ38" s="75" t="str">
        <f aca="false">IF(SUM($AP38)&lt;=0,"",IF(SUM($AO38)&lt;=0,"ENTER VALID YIELD!",ROUND($AP38/$AO38,0)-$AP38))</f>
        <v>ENTER VALID YIELD!</v>
      </c>
      <c r="AR38" s="118"/>
      <c r="AS38" s="75" t="n">
        <f aca="false">IF(OR(SUM($AD38)&lt;=0,SUM($G38)&lt;=0),"",ROUND($G38*$AD38,0))</f>
        <v>273</v>
      </c>
      <c r="AT38" s="75" t="str">
        <f aca="false">IF(SUM($AS38)&lt;=0,"",IF(SUM($AR38)&lt;=0,"ENTER VALID YIELD!",ROUND($AS38/$AR38,0)-$AS38))</f>
        <v>ENTER VALID YIELD!</v>
      </c>
      <c r="AU38" s="118"/>
      <c r="AV38" s="75" t="n">
        <f aca="false">IF(OR(SUM($AE38)&lt;=0,SUM($G38)&lt;=0),"",ROUND($G38*$AE38,0))</f>
        <v>77</v>
      </c>
      <c r="AW38" s="75" t="str">
        <f aca="false">IF(SUM($AV38)&lt;=0,"",IF(SUM($AU38)&lt;=0,"ENTER VALID YIELD!",ROUND($AV38/$AU38,0)-$AV38))</f>
        <v>ENTER VALID YIELD!</v>
      </c>
      <c r="AX38" s="118"/>
      <c r="AY38" s="75" t="n">
        <f aca="false">IF(OR(SUM($AF38)&lt;=0,SUM($G38)&lt;=0),"",ROUND($G38*$AF38,0))</f>
        <v>140</v>
      </c>
      <c r="AZ38" s="75" t="str">
        <f aca="false">IF(SUM($AY38)&lt;=0,"",IF(SUM($AX38)&lt;=0,"ENTER VALID YIELD!",ROUND($AY38/$AX38,0)-$AY38))</f>
        <v>ENTER VALID YIELD!</v>
      </c>
      <c r="BA38" s="118"/>
      <c r="BB38" s="75" t="n">
        <f aca="false">IF(OR(SUM($AG38)&lt;=0,SUM($G38)&lt;=0),"",ROUND($G38*$AG38,0))</f>
        <v>154</v>
      </c>
      <c r="BC38" s="75" t="str">
        <f aca="false">IF(SUM($BB38)&lt;=0,"",IF(SUM($BA38)&lt;=0,"ENTER VALID YIELD!",ROUND($BB38/$BA38,0)-$BB38))</f>
        <v>ENTER VALID YIELD!</v>
      </c>
      <c r="BD38" s="118"/>
      <c r="BE38" s="75" t="n">
        <f aca="false">IF(OR(SUM($AH38)&lt;=0,SUM($G38)&lt;=0),"",ROUND($G38*$AH38,0))</f>
        <v>77</v>
      </c>
      <c r="BF38" s="75" t="str">
        <f aca="false">IF(SUM($BE38)&lt;=0,"",IF(SUM($BD38)&lt;=0,"ENTER VALID YIELD!",ROUND($BE38/$BD38,0)-$BE38))</f>
        <v>ENTER VALID YIELD!</v>
      </c>
      <c r="BG38" s="118"/>
      <c r="BH38" s="75" t="n">
        <f aca="false">IF(OR(SUM($AI38)&lt;=0,SUM($G38)&lt;=0),"",ROUND($G38*$AI38,0))</f>
        <v>56</v>
      </c>
      <c r="BI38" s="75" t="str">
        <f aca="false">IF(SUM($BH38)&lt;=0,"",IF(SUM($BG38)&lt;=0,"ENTER VALID YIELD!",ROUND($BH38/$BG38,0)-$BH38))</f>
        <v>ENTER VALID YIELD!</v>
      </c>
      <c r="BJ38" s="118"/>
      <c r="BK38" s="75" t="n">
        <f aca="false">IF(OR(SUM($AJ38)&lt;=0,SUM($G38)&lt;=0),"",ROUND($G38*$AJ38,0))</f>
        <v>175</v>
      </c>
      <c r="BL38" s="75" t="str">
        <f aca="false">IF(SUM($BK38)&lt;=0,"",IF(SUM($BJ38)&lt;=0,"ENTER VALID YIELD!",ROUND($BK38/$BJ38,0)-$BK38))</f>
        <v>ENTER VALID YIELD!</v>
      </c>
      <c r="BM38" s="73" t="n">
        <f aca="false">IF(SUM($G38)&lt;=0,"",$G38)</f>
        <v>7</v>
      </c>
      <c r="BN38" s="73" t="n">
        <f aca="false">IF(SUM($G38)&lt;=0,"",SUM($I38:$L38,$Q38,$S38,$AM38,$AP38,$AS38,$AV38,$AY38,$BB38,$BE38,$BH38,$BK38))</f>
        <v>-845</v>
      </c>
      <c r="BO38" s="73" t="n">
        <f aca="false">IF(AND(SUM($BN38)&lt;=0,SUM($BM38)&lt;=0),"",SUM($BN38)-SUM($BM38))</f>
        <v>-852</v>
      </c>
      <c r="BP38" s="73" t="str">
        <f aca="false">_xlfn.IFNA(INDEX(PMTCT!$AF:$AF,MATCH($E38,PMTCT!$E:$E,0)),"")</f>
        <v/>
      </c>
      <c r="BQ38" s="73" t="str">
        <f aca="false">_xlfn.IFNA(INDEX(PMTCT!$AV:$AV,MATCH($E38,PMTCT!$E:$E,0)),"")</f>
        <v/>
      </c>
      <c r="BR38" s="73" t="n">
        <f aca="false">_xlfn.IFNA(INDEX(TB!$R:$R,MATCH($E38,TB!$E:$E,0)),"")</f>
        <v>2170</v>
      </c>
      <c r="BS38" s="73" t="str">
        <f aca="false">_xlfn.IFNA(INDEX(VMMC!$AD:$AD,MATCH($E38,VMMC!$E:$E,0)),"")</f>
        <v/>
      </c>
      <c r="BT38" s="73" t="n">
        <f aca="false">IF(SUM($R38,$T38,$AN38,$AQ38,$AT38,$AW38,$AZ38,$BC38,$BF38,$BI38,$BL38,$BP38:$BS38)=0,"",SUM($R38,$T38,$AN38,$AQ38,$AT38,$AW38,$AZ38,$BC38,$BF38,$BI38,$BL38,$BP38:$BS38))</f>
        <v>2123</v>
      </c>
      <c r="BU38" s="73" t="n">
        <f aca="false">IF(OR(SUM($BT38)=0,SUM($BN38)=0),"",SUM($BT38,$BN38))</f>
        <v>1278</v>
      </c>
      <c r="BV38" s="118" t="n">
        <f aca="false">IF(SUM($BU38)=0,"",SUM($BN38)/$BU38)</f>
        <v>-0.661189358372457</v>
      </c>
      <c r="BW38" s="73"/>
      <c r="BX38" s="118" t="str">
        <f aca="false">IF(OR($C38="01-04",$C38="05-09"),"",0%)</f>
        <v/>
      </c>
      <c r="BY38" s="75" t="str">
        <f aca="false">IF(OR($C38="01-04",$C38="05-09",SUM($BW38)=0),"",ROUND($BW38*(1+$BX38),0))</f>
        <v/>
      </c>
    </row>
    <row r="39" customFormat="false" ht="15" hidden="false" customHeight="false" outlineLevel="0" collapsed="false">
      <c r="A39" s="0" t="s">
        <v>142</v>
      </c>
      <c r="B39" s="0" t="s">
        <v>109</v>
      </c>
      <c r="C39" s="0" t="s">
        <v>83</v>
      </c>
      <c r="D39" s="0" t="s">
        <v>56</v>
      </c>
      <c r="E39" s="0" t="str">
        <f aca="false">B39&amp;"|"&amp;C39&amp;"|"&amp;D39</f>
        <v>Berea [#SNU] [#DREAMS] [wpg5evyl1OL]|05-09|Female</v>
      </c>
      <c r="F39" s="118" t="n">
        <f aca="false">_xlfn.IFNA(INDEX(Cascade!$Y:$Y,MATCH($E39,Cascade!$E:$E,0)),"")</f>
        <v>0.628865979381443</v>
      </c>
      <c r="G39" s="73" t="n">
        <f aca="false">_xlfn.IFNA(INDEX(Cascade!$BD:$BD,MATCH($E39,Cascade!$E:$E,0)),"")</f>
        <v>3</v>
      </c>
      <c r="H39" s="73" t="n">
        <f aca="false">_xlfn.IFNA(INDEX(Cascade!$BE:$BE,MATCH($E39,Cascade!$E:$E,0)),"")</f>
        <v>1</v>
      </c>
      <c r="I39" s="73" t="str">
        <f aca="false">_xlfn.IFNA(INDEX(Cascade!$BF:$BF,MATCH($E39,Cascade!$E:$E,0)),"")</f>
        <v/>
      </c>
      <c r="J39" s="73" t="str">
        <f aca="false">_xlfn.IFNA(INDEX(Cascade!$BG:$BG,MATCH($E39,Cascade!$E:$E,0)),"")</f>
        <v/>
      </c>
      <c r="K39" s="73" t="n">
        <f aca="false">_xlfn.IFNA(INDEX(Cascade!$BH:$BH,MATCH($E39,Cascade!$E:$E,0)),"")</f>
        <v>-0</v>
      </c>
      <c r="L39" s="73" t="str">
        <f aca="false">_xlfn.IFNA(INDEX(Cascade!$BI:$BI,MATCH($E39,Cascade!$E:$E,0)),"")</f>
        <v/>
      </c>
      <c r="M39" s="73" t="n">
        <f aca="false">_xlfn.IFNA(INDEX(Cascade!$BK:$BK,MATCH($E39,Cascade!$E:$E,0)),"")</f>
        <v>2</v>
      </c>
      <c r="N39" s="118" t="n">
        <v>17</v>
      </c>
      <c r="O39" s="118" t="n">
        <v>43</v>
      </c>
      <c r="P39" s="118" t="n">
        <v>42</v>
      </c>
      <c r="Q39" s="75" t="n">
        <f aca="false">IF(OR(SUM($H39)=0,SUM($N39)=0,SUM($O39)=0),"",ROUND($H39*$N39,0))</f>
        <v>17</v>
      </c>
      <c r="R39" s="75" t="n">
        <f aca="false">IF(OR(SUM($Q39)=0,SUM($O39)=0),"",ROUND(SUM($Q39)/SUM($O39),0)-SUM($Q39))</f>
        <v>-17</v>
      </c>
      <c r="S39" s="75" t="n">
        <f aca="false">IF(SUM($H39)=0,"",SUM($H39)-SUM($Q39))</f>
        <v>-16</v>
      </c>
      <c r="T39" s="75" t="str">
        <f aca="false">IF(OR(SUM($S39)=0,$N39&gt;1,SUM($P39)&lt;=0),"",ROUND($S39/$P39,0)-$S39)</f>
        <v/>
      </c>
      <c r="U39" s="118" t="n">
        <f aca="false">IF(SUM($G39)&lt;=0,"",SUM($Q39,$S39)/$G39)</f>
        <v>0.333333333333333</v>
      </c>
      <c r="V39" s="118" t="n">
        <f aca="false">IF(OR(SUM($Q39)=0,SUM($G39)=0),"",SUM($Q39)/SUM($G39))</f>
        <v>5.66666666666667</v>
      </c>
      <c r="W39" s="118" t="n">
        <f aca="false">IF(OR(SUM($S39)=0,SUM($G39)=0),"",SUM($S39)/SUM($G39))</f>
        <v>-5.33333333333333</v>
      </c>
      <c r="X39" s="118" t="str">
        <f aca="false">IF(OR(SUM($G39)=0,SUM($I39)=0),"",SUM($I39)/SUM($G39))</f>
        <v/>
      </c>
      <c r="Y39" s="118" t="str">
        <f aca="false">IF(OR(SUM($G39)=0,SUM($J39)=0),"",SUM($J39)/SUM($G39))</f>
        <v/>
      </c>
      <c r="Z39" s="118" t="str">
        <f aca="false">IF(OR(SUM($G39)=0,SUM($K39)=0),"",SUM($K39)/SUM($G39))</f>
        <v/>
      </c>
      <c r="AA39" s="118" t="str">
        <f aca="false">IF(OR(SUM($G39)=0,SUM($L39)=0),"",SUM($L39)/SUM($G39))</f>
        <v/>
      </c>
      <c r="AB39" s="118" t="n">
        <v>35</v>
      </c>
      <c r="AC39" s="118"/>
      <c r="AD39" s="118"/>
      <c r="AE39" s="118" t="n">
        <v>14</v>
      </c>
      <c r="AF39" s="118" t="n">
        <v>7</v>
      </c>
      <c r="AG39" s="118" t="n">
        <v>46</v>
      </c>
      <c r="AH39" s="118" t="n">
        <v>43</v>
      </c>
      <c r="AI39" s="118" t="n">
        <v>12</v>
      </c>
      <c r="AJ39" s="118" t="n">
        <v>42</v>
      </c>
      <c r="AK39" s="118" t="n">
        <f aca="false">IF(SUM($G39)&lt;=0,"",SUM($V39:$AJ39))</f>
        <v>199.333333333333</v>
      </c>
      <c r="AL39" s="118"/>
      <c r="AM39" s="75" t="n">
        <f aca="false">IF(OR(SUM($AB39)&lt;=0,SUM($G39)&lt;=0),"",ROUND($G39*$AB39,0))</f>
        <v>105</v>
      </c>
      <c r="AN39" s="75" t="str">
        <f aca="false">IF(SUM($AM39)&lt;=0,"",IF(SUM($AL39)&lt;=0,"ENTER VALID YIELD!",ROUND($AM39/$AL39,0)-$AM39))</f>
        <v>ENTER VALID YIELD!</v>
      </c>
      <c r="AO39" s="118"/>
      <c r="AP39" s="75" t="str">
        <f aca="false">IF(OR(SUM($AC39)&lt;=0,SUM($G39)&lt;=0),"",ROUND($G39*$AC39,0))</f>
        <v/>
      </c>
      <c r="AQ39" s="75" t="str">
        <f aca="false">IF(SUM($AP39)&lt;=0,"",IF(SUM($AO39)&lt;=0,"ENTER VALID YIELD!",ROUND($AP39/$AO39,0)-$AP39))</f>
        <v/>
      </c>
      <c r="AR39" s="118"/>
      <c r="AS39" s="75" t="str">
        <f aca="false">IF(OR(SUM($AD39)&lt;=0,SUM($G39)&lt;=0),"",ROUND($G39*$AD39,0))</f>
        <v/>
      </c>
      <c r="AT39" s="75" t="str">
        <f aca="false">IF(SUM($AS39)&lt;=0,"",IF(SUM($AR39)&lt;=0,"ENTER VALID YIELD!",ROUND($AS39/$AR39,0)-$AS39))</f>
        <v/>
      </c>
      <c r="AU39" s="118"/>
      <c r="AV39" s="75" t="n">
        <f aca="false">IF(OR(SUM($AE39)&lt;=0,SUM($G39)&lt;=0),"",ROUND($G39*$AE39,0))</f>
        <v>42</v>
      </c>
      <c r="AW39" s="75" t="str">
        <f aca="false">IF(SUM($AV39)&lt;=0,"",IF(SUM($AU39)&lt;=0,"ENTER VALID YIELD!",ROUND($AV39/$AU39,0)-$AV39))</f>
        <v>ENTER VALID YIELD!</v>
      </c>
      <c r="AX39" s="118"/>
      <c r="AY39" s="75" t="n">
        <f aca="false">IF(OR(SUM($AF39)&lt;=0,SUM($G39)&lt;=0),"",ROUND($G39*$AF39,0))</f>
        <v>21</v>
      </c>
      <c r="AZ39" s="75" t="str">
        <f aca="false">IF(SUM($AY39)&lt;=0,"",IF(SUM($AX39)&lt;=0,"ENTER VALID YIELD!",ROUND($AY39/$AX39,0)-$AY39))</f>
        <v>ENTER VALID YIELD!</v>
      </c>
      <c r="BA39" s="118" t="n">
        <v>41</v>
      </c>
      <c r="BB39" s="75" t="n">
        <f aca="false">IF(OR(SUM($AG39)&lt;=0,SUM($G39)&lt;=0),"",ROUND($G39*$AG39,0))</f>
        <v>138</v>
      </c>
      <c r="BC39" s="75" t="n">
        <f aca="false">IF(SUM($BB39)&lt;=0,"",IF(SUM($BA39)&lt;=0,"ENTER VALID YIELD!",ROUND($BB39/$BA39,0)-$BB39))</f>
        <v>-135</v>
      </c>
      <c r="BD39" s="118"/>
      <c r="BE39" s="75" t="n">
        <f aca="false">IF(OR(SUM($AH39)&lt;=0,SUM($G39)&lt;=0),"",ROUND($G39*$AH39,0))</f>
        <v>129</v>
      </c>
      <c r="BF39" s="75" t="str">
        <f aca="false">IF(SUM($BE39)&lt;=0,"",IF(SUM($BD39)&lt;=0,"ENTER VALID YIELD!",ROUND($BE39/$BD39,0)-$BE39))</f>
        <v>ENTER VALID YIELD!</v>
      </c>
      <c r="BG39" s="118"/>
      <c r="BH39" s="75" t="n">
        <f aca="false">IF(OR(SUM($AI39)&lt;=0,SUM($G39)&lt;=0),"",ROUND($G39*$AI39,0))</f>
        <v>36</v>
      </c>
      <c r="BI39" s="75" t="str">
        <f aca="false">IF(SUM($BH39)&lt;=0,"",IF(SUM($BG39)&lt;=0,"ENTER VALID YIELD!",ROUND($BH39/$BG39,0)-$BH39))</f>
        <v>ENTER VALID YIELD!</v>
      </c>
      <c r="BJ39" s="118"/>
      <c r="BK39" s="75" t="n">
        <f aca="false">IF(OR(SUM($AJ39)&lt;=0,SUM($G39)&lt;=0),"",ROUND($G39*$AJ39,0))</f>
        <v>126</v>
      </c>
      <c r="BL39" s="75" t="str">
        <f aca="false">IF(SUM($BK39)&lt;=0,"",IF(SUM($BJ39)&lt;=0,"ENTER VALID YIELD!",ROUND($BK39/$BJ39,0)-$BK39))</f>
        <v>ENTER VALID YIELD!</v>
      </c>
      <c r="BM39" s="73" t="n">
        <f aca="false">IF(SUM($G39)&lt;=0,"",$G39)</f>
        <v>3</v>
      </c>
      <c r="BN39" s="73" t="n">
        <f aca="false">IF(SUM($G39)&lt;=0,"",SUM($I39:$L39,$Q39,$S39,$AM39,$AP39,$AS39,$AV39,$AY39,$BB39,$BE39,$BH39,$BK39))</f>
        <v>598</v>
      </c>
      <c r="BO39" s="73" t="n">
        <f aca="false">IF(AND(SUM($BN39)&lt;=0,SUM($BM39)&lt;=0),"",SUM($BN39)-SUM($BM39))</f>
        <v>595</v>
      </c>
      <c r="BP39" s="73" t="str">
        <f aca="false">_xlfn.IFNA(INDEX(PMTCT!$AF:$AF,MATCH($E39,PMTCT!$E:$E,0)),"")</f>
        <v/>
      </c>
      <c r="BQ39" s="73" t="str">
        <f aca="false">_xlfn.IFNA(INDEX(PMTCT!$AV:$AV,MATCH($E39,PMTCT!$E:$E,0)),"")</f>
        <v/>
      </c>
      <c r="BR39" s="73" t="n">
        <f aca="false">_xlfn.IFNA(INDEX(TB!$R:$R,MATCH($E39,TB!$E:$E,0)),"")</f>
        <v>-615</v>
      </c>
      <c r="BS39" s="73" t="str">
        <f aca="false">_xlfn.IFNA(INDEX(VMMC!$AD:$AD,MATCH($E39,VMMC!$E:$E,0)),"")</f>
        <v/>
      </c>
      <c r="BT39" s="73" t="n">
        <f aca="false">IF(SUM($R39,$T39,$AN39,$AQ39,$AT39,$AW39,$AZ39,$BC39,$BF39,$BI39,$BL39,$BP39:$BS39)=0,"",SUM($R39,$T39,$AN39,$AQ39,$AT39,$AW39,$AZ39,$BC39,$BF39,$BI39,$BL39,$BP39:$BS39))</f>
        <v>-767</v>
      </c>
      <c r="BU39" s="73" t="n">
        <f aca="false">IF(OR(SUM($BT39)=0,SUM($BN39)=0),"",SUM($BT39,$BN39))</f>
        <v>-169</v>
      </c>
      <c r="BV39" s="118" t="n">
        <f aca="false">IF(SUM($BU39)=0,"",SUM($BN39)/$BU39)</f>
        <v>-3.53846153846154</v>
      </c>
      <c r="BW39" s="73"/>
      <c r="BX39" s="118" t="str">
        <f aca="false">IF(OR($C39="01-04",$C39="05-09"),"",0%)</f>
        <v/>
      </c>
      <c r="BY39" s="75" t="str">
        <f aca="false">IF(OR($C39="01-04",$C39="05-09",SUM($BW39)=0),"",ROUND($BW39*(1+$BX39),0))</f>
        <v/>
      </c>
    </row>
    <row r="40" customFormat="false" ht="15" hidden="false" customHeight="false" outlineLevel="0" collapsed="false">
      <c r="A40" s="0" t="s">
        <v>142</v>
      </c>
      <c r="B40" s="0" t="s">
        <v>109</v>
      </c>
      <c r="C40" s="0" t="s">
        <v>83</v>
      </c>
      <c r="D40" s="0" t="s">
        <v>58</v>
      </c>
      <c r="E40" s="0" t="str">
        <f aca="false">B40&amp;"|"&amp;C40&amp;"|"&amp;D40</f>
        <v>Berea [#SNU] [#DREAMS] [wpg5evyl1OL]|05-09|Male</v>
      </c>
      <c r="F40" s="118" t="n">
        <f aca="false">_xlfn.IFNA(INDEX(Cascade!$Y:$Y,MATCH($E40,Cascade!$E:$E,0)),"")</f>
        <v>0.659574468085106</v>
      </c>
      <c r="G40" s="73" t="n">
        <f aca="false">_xlfn.IFNA(INDEX(Cascade!$BD:$BD,MATCH($E40,Cascade!$E:$E,0)),"")</f>
        <v>17</v>
      </c>
      <c r="H40" s="73" t="n">
        <f aca="false">_xlfn.IFNA(INDEX(Cascade!$BE:$BE,MATCH($E40,Cascade!$E:$E,0)),"")</f>
        <v>5</v>
      </c>
      <c r="I40" s="73" t="str">
        <f aca="false">_xlfn.IFNA(INDEX(Cascade!$BF:$BF,MATCH($E40,Cascade!$E:$E,0)),"")</f>
        <v/>
      </c>
      <c r="J40" s="73" t="str">
        <f aca="false">_xlfn.IFNA(INDEX(Cascade!$BG:$BG,MATCH($E40,Cascade!$E:$E,0)),"")</f>
        <v/>
      </c>
      <c r="K40" s="73" t="n">
        <f aca="false">_xlfn.IFNA(INDEX(Cascade!$BH:$BH,MATCH($E40,Cascade!$E:$E,0)),"")</f>
        <v>0</v>
      </c>
      <c r="L40" s="73" t="str">
        <f aca="false">_xlfn.IFNA(INDEX(Cascade!$BI:$BI,MATCH($E40,Cascade!$E:$E,0)),"")</f>
        <v/>
      </c>
      <c r="M40" s="73" t="n">
        <f aca="false">_xlfn.IFNA(INDEX(Cascade!$BK:$BK,MATCH($E40,Cascade!$E:$E,0)),"")</f>
        <v>12</v>
      </c>
      <c r="N40" s="118" t="n">
        <v>40</v>
      </c>
      <c r="O40" s="118"/>
      <c r="P40" s="118" t="n">
        <v>41</v>
      </c>
      <c r="Q40" s="75" t="str">
        <f aca="false">IF(OR(SUM($H40)=0,SUM($N40)=0,SUM($O40)=0),"",ROUND($H40*$N40,0))</f>
        <v/>
      </c>
      <c r="R40" s="75" t="str">
        <f aca="false">IF(OR(SUM($Q40)=0,SUM($O40)=0),"",ROUND(SUM($Q40)/SUM($O40),0)-SUM($Q40))</f>
        <v/>
      </c>
      <c r="S40" s="75" t="n">
        <f aca="false">IF(SUM($H40)=0,"",SUM($H40)-SUM($Q40))</f>
        <v>5</v>
      </c>
      <c r="T40" s="75" t="str">
        <f aca="false">IF(OR(SUM($S40)=0,$N40&gt;1,SUM($P40)&lt;=0),"",ROUND($S40/$P40,0)-$S40)</f>
        <v/>
      </c>
      <c r="U40" s="118" t="n">
        <f aca="false">IF(SUM($G40)&lt;=0,"",SUM($Q40,$S40)/$G40)</f>
        <v>0.294117647058823</v>
      </c>
      <c r="V40" s="118" t="str">
        <f aca="false">IF(OR(SUM($Q40)=0,SUM($G40)=0),"",SUM($Q40)/SUM($G40))</f>
        <v/>
      </c>
      <c r="W40" s="118" t="n">
        <f aca="false">IF(OR(SUM($S40)=0,SUM($G40)=0),"",SUM($S40)/SUM($G40))</f>
        <v>0.294117647058823</v>
      </c>
      <c r="X40" s="118" t="str">
        <f aca="false">IF(OR(SUM($G40)=0,SUM($I40)=0),"",SUM($I40)/SUM($G40))</f>
        <v/>
      </c>
      <c r="Y40" s="118" t="str">
        <f aca="false">IF(OR(SUM($G40)=0,SUM($J40)=0),"",SUM($J40)/SUM($G40))</f>
        <v/>
      </c>
      <c r="Z40" s="118" t="str">
        <f aca="false">IF(OR(SUM($G40)=0,SUM($K40)=0),"",SUM($K40)/SUM($G40))</f>
        <v/>
      </c>
      <c r="AA40" s="118" t="str">
        <f aca="false">IF(OR(SUM($G40)=0,SUM($L40)=0),"",SUM($L40)/SUM($G40))</f>
        <v/>
      </c>
      <c r="AB40" s="118" t="n">
        <v>42</v>
      </c>
      <c r="AC40" s="118"/>
      <c r="AD40" s="118"/>
      <c r="AE40" s="118" t="n">
        <v>16</v>
      </c>
      <c r="AF40" s="118" t="n">
        <v>15</v>
      </c>
      <c r="AG40" s="118" t="n">
        <v>42</v>
      </c>
      <c r="AH40" s="118" t="n">
        <v>13</v>
      </c>
      <c r="AI40" s="118" t="n">
        <v>10</v>
      </c>
      <c r="AJ40" s="118" t="n">
        <v>46</v>
      </c>
      <c r="AK40" s="118" t="n">
        <f aca="false">IF(SUM($G40)&lt;=0,"",SUM($V40:$AJ40))</f>
        <v>184.294117647059</v>
      </c>
      <c r="AL40" s="118"/>
      <c r="AM40" s="75" t="n">
        <f aca="false">IF(OR(SUM($AB40)&lt;=0,SUM($G40)&lt;=0),"",ROUND($G40*$AB40,0))</f>
        <v>714</v>
      </c>
      <c r="AN40" s="75" t="str">
        <f aca="false">IF(SUM($AM40)&lt;=0,"",IF(SUM($AL40)&lt;=0,"ENTER VALID YIELD!",ROUND($AM40/$AL40,0)-$AM40))</f>
        <v>ENTER VALID YIELD!</v>
      </c>
      <c r="AO40" s="118"/>
      <c r="AP40" s="75" t="str">
        <f aca="false">IF(OR(SUM($AC40)&lt;=0,SUM($G40)&lt;=0),"",ROUND($G40*$AC40,0))</f>
        <v/>
      </c>
      <c r="AQ40" s="75" t="str">
        <f aca="false">IF(SUM($AP40)&lt;=0,"",IF(SUM($AO40)&lt;=0,"ENTER VALID YIELD!",ROUND($AP40/$AO40,0)-$AP40))</f>
        <v/>
      </c>
      <c r="AR40" s="118"/>
      <c r="AS40" s="75" t="str">
        <f aca="false">IF(OR(SUM($AD40)&lt;=0,SUM($G40)&lt;=0),"",ROUND($G40*$AD40,0))</f>
        <v/>
      </c>
      <c r="AT40" s="75" t="str">
        <f aca="false">IF(SUM($AS40)&lt;=0,"",IF(SUM($AR40)&lt;=0,"ENTER VALID YIELD!",ROUND($AS40/$AR40,0)-$AS40))</f>
        <v/>
      </c>
      <c r="AU40" s="118"/>
      <c r="AV40" s="75" t="n">
        <f aca="false">IF(OR(SUM($AE40)&lt;=0,SUM($G40)&lt;=0),"",ROUND($G40*$AE40,0))</f>
        <v>272</v>
      </c>
      <c r="AW40" s="75" t="str">
        <f aca="false">IF(SUM($AV40)&lt;=0,"",IF(SUM($AU40)&lt;=0,"ENTER VALID YIELD!",ROUND($AV40/$AU40,0)-$AV40))</f>
        <v>ENTER VALID YIELD!</v>
      </c>
      <c r="AX40" s="118"/>
      <c r="AY40" s="75" t="n">
        <f aca="false">IF(OR(SUM($AF40)&lt;=0,SUM($G40)&lt;=0),"",ROUND($G40*$AF40,0))</f>
        <v>255</v>
      </c>
      <c r="AZ40" s="75" t="str">
        <f aca="false">IF(SUM($AY40)&lt;=0,"",IF(SUM($AX40)&lt;=0,"ENTER VALID YIELD!",ROUND($AY40/$AX40,0)-$AY40))</f>
        <v>ENTER VALID YIELD!</v>
      </c>
      <c r="BA40" s="118" t="n">
        <v>31</v>
      </c>
      <c r="BB40" s="75" t="n">
        <f aca="false">IF(OR(SUM($AG40)&lt;=0,SUM($G40)&lt;=0),"",ROUND($G40*$AG40,0))</f>
        <v>714</v>
      </c>
      <c r="BC40" s="75" t="n">
        <f aca="false">IF(SUM($BB40)&lt;=0,"",IF(SUM($BA40)&lt;=0,"ENTER VALID YIELD!",ROUND($BB40/$BA40,0)-$BB40))</f>
        <v>-691</v>
      </c>
      <c r="BD40" s="118"/>
      <c r="BE40" s="75" t="n">
        <f aca="false">IF(OR(SUM($AH40)&lt;=0,SUM($G40)&lt;=0),"",ROUND($G40*$AH40,0))</f>
        <v>221</v>
      </c>
      <c r="BF40" s="75" t="str">
        <f aca="false">IF(SUM($BE40)&lt;=0,"",IF(SUM($BD40)&lt;=0,"ENTER VALID YIELD!",ROUND($BE40/$BD40,0)-$BE40))</f>
        <v>ENTER VALID YIELD!</v>
      </c>
      <c r="BG40" s="118"/>
      <c r="BH40" s="75" t="n">
        <f aca="false">IF(OR(SUM($AI40)&lt;=0,SUM($G40)&lt;=0),"",ROUND($G40*$AI40,0))</f>
        <v>170</v>
      </c>
      <c r="BI40" s="75" t="str">
        <f aca="false">IF(SUM($BH40)&lt;=0,"",IF(SUM($BG40)&lt;=0,"ENTER VALID YIELD!",ROUND($BH40/$BG40,0)-$BH40))</f>
        <v>ENTER VALID YIELD!</v>
      </c>
      <c r="BJ40" s="118"/>
      <c r="BK40" s="75" t="n">
        <f aca="false">IF(OR(SUM($AJ40)&lt;=0,SUM($G40)&lt;=0),"",ROUND($G40*$AJ40,0))</f>
        <v>782</v>
      </c>
      <c r="BL40" s="75" t="str">
        <f aca="false">IF(SUM($BK40)&lt;=0,"",IF(SUM($BJ40)&lt;=0,"ENTER VALID YIELD!",ROUND($BK40/$BJ40,0)-$BK40))</f>
        <v>ENTER VALID YIELD!</v>
      </c>
      <c r="BM40" s="73" t="n">
        <f aca="false">IF(SUM($G40)&lt;=0,"",$G40)</f>
        <v>17</v>
      </c>
      <c r="BN40" s="73" t="n">
        <f aca="false">IF(SUM($G40)&lt;=0,"",SUM($I40:$L40,$Q40,$S40,$AM40,$AP40,$AS40,$AV40,$AY40,$BB40,$BE40,$BH40,$BK40))</f>
        <v>3133</v>
      </c>
      <c r="BO40" s="73" t="n">
        <f aca="false">IF(AND(SUM($BN40)&lt;=0,SUM($BM40)&lt;=0),"",SUM($BN40)-SUM($BM40))</f>
        <v>3116</v>
      </c>
      <c r="BP40" s="73" t="str">
        <f aca="false">_xlfn.IFNA(INDEX(PMTCT!$AF:$AF,MATCH($E40,PMTCT!$E:$E,0)),"")</f>
        <v/>
      </c>
      <c r="BQ40" s="73" t="str">
        <f aca="false">_xlfn.IFNA(INDEX(PMTCT!$AV:$AV,MATCH($E40,PMTCT!$E:$E,0)),"")</f>
        <v/>
      </c>
      <c r="BR40" s="73" t="n">
        <f aca="false">_xlfn.IFNA(INDEX(TB!$R:$R,MATCH($E40,TB!$E:$E,0)),"")</f>
        <v>24</v>
      </c>
      <c r="BS40" s="73" t="str">
        <f aca="false">_xlfn.IFNA(INDEX(VMMC!$AD:$AD,MATCH($E40,VMMC!$E:$E,0)),"")</f>
        <v/>
      </c>
      <c r="BT40" s="73" t="n">
        <f aca="false">IF(SUM($R40,$T40,$AN40,$AQ40,$AT40,$AW40,$AZ40,$BC40,$BF40,$BI40,$BL40,$BP40:$BS40)=0,"",SUM($R40,$T40,$AN40,$AQ40,$AT40,$AW40,$AZ40,$BC40,$BF40,$BI40,$BL40,$BP40:$BS40))</f>
        <v>-667</v>
      </c>
      <c r="BU40" s="73" t="n">
        <f aca="false">IF(OR(SUM($BT40)=0,SUM($BN40)=0),"",SUM($BT40,$BN40))</f>
        <v>2466</v>
      </c>
      <c r="BV40" s="118" t="n">
        <f aca="false">IF(SUM($BU40)=0,"",SUM($BN40)/$BU40)</f>
        <v>1.27047850770479</v>
      </c>
      <c r="BW40" s="73"/>
      <c r="BX40" s="118" t="str">
        <f aca="false">IF(OR($C40="01-04",$C40="05-09"),"",0%)</f>
        <v/>
      </c>
      <c r="BY40" s="75" t="str">
        <f aca="false">IF(OR($C40="01-04",$C40="05-09",SUM($BW40)=0),"",ROUND($BW40*(1+$BX40),0))</f>
        <v/>
      </c>
    </row>
    <row r="41" customFormat="false" ht="15" hidden="false" customHeight="false" outlineLevel="0" collapsed="false">
      <c r="A41" s="0" t="s">
        <v>142</v>
      </c>
      <c r="B41" s="0" t="s">
        <v>109</v>
      </c>
      <c r="C41" s="0" t="s">
        <v>61</v>
      </c>
      <c r="D41" s="0" t="s">
        <v>56</v>
      </c>
      <c r="E41" s="0" t="str">
        <f aca="false">B41&amp;"|"&amp;C41&amp;"|"&amp;D41</f>
        <v>Berea [#SNU] [#DREAMS] [wpg5evyl1OL]|10-14|Female</v>
      </c>
      <c r="F41" s="118" t="n">
        <f aca="false">_xlfn.IFNA(INDEX(Cascade!$Y:$Y,MATCH($E41,Cascade!$E:$E,0)),"")</f>
        <v>0.815436241610738</v>
      </c>
      <c r="G41" s="73" t="n">
        <f aca="false">_xlfn.IFNA(INDEX(Cascade!$BD:$BD,MATCH($E41,Cascade!$E:$E,0)),"")</f>
        <v>1</v>
      </c>
      <c r="H41" s="73" t="n">
        <f aca="false">_xlfn.IFNA(INDEX(Cascade!$BE:$BE,MATCH($E41,Cascade!$E:$E,0)),"")</f>
        <v>1</v>
      </c>
      <c r="I41" s="73" t="n">
        <f aca="false">_xlfn.IFNA(INDEX(Cascade!$BF:$BF,MATCH($E41,Cascade!$E:$E,0)),"")</f>
        <v>0</v>
      </c>
      <c r="J41" s="73" t="n">
        <f aca="false">_xlfn.IFNA(INDEX(Cascade!$BG:$BG,MATCH($E41,Cascade!$E:$E,0)),"")</f>
        <v>0</v>
      </c>
      <c r="K41" s="73" t="n">
        <f aca="false">_xlfn.IFNA(INDEX(Cascade!$BH:$BH,MATCH($E41,Cascade!$E:$E,0)),"")</f>
        <v>0</v>
      </c>
      <c r="L41" s="73" t="str">
        <f aca="false">_xlfn.IFNA(INDEX(Cascade!$BI:$BI,MATCH($E41,Cascade!$E:$E,0)),"")</f>
        <v/>
      </c>
      <c r="M41" s="73" t="n">
        <f aca="false">_xlfn.IFNA(INDEX(Cascade!$BK:$BK,MATCH($E41,Cascade!$E:$E,0)),"")</f>
        <v>0</v>
      </c>
      <c r="N41" s="118" t="n">
        <v>18</v>
      </c>
      <c r="O41" s="118"/>
      <c r="P41" s="118" t="n">
        <v>18</v>
      </c>
      <c r="Q41" s="75" t="str">
        <f aca="false">IF(OR(SUM($H41)=0,SUM($N41)=0,SUM($O41)=0),"",ROUND($H41*$N41,0))</f>
        <v/>
      </c>
      <c r="R41" s="75" t="str">
        <f aca="false">IF(OR(SUM($Q41)=0,SUM($O41)=0),"",ROUND(SUM($Q41)/SUM($O41),0)-SUM($Q41))</f>
        <v/>
      </c>
      <c r="S41" s="75" t="n">
        <f aca="false">IF(SUM($H41)=0,"",SUM($H41)-SUM($Q41))</f>
        <v>1</v>
      </c>
      <c r="T41" s="75" t="str">
        <f aca="false">IF(OR(SUM($S41)=0,$N41&gt;1,SUM($P41)&lt;=0),"",ROUND($S41/$P41,0)-$S41)</f>
        <v/>
      </c>
      <c r="U41" s="118" t="n">
        <f aca="false">IF(SUM($G41)&lt;=0,"",SUM($Q41,$S41)/$G41)</f>
        <v>1</v>
      </c>
      <c r="V41" s="118" t="str">
        <f aca="false">IF(OR(SUM($Q41)=0,SUM($G41)=0),"",SUM($Q41)/SUM($G41))</f>
        <v/>
      </c>
      <c r="W41" s="118" t="n">
        <f aca="false">IF(OR(SUM($S41)=0,SUM($G41)=0),"",SUM($S41)/SUM($G41))</f>
        <v>1</v>
      </c>
      <c r="X41" s="118" t="str">
        <f aca="false">IF(OR(SUM($G41)=0,SUM($I41)=0),"",SUM($I41)/SUM($G41))</f>
        <v/>
      </c>
      <c r="Y41" s="118" t="str">
        <f aca="false">IF(OR(SUM($G41)=0,SUM($J41)=0),"",SUM($J41)/SUM($G41))</f>
        <v/>
      </c>
      <c r="Z41" s="118" t="str">
        <f aca="false">IF(OR(SUM($G41)=0,SUM($K41)=0),"",SUM($K41)/SUM($G41))</f>
        <v/>
      </c>
      <c r="AA41" s="118" t="str">
        <f aca="false">IF(OR(SUM($G41)=0,SUM($L41)=0),"",SUM($L41)/SUM($G41))</f>
        <v/>
      </c>
      <c r="AB41" s="118" t="n">
        <v>42</v>
      </c>
      <c r="AC41" s="118"/>
      <c r="AD41" s="118"/>
      <c r="AE41" s="118" t="n">
        <v>39</v>
      </c>
      <c r="AF41" s="118" t="n">
        <v>8</v>
      </c>
      <c r="AG41" s="118" t="n">
        <v>46</v>
      </c>
      <c r="AH41" s="118" t="n">
        <v>32</v>
      </c>
      <c r="AI41" s="118" t="n">
        <v>12</v>
      </c>
      <c r="AJ41" s="118" t="n">
        <v>44</v>
      </c>
      <c r="AK41" s="118" t="n">
        <f aca="false">IF(SUM($G41)&lt;=0,"",SUM($V41:$AJ41))</f>
        <v>224</v>
      </c>
      <c r="AL41" s="118"/>
      <c r="AM41" s="75" t="n">
        <f aca="false">IF(OR(SUM($AB41)&lt;=0,SUM($G41)&lt;=0),"",ROUND($G41*$AB41,0))</f>
        <v>42</v>
      </c>
      <c r="AN41" s="75" t="str">
        <f aca="false">IF(SUM($AM41)&lt;=0,"",IF(SUM($AL41)&lt;=0,"ENTER VALID YIELD!",ROUND($AM41/$AL41,0)-$AM41))</f>
        <v>ENTER VALID YIELD!</v>
      </c>
      <c r="AO41" s="118"/>
      <c r="AP41" s="75" t="str">
        <f aca="false">IF(OR(SUM($AC41)&lt;=0,SUM($G41)&lt;=0),"",ROUND($G41*$AC41,0))</f>
        <v/>
      </c>
      <c r="AQ41" s="75" t="str">
        <f aca="false">IF(SUM($AP41)&lt;=0,"",IF(SUM($AO41)&lt;=0,"ENTER VALID YIELD!",ROUND($AP41/$AO41,0)-$AP41))</f>
        <v/>
      </c>
      <c r="AR41" s="118"/>
      <c r="AS41" s="75" t="str">
        <f aca="false">IF(OR(SUM($AD41)&lt;=0,SUM($G41)&lt;=0),"",ROUND($G41*$AD41,0))</f>
        <v/>
      </c>
      <c r="AT41" s="75" t="str">
        <f aca="false">IF(SUM($AS41)&lt;=0,"",IF(SUM($AR41)&lt;=0,"ENTER VALID YIELD!",ROUND($AS41/$AR41,0)-$AS41))</f>
        <v/>
      </c>
      <c r="AU41" s="118"/>
      <c r="AV41" s="75" t="n">
        <f aca="false">IF(OR(SUM($AE41)&lt;=0,SUM($G41)&lt;=0),"",ROUND($G41*$AE41,0))</f>
        <v>39</v>
      </c>
      <c r="AW41" s="75" t="str">
        <f aca="false">IF(SUM($AV41)&lt;=0,"",IF(SUM($AU41)&lt;=0,"ENTER VALID YIELD!",ROUND($AV41/$AU41,0)-$AV41))</f>
        <v>ENTER VALID YIELD!</v>
      </c>
      <c r="AX41" s="118"/>
      <c r="AY41" s="75" t="n">
        <f aca="false">IF(OR(SUM($AF41)&lt;=0,SUM($G41)&lt;=0),"",ROUND($G41*$AF41,0))</f>
        <v>8</v>
      </c>
      <c r="AZ41" s="75" t="str">
        <f aca="false">IF(SUM($AY41)&lt;=0,"",IF(SUM($AX41)&lt;=0,"ENTER VALID YIELD!",ROUND($AY41/$AX41,0)-$AY41))</f>
        <v>ENTER VALID YIELD!</v>
      </c>
      <c r="BA41" s="118" t="n">
        <v>32</v>
      </c>
      <c r="BB41" s="75" t="n">
        <f aca="false">IF(OR(SUM($AG41)&lt;=0,SUM($G41)&lt;=0),"",ROUND($G41*$AG41,0))</f>
        <v>46</v>
      </c>
      <c r="BC41" s="75" t="n">
        <f aca="false">IF(SUM($BB41)&lt;=0,"",IF(SUM($BA41)&lt;=0,"ENTER VALID YIELD!",ROUND($BB41/$BA41,0)-$BB41))</f>
        <v>-45</v>
      </c>
      <c r="BD41" s="118"/>
      <c r="BE41" s="75" t="n">
        <f aca="false">IF(OR(SUM($AH41)&lt;=0,SUM($G41)&lt;=0),"",ROUND($G41*$AH41,0))</f>
        <v>32</v>
      </c>
      <c r="BF41" s="75" t="str">
        <f aca="false">IF(SUM($BE41)&lt;=0,"",IF(SUM($BD41)&lt;=0,"ENTER VALID YIELD!",ROUND($BE41/$BD41,0)-$BE41))</f>
        <v>ENTER VALID YIELD!</v>
      </c>
      <c r="BG41" s="118"/>
      <c r="BH41" s="75" t="n">
        <f aca="false">IF(OR(SUM($AI41)&lt;=0,SUM($G41)&lt;=0),"",ROUND($G41*$AI41,0))</f>
        <v>12</v>
      </c>
      <c r="BI41" s="75" t="str">
        <f aca="false">IF(SUM($BH41)&lt;=0,"",IF(SUM($BG41)&lt;=0,"ENTER VALID YIELD!",ROUND($BH41/$BG41,0)-$BH41))</f>
        <v>ENTER VALID YIELD!</v>
      </c>
      <c r="BJ41" s="118"/>
      <c r="BK41" s="75" t="n">
        <f aca="false">IF(OR(SUM($AJ41)&lt;=0,SUM($G41)&lt;=0),"",ROUND($G41*$AJ41,0))</f>
        <v>44</v>
      </c>
      <c r="BL41" s="75" t="str">
        <f aca="false">IF(SUM($BK41)&lt;=0,"",IF(SUM($BJ41)&lt;=0,"ENTER VALID YIELD!",ROUND($BK41/$BJ41,0)-$BK41))</f>
        <v>ENTER VALID YIELD!</v>
      </c>
      <c r="BM41" s="73" t="n">
        <f aca="false">IF(SUM($G41)&lt;=0,"",$G41)</f>
        <v>1</v>
      </c>
      <c r="BN41" s="73" t="n">
        <f aca="false">IF(SUM($G41)&lt;=0,"",SUM($I41:$L41,$Q41,$S41,$AM41,$AP41,$AS41,$AV41,$AY41,$BB41,$BE41,$BH41,$BK41))</f>
        <v>224</v>
      </c>
      <c r="BO41" s="73" t="n">
        <f aca="false">IF(AND(SUM($BN41)&lt;=0,SUM($BM41)&lt;=0),"",SUM($BN41)-SUM($BM41))</f>
        <v>223</v>
      </c>
      <c r="BP41" s="73" t="n">
        <f aca="false">_xlfn.IFNA(INDEX(PMTCT!$AF:$AF,MATCH($E41,PMTCT!$E:$E,0)),"")</f>
        <v>26</v>
      </c>
      <c r="BQ41" s="73" t="n">
        <f aca="false">_xlfn.IFNA(INDEX(PMTCT!$AV:$AV,MATCH($E41,PMTCT!$E:$E,0)),"")</f>
        <v>26</v>
      </c>
      <c r="BR41" s="73" t="n">
        <f aca="false">_xlfn.IFNA(INDEX(TB!$R:$R,MATCH($E41,TB!$E:$E,0)),"")</f>
        <v>49</v>
      </c>
      <c r="BS41" s="73" t="str">
        <f aca="false">_xlfn.IFNA(INDEX(VMMC!$AD:$AD,MATCH($E41,VMMC!$E:$E,0)),"")</f>
        <v/>
      </c>
      <c r="BT41" s="73" t="n">
        <f aca="false">IF(SUM($R41,$T41,$AN41,$AQ41,$AT41,$AW41,$AZ41,$BC41,$BF41,$BI41,$BL41,$BP41:$BS41)=0,"",SUM($R41,$T41,$AN41,$AQ41,$AT41,$AW41,$AZ41,$BC41,$BF41,$BI41,$BL41,$BP41:$BS41))</f>
        <v>56</v>
      </c>
      <c r="BU41" s="73" t="n">
        <f aca="false">IF(OR(SUM($BT41)=0,SUM($BN41)=0),"",SUM($BT41,$BN41))</f>
        <v>280</v>
      </c>
      <c r="BV41" s="118" t="n">
        <f aca="false">IF(SUM($BU41)=0,"",SUM($BN41)/$BU41)</f>
        <v>0.8</v>
      </c>
      <c r="BW41" s="73" t="n">
        <v>21</v>
      </c>
      <c r="BX41" s="118" t="n">
        <f aca="false">IF(OR($C41="01-04",$C41="05-09"),"",0%)</f>
        <v>0</v>
      </c>
      <c r="BY41" s="75" t="n">
        <f aca="false">IF(OR($C41="01-04",$C41="05-09",SUM($BW41)=0),"",ROUND($BW41*(1+$BX41),0))</f>
        <v>21</v>
      </c>
    </row>
    <row r="42" customFormat="false" ht="15" hidden="false" customHeight="false" outlineLevel="0" collapsed="false">
      <c r="A42" s="0" t="s">
        <v>142</v>
      </c>
      <c r="B42" s="0" t="s">
        <v>109</v>
      </c>
      <c r="C42" s="0" t="s">
        <v>61</v>
      </c>
      <c r="D42" s="0" t="s">
        <v>58</v>
      </c>
      <c r="E42" s="0" t="str">
        <f aca="false">B42&amp;"|"&amp;C42&amp;"|"&amp;D42</f>
        <v>Berea [#SNU] [#DREAMS] [wpg5evyl1OL]|10-14|Male</v>
      </c>
      <c r="F42" s="118" t="n">
        <f aca="false">_xlfn.IFNA(INDEX(Cascade!$Y:$Y,MATCH($E42,Cascade!$E:$E,0)),"")</f>
        <v>0.834437086092715</v>
      </c>
      <c r="G42" s="73" t="n">
        <f aca="false">_xlfn.IFNA(INDEX(Cascade!$BD:$BD,MATCH($E42,Cascade!$E:$E,0)),"")</f>
        <v>1</v>
      </c>
      <c r="H42" s="73" t="n">
        <f aca="false">_xlfn.IFNA(INDEX(Cascade!$BE:$BE,MATCH($E42,Cascade!$E:$E,0)),"")</f>
        <v>1</v>
      </c>
      <c r="I42" s="73" t="str">
        <f aca="false">_xlfn.IFNA(INDEX(Cascade!$BF:$BF,MATCH($E42,Cascade!$E:$E,0)),"")</f>
        <v/>
      </c>
      <c r="J42" s="73" t="str">
        <f aca="false">_xlfn.IFNA(INDEX(Cascade!$BG:$BG,MATCH($E42,Cascade!$E:$E,0)),"")</f>
        <v/>
      </c>
      <c r="K42" s="73" t="n">
        <f aca="false">_xlfn.IFNA(INDEX(Cascade!$BH:$BH,MATCH($E42,Cascade!$E:$E,0)),"")</f>
        <v>0</v>
      </c>
      <c r="L42" s="73" t="str">
        <f aca="false">_xlfn.IFNA(INDEX(Cascade!$BI:$BI,MATCH($E42,Cascade!$E:$E,0)),"")</f>
        <v/>
      </c>
      <c r="M42" s="73" t="n">
        <f aca="false">_xlfn.IFNA(INDEX(Cascade!$BK:$BK,MATCH($E42,Cascade!$E:$E,0)),"")</f>
        <v>0</v>
      </c>
      <c r="N42" s="118"/>
      <c r="O42" s="118"/>
      <c r="P42" s="118"/>
      <c r="Q42" s="75" t="str">
        <f aca="false">IF(OR(SUM($H42)=0,SUM($N42)=0,SUM($O42)=0),"",ROUND($H42*$N42,0))</f>
        <v/>
      </c>
      <c r="R42" s="75" t="str">
        <f aca="false">IF(OR(SUM($Q42)=0,SUM($O42)=0),"",ROUND(SUM($Q42)/SUM($O42),0)-SUM($Q42))</f>
        <v/>
      </c>
      <c r="S42" s="75" t="n">
        <f aca="false">IF(SUM($H42)=0,"",SUM($H42)-SUM($Q42))</f>
        <v>1</v>
      </c>
      <c r="T42" s="75" t="str">
        <f aca="false">IF(OR(SUM($S42)=0,$N42&gt;1,SUM($P42)&lt;=0),"",ROUND($S42/$P42,0)-$S42)</f>
        <v/>
      </c>
      <c r="U42" s="118" t="n">
        <f aca="false">IF(SUM($G42)&lt;=0,"",SUM($Q42,$S42)/$G42)</f>
        <v>1</v>
      </c>
      <c r="V42" s="118" t="str">
        <f aca="false">IF(OR(SUM($Q42)=0,SUM($G42)=0),"",SUM($Q42)/SUM($G42))</f>
        <v/>
      </c>
      <c r="W42" s="118" t="n">
        <f aca="false">IF(OR(SUM($S42)=0,SUM($G42)=0),"",SUM($S42)/SUM($G42))</f>
        <v>1</v>
      </c>
      <c r="X42" s="118" t="str">
        <f aca="false">IF(OR(SUM($G42)=0,SUM($I42)=0),"",SUM($I42)/SUM($G42))</f>
        <v/>
      </c>
      <c r="Y42" s="118" t="str">
        <f aca="false">IF(OR(SUM($G42)=0,SUM($J42)=0),"",SUM($J42)/SUM($G42))</f>
        <v/>
      </c>
      <c r="Z42" s="118" t="str">
        <f aca="false">IF(OR(SUM($G42)=0,SUM($K42)=0),"",SUM($K42)/SUM($G42))</f>
        <v/>
      </c>
      <c r="AA42" s="118" t="str">
        <f aca="false">IF(OR(SUM($G42)=0,SUM($L42)=0),"",SUM($L42)/SUM($G42))</f>
        <v/>
      </c>
      <c r="AB42" s="118" t="n">
        <v>39</v>
      </c>
      <c r="AC42" s="118"/>
      <c r="AD42" s="118"/>
      <c r="AE42" s="118" t="n">
        <v>44</v>
      </c>
      <c r="AF42" s="118" t="n">
        <v>37</v>
      </c>
      <c r="AG42" s="118" t="n">
        <v>46</v>
      </c>
      <c r="AH42" s="118" t="n">
        <v>10</v>
      </c>
      <c r="AI42" s="118" t="n">
        <v>47</v>
      </c>
      <c r="AJ42" s="118" t="n">
        <v>1</v>
      </c>
      <c r="AK42" s="118" t="n">
        <f aca="false">IF(SUM($G42)&lt;=0,"",SUM($V42:$AJ42))</f>
        <v>225</v>
      </c>
      <c r="AL42" s="118"/>
      <c r="AM42" s="75" t="n">
        <f aca="false">IF(OR(SUM($AB42)&lt;=0,SUM($G42)&lt;=0),"",ROUND($G42*$AB42,0))</f>
        <v>39</v>
      </c>
      <c r="AN42" s="75" t="str">
        <f aca="false">IF(SUM($AM42)&lt;=0,"",IF(SUM($AL42)&lt;=0,"ENTER VALID YIELD!",ROUND($AM42/$AL42,0)-$AM42))</f>
        <v>ENTER VALID YIELD!</v>
      </c>
      <c r="AO42" s="118"/>
      <c r="AP42" s="75" t="str">
        <f aca="false">IF(OR(SUM($AC42)&lt;=0,SUM($G42)&lt;=0),"",ROUND($G42*$AC42,0))</f>
        <v/>
      </c>
      <c r="AQ42" s="75" t="str">
        <f aca="false">IF(SUM($AP42)&lt;=0,"",IF(SUM($AO42)&lt;=0,"ENTER VALID YIELD!",ROUND($AP42/$AO42,0)-$AP42))</f>
        <v/>
      </c>
      <c r="AR42" s="118"/>
      <c r="AS42" s="75" t="str">
        <f aca="false">IF(OR(SUM($AD42)&lt;=0,SUM($G42)&lt;=0),"",ROUND($G42*$AD42,0))</f>
        <v/>
      </c>
      <c r="AT42" s="75" t="str">
        <f aca="false">IF(SUM($AS42)&lt;=0,"",IF(SUM($AR42)&lt;=0,"ENTER VALID YIELD!",ROUND($AS42/$AR42,0)-$AS42))</f>
        <v/>
      </c>
      <c r="AU42" s="118"/>
      <c r="AV42" s="75" t="n">
        <f aca="false">IF(OR(SUM($AE42)&lt;=0,SUM($G42)&lt;=0),"",ROUND($G42*$AE42,0))</f>
        <v>44</v>
      </c>
      <c r="AW42" s="75" t="str">
        <f aca="false">IF(SUM($AV42)&lt;=0,"",IF(SUM($AU42)&lt;=0,"ENTER VALID YIELD!",ROUND($AV42/$AU42,0)-$AV42))</f>
        <v>ENTER VALID YIELD!</v>
      </c>
      <c r="AX42" s="118"/>
      <c r="AY42" s="75" t="n">
        <f aca="false">IF(OR(SUM($AF42)&lt;=0,SUM($G42)&lt;=0),"",ROUND($G42*$AF42,0))</f>
        <v>37</v>
      </c>
      <c r="AZ42" s="75" t="str">
        <f aca="false">IF(SUM($AY42)&lt;=0,"",IF(SUM($AX42)&lt;=0,"ENTER VALID YIELD!",ROUND($AY42/$AX42,0)-$AY42))</f>
        <v>ENTER VALID YIELD!</v>
      </c>
      <c r="BA42" s="118" t="n">
        <v>15</v>
      </c>
      <c r="BB42" s="75" t="n">
        <f aca="false">IF(OR(SUM($AG42)&lt;=0,SUM($G42)&lt;=0),"",ROUND($G42*$AG42,0))</f>
        <v>46</v>
      </c>
      <c r="BC42" s="75" t="n">
        <f aca="false">IF(SUM($BB42)&lt;=0,"",IF(SUM($BA42)&lt;=0,"ENTER VALID YIELD!",ROUND($BB42/$BA42,0)-$BB42))</f>
        <v>-43</v>
      </c>
      <c r="BD42" s="118"/>
      <c r="BE42" s="75" t="n">
        <f aca="false">IF(OR(SUM($AH42)&lt;=0,SUM($G42)&lt;=0),"",ROUND($G42*$AH42,0))</f>
        <v>10</v>
      </c>
      <c r="BF42" s="75" t="str">
        <f aca="false">IF(SUM($BE42)&lt;=0,"",IF(SUM($BD42)&lt;=0,"ENTER VALID YIELD!",ROUND($BE42/$BD42,0)-$BE42))</f>
        <v>ENTER VALID YIELD!</v>
      </c>
      <c r="BG42" s="118"/>
      <c r="BH42" s="75" t="n">
        <f aca="false">IF(OR(SUM($AI42)&lt;=0,SUM($G42)&lt;=0),"",ROUND($G42*$AI42,0))</f>
        <v>47</v>
      </c>
      <c r="BI42" s="75" t="str">
        <f aca="false">IF(SUM($BH42)&lt;=0,"",IF(SUM($BG42)&lt;=0,"ENTER VALID YIELD!",ROUND($BH42/$BG42,0)-$BH42))</f>
        <v>ENTER VALID YIELD!</v>
      </c>
      <c r="BJ42" s="118"/>
      <c r="BK42" s="75" t="n">
        <f aca="false">IF(OR(SUM($AJ42)&lt;=0,SUM($G42)&lt;=0),"",ROUND($G42*$AJ42,0))</f>
        <v>1</v>
      </c>
      <c r="BL42" s="75" t="str">
        <f aca="false">IF(SUM($BK42)&lt;=0,"",IF(SUM($BJ42)&lt;=0,"ENTER VALID YIELD!",ROUND($BK42/$BJ42,0)-$BK42))</f>
        <v>ENTER VALID YIELD!</v>
      </c>
      <c r="BM42" s="73" t="n">
        <f aca="false">IF(SUM($G42)&lt;=0,"",$G42)</f>
        <v>1</v>
      </c>
      <c r="BN42" s="73" t="n">
        <f aca="false">IF(SUM($G42)&lt;=0,"",SUM($I42:$L42,$Q42,$S42,$AM42,$AP42,$AS42,$AV42,$AY42,$BB42,$BE42,$BH42,$BK42))</f>
        <v>225</v>
      </c>
      <c r="BO42" s="73" t="n">
        <f aca="false">IF(AND(SUM($BN42)&lt;=0,SUM($BM42)&lt;=0),"",SUM($BN42)-SUM($BM42))</f>
        <v>224</v>
      </c>
      <c r="BP42" s="73" t="str">
        <f aca="false">_xlfn.IFNA(INDEX(PMTCT!$AF:$AF,MATCH($E42,PMTCT!$E:$E,0)),"")</f>
        <v/>
      </c>
      <c r="BQ42" s="73" t="str">
        <f aca="false">_xlfn.IFNA(INDEX(PMTCT!$AV:$AV,MATCH($E42,PMTCT!$E:$E,0)),"")</f>
        <v/>
      </c>
      <c r="BR42" s="73" t="n">
        <f aca="false">_xlfn.IFNA(INDEX(TB!$R:$R,MATCH($E42,TB!$E:$E,0)),"")</f>
        <v>39</v>
      </c>
      <c r="BS42" s="73" t="str">
        <f aca="false">_xlfn.IFNA(INDEX(VMMC!$AD:$AD,MATCH($E42,VMMC!$E:$E,0)),"")</f>
        <v/>
      </c>
      <c r="BT42" s="73" t="n">
        <f aca="false">IF(SUM($R42,$T42,$AN42,$AQ42,$AT42,$AW42,$AZ42,$BC42,$BF42,$BI42,$BL42,$BP42:$BS42)=0,"",SUM($R42,$T42,$AN42,$AQ42,$AT42,$AW42,$AZ42,$BC42,$BF42,$BI42,$BL42,$BP42:$BS42))</f>
        <v>-4</v>
      </c>
      <c r="BU42" s="73" t="n">
        <f aca="false">IF(OR(SUM($BT42)=0,SUM($BN42)=0),"",SUM($BT42,$BN42))</f>
        <v>221</v>
      </c>
      <c r="BV42" s="118" t="n">
        <f aca="false">IF(SUM($BU42)=0,"",SUM($BN42)/$BU42)</f>
        <v>1.01809954751131</v>
      </c>
      <c r="BW42" s="73" t="n">
        <v>17</v>
      </c>
      <c r="BX42" s="118" t="n">
        <f aca="false">IF(OR($C42="01-04",$C42="05-09"),"",0%)</f>
        <v>0</v>
      </c>
      <c r="BY42" s="75" t="n">
        <f aca="false">IF(OR($C42="01-04",$C42="05-09",SUM($BW42)=0),"",ROUND($BW42*(1+$BX42),0))</f>
        <v>17</v>
      </c>
    </row>
    <row r="43" customFormat="false" ht="15" hidden="false" customHeight="false" outlineLevel="0" collapsed="false">
      <c r="A43" s="0" t="s">
        <v>142</v>
      </c>
      <c r="B43" s="0" t="s">
        <v>109</v>
      </c>
      <c r="C43" s="0" t="s">
        <v>63</v>
      </c>
      <c r="D43" s="0" t="s">
        <v>56</v>
      </c>
      <c r="E43" s="0" t="str">
        <f aca="false">B43&amp;"|"&amp;C43&amp;"|"&amp;D43</f>
        <v>Berea [#SNU] [#DREAMS] [wpg5evyl1OL]|15-19|Female</v>
      </c>
      <c r="F43" s="118" t="n">
        <f aca="false">_xlfn.IFNA(INDEX(Cascade!$Y:$Y,MATCH($E43,Cascade!$E:$E,0)),"")</f>
        <v>0.735632183908046</v>
      </c>
      <c r="G43" s="73" t="n">
        <f aca="false">_xlfn.IFNA(INDEX(Cascade!$BD:$BD,MATCH($E43,Cascade!$E:$E,0)),"")</f>
        <v>1</v>
      </c>
      <c r="H43" s="73" t="n">
        <f aca="false">_xlfn.IFNA(INDEX(Cascade!$BE:$BE,MATCH($E43,Cascade!$E:$E,0)),"")</f>
        <v>1</v>
      </c>
      <c r="I43" s="73" t="n">
        <f aca="false">_xlfn.IFNA(INDEX(Cascade!$BF:$BF,MATCH($E43,Cascade!$E:$E,0)),"")</f>
        <v>-6006</v>
      </c>
      <c r="J43" s="73" t="str">
        <f aca="false">_xlfn.IFNA(INDEX(Cascade!$BG:$BG,MATCH($E43,Cascade!$E:$E,0)),"")</f>
        <v/>
      </c>
      <c r="K43" s="73" t="n">
        <f aca="false">_xlfn.IFNA(INDEX(Cascade!$BH:$BH,MATCH($E43,Cascade!$E:$E,0)),"")</f>
        <v>-0</v>
      </c>
      <c r="L43" s="73" t="str">
        <f aca="false">_xlfn.IFNA(INDEX(Cascade!$BI:$BI,MATCH($E43,Cascade!$E:$E,0)),"")</f>
        <v/>
      </c>
      <c r="M43" s="73" t="n">
        <f aca="false">_xlfn.IFNA(INDEX(Cascade!$BK:$BK,MATCH($E43,Cascade!$E:$E,0)),"")</f>
        <v>6006</v>
      </c>
      <c r="N43" s="118" t="n">
        <v>9</v>
      </c>
      <c r="O43" s="118" t="n">
        <v>6</v>
      </c>
      <c r="P43" s="118" t="n">
        <v>17</v>
      </c>
      <c r="Q43" s="75" t="n">
        <f aca="false">IF(OR(SUM($H43)=0,SUM($N43)=0,SUM($O43)=0),"",ROUND($H43*$N43,0))</f>
        <v>9</v>
      </c>
      <c r="R43" s="75" t="n">
        <f aca="false">IF(OR(SUM($Q43)=0,SUM($O43)=0),"",ROUND(SUM($Q43)/SUM($O43),0)-SUM($Q43))</f>
        <v>-7</v>
      </c>
      <c r="S43" s="75" t="n">
        <f aca="false">IF(SUM($H43)=0,"",SUM($H43)-SUM($Q43))</f>
        <v>-8</v>
      </c>
      <c r="T43" s="75" t="str">
        <f aca="false">IF(OR(SUM($S43)=0,$N43&gt;1,SUM($P43)&lt;=0),"",ROUND($S43/$P43,0)-$S43)</f>
        <v/>
      </c>
      <c r="U43" s="118" t="n">
        <f aca="false">IF(SUM($G43)&lt;=0,"",SUM($Q43,$S43)/$G43)</f>
        <v>1</v>
      </c>
      <c r="V43" s="118" t="n">
        <f aca="false">IF(OR(SUM($Q43)=0,SUM($G43)=0),"",SUM($Q43)/SUM($G43))</f>
        <v>9</v>
      </c>
      <c r="W43" s="118" t="n">
        <f aca="false">IF(OR(SUM($S43)=0,SUM($G43)=0),"",SUM($S43)/SUM($G43))</f>
        <v>-8</v>
      </c>
      <c r="X43" s="118" t="n">
        <f aca="false">IF(OR(SUM($G43)=0,SUM($I43)=0),"",SUM($I43)/SUM($G43))</f>
        <v>-6006</v>
      </c>
      <c r="Y43" s="118" t="str">
        <f aca="false">IF(OR(SUM($G43)=0,SUM($J43)=0),"",SUM($J43)/SUM($G43))</f>
        <v/>
      </c>
      <c r="Z43" s="118" t="str">
        <f aca="false">IF(OR(SUM($G43)=0,SUM($K43)=0),"",SUM($K43)/SUM($G43))</f>
        <v/>
      </c>
      <c r="AA43" s="118" t="str">
        <f aca="false">IF(OR(SUM($G43)=0,SUM($L43)=0),"",SUM($L43)/SUM($G43))</f>
        <v/>
      </c>
      <c r="AB43" s="118" t="n">
        <v>6</v>
      </c>
      <c r="AC43" s="118"/>
      <c r="AD43" s="118"/>
      <c r="AE43" s="118" t="n">
        <v>9</v>
      </c>
      <c r="AF43" s="118" t="n">
        <v>10</v>
      </c>
      <c r="AG43" s="118" t="n">
        <v>7</v>
      </c>
      <c r="AH43" s="118" t="n">
        <v>32</v>
      </c>
      <c r="AI43" s="118" t="n">
        <v>32</v>
      </c>
      <c r="AJ43" s="118" t="n">
        <v>30</v>
      </c>
      <c r="AK43" s="118" t="n">
        <f aca="false">IF(SUM($G43)&lt;=0,"",SUM($V43:$AJ43))</f>
        <v>-5879</v>
      </c>
      <c r="AL43" s="118"/>
      <c r="AM43" s="75" t="n">
        <f aca="false">IF(OR(SUM($AB43)&lt;=0,SUM($G43)&lt;=0),"",ROUND($G43*$AB43,0))</f>
        <v>6</v>
      </c>
      <c r="AN43" s="75" t="str">
        <f aca="false">IF(SUM($AM43)&lt;=0,"",IF(SUM($AL43)&lt;=0,"ENTER VALID YIELD!",ROUND($AM43/$AL43,0)-$AM43))</f>
        <v>ENTER VALID YIELD!</v>
      </c>
      <c r="AO43" s="118"/>
      <c r="AP43" s="75" t="str">
        <f aca="false">IF(OR(SUM($AC43)&lt;=0,SUM($G43)&lt;=0),"",ROUND($G43*$AC43,0))</f>
        <v/>
      </c>
      <c r="AQ43" s="75" t="str">
        <f aca="false">IF(SUM($AP43)&lt;=0,"",IF(SUM($AO43)&lt;=0,"ENTER VALID YIELD!",ROUND($AP43/$AO43,0)-$AP43))</f>
        <v/>
      </c>
      <c r="AR43" s="118"/>
      <c r="AS43" s="75" t="str">
        <f aca="false">IF(OR(SUM($AD43)&lt;=0,SUM($G43)&lt;=0),"",ROUND($G43*$AD43,0))</f>
        <v/>
      </c>
      <c r="AT43" s="75" t="str">
        <f aca="false">IF(SUM($AS43)&lt;=0,"",IF(SUM($AR43)&lt;=0,"ENTER VALID YIELD!",ROUND($AS43/$AR43,0)-$AS43))</f>
        <v/>
      </c>
      <c r="AU43" s="118"/>
      <c r="AV43" s="75" t="n">
        <f aca="false">IF(OR(SUM($AE43)&lt;=0,SUM($G43)&lt;=0),"",ROUND($G43*$AE43,0))</f>
        <v>9</v>
      </c>
      <c r="AW43" s="75" t="str">
        <f aca="false">IF(SUM($AV43)&lt;=0,"",IF(SUM($AU43)&lt;=0,"ENTER VALID YIELD!",ROUND($AV43/$AU43,0)-$AV43))</f>
        <v>ENTER VALID YIELD!</v>
      </c>
      <c r="AX43" s="118"/>
      <c r="AY43" s="75" t="n">
        <f aca="false">IF(OR(SUM($AF43)&lt;=0,SUM($G43)&lt;=0),"",ROUND($G43*$AF43,0))</f>
        <v>10</v>
      </c>
      <c r="AZ43" s="75" t="str">
        <f aca="false">IF(SUM($AY43)&lt;=0,"",IF(SUM($AX43)&lt;=0,"ENTER VALID YIELD!",ROUND($AY43/$AX43,0)-$AY43))</f>
        <v>ENTER VALID YIELD!</v>
      </c>
      <c r="BA43" s="118" t="n">
        <v>46</v>
      </c>
      <c r="BB43" s="75" t="n">
        <f aca="false">IF(OR(SUM($AG43)&lt;=0,SUM($G43)&lt;=0),"",ROUND($G43*$AG43,0))</f>
        <v>7</v>
      </c>
      <c r="BC43" s="75" t="n">
        <f aca="false">IF(SUM($BB43)&lt;=0,"",IF(SUM($BA43)&lt;=0,"ENTER VALID YIELD!",ROUND($BB43/$BA43,0)-$BB43))</f>
        <v>-7</v>
      </c>
      <c r="BD43" s="118"/>
      <c r="BE43" s="75" t="n">
        <f aca="false">IF(OR(SUM($AH43)&lt;=0,SUM($G43)&lt;=0),"",ROUND($G43*$AH43,0))</f>
        <v>32</v>
      </c>
      <c r="BF43" s="75" t="str">
        <f aca="false">IF(SUM($BE43)&lt;=0,"",IF(SUM($BD43)&lt;=0,"ENTER VALID YIELD!",ROUND($BE43/$BD43,0)-$BE43))</f>
        <v>ENTER VALID YIELD!</v>
      </c>
      <c r="BG43" s="118" t="n">
        <v>37</v>
      </c>
      <c r="BH43" s="75" t="n">
        <f aca="false">IF(OR(SUM($AI43)&lt;=0,SUM($G43)&lt;=0),"",ROUND($G43*$AI43,0))</f>
        <v>32</v>
      </c>
      <c r="BI43" s="75" t="n">
        <f aca="false">IF(SUM($BH43)&lt;=0,"",IF(SUM($BG43)&lt;=0,"ENTER VALID YIELD!",ROUND($BH43/$BG43,0)-$BH43))</f>
        <v>-31</v>
      </c>
      <c r="BJ43" s="118" t="n">
        <v>5</v>
      </c>
      <c r="BK43" s="75" t="n">
        <f aca="false">IF(OR(SUM($AJ43)&lt;=0,SUM($G43)&lt;=0),"",ROUND($G43*$AJ43,0))</f>
        <v>30</v>
      </c>
      <c r="BL43" s="75" t="n">
        <f aca="false">IF(SUM($BK43)&lt;=0,"",IF(SUM($BJ43)&lt;=0,"ENTER VALID YIELD!",ROUND($BK43/$BJ43,0)-$BK43))</f>
        <v>-24</v>
      </c>
      <c r="BM43" s="73" t="n">
        <f aca="false">IF(SUM($G43)&lt;=0,"",$G43)</f>
        <v>1</v>
      </c>
      <c r="BN43" s="73" t="n">
        <f aca="false">IF(SUM($G43)&lt;=0,"",SUM($I43:$L43,$Q43,$S43,$AM43,$AP43,$AS43,$AV43,$AY43,$BB43,$BE43,$BH43,$BK43))</f>
        <v>-5879</v>
      </c>
      <c r="BO43" s="73" t="n">
        <f aca="false">IF(AND(SUM($BN43)&lt;=0,SUM($BM43)&lt;=0),"",SUM($BN43)-SUM($BM43))</f>
        <v>-5880</v>
      </c>
      <c r="BP43" s="73" t="n">
        <f aca="false">_xlfn.IFNA(INDEX(PMTCT!$AF:$AF,MATCH($E43,PMTCT!$E:$E,0)),"")</f>
        <v>5460</v>
      </c>
      <c r="BQ43" s="73" t="str">
        <f aca="false">_xlfn.IFNA(INDEX(PMTCT!$AV:$AV,MATCH($E43,PMTCT!$E:$E,0)),"")</f>
        <v/>
      </c>
      <c r="BR43" s="73" t="n">
        <f aca="false">_xlfn.IFNA(INDEX(TB!$R:$R,MATCH($E43,TB!$E:$E,0)),"")</f>
        <v>-770</v>
      </c>
      <c r="BS43" s="73" t="str">
        <f aca="false">_xlfn.IFNA(INDEX(VMMC!$AD:$AD,MATCH($E43,VMMC!$E:$E,0)),"")</f>
        <v/>
      </c>
      <c r="BT43" s="73" t="n">
        <f aca="false">IF(SUM($R43,$T43,$AN43,$AQ43,$AT43,$AW43,$AZ43,$BC43,$BF43,$BI43,$BL43,$BP43:$BS43)=0,"",SUM($R43,$T43,$AN43,$AQ43,$AT43,$AW43,$AZ43,$BC43,$BF43,$BI43,$BL43,$BP43:$BS43))</f>
        <v>4621</v>
      </c>
      <c r="BU43" s="73" t="n">
        <f aca="false">IF(OR(SUM($BT43)=0,SUM($BN43)=0),"",SUM($BT43,$BN43))</f>
        <v>-1258</v>
      </c>
      <c r="BV43" s="118" t="n">
        <f aca="false">IF(SUM($BU43)=0,"",SUM($BN43)/$BU43)</f>
        <v>4.67329093799682</v>
      </c>
      <c r="BW43" s="73" t="n">
        <v>27</v>
      </c>
      <c r="BX43" s="118" t="n">
        <f aca="false">IF(OR($C43="01-04",$C43="05-09"),"",0%)</f>
        <v>0</v>
      </c>
      <c r="BY43" s="75" t="n">
        <f aca="false">IF(OR($C43="01-04",$C43="05-09",SUM($BW43)=0),"",ROUND($BW43*(1+$BX43),0))</f>
        <v>27</v>
      </c>
    </row>
    <row r="44" customFormat="false" ht="15" hidden="false" customHeight="false" outlineLevel="0" collapsed="false">
      <c r="A44" s="0" t="s">
        <v>142</v>
      </c>
      <c r="B44" s="0" t="s">
        <v>109</v>
      </c>
      <c r="C44" s="0" t="s">
        <v>63</v>
      </c>
      <c r="D44" s="0" t="s">
        <v>58</v>
      </c>
      <c r="E44" s="0" t="str">
        <f aca="false">B44&amp;"|"&amp;C44&amp;"|"&amp;D44</f>
        <v>Berea [#SNU] [#DREAMS] [wpg5evyl1OL]|15-19|Male</v>
      </c>
      <c r="F44" s="118" t="n">
        <f aca="false">_xlfn.IFNA(INDEX(Cascade!$Y:$Y,MATCH($E44,Cascade!$E:$E,0)),"")</f>
        <v>0.9185667752443</v>
      </c>
      <c r="G44" s="73" t="str">
        <f aca="false">_xlfn.IFNA(INDEX(Cascade!$BD:$BD,MATCH($E44,Cascade!$E:$E,0)),"")</f>
        <v/>
      </c>
      <c r="H44" s="73" t="str">
        <f aca="false">_xlfn.IFNA(INDEX(Cascade!$BE:$BE,MATCH($E44,Cascade!$E:$E,0)),"")</f>
        <v/>
      </c>
      <c r="I44" s="73" t="str">
        <f aca="false">_xlfn.IFNA(INDEX(Cascade!$BF:$BF,MATCH($E44,Cascade!$E:$E,0)),"")</f>
        <v/>
      </c>
      <c r="J44" s="73" t="str">
        <f aca="false">_xlfn.IFNA(INDEX(Cascade!$BG:$BG,MATCH($E44,Cascade!$E:$E,0)),"")</f>
        <v/>
      </c>
      <c r="K44" s="73" t="n">
        <f aca="false">_xlfn.IFNA(INDEX(Cascade!$BH:$BH,MATCH($E44,Cascade!$E:$E,0)),"")</f>
        <v>0</v>
      </c>
      <c r="L44" s="73" t="str">
        <f aca="false">_xlfn.IFNA(INDEX(Cascade!$BI:$BI,MATCH($E44,Cascade!$E:$E,0)),"")</f>
        <v/>
      </c>
      <c r="M44" s="73" t="str">
        <f aca="false">_xlfn.IFNA(INDEX(Cascade!$BK:$BK,MATCH($E44,Cascade!$E:$E,0)),"")</f>
        <v/>
      </c>
      <c r="N44" s="118"/>
      <c r="O44" s="118"/>
      <c r="P44" s="118"/>
      <c r="Q44" s="75" t="str">
        <f aca="false">IF(OR(SUM($H44)=0,SUM($N44)=0,SUM($O44)=0),"",ROUND($H44*$N44,0))</f>
        <v/>
      </c>
      <c r="R44" s="75" t="str">
        <f aca="false">IF(OR(SUM($Q44)=0,SUM($O44)=0),"",ROUND(SUM($Q44)/SUM($O44),0)-SUM($Q44))</f>
        <v/>
      </c>
      <c r="S44" s="75" t="str">
        <f aca="false">IF(SUM($H44)=0,"",SUM($H44)-SUM($Q44))</f>
        <v/>
      </c>
      <c r="T44" s="75" t="str">
        <f aca="false">IF(OR(SUM($S44)=0,$N44&gt;1,SUM($P44)&lt;=0),"",ROUND($S44/$P44,0)-$S44)</f>
        <v/>
      </c>
      <c r="U44" s="118" t="str">
        <f aca="false">IF(SUM($G44)&lt;=0,"",SUM($Q44,$S44)/$G44)</f>
        <v/>
      </c>
      <c r="V44" s="118" t="str">
        <f aca="false">IF(OR(SUM($Q44)=0,SUM($G44)=0),"",SUM($Q44)/SUM($G44))</f>
        <v/>
      </c>
      <c r="W44" s="118" t="str">
        <f aca="false">IF(OR(SUM($S44)=0,SUM($G44)=0),"",SUM($S44)/SUM($G44))</f>
        <v/>
      </c>
      <c r="X44" s="118" t="str">
        <f aca="false">IF(OR(SUM($G44)=0,SUM($I44)=0),"",SUM($I44)/SUM($G44))</f>
        <v/>
      </c>
      <c r="Y44" s="118" t="str">
        <f aca="false">IF(OR(SUM($G44)=0,SUM($J44)=0),"",SUM($J44)/SUM($G44))</f>
        <v/>
      </c>
      <c r="Z44" s="118" t="str">
        <f aca="false">IF(OR(SUM($G44)=0,SUM($K44)=0),"",SUM($K44)/SUM($G44))</f>
        <v/>
      </c>
      <c r="AA44" s="118" t="str">
        <f aca="false">IF(OR(SUM($G44)=0,SUM($L44)=0),"",SUM($L44)/SUM($G44))</f>
        <v/>
      </c>
      <c r="AB44" s="118" t="n">
        <v>30</v>
      </c>
      <c r="AC44" s="118"/>
      <c r="AD44" s="118"/>
      <c r="AE44" s="118" t="n">
        <v>17</v>
      </c>
      <c r="AF44" s="118" t="n">
        <v>21</v>
      </c>
      <c r="AG44" s="118" t="n">
        <v>28</v>
      </c>
      <c r="AH44" s="118" t="n">
        <v>19</v>
      </c>
      <c r="AI44" s="118" t="n">
        <v>24</v>
      </c>
      <c r="AJ44" s="118" t="n">
        <v>50</v>
      </c>
      <c r="AK44" s="118" t="str">
        <f aca="false">IF(SUM($G44)&lt;=0,"",SUM($V44:$AJ44))</f>
        <v/>
      </c>
      <c r="AL44" s="118" t="n">
        <v>11</v>
      </c>
      <c r="AM44" s="75" t="str">
        <f aca="false">IF(OR(SUM($AB44)&lt;=0,SUM($G44)&lt;=0),"",ROUND($G44*$AB44,0))</f>
        <v/>
      </c>
      <c r="AN44" s="75" t="str">
        <f aca="false">IF(SUM($AM44)&lt;=0,"",IF(SUM($AL44)&lt;=0,"ENTER VALID YIELD!",ROUND($AM44/$AL44,0)-$AM44))</f>
        <v/>
      </c>
      <c r="AO44" s="118"/>
      <c r="AP44" s="75" t="str">
        <f aca="false">IF(OR(SUM($AC44)&lt;=0,SUM($G44)&lt;=0),"",ROUND($G44*$AC44,0))</f>
        <v/>
      </c>
      <c r="AQ44" s="75" t="str">
        <f aca="false">IF(SUM($AP44)&lt;=0,"",IF(SUM($AO44)&lt;=0,"ENTER VALID YIELD!",ROUND($AP44/$AO44,0)-$AP44))</f>
        <v/>
      </c>
      <c r="AR44" s="118"/>
      <c r="AS44" s="75" t="str">
        <f aca="false">IF(OR(SUM($AD44)&lt;=0,SUM($G44)&lt;=0),"",ROUND($G44*$AD44,0))</f>
        <v/>
      </c>
      <c r="AT44" s="75" t="str">
        <f aca="false">IF(SUM($AS44)&lt;=0,"",IF(SUM($AR44)&lt;=0,"ENTER VALID YIELD!",ROUND($AS44/$AR44,0)-$AS44))</f>
        <v/>
      </c>
      <c r="AU44" s="118"/>
      <c r="AV44" s="75" t="str">
        <f aca="false">IF(OR(SUM($AE44)&lt;=0,SUM($G44)&lt;=0),"",ROUND($G44*$AE44,0))</f>
        <v/>
      </c>
      <c r="AW44" s="75" t="str">
        <f aca="false">IF(SUM($AV44)&lt;=0,"",IF(SUM($AU44)&lt;=0,"ENTER VALID YIELD!",ROUND($AV44/$AU44,0)-$AV44))</f>
        <v/>
      </c>
      <c r="AX44" s="118"/>
      <c r="AY44" s="75" t="str">
        <f aca="false">IF(OR(SUM($AF44)&lt;=0,SUM($G44)&lt;=0),"",ROUND($G44*$AF44,0))</f>
        <v/>
      </c>
      <c r="AZ44" s="75" t="str">
        <f aca="false">IF(SUM($AY44)&lt;=0,"",IF(SUM($AX44)&lt;=0,"ENTER VALID YIELD!",ROUND($AY44/$AX44,0)-$AY44))</f>
        <v/>
      </c>
      <c r="BA44" s="118" t="n">
        <v>24</v>
      </c>
      <c r="BB44" s="75" t="str">
        <f aca="false">IF(OR(SUM($AG44)&lt;=0,SUM($G44)&lt;=0),"",ROUND($G44*$AG44,0))</f>
        <v/>
      </c>
      <c r="BC44" s="75" t="str">
        <f aca="false">IF(SUM($BB44)&lt;=0,"",IF(SUM($BA44)&lt;=0,"ENTER VALID YIELD!",ROUND($BB44/$BA44,0)-$BB44))</f>
        <v/>
      </c>
      <c r="BD44" s="118"/>
      <c r="BE44" s="75" t="str">
        <f aca="false">IF(OR(SUM($AH44)&lt;=0,SUM($G44)&lt;=0),"",ROUND($G44*$AH44,0))</f>
        <v/>
      </c>
      <c r="BF44" s="75" t="str">
        <f aca="false">IF(SUM($BE44)&lt;=0,"",IF(SUM($BD44)&lt;=0,"ENTER VALID YIELD!",ROUND($BE44/$BD44,0)-$BE44))</f>
        <v/>
      </c>
      <c r="BG44" s="118" t="n">
        <v>25</v>
      </c>
      <c r="BH44" s="75" t="str">
        <f aca="false">IF(OR(SUM($AI44)&lt;=0,SUM($G44)&lt;=0),"",ROUND($G44*$AI44,0))</f>
        <v/>
      </c>
      <c r="BI44" s="75" t="str">
        <f aca="false">IF(SUM($BH44)&lt;=0,"",IF(SUM($BG44)&lt;=0,"ENTER VALID YIELD!",ROUND($BH44/$BG44,0)-$BH44))</f>
        <v/>
      </c>
      <c r="BJ44" s="118"/>
      <c r="BK44" s="75" t="str">
        <f aca="false">IF(OR(SUM($AJ44)&lt;=0,SUM($G44)&lt;=0),"",ROUND($G44*$AJ44,0))</f>
        <v/>
      </c>
      <c r="BL44" s="75" t="str">
        <f aca="false">IF(SUM($BK44)&lt;=0,"",IF(SUM($BJ44)&lt;=0,"ENTER VALID YIELD!",ROUND($BK44/$BJ44,0)-$BK44))</f>
        <v/>
      </c>
      <c r="BM44" s="73" t="str">
        <f aca="false">IF(SUM($G44)&lt;=0,"",$G44)</f>
        <v/>
      </c>
      <c r="BN44" s="73" t="str">
        <f aca="false">IF(SUM($G44)&lt;=0,"",SUM($I44:$L44,$Q44,$S44,$AM44,$AP44,$AS44,$AV44,$AY44,$BB44,$BE44,$BH44,$BK44))</f>
        <v/>
      </c>
      <c r="BO44" s="73" t="str">
        <f aca="false">IF(AND(SUM($BN44)&lt;=0,SUM($BM44)&lt;=0),"",SUM($BN44)-SUM($BM44))</f>
        <v/>
      </c>
      <c r="BP44" s="73" t="str">
        <f aca="false">_xlfn.IFNA(INDEX(PMTCT!$AF:$AF,MATCH($E44,PMTCT!$E:$E,0)),"")</f>
        <v/>
      </c>
      <c r="BQ44" s="73" t="str">
        <f aca="false">_xlfn.IFNA(INDEX(PMTCT!$AV:$AV,MATCH($E44,PMTCT!$E:$E,0)),"")</f>
        <v/>
      </c>
      <c r="BR44" s="73" t="n">
        <f aca="false">_xlfn.IFNA(INDEX(TB!$R:$R,MATCH($E44,TB!$E:$E,0)),"")</f>
        <v>11</v>
      </c>
      <c r="BS44" s="73" t="str">
        <f aca="false">_xlfn.IFNA(INDEX(VMMC!$AD:$AD,MATCH($E44,VMMC!$E:$E,0)),"")</f>
        <v/>
      </c>
      <c r="BT44" s="73" t="n">
        <f aca="false">IF(SUM($R44,$T44,$AN44,$AQ44,$AT44,$AW44,$AZ44,$BC44,$BF44,$BI44,$BL44,$BP44:$BS44)=0,"",SUM($R44,$T44,$AN44,$AQ44,$AT44,$AW44,$AZ44,$BC44,$BF44,$BI44,$BL44,$BP44:$BS44))</f>
        <v>11</v>
      </c>
      <c r="BU44" s="73" t="str">
        <f aca="false">IF(OR(SUM($BT44)=0,SUM($BN44)=0),"",SUM($BT44,$BN44))</f>
        <v/>
      </c>
      <c r="BV44" s="118" t="str">
        <f aca="false">IF(SUM($BU44)=0,"",SUM($BN44)/$BU44)</f>
        <v/>
      </c>
      <c r="BW44" s="73" t="n">
        <v>29</v>
      </c>
      <c r="BX44" s="118" t="n">
        <f aca="false">IF(OR($C44="01-04",$C44="05-09"),"",0%)</f>
        <v>0</v>
      </c>
      <c r="BY44" s="75" t="n">
        <f aca="false">IF(OR($C44="01-04",$C44="05-09",SUM($BW44)=0),"",ROUND($BW44*(1+$BX44),0))</f>
        <v>29</v>
      </c>
    </row>
    <row r="45" customFormat="false" ht="15" hidden="false" customHeight="false" outlineLevel="0" collapsed="false">
      <c r="A45" s="0" t="s">
        <v>142</v>
      </c>
      <c r="B45" s="0" t="s">
        <v>109</v>
      </c>
      <c r="C45" s="0" t="s">
        <v>66</v>
      </c>
      <c r="D45" s="0" t="s">
        <v>56</v>
      </c>
      <c r="E45" s="0" t="str">
        <f aca="false">B45&amp;"|"&amp;C45&amp;"|"&amp;D45</f>
        <v>Berea [#SNU] [#DREAMS] [wpg5evyl1OL]|20-24|Female</v>
      </c>
      <c r="F45" s="118" t="n">
        <f aca="false">_xlfn.IFNA(INDEX(Cascade!$Y:$Y,MATCH($E45,Cascade!$E:$E,0)),"")</f>
        <v>0.672982456140351</v>
      </c>
      <c r="G45" s="73" t="n">
        <f aca="false">_xlfn.IFNA(INDEX(Cascade!$BD:$BD,MATCH($E45,Cascade!$E:$E,0)),"")</f>
        <v>4</v>
      </c>
      <c r="H45" s="73" t="n">
        <f aca="false">_xlfn.IFNA(INDEX(Cascade!$BE:$BE,MATCH($E45,Cascade!$E:$E,0)),"")</f>
        <v>1</v>
      </c>
      <c r="I45" s="73" t="n">
        <f aca="false">_xlfn.IFNA(INDEX(Cascade!$BF:$BF,MATCH($E45,Cascade!$E:$E,0)),"")</f>
        <v>-1872</v>
      </c>
      <c r="J45" s="73" t="str">
        <f aca="false">_xlfn.IFNA(INDEX(Cascade!$BG:$BG,MATCH($E45,Cascade!$E:$E,0)),"")</f>
        <v/>
      </c>
      <c r="K45" s="73" t="n">
        <f aca="false">_xlfn.IFNA(INDEX(Cascade!$BH:$BH,MATCH($E45,Cascade!$E:$E,0)),"")</f>
        <v>-3136</v>
      </c>
      <c r="L45" s="73" t="str">
        <f aca="false">_xlfn.IFNA(INDEX(Cascade!$BI:$BI,MATCH($E45,Cascade!$E:$E,0)),"")</f>
        <v/>
      </c>
      <c r="M45" s="73" t="n">
        <f aca="false">_xlfn.IFNA(INDEX(Cascade!$BK:$BK,MATCH($E45,Cascade!$E:$E,0)),"")</f>
        <v>5011</v>
      </c>
      <c r="N45" s="118" t="n">
        <v>38</v>
      </c>
      <c r="O45" s="118" t="n">
        <v>46</v>
      </c>
      <c r="P45" s="118" t="n">
        <v>5</v>
      </c>
      <c r="Q45" s="75" t="n">
        <f aca="false">IF(OR(SUM($H45)=0,SUM($N45)=0,SUM($O45)=0),"",ROUND($H45*$N45,0))</f>
        <v>38</v>
      </c>
      <c r="R45" s="75" t="n">
        <f aca="false">IF(OR(SUM($Q45)=0,SUM($O45)=0),"",ROUND(SUM($Q45)/SUM($O45),0)-SUM($Q45))</f>
        <v>-37</v>
      </c>
      <c r="S45" s="75" t="n">
        <f aca="false">IF(SUM($H45)=0,"",SUM($H45)-SUM($Q45))</f>
        <v>-37</v>
      </c>
      <c r="T45" s="75" t="str">
        <f aca="false">IF(OR(SUM($S45)=0,$N45&gt;1,SUM($P45)&lt;=0),"",ROUND($S45/$P45,0)-$S45)</f>
        <v/>
      </c>
      <c r="U45" s="118" t="n">
        <f aca="false">IF(SUM($G45)&lt;=0,"",SUM($Q45,$S45)/$G45)</f>
        <v>0.25</v>
      </c>
      <c r="V45" s="118" t="n">
        <f aca="false">IF(OR(SUM($Q45)=0,SUM($G45)=0),"",SUM($Q45)/SUM($G45))</f>
        <v>9.5</v>
      </c>
      <c r="W45" s="118" t="n">
        <f aca="false">IF(OR(SUM($S45)=0,SUM($G45)=0),"",SUM($S45)/SUM($G45))</f>
        <v>-9.25</v>
      </c>
      <c r="X45" s="118" t="n">
        <f aca="false">IF(OR(SUM($G45)=0,SUM($I45)=0),"",SUM($I45)/SUM($G45))</f>
        <v>-468</v>
      </c>
      <c r="Y45" s="118" t="str">
        <f aca="false">IF(OR(SUM($G45)=0,SUM($J45)=0),"",SUM($J45)/SUM($G45))</f>
        <v/>
      </c>
      <c r="Z45" s="118" t="n">
        <f aca="false">IF(OR(SUM($G45)=0,SUM($K45)=0),"",SUM($K45)/SUM($G45))</f>
        <v>-784</v>
      </c>
      <c r="AA45" s="118" t="str">
        <f aca="false">IF(OR(SUM($G45)=0,SUM($L45)=0),"",SUM($L45)/SUM($G45))</f>
        <v/>
      </c>
      <c r="AB45" s="118" t="n">
        <v>49</v>
      </c>
      <c r="AC45" s="118"/>
      <c r="AD45" s="118"/>
      <c r="AE45" s="118" t="n">
        <v>44</v>
      </c>
      <c r="AF45" s="118" t="n">
        <v>36</v>
      </c>
      <c r="AG45" s="118" t="n">
        <v>18</v>
      </c>
      <c r="AH45" s="118" t="n">
        <v>11</v>
      </c>
      <c r="AI45" s="118" t="n">
        <v>44</v>
      </c>
      <c r="AJ45" s="118" t="n">
        <v>18</v>
      </c>
      <c r="AK45" s="118" t="n">
        <f aca="false">IF(SUM($G45)&lt;=0,"",SUM($V45:$AJ45))</f>
        <v>-1031.75</v>
      </c>
      <c r="AL45" s="118" t="n">
        <v>22</v>
      </c>
      <c r="AM45" s="75" t="n">
        <f aca="false">IF(OR(SUM($AB45)&lt;=0,SUM($G45)&lt;=0),"",ROUND($G45*$AB45,0))</f>
        <v>196</v>
      </c>
      <c r="AN45" s="75" t="n">
        <f aca="false">IF(SUM($AM45)&lt;=0,"",IF(SUM($AL45)&lt;=0,"ENTER VALID YIELD!",ROUND($AM45/$AL45,0)-$AM45))</f>
        <v>-187</v>
      </c>
      <c r="AO45" s="118"/>
      <c r="AP45" s="75" t="str">
        <f aca="false">IF(OR(SUM($AC45)&lt;=0,SUM($G45)&lt;=0),"",ROUND($G45*$AC45,0))</f>
        <v/>
      </c>
      <c r="AQ45" s="75" t="str">
        <f aca="false">IF(SUM($AP45)&lt;=0,"",IF(SUM($AO45)&lt;=0,"ENTER VALID YIELD!",ROUND($AP45/$AO45,0)-$AP45))</f>
        <v/>
      </c>
      <c r="AR45" s="118"/>
      <c r="AS45" s="75" t="str">
        <f aca="false">IF(OR(SUM($AD45)&lt;=0,SUM($G45)&lt;=0),"",ROUND($G45*$AD45,0))</f>
        <v/>
      </c>
      <c r="AT45" s="75" t="str">
        <f aca="false">IF(SUM($AS45)&lt;=0,"",IF(SUM($AR45)&lt;=0,"ENTER VALID YIELD!",ROUND($AS45/$AR45,0)-$AS45))</f>
        <v/>
      </c>
      <c r="AU45" s="118"/>
      <c r="AV45" s="75" t="n">
        <f aca="false">IF(OR(SUM($AE45)&lt;=0,SUM($G45)&lt;=0),"",ROUND($G45*$AE45,0))</f>
        <v>176</v>
      </c>
      <c r="AW45" s="75" t="str">
        <f aca="false">IF(SUM($AV45)&lt;=0,"",IF(SUM($AU45)&lt;=0,"ENTER VALID YIELD!",ROUND($AV45/$AU45,0)-$AV45))</f>
        <v>ENTER VALID YIELD!</v>
      </c>
      <c r="AX45" s="118"/>
      <c r="AY45" s="75" t="n">
        <f aca="false">IF(OR(SUM($AF45)&lt;=0,SUM($G45)&lt;=0),"",ROUND($G45*$AF45,0))</f>
        <v>144</v>
      </c>
      <c r="AZ45" s="75" t="str">
        <f aca="false">IF(SUM($AY45)&lt;=0,"",IF(SUM($AX45)&lt;=0,"ENTER VALID YIELD!",ROUND($AY45/$AX45,0)-$AY45))</f>
        <v>ENTER VALID YIELD!</v>
      </c>
      <c r="BA45" s="118" t="n">
        <v>12</v>
      </c>
      <c r="BB45" s="75" t="n">
        <f aca="false">IF(OR(SUM($AG45)&lt;=0,SUM($G45)&lt;=0),"",ROUND($G45*$AG45,0))</f>
        <v>72</v>
      </c>
      <c r="BC45" s="75" t="n">
        <f aca="false">IF(SUM($BB45)&lt;=0,"",IF(SUM($BA45)&lt;=0,"ENTER VALID YIELD!",ROUND($BB45/$BA45,0)-$BB45))</f>
        <v>-66</v>
      </c>
      <c r="BD45" s="118"/>
      <c r="BE45" s="75" t="n">
        <f aca="false">IF(OR(SUM($AH45)&lt;=0,SUM($G45)&lt;=0),"",ROUND($G45*$AH45,0))</f>
        <v>44</v>
      </c>
      <c r="BF45" s="75" t="str">
        <f aca="false">IF(SUM($BE45)&lt;=0,"",IF(SUM($BD45)&lt;=0,"ENTER VALID YIELD!",ROUND($BE45/$BD45,0)-$BE45))</f>
        <v>ENTER VALID YIELD!</v>
      </c>
      <c r="BG45" s="118" t="n">
        <v>27</v>
      </c>
      <c r="BH45" s="75" t="n">
        <f aca="false">IF(OR(SUM($AI45)&lt;=0,SUM($G45)&lt;=0),"",ROUND($G45*$AI45,0))</f>
        <v>176</v>
      </c>
      <c r="BI45" s="75" t="n">
        <f aca="false">IF(SUM($BH45)&lt;=0,"",IF(SUM($BG45)&lt;=0,"ENTER VALID YIELD!",ROUND($BH45/$BG45,0)-$BH45))</f>
        <v>-169</v>
      </c>
      <c r="BJ45" s="118" t="n">
        <v>43</v>
      </c>
      <c r="BK45" s="75" t="n">
        <f aca="false">IF(OR(SUM($AJ45)&lt;=0,SUM($G45)&lt;=0),"",ROUND($G45*$AJ45,0))</f>
        <v>72</v>
      </c>
      <c r="BL45" s="75" t="n">
        <f aca="false">IF(SUM($BK45)&lt;=0,"",IF(SUM($BJ45)&lt;=0,"ENTER VALID YIELD!",ROUND($BK45/$BJ45,0)-$BK45))</f>
        <v>-70</v>
      </c>
      <c r="BM45" s="73" t="n">
        <f aca="false">IF(SUM($G45)&lt;=0,"",$G45)</f>
        <v>4</v>
      </c>
      <c r="BN45" s="73" t="n">
        <f aca="false">IF(SUM($G45)&lt;=0,"",SUM($I45:$L45,$Q45,$S45,$AM45,$AP45,$AS45,$AV45,$AY45,$BB45,$BE45,$BH45,$BK45))</f>
        <v>-4127</v>
      </c>
      <c r="BO45" s="73" t="n">
        <f aca="false">IF(AND(SUM($BN45)&lt;=0,SUM($BM45)&lt;=0),"",SUM($BN45)-SUM($BM45))</f>
        <v>-4131</v>
      </c>
      <c r="BP45" s="73" t="n">
        <f aca="false">_xlfn.IFNA(INDEX(PMTCT!$AF:$AF,MATCH($E45,PMTCT!$E:$E,0)),"")</f>
        <v>1768</v>
      </c>
      <c r="BQ45" s="73" t="str">
        <f aca="false">_xlfn.IFNA(INDEX(PMTCT!$AV:$AV,MATCH($E45,PMTCT!$E:$E,0)),"")</f>
        <v/>
      </c>
      <c r="BR45" s="73" t="n">
        <f aca="false">_xlfn.IFNA(INDEX(TB!$R:$R,MATCH($E45,TB!$E:$E,0)),"")</f>
        <v>2912</v>
      </c>
      <c r="BS45" s="73" t="str">
        <f aca="false">_xlfn.IFNA(INDEX(VMMC!$AD:$AD,MATCH($E45,VMMC!$E:$E,0)),"")</f>
        <v/>
      </c>
      <c r="BT45" s="73" t="n">
        <f aca="false">IF(SUM($R45,$T45,$AN45,$AQ45,$AT45,$AW45,$AZ45,$BC45,$BF45,$BI45,$BL45,$BP45:$BS45)=0,"",SUM($R45,$T45,$AN45,$AQ45,$AT45,$AW45,$AZ45,$BC45,$BF45,$BI45,$BL45,$BP45:$BS45))</f>
        <v>4151</v>
      </c>
      <c r="BU45" s="73" t="n">
        <f aca="false">IF(OR(SUM($BT45)=0,SUM($BN45)=0),"",SUM($BT45,$BN45))</f>
        <v>24</v>
      </c>
      <c r="BV45" s="118" t="n">
        <f aca="false">IF(SUM($BU45)=0,"",SUM($BN45)/$BU45)</f>
        <v>-171.958333333333</v>
      </c>
      <c r="BW45" s="73" t="n">
        <v>38</v>
      </c>
      <c r="BX45" s="118" t="n">
        <f aca="false">IF(OR($C45="01-04",$C45="05-09"),"",0%)</f>
        <v>0</v>
      </c>
      <c r="BY45" s="75" t="n">
        <f aca="false">IF(OR($C45="01-04",$C45="05-09",SUM($BW45)=0),"",ROUND($BW45*(1+$BX45),0))</f>
        <v>38</v>
      </c>
    </row>
    <row r="46" customFormat="false" ht="15" hidden="false" customHeight="false" outlineLevel="0" collapsed="false">
      <c r="A46" s="0" t="s">
        <v>142</v>
      </c>
      <c r="B46" s="0" t="s">
        <v>109</v>
      </c>
      <c r="C46" s="0" t="s">
        <v>66</v>
      </c>
      <c r="D46" s="0" t="s">
        <v>58</v>
      </c>
      <c r="E46" s="0" t="str">
        <f aca="false">B46&amp;"|"&amp;C46&amp;"|"&amp;D46</f>
        <v>Berea [#SNU] [#DREAMS] [wpg5evyl1OL]|20-24|Male</v>
      </c>
      <c r="F46" s="118" t="n">
        <f aca="false">_xlfn.IFNA(INDEX(Cascade!$Y:$Y,MATCH($E46,Cascade!$E:$E,0)),"")</f>
        <v>0.621212121212121</v>
      </c>
      <c r="G46" s="73" t="n">
        <f aca="false">_xlfn.IFNA(INDEX(Cascade!$BD:$BD,MATCH($E46,Cascade!$E:$E,0)),"")</f>
        <v>3</v>
      </c>
      <c r="H46" s="73" t="n">
        <f aca="false">_xlfn.IFNA(INDEX(Cascade!$BE:$BE,MATCH($E46,Cascade!$E:$E,0)),"")</f>
        <v>1</v>
      </c>
      <c r="I46" s="73" t="str">
        <f aca="false">_xlfn.IFNA(INDEX(Cascade!$BF:$BF,MATCH($E46,Cascade!$E:$E,0)),"")</f>
        <v/>
      </c>
      <c r="J46" s="73" t="str">
        <f aca="false">_xlfn.IFNA(INDEX(Cascade!$BG:$BG,MATCH($E46,Cascade!$E:$E,0)),"")</f>
        <v/>
      </c>
      <c r="K46" s="73" t="n">
        <f aca="false">_xlfn.IFNA(INDEX(Cascade!$BH:$BH,MATCH($E46,Cascade!$E:$E,0)),"")</f>
        <v>-14144</v>
      </c>
      <c r="L46" s="73" t="str">
        <f aca="false">_xlfn.IFNA(INDEX(Cascade!$BI:$BI,MATCH($E46,Cascade!$E:$E,0)),"")</f>
        <v/>
      </c>
      <c r="M46" s="73" t="n">
        <f aca="false">_xlfn.IFNA(INDEX(Cascade!$BK:$BK,MATCH($E46,Cascade!$E:$E,0)),"")</f>
        <v>14146</v>
      </c>
      <c r="N46" s="118" t="n">
        <v>12</v>
      </c>
      <c r="O46" s="118" t="n">
        <v>16</v>
      </c>
      <c r="P46" s="118" t="n">
        <v>4</v>
      </c>
      <c r="Q46" s="75" t="n">
        <f aca="false">IF(OR(SUM($H46)=0,SUM($N46)=0,SUM($O46)=0),"",ROUND($H46*$N46,0))</f>
        <v>12</v>
      </c>
      <c r="R46" s="75" t="n">
        <f aca="false">IF(OR(SUM($Q46)=0,SUM($O46)=0),"",ROUND(SUM($Q46)/SUM($O46),0)-SUM($Q46))</f>
        <v>-11</v>
      </c>
      <c r="S46" s="75" t="n">
        <f aca="false">IF(SUM($H46)=0,"",SUM($H46)-SUM($Q46))</f>
        <v>-11</v>
      </c>
      <c r="T46" s="75" t="str">
        <f aca="false">IF(OR(SUM($S46)=0,$N46&gt;1,SUM($P46)&lt;=0),"",ROUND($S46/$P46,0)-$S46)</f>
        <v/>
      </c>
      <c r="U46" s="118" t="n">
        <f aca="false">IF(SUM($G46)&lt;=0,"",SUM($Q46,$S46)/$G46)</f>
        <v>0.333333333333333</v>
      </c>
      <c r="V46" s="118" t="n">
        <f aca="false">IF(OR(SUM($Q46)=0,SUM($G46)=0),"",SUM($Q46)/SUM($G46))</f>
        <v>4</v>
      </c>
      <c r="W46" s="118" t="n">
        <f aca="false">IF(OR(SUM($S46)=0,SUM($G46)=0),"",SUM($S46)/SUM($G46))</f>
        <v>-3.66666666666667</v>
      </c>
      <c r="X46" s="118" t="str">
        <f aca="false">IF(OR(SUM($G46)=0,SUM($I46)=0),"",SUM($I46)/SUM($G46))</f>
        <v/>
      </c>
      <c r="Y46" s="118" t="str">
        <f aca="false">IF(OR(SUM($G46)=0,SUM($J46)=0),"",SUM($J46)/SUM($G46))</f>
        <v/>
      </c>
      <c r="Z46" s="118" t="n">
        <f aca="false">IF(OR(SUM($G46)=0,SUM($K46)=0),"",SUM($K46)/SUM($G46))</f>
        <v>-4714.66666666667</v>
      </c>
      <c r="AA46" s="118" t="str">
        <f aca="false">IF(OR(SUM($G46)=0,SUM($L46)=0),"",SUM($L46)/SUM($G46))</f>
        <v/>
      </c>
      <c r="AB46" s="118" t="n">
        <v>47</v>
      </c>
      <c r="AC46" s="118"/>
      <c r="AD46" s="118"/>
      <c r="AE46" s="118" t="n">
        <v>44</v>
      </c>
      <c r="AF46" s="118" t="n">
        <v>27</v>
      </c>
      <c r="AG46" s="118" t="n">
        <v>6</v>
      </c>
      <c r="AH46" s="118" t="n">
        <v>41</v>
      </c>
      <c r="AI46" s="118" t="n">
        <v>1</v>
      </c>
      <c r="AJ46" s="118" t="n">
        <v>19</v>
      </c>
      <c r="AK46" s="118" t="n">
        <f aca="false">IF(SUM($G46)&lt;=0,"",SUM($V46:$AJ46))</f>
        <v>-4529.33333333333</v>
      </c>
      <c r="AL46" s="118"/>
      <c r="AM46" s="75" t="n">
        <f aca="false">IF(OR(SUM($AB46)&lt;=0,SUM($G46)&lt;=0),"",ROUND($G46*$AB46,0))</f>
        <v>141</v>
      </c>
      <c r="AN46" s="75" t="str">
        <f aca="false">IF(SUM($AM46)&lt;=0,"",IF(SUM($AL46)&lt;=0,"ENTER VALID YIELD!",ROUND($AM46/$AL46,0)-$AM46))</f>
        <v>ENTER VALID YIELD!</v>
      </c>
      <c r="AO46" s="118"/>
      <c r="AP46" s="75" t="str">
        <f aca="false">IF(OR(SUM($AC46)&lt;=0,SUM($G46)&lt;=0),"",ROUND($G46*$AC46,0))</f>
        <v/>
      </c>
      <c r="AQ46" s="75" t="str">
        <f aca="false">IF(SUM($AP46)&lt;=0,"",IF(SUM($AO46)&lt;=0,"ENTER VALID YIELD!",ROUND($AP46/$AO46,0)-$AP46))</f>
        <v/>
      </c>
      <c r="AR46" s="118"/>
      <c r="AS46" s="75" t="str">
        <f aca="false">IF(OR(SUM($AD46)&lt;=0,SUM($G46)&lt;=0),"",ROUND($G46*$AD46,0))</f>
        <v/>
      </c>
      <c r="AT46" s="75" t="str">
        <f aca="false">IF(SUM($AS46)&lt;=0,"",IF(SUM($AR46)&lt;=0,"ENTER VALID YIELD!",ROUND($AS46/$AR46,0)-$AS46))</f>
        <v/>
      </c>
      <c r="AU46" s="118"/>
      <c r="AV46" s="75" t="n">
        <f aca="false">IF(OR(SUM($AE46)&lt;=0,SUM($G46)&lt;=0),"",ROUND($G46*$AE46,0))</f>
        <v>132</v>
      </c>
      <c r="AW46" s="75" t="str">
        <f aca="false">IF(SUM($AV46)&lt;=0,"",IF(SUM($AU46)&lt;=0,"ENTER VALID YIELD!",ROUND($AV46/$AU46,0)-$AV46))</f>
        <v>ENTER VALID YIELD!</v>
      </c>
      <c r="AX46" s="118"/>
      <c r="AY46" s="75" t="n">
        <f aca="false">IF(OR(SUM($AF46)&lt;=0,SUM($G46)&lt;=0),"",ROUND($G46*$AF46,0))</f>
        <v>81</v>
      </c>
      <c r="AZ46" s="75" t="str">
        <f aca="false">IF(SUM($AY46)&lt;=0,"",IF(SUM($AX46)&lt;=0,"ENTER VALID YIELD!",ROUND($AY46/$AX46,0)-$AY46))</f>
        <v>ENTER VALID YIELD!</v>
      </c>
      <c r="BA46" s="118" t="n">
        <v>1</v>
      </c>
      <c r="BB46" s="75" t="n">
        <f aca="false">IF(OR(SUM($AG46)&lt;=0,SUM($G46)&lt;=0),"",ROUND($G46*$AG46,0))</f>
        <v>18</v>
      </c>
      <c r="BC46" s="75" t="n">
        <f aca="false">IF(SUM($BB46)&lt;=0,"",IF(SUM($BA46)&lt;=0,"ENTER VALID YIELD!",ROUND($BB46/$BA46,0)-$BB46))</f>
        <v>0</v>
      </c>
      <c r="BD46" s="118"/>
      <c r="BE46" s="75" t="n">
        <f aca="false">IF(OR(SUM($AH46)&lt;=0,SUM($G46)&lt;=0),"",ROUND($G46*$AH46,0))</f>
        <v>123</v>
      </c>
      <c r="BF46" s="75" t="str">
        <f aca="false">IF(SUM($BE46)&lt;=0,"",IF(SUM($BD46)&lt;=0,"ENTER VALID YIELD!",ROUND($BE46/$BD46,0)-$BE46))</f>
        <v>ENTER VALID YIELD!</v>
      </c>
      <c r="BG46" s="118" t="n">
        <v>43</v>
      </c>
      <c r="BH46" s="75" t="n">
        <f aca="false">IF(OR(SUM($AI46)&lt;=0,SUM($G46)&lt;=0),"",ROUND($G46*$AI46,0))</f>
        <v>3</v>
      </c>
      <c r="BI46" s="75" t="n">
        <f aca="false">IF(SUM($BH46)&lt;=0,"",IF(SUM($BG46)&lt;=0,"ENTER VALID YIELD!",ROUND($BH46/$BG46,0)-$BH46))</f>
        <v>-3</v>
      </c>
      <c r="BJ46" s="118" t="n">
        <v>30</v>
      </c>
      <c r="BK46" s="75" t="n">
        <f aca="false">IF(OR(SUM($AJ46)&lt;=0,SUM($G46)&lt;=0),"",ROUND($G46*$AJ46,0))</f>
        <v>57</v>
      </c>
      <c r="BL46" s="75" t="n">
        <f aca="false">IF(SUM($BK46)&lt;=0,"",IF(SUM($BJ46)&lt;=0,"ENTER VALID YIELD!",ROUND($BK46/$BJ46,0)-$BK46))</f>
        <v>-55</v>
      </c>
      <c r="BM46" s="73" t="n">
        <f aca="false">IF(SUM($G46)&lt;=0,"",$G46)</f>
        <v>3</v>
      </c>
      <c r="BN46" s="73" t="n">
        <f aca="false">IF(SUM($G46)&lt;=0,"",SUM($I46:$L46,$Q46,$S46,$AM46,$AP46,$AS46,$AV46,$AY46,$BB46,$BE46,$BH46,$BK46))</f>
        <v>-13588</v>
      </c>
      <c r="BO46" s="73" t="n">
        <f aca="false">IF(AND(SUM($BN46)&lt;=0,SUM($BM46)&lt;=0),"",SUM($BN46)-SUM($BM46))</f>
        <v>-13591</v>
      </c>
      <c r="BP46" s="73" t="str">
        <f aca="false">_xlfn.IFNA(INDEX(PMTCT!$AF:$AF,MATCH($E46,PMTCT!$E:$E,0)),"")</f>
        <v/>
      </c>
      <c r="BQ46" s="73" t="str">
        <f aca="false">_xlfn.IFNA(INDEX(PMTCT!$AV:$AV,MATCH($E46,PMTCT!$E:$E,0)),"")</f>
        <v/>
      </c>
      <c r="BR46" s="73" t="n">
        <f aca="false">_xlfn.IFNA(INDEX(TB!$R:$R,MATCH($E46,TB!$E:$E,0)),"")</f>
        <v>13056</v>
      </c>
      <c r="BS46" s="73" t="str">
        <f aca="false">_xlfn.IFNA(INDEX(VMMC!$AD:$AD,MATCH($E46,VMMC!$E:$E,0)),"")</f>
        <v/>
      </c>
      <c r="BT46" s="73" t="n">
        <f aca="false">IF(SUM($R46,$T46,$AN46,$AQ46,$AT46,$AW46,$AZ46,$BC46,$BF46,$BI46,$BL46,$BP46:$BS46)=0,"",SUM($R46,$T46,$AN46,$AQ46,$AT46,$AW46,$AZ46,$BC46,$BF46,$BI46,$BL46,$BP46:$BS46))</f>
        <v>12987</v>
      </c>
      <c r="BU46" s="73" t="n">
        <f aca="false">IF(OR(SUM($BT46)=0,SUM($BN46)=0),"",SUM($BT46,$BN46))</f>
        <v>-601</v>
      </c>
      <c r="BV46" s="118" t="n">
        <f aca="false">IF(SUM($BU46)=0,"",SUM($BN46)/$BU46)</f>
        <v>22.6089850249584</v>
      </c>
      <c r="BW46" s="73" t="n">
        <v>30</v>
      </c>
      <c r="BX46" s="118" t="n">
        <f aca="false">IF(OR($C46="01-04",$C46="05-09"),"",0%)</f>
        <v>0</v>
      </c>
      <c r="BY46" s="75" t="n">
        <f aca="false">IF(OR($C46="01-04",$C46="05-09",SUM($BW46)=0),"",ROUND($BW46*(1+$BX46),0))</f>
        <v>30</v>
      </c>
    </row>
    <row r="47" customFormat="false" ht="15" hidden="false" customHeight="false" outlineLevel="0" collapsed="false">
      <c r="A47" s="0" t="s">
        <v>142</v>
      </c>
      <c r="B47" s="0" t="s">
        <v>109</v>
      </c>
      <c r="C47" s="0" t="s">
        <v>69</v>
      </c>
      <c r="D47" s="0" t="s">
        <v>56</v>
      </c>
      <c r="E47" s="0" t="str">
        <f aca="false">B47&amp;"|"&amp;C47&amp;"|"&amp;D47</f>
        <v>Berea [#SNU] [#DREAMS] [wpg5evyl1OL]|25-29|Female</v>
      </c>
      <c r="F47" s="118" t="n">
        <f aca="false">_xlfn.IFNA(INDEX(Cascade!$Y:$Y,MATCH($E47,Cascade!$E:$E,0)),"")</f>
        <v>0.680796166605234</v>
      </c>
      <c r="G47" s="73" t="n">
        <f aca="false">_xlfn.IFNA(INDEX(Cascade!$BD:$BD,MATCH($E47,Cascade!$E:$E,0)),"")</f>
        <v>1</v>
      </c>
      <c r="H47" s="73" t="n">
        <f aca="false">_xlfn.IFNA(INDEX(Cascade!$BE:$BE,MATCH($E47,Cascade!$E:$E,0)),"")</f>
        <v>0</v>
      </c>
      <c r="I47" s="73" t="n">
        <f aca="false">_xlfn.IFNA(INDEX(Cascade!$BF:$BF,MATCH($E47,Cascade!$E:$E,0)),"")</f>
        <v>-51084</v>
      </c>
      <c r="J47" s="73" t="str">
        <f aca="false">_xlfn.IFNA(INDEX(Cascade!$BG:$BG,MATCH($E47,Cascade!$E:$E,0)),"")</f>
        <v/>
      </c>
      <c r="K47" s="73" t="n">
        <f aca="false">_xlfn.IFNA(INDEX(Cascade!$BH:$BH,MATCH($E47,Cascade!$E:$E,0)),"")</f>
        <v>-16660</v>
      </c>
      <c r="L47" s="73" t="str">
        <f aca="false">_xlfn.IFNA(INDEX(Cascade!$BI:$BI,MATCH($E47,Cascade!$E:$E,0)),"")</f>
        <v/>
      </c>
      <c r="M47" s="73" t="n">
        <f aca="false">_xlfn.IFNA(INDEX(Cascade!$BK:$BK,MATCH($E47,Cascade!$E:$E,0)),"")</f>
        <v>67745</v>
      </c>
      <c r="N47" s="118" t="n">
        <v>33</v>
      </c>
      <c r="O47" s="118" t="n">
        <v>49</v>
      </c>
      <c r="P47" s="118" t="n">
        <v>14</v>
      </c>
      <c r="Q47" s="75" t="str">
        <f aca="false">IF(OR(SUM($H47)=0,SUM($N47)=0,SUM($O47)=0),"",ROUND($H47*$N47,0))</f>
        <v/>
      </c>
      <c r="R47" s="75" t="str">
        <f aca="false">IF(OR(SUM($Q47)=0,SUM($O47)=0),"",ROUND(SUM($Q47)/SUM($O47),0)-SUM($Q47))</f>
        <v/>
      </c>
      <c r="S47" s="75" t="str">
        <f aca="false">IF(SUM($H47)=0,"",SUM($H47)-SUM($Q47))</f>
        <v/>
      </c>
      <c r="T47" s="75" t="str">
        <f aca="false">IF(OR(SUM($S47)=0,$N47&gt;1,SUM($P47)&lt;=0),"",ROUND($S47/$P47,0)-$S47)</f>
        <v/>
      </c>
      <c r="U47" s="118" t="n">
        <f aca="false">IF(SUM($G47)&lt;=0,"",SUM($Q47,$S47)/$G47)</f>
        <v>0</v>
      </c>
      <c r="V47" s="118" t="str">
        <f aca="false">IF(OR(SUM($Q47)=0,SUM($G47)=0),"",SUM($Q47)/SUM($G47))</f>
        <v/>
      </c>
      <c r="W47" s="118" t="str">
        <f aca="false">IF(OR(SUM($S47)=0,SUM($G47)=0),"",SUM($S47)/SUM($G47))</f>
        <v/>
      </c>
      <c r="X47" s="118" t="n">
        <f aca="false">IF(OR(SUM($G47)=0,SUM($I47)=0),"",SUM($I47)/SUM($G47))</f>
        <v>-51084</v>
      </c>
      <c r="Y47" s="118" t="str">
        <f aca="false">IF(OR(SUM($G47)=0,SUM($J47)=0),"",SUM($J47)/SUM($G47))</f>
        <v/>
      </c>
      <c r="Z47" s="118" t="n">
        <f aca="false">IF(OR(SUM($G47)=0,SUM($K47)=0),"",SUM($K47)/SUM($G47))</f>
        <v>-16660</v>
      </c>
      <c r="AA47" s="118" t="str">
        <f aca="false">IF(OR(SUM($G47)=0,SUM($L47)=0),"",SUM($L47)/SUM($G47))</f>
        <v/>
      </c>
      <c r="AB47" s="118" t="n">
        <v>4</v>
      </c>
      <c r="AC47" s="118"/>
      <c r="AD47" s="118"/>
      <c r="AE47" s="118" t="n">
        <v>33</v>
      </c>
      <c r="AF47" s="118" t="n">
        <v>17</v>
      </c>
      <c r="AG47" s="118" t="n">
        <v>23</v>
      </c>
      <c r="AH47" s="118" t="n">
        <v>19</v>
      </c>
      <c r="AI47" s="118" t="n">
        <v>17</v>
      </c>
      <c r="AJ47" s="118" t="n">
        <v>22</v>
      </c>
      <c r="AK47" s="118" t="n">
        <f aca="false">IF(SUM($G47)&lt;=0,"",SUM($V47:$AJ47))</f>
        <v>-67609</v>
      </c>
      <c r="AL47" s="118" t="n">
        <v>48</v>
      </c>
      <c r="AM47" s="75" t="n">
        <f aca="false">IF(OR(SUM($AB47)&lt;=0,SUM($G47)&lt;=0),"",ROUND($G47*$AB47,0))</f>
        <v>4</v>
      </c>
      <c r="AN47" s="75" t="n">
        <f aca="false">IF(SUM($AM47)&lt;=0,"",IF(SUM($AL47)&lt;=0,"ENTER VALID YIELD!",ROUND($AM47/$AL47,0)-$AM47))</f>
        <v>-4</v>
      </c>
      <c r="AO47" s="118"/>
      <c r="AP47" s="75" t="str">
        <f aca="false">IF(OR(SUM($AC47)&lt;=0,SUM($G47)&lt;=0),"",ROUND($G47*$AC47,0))</f>
        <v/>
      </c>
      <c r="AQ47" s="75" t="str">
        <f aca="false">IF(SUM($AP47)&lt;=0,"",IF(SUM($AO47)&lt;=0,"ENTER VALID YIELD!",ROUND($AP47/$AO47,0)-$AP47))</f>
        <v/>
      </c>
      <c r="AR47" s="118"/>
      <c r="AS47" s="75" t="str">
        <f aca="false">IF(OR(SUM($AD47)&lt;=0,SUM($G47)&lt;=0),"",ROUND($G47*$AD47,0))</f>
        <v/>
      </c>
      <c r="AT47" s="75" t="str">
        <f aca="false">IF(SUM($AS47)&lt;=0,"",IF(SUM($AR47)&lt;=0,"ENTER VALID YIELD!",ROUND($AS47/$AR47,0)-$AS47))</f>
        <v/>
      </c>
      <c r="AU47" s="118"/>
      <c r="AV47" s="75" t="n">
        <f aca="false">IF(OR(SUM($AE47)&lt;=0,SUM($G47)&lt;=0),"",ROUND($G47*$AE47,0))</f>
        <v>33</v>
      </c>
      <c r="AW47" s="75" t="str">
        <f aca="false">IF(SUM($AV47)&lt;=0,"",IF(SUM($AU47)&lt;=0,"ENTER VALID YIELD!",ROUND($AV47/$AU47,0)-$AV47))</f>
        <v>ENTER VALID YIELD!</v>
      </c>
      <c r="AX47" s="118"/>
      <c r="AY47" s="75" t="n">
        <f aca="false">IF(OR(SUM($AF47)&lt;=0,SUM($G47)&lt;=0),"",ROUND($G47*$AF47,0))</f>
        <v>17</v>
      </c>
      <c r="AZ47" s="75" t="str">
        <f aca="false">IF(SUM($AY47)&lt;=0,"",IF(SUM($AX47)&lt;=0,"ENTER VALID YIELD!",ROUND($AY47/$AX47,0)-$AY47))</f>
        <v>ENTER VALID YIELD!</v>
      </c>
      <c r="BA47" s="118" t="n">
        <v>42</v>
      </c>
      <c r="BB47" s="75" t="n">
        <f aca="false">IF(OR(SUM($AG47)&lt;=0,SUM($G47)&lt;=0),"",ROUND($G47*$AG47,0))</f>
        <v>23</v>
      </c>
      <c r="BC47" s="75" t="n">
        <f aca="false">IF(SUM($BB47)&lt;=0,"",IF(SUM($BA47)&lt;=0,"ENTER VALID YIELD!",ROUND($BB47/$BA47,0)-$BB47))</f>
        <v>-22</v>
      </c>
      <c r="BD47" s="118"/>
      <c r="BE47" s="75" t="n">
        <f aca="false">IF(OR(SUM($AH47)&lt;=0,SUM($G47)&lt;=0),"",ROUND($G47*$AH47,0))</f>
        <v>19</v>
      </c>
      <c r="BF47" s="75" t="str">
        <f aca="false">IF(SUM($BE47)&lt;=0,"",IF(SUM($BD47)&lt;=0,"ENTER VALID YIELD!",ROUND($BE47/$BD47,0)-$BE47))</f>
        <v>ENTER VALID YIELD!</v>
      </c>
      <c r="BG47" s="118" t="n">
        <v>5</v>
      </c>
      <c r="BH47" s="75" t="n">
        <f aca="false">IF(OR(SUM($AI47)&lt;=0,SUM($G47)&lt;=0),"",ROUND($G47*$AI47,0))</f>
        <v>17</v>
      </c>
      <c r="BI47" s="75" t="n">
        <f aca="false">IF(SUM($BH47)&lt;=0,"",IF(SUM($BG47)&lt;=0,"ENTER VALID YIELD!",ROUND($BH47/$BG47,0)-$BH47))</f>
        <v>-14</v>
      </c>
      <c r="BJ47" s="118" t="n">
        <v>41</v>
      </c>
      <c r="BK47" s="75" t="n">
        <f aca="false">IF(OR(SUM($AJ47)&lt;=0,SUM($G47)&lt;=0),"",ROUND($G47*$AJ47,0))</f>
        <v>22</v>
      </c>
      <c r="BL47" s="75" t="n">
        <f aca="false">IF(SUM($BK47)&lt;=0,"",IF(SUM($BJ47)&lt;=0,"ENTER VALID YIELD!",ROUND($BK47/$BJ47,0)-$BK47))</f>
        <v>-21</v>
      </c>
      <c r="BM47" s="73" t="n">
        <f aca="false">IF(SUM($G47)&lt;=0,"",$G47)</f>
        <v>1</v>
      </c>
      <c r="BN47" s="73" t="n">
        <f aca="false">IF(SUM($G47)&lt;=0,"",SUM($I47:$L47,$Q47,$S47,$AM47,$AP47,$AS47,$AV47,$AY47,$BB47,$BE47,$BH47,$BK47))</f>
        <v>-67609</v>
      </c>
      <c r="BO47" s="73" t="n">
        <f aca="false">IF(AND(SUM($BN47)&lt;=0,SUM($BM47)&lt;=0),"",SUM($BN47)-SUM($BM47))</f>
        <v>-67610</v>
      </c>
      <c r="BP47" s="73" t="n">
        <f aca="false">_xlfn.IFNA(INDEX(PMTCT!$AF:$AF,MATCH($E47,PMTCT!$E:$E,0)),"")</f>
        <v>49665</v>
      </c>
      <c r="BQ47" s="73" t="str">
        <f aca="false">_xlfn.IFNA(INDEX(PMTCT!$AV:$AV,MATCH($E47,PMTCT!$E:$E,0)),"")</f>
        <v/>
      </c>
      <c r="BR47" s="73" t="n">
        <f aca="false">_xlfn.IFNA(INDEX(TB!$R:$R,MATCH($E47,TB!$E:$E,0)),"")</f>
        <v>15680</v>
      </c>
      <c r="BS47" s="73" t="str">
        <f aca="false">_xlfn.IFNA(INDEX(VMMC!$AD:$AD,MATCH($E47,VMMC!$E:$E,0)),"")</f>
        <v/>
      </c>
      <c r="BT47" s="73" t="n">
        <f aca="false">IF(SUM($R47,$T47,$AN47,$AQ47,$AT47,$AW47,$AZ47,$BC47,$BF47,$BI47,$BL47,$BP47:$BS47)=0,"",SUM($R47,$T47,$AN47,$AQ47,$AT47,$AW47,$AZ47,$BC47,$BF47,$BI47,$BL47,$BP47:$BS47))</f>
        <v>65284</v>
      </c>
      <c r="BU47" s="73" t="n">
        <f aca="false">IF(OR(SUM($BT47)=0,SUM($BN47)=0),"",SUM($BT47,$BN47))</f>
        <v>-2325</v>
      </c>
      <c r="BV47" s="118" t="n">
        <f aca="false">IF(SUM($BU47)=0,"",SUM($BN47)/$BU47)</f>
        <v>29.0791397849462</v>
      </c>
      <c r="BW47" s="73" t="n">
        <v>43</v>
      </c>
      <c r="BX47" s="118" t="n">
        <f aca="false">IF(OR($C47="01-04",$C47="05-09"),"",0%)</f>
        <v>0</v>
      </c>
      <c r="BY47" s="75" t="n">
        <f aca="false">IF(OR($C47="01-04",$C47="05-09",SUM($BW47)=0),"",ROUND($BW47*(1+$BX47),0))</f>
        <v>43</v>
      </c>
    </row>
    <row r="48" customFormat="false" ht="15" hidden="false" customHeight="false" outlineLevel="0" collapsed="false">
      <c r="A48" s="0" t="s">
        <v>142</v>
      </c>
      <c r="B48" s="0" t="s">
        <v>109</v>
      </c>
      <c r="C48" s="0" t="s">
        <v>69</v>
      </c>
      <c r="D48" s="0" t="s">
        <v>58</v>
      </c>
      <c r="E48" s="0" t="str">
        <f aca="false">B48&amp;"|"&amp;C48&amp;"|"&amp;D48</f>
        <v>Berea [#SNU] [#DREAMS] [wpg5evyl1OL]|25-29|Male</v>
      </c>
      <c r="F48" s="118" t="n">
        <f aca="false">_xlfn.IFNA(INDEX(Cascade!$Y:$Y,MATCH($E48,Cascade!$E:$E,0)),"")</f>
        <v>0.548821548821549</v>
      </c>
      <c r="G48" s="73" t="n">
        <f aca="false">_xlfn.IFNA(INDEX(Cascade!$BD:$BD,MATCH($E48,Cascade!$E:$E,0)),"")</f>
        <v>22</v>
      </c>
      <c r="H48" s="73" t="n">
        <f aca="false">_xlfn.IFNA(INDEX(Cascade!$BE:$BE,MATCH($E48,Cascade!$E:$E,0)),"")</f>
        <v>7</v>
      </c>
      <c r="I48" s="73" t="str">
        <f aca="false">_xlfn.IFNA(INDEX(Cascade!$BF:$BF,MATCH($E48,Cascade!$E:$E,0)),"")</f>
        <v/>
      </c>
      <c r="J48" s="73" t="str">
        <f aca="false">_xlfn.IFNA(INDEX(Cascade!$BG:$BG,MATCH($E48,Cascade!$E:$E,0)),"")</f>
        <v/>
      </c>
      <c r="K48" s="73" t="n">
        <f aca="false">_xlfn.IFNA(INDEX(Cascade!$BH:$BH,MATCH($E48,Cascade!$E:$E,0)),"")</f>
        <v>-8428</v>
      </c>
      <c r="L48" s="73" t="str">
        <f aca="false">_xlfn.IFNA(INDEX(Cascade!$BI:$BI,MATCH($E48,Cascade!$E:$E,0)),"")</f>
        <v/>
      </c>
      <c r="M48" s="73" t="n">
        <f aca="false">_xlfn.IFNA(INDEX(Cascade!$BK:$BK,MATCH($E48,Cascade!$E:$E,0)),"")</f>
        <v>8443</v>
      </c>
      <c r="N48" s="118" t="n">
        <v>28</v>
      </c>
      <c r="O48" s="118" t="n">
        <v>29</v>
      </c>
      <c r="P48" s="118" t="n">
        <v>22</v>
      </c>
      <c r="Q48" s="75" t="n">
        <f aca="false">IF(OR(SUM($H48)=0,SUM($N48)=0,SUM($O48)=0),"",ROUND($H48*$N48,0))</f>
        <v>196</v>
      </c>
      <c r="R48" s="75" t="n">
        <f aca="false">IF(OR(SUM($Q48)=0,SUM($O48)=0),"",ROUND(SUM($Q48)/SUM($O48),0)-SUM($Q48))</f>
        <v>-189</v>
      </c>
      <c r="S48" s="75" t="n">
        <f aca="false">IF(SUM($H48)=0,"",SUM($H48)-SUM($Q48))</f>
        <v>-189</v>
      </c>
      <c r="T48" s="75" t="str">
        <f aca="false">IF(OR(SUM($S48)=0,$N48&gt;1,SUM($P48)&lt;=0),"",ROUND($S48/$P48,0)-$S48)</f>
        <v/>
      </c>
      <c r="U48" s="118" t="n">
        <f aca="false">IF(SUM($G48)&lt;=0,"",SUM($Q48,$S48)/$G48)</f>
        <v>0.318181818181818</v>
      </c>
      <c r="V48" s="118" t="n">
        <f aca="false">IF(OR(SUM($Q48)=0,SUM($G48)=0),"",SUM($Q48)/SUM($G48))</f>
        <v>8.90909090909091</v>
      </c>
      <c r="W48" s="118" t="n">
        <f aca="false">IF(OR(SUM($S48)=0,SUM($G48)=0),"",SUM($S48)/SUM($G48))</f>
        <v>-8.59090909090909</v>
      </c>
      <c r="X48" s="118" t="str">
        <f aca="false">IF(OR(SUM($G48)=0,SUM($I48)=0),"",SUM($I48)/SUM($G48))</f>
        <v/>
      </c>
      <c r="Y48" s="118" t="str">
        <f aca="false">IF(OR(SUM($G48)=0,SUM($J48)=0),"",SUM($J48)/SUM($G48))</f>
        <v/>
      </c>
      <c r="Z48" s="118" t="n">
        <f aca="false">IF(OR(SUM($G48)=0,SUM($K48)=0),"",SUM($K48)/SUM($G48))</f>
        <v>-383.090909090909</v>
      </c>
      <c r="AA48" s="118" t="str">
        <f aca="false">IF(OR(SUM($G48)=0,SUM($L48)=0),"",SUM($L48)/SUM($G48))</f>
        <v/>
      </c>
      <c r="AB48" s="118" t="n">
        <v>6</v>
      </c>
      <c r="AC48" s="118"/>
      <c r="AD48" s="118"/>
      <c r="AE48" s="118" t="n">
        <v>5</v>
      </c>
      <c r="AF48" s="118" t="n">
        <v>39</v>
      </c>
      <c r="AG48" s="118" t="n">
        <v>4</v>
      </c>
      <c r="AH48" s="118" t="n">
        <v>20</v>
      </c>
      <c r="AI48" s="118" t="n">
        <v>49</v>
      </c>
      <c r="AJ48" s="118" t="n">
        <v>25</v>
      </c>
      <c r="AK48" s="118" t="n">
        <f aca="false">IF(SUM($G48)&lt;=0,"",SUM($V48:$AJ48))</f>
        <v>-234.772727272727</v>
      </c>
      <c r="AL48" s="118"/>
      <c r="AM48" s="75" t="n">
        <f aca="false">IF(OR(SUM($AB48)&lt;=0,SUM($G48)&lt;=0),"",ROUND($G48*$AB48,0))</f>
        <v>132</v>
      </c>
      <c r="AN48" s="75" t="str">
        <f aca="false">IF(SUM($AM48)&lt;=0,"",IF(SUM($AL48)&lt;=0,"ENTER VALID YIELD!",ROUND($AM48/$AL48,0)-$AM48))</f>
        <v>ENTER VALID YIELD!</v>
      </c>
      <c r="AO48" s="118"/>
      <c r="AP48" s="75" t="str">
        <f aca="false">IF(OR(SUM($AC48)&lt;=0,SUM($G48)&lt;=0),"",ROUND($G48*$AC48,0))</f>
        <v/>
      </c>
      <c r="AQ48" s="75" t="str">
        <f aca="false">IF(SUM($AP48)&lt;=0,"",IF(SUM($AO48)&lt;=0,"ENTER VALID YIELD!",ROUND($AP48/$AO48,0)-$AP48))</f>
        <v/>
      </c>
      <c r="AR48" s="118"/>
      <c r="AS48" s="75" t="str">
        <f aca="false">IF(OR(SUM($AD48)&lt;=0,SUM($G48)&lt;=0),"",ROUND($G48*$AD48,0))</f>
        <v/>
      </c>
      <c r="AT48" s="75" t="str">
        <f aca="false">IF(SUM($AS48)&lt;=0,"",IF(SUM($AR48)&lt;=0,"ENTER VALID YIELD!",ROUND($AS48/$AR48,0)-$AS48))</f>
        <v/>
      </c>
      <c r="AU48" s="118"/>
      <c r="AV48" s="75" t="n">
        <f aca="false">IF(OR(SUM($AE48)&lt;=0,SUM($G48)&lt;=0),"",ROUND($G48*$AE48,0))</f>
        <v>110</v>
      </c>
      <c r="AW48" s="75" t="str">
        <f aca="false">IF(SUM($AV48)&lt;=0,"",IF(SUM($AU48)&lt;=0,"ENTER VALID YIELD!",ROUND($AV48/$AU48,0)-$AV48))</f>
        <v>ENTER VALID YIELD!</v>
      </c>
      <c r="AX48" s="118"/>
      <c r="AY48" s="75" t="n">
        <f aca="false">IF(OR(SUM($AF48)&lt;=0,SUM($G48)&lt;=0),"",ROUND($G48*$AF48,0))</f>
        <v>858</v>
      </c>
      <c r="AZ48" s="75" t="str">
        <f aca="false">IF(SUM($AY48)&lt;=0,"",IF(SUM($AX48)&lt;=0,"ENTER VALID YIELD!",ROUND($AY48/$AX48,0)-$AY48))</f>
        <v>ENTER VALID YIELD!</v>
      </c>
      <c r="BA48" s="118" t="n">
        <v>21</v>
      </c>
      <c r="BB48" s="75" t="n">
        <f aca="false">IF(OR(SUM($AG48)&lt;=0,SUM($G48)&lt;=0),"",ROUND($G48*$AG48,0))</f>
        <v>88</v>
      </c>
      <c r="BC48" s="75" t="n">
        <f aca="false">IF(SUM($BB48)&lt;=0,"",IF(SUM($BA48)&lt;=0,"ENTER VALID YIELD!",ROUND($BB48/$BA48,0)-$BB48))</f>
        <v>-84</v>
      </c>
      <c r="BD48" s="118"/>
      <c r="BE48" s="75" t="n">
        <f aca="false">IF(OR(SUM($AH48)&lt;=0,SUM($G48)&lt;=0),"",ROUND($G48*$AH48,0))</f>
        <v>440</v>
      </c>
      <c r="BF48" s="75" t="str">
        <f aca="false">IF(SUM($BE48)&lt;=0,"",IF(SUM($BD48)&lt;=0,"ENTER VALID YIELD!",ROUND($BE48/$BD48,0)-$BE48))</f>
        <v>ENTER VALID YIELD!</v>
      </c>
      <c r="BG48" s="118" t="n">
        <v>11</v>
      </c>
      <c r="BH48" s="75" t="n">
        <f aca="false">IF(OR(SUM($AI48)&lt;=0,SUM($G48)&lt;=0),"",ROUND($G48*$AI48,0))</f>
        <v>1078</v>
      </c>
      <c r="BI48" s="75" t="n">
        <f aca="false">IF(SUM($BH48)&lt;=0,"",IF(SUM($BG48)&lt;=0,"ENTER VALID YIELD!",ROUND($BH48/$BG48,0)-$BH48))</f>
        <v>-980</v>
      </c>
      <c r="BJ48" s="118" t="n">
        <v>18</v>
      </c>
      <c r="BK48" s="75" t="n">
        <f aca="false">IF(OR(SUM($AJ48)&lt;=0,SUM($G48)&lt;=0),"",ROUND($G48*$AJ48,0))</f>
        <v>550</v>
      </c>
      <c r="BL48" s="75" t="n">
        <f aca="false">IF(SUM($BK48)&lt;=0,"",IF(SUM($BJ48)&lt;=0,"ENTER VALID YIELD!",ROUND($BK48/$BJ48,0)-$BK48))</f>
        <v>-519</v>
      </c>
      <c r="BM48" s="73" t="n">
        <f aca="false">IF(SUM($G48)&lt;=0,"",$G48)</f>
        <v>22</v>
      </c>
      <c r="BN48" s="73" t="n">
        <f aca="false">IF(SUM($G48)&lt;=0,"",SUM($I48:$L48,$Q48,$S48,$AM48,$AP48,$AS48,$AV48,$AY48,$BB48,$BE48,$BH48,$BK48))</f>
        <v>-5165</v>
      </c>
      <c r="BO48" s="73" t="n">
        <f aca="false">IF(AND(SUM($BN48)&lt;=0,SUM($BM48)&lt;=0),"",SUM($BN48)-SUM($BM48))</f>
        <v>-5187</v>
      </c>
      <c r="BP48" s="73" t="str">
        <f aca="false">_xlfn.IFNA(INDEX(PMTCT!$AF:$AF,MATCH($E48,PMTCT!$E:$E,0)),"")</f>
        <v/>
      </c>
      <c r="BQ48" s="73" t="str">
        <f aca="false">_xlfn.IFNA(INDEX(PMTCT!$AV:$AV,MATCH($E48,PMTCT!$E:$E,0)),"")</f>
        <v/>
      </c>
      <c r="BR48" s="73" t="n">
        <f aca="false">_xlfn.IFNA(INDEX(TB!$R:$R,MATCH($E48,TB!$E:$E,0)),"")</f>
        <v>6321</v>
      </c>
      <c r="BS48" s="73" t="str">
        <f aca="false">_xlfn.IFNA(INDEX(VMMC!$AD:$AD,MATCH($E48,VMMC!$E:$E,0)),"")</f>
        <v/>
      </c>
      <c r="BT48" s="73" t="n">
        <f aca="false">IF(SUM($R48,$T48,$AN48,$AQ48,$AT48,$AW48,$AZ48,$BC48,$BF48,$BI48,$BL48,$BP48:$BS48)=0,"",SUM($R48,$T48,$AN48,$AQ48,$AT48,$AW48,$AZ48,$BC48,$BF48,$BI48,$BL48,$BP48:$BS48))</f>
        <v>4549</v>
      </c>
      <c r="BU48" s="73" t="n">
        <f aca="false">IF(OR(SUM($BT48)=0,SUM($BN48)=0),"",SUM($BT48,$BN48))</f>
        <v>-616</v>
      </c>
      <c r="BV48" s="118" t="n">
        <f aca="false">IF(SUM($BU48)=0,"",SUM($BN48)/$BU48)</f>
        <v>8.38474025974026</v>
      </c>
      <c r="BW48" s="73" t="n">
        <v>26</v>
      </c>
      <c r="BX48" s="118" t="n">
        <f aca="false">IF(OR($C48="01-04",$C48="05-09"),"",0%)</f>
        <v>0</v>
      </c>
      <c r="BY48" s="75" t="n">
        <f aca="false">IF(OR($C48="01-04",$C48="05-09",SUM($BW48)=0),"",ROUND($BW48*(1+$BX48),0))</f>
        <v>26</v>
      </c>
    </row>
    <row r="49" customFormat="false" ht="15" hidden="false" customHeight="false" outlineLevel="0" collapsed="false">
      <c r="A49" s="0" t="s">
        <v>142</v>
      </c>
      <c r="B49" s="0" t="s">
        <v>109</v>
      </c>
      <c r="C49" s="0" t="s">
        <v>72</v>
      </c>
      <c r="D49" s="0" t="s">
        <v>56</v>
      </c>
      <c r="E49" s="0" t="str">
        <f aca="false">B49&amp;"|"&amp;C49&amp;"|"&amp;D49</f>
        <v>Berea [#SNU] [#DREAMS] [wpg5evyl1OL]|30-34|Female</v>
      </c>
      <c r="F49" s="118" t="n">
        <f aca="false">_xlfn.IFNA(INDEX(Cascade!$Y:$Y,MATCH($E49,Cascade!$E:$E,0)),"")</f>
        <v>0.657039711191336</v>
      </c>
      <c r="G49" s="73" t="n">
        <f aca="false">_xlfn.IFNA(INDEX(Cascade!$BD:$BD,MATCH($E49,Cascade!$E:$E,0)),"")</f>
        <v>18</v>
      </c>
      <c r="H49" s="73" t="n">
        <f aca="false">_xlfn.IFNA(INDEX(Cascade!$BE:$BE,MATCH($E49,Cascade!$E:$E,0)),"")</f>
        <v>5</v>
      </c>
      <c r="I49" s="73" t="n">
        <f aca="false">_xlfn.IFNA(INDEX(Cascade!$BF:$BF,MATCH($E49,Cascade!$E:$E,0)),"")</f>
        <v>-10656</v>
      </c>
      <c r="J49" s="73" t="str">
        <f aca="false">_xlfn.IFNA(INDEX(Cascade!$BG:$BG,MATCH($E49,Cascade!$E:$E,0)),"")</f>
        <v/>
      </c>
      <c r="K49" s="73" t="n">
        <f aca="false">_xlfn.IFNA(INDEX(Cascade!$BH:$BH,MATCH($E49,Cascade!$E:$E,0)),"")</f>
        <v>-21312</v>
      </c>
      <c r="L49" s="73" t="str">
        <f aca="false">_xlfn.IFNA(INDEX(Cascade!$BI:$BI,MATCH($E49,Cascade!$E:$E,0)),"")</f>
        <v/>
      </c>
      <c r="M49" s="73" t="n">
        <f aca="false">_xlfn.IFNA(INDEX(Cascade!$BK:$BK,MATCH($E49,Cascade!$E:$E,0)),"")</f>
        <v>31981</v>
      </c>
      <c r="N49" s="118" t="n">
        <v>48</v>
      </c>
      <c r="O49" s="118" t="n">
        <v>34</v>
      </c>
      <c r="P49" s="118" t="n">
        <v>8</v>
      </c>
      <c r="Q49" s="75" t="n">
        <f aca="false">IF(OR(SUM($H49)=0,SUM($N49)=0,SUM($O49)=0),"",ROUND($H49*$N49,0))</f>
        <v>240</v>
      </c>
      <c r="R49" s="75" t="n">
        <f aca="false">IF(OR(SUM($Q49)=0,SUM($O49)=0),"",ROUND(SUM($Q49)/SUM($O49),0)-SUM($Q49))</f>
        <v>-233</v>
      </c>
      <c r="S49" s="75" t="n">
        <f aca="false">IF(SUM($H49)=0,"",SUM($H49)-SUM($Q49))</f>
        <v>-235</v>
      </c>
      <c r="T49" s="75" t="str">
        <f aca="false">IF(OR(SUM($S49)=0,$N49&gt;1,SUM($P49)&lt;=0),"",ROUND($S49/$P49,0)-$S49)</f>
        <v/>
      </c>
      <c r="U49" s="118" t="n">
        <f aca="false">IF(SUM($G49)&lt;=0,"",SUM($Q49,$S49)/$G49)</f>
        <v>0.277777777777778</v>
      </c>
      <c r="V49" s="118" t="n">
        <f aca="false">IF(OR(SUM($Q49)=0,SUM($G49)=0),"",SUM($Q49)/SUM($G49))</f>
        <v>13.3333333333333</v>
      </c>
      <c r="W49" s="118" t="n">
        <f aca="false">IF(OR(SUM($S49)=0,SUM($G49)=0),"",SUM($S49)/SUM($G49))</f>
        <v>-13.0555555555556</v>
      </c>
      <c r="X49" s="118" t="n">
        <f aca="false">IF(OR(SUM($G49)=0,SUM($I49)=0),"",SUM($I49)/SUM($G49))</f>
        <v>-592</v>
      </c>
      <c r="Y49" s="118" t="str">
        <f aca="false">IF(OR(SUM($G49)=0,SUM($J49)=0),"",SUM($J49)/SUM($G49))</f>
        <v/>
      </c>
      <c r="Z49" s="118" t="n">
        <f aca="false">IF(OR(SUM($G49)=0,SUM($K49)=0),"",SUM($K49)/SUM($G49))</f>
        <v>-1184</v>
      </c>
      <c r="AA49" s="118" t="str">
        <f aca="false">IF(OR(SUM($G49)=0,SUM($L49)=0),"",SUM($L49)/SUM($G49))</f>
        <v/>
      </c>
      <c r="AB49" s="118" t="n">
        <v>37</v>
      </c>
      <c r="AC49" s="118"/>
      <c r="AD49" s="118"/>
      <c r="AE49" s="118" t="n">
        <v>23</v>
      </c>
      <c r="AF49" s="118" t="n">
        <v>22</v>
      </c>
      <c r="AG49" s="118" t="n">
        <v>22</v>
      </c>
      <c r="AH49" s="118" t="n">
        <v>19</v>
      </c>
      <c r="AI49" s="118" t="n">
        <v>30</v>
      </c>
      <c r="AJ49" s="118" t="n">
        <v>29</v>
      </c>
      <c r="AK49" s="118" t="n">
        <f aca="false">IF(SUM($G49)&lt;=0,"",SUM($V49:$AJ49))</f>
        <v>-1593.72222222222</v>
      </c>
      <c r="AL49" s="118"/>
      <c r="AM49" s="75" t="n">
        <f aca="false">IF(OR(SUM($AB49)&lt;=0,SUM($G49)&lt;=0),"",ROUND($G49*$AB49,0))</f>
        <v>666</v>
      </c>
      <c r="AN49" s="75" t="str">
        <f aca="false">IF(SUM($AM49)&lt;=0,"",IF(SUM($AL49)&lt;=0,"ENTER VALID YIELD!",ROUND($AM49/$AL49,0)-$AM49))</f>
        <v>ENTER VALID YIELD!</v>
      </c>
      <c r="AO49" s="118"/>
      <c r="AP49" s="75" t="str">
        <f aca="false">IF(OR(SUM($AC49)&lt;=0,SUM($G49)&lt;=0),"",ROUND($G49*$AC49,0))</f>
        <v/>
      </c>
      <c r="AQ49" s="75" t="str">
        <f aca="false">IF(SUM($AP49)&lt;=0,"",IF(SUM($AO49)&lt;=0,"ENTER VALID YIELD!",ROUND($AP49/$AO49,0)-$AP49))</f>
        <v/>
      </c>
      <c r="AR49" s="118"/>
      <c r="AS49" s="75" t="str">
        <f aca="false">IF(OR(SUM($AD49)&lt;=0,SUM($G49)&lt;=0),"",ROUND($G49*$AD49,0))</f>
        <v/>
      </c>
      <c r="AT49" s="75" t="str">
        <f aca="false">IF(SUM($AS49)&lt;=0,"",IF(SUM($AR49)&lt;=0,"ENTER VALID YIELD!",ROUND($AS49/$AR49,0)-$AS49))</f>
        <v/>
      </c>
      <c r="AU49" s="118"/>
      <c r="AV49" s="75" t="n">
        <f aca="false">IF(OR(SUM($AE49)&lt;=0,SUM($G49)&lt;=0),"",ROUND($G49*$AE49,0))</f>
        <v>414</v>
      </c>
      <c r="AW49" s="75" t="str">
        <f aca="false">IF(SUM($AV49)&lt;=0,"",IF(SUM($AU49)&lt;=0,"ENTER VALID YIELD!",ROUND($AV49/$AU49,0)-$AV49))</f>
        <v>ENTER VALID YIELD!</v>
      </c>
      <c r="AX49" s="118"/>
      <c r="AY49" s="75" t="n">
        <f aca="false">IF(OR(SUM($AF49)&lt;=0,SUM($G49)&lt;=0),"",ROUND($G49*$AF49,0))</f>
        <v>396</v>
      </c>
      <c r="AZ49" s="75" t="str">
        <f aca="false">IF(SUM($AY49)&lt;=0,"",IF(SUM($AX49)&lt;=0,"ENTER VALID YIELD!",ROUND($AY49/$AX49,0)-$AY49))</f>
        <v>ENTER VALID YIELD!</v>
      </c>
      <c r="BA49" s="118" t="n">
        <v>26</v>
      </c>
      <c r="BB49" s="75" t="n">
        <f aca="false">IF(OR(SUM($AG49)&lt;=0,SUM($G49)&lt;=0),"",ROUND($G49*$AG49,0))</f>
        <v>396</v>
      </c>
      <c r="BC49" s="75" t="n">
        <f aca="false">IF(SUM($BB49)&lt;=0,"",IF(SUM($BA49)&lt;=0,"ENTER VALID YIELD!",ROUND($BB49/$BA49,0)-$BB49))</f>
        <v>-381</v>
      </c>
      <c r="BD49" s="118"/>
      <c r="BE49" s="75" t="n">
        <f aca="false">IF(OR(SUM($AH49)&lt;=0,SUM($G49)&lt;=0),"",ROUND($G49*$AH49,0))</f>
        <v>342</v>
      </c>
      <c r="BF49" s="75" t="str">
        <f aca="false">IF(SUM($BE49)&lt;=0,"",IF(SUM($BD49)&lt;=0,"ENTER VALID YIELD!",ROUND($BE49/$BD49,0)-$BE49))</f>
        <v>ENTER VALID YIELD!</v>
      </c>
      <c r="BG49" s="118" t="n">
        <v>41</v>
      </c>
      <c r="BH49" s="75" t="n">
        <f aca="false">IF(OR(SUM($AI49)&lt;=0,SUM($G49)&lt;=0),"",ROUND($G49*$AI49,0))</f>
        <v>540</v>
      </c>
      <c r="BI49" s="75" t="n">
        <f aca="false">IF(SUM($BH49)&lt;=0,"",IF(SUM($BG49)&lt;=0,"ENTER VALID YIELD!",ROUND($BH49/$BG49,0)-$BH49))</f>
        <v>-527</v>
      </c>
      <c r="BJ49" s="118" t="n">
        <v>43</v>
      </c>
      <c r="BK49" s="75" t="n">
        <f aca="false">IF(OR(SUM($AJ49)&lt;=0,SUM($G49)&lt;=0),"",ROUND($G49*$AJ49,0))</f>
        <v>522</v>
      </c>
      <c r="BL49" s="75" t="n">
        <f aca="false">IF(SUM($BK49)&lt;=0,"",IF(SUM($BJ49)&lt;=0,"ENTER VALID YIELD!",ROUND($BK49/$BJ49,0)-$BK49))</f>
        <v>-510</v>
      </c>
      <c r="BM49" s="73" t="n">
        <f aca="false">IF(SUM($G49)&lt;=0,"",$G49)</f>
        <v>18</v>
      </c>
      <c r="BN49" s="73" t="n">
        <f aca="false">IF(SUM($G49)&lt;=0,"",SUM($I49:$L49,$Q49,$S49,$AM49,$AP49,$AS49,$AV49,$AY49,$BB49,$BE49,$BH49,$BK49))</f>
        <v>-28687</v>
      </c>
      <c r="BO49" s="73" t="n">
        <f aca="false">IF(AND(SUM($BN49)&lt;=0,SUM($BM49)&lt;=0),"",SUM($BN49)-SUM($BM49))</f>
        <v>-28705</v>
      </c>
      <c r="BP49" s="73" t="n">
        <f aca="false">_xlfn.IFNA(INDEX(PMTCT!$AF:$AF,MATCH($E49,PMTCT!$E:$E,0)),"")</f>
        <v>10434</v>
      </c>
      <c r="BQ49" s="73" t="str">
        <f aca="false">_xlfn.IFNA(INDEX(PMTCT!$AV:$AV,MATCH($E49,PMTCT!$E:$E,0)),"")</f>
        <v/>
      </c>
      <c r="BR49" s="73" t="n">
        <f aca="false">_xlfn.IFNA(INDEX(TB!$R:$R,MATCH($E49,TB!$E:$E,0)),"")</f>
        <v>20128</v>
      </c>
      <c r="BS49" s="73" t="str">
        <f aca="false">_xlfn.IFNA(INDEX(VMMC!$AD:$AD,MATCH($E49,VMMC!$E:$E,0)),"")</f>
        <v/>
      </c>
      <c r="BT49" s="73" t="n">
        <f aca="false">IF(SUM($R49,$T49,$AN49,$AQ49,$AT49,$AW49,$AZ49,$BC49,$BF49,$BI49,$BL49,$BP49:$BS49)=0,"",SUM($R49,$T49,$AN49,$AQ49,$AT49,$AW49,$AZ49,$BC49,$BF49,$BI49,$BL49,$BP49:$BS49))</f>
        <v>28911</v>
      </c>
      <c r="BU49" s="73" t="n">
        <f aca="false">IF(OR(SUM($BT49)=0,SUM($BN49)=0),"",SUM($BT49,$BN49))</f>
        <v>224</v>
      </c>
      <c r="BV49" s="118" t="n">
        <f aca="false">IF(SUM($BU49)=0,"",SUM($BN49)/$BU49)</f>
        <v>-128.066964285714</v>
      </c>
      <c r="BW49" s="73" t="n">
        <v>7</v>
      </c>
      <c r="BX49" s="118" t="n">
        <f aca="false">IF(OR($C49="01-04",$C49="05-09"),"",0%)</f>
        <v>0</v>
      </c>
      <c r="BY49" s="75" t="n">
        <f aca="false">IF(OR($C49="01-04",$C49="05-09",SUM($BW49)=0),"",ROUND($BW49*(1+$BX49),0))</f>
        <v>7</v>
      </c>
    </row>
    <row r="50" customFormat="false" ht="15" hidden="false" customHeight="false" outlineLevel="0" collapsed="false">
      <c r="A50" s="0" t="s">
        <v>142</v>
      </c>
      <c r="B50" s="0" t="s">
        <v>109</v>
      </c>
      <c r="C50" s="0" t="s">
        <v>72</v>
      </c>
      <c r="D50" s="0" t="s">
        <v>58</v>
      </c>
      <c r="E50" s="0" t="str">
        <f aca="false">B50&amp;"|"&amp;C50&amp;"|"&amp;D50</f>
        <v>Berea [#SNU] [#DREAMS] [wpg5evyl1OL]|30-34|Male</v>
      </c>
      <c r="F50" s="118" t="n">
        <f aca="false">_xlfn.IFNA(INDEX(Cascade!$Y:$Y,MATCH($E50,Cascade!$E:$E,0)),"")</f>
        <v>0.549607752653438</v>
      </c>
      <c r="G50" s="73" t="n">
        <f aca="false">_xlfn.IFNA(INDEX(Cascade!$BD:$BD,MATCH($E50,Cascade!$E:$E,0)),"")</f>
        <v>4</v>
      </c>
      <c r="H50" s="73" t="n">
        <f aca="false">_xlfn.IFNA(INDEX(Cascade!$BE:$BE,MATCH($E50,Cascade!$E:$E,0)),"")</f>
        <v>1</v>
      </c>
      <c r="I50" s="73" t="str">
        <f aca="false">_xlfn.IFNA(INDEX(Cascade!$BF:$BF,MATCH($E50,Cascade!$E:$E,0)),"")</f>
        <v/>
      </c>
      <c r="J50" s="73" t="str">
        <f aca="false">_xlfn.IFNA(INDEX(Cascade!$BG:$BG,MATCH($E50,Cascade!$E:$E,0)),"")</f>
        <v/>
      </c>
      <c r="K50" s="73" t="n">
        <f aca="false">_xlfn.IFNA(INDEX(Cascade!$BH:$BH,MATCH($E50,Cascade!$E:$E,0)),"")</f>
        <v>-18432</v>
      </c>
      <c r="L50" s="73" t="str">
        <f aca="false">_xlfn.IFNA(INDEX(Cascade!$BI:$BI,MATCH($E50,Cascade!$E:$E,0)),"")</f>
        <v/>
      </c>
      <c r="M50" s="73" t="n">
        <f aca="false">_xlfn.IFNA(INDEX(Cascade!$BK:$BK,MATCH($E50,Cascade!$E:$E,0)),"")</f>
        <v>18435</v>
      </c>
      <c r="N50" s="118" t="n">
        <v>24</v>
      </c>
      <c r="O50" s="118" t="n">
        <v>39</v>
      </c>
      <c r="P50" s="118" t="n">
        <v>42</v>
      </c>
      <c r="Q50" s="75" t="n">
        <f aca="false">IF(OR(SUM($H50)=0,SUM($N50)=0,SUM($O50)=0),"",ROUND($H50*$N50,0))</f>
        <v>24</v>
      </c>
      <c r="R50" s="75" t="n">
        <f aca="false">IF(OR(SUM($Q50)=0,SUM($O50)=0),"",ROUND(SUM($Q50)/SUM($O50),0)-SUM($Q50))</f>
        <v>-23</v>
      </c>
      <c r="S50" s="75" t="n">
        <f aca="false">IF(SUM($H50)=0,"",SUM($H50)-SUM($Q50))</f>
        <v>-23</v>
      </c>
      <c r="T50" s="75" t="str">
        <f aca="false">IF(OR(SUM($S50)=0,$N50&gt;1,SUM($P50)&lt;=0),"",ROUND($S50/$P50,0)-$S50)</f>
        <v/>
      </c>
      <c r="U50" s="118" t="n">
        <f aca="false">IF(SUM($G50)&lt;=0,"",SUM($Q50,$S50)/$G50)</f>
        <v>0.25</v>
      </c>
      <c r="V50" s="118" t="n">
        <f aca="false">IF(OR(SUM($Q50)=0,SUM($G50)=0),"",SUM($Q50)/SUM($G50))</f>
        <v>6</v>
      </c>
      <c r="W50" s="118" t="n">
        <f aca="false">IF(OR(SUM($S50)=0,SUM($G50)=0),"",SUM($S50)/SUM($G50))</f>
        <v>-5.75</v>
      </c>
      <c r="X50" s="118" t="str">
        <f aca="false">IF(OR(SUM($G50)=0,SUM($I50)=0),"",SUM($I50)/SUM($G50))</f>
        <v/>
      </c>
      <c r="Y50" s="118" t="str">
        <f aca="false">IF(OR(SUM($G50)=0,SUM($J50)=0),"",SUM($J50)/SUM($G50))</f>
        <v/>
      </c>
      <c r="Z50" s="118" t="n">
        <f aca="false">IF(OR(SUM($G50)=0,SUM($K50)=0),"",SUM($K50)/SUM($G50))</f>
        <v>-4608</v>
      </c>
      <c r="AA50" s="118" t="str">
        <f aca="false">IF(OR(SUM($G50)=0,SUM($L50)=0),"",SUM($L50)/SUM($G50))</f>
        <v/>
      </c>
      <c r="AB50" s="118" t="n">
        <v>12</v>
      </c>
      <c r="AC50" s="118"/>
      <c r="AD50" s="118"/>
      <c r="AE50" s="118" t="n">
        <v>27</v>
      </c>
      <c r="AF50" s="118" t="n">
        <v>22</v>
      </c>
      <c r="AG50" s="118" t="n">
        <v>5</v>
      </c>
      <c r="AH50" s="118" t="n">
        <v>39</v>
      </c>
      <c r="AI50" s="118" t="n">
        <v>23</v>
      </c>
      <c r="AJ50" s="118" t="n">
        <v>8</v>
      </c>
      <c r="AK50" s="118" t="n">
        <f aca="false">IF(SUM($G50)&lt;=0,"",SUM($V50:$AJ50))</f>
        <v>-4471.75</v>
      </c>
      <c r="AL50" s="118" t="n">
        <v>34</v>
      </c>
      <c r="AM50" s="75" t="n">
        <f aca="false">IF(OR(SUM($AB50)&lt;=0,SUM($G50)&lt;=0),"",ROUND($G50*$AB50,0))</f>
        <v>48</v>
      </c>
      <c r="AN50" s="75" t="n">
        <f aca="false">IF(SUM($AM50)&lt;=0,"",IF(SUM($AL50)&lt;=0,"ENTER VALID YIELD!",ROUND($AM50/$AL50,0)-$AM50))</f>
        <v>-47</v>
      </c>
      <c r="AO50" s="118"/>
      <c r="AP50" s="75" t="str">
        <f aca="false">IF(OR(SUM($AC50)&lt;=0,SUM($G50)&lt;=0),"",ROUND($G50*$AC50,0))</f>
        <v/>
      </c>
      <c r="AQ50" s="75" t="str">
        <f aca="false">IF(SUM($AP50)&lt;=0,"",IF(SUM($AO50)&lt;=0,"ENTER VALID YIELD!",ROUND($AP50/$AO50,0)-$AP50))</f>
        <v/>
      </c>
      <c r="AR50" s="118"/>
      <c r="AS50" s="75" t="str">
        <f aca="false">IF(OR(SUM($AD50)&lt;=0,SUM($G50)&lt;=0),"",ROUND($G50*$AD50,0))</f>
        <v/>
      </c>
      <c r="AT50" s="75" t="str">
        <f aca="false">IF(SUM($AS50)&lt;=0,"",IF(SUM($AR50)&lt;=0,"ENTER VALID YIELD!",ROUND($AS50/$AR50,0)-$AS50))</f>
        <v/>
      </c>
      <c r="AU50" s="118"/>
      <c r="AV50" s="75" t="n">
        <f aca="false">IF(OR(SUM($AE50)&lt;=0,SUM($G50)&lt;=0),"",ROUND($G50*$AE50,0))</f>
        <v>108</v>
      </c>
      <c r="AW50" s="75" t="str">
        <f aca="false">IF(SUM($AV50)&lt;=0,"",IF(SUM($AU50)&lt;=0,"ENTER VALID YIELD!",ROUND($AV50/$AU50,0)-$AV50))</f>
        <v>ENTER VALID YIELD!</v>
      </c>
      <c r="AX50" s="118"/>
      <c r="AY50" s="75" t="n">
        <f aca="false">IF(OR(SUM($AF50)&lt;=0,SUM($G50)&lt;=0),"",ROUND($G50*$AF50,0))</f>
        <v>88</v>
      </c>
      <c r="AZ50" s="75" t="str">
        <f aca="false">IF(SUM($AY50)&lt;=0,"",IF(SUM($AX50)&lt;=0,"ENTER VALID YIELD!",ROUND($AY50/$AX50,0)-$AY50))</f>
        <v>ENTER VALID YIELD!</v>
      </c>
      <c r="BA50" s="118" t="n">
        <v>33</v>
      </c>
      <c r="BB50" s="75" t="n">
        <f aca="false">IF(OR(SUM($AG50)&lt;=0,SUM($G50)&lt;=0),"",ROUND($G50*$AG50,0))</f>
        <v>20</v>
      </c>
      <c r="BC50" s="75" t="n">
        <f aca="false">IF(SUM($BB50)&lt;=0,"",IF(SUM($BA50)&lt;=0,"ENTER VALID YIELD!",ROUND($BB50/$BA50,0)-$BB50))</f>
        <v>-19</v>
      </c>
      <c r="BD50" s="118"/>
      <c r="BE50" s="75" t="n">
        <f aca="false">IF(OR(SUM($AH50)&lt;=0,SUM($G50)&lt;=0),"",ROUND($G50*$AH50,0))</f>
        <v>156</v>
      </c>
      <c r="BF50" s="75" t="str">
        <f aca="false">IF(SUM($BE50)&lt;=0,"",IF(SUM($BD50)&lt;=0,"ENTER VALID YIELD!",ROUND($BE50/$BD50,0)-$BE50))</f>
        <v>ENTER VALID YIELD!</v>
      </c>
      <c r="BG50" s="118" t="n">
        <v>50</v>
      </c>
      <c r="BH50" s="75" t="n">
        <f aca="false">IF(OR(SUM($AI50)&lt;=0,SUM($G50)&lt;=0),"",ROUND($G50*$AI50,0))</f>
        <v>92</v>
      </c>
      <c r="BI50" s="75" t="n">
        <f aca="false">IF(SUM($BH50)&lt;=0,"",IF(SUM($BG50)&lt;=0,"ENTER VALID YIELD!",ROUND($BH50/$BG50,0)-$BH50))</f>
        <v>-90</v>
      </c>
      <c r="BJ50" s="118" t="n">
        <v>31</v>
      </c>
      <c r="BK50" s="75" t="n">
        <f aca="false">IF(OR(SUM($AJ50)&lt;=0,SUM($G50)&lt;=0),"",ROUND($G50*$AJ50,0))</f>
        <v>32</v>
      </c>
      <c r="BL50" s="75" t="n">
        <f aca="false">IF(SUM($BK50)&lt;=0,"",IF(SUM($BJ50)&lt;=0,"ENTER VALID YIELD!",ROUND($BK50/$BJ50,0)-$BK50))</f>
        <v>-31</v>
      </c>
      <c r="BM50" s="73" t="n">
        <f aca="false">IF(SUM($G50)&lt;=0,"",$G50)</f>
        <v>4</v>
      </c>
      <c r="BN50" s="73" t="n">
        <f aca="false">IF(SUM($G50)&lt;=0,"",SUM($I50:$L50,$Q50,$S50,$AM50,$AP50,$AS50,$AV50,$AY50,$BB50,$BE50,$BH50,$BK50))</f>
        <v>-17887</v>
      </c>
      <c r="BO50" s="73" t="n">
        <f aca="false">IF(AND(SUM($BN50)&lt;=0,SUM($BM50)&lt;=0),"",SUM($BN50)-SUM($BM50))</f>
        <v>-17891</v>
      </c>
      <c r="BP50" s="73" t="str">
        <f aca="false">_xlfn.IFNA(INDEX(PMTCT!$AF:$AF,MATCH($E50,PMTCT!$E:$E,0)),"")</f>
        <v/>
      </c>
      <c r="BQ50" s="73" t="str">
        <f aca="false">_xlfn.IFNA(INDEX(PMTCT!$AV:$AV,MATCH($E50,PMTCT!$E:$E,0)),"")</f>
        <v/>
      </c>
      <c r="BR50" s="73" t="n">
        <f aca="false">_xlfn.IFNA(INDEX(TB!$R:$R,MATCH($E50,TB!$E:$E,0)),"")</f>
        <v>17856</v>
      </c>
      <c r="BS50" s="73" t="str">
        <f aca="false">_xlfn.IFNA(INDEX(VMMC!$AD:$AD,MATCH($E50,VMMC!$E:$E,0)),"")</f>
        <v/>
      </c>
      <c r="BT50" s="73" t="n">
        <f aca="false">IF(SUM($R50,$T50,$AN50,$AQ50,$AT50,$AW50,$AZ50,$BC50,$BF50,$BI50,$BL50,$BP50:$BS50)=0,"",SUM($R50,$T50,$AN50,$AQ50,$AT50,$AW50,$AZ50,$BC50,$BF50,$BI50,$BL50,$BP50:$BS50))</f>
        <v>17646</v>
      </c>
      <c r="BU50" s="73" t="n">
        <f aca="false">IF(OR(SUM($BT50)=0,SUM($BN50)=0),"",SUM($BT50,$BN50))</f>
        <v>-241</v>
      </c>
      <c r="BV50" s="118" t="n">
        <f aca="false">IF(SUM($BU50)=0,"",SUM($BN50)/$BU50)</f>
        <v>74.2199170124481</v>
      </c>
      <c r="BW50" s="73" t="n">
        <v>38</v>
      </c>
      <c r="BX50" s="118" t="n">
        <f aca="false">IF(OR($C50="01-04",$C50="05-09"),"",0%)</f>
        <v>0</v>
      </c>
      <c r="BY50" s="75" t="n">
        <f aca="false">IF(OR($C50="01-04",$C50="05-09",SUM($BW50)=0),"",ROUND($BW50*(1+$BX50),0))</f>
        <v>38</v>
      </c>
    </row>
    <row r="51" customFormat="false" ht="15" hidden="false" customHeight="false" outlineLevel="0" collapsed="false">
      <c r="A51" s="0" t="s">
        <v>142</v>
      </c>
      <c r="B51" s="0" t="s">
        <v>109</v>
      </c>
      <c r="C51" s="0" t="s">
        <v>75</v>
      </c>
      <c r="D51" s="0" t="s">
        <v>56</v>
      </c>
      <c r="E51" s="0" t="str">
        <f aca="false">B51&amp;"|"&amp;C51&amp;"|"&amp;D51</f>
        <v>Berea [#SNU] [#DREAMS] [wpg5evyl1OL]|35-39|Female</v>
      </c>
      <c r="F51" s="118" t="n">
        <f aca="false">_xlfn.IFNA(INDEX(Cascade!$Y:$Y,MATCH($E51,Cascade!$E:$E,0)),"")</f>
        <v>0.784168865435356</v>
      </c>
      <c r="G51" s="73" t="n">
        <f aca="false">_xlfn.IFNA(INDEX(Cascade!$BD:$BD,MATCH($E51,Cascade!$E:$E,0)),"")</f>
        <v>7</v>
      </c>
      <c r="H51" s="73" t="n">
        <f aca="false">_xlfn.IFNA(INDEX(Cascade!$BE:$BE,MATCH($E51,Cascade!$E:$E,0)),"")</f>
        <v>4</v>
      </c>
      <c r="I51" s="73" t="n">
        <f aca="false">_xlfn.IFNA(INDEX(Cascade!$BF:$BF,MATCH($E51,Cascade!$E:$E,0)),"")</f>
        <v>-3300</v>
      </c>
      <c r="J51" s="73" t="str">
        <f aca="false">_xlfn.IFNA(INDEX(Cascade!$BG:$BG,MATCH($E51,Cascade!$E:$E,0)),"")</f>
        <v/>
      </c>
      <c r="K51" s="73" t="n">
        <f aca="false">_xlfn.IFNA(INDEX(Cascade!$BH:$BH,MATCH($E51,Cascade!$E:$E,0)),"")</f>
        <v>-13536</v>
      </c>
      <c r="L51" s="73" t="str">
        <f aca="false">_xlfn.IFNA(INDEX(Cascade!$BI:$BI,MATCH($E51,Cascade!$E:$E,0)),"")</f>
        <v/>
      </c>
      <c r="M51" s="73" t="n">
        <f aca="false">_xlfn.IFNA(INDEX(Cascade!$BK:$BK,MATCH($E51,Cascade!$E:$E,0)),"")</f>
        <v>16839</v>
      </c>
      <c r="N51" s="118" t="n">
        <v>21</v>
      </c>
      <c r="O51" s="118" t="n">
        <v>32</v>
      </c>
      <c r="P51" s="118" t="n">
        <v>10</v>
      </c>
      <c r="Q51" s="75" t="n">
        <f aca="false">IF(OR(SUM($H51)=0,SUM($N51)=0,SUM($O51)=0),"",ROUND($H51*$N51,0))</f>
        <v>84</v>
      </c>
      <c r="R51" s="75" t="n">
        <f aca="false">IF(OR(SUM($Q51)=0,SUM($O51)=0),"",ROUND(SUM($Q51)/SUM($O51),0)-SUM($Q51))</f>
        <v>-81</v>
      </c>
      <c r="S51" s="75" t="n">
        <f aca="false">IF(SUM($H51)=0,"",SUM($H51)-SUM($Q51))</f>
        <v>-80</v>
      </c>
      <c r="T51" s="75" t="str">
        <f aca="false">IF(OR(SUM($S51)=0,$N51&gt;1,SUM($P51)&lt;=0),"",ROUND($S51/$P51,0)-$S51)</f>
        <v/>
      </c>
      <c r="U51" s="118" t="n">
        <f aca="false">IF(SUM($G51)&lt;=0,"",SUM($Q51,$S51)/$G51)</f>
        <v>0.571428571428571</v>
      </c>
      <c r="V51" s="118" t="n">
        <f aca="false">IF(OR(SUM($Q51)=0,SUM($G51)=0),"",SUM($Q51)/SUM($G51))</f>
        <v>12</v>
      </c>
      <c r="W51" s="118" t="n">
        <f aca="false">IF(OR(SUM($S51)=0,SUM($G51)=0),"",SUM($S51)/SUM($G51))</f>
        <v>-11.4285714285714</v>
      </c>
      <c r="X51" s="118" t="n">
        <f aca="false">IF(OR(SUM($G51)=0,SUM($I51)=0),"",SUM($I51)/SUM($G51))</f>
        <v>-471.428571428571</v>
      </c>
      <c r="Y51" s="118" t="str">
        <f aca="false">IF(OR(SUM($G51)=0,SUM($J51)=0),"",SUM($J51)/SUM($G51))</f>
        <v/>
      </c>
      <c r="Z51" s="118" t="n">
        <f aca="false">IF(OR(SUM($G51)=0,SUM($K51)=0),"",SUM($K51)/SUM($G51))</f>
        <v>-1933.71428571429</v>
      </c>
      <c r="AA51" s="118" t="str">
        <f aca="false">IF(OR(SUM($G51)=0,SUM($L51)=0),"",SUM($L51)/SUM($G51))</f>
        <v/>
      </c>
      <c r="AB51" s="118" t="n">
        <v>24</v>
      </c>
      <c r="AC51" s="118"/>
      <c r="AD51" s="118"/>
      <c r="AE51" s="118" t="n">
        <v>12</v>
      </c>
      <c r="AF51" s="118" t="n">
        <v>4</v>
      </c>
      <c r="AG51" s="118" t="n">
        <v>40</v>
      </c>
      <c r="AH51" s="118" t="n">
        <v>42</v>
      </c>
      <c r="AI51" s="118" t="n">
        <v>47</v>
      </c>
      <c r="AJ51" s="118" t="n">
        <v>13</v>
      </c>
      <c r="AK51" s="118" t="n">
        <f aca="false">IF(SUM($G51)&lt;=0,"",SUM($V51:$AJ51))</f>
        <v>-2222.57142857143</v>
      </c>
      <c r="AL51" s="118" t="n">
        <v>24</v>
      </c>
      <c r="AM51" s="75" t="n">
        <f aca="false">IF(OR(SUM($AB51)&lt;=0,SUM($G51)&lt;=0),"",ROUND($G51*$AB51,0))</f>
        <v>168</v>
      </c>
      <c r="AN51" s="75" t="n">
        <f aca="false">IF(SUM($AM51)&lt;=0,"",IF(SUM($AL51)&lt;=0,"ENTER VALID YIELD!",ROUND($AM51/$AL51,0)-$AM51))</f>
        <v>-161</v>
      </c>
      <c r="AO51" s="118"/>
      <c r="AP51" s="75" t="str">
        <f aca="false">IF(OR(SUM($AC51)&lt;=0,SUM($G51)&lt;=0),"",ROUND($G51*$AC51,0))</f>
        <v/>
      </c>
      <c r="AQ51" s="75" t="str">
        <f aca="false">IF(SUM($AP51)&lt;=0,"",IF(SUM($AO51)&lt;=0,"ENTER VALID YIELD!",ROUND($AP51/$AO51,0)-$AP51))</f>
        <v/>
      </c>
      <c r="AR51" s="118"/>
      <c r="AS51" s="75" t="str">
        <f aca="false">IF(OR(SUM($AD51)&lt;=0,SUM($G51)&lt;=0),"",ROUND($G51*$AD51,0))</f>
        <v/>
      </c>
      <c r="AT51" s="75" t="str">
        <f aca="false">IF(SUM($AS51)&lt;=0,"",IF(SUM($AR51)&lt;=0,"ENTER VALID YIELD!",ROUND($AS51/$AR51,0)-$AS51))</f>
        <v/>
      </c>
      <c r="AU51" s="118"/>
      <c r="AV51" s="75" t="n">
        <f aca="false">IF(OR(SUM($AE51)&lt;=0,SUM($G51)&lt;=0),"",ROUND($G51*$AE51,0))</f>
        <v>84</v>
      </c>
      <c r="AW51" s="75" t="str">
        <f aca="false">IF(SUM($AV51)&lt;=0,"",IF(SUM($AU51)&lt;=0,"ENTER VALID YIELD!",ROUND($AV51/$AU51,0)-$AV51))</f>
        <v>ENTER VALID YIELD!</v>
      </c>
      <c r="AX51" s="118"/>
      <c r="AY51" s="75" t="n">
        <f aca="false">IF(OR(SUM($AF51)&lt;=0,SUM($G51)&lt;=0),"",ROUND($G51*$AF51,0))</f>
        <v>28</v>
      </c>
      <c r="AZ51" s="75" t="str">
        <f aca="false">IF(SUM($AY51)&lt;=0,"",IF(SUM($AX51)&lt;=0,"ENTER VALID YIELD!",ROUND($AY51/$AX51,0)-$AY51))</f>
        <v>ENTER VALID YIELD!</v>
      </c>
      <c r="BA51" s="118" t="n">
        <v>15</v>
      </c>
      <c r="BB51" s="75" t="n">
        <f aca="false">IF(OR(SUM($AG51)&lt;=0,SUM($G51)&lt;=0),"",ROUND($G51*$AG51,0))</f>
        <v>280</v>
      </c>
      <c r="BC51" s="75" t="n">
        <f aca="false">IF(SUM($BB51)&lt;=0,"",IF(SUM($BA51)&lt;=0,"ENTER VALID YIELD!",ROUND($BB51/$BA51,0)-$BB51))</f>
        <v>-261</v>
      </c>
      <c r="BD51" s="118"/>
      <c r="BE51" s="75" t="n">
        <f aca="false">IF(OR(SUM($AH51)&lt;=0,SUM($G51)&lt;=0),"",ROUND($G51*$AH51,0))</f>
        <v>294</v>
      </c>
      <c r="BF51" s="75" t="str">
        <f aca="false">IF(SUM($BE51)&lt;=0,"",IF(SUM($BD51)&lt;=0,"ENTER VALID YIELD!",ROUND($BE51/$BD51,0)-$BE51))</f>
        <v>ENTER VALID YIELD!</v>
      </c>
      <c r="BG51" s="118" t="n">
        <v>24</v>
      </c>
      <c r="BH51" s="75" t="n">
        <f aca="false">IF(OR(SUM($AI51)&lt;=0,SUM($G51)&lt;=0),"",ROUND($G51*$AI51,0))</f>
        <v>329</v>
      </c>
      <c r="BI51" s="75" t="n">
        <f aca="false">IF(SUM($BH51)&lt;=0,"",IF(SUM($BG51)&lt;=0,"ENTER VALID YIELD!",ROUND($BH51/$BG51,0)-$BH51))</f>
        <v>-315</v>
      </c>
      <c r="BJ51" s="118" t="n">
        <v>25</v>
      </c>
      <c r="BK51" s="75" t="n">
        <f aca="false">IF(OR(SUM($AJ51)&lt;=0,SUM($G51)&lt;=0),"",ROUND($G51*$AJ51,0))</f>
        <v>91</v>
      </c>
      <c r="BL51" s="75" t="n">
        <f aca="false">IF(SUM($BK51)&lt;=0,"",IF(SUM($BJ51)&lt;=0,"ENTER VALID YIELD!",ROUND($BK51/$BJ51,0)-$BK51))</f>
        <v>-87</v>
      </c>
      <c r="BM51" s="73" t="n">
        <f aca="false">IF(SUM($G51)&lt;=0,"",$G51)</f>
        <v>7</v>
      </c>
      <c r="BN51" s="73" t="n">
        <f aca="false">IF(SUM($G51)&lt;=0,"",SUM($I51:$L51,$Q51,$S51,$AM51,$AP51,$AS51,$AV51,$AY51,$BB51,$BE51,$BH51,$BK51))</f>
        <v>-15558</v>
      </c>
      <c r="BO51" s="73" t="n">
        <f aca="false">IF(AND(SUM($BN51)&lt;=0,SUM($BM51)&lt;=0),"",SUM($BN51)-SUM($BM51))</f>
        <v>-15565</v>
      </c>
      <c r="BP51" s="73" t="n">
        <f aca="false">_xlfn.IFNA(INDEX(PMTCT!$AF:$AF,MATCH($E51,PMTCT!$E:$E,0)),"")</f>
        <v>3234</v>
      </c>
      <c r="BQ51" s="73" t="str">
        <f aca="false">_xlfn.IFNA(INDEX(PMTCT!$AV:$AV,MATCH($E51,PMTCT!$E:$E,0)),"")</f>
        <v/>
      </c>
      <c r="BR51" s="73" t="n">
        <f aca="false">_xlfn.IFNA(INDEX(TB!$R:$R,MATCH($E51,TB!$E:$E,0)),"")</f>
        <v>12784</v>
      </c>
      <c r="BS51" s="73" t="str">
        <f aca="false">_xlfn.IFNA(INDEX(VMMC!$AD:$AD,MATCH($E51,VMMC!$E:$E,0)),"")</f>
        <v/>
      </c>
      <c r="BT51" s="73" t="n">
        <f aca="false">IF(SUM($R51,$T51,$AN51,$AQ51,$AT51,$AW51,$AZ51,$BC51,$BF51,$BI51,$BL51,$BP51:$BS51)=0,"",SUM($R51,$T51,$AN51,$AQ51,$AT51,$AW51,$AZ51,$BC51,$BF51,$BI51,$BL51,$BP51:$BS51))</f>
        <v>15113</v>
      </c>
      <c r="BU51" s="73" t="n">
        <f aca="false">IF(OR(SUM($BT51)=0,SUM($BN51)=0),"",SUM($BT51,$BN51))</f>
        <v>-445</v>
      </c>
      <c r="BV51" s="118" t="n">
        <f aca="false">IF(SUM($BU51)=0,"",SUM($BN51)/$BU51)</f>
        <v>34.961797752809</v>
      </c>
      <c r="BW51" s="73" t="n">
        <v>30</v>
      </c>
      <c r="BX51" s="118" t="n">
        <f aca="false">IF(OR($C51="01-04",$C51="05-09"),"",0%)</f>
        <v>0</v>
      </c>
      <c r="BY51" s="75" t="n">
        <f aca="false">IF(OR($C51="01-04",$C51="05-09",SUM($BW51)=0),"",ROUND($BW51*(1+$BX51),0))</f>
        <v>30</v>
      </c>
    </row>
    <row r="52" customFormat="false" ht="15" hidden="false" customHeight="false" outlineLevel="0" collapsed="false">
      <c r="A52" s="0" t="s">
        <v>142</v>
      </c>
      <c r="B52" s="0" t="s">
        <v>109</v>
      </c>
      <c r="C52" s="0" t="s">
        <v>75</v>
      </c>
      <c r="D52" s="0" t="s">
        <v>58</v>
      </c>
      <c r="E52" s="0" t="str">
        <f aca="false">B52&amp;"|"&amp;C52&amp;"|"&amp;D52</f>
        <v>Berea [#SNU] [#DREAMS] [wpg5evyl1OL]|35-39|Male</v>
      </c>
      <c r="F52" s="118" t="n">
        <f aca="false">_xlfn.IFNA(INDEX(Cascade!$Y:$Y,MATCH($E52,Cascade!$E:$E,0)),"")</f>
        <v>0.656191545080434</v>
      </c>
      <c r="G52" s="73" t="n">
        <f aca="false">_xlfn.IFNA(INDEX(Cascade!$BD:$BD,MATCH($E52,Cascade!$E:$E,0)),"")</f>
        <v>4</v>
      </c>
      <c r="H52" s="73" t="n">
        <f aca="false">_xlfn.IFNA(INDEX(Cascade!$BE:$BE,MATCH($E52,Cascade!$E:$E,0)),"")</f>
        <v>1</v>
      </c>
      <c r="I52" s="73" t="str">
        <f aca="false">_xlfn.IFNA(INDEX(Cascade!$BF:$BF,MATCH($E52,Cascade!$E:$E,0)),"")</f>
        <v/>
      </c>
      <c r="J52" s="73" t="str">
        <f aca="false">_xlfn.IFNA(INDEX(Cascade!$BG:$BG,MATCH($E52,Cascade!$E:$E,0)),"")</f>
        <v/>
      </c>
      <c r="K52" s="73" t="n">
        <f aca="false">_xlfn.IFNA(INDEX(Cascade!$BH:$BH,MATCH($E52,Cascade!$E:$E,0)),"")</f>
        <v>0</v>
      </c>
      <c r="L52" s="73" t="str">
        <f aca="false">_xlfn.IFNA(INDEX(Cascade!$BI:$BI,MATCH($E52,Cascade!$E:$E,0)),"")</f>
        <v/>
      </c>
      <c r="M52" s="73" t="n">
        <f aca="false">_xlfn.IFNA(INDEX(Cascade!$BK:$BK,MATCH($E52,Cascade!$E:$E,0)),"")</f>
        <v>3</v>
      </c>
      <c r="N52" s="118" t="n">
        <v>17</v>
      </c>
      <c r="O52" s="118" t="n">
        <v>30</v>
      </c>
      <c r="P52" s="118" t="n">
        <v>9</v>
      </c>
      <c r="Q52" s="75" t="n">
        <f aca="false">IF(OR(SUM($H52)=0,SUM($N52)=0,SUM($O52)=0),"",ROUND($H52*$N52,0))</f>
        <v>17</v>
      </c>
      <c r="R52" s="75" t="n">
        <f aca="false">IF(OR(SUM($Q52)=0,SUM($O52)=0),"",ROUND(SUM($Q52)/SUM($O52),0)-SUM($Q52))</f>
        <v>-16</v>
      </c>
      <c r="S52" s="75" t="n">
        <f aca="false">IF(SUM($H52)=0,"",SUM($H52)-SUM($Q52))</f>
        <v>-16</v>
      </c>
      <c r="T52" s="75" t="str">
        <f aca="false">IF(OR(SUM($S52)=0,$N52&gt;1,SUM($P52)&lt;=0),"",ROUND($S52/$P52,0)-$S52)</f>
        <v/>
      </c>
      <c r="U52" s="118" t="n">
        <f aca="false">IF(SUM($G52)&lt;=0,"",SUM($Q52,$S52)/$G52)</f>
        <v>0.25</v>
      </c>
      <c r="V52" s="118" t="n">
        <f aca="false">IF(OR(SUM($Q52)=0,SUM($G52)=0),"",SUM($Q52)/SUM($G52))</f>
        <v>4.25</v>
      </c>
      <c r="W52" s="118" t="n">
        <f aca="false">IF(OR(SUM($S52)=0,SUM($G52)=0),"",SUM($S52)/SUM($G52))</f>
        <v>-4</v>
      </c>
      <c r="X52" s="118" t="str">
        <f aca="false">IF(OR(SUM($G52)=0,SUM($I52)=0),"",SUM($I52)/SUM($G52))</f>
        <v/>
      </c>
      <c r="Y52" s="118" t="str">
        <f aca="false">IF(OR(SUM($G52)=0,SUM($J52)=0),"",SUM($J52)/SUM($G52))</f>
        <v/>
      </c>
      <c r="Z52" s="118" t="str">
        <f aca="false">IF(OR(SUM($G52)=0,SUM($K52)=0),"",SUM($K52)/SUM($G52))</f>
        <v/>
      </c>
      <c r="AA52" s="118" t="str">
        <f aca="false">IF(OR(SUM($G52)=0,SUM($L52)=0),"",SUM($L52)/SUM($G52))</f>
        <v/>
      </c>
      <c r="AB52" s="118" t="n">
        <v>32</v>
      </c>
      <c r="AC52" s="118"/>
      <c r="AD52" s="118"/>
      <c r="AE52" s="118" t="n">
        <v>32</v>
      </c>
      <c r="AF52" s="118" t="n">
        <v>27</v>
      </c>
      <c r="AG52" s="118" t="n">
        <v>37</v>
      </c>
      <c r="AH52" s="118" t="n">
        <v>35</v>
      </c>
      <c r="AI52" s="118" t="n">
        <v>25</v>
      </c>
      <c r="AJ52" s="118" t="n">
        <v>22</v>
      </c>
      <c r="AK52" s="118" t="n">
        <f aca="false">IF(SUM($G52)&lt;=0,"",SUM($V52:$AJ52))</f>
        <v>210.25</v>
      </c>
      <c r="AL52" s="118"/>
      <c r="AM52" s="75" t="n">
        <f aca="false">IF(OR(SUM($AB52)&lt;=0,SUM($G52)&lt;=0),"",ROUND($G52*$AB52,0))</f>
        <v>128</v>
      </c>
      <c r="AN52" s="75" t="str">
        <f aca="false">IF(SUM($AM52)&lt;=0,"",IF(SUM($AL52)&lt;=0,"ENTER VALID YIELD!",ROUND($AM52/$AL52,0)-$AM52))</f>
        <v>ENTER VALID YIELD!</v>
      </c>
      <c r="AO52" s="118"/>
      <c r="AP52" s="75" t="str">
        <f aca="false">IF(OR(SUM($AC52)&lt;=0,SUM($G52)&lt;=0),"",ROUND($G52*$AC52,0))</f>
        <v/>
      </c>
      <c r="AQ52" s="75" t="str">
        <f aca="false">IF(SUM($AP52)&lt;=0,"",IF(SUM($AO52)&lt;=0,"ENTER VALID YIELD!",ROUND($AP52/$AO52,0)-$AP52))</f>
        <v/>
      </c>
      <c r="AR52" s="118"/>
      <c r="AS52" s="75" t="str">
        <f aca="false">IF(OR(SUM($AD52)&lt;=0,SUM($G52)&lt;=0),"",ROUND($G52*$AD52,0))</f>
        <v/>
      </c>
      <c r="AT52" s="75" t="str">
        <f aca="false">IF(SUM($AS52)&lt;=0,"",IF(SUM($AR52)&lt;=0,"ENTER VALID YIELD!",ROUND($AS52/$AR52,0)-$AS52))</f>
        <v/>
      </c>
      <c r="AU52" s="118"/>
      <c r="AV52" s="75" t="n">
        <f aca="false">IF(OR(SUM($AE52)&lt;=0,SUM($G52)&lt;=0),"",ROUND($G52*$AE52,0))</f>
        <v>128</v>
      </c>
      <c r="AW52" s="75" t="str">
        <f aca="false">IF(SUM($AV52)&lt;=0,"",IF(SUM($AU52)&lt;=0,"ENTER VALID YIELD!",ROUND($AV52/$AU52,0)-$AV52))</f>
        <v>ENTER VALID YIELD!</v>
      </c>
      <c r="AX52" s="118"/>
      <c r="AY52" s="75" t="n">
        <f aca="false">IF(OR(SUM($AF52)&lt;=0,SUM($G52)&lt;=0),"",ROUND($G52*$AF52,0))</f>
        <v>108</v>
      </c>
      <c r="AZ52" s="75" t="str">
        <f aca="false">IF(SUM($AY52)&lt;=0,"",IF(SUM($AX52)&lt;=0,"ENTER VALID YIELD!",ROUND($AY52/$AX52,0)-$AY52))</f>
        <v>ENTER VALID YIELD!</v>
      </c>
      <c r="BA52" s="118" t="n">
        <v>4</v>
      </c>
      <c r="BB52" s="75" t="n">
        <f aca="false">IF(OR(SUM($AG52)&lt;=0,SUM($G52)&lt;=0),"",ROUND($G52*$AG52,0))</f>
        <v>148</v>
      </c>
      <c r="BC52" s="75" t="n">
        <f aca="false">IF(SUM($BB52)&lt;=0,"",IF(SUM($BA52)&lt;=0,"ENTER VALID YIELD!",ROUND($BB52/$BA52,0)-$BB52))</f>
        <v>-111</v>
      </c>
      <c r="BD52" s="118"/>
      <c r="BE52" s="75" t="n">
        <f aca="false">IF(OR(SUM($AH52)&lt;=0,SUM($G52)&lt;=0),"",ROUND($G52*$AH52,0))</f>
        <v>140</v>
      </c>
      <c r="BF52" s="75" t="str">
        <f aca="false">IF(SUM($BE52)&lt;=0,"",IF(SUM($BD52)&lt;=0,"ENTER VALID YIELD!",ROUND($BE52/$BD52,0)-$BE52))</f>
        <v>ENTER VALID YIELD!</v>
      </c>
      <c r="BG52" s="118" t="n">
        <v>22</v>
      </c>
      <c r="BH52" s="75" t="n">
        <f aca="false">IF(OR(SUM($AI52)&lt;=0,SUM($G52)&lt;=0),"",ROUND($G52*$AI52,0))</f>
        <v>100</v>
      </c>
      <c r="BI52" s="75" t="n">
        <f aca="false">IF(SUM($BH52)&lt;=0,"",IF(SUM($BG52)&lt;=0,"ENTER VALID YIELD!",ROUND($BH52/$BG52,0)-$BH52))</f>
        <v>-95</v>
      </c>
      <c r="BJ52" s="118" t="n">
        <v>1</v>
      </c>
      <c r="BK52" s="75" t="n">
        <f aca="false">IF(OR(SUM($AJ52)&lt;=0,SUM($G52)&lt;=0),"",ROUND($G52*$AJ52,0))</f>
        <v>88</v>
      </c>
      <c r="BL52" s="75" t="n">
        <f aca="false">IF(SUM($BK52)&lt;=0,"",IF(SUM($BJ52)&lt;=0,"ENTER VALID YIELD!",ROUND($BK52/$BJ52,0)-$BK52))</f>
        <v>0</v>
      </c>
      <c r="BM52" s="73" t="n">
        <f aca="false">IF(SUM($G52)&lt;=0,"",$G52)</f>
        <v>4</v>
      </c>
      <c r="BN52" s="73" t="n">
        <f aca="false">IF(SUM($G52)&lt;=0,"",SUM($I52:$L52,$Q52,$S52,$AM52,$AP52,$AS52,$AV52,$AY52,$BB52,$BE52,$BH52,$BK52))</f>
        <v>841</v>
      </c>
      <c r="BO52" s="73" t="n">
        <f aca="false">IF(AND(SUM($BN52)&lt;=0,SUM($BM52)&lt;=0),"",SUM($BN52)-SUM($BM52))</f>
        <v>837</v>
      </c>
      <c r="BP52" s="73" t="str">
        <f aca="false">_xlfn.IFNA(INDEX(PMTCT!$AF:$AF,MATCH($E52,PMTCT!$E:$E,0)),"")</f>
        <v/>
      </c>
      <c r="BQ52" s="73" t="str">
        <f aca="false">_xlfn.IFNA(INDEX(PMTCT!$AV:$AV,MATCH($E52,PMTCT!$E:$E,0)),"")</f>
        <v/>
      </c>
      <c r="BR52" s="73" t="n">
        <f aca="false">_xlfn.IFNA(INDEX(TB!$R:$R,MATCH($E52,TB!$E:$E,0)),"")</f>
        <v>0</v>
      </c>
      <c r="BS52" s="73" t="str">
        <f aca="false">_xlfn.IFNA(INDEX(VMMC!$AD:$AD,MATCH($E52,VMMC!$E:$E,0)),"")</f>
        <v/>
      </c>
      <c r="BT52" s="73" t="n">
        <f aca="false">IF(SUM($R52,$T52,$AN52,$AQ52,$AT52,$AW52,$AZ52,$BC52,$BF52,$BI52,$BL52,$BP52:$BS52)=0,"",SUM($R52,$T52,$AN52,$AQ52,$AT52,$AW52,$AZ52,$BC52,$BF52,$BI52,$BL52,$BP52:$BS52))</f>
        <v>-222</v>
      </c>
      <c r="BU52" s="73" t="n">
        <f aca="false">IF(OR(SUM($BT52)=0,SUM($BN52)=0),"",SUM($BT52,$BN52))</f>
        <v>619</v>
      </c>
      <c r="BV52" s="118" t="n">
        <f aca="false">IF(SUM($BU52)=0,"",SUM($BN52)/$BU52)</f>
        <v>1.35864297253635</v>
      </c>
      <c r="BW52" s="73" t="n">
        <v>36</v>
      </c>
      <c r="BX52" s="118" t="n">
        <f aca="false">IF(OR($C52="01-04",$C52="05-09"),"",0%)</f>
        <v>0</v>
      </c>
      <c r="BY52" s="75" t="n">
        <f aca="false">IF(OR($C52="01-04",$C52="05-09",SUM($BW52)=0),"",ROUND($BW52*(1+$BX52),0))</f>
        <v>36</v>
      </c>
    </row>
    <row r="53" customFormat="false" ht="15" hidden="false" customHeight="false" outlineLevel="0" collapsed="false">
      <c r="A53" s="0" t="s">
        <v>142</v>
      </c>
      <c r="B53" s="0" t="s">
        <v>109</v>
      </c>
      <c r="C53" s="0" t="s">
        <v>77</v>
      </c>
      <c r="D53" s="0" t="s">
        <v>56</v>
      </c>
      <c r="E53" s="0" t="str">
        <f aca="false">B53&amp;"|"&amp;C53&amp;"|"&amp;D53</f>
        <v>Berea [#SNU] [#DREAMS] [wpg5evyl1OL]|40-44|Female</v>
      </c>
      <c r="F53" s="118" t="n">
        <f aca="false">_xlfn.IFNA(INDEX(Cascade!$Y:$Y,MATCH($E53,Cascade!$E:$E,0)),"")</f>
        <v>0.943973941368078</v>
      </c>
      <c r="G53" s="73" t="str">
        <f aca="false">_xlfn.IFNA(INDEX(Cascade!$BD:$BD,MATCH($E53,Cascade!$E:$E,0)),"")</f>
        <v/>
      </c>
      <c r="H53" s="73" t="str">
        <f aca="false">_xlfn.IFNA(INDEX(Cascade!$BE:$BE,MATCH($E53,Cascade!$E:$E,0)),"")</f>
        <v/>
      </c>
      <c r="I53" s="73" t="n">
        <f aca="false">_xlfn.IFNA(INDEX(Cascade!$BF:$BF,MATCH($E53,Cascade!$E:$E,0)),"")</f>
        <v>2350</v>
      </c>
      <c r="J53" s="73" t="str">
        <f aca="false">_xlfn.IFNA(INDEX(Cascade!$BG:$BG,MATCH($E53,Cascade!$E:$E,0)),"")</f>
        <v/>
      </c>
      <c r="K53" s="73" t="n">
        <f aca="false">_xlfn.IFNA(INDEX(Cascade!$BH:$BH,MATCH($E53,Cascade!$E:$E,0)),"")</f>
        <v>-1680</v>
      </c>
      <c r="L53" s="73" t="str">
        <f aca="false">_xlfn.IFNA(INDEX(Cascade!$BI:$BI,MATCH($E53,Cascade!$E:$E,0)),"")</f>
        <v/>
      </c>
      <c r="M53" s="73" t="str">
        <f aca="false">_xlfn.IFNA(INDEX(Cascade!$BK:$BK,MATCH($E53,Cascade!$E:$E,0)),"")</f>
        <v/>
      </c>
      <c r="N53" s="118" t="n">
        <v>18</v>
      </c>
      <c r="O53" s="118" t="n">
        <v>1</v>
      </c>
      <c r="P53" s="118" t="n">
        <v>13</v>
      </c>
      <c r="Q53" s="75" t="str">
        <f aca="false">IF(OR(SUM($H53)=0,SUM($N53)=0,SUM($O53)=0),"",ROUND($H53*$N53,0))</f>
        <v/>
      </c>
      <c r="R53" s="75" t="str">
        <f aca="false">IF(OR(SUM($Q53)=0,SUM($O53)=0),"",ROUND(SUM($Q53)/SUM($O53),0)-SUM($Q53))</f>
        <v/>
      </c>
      <c r="S53" s="75" t="str">
        <f aca="false">IF(SUM($H53)=0,"",SUM($H53)-SUM($Q53))</f>
        <v/>
      </c>
      <c r="T53" s="75" t="str">
        <f aca="false">IF(OR(SUM($S53)=0,$N53&gt;1,SUM($P53)&lt;=0),"",ROUND($S53/$P53,0)-$S53)</f>
        <v/>
      </c>
      <c r="U53" s="118" t="str">
        <f aca="false">IF(SUM($G53)&lt;=0,"",SUM($Q53,$S53)/$G53)</f>
        <v/>
      </c>
      <c r="V53" s="118" t="str">
        <f aca="false">IF(OR(SUM($Q53)=0,SUM($G53)=0),"",SUM($Q53)/SUM($G53))</f>
        <v/>
      </c>
      <c r="W53" s="118" t="str">
        <f aca="false">IF(OR(SUM($S53)=0,SUM($G53)=0),"",SUM($S53)/SUM($G53))</f>
        <v/>
      </c>
      <c r="X53" s="118" t="str">
        <f aca="false">IF(OR(SUM($G53)=0,SUM($I53)=0),"",SUM($I53)/SUM($G53))</f>
        <v/>
      </c>
      <c r="Y53" s="118" t="str">
        <f aca="false">IF(OR(SUM($G53)=0,SUM($J53)=0),"",SUM($J53)/SUM($G53))</f>
        <v/>
      </c>
      <c r="Z53" s="118" t="str">
        <f aca="false">IF(OR(SUM($G53)=0,SUM($K53)=0),"",SUM($K53)/SUM($G53))</f>
        <v/>
      </c>
      <c r="AA53" s="118" t="str">
        <f aca="false">IF(OR(SUM($G53)=0,SUM($L53)=0),"",SUM($L53)/SUM($G53))</f>
        <v/>
      </c>
      <c r="AB53" s="118" t="n">
        <v>9</v>
      </c>
      <c r="AC53" s="118"/>
      <c r="AD53" s="118"/>
      <c r="AE53" s="118" t="n">
        <v>5</v>
      </c>
      <c r="AF53" s="118" t="n">
        <v>36</v>
      </c>
      <c r="AG53" s="118" t="n">
        <v>40</v>
      </c>
      <c r="AH53" s="118" t="n">
        <v>6</v>
      </c>
      <c r="AI53" s="118" t="n">
        <v>37</v>
      </c>
      <c r="AJ53" s="118" t="n">
        <v>5</v>
      </c>
      <c r="AK53" s="118" t="str">
        <f aca="false">IF(SUM($G53)&lt;=0,"",SUM($V53:$AJ53))</f>
        <v/>
      </c>
      <c r="AL53" s="118" t="n">
        <v>26</v>
      </c>
      <c r="AM53" s="75" t="str">
        <f aca="false">IF(OR(SUM($AB53)&lt;=0,SUM($G53)&lt;=0),"",ROUND($G53*$AB53,0))</f>
        <v/>
      </c>
      <c r="AN53" s="75" t="str">
        <f aca="false">IF(SUM($AM53)&lt;=0,"",IF(SUM($AL53)&lt;=0,"ENTER VALID YIELD!",ROUND($AM53/$AL53,0)-$AM53))</f>
        <v/>
      </c>
      <c r="AO53" s="118"/>
      <c r="AP53" s="75" t="str">
        <f aca="false">IF(OR(SUM($AC53)&lt;=0,SUM($G53)&lt;=0),"",ROUND($G53*$AC53,0))</f>
        <v/>
      </c>
      <c r="AQ53" s="75" t="str">
        <f aca="false">IF(SUM($AP53)&lt;=0,"",IF(SUM($AO53)&lt;=0,"ENTER VALID YIELD!",ROUND($AP53/$AO53,0)-$AP53))</f>
        <v/>
      </c>
      <c r="AR53" s="118"/>
      <c r="AS53" s="75" t="str">
        <f aca="false">IF(OR(SUM($AD53)&lt;=0,SUM($G53)&lt;=0),"",ROUND($G53*$AD53,0))</f>
        <v/>
      </c>
      <c r="AT53" s="75" t="str">
        <f aca="false">IF(SUM($AS53)&lt;=0,"",IF(SUM($AR53)&lt;=0,"ENTER VALID YIELD!",ROUND($AS53/$AR53,0)-$AS53))</f>
        <v/>
      </c>
      <c r="AU53" s="118"/>
      <c r="AV53" s="75" t="str">
        <f aca="false">IF(OR(SUM($AE53)&lt;=0,SUM($G53)&lt;=0),"",ROUND($G53*$AE53,0))</f>
        <v/>
      </c>
      <c r="AW53" s="75" t="str">
        <f aca="false">IF(SUM($AV53)&lt;=0,"",IF(SUM($AU53)&lt;=0,"ENTER VALID YIELD!",ROUND($AV53/$AU53,0)-$AV53))</f>
        <v/>
      </c>
      <c r="AX53" s="118"/>
      <c r="AY53" s="75" t="str">
        <f aca="false">IF(OR(SUM($AF53)&lt;=0,SUM($G53)&lt;=0),"",ROUND($G53*$AF53,0))</f>
        <v/>
      </c>
      <c r="AZ53" s="75" t="str">
        <f aca="false">IF(SUM($AY53)&lt;=0,"",IF(SUM($AX53)&lt;=0,"ENTER VALID YIELD!",ROUND($AY53/$AX53,0)-$AY53))</f>
        <v/>
      </c>
      <c r="BA53" s="118" t="n">
        <v>50</v>
      </c>
      <c r="BB53" s="75" t="str">
        <f aca="false">IF(OR(SUM($AG53)&lt;=0,SUM($G53)&lt;=0),"",ROUND($G53*$AG53,0))</f>
        <v/>
      </c>
      <c r="BC53" s="75" t="str">
        <f aca="false">IF(SUM($BB53)&lt;=0,"",IF(SUM($BA53)&lt;=0,"ENTER VALID YIELD!",ROUND($BB53/$BA53,0)-$BB53))</f>
        <v/>
      </c>
      <c r="BD53" s="118"/>
      <c r="BE53" s="75" t="str">
        <f aca="false">IF(OR(SUM($AH53)&lt;=0,SUM($G53)&lt;=0),"",ROUND($G53*$AH53,0))</f>
        <v/>
      </c>
      <c r="BF53" s="75" t="str">
        <f aca="false">IF(SUM($BE53)&lt;=0,"",IF(SUM($BD53)&lt;=0,"ENTER VALID YIELD!",ROUND($BE53/$BD53,0)-$BE53))</f>
        <v/>
      </c>
      <c r="BG53" s="118" t="n">
        <v>45</v>
      </c>
      <c r="BH53" s="75" t="str">
        <f aca="false">IF(OR(SUM($AI53)&lt;=0,SUM($G53)&lt;=0),"",ROUND($G53*$AI53,0))</f>
        <v/>
      </c>
      <c r="BI53" s="75" t="str">
        <f aca="false">IF(SUM($BH53)&lt;=0,"",IF(SUM($BG53)&lt;=0,"ENTER VALID YIELD!",ROUND($BH53/$BG53,0)-$BH53))</f>
        <v/>
      </c>
      <c r="BJ53" s="118" t="n">
        <v>41</v>
      </c>
      <c r="BK53" s="75" t="str">
        <f aca="false">IF(OR(SUM($AJ53)&lt;=0,SUM($G53)&lt;=0),"",ROUND($G53*$AJ53,0))</f>
        <v/>
      </c>
      <c r="BL53" s="75" t="str">
        <f aca="false">IF(SUM($BK53)&lt;=0,"",IF(SUM($BJ53)&lt;=0,"ENTER VALID YIELD!",ROUND($BK53/$BJ53,0)-$BK53))</f>
        <v/>
      </c>
      <c r="BM53" s="73" t="str">
        <f aca="false">IF(SUM($G53)&lt;=0,"",$G53)</f>
        <v/>
      </c>
      <c r="BN53" s="73" t="str">
        <f aca="false">IF(SUM($G53)&lt;=0,"",SUM($I53:$L53,$Q53,$S53,$AM53,$AP53,$AS53,$AV53,$AY53,$BB53,$BE53,$BH53,$BK53))</f>
        <v/>
      </c>
      <c r="BO53" s="73" t="str">
        <f aca="false">IF(AND(SUM($BN53)&lt;=0,SUM($BM53)&lt;=0),"",SUM($BN53)-SUM($BM53))</f>
        <v/>
      </c>
      <c r="BP53" s="73" t="n">
        <f aca="false">_xlfn.IFNA(INDEX(PMTCT!$AF:$AF,MATCH($E53,PMTCT!$E:$E,0)),"")</f>
        <v>-2303</v>
      </c>
      <c r="BQ53" s="73" t="str">
        <f aca="false">_xlfn.IFNA(INDEX(PMTCT!$AV:$AV,MATCH($E53,PMTCT!$E:$E,0)),"")</f>
        <v/>
      </c>
      <c r="BR53" s="73" t="n">
        <f aca="false">_xlfn.IFNA(INDEX(TB!$R:$R,MATCH($E53,TB!$E:$E,0)),"")</f>
        <v>1260</v>
      </c>
      <c r="BS53" s="73" t="str">
        <f aca="false">_xlfn.IFNA(INDEX(VMMC!$AD:$AD,MATCH($E53,VMMC!$E:$E,0)),"")</f>
        <v/>
      </c>
      <c r="BT53" s="73" t="n">
        <f aca="false">IF(SUM($R53,$T53,$AN53,$AQ53,$AT53,$AW53,$AZ53,$BC53,$BF53,$BI53,$BL53,$BP53:$BS53)=0,"",SUM($R53,$T53,$AN53,$AQ53,$AT53,$AW53,$AZ53,$BC53,$BF53,$BI53,$BL53,$BP53:$BS53))</f>
        <v>-1043</v>
      </c>
      <c r="BU53" s="73" t="str">
        <f aca="false">IF(OR(SUM($BT53)=0,SUM($BN53)=0),"",SUM($BT53,$BN53))</f>
        <v/>
      </c>
      <c r="BV53" s="118" t="str">
        <f aca="false">IF(SUM($BU53)=0,"",SUM($BN53)/$BU53)</f>
        <v/>
      </c>
      <c r="BW53" s="73" t="n">
        <v>21</v>
      </c>
      <c r="BX53" s="118" t="n">
        <f aca="false">IF(OR($C53="01-04",$C53="05-09"),"",0%)</f>
        <v>0</v>
      </c>
      <c r="BY53" s="75" t="n">
        <f aca="false">IF(OR($C53="01-04",$C53="05-09",SUM($BW53)=0),"",ROUND($BW53*(1+$BX53),0))</f>
        <v>21</v>
      </c>
    </row>
    <row r="54" customFormat="false" ht="15" hidden="false" customHeight="false" outlineLevel="0" collapsed="false">
      <c r="A54" s="0" t="s">
        <v>142</v>
      </c>
      <c r="B54" s="0" t="s">
        <v>109</v>
      </c>
      <c r="C54" s="0" t="s">
        <v>77</v>
      </c>
      <c r="D54" s="0" t="s">
        <v>58</v>
      </c>
      <c r="E54" s="0" t="str">
        <f aca="false">B54&amp;"|"&amp;C54&amp;"|"&amp;D54</f>
        <v>Berea [#SNU] [#DREAMS] [wpg5evyl1OL]|40-44|Male</v>
      </c>
      <c r="F54" s="118" t="n">
        <f aca="false">_xlfn.IFNA(INDEX(Cascade!$Y:$Y,MATCH($E54,Cascade!$E:$E,0)),"")</f>
        <v>0.779113137173643</v>
      </c>
      <c r="G54" s="73" t="n">
        <f aca="false">_xlfn.IFNA(INDEX(Cascade!$BD:$BD,MATCH($E54,Cascade!$E:$E,0)),"")</f>
        <v>5</v>
      </c>
      <c r="H54" s="73" t="n">
        <f aca="false">_xlfn.IFNA(INDEX(Cascade!$BE:$BE,MATCH($E54,Cascade!$E:$E,0)),"")</f>
        <v>3</v>
      </c>
      <c r="I54" s="73" t="str">
        <f aca="false">_xlfn.IFNA(INDEX(Cascade!$BF:$BF,MATCH($E54,Cascade!$E:$E,0)),"")</f>
        <v/>
      </c>
      <c r="J54" s="73" t="str">
        <f aca="false">_xlfn.IFNA(INDEX(Cascade!$BG:$BG,MATCH($E54,Cascade!$E:$E,0)),"")</f>
        <v/>
      </c>
      <c r="K54" s="73" t="n">
        <f aca="false">_xlfn.IFNA(INDEX(Cascade!$BH:$BH,MATCH($E54,Cascade!$E:$E,0)),"")</f>
        <v>-6664</v>
      </c>
      <c r="L54" s="73" t="str">
        <f aca="false">_xlfn.IFNA(INDEX(Cascade!$BI:$BI,MATCH($E54,Cascade!$E:$E,0)),"")</f>
        <v/>
      </c>
      <c r="M54" s="73" t="n">
        <f aca="false">_xlfn.IFNA(INDEX(Cascade!$BK:$BK,MATCH($E54,Cascade!$E:$E,0)),"")</f>
        <v>6666</v>
      </c>
      <c r="N54" s="118" t="n">
        <v>7</v>
      </c>
      <c r="O54" s="118" t="n">
        <v>12</v>
      </c>
      <c r="P54" s="118" t="n">
        <v>37</v>
      </c>
      <c r="Q54" s="75" t="n">
        <f aca="false">IF(OR(SUM($H54)=0,SUM($N54)=0,SUM($O54)=0),"",ROUND($H54*$N54,0))</f>
        <v>21</v>
      </c>
      <c r="R54" s="75" t="n">
        <f aca="false">IF(OR(SUM($Q54)=0,SUM($O54)=0),"",ROUND(SUM($Q54)/SUM($O54),0)-SUM($Q54))</f>
        <v>-19</v>
      </c>
      <c r="S54" s="75" t="n">
        <f aca="false">IF(SUM($H54)=0,"",SUM($H54)-SUM($Q54))</f>
        <v>-18</v>
      </c>
      <c r="T54" s="75" t="str">
        <f aca="false">IF(OR(SUM($S54)=0,$N54&gt;1,SUM($P54)&lt;=0),"",ROUND($S54/$P54,0)-$S54)</f>
        <v/>
      </c>
      <c r="U54" s="118" t="n">
        <f aca="false">IF(SUM($G54)&lt;=0,"",SUM($Q54,$S54)/$G54)</f>
        <v>0.6</v>
      </c>
      <c r="V54" s="118" t="n">
        <f aca="false">IF(OR(SUM($Q54)=0,SUM($G54)=0),"",SUM($Q54)/SUM($G54))</f>
        <v>4.2</v>
      </c>
      <c r="W54" s="118" t="n">
        <f aca="false">IF(OR(SUM($S54)=0,SUM($G54)=0),"",SUM($S54)/SUM($G54))</f>
        <v>-3.6</v>
      </c>
      <c r="X54" s="118" t="str">
        <f aca="false">IF(OR(SUM($G54)=0,SUM($I54)=0),"",SUM($I54)/SUM($G54))</f>
        <v/>
      </c>
      <c r="Y54" s="118" t="str">
        <f aca="false">IF(OR(SUM($G54)=0,SUM($J54)=0),"",SUM($J54)/SUM($G54))</f>
        <v/>
      </c>
      <c r="Z54" s="118" t="n">
        <f aca="false">IF(OR(SUM($G54)=0,SUM($K54)=0),"",SUM($K54)/SUM($G54))</f>
        <v>-1332.8</v>
      </c>
      <c r="AA54" s="118" t="str">
        <f aca="false">IF(OR(SUM($G54)=0,SUM($L54)=0),"",SUM($L54)/SUM($G54))</f>
        <v/>
      </c>
      <c r="AB54" s="118" t="n">
        <v>14</v>
      </c>
      <c r="AC54" s="118"/>
      <c r="AD54" s="118"/>
      <c r="AE54" s="118" t="n">
        <v>5</v>
      </c>
      <c r="AF54" s="118" t="n">
        <v>31</v>
      </c>
      <c r="AG54" s="118" t="n">
        <v>42</v>
      </c>
      <c r="AH54" s="118" t="n">
        <v>10</v>
      </c>
      <c r="AI54" s="118" t="n">
        <v>8</v>
      </c>
      <c r="AJ54" s="118" t="n">
        <v>47</v>
      </c>
      <c r="AK54" s="118" t="n">
        <f aca="false">IF(SUM($G54)&lt;=0,"",SUM($V54:$AJ54))</f>
        <v>-1175.2</v>
      </c>
      <c r="AL54" s="118"/>
      <c r="AM54" s="75" t="n">
        <f aca="false">IF(OR(SUM($AB54)&lt;=0,SUM($G54)&lt;=0),"",ROUND($G54*$AB54,0))</f>
        <v>70</v>
      </c>
      <c r="AN54" s="75" t="str">
        <f aca="false">IF(SUM($AM54)&lt;=0,"",IF(SUM($AL54)&lt;=0,"ENTER VALID YIELD!",ROUND($AM54/$AL54,0)-$AM54))</f>
        <v>ENTER VALID YIELD!</v>
      </c>
      <c r="AO54" s="118"/>
      <c r="AP54" s="75" t="str">
        <f aca="false">IF(OR(SUM($AC54)&lt;=0,SUM($G54)&lt;=0),"",ROUND($G54*$AC54,0))</f>
        <v/>
      </c>
      <c r="AQ54" s="75" t="str">
        <f aca="false">IF(SUM($AP54)&lt;=0,"",IF(SUM($AO54)&lt;=0,"ENTER VALID YIELD!",ROUND($AP54/$AO54,0)-$AP54))</f>
        <v/>
      </c>
      <c r="AR54" s="118"/>
      <c r="AS54" s="75" t="str">
        <f aca="false">IF(OR(SUM($AD54)&lt;=0,SUM($G54)&lt;=0),"",ROUND($G54*$AD54,0))</f>
        <v/>
      </c>
      <c r="AT54" s="75" t="str">
        <f aca="false">IF(SUM($AS54)&lt;=0,"",IF(SUM($AR54)&lt;=0,"ENTER VALID YIELD!",ROUND($AS54/$AR54,0)-$AS54))</f>
        <v/>
      </c>
      <c r="AU54" s="118"/>
      <c r="AV54" s="75" t="n">
        <f aca="false">IF(OR(SUM($AE54)&lt;=0,SUM($G54)&lt;=0),"",ROUND($G54*$AE54,0))</f>
        <v>25</v>
      </c>
      <c r="AW54" s="75" t="str">
        <f aca="false">IF(SUM($AV54)&lt;=0,"",IF(SUM($AU54)&lt;=0,"ENTER VALID YIELD!",ROUND($AV54/$AU54,0)-$AV54))</f>
        <v>ENTER VALID YIELD!</v>
      </c>
      <c r="AX54" s="118"/>
      <c r="AY54" s="75" t="n">
        <f aca="false">IF(OR(SUM($AF54)&lt;=0,SUM($G54)&lt;=0),"",ROUND($G54*$AF54,0))</f>
        <v>155</v>
      </c>
      <c r="AZ54" s="75" t="str">
        <f aca="false">IF(SUM($AY54)&lt;=0,"",IF(SUM($AX54)&lt;=0,"ENTER VALID YIELD!",ROUND($AY54/$AX54,0)-$AY54))</f>
        <v>ENTER VALID YIELD!</v>
      </c>
      <c r="BA54" s="118" t="n">
        <v>0</v>
      </c>
      <c r="BB54" s="75" t="n">
        <f aca="false">IF(OR(SUM($AG54)&lt;=0,SUM($G54)&lt;=0),"",ROUND($G54*$AG54,0))</f>
        <v>210</v>
      </c>
      <c r="BC54" s="75" t="str">
        <f aca="false">IF(SUM($BB54)&lt;=0,"",IF(SUM($BA54)&lt;=0,"ENTER VALID YIELD!",ROUND($BB54/$BA54,0)-$BB54))</f>
        <v>ENTER VALID YIELD!</v>
      </c>
      <c r="BD54" s="118"/>
      <c r="BE54" s="75" t="n">
        <f aca="false">IF(OR(SUM($AH54)&lt;=0,SUM($G54)&lt;=0),"",ROUND($G54*$AH54,0))</f>
        <v>50</v>
      </c>
      <c r="BF54" s="75" t="str">
        <f aca="false">IF(SUM($BE54)&lt;=0,"",IF(SUM($BD54)&lt;=0,"ENTER VALID YIELD!",ROUND($BE54/$BD54,0)-$BE54))</f>
        <v>ENTER VALID YIELD!</v>
      </c>
      <c r="BG54" s="118" t="n">
        <v>46</v>
      </c>
      <c r="BH54" s="75" t="n">
        <f aca="false">IF(OR(SUM($AI54)&lt;=0,SUM($G54)&lt;=0),"",ROUND($G54*$AI54,0))</f>
        <v>40</v>
      </c>
      <c r="BI54" s="75" t="n">
        <f aca="false">IF(SUM($BH54)&lt;=0,"",IF(SUM($BG54)&lt;=0,"ENTER VALID YIELD!",ROUND($BH54/$BG54,0)-$BH54))</f>
        <v>-39</v>
      </c>
      <c r="BJ54" s="118" t="n">
        <v>21</v>
      </c>
      <c r="BK54" s="75" t="n">
        <f aca="false">IF(OR(SUM($AJ54)&lt;=0,SUM($G54)&lt;=0),"",ROUND($G54*$AJ54,0))</f>
        <v>235</v>
      </c>
      <c r="BL54" s="75" t="n">
        <f aca="false">IF(SUM($BK54)&lt;=0,"",IF(SUM($BJ54)&lt;=0,"ENTER VALID YIELD!",ROUND($BK54/$BJ54,0)-$BK54))</f>
        <v>-224</v>
      </c>
      <c r="BM54" s="73" t="n">
        <f aca="false">IF(SUM($G54)&lt;=0,"",$G54)</f>
        <v>5</v>
      </c>
      <c r="BN54" s="73" t="n">
        <f aca="false">IF(SUM($G54)&lt;=0,"",SUM($I54:$L54,$Q54,$S54,$AM54,$AP54,$AS54,$AV54,$AY54,$BB54,$BE54,$BH54,$BK54))</f>
        <v>-5876</v>
      </c>
      <c r="BO54" s="73" t="n">
        <f aca="false">IF(AND(SUM($BN54)&lt;=0,SUM($BM54)&lt;=0),"",SUM($BN54)-SUM($BM54))</f>
        <v>-5881</v>
      </c>
      <c r="BP54" s="73" t="str">
        <f aca="false">_xlfn.IFNA(INDEX(PMTCT!$AF:$AF,MATCH($E54,PMTCT!$E:$E,0)),"")</f>
        <v/>
      </c>
      <c r="BQ54" s="73" t="str">
        <f aca="false">_xlfn.IFNA(INDEX(PMTCT!$AV:$AV,MATCH($E54,PMTCT!$E:$E,0)),"")</f>
        <v/>
      </c>
      <c r="BR54" s="73" t="n">
        <f aca="false">_xlfn.IFNA(INDEX(TB!$R:$R,MATCH($E54,TB!$E:$E,0)),"")</f>
        <v>6188</v>
      </c>
      <c r="BS54" s="73" t="str">
        <f aca="false">_xlfn.IFNA(INDEX(VMMC!$AD:$AD,MATCH($E54,VMMC!$E:$E,0)),"")</f>
        <v/>
      </c>
      <c r="BT54" s="73" t="n">
        <f aca="false">IF(SUM($R54,$T54,$AN54,$AQ54,$AT54,$AW54,$AZ54,$BC54,$BF54,$BI54,$BL54,$BP54:$BS54)=0,"",SUM($R54,$T54,$AN54,$AQ54,$AT54,$AW54,$AZ54,$BC54,$BF54,$BI54,$BL54,$BP54:$BS54))</f>
        <v>5906</v>
      </c>
      <c r="BU54" s="73" t="n">
        <f aca="false">IF(OR(SUM($BT54)=0,SUM($BN54)=0),"",SUM($BT54,$BN54))</f>
        <v>30</v>
      </c>
      <c r="BV54" s="118" t="n">
        <f aca="false">IF(SUM($BU54)=0,"",SUM($BN54)/$BU54)</f>
        <v>-195.866666666667</v>
      </c>
      <c r="BW54" s="73" t="n">
        <v>37</v>
      </c>
      <c r="BX54" s="118" t="n">
        <f aca="false">IF(OR($C54="01-04",$C54="05-09"),"",0%)</f>
        <v>0</v>
      </c>
      <c r="BY54" s="75" t="n">
        <f aca="false">IF(OR($C54="01-04",$C54="05-09",SUM($BW54)=0),"",ROUND($BW54*(1+$BX54),0))</f>
        <v>37</v>
      </c>
    </row>
    <row r="55" customFormat="false" ht="15" hidden="false" customHeight="false" outlineLevel="0" collapsed="false">
      <c r="A55" s="0" t="s">
        <v>142</v>
      </c>
      <c r="B55" s="0" t="s">
        <v>109</v>
      </c>
      <c r="C55" s="0" t="s">
        <v>80</v>
      </c>
      <c r="D55" s="0" t="s">
        <v>56</v>
      </c>
      <c r="E55" s="0" t="str">
        <f aca="false">B55&amp;"|"&amp;C55&amp;"|"&amp;D55</f>
        <v>Berea [#SNU] [#DREAMS] [wpg5evyl1OL]|45-49|Female</v>
      </c>
      <c r="F55" s="118" t="n">
        <f aca="false">_xlfn.IFNA(INDEX(Cascade!$Y:$Y,MATCH($E55,Cascade!$E:$E,0)),"")</f>
        <v>0.952602623783326</v>
      </c>
      <c r="G55" s="73" t="str">
        <f aca="false">_xlfn.IFNA(INDEX(Cascade!$BD:$BD,MATCH($E55,Cascade!$E:$E,0)),"")</f>
        <v/>
      </c>
      <c r="H55" s="73" t="str">
        <f aca="false">_xlfn.IFNA(INDEX(Cascade!$BE:$BE,MATCH($E55,Cascade!$E:$E,0)),"")</f>
        <v/>
      </c>
      <c r="I55" s="73" t="str">
        <f aca="false">_xlfn.IFNA(INDEX(Cascade!$BF:$BF,MATCH($E55,Cascade!$E:$E,0)),"")</f>
        <v/>
      </c>
      <c r="J55" s="73" t="str">
        <f aca="false">_xlfn.IFNA(INDEX(Cascade!$BG:$BG,MATCH($E55,Cascade!$E:$E,0)),"")</f>
        <v/>
      </c>
      <c r="K55" s="73" t="n">
        <f aca="false">_xlfn.IFNA(INDEX(Cascade!$BH:$BH,MATCH($E55,Cascade!$E:$E,0)),"")</f>
        <v>-26784</v>
      </c>
      <c r="L55" s="73" t="str">
        <f aca="false">_xlfn.IFNA(INDEX(Cascade!$BI:$BI,MATCH($E55,Cascade!$E:$E,0)),"")</f>
        <v/>
      </c>
      <c r="M55" s="73" t="str">
        <f aca="false">_xlfn.IFNA(INDEX(Cascade!$BK:$BK,MATCH($E55,Cascade!$E:$E,0)),"")</f>
        <v/>
      </c>
      <c r="N55" s="118" t="n">
        <v>20</v>
      </c>
      <c r="O55" s="118" t="n">
        <v>35</v>
      </c>
      <c r="P55" s="118" t="n">
        <v>40</v>
      </c>
      <c r="Q55" s="75" t="str">
        <f aca="false">IF(OR(SUM($H55)=0,SUM($N55)=0,SUM($O55)=0),"",ROUND($H55*$N55,0))</f>
        <v/>
      </c>
      <c r="R55" s="75" t="str">
        <f aca="false">IF(OR(SUM($Q55)=0,SUM($O55)=0),"",ROUND(SUM($Q55)/SUM($O55),0)-SUM($Q55))</f>
        <v/>
      </c>
      <c r="S55" s="75" t="str">
        <f aca="false">IF(SUM($H55)=0,"",SUM($H55)-SUM($Q55))</f>
        <v/>
      </c>
      <c r="T55" s="75" t="str">
        <f aca="false">IF(OR(SUM($S55)=0,$N55&gt;1,SUM($P55)&lt;=0),"",ROUND($S55/$P55,0)-$S55)</f>
        <v/>
      </c>
      <c r="U55" s="118" t="str">
        <f aca="false">IF(SUM($G55)&lt;=0,"",SUM($Q55,$S55)/$G55)</f>
        <v/>
      </c>
      <c r="V55" s="118" t="str">
        <f aca="false">IF(OR(SUM($Q55)=0,SUM($G55)=0),"",SUM($Q55)/SUM($G55))</f>
        <v/>
      </c>
      <c r="W55" s="118" t="str">
        <f aca="false">IF(OR(SUM($S55)=0,SUM($G55)=0),"",SUM($S55)/SUM($G55))</f>
        <v/>
      </c>
      <c r="X55" s="118" t="str">
        <f aca="false">IF(OR(SUM($G55)=0,SUM($I55)=0),"",SUM($I55)/SUM($G55))</f>
        <v/>
      </c>
      <c r="Y55" s="118" t="str">
        <f aca="false">IF(OR(SUM($G55)=0,SUM($J55)=0),"",SUM($J55)/SUM($G55))</f>
        <v/>
      </c>
      <c r="Z55" s="118" t="str">
        <f aca="false">IF(OR(SUM($G55)=0,SUM($K55)=0),"",SUM($K55)/SUM($G55))</f>
        <v/>
      </c>
      <c r="AA55" s="118" t="str">
        <f aca="false">IF(OR(SUM($G55)=0,SUM($L55)=0),"",SUM($L55)/SUM($G55))</f>
        <v/>
      </c>
      <c r="AB55" s="118" t="n">
        <v>11</v>
      </c>
      <c r="AC55" s="118"/>
      <c r="AD55" s="118"/>
      <c r="AE55" s="118" t="n">
        <v>49</v>
      </c>
      <c r="AF55" s="118" t="n">
        <v>19</v>
      </c>
      <c r="AG55" s="118" t="n">
        <v>4</v>
      </c>
      <c r="AH55" s="118" t="n">
        <v>4</v>
      </c>
      <c r="AI55" s="118" t="n">
        <v>25</v>
      </c>
      <c r="AJ55" s="118" t="n">
        <v>12</v>
      </c>
      <c r="AK55" s="118" t="str">
        <f aca="false">IF(SUM($G55)&lt;=0,"",SUM($V55:$AJ55))</f>
        <v/>
      </c>
      <c r="AL55" s="118"/>
      <c r="AM55" s="75" t="str">
        <f aca="false">IF(OR(SUM($AB55)&lt;=0,SUM($G55)&lt;=0),"",ROUND($G55*$AB55,0))</f>
        <v/>
      </c>
      <c r="AN55" s="75" t="str">
        <f aca="false">IF(SUM($AM55)&lt;=0,"",IF(SUM($AL55)&lt;=0,"ENTER VALID YIELD!",ROUND($AM55/$AL55,0)-$AM55))</f>
        <v/>
      </c>
      <c r="AO55" s="118"/>
      <c r="AP55" s="75" t="str">
        <f aca="false">IF(OR(SUM($AC55)&lt;=0,SUM($G55)&lt;=0),"",ROUND($G55*$AC55,0))</f>
        <v/>
      </c>
      <c r="AQ55" s="75" t="str">
        <f aca="false">IF(SUM($AP55)&lt;=0,"",IF(SUM($AO55)&lt;=0,"ENTER VALID YIELD!",ROUND($AP55/$AO55,0)-$AP55))</f>
        <v/>
      </c>
      <c r="AR55" s="118"/>
      <c r="AS55" s="75" t="str">
        <f aca="false">IF(OR(SUM($AD55)&lt;=0,SUM($G55)&lt;=0),"",ROUND($G55*$AD55,0))</f>
        <v/>
      </c>
      <c r="AT55" s="75" t="str">
        <f aca="false">IF(SUM($AS55)&lt;=0,"",IF(SUM($AR55)&lt;=0,"ENTER VALID YIELD!",ROUND($AS55/$AR55,0)-$AS55))</f>
        <v/>
      </c>
      <c r="AU55" s="118"/>
      <c r="AV55" s="75" t="str">
        <f aca="false">IF(OR(SUM($AE55)&lt;=0,SUM($G55)&lt;=0),"",ROUND($G55*$AE55,0))</f>
        <v/>
      </c>
      <c r="AW55" s="75" t="str">
        <f aca="false">IF(SUM($AV55)&lt;=0,"",IF(SUM($AU55)&lt;=0,"ENTER VALID YIELD!",ROUND($AV55/$AU55,0)-$AV55))</f>
        <v/>
      </c>
      <c r="AX55" s="118"/>
      <c r="AY55" s="75" t="str">
        <f aca="false">IF(OR(SUM($AF55)&lt;=0,SUM($G55)&lt;=0),"",ROUND($G55*$AF55,0))</f>
        <v/>
      </c>
      <c r="AZ55" s="75" t="str">
        <f aca="false">IF(SUM($AY55)&lt;=0,"",IF(SUM($AX55)&lt;=0,"ENTER VALID YIELD!",ROUND($AY55/$AX55,0)-$AY55))</f>
        <v/>
      </c>
      <c r="BA55" s="118" t="n">
        <v>40</v>
      </c>
      <c r="BB55" s="75" t="str">
        <f aca="false">IF(OR(SUM($AG55)&lt;=0,SUM($G55)&lt;=0),"",ROUND($G55*$AG55,0))</f>
        <v/>
      </c>
      <c r="BC55" s="75" t="str">
        <f aca="false">IF(SUM($BB55)&lt;=0,"",IF(SUM($BA55)&lt;=0,"ENTER VALID YIELD!",ROUND($BB55/$BA55,0)-$BB55))</f>
        <v/>
      </c>
      <c r="BD55" s="118"/>
      <c r="BE55" s="75" t="str">
        <f aca="false">IF(OR(SUM($AH55)&lt;=0,SUM($G55)&lt;=0),"",ROUND($G55*$AH55,0))</f>
        <v/>
      </c>
      <c r="BF55" s="75" t="str">
        <f aca="false">IF(SUM($BE55)&lt;=0,"",IF(SUM($BD55)&lt;=0,"ENTER VALID YIELD!",ROUND($BE55/$BD55,0)-$BE55))</f>
        <v/>
      </c>
      <c r="BG55" s="118" t="n">
        <v>44</v>
      </c>
      <c r="BH55" s="75" t="str">
        <f aca="false">IF(OR(SUM($AI55)&lt;=0,SUM($G55)&lt;=0),"",ROUND($G55*$AI55,0))</f>
        <v/>
      </c>
      <c r="BI55" s="75" t="str">
        <f aca="false">IF(SUM($BH55)&lt;=0,"",IF(SUM($BG55)&lt;=0,"ENTER VALID YIELD!",ROUND($BH55/$BG55,0)-$BH55))</f>
        <v/>
      </c>
      <c r="BJ55" s="118" t="n">
        <v>49</v>
      </c>
      <c r="BK55" s="75" t="str">
        <f aca="false">IF(OR(SUM($AJ55)&lt;=0,SUM($G55)&lt;=0),"",ROUND($G55*$AJ55,0))</f>
        <v/>
      </c>
      <c r="BL55" s="75" t="str">
        <f aca="false">IF(SUM($BK55)&lt;=0,"",IF(SUM($BJ55)&lt;=0,"ENTER VALID YIELD!",ROUND($BK55/$BJ55,0)-$BK55))</f>
        <v/>
      </c>
      <c r="BM55" s="73" t="str">
        <f aca="false">IF(SUM($G55)&lt;=0,"",$G55)</f>
        <v/>
      </c>
      <c r="BN55" s="73" t="str">
        <f aca="false">IF(SUM($G55)&lt;=0,"",SUM($I55:$L55,$Q55,$S55,$AM55,$AP55,$AS55,$AV55,$AY55,$BB55,$BE55,$BH55,$BK55))</f>
        <v/>
      </c>
      <c r="BO55" s="73" t="str">
        <f aca="false">IF(AND(SUM($BN55)&lt;=0,SUM($BM55)&lt;=0),"",SUM($BN55)-SUM($BM55))</f>
        <v/>
      </c>
      <c r="BP55" s="73" t="str">
        <f aca="false">_xlfn.IFNA(INDEX(PMTCT!$AF:$AF,MATCH($E55,PMTCT!$E:$E,0)),"")</f>
        <v/>
      </c>
      <c r="BQ55" s="73" t="str">
        <f aca="false">_xlfn.IFNA(INDEX(PMTCT!$AV:$AV,MATCH($E55,PMTCT!$E:$E,0)),"")</f>
        <v/>
      </c>
      <c r="BR55" s="73" t="n">
        <f aca="false">_xlfn.IFNA(INDEX(TB!$R:$R,MATCH($E55,TB!$E:$E,0)),"")</f>
        <v>26040</v>
      </c>
      <c r="BS55" s="73" t="str">
        <f aca="false">_xlfn.IFNA(INDEX(VMMC!$AD:$AD,MATCH($E55,VMMC!$E:$E,0)),"")</f>
        <v/>
      </c>
      <c r="BT55" s="73" t="n">
        <f aca="false">IF(SUM($R55,$T55,$AN55,$AQ55,$AT55,$AW55,$AZ55,$BC55,$BF55,$BI55,$BL55,$BP55:$BS55)=0,"",SUM($R55,$T55,$AN55,$AQ55,$AT55,$AW55,$AZ55,$BC55,$BF55,$BI55,$BL55,$BP55:$BS55))</f>
        <v>26040</v>
      </c>
      <c r="BU55" s="73" t="str">
        <f aca="false">IF(OR(SUM($BT55)=0,SUM($BN55)=0),"",SUM($BT55,$BN55))</f>
        <v/>
      </c>
      <c r="BV55" s="118" t="str">
        <f aca="false">IF(SUM($BU55)=0,"",SUM($BN55)/$BU55)</f>
        <v/>
      </c>
      <c r="BW55" s="73" t="n">
        <v>13</v>
      </c>
      <c r="BX55" s="118" t="n">
        <f aca="false">IF(OR($C55="01-04",$C55="05-09"),"",0%)</f>
        <v>0</v>
      </c>
      <c r="BY55" s="75" t="n">
        <f aca="false">IF(OR($C55="01-04",$C55="05-09",SUM($BW55)=0),"",ROUND($BW55*(1+$BX55),0))</f>
        <v>13</v>
      </c>
    </row>
    <row r="56" customFormat="false" ht="15" hidden="false" customHeight="false" outlineLevel="0" collapsed="false">
      <c r="A56" s="0" t="s">
        <v>142</v>
      </c>
      <c r="B56" s="0" t="s">
        <v>109</v>
      </c>
      <c r="C56" s="0" t="s">
        <v>80</v>
      </c>
      <c r="D56" s="0" t="s">
        <v>58</v>
      </c>
      <c r="E56" s="0" t="str">
        <f aca="false">B56&amp;"|"&amp;C56&amp;"|"&amp;D56</f>
        <v>Berea [#SNU] [#DREAMS] [wpg5evyl1OL]|45-49|Male</v>
      </c>
      <c r="F56" s="118" t="n">
        <f aca="false">_xlfn.IFNA(INDEX(Cascade!$Y:$Y,MATCH($E56,Cascade!$E:$E,0)),"")</f>
        <v>0.787789266371246</v>
      </c>
      <c r="G56" s="73" t="n">
        <f aca="false">_xlfn.IFNA(INDEX(Cascade!$BD:$BD,MATCH($E56,Cascade!$E:$E,0)),"")</f>
        <v>8</v>
      </c>
      <c r="H56" s="73" t="n">
        <f aca="false">_xlfn.IFNA(INDEX(Cascade!$BE:$BE,MATCH($E56,Cascade!$E:$E,0)),"")</f>
        <v>4</v>
      </c>
      <c r="I56" s="73" t="str">
        <f aca="false">_xlfn.IFNA(INDEX(Cascade!$BF:$BF,MATCH($E56,Cascade!$E:$E,0)),"")</f>
        <v/>
      </c>
      <c r="J56" s="73" t="str">
        <f aca="false">_xlfn.IFNA(INDEX(Cascade!$BG:$BG,MATCH($E56,Cascade!$E:$E,0)),"")</f>
        <v/>
      </c>
      <c r="K56" s="73" t="n">
        <f aca="false">_xlfn.IFNA(INDEX(Cascade!$BH:$BH,MATCH($E56,Cascade!$E:$E,0)),"")</f>
        <v>-7696</v>
      </c>
      <c r="L56" s="73" t="str">
        <f aca="false">_xlfn.IFNA(INDEX(Cascade!$BI:$BI,MATCH($E56,Cascade!$E:$E,0)),"")</f>
        <v/>
      </c>
      <c r="M56" s="73" t="n">
        <f aca="false">_xlfn.IFNA(INDEX(Cascade!$BK:$BK,MATCH($E56,Cascade!$E:$E,0)),"")</f>
        <v>7700</v>
      </c>
      <c r="N56" s="118" t="n">
        <v>23</v>
      </c>
      <c r="O56" s="118" t="n">
        <v>28</v>
      </c>
      <c r="P56" s="118" t="n">
        <v>32</v>
      </c>
      <c r="Q56" s="75" t="n">
        <f aca="false">IF(OR(SUM($H56)=0,SUM($N56)=0,SUM($O56)=0),"",ROUND($H56*$N56,0))</f>
        <v>92</v>
      </c>
      <c r="R56" s="75" t="n">
        <f aca="false">IF(OR(SUM($Q56)=0,SUM($O56)=0),"",ROUND(SUM($Q56)/SUM($O56),0)-SUM($Q56))</f>
        <v>-89</v>
      </c>
      <c r="S56" s="75" t="n">
        <f aca="false">IF(SUM($H56)=0,"",SUM($H56)-SUM($Q56))</f>
        <v>-88</v>
      </c>
      <c r="T56" s="75" t="str">
        <f aca="false">IF(OR(SUM($S56)=0,$N56&gt;1,SUM($P56)&lt;=0),"",ROUND($S56/$P56,0)-$S56)</f>
        <v/>
      </c>
      <c r="U56" s="118" t="n">
        <f aca="false">IF(SUM($G56)&lt;=0,"",SUM($Q56,$S56)/$G56)</f>
        <v>0.5</v>
      </c>
      <c r="V56" s="118" t="n">
        <f aca="false">IF(OR(SUM($Q56)=0,SUM($G56)=0),"",SUM($Q56)/SUM($G56))</f>
        <v>11.5</v>
      </c>
      <c r="W56" s="118" t="n">
        <f aca="false">IF(OR(SUM($S56)=0,SUM($G56)=0),"",SUM($S56)/SUM($G56))</f>
        <v>-11</v>
      </c>
      <c r="X56" s="118" t="str">
        <f aca="false">IF(OR(SUM($G56)=0,SUM($I56)=0),"",SUM($I56)/SUM($G56))</f>
        <v/>
      </c>
      <c r="Y56" s="118" t="str">
        <f aca="false">IF(OR(SUM($G56)=0,SUM($J56)=0),"",SUM($J56)/SUM($G56))</f>
        <v/>
      </c>
      <c r="Z56" s="118" t="n">
        <f aca="false">IF(OR(SUM($G56)=0,SUM($K56)=0),"",SUM($K56)/SUM($G56))</f>
        <v>-962</v>
      </c>
      <c r="AA56" s="118" t="str">
        <f aca="false">IF(OR(SUM($G56)=0,SUM($L56)=0),"",SUM($L56)/SUM($G56))</f>
        <v/>
      </c>
      <c r="AB56" s="118" t="n">
        <v>30</v>
      </c>
      <c r="AC56" s="118"/>
      <c r="AD56" s="118"/>
      <c r="AE56" s="118" t="n">
        <v>33</v>
      </c>
      <c r="AF56" s="118" t="n">
        <v>23</v>
      </c>
      <c r="AG56" s="118" t="n">
        <v>15</v>
      </c>
      <c r="AH56" s="118" t="n">
        <v>40</v>
      </c>
      <c r="AI56" s="118" t="n">
        <v>20</v>
      </c>
      <c r="AJ56" s="118" t="n">
        <v>44</v>
      </c>
      <c r="AK56" s="118" t="n">
        <f aca="false">IF(SUM($G56)&lt;=0,"",SUM($V56:$AJ56))</f>
        <v>-756.5</v>
      </c>
      <c r="AL56" s="118" t="n">
        <v>5</v>
      </c>
      <c r="AM56" s="75" t="n">
        <f aca="false">IF(OR(SUM($AB56)&lt;=0,SUM($G56)&lt;=0),"",ROUND($G56*$AB56,0))</f>
        <v>240</v>
      </c>
      <c r="AN56" s="75" t="n">
        <f aca="false">IF(SUM($AM56)&lt;=0,"",IF(SUM($AL56)&lt;=0,"ENTER VALID YIELD!",ROUND($AM56/$AL56,0)-$AM56))</f>
        <v>-192</v>
      </c>
      <c r="AO56" s="118"/>
      <c r="AP56" s="75" t="str">
        <f aca="false">IF(OR(SUM($AC56)&lt;=0,SUM($G56)&lt;=0),"",ROUND($G56*$AC56,0))</f>
        <v/>
      </c>
      <c r="AQ56" s="75" t="str">
        <f aca="false">IF(SUM($AP56)&lt;=0,"",IF(SUM($AO56)&lt;=0,"ENTER VALID YIELD!",ROUND($AP56/$AO56,0)-$AP56))</f>
        <v/>
      </c>
      <c r="AR56" s="118"/>
      <c r="AS56" s="75" t="str">
        <f aca="false">IF(OR(SUM($AD56)&lt;=0,SUM($G56)&lt;=0),"",ROUND($G56*$AD56,0))</f>
        <v/>
      </c>
      <c r="AT56" s="75" t="str">
        <f aca="false">IF(SUM($AS56)&lt;=0,"",IF(SUM($AR56)&lt;=0,"ENTER VALID YIELD!",ROUND($AS56/$AR56,0)-$AS56))</f>
        <v/>
      </c>
      <c r="AU56" s="118"/>
      <c r="AV56" s="75" t="n">
        <f aca="false">IF(OR(SUM($AE56)&lt;=0,SUM($G56)&lt;=0),"",ROUND($G56*$AE56,0))</f>
        <v>264</v>
      </c>
      <c r="AW56" s="75" t="str">
        <f aca="false">IF(SUM($AV56)&lt;=0,"",IF(SUM($AU56)&lt;=0,"ENTER VALID YIELD!",ROUND($AV56/$AU56,0)-$AV56))</f>
        <v>ENTER VALID YIELD!</v>
      </c>
      <c r="AX56" s="118"/>
      <c r="AY56" s="75" t="n">
        <f aca="false">IF(OR(SUM($AF56)&lt;=0,SUM($G56)&lt;=0),"",ROUND($G56*$AF56,0))</f>
        <v>184</v>
      </c>
      <c r="AZ56" s="75" t="str">
        <f aca="false">IF(SUM($AY56)&lt;=0,"",IF(SUM($AX56)&lt;=0,"ENTER VALID YIELD!",ROUND($AY56/$AX56,0)-$AY56))</f>
        <v>ENTER VALID YIELD!</v>
      </c>
      <c r="BA56" s="118" t="n">
        <v>18</v>
      </c>
      <c r="BB56" s="75" t="n">
        <f aca="false">IF(OR(SUM($AG56)&lt;=0,SUM($G56)&lt;=0),"",ROUND($G56*$AG56,0))</f>
        <v>120</v>
      </c>
      <c r="BC56" s="75" t="n">
        <f aca="false">IF(SUM($BB56)&lt;=0,"",IF(SUM($BA56)&lt;=0,"ENTER VALID YIELD!",ROUND($BB56/$BA56,0)-$BB56))</f>
        <v>-113</v>
      </c>
      <c r="BD56" s="118"/>
      <c r="BE56" s="75" t="n">
        <f aca="false">IF(OR(SUM($AH56)&lt;=0,SUM($G56)&lt;=0),"",ROUND($G56*$AH56,0))</f>
        <v>320</v>
      </c>
      <c r="BF56" s="75" t="str">
        <f aca="false">IF(SUM($BE56)&lt;=0,"",IF(SUM($BD56)&lt;=0,"ENTER VALID YIELD!",ROUND($BE56/$BD56,0)-$BE56))</f>
        <v>ENTER VALID YIELD!</v>
      </c>
      <c r="BG56" s="118" t="n">
        <v>47</v>
      </c>
      <c r="BH56" s="75" t="n">
        <f aca="false">IF(OR(SUM($AI56)&lt;=0,SUM($G56)&lt;=0),"",ROUND($G56*$AI56,0))</f>
        <v>160</v>
      </c>
      <c r="BI56" s="75" t="n">
        <f aca="false">IF(SUM($BH56)&lt;=0,"",IF(SUM($BG56)&lt;=0,"ENTER VALID YIELD!",ROUND($BH56/$BG56,0)-$BH56))</f>
        <v>-157</v>
      </c>
      <c r="BJ56" s="118" t="n">
        <v>45</v>
      </c>
      <c r="BK56" s="75" t="n">
        <f aca="false">IF(OR(SUM($AJ56)&lt;=0,SUM($G56)&lt;=0),"",ROUND($G56*$AJ56,0))</f>
        <v>352</v>
      </c>
      <c r="BL56" s="75" t="n">
        <f aca="false">IF(SUM($BK56)&lt;=0,"",IF(SUM($BJ56)&lt;=0,"ENTER VALID YIELD!",ROUND($BK56/$BJ56,0)-$BK56))</f>
        <v>-344</v>
      </c>
      <c r="BM56" s="73" t="n">
        <f aca="false">IF(SUM($G56)&lt;=0,"",$G56)</f>
        <v>8</v>
      </c>
      <c r="BN56" s="73" t="n">
        <f aca="false">IF(SUM($G56)&lt;=0,"",SUM($I56:$L56,$Q56,$S56,$AM56,$AP56,$AS56,$AV56,$AY56,$BB56,$BE56,$BH56,$BK56))</f>
        <v>-6052</v>
      </c>
      <c r="BO56" s="73" t="n">
        <f aca="false">IF(AND(SUM($BN56)&lt;=0,SUM($BM56)&lt;=0),"",SUM($BN56)-SUM($BM56))</f>
        <v>-6060</v>
      </c>
      <c r="BP56" s="73" t="str">
        <f aca="false">_xlfn.IFNA(INDEX(PMTCT!$AF:$AF,MATCH($E56,PMTCT!$E:$E,0)),"")</f>
        <v/>
      </c>
      <c r="BQ56" s="73" t="str">
        <f aca="false">_xlfn.IFNA(INDEX(PMTCT!$AV:$AV,MATCH($E56,PMTCT!$E:$E,0)),"")</f>
        <v/>
      </c>
      <c r="BR56" s="73" t="n">
        <f aca="false">_xlfn.IFNA(INDEX(TB!$R:$R,MATCH($E56,TB!$E:$E,0)),"")</f>
        <v>7104</v>
      </c>
      <c r="BS56" s="73" t="str">
        <f aca="false">_xlfn.IFNA(INDEX(VMMC!$AD:$AD,MATCH($E56,VMMC!$E:$E,0)),"")</f>
        <v/>
      </c>
      <c r="BT56" s="73" t="n">
        <f aca="false">IF(SUM($R56,$T56,$AN56,$AQ56,$AT56,$AW56,$AZ56,$BC56,$BF56,$BI56,$BL56,$BP56:$BS56)=0,"",SUM($R56,$T56,$AN56,$AQ56,$AT56,$AW56,$AZ56,$BC56,$BF56,$BI56,$BL56,$BP56:$BS56))</f>
        <v>6209</v>
      </c>
      <c r="BU56" s="73" t="n">
        <f aca="false">IF(OR(SUM($BT56)=0,SUM($BN56)=0),"",SUM($BT56,$BN56))</f>
        <v>157</v>
      </c>
      <c r="BV56" s="118" t="n">
        <f aca="false">IF(SUM($BU56)=0,"",SUM($BN56)/$BU56)</f>
        <v>-38.5477707006369</v>
      </c>
      <c r="BW56" s="73" t="n">
        <v>18</v>
      </c>
      <c r="BX56" s="118" t="n">
        <f aca="false">IF(OR($C56="01-04",$C56="05-09"),"",0%)</f>
        <v>0</v>
      </c>
      <c r="BY56" s="75" t="n">
        <f aca="false">IF(OR($C56="01-04",$C56="05-09",SUM($BW56)=0),"",ROUND($BW56*(1+$BX56),0))</f>
        <v>18</v>
      </c>
    </row>
    <row r="57" customFormat="false" ht="15" hidden="false" customHeight="false" outlineLevel="0" collapsed="false">
      <c r="A57" s="0" t="s">
        <v>142</v>
      </c>
      <c r="B57" s="0" t="s">
        <v>109</v>
      </c>
      <c r="C57" s="0" t="s">
        <v>86</v>
      </c>
      <c r="D57" s="0" t="s">
        <v>56</v>
      </c>
      <c r="E57" s="0" t="str">
        <f aca="false">B57&amp;"|"&amp;C57&amp;"|"&amp;D57</f>
        <v>Berea [#SNU] [#DREAMS] [wpg5evyl1OL]|50+|Female</v>
      </c>
      <c r="F57" s="118" t="n">
        <f aca="false">_xlfn.IFNA(INDEX(Cascade!$Y:$Y,MATCH($E57,Cascade!$E:$E,0)),"")</f>
        <v>0.731692307692308</v>
      </c>
      <c r="G57" s="73" t="str">
        <f aca="false">_xlfn.IFNA(INDEX(Cascade!$BD:$BD,MATCH($E57,Cascade!$E:$E,0)),"")</f>
        <v/>
      </c>
      <c r="H57" s="73" t="str">
        <f aca="false">_xlfn.IFNA(INDEX(Cascade!$BE:$BE,MATCH($E57,Cascade!$E:$E,0)),"")</f>
        <v/>
      </c>
      <c r="I57" s="73" t="str">
        <f aca="false">_xlfn.IFNA(INDEX(Cascade!$BF:$BF,MATCH($E57,Cascade!$E:$E,0)),"")</f>
        <v/>
      </c>
      <c r="J57" s="73" t="str">
        <f aca="false">_xlfn.IFNA(INDEX(Cascade!$BG:$BG,MATCH($E57,Cascade!$E:$E,0)),"")</f>
        <v/>
      </c>
      <c r="K57" s="73" t="n">
        <f aca="false">_xlfn.IFNA(INDEX(Cascade!$BH:$BH,MATCH($E57,Cascade!$E:$E,0)),"")</f>
        <v>-16650</v>
      </c>
      <c r="L57" s="73" t="str">
        <f aca="false">_xlfn.IFNA(INDEX(Cascade!$BI:$BI,MATCH($E57,Cascade!$E:$E,0)),"")</f>
        <v/>
      </c>
      <c r="M57" s="73" t="str">
        <f aca="false">_xlfn.IFNA(INDEX(Cascade!$BK:$BK,MATCH($E57,Cascade!$E:$E,0)),"")</f>
        <v/>
      </c>
      <c r="N57" s="118" t="n">
        <v>16</v>
      </c>
      <c r="O57" s="118" t="n">
        <v>32</v>
      </c>
      <c r="P57" s="118" t="n">
        <v>39</v>
      </c>
      <c r="Q57" s="75" t="str">
        <f aca="false">IF(OR(SUM($H57)=0,SUM($N57)=0,SUM($O57)=0),"",ROUND($H57*$N57,0))</f>
        <v/>
      </c>
      <c r="R57" s="75" t="str">
        <f aca="false">IF(OR(SUM($Q57)=0,SUM($O57)=0),"",ROUND(SUM($Q57)/SUM($O57),0)-SUM($Q57))</f>
        <v/>
      </c>
      <c r="S57" s="75" t="str">
        <f aca="false">IF(SUM($H57)=0,"",SUM($H57)-SUM($Q57))</f>
        <v/>
      </c>
      <c r="T57" s="75" t="str">
        <f aca="false">IF(OR(SUM($S57)=0,$N57&gt;1,SUM($P57)&lt;=0),"",ROUND($S57/$P57,0)-$S57)</f>
        <v/>
      </c>
      <c r="U57" s="118" t="str">
        <f aca="false">IF(SUM($G57)&lt;=0,"",SUM($Q57,$S57)/$G57)</f>
        <v/>
      </c>
      <c r="V57" s="118" t="str">
        <f aca="false">IF(OR(SUM($Q57)=0,SUM($G57)=0),"",SUM($Q57)/SUM($G57))</f>
        <v/>
      </c>
      <c r="W57" s="118" t="str">
        <f aca="false">IF(OR(SUM($S57)=0,SUM($G57)=0),"",SUM($S57)/SUM($G57))</f>
        <v/>
      </c>
      <c r="X57" s="118" t="str">
        <f aca="false">IF(OR(SUM($G57)=0,SUM($I57)=0),"",SUM($I57)/SUM($G57))</f>
        <v/>
      </c>
      <c r="Y57" s="118" t="str">
        <f aca="false">IF(OR(SUM($G57)=0,SUM($J57)=0),"",SUM($J57)/SUM($G57))</f>
        <v/>
      </c>
      <c r="Z57" s="118" t="str">
        <f aca="false">IF(OR(SUM($G57)=0,SUM($K57)=0),"",SUM($K57)/SUM($G57))</f>
        <v/>
      </c>
      <c r="AA57" s="118" t="str">
        <f aca="false">IF(OR(SUM($G57)=0,SUM($L57)=0),"",SUM($L57)/SUM($G57))</f>
        <v/>
      </c>
      <c r="AB57" s="118" t="n">
        <v>48</v>
      </c>
      <c r="AC57" s="118"/>
      <c r="AD57" s="118"/>
      <c r="AE57" s="118" t="n">
        <v>21</v>
      </c>
      <c r="AF57" s="118" t="n">
        <v>15</v>
      </c>
      <c r="AG57" s="118" t="n">
        <v>21</v>
      </c>
      <c r="AH57" s="118" t="n">
        <v>41</v>
      </c>
      <c r="AI57" s="118" t="n">
        <v>49</v>
      </c>
      <c r="AJ57" s="118" t="n">
        <v>24</v>
      </c>
      <c r="AK57" s="118" t="str">
        <f aca="false">IF(SUM($G57)&lt;=0,"",SUM($V57:$AJ57))</f>
        <v/>
      </c>
      <c r="AL57" s="118" t="n">
        <v>5</v>
      </c>
      <c r="AM57" s="75" t="str">
        <f aca="false">IF(OR(SUM($AB57)&lt;=0,SUM($G57)&lt;=0),"",ROUND($G57*$AB57,0))</f>
        <v/>
      </c>
      <c r="AN57" s="75" t="str">
        <f aca="false">IF(SUM($AM57)&lt;=0,"",IF(SUM($AL57)&lt;=0,"ENTER VALID YIELD!",ROUND($AM57/$AL57,0)-$AM57))</f>
        <v/>
      </c>
      <c r="AO57" s="118"/>
      <c r="AP57" s="75" t="str">
        <f aca="false">IF(OR(SUM($AC57)&lt;=0,SUM($G57)&lt;=0),"",ROUND($G57*$AC57,0))</f>
        <v/>
      </c>
      <c r="AQ57" s="75" t="str">
        <f aca="false">IF(SUM($AP57)&lt;=0,"",IF(SUM($AO57)&lt;=0,"ENTER VALID YIELD!",ROUND($AP57/$AO57,0)-$AP57))</f>
        <v/>
      </c>
      <c r="AR57" s="118"/>
      <c r="AS57" s="75" t="str">
        <f aca="false">IF(OR(SUM($AD57)&lt;=0,SUM($G57)&lt;=0),"",ROUND($G57*$AD57,0))</f>
        <v/>
      </c>
      <c r="AT57" s="75" t="str">
        <f aca="false">IF(SUM($AS57)&lt;=0,"",IF(SUM($AR57)&lt;=0,"ENTER VALID YIELD!",ROUND($AS57/$AR57,0)-$AS57))</f>
        <v/>
      </c>
      <c r="AU57" s="118"/>
      <c r="AV57" s="75" t="str">
        <f aca="false">IF(OR(SUM($AE57)&lt;=0,SUM($G57)&lt;=0),"",ROUND($G57*$AE57,0))</f>
        <v/>
      </c>
      <c r="AW57" s="75" t="str">
        <f aca="false">IF(SUM($AV57)&lt;=0,"",IF(SUM($AU57)&lt;=0,"ENTER VALID YIELD!",ROUND($AV57/$AU57,0)-$AV57))</f>
        <v/>
      </c>
      <c r="AX57" s="118"/>
      <c r="AY57" s="75" t="str">
        <f aca="false">IF(OR(SUM($AF57)&lt;=0,SUM($G57)&lt;=0),"",ROUND($G57*$AF57,0))</f>
        <v/>
      </c>
      <c r="AZ57" s="75" t="str">
        <f aca="false">IF(SUM($AY57)&lt;=0,"",IF(SUM($AX57)&lt;=0,"ENTER VALID YIELD!",ROUND($AY57/$AX57,0)-$AY57))</f>
        <v/>
      </c>
      <c r="BA57" s="118" t="n">
        <v>8</v>
      </c>
      <c r="BB57" s="75" t="str">
        <f aca="false">IF(OR(SUM($AG57)&lt;=0,SUM($G57)&lt;=0),"",ROUND($G57*$AG57,0))</f>
        <v/>
      </c>
      <c r="BC57" s="75" t="str">
        <f aca="false">IF(SUM($BB57)&lt;=0,"",IF(SUM($BA57)&lt;=0,"ENTER VALID YIELD!",ROUND($BB57/$BA57,0)-$BB57))</f>
        <v/>
      </c>
      <c r="BD57" s="118"/>
      <c r="BE57" s="75" t="str">
        <f aca="false">IF(OR(SUM($AH57)&lt;=0,SUM($G57)&lt;=0),"",ROUND($G57*$AH57,0))</f>
        <v/>
      </c>
      <c r="BF57" s="75" t="str">
        <f aca="false">IF(SUM($BE57)&lt;=0,"",IF(SUM($BD57)&lt;=0,"ENTER VALID YIELD!",ROUND($BE57/$BD57,0)-$BE57))</f>
        <v/>
      </c>
      <c r="BG57" s="118" t="n">
        <v>44</v>
      </c>
      <c r="BH57" s="75" t="str">
        <f aca="false">IF(OR(SUM($AI57)&lt;=0,SUM($G57)&lt;=0),"",ROUND($G57*$AI57,0))</f>
        <v/>
      </c>
      <c r="BI57" s="75" t="str">
        <f aca="false">IF(SUM($BH57)&lt;=0,"",IF(SUM($BG57)&lt;=0,"ENTER VALID YIELD!",ROUND($BH57/$BG57,0)-$BH57))</f>
        <v/>
      </c>
      <c r="BJ57" s="118" t="n">
        <v>23</v>
      </c>
      <c r="BK57" s="75" t="str">
        <f aca="false">IF(OR(SUM($AJ57)&lt;=0,SUM($G57)&lt;=0),"",ROUND($G57*$AJ57,0))</f>
        <v/>
      </c>
      <c r="BL57" s="75" t="str">
        <f aca="false">IF(SUM($BK57)&lt;=0,"",IF(SUM($BJ57)&lt;=0,"ENTER VALID YIELD!",ROUND($BK57/$BJ57,0)-$BK57))</f>
        <v/>
      </c>
      <c r="BM57" s="73" t="str">
        <f aca="false">IF(SUM($G57)&lt;=0,"",$G57)</f>
        <v/>
      </c>
      <c r="BN57" s="73" t="str">
        <f aca="false">IF(SUM($G57)&lt;=0,"",SUM($I57:$L57,$Q57,$S57,$AM57,$AP57,$AS57,$AV57,$AY57,$BB57,$BE57,$BH57,$BK57))</f>
        <v/>
      </c>
      <c r="BO57" s="73" t="str">
        <f aca="false">IF(AND(SUM($BN57)&lt;=0,SUM($BM57)&lt;=0),"",SUM($BN57)-SUM($BM57))</f>
        <v/>
      </c>
      <c r="BP57" s="73" t="str">
        <f aca="false">_xlfn.IFNA(INDEX(PMTCT!$AF:$AF,MATCH($E57,PMTCT!$E:$E,0)),"")</f>
        <v/>
      </c>
      <c r="BQ57" s="73" t="str">
        <f aca="false">_xlfn.IFNA(INDEX(PMTCT!$AV:$AV,MATCH($E57,PMTCT!$E:$E,0)),"")</f>
        <v/>
      </c>
      <c r="BR57" s="73" t="n">
        <f aca="false">_xlfn.IFNA(INDEX(TB!$R:$R,MATCH($E57,TB!$E:$E,0)),"")</f>
        <v>15540</v>
      </c>
      <c r="BS57" s="73" t="str">
        <f aca="false">_xlfn.IFNA(INDEX(VMMC!$AD:$AD,MATCH($E57,VMMC!$E:$E,0)),"")</f>
        <v/>
      </c>
      <c r="BT57" s="73" t="n">
        <f aca="false">IF(SUM($R57,$T57,$AN57,$AQ57,$AT57,$AW57,$AZ57,$BC57,$BF57,$BI57,$BL57,$BP57:$BS57)=0,"",SUM($R57,$T57,$AN57,$AQ57,$AT57,$AW57,$AZ57,$BC57,$BF57,$BI57,$BL57,$BP57:$BS57))</f>
        <v>15540</v>
      </c>
      <c r="BU57" s="73" t="str">
        <f aca="false">IF(OR(SUM($BT57)=0,SUM($BN57)=0),"",SUM($BT57,$BN57))</f>
        <v/>
      </c>
      <c r="BV57" s="118" t="str">
        <f aca="false">IF(SUM($BU57)=0,"",SUM($BN57)/$BU57)</f>
        <v/>
      </c>
      <c r="BW57" s="73" t="n">
        <v>9</v>
      </c>
      <c r="BX57" s="118" t="n">
        <f aca="false">IF(OR($C57="01-04",$C57="05-09"),"",0%)</f>
        <v>0</v>
      </c>
      <c r="BY57" s="75" t="n">
        <f aca="false">IF(OR($C57="01-04",$C57="05-09",SUM($BW57)=0),"",ROUND($BW57*(1+$BX57),0))</f>
        <v>9</v>
      </c>
    </row>
    <row r="58" customFormat="false" ht="15" hidden="false" customHeight="false" outlineLevel="0" collapsed="false">
      <c r="A58" s="0" t="s">
        <v>142</v>
      </c>
      <c r="B58" s="0" t="s">
        <v>109</v>
      </c>
      <c r="C58" s="0" t="s">
        <v>86</v>
      </c>
      <c r="D58" s="0" t="s">
        <v>58</v>
      </c>
      <c r="E58" s="0" t="str">
        <f aca="false">B58&amp;"|"&amp;C58&amp;"|"&amp;D58</f>
        <v>Berea [#SNU] [#DREAMS] [wpg5evyl1OL]|50+|Male</v>
      </c>
      <c r="F58" s="118" t="n">
        <f aca="false">_xlfn.IFNA(INDEX(Cascade!$Y:$Y,MATCH($E58,Cascade!$E:$E,0)),"")</f>
        <v>0.691974417165257</v>
      </c>
      <c r="G58" s="73" t="n">
        <f aca="false">_xlfn.IFNA(INDEX(Cascade!$BD:$BD,MATCH($E58,Cascade!$E:$E,0)),"")</f>
        <v>12</v>
      </c>
      <c r="H58" s="73" t="n">
        <f aca="false">_xlfn.IFNA(INDEX(Cascade!$BE:$BE,MATCH($E58,Cascade!$E:$E,0)),"")</f>
        <v>4</v>
      </c>
      <c r="I58" s="73" t="str">
        <f aca="false">_xlfn.IFNA(INDEX(Cascade!$BF:$BF,MATCH($E58,Cascade!$E:$E,0)),"")</f>
        <v/>
      </c>
      <c r="J58" s="73" t="str">
        <f aca="false">_xlfn.IFNA(INDEX(Cascade!$BG:$BG,MATCH($E58,Cascade!$E:$E,0)),"")</f>
        <v/>
      </c>
      <c r="K58" s="73" t="n">
        <f aca="false">_xlfn.IFNA(INDEX(Cascade!$BH:$BH,MATCH($E58,Cascade!$E:$E,0)),"")</f>
        <v>-64500</v>
      </c>
      <c r="L58" s="73" t="str">
        <f aca="false">_xlfn.IFNA(INDEX(Cascade!$BI:$BI,MATCH($E58,Cascade!$E:$E,0)),"")</f>
        <v/>
      </c>
      <c r="M58" s="73" t="n">
        <f aca="false">_xlfn.IFNA(INDEX(Cascade!$BK:$BK,MATCH($E58,Cascade!$E:$E,0)),"")</f>
        <v>64508</v>
      </c>
      <c r="N58" s="118" t="n">
        <v>13</v>
      </c>
      <c r="O58" s="118" t="n">
        <v>43</v>
      </c>
      <c r="P58" s="118" t="n">
        <v>50</v>
      </c>
      <c r="Q58" s="75" t="n">
        <f aca="false">IF(OR(SUM($H58)=0,SUM($N58)=0,SUM($O58)=0),"",ROUND($H58*$N58,0))</f>
        <v>52</v>
      </c>
      <c r="R58" s="75" t="n">
        <f aca="false">IF(OR(SUM($Q58)=0,SUM($O58)=0),"",ROUND(SUM($Q58)/SUM($O58),0)-SUM($Q58))</f>
        <v>-51</v>
      </c>
      <c r="S58" s="75" t="n">
        <f aca="false">IF(SUM($H58)=0,"",SUM($H58)-SUM($Q58))</f>
        <v>-48</v>
      </c>
      <c r="T58" s="75" t="str">
        <f aca="false">IF(OR(SUM($S58)=0,$N58&gt;1,SUM($P58)&lt;=0),"",ROUND($S58/$P58,0)-$S58)</f>
        <v/>
      </c>
      <c r="U58" s="118" t="n">
        <f aca="false">IF(SUM($G58)&lt;=0,"",SUM($Q58,$S58)/$G58)</f>
        <v>0.333333333333333</v>
      </c>
      <c r="V58" s="118" t="n">
        <f aca="false">IF(OR(SUM($Q58)=0,SUM($G58)=0),"",SUM($Q58)/SUM($G58))</f>
        <v>4.33333333333333</v>
      </c>
      <c r="W58" s="118" t="n">
        <f aca="false">IF(OR(SUM($S58)=0,SUM($G58)=0),"",SUM($S58)/SUM($G58))</f>
        <v>-4</v>
      </c>
      <c r="X58" s="118" t="str">
        <f aca="false">IF(OR(SUM($G58)=0,SUM($I58)=0),"",SUM($I58)/SUM($G58))</f>
        <v/>
      </c>
      <c r="Y58" s="118" t="str">
        <f aca="false">IF(OR(SUM($G58)=0,SUM($J58)=0),"",SUM($J58)/SUM($G58))</f>
        <v/>
      </c>
      <c r="Z58" s="118" t="n">
        <f aca="false">IF(OR(SUM($G58)=0,SUM($K58)=0),"",SUM($K58)/SUM($G58))</f>
        <v>-5375</v>
      </c>
      <c r="AA58" s="118" t="str">
        <f aca="false">IF(OR(SUM($G58)=0,SUM($L58)=0),"",SUM($L58)/SUM($G58))</f>
        <v/>
      </c>
      <c r="AB58" s="118" t="n">
        <v>11</v>
      </c>
      <c r="AC58" s="118"/>
      <c r="AD58" s="118"/>
      <c r="AE58" s="118" t="n">
        <v>23</v>
      </c>
      <c r="AF58" s="118" t="n">
        <v>44</v>
      </c>
      <c r="AG58" s="118" t="n">
        <v>39</v>
      </c>
      <c r="AH58" s="118" t="n">
        <v>27</v>
      </c>
      <c r="AI58" s="118" t="n">
        <v>10</v>
      </c>
      <c r="AJ58" s="118" t="n">
        <v>19</v>
      </c>
      <c r="AK58" s="118" t="n">
        <f aca="false">IF(SUM($G58)&lt;=0,"",SUM($V58:$AJ58))</f>
        <v>-5201.66666666667</v>
      </c>
      <c r="AL58" s="118" t="n">
        <v>39</v>
      </c>
      <c r="AM58" s="75" t="n">
        <f aca="false">IF(OR(SUM($AB58)&lt;=0,SUM($G58)&lt;=0),"",ROUND($G58*$AB58,0))</f>
        <v>132</v>
      </c>
      <c r="AN58" s="75" t="n">
        <f aca="false">IF(SUM($AM58)&lt;=0,"",IF(SUM($AL58)&lt;=0,"ENTER VALID YIELD!",ROUND($AM58/$AL58,0)-$AM58))</f>
        <v>-129</v>
      </c>
      <c r="AO58" s="118"/>
      <c r="AP58" s="75" t="str">
        <f aca="false">IF(OR(SUM($AC58)&lt;=0,SUM($G58)&lt;=0),"",ROUND($G58*$AC58,0))</f>
        <v/>
      </c>
      <c r="AQ58" s="75" t="str">
        <f aca="false">IF(SUM($AP58)&lt;=0,"",IF(SUM($AO58)&lt;=0,"ENTER VALID YIELD!",ROUND($AP58/$AO58,0)-$AP58))</f>
        <v/>
      </c>
      <c r="AR58" s="118"/>
      <c r="AS58" s="75" t="str">
        <f aca="false">IF(OR(SUM($AD58)&lt;=0,SUM($G58)&lt;=0),"",ROUND($G58*$AD58,0))</f>
        <v/>
      </c>
      <c r="AT58" s="75" t="str">
        <f aca="false">IF(SUM($AS58)&lt;=0,"",IF(SUM($AR58)&lt;=0,"ENTER VALID YIELD!",ROUND($AS58/$AR58,0)-$AS58))</f>
        <v/>
      </c>
      <c r="AU58" s="118"/>
      <c r="AV58" s="75" t="n">
        <f aca="false">IF(OR(SUM($AE58)&lt;=0,SUM($G58)&lt;=0),"",ROUND($G58*$AE58,0))</f>
        <v>276</v>
      </c>
      <c r="AW58" s="75" t="str">
        <f aca="false">IF(SUM($AV58)&lt;=0,"",IF(SUM($AU58)&lt;=0,"ENTER VALID YIELD!",ROUND($AV58/$AU58,0)-$AV58))</f>
        <v>ENTER VALID YIELD!</v>
      </c>
      <c r="AX58" s="118"/>
      <c r="AY58" s="75" t="n">
        <f aca="false">IF(OR(SUM($AF58)&lt;=0,SUM($G58)&lt;=0),"",ROUND($G58*$AF58,0))</f>
        <v>528</v>
      </c>
      <c r="AZ58" s="75" t="str">
        <f aca="false">IF(SUM($AY58)&lt;=0,"",IF(SUM($AX58)&lt;=0,"ENTER VALID YIELD!",ROUND($AY58/$AX58,0)-$AY58))</f>
        <v>ENTER VALID YIELD!</v>
      </c>
      <c r="BA58" s="118" t="n">
        <v>12</v>
      </c>
      <c r="BB58" s="75" t="n">
        <f aca="false">IF(OR(SUM($AG58)&lt;=0,SUM($G58)&lt;=0),"",ROUND($G58*$AG58,0))</f>
        <v>468</v>
      </c>
      <c r="BC58" s="75" t="n">
        <f aca="false">IF(SUM($BB58)&lt;=0,"",IF(SUM($BA58)&lt;=0,"ENTER VALID YIELD!",ROUND($BB58/$BA58,0)-$BB58))</f>
        <v>-429</v>
      </c>
      <c r="BD58" s="118"/>
      <c r="BE58" s="75" t="n">
        <f aca="false">IF(OR(SUM($AH58)&lt;=0,SUM($G58)&lt;=0),"",ROUND($G58*$AH58,0))</f>
        <v>324</v>
      </c>
      <c r="BF58" s="75" t="str">
        <f aca="false">IF(SUM($BE58)&lt;=0,"",IF(SUM($BD58)&lt;=0,"ENTER VALID YIELD!",ROUND($BE58/$BD58,0)-$BE58))</f>
        <v>ENTER VALID YIELD!</v>
      </c>
      <c r="BG58" s="118" t="n">
        <v>20</v>
      </c>
      <c r="BH58" s="75" t="n">
        <f aca="false">IF(OR(SUM($AI58)&lt;=0,SUM($G58)&lt;=0),"",ROUND($G58*$AI58,0))</f>
        <v>120</v>
      </c>
      <c r="BI58" s="75" t="n">
        <f aca="false">IF(SUM($BH58)&lt;=0,"",IF(SUM($BG58)&lt;=0,"ENTER VALID YIELD!",ROUND($BH58/$BG58,0)-$BH58))</f>
        <v>-114</v>
      </c>
      <c r="BJ58" s="118" t="n">
        <v>32</v>
      </c>
      <c r="BK58" s="75" t="n">
        <f aca="false">IF(OR(SUM($AJ58)&lt;=0,SUM($G58)&lt;=0),"",ROUND($G58*$AJ58,0))</f>
        <v>228</v>
      </c>
      <c r="BL58" s="75" t="n">
        <f aca="false">IF(SUM($BK58)&lt;=0,"",IF(SUM($BJ58)&lt;=0,"ENTER VALID YIELD!",ROUND($BK58/$BJ58,0)-$BK58))</f>
        <v>-221</v>
      </c>
      <c r="BM58" s="73" t="n">
        <f aca="false">IF(SUM($G58)&lt;=0,"",$G58)</f>
        <v>12</v>
      </c>
      <c r="BN58" s="73" t="n">
        <f aca="false">IF(SUM($G58)&lt;=0,"",SUM($I58:$L58,$Q58,$S58,$AM58,$AP58,$AS58,$AV58,$AY58,$BB58,$BE58,$BH58,$BK58))</f>
        <v>-62420</v>
      </c>
      <c r="BO58" s="73" t="n">
        <f aca="false">IF(AND(SUM($BN58)&lt;=0,SUM($BM58)&lt;=0),"",SUM($BN58)-SUM($BM58))</f>
        <v>-62432</v>
      </c>
      <c r="BP58" s="73" t="str">
        <f aca="false">_xlfn.IFNA(INDEX(PMTCT!$AF:$AF,MATCH($E58,PMTCT!$E:$E,0)),"")</f>
        <v/>
      </c>
      <c r="BQ58" s="73" t="str">
        <f aca="false">_xlfn.IFNA(INDEX(PMTCT!$AV:$AV,MATCH($E58,PMTCT!$E:$E,0)),"")</f>
        <v/>
      </c>
      <c r="BR58" s="73" t="n">
        <f aca="false">_xlfn.IFNA(INDEX(TB!$R:$R,MATCH($E58,TB!$E:$E,0)),"")</f>
        <v>62350</v>
      </c>
      <c r="BS58" s="73" t="str">
        <f aca="false">_xlfn.IFNA(INDEX(VMMC!$AD:$AD,MATCH($E58,VMMC!$E:$E,0)),"")</f>
        <v/>
      </c>
      <c r="BT58" s="73" t="n">
        <f aca="false">IF(SUM($R58,$T58,$AN58,$AQ58,$AT58,$AW58,$AZ58,$BC58,$BF58,$BI58,$BL58,$BP58:$BS58)=0,"",SUM($R58,$T58,$AN58,$AQ58,$AT58,$AW58,$AZ58,$BC58,$BF58,$BI58,$BL58,$BP58:$BS58))</f>
        <v>61406</v>
      </c>
      <c r="BU58" s="73" t="n">
        <f aca="false">IF(OR(SUM($BT58)=0,SUM($BN58)=0),"",SUM($BT58,$BN58))</f>
        <v>-1014</v>
      </c>
      <c r="BV58" s="118" t="n">
        <f aca="false">IF(SUM($BU58)=0,"",SUM($BN58)/$BU58)</f>
        <v>61.5581854043393</v>
      </c>
      <c r="BW58" s="73" t="n">
        <v>31</v>
      </c>
      <c r="BX58" s="118" t="n">
        <f aca="false">IF(OR($C58="01-04",$C58="05-09"),"",0%)</f>
        <v>0</v>
      </c>
      <c r="BY58" s="75" t="n">
        <f aca="false">IF(OR($C58="01-04",$C58="05-09",SUM($BW58)=0),"",ROUND($BW58*(1+$BX58),0))</f>
        <v>31</v>
      </c>
    </row>
    <row r="59" customFormat="false" ht="15" hidden="false" customHeight="false" outlineLevel="0" collapsed="false">
      <c r="A59" s="0" t="s">
        <v>143</v>
      </c>
      <c r="B59" s="0" t="s">
        <v>115</v>
      </c>
      <c r="C59" s="0" t="s">
        <v>54</v>
      </c>
      <c r="D59" s="0" t="s">
        <v>56</v>
      </c>
      <c r="E59" s="0" t="str">
        <f aca="false">B59&amp;"|"&amp;C59&amp;"|"&amp;D59</f>
        <v>Butha Buthe [#SNU] [mvPRqBFtVC0]|01-04|Female</v>
      </c>
      <c r="F59" s="118" t="n">
        <f aca="false">_xlfn.IFNA(INDEX(Cascade!$Y:$Y,MATCH($E59,Cascade!$E:$E,0)),"")</f>
        <v>1.27586206896552</v>
      </c>
      <c r="G59" s="73" t="n">
        <f aca="false">_xlfn.IFNA(INDEX(Cascade!$BD:$BD,MATCH($E59,Cascade!$E:$E,0)),"")</f>
        <v>1</v>
      </c>
      <c r="H59" s="73" t="n">
        <f aca="false">_xlfn.IFNA(INDEX(Cascade!$BE:$BE,MATCH($E59,Cascade!$E:$E,0)),"")</f>
        <v>1</v>
      </c>
      <c r="I59" s="73" t="str">
        <f aca="false">_xlfn.IFNA(INDEX(Cascade!$BF:$BF,MATCH($E59,Cascade!$E:$E,0)),"")</f>
        <v/>
      </c>
      <c r="J59" s="73" t="str">
        <f aca="false">_xlfn.IFNA(INDEX(Cascade!$BG:$BG,MATCH($E59,Cascade!$E:$E,0)),"")</f>
        <v/>
      </c>
      <c r="K59" s="73" t="n">
        <f aca="false">_xlfn.IFNA(INDEX(Cascade!$BH:$BH,MATCH($E59,Cascade!$E:$E,0)),"")</f>
        <v>0</v>
      </c>
      <c r="L59" s="73" t="str">
        <f aca="false">_xlfn.IFNA(INDEX(Cascade!$BI:$BI,MATCH($E59,Cascade!$E:$E,0)),"")</f>
        <v/>
      </c>
      <c r="M59" s="73" t="n">
        <f aca="false">_xlfn.IFNA(INDEX(Cascade!$BK:$BK,MATCH($E59,Cascade!$E:$E,0)),"")</f>
        <v>0</v>
      </c>
      <c r="N59" s="118"/>
      <c r="O59" s="118"/>
      <c r="P59" s="118"/>
      <c r="Q59" s="75" t="str">
        <f aca="false">IF(OR(SUM($H59)=0,SUM($N59)=0,SUM($O59)=0),"",ROUND($H59*$N59,0))</f>
        <v/>
      </c>
      <c r="R59" s="75" t="str">
        <f aca="false">IF(OR(SUM($Q59)=0,SUM($O59)=0),"",ROUND(SUM($Q59)/SUM($O59),0)-SUM($Q59))</f>
        <v/>
      </c>
      <c r="S59" s="75" t="n">
        <f aca="false">IF(SUM($H59)=0,"",SUM($H59)-SUM($Q59))</f>
        <v>1</v>
      </c>
      <c r="T59" s="75" t="str">
        <f aca="false">IF(OR(SUM($S59)=0,$N59&gt;1,SUM($P59)&lt;=0),"",ROUND($S59/$P59,0)-$S59)</f>
        <v/>
      </c>
      <c r="U59" s="118" t="n">
        <f aca="false">IF(SUM($G59)&lt;=0,"",SUM($Q59,$S59)/$G59)</f>
        <v>1</v>
      </c>
      <c r="V59" s="118" t="str">
        <f aca="false">IF(OR(SUM($Q59)=0,SUM($G59)=0),"",SUM($Q59)/SUM($G59))</f>
        <v/>
      </c>
      <c r="W59" s="118" t="n">
        <f aca="false">IF(OR(SUM($S59)=0,SUM($G59)=0),"",SUM($S59)/SUM($G59))</f>
        <v>1</v>
      </c>
      <c r="X59" s="118" t="str">
        <f aca="false">IF(OR(SUM($G59)=0,SUM($I59)=0),"",SUM($I59)/SUM($G59))</f>
        <v/>
      </c>
      <c r="Y59" s="118" t="str">
        <f aca="false">IF(OR(SUM($G59)=0,SUM($J59)=0),"",SUM($J59)/SUM($G59))</f>
        <v/>
      </c>
      <c r="Z59" s="118" t="str">
        <f aca="false">IF(OR(SUM($G59)=0,SUM($K59)=0),"",SUM($K59)/SUM($G59))</f>
        <v/>
      </c>
      <c r="AA59" s="118" t="str">
        <f aca="false">IF(OR(SUM($G59)=0,SUM($L59)=0),"",SUM($L59)/SUM($G59))</f>
        <v/>
      </c>
      <c r="AB59" s="118" t="n">
        <v>49</v>
      </c>
      <c r="AC59" s="118" t="n">
        <v>35</v>
      </c>
      <c r="AD59" s="118" t="n">
        <v>17</v>
      </c>
      <c r="AE59" s="118" t="n">
        <v>19</v>
      </c>
      <c r="AF59" s="118" t="n">
        <v>4</v>
      </c>
      <c r="AG59" s="118" t="n">
        <v>44</v>
      </c>
      <c r="AH59" s="118" t="n">
        <v>24</v>
      </c>
      <c r="AI59" s="118" t="n">
        <v>41</v>
      </c>
      <c r="AJ59" s="118" t="n">
        <v>41</v>
      </c>
      <c r="AK59" s="118" t="n">
        <f aca="false">IF(SUM($G59)&lt;=0,"",SUM($V59:$AJ59))</f>
        <v>275</v>
      </c>
      <c r="AL59" s="118"/>
      <c r="AM59" s="75" t="n">
        <f aca="false">IF(OR(SUM($AB59)&lt;=0,SUM($G59)&lt;=0),"",ROUND($G59*$AB59,0))</f>
        <v>49</v>
      </c>
      <c r="AN59" s="75" t="str">
        <f aca="false">IF(SUM($AM59)&lt;=0,"",IF(SUM($AL59)&lt;=0,"ENTER VALID YIELD!",ROUND($AM59/$AL59,0)-$AM59))</f>
        <v>ENTER VALID YIELD!</v>
      </c>
      <c r="AO59" s="118"/>
      <c r="AP59" s="75" t="n">
        <f aca="false">IF(OR(SUM($AC59)&lt;=0,SUM($G59)&lt;=0),"",ROUND($G59*$AC59,0))</f>
        <v>35</v>
      </c>
      <c r="AQ59" s="75" t="str">
        <f aca="false">IF(SUM($AP59)&lt;=0,"",IF(SUM($AO59)&lt;=0,"ENTER VALID YIELD!",ROUND($AP59/$AO59,0)-$AP59))</f>
        <v>ENTER VALID YIELD!</v>
      </c>
      <c r="AR59" s="118"/>
      <c r="AS59" s="75" t="n">
        <f aca="false">IF(OR(SUM($AD59)&lt;=0,SUM($G59)&lt;=0),"",ROUND($G59*$AD59,0))</f>
        <v>17</v>
      </c>
      <c r="AT59" s="75" t="str">
        <f aca="false">IF(SUM($AS59)&lt;=0,"",IF(SUM($AR59)&lt;=0,"ENTER VALID YIELD!",ROUND($AS59/$AR59,0)-$AS59))</f>
        <v>ENTER VALID YIELD!</v>
      </c>
      <c r="AU59" s="118"/>
      <c r="AV59" s="75" t="n">
        <f aca="false">IF(OR(SUM($AE59)&lt;=0,SUM($G59)&lt;=0),"",ROUND($G59*$AE59,0))</f>
        <v>19</v>
      </c>
      <c r="AW59" s="75" t="str">
        <f aca="false">IF(SUM($AV59)&lt;=0,"",IF(SUM($AU59)&lt;=0,"ENTER VALID YIELD!",ROUND($AV59/$AU59,0)-$AV59))</f>
        <v>ENTER VALID YIELD!</v>
      </c>
      <c r="AX59" s="118"/>
      <c r="AY59" s="75" t="n">
        <f aca="false">IF(OR(SUM($AF59)&lt;=0,SUM($G59)&lt;=0),"",ROUND($G59*$AF59,0))</f>
        <v>4</v>
      </c>
      <c r="AZ59" s="75" t="str">
        <f aca="false">IF(SUM($AY59)&lt;=0,"",IF(SUM($AX59)&lt;=0,"ENTER VALID YIELD!",ROUND($AY59/$AX59,0)-$AY59))</f>
        <v>ENTER VALID YIELD!</v>
      </c>
      <c r="BA59" s="118" t="n">
        <v>15</v>
      </c>
      <c r="BB59" s="75" t="n">
        <f aca="false">IF(OR(SUM($AG59)&lt;=0,SUM($G59)&lt;=0),"",ROUND($G59*$AG59,0))</f>
        <v>44</v>
      </c>
      <c r="BC59" s="75" t="n">
        <f aca="false">IF(SUM($BB59)&lt;=0,"",IF(SUM($BA59)&lt;=0,"ENTER VALID YIELD!",ROUND($BB59/$BA59,0)-$BB59))</f>
        <v>-41</v>
      </c>
      <c r="BD59" s="118"/>
      <c r="BE59" s="75" t="n">
        <f aca="false">IF(OR(SUM($AH59)&lt;=0,SUM($G59)&lt;=0),"",ROUND($G59*$AH59,0))</f>
        <v>24</v>
      </c>
      <c r="BF59" s="75" t="str">
        <f aca="false">IF(SUM($BE59)&lt;=0,"",IF(SUM($BD59)&lt;=0,"ENTER VALID YIELD!",ROUND($BE59/$BD59,0)-$BE59))</f>
        <v>ENTER VALID YIELD!</v>
      </c>
      <c r="BG59" s="118"/>
      <c r="BH59" s="75" t="n">
        <f aca="false">IF(OR(SUM($AI59)&lt;=0,SUM($G59)&lt;=0),"",ROUND($G59*$AI59,0))</f>
        <v>41</v>
      </c>
      <c r="BI59" s="75" t="str">
        <f aca="false">IF(SUM($BH59)&lt;=0,"",IF(SUM($BG59)&lt;=0,"ENTER VALID YIELD!",ROUND($BH59/$BG59,0)-$BH59))</f>
        <v>ENTER VALID YIELD!</v>
      </c>
      <c r="BJ59" s="118"/>
      <c r="BK59" s="75" t="n">
        <f aca="false">IF(OR(SUM($AJ59)&lt;=0,SUM($G59)&lt;=0),"",ROUND($G59*$AJ59,0))</f>
        <v>41</v>
      </c>
      <c r="BL59" s="75" t="str">
        <f aca="false">IF(SUM($BK59)&lt;=0,"",IF(SUM($BJ59)&lt;=0,"ENTER VALID YIELD!",ROUND($BK59/$BJ59,0)-$BK59))</f>
        <v>ENTER VALID YIELD!</v>
      </c>
      <c r="BM59" s="73" t="n">
        <f aca="false">IF(SUM($G59)&lt;=0,"",$G59)</f>
        <v>1</v>
      </c>
      <c r="BN59" s="73" t="n">
        <f aca="false">IF(SUM($G59)&lt;=0,"",SUM($I59:$L59,$Q59,$S59,$AM59,$AP59,$AS59,$AV59,$AY59,$BB59,$BE59,$BH59,$BK59))</f>
        <v>275</v>
      </c>
      <c r="BO59" s="73" t="n">
        <f aca="false">IF(AND(SUM($BN59)&lt;=0,SUM($BM59)&lt;=0),"",SUM($BN59)-SUM($BM59))</f>
        <v>274</v>
      </c>
      <c r="BP59" s="73" t="str">
        <f aca="false">_xlfn.IFNA(INDEX(PMTCT!$AF:$AF,MATCH($E59,PMTCT!$E:$E,0)),"")</f>
        <v/>
      </c>
      <c r="BQ59" s="73" t="str">
        <f aca="false">_xlfn.IFNA(INDEX(PMTCT!$AV:$AV,MATCH($E59,PMTCT!$E:$E,0)),"")</f>
        <v/>
      </c>
      <c r="BR59" s="73" t="n">
        <f aca="false">_xlfn.IFNA(INDEX(TB!$R:$R,MATCH($E59,TB!$E:$E,0)),"")</f>
        <v>39</v>
      </c>
      <c r="BS59" s="73" t="str">
        <f aca="false">_xlfn.IFNA(INDEX(VMMC!$AD:$AD,MATCH($E59,VMMC!$E:$E,0)),"")</f>
        <v/>
      </c>
      <c r="BT59" s="73" t="n">
        <f aca="false">IF(SUM($R59,$T59,$AN59,$AQ59,$AT59,$AW59,$AZ59,$BC59,$BF59,$BI59,$BL59,$BP59:$BS59)=0,"",SUM($R59,$T59,$AN59,$AQ59,$AT59,$AW59,$AZ59,$BC59,$BF59,$BI59,$BL59,$BP59:$BS59))</f>
        <v>-2</v>
      </c>
      <c r="BU59" s="73" t="n">
        <f aca="false">IF(OR(SUM($BT59)=0,SUM($BN59)=0),"",SUM($BT59,$BN59))</f>
        <v>273</v>
      </c>
      <c r="BV59" s="118" t="n">
        <f aca="false">IF(SUM($BU59)=0,"",SUM($BN59)/$BU59)</f>
        <v>1.00732600732601</v>
      </c>
      <c r="BW59" s="73"/>
      <c r="BX59" s="118" t="str">
        <f aca="false">IF(OR($C59="01-04",$C59="05-09"),"",0%)</f>
        <v/>
      </c>
      <c r="BY59" s="75" t="str">
        <f aca="false">IF(OR($C59="01-04",$C59="05-09",SUM($BW59)=0),"",ROUND($BW59*(1+$BX59),0))</f>
        <v/>
      </c>
    </row>
    <row r="60" customFormat="false" ht="15" hidden="false" customHeight="false" outlineLevel="0" collapsed="false">
      <c r="A60" s="0" t="s">
        <v>143</v>
      </c>
      <c r="B60" s="0" t="s">
        <v>115</v>
      </c>
      <c r="C60" s="0" t="s">
        <v>54</v>
      </c>
      <c r="D60" s="0" t="s">
        <v>58</v>
      </c>
      <c r="E60" s="0" t="str">
        <f aca="false">B60&amp;"|"&amp;C60&amp;"|"&amp;D60</f>
        <v>Butha Buthe [#SNU] [mvPRqBFtVC0]|01-04|Male</v>
      </c>
      <c r="F60" s="118" t="n">
        <f aca="false">_xlfn.IFNA(INDEX(Cascade!$Y:$Y,MATCH($E60,Cascade!$E:$E,0)),"")</f>
        <v>1.24137931034483</v>
      </c>
      <c r="G60" s="73" t="n">
        <f aca="false">_xlfn.IFNA(INDEX(Cascade!$BD:$BD,MATCH($E60,Cascade!$E:$E,0)),"")</f>
        <v>1</v>
      </c>
      <c r="H60" s="73" t="n">
        <f aca="false">_xlfn.IFNA(INDEX(Cascade!$BE:$BE,MATCH($E60,Cascade!$E:$E,0)),"")</f>
        <v>1</v>
      </c>
      <c r="I60" s="73" t="str">
        <f aca="false">_xlfn.IFNA(INDEX(Cascade!$BF:$BF,MATCH($E60,Cascade!$E:$E,0)),"")</f>
        <v/>
      </c>
      <c r="J60" s="73" t="str">
        <f aca="false">_xlfn.IFNA(INDEX(Cascade!$BG:$BG,MATCH($E60,Cascade!$E:$E,0)),"")</f>
        <v/>
      </c>
      <c r="K60" s="73" t="n">
        <f aca="false">_xlfn.IFNA(INDEX(Cascade!$BH:$BH,MATCH($E60,Cascade!$E:$E,0)),"")</f>
        <v>0</v>
      </c>
      <c r="L60" s="73" t="str">
        <f aca="false">_xlfn.IFNA(INDEX(Cascade!$BI:$BI,MATCH($E60,Cascade!$E:$E,0)),"")</f>
        <v/>
      </c>
      <c r="M60" s="73" t="n">
        <f aca="false">_xlfn.IFNA(INDEX(Cascade!$BK:$BK,MATCH($E60,Cascade!$E:$E,0)),"")</f>
        <v>0</v>
      </c>
      <c r="N60" s="118"/>
      <c r="O60" s="118"/>
      <c r="P60" s="118"/>
      <c r="Q60" s="75" t="str">
        <f aca="false">IF(OR(SUM($H60)=0,SUM($N60)=0,SUM($O60)=0),"",ROUND($H60*$N60,0))</f>
        <v/>
      </c>
      <c r="R60" s="75" t="str">
        <f aca="false">IF(OR(SUM($Q60)=0,SUM($O60)=0),"",ROUND(SUM($Q60)/SUM($O60),0)-SUM($Q60))</f>
        <v/>
      </c>
      <c r="S60" s="75" t="n">
        <f aca="false">IF(SUM($H60)=0,"",SUM($H60)-SUM($Q60))</f>
        <v>1</v>
      </c>
      <c r="T60" s="75" t="str">
        <f aca="false">IF(OR(SUM($S60)=0,$N60&gt;1,SUM($P60)&lt;=0),"",ROUND($S60/$P60,0)-$S60)</f>
        <v/>
      </c>
      <c r="U60" s="118" t="n">
        <f aca="false">IF(SUM($G60)&lt;=0,"",SUM($Q60,$S60)/$G60)</f>
        <v>1</v>
      </c>
      <c r="V60" s="118" t="str">
        <f aca="false">IF(OR(SUM($Q60)=0,SUM($G60)=0),"",SUM($Q60)/SUM($G60))</f>
        <v/>
      </c>
      <c r="W60" s="118" t="n">
        <f aca="false">IF(OR(SUM($S60)=0,SUM($G60)=0),"",SUM($S60)/SUM($G60))</f>
        <v>1</v>
      </c>
      <c r="X60" s="118" t="str">
        <f aca="false">IF(OR(SUM($G60)=0,SUM($I60)=0),"",SUM($I60)/SUM($G60))</f>
        <v/>
      </c>
      <c r="Y60" s="118" t="str">
        <f aca="false">IF(OR(SUM($G60)=0,SUM($J60)=0),"",SUM($J60)/SUM($G60))</f>
        <v/>
      </c>
      <c r="Z60" s="118" t="str">
        <f aca="false">IF(OR(SUM($G60)=0,SUM($K60)=0),"",SUM($K60)/SUM($G60))</f>
        <v/>
      </c>
      <c r="AA60" s="118" t="str">
        <f aca="false">IF(OR(SUM($G60)=0,SUM($L60)=0),"",SUM($L60)/SUM($G60))</f>
        <v/>
      </c>
      <c r="AB60" s="118"/>
      <c r="AC60" s="118"/>
      <c r="AD60" s="118"/>
      <c r="AE60" s="118"/>
      <c r="AF60" s="118"/>
      <c r="AG60" s="118"/>
      <c r="AH60" s="118"/>
      <c r="AI60" s="118"/>
      <c r="AJ60" s="118"/>
      <c r="AK60" s="118" t="n">
        <f aca="false">IF(SUM($G60)&lt;=0,"",SUM($V60:$AJ60))</f>
        <v>1</v>
      </c>
      <c r="AL60" s="118"/>
      <c r="AM60" s="75" t="str">
        <f aca="false">IF(OR(SUM($AB60)&lt;=0,SUM($G60)&lt;=0),"",ROUND($G60*$AB60,0))</f>
        <v/>
      </c>
      <c r="AN60" s="75" t="str">
        <f aca="false">IF(SUM($AM60)&lt;=0,"",IF(SUM($AL60)&lt;=0,"ENTER VALID YIELD!",ROUND($AM60/$AL60,0)-$AM60))</f>
        <v/>
      </c>
      <c r="AO60" s="118"/>
      <c r="AP60" s="75" t="str">
        <f aca="false">IF(OR(SUM($AC60)&lt;=0,SUM($G60)&lt;=0),"",ROUND($G60*$AC60,0))</f>
        <v/>
      </c>
      <c r="AQ60" s="75" t="str">
        <f aca="false">IF(SUM($AP60)&lt;=0,"",IF(SUM($AO60)&lt;=0,"ENTER VALID YIELD!",ROUND($AP60/$AO60,0)-$AP60))</f>
        <v/>
      </c>
      <c r="AR60" s="118"/>
      <c r="AS60" s="75" t="str">
        <f aca="false">IF(OR(SUM($AD60)&lt;=0,SUM($G60)&lt;=0),"",ROUND($G60*$AD60,0))</f>
        <v/>
      </c>
      <c r="AT60" s="75" t="str">
        <f aca="false">IF(SUM($AS60)&lt;=0,"",IF(SUM($AR60)&lt;=0,"ENTER VALID YIELD!",ROUND($AS60/$AR60,0)-$AS60))</f>
        <v/>
      </c>
      <c r="AU60" s="118"/>
      <c r="AV60" s="75" t="str">
        <f aca="false">IF(OR(SUM($AE60)&lt;=0,SUM($G60)&lt;=0),"",ROUND($G60*$AE60,0))</f>
        <v/>
      </c>
      <c r="AW60" s="75" t="str">
        <f aca="false">IF(SUM($AV60)&lt;=0,"",IF(SUM($AU60)&lt;=0,"ENTER VALID YIELD!",ROUND($AV60/$AU60,0)-$AV60))</f>
        <v/>
      </c>
      <c r="AX60" s="118"/>
      <c r="AY60" s="75" t="str">
        <f aca="false">IF(OR(SUM($AF60)&lt;=0,SUM($G60)&lt;=0),"",ROUND($G60*$AF60,0))</f>
        <v/>
      </c>
      <c r="AZ60" s="75" t="str">
        <f aca="false">IF(SUM($AY60)&lt;=0,"",IF(SUM($AX60)&lt;=0,"ENTER VALID YIELD!",ROUND($AY60/$AX60,0)-$AY60))</f>
        <v/>
      </c>
      <c r="BA60" s="118"/>
      <c r="BB60" s="75" t="str">
        <f aca="false">IF(OR(SUM($AG60)&lt;=0,SUM($G60)&lt;=0),"",ROUND($G60*$AG60,0))</f>
        <v/>
      </c>
      <c r="BC60" s="75" t="str">
        <f aca="false">IF(SUM($BB60)&lt;=0,"",IF(SUM($BA60)&lt;=0,"ENTER VALID YIELD!",ROUND($BB60/$BA60,0)-$BB60))</f>
        <v/>
      </c>
      <c r="BD60" s="118"/>
      <c r="BE60" s="75" t="str">
        <f aca="false">IF(OR(SUM($AH60)&lt;=0,SUM($G60)&lt;=0),"",ROUND($G60*$AH60,0))</f>
        <v/>
      </c>
      <c r="BF60" s="75" t="str">
        <f aca="false">IF(SUM($BE60)&lt;=0,"",IF(SUM($BD60)&lt;=0,"ENTER VALID YIELD!",ROUND($BE60/$BD60,0)-$BE60))</f>
        <v/>
      </c>
      <c r="BG60" s="118"/>
      <c r="BH60" s="75" t="str">
        <f aca="false">IF(OR(SUM($AI60)&lt;=0,SUM($G60)&lt;=0),"",ROUND($G60*$AI60,0))</f>
        <v/>
      </c>
      <c r="BI60" s="75" t="str">
        <f aca="false">IF(SUM($BH60)&lt;=0,"",IF(SUM($BG60)&lt;=0,"ENTER VALID YIELD!",ROUND($BH60/$BG60,0)-$BH60))</f>
        <v/>
      </c>
      <c r="BJ60" s="118"/>
      <c r="BK60" s="75" t="str">
        <f aca="false">IF(OR(SUM($AJ60)&lt;=0,SUM($G60)&lt;=0),"",ROUND($G60*$AJ60,0))</f>
        <v/>
      </c>
      <c r="BL60" s="75" t="str">
        <f aca="false">IF(SUM($BK60)&lt;=0,"",IF(SUM($BJ60)&lt;=0,"ENTER VALID YIELD!",ROUND($BK60/$BJ60,0)-$BK60))</f>
        <v/>
      </c>
      <c r="BM60" s="73" t="n">
        <f aca="false">IF(SUM($G60)&lt;=0,"",$G60)</f>
        <v>1</v>
      </c>
      <c r="BN60" s="73" t="n">
        <f aca="false">IF(SUM($G60)&lt;=0,"",SUM($I60:$L60,$Q60,$S60,$AM60,$AP60,$AS60,$AV60,$AY60,$BB60,$BE60,$BH60,$BK60))</f>
        <v>1</v>
      </c>
      <c r="BO60" s="73" t="n">
        <f aca="false">IF(AND(SUM($BN60)&lt;=0,SUM($BM60)&lt;=0),"",SUM($BN60)-SUM($BM60))</f>
        <v>0</v>
      </c>
      <c r="BP60" s="73" t="str">
        <f aca="false">_xlfn.IFNA(INDEX(PMTCT!$AF:$AF,MATCH($E60,PMTCT!$E:$E,0)),"")</f>
        <v/>
      </c>
      <c r="BQ60" s="73" t="str">
        <f aca="false">_xlfn.IFNA(INDEX(PMTCT!$AV:$AV,MATCH($E60,PMTCT!$E:$E,0)),"")</f>
        <v/>
      </c>
      <c r="BR60" s="73" t="n">
        <f aca="false">_xlfn.IFNA(INDEX(TB!$R:$R,MATCH($E60,TB!$E:$E,0)),"")</f>
        <v>41</v>
      </c>
      <c r="BS60" s="73" t="str">
        <f aca="false">_xlfn.IFNA(INDEX(VMMC!$AD:$AD,MATCH($E60,VMMC!$E:$E,0)),"")</f>
        <v/>
      </c>
      <c r="BT60" s="73" t="n">
        <f aca="false">IF(SUM($R60,$T60,$AN60,$AQ60,$AT60,$AW60,$AZ60,$BC60,$BF60,$BI60,$BL60,$BP60:$BS60)=0,"",SUM($R60,$T60,$AN60,$AQ60,$AT60,$AW60,$AZ60,$BC60,$BF60,$BI60,$BL60,$BP60:$BS60))</f>
        <v>41</v>
      </c>
      <c r="BU60" s="73" t="n">
        <f aca="false">IF(OR(SUM($BT60)=0,SUM($BN60)=0),"",SUM($BT60,$BN60))</f>
        <v>42</v>
      </c>
      <c r="BV60" s="118" t="n">
        <f aca="false">IF(SUM($BU60)=0,"",SUM($BN60)/$BU60)</f>
        <v>0.0238095238095238</v>
      </c>
      <c r="BW60" s="73"/>
      <c r="BX60" s="118" t="str">
        <f aca="false">IF(OR($C60="01-04",$C60="05-09"),"",0%)</f>
        <v/>
      </c>
      <c r="BY60" s="75" t="str">
        <f aca="false">IF(OR($C60="01-04",$C60="05-09",SUM($BW60)=0),"",ROUND($BW60*(1+$BX60),0))</f>
        <v/>
      </c>
    </row>
    <row r="61" customFormat="false" ht="15" hidden="false" customHeight="false" outlineLevel="0" collapsed="false">
      <c r="A61" s="0" t="s">
        <v>143</v>
      </c>
      <c r="B61" s="0" t="s">
        <v>115</v>
      </c>
      <c r="C61" s="0" t="s">
        <v>83</v>
      </c>
      <c r="D61" s="0" t="s">
        <v>56</v>
      </c>
      <c r="E61" s="0" t="str">
        <f aca="false">B61&amp;"|"&amp;C61&amp;"|"&amp;D61</f>
        <v>Butha Buthe [#SNU] [mvPRqBFtVC0]|05-09|Female</v>
      </c>
      <c r="F61" s="118" t="n">
        <f aca="false">_xlfn.IFNA(INDEX(Cascade!$Y:$Y,MATCH($E61,Cascade!$E:$E,0)),"")</f>
        <v>0.653846153846154</v>
      </c>
      <c r="G61" s="73" t="n">
        <f aca="false">_xlfn.IFNA(INDEX(Cascade!$BD:$BD,MATCH($E61,Cascade!$E:$E,0)),"")</f>
        <v>13</v>
      </c>
      <c r="H61" s="73" t="n">
        <f aca="false">_xlfn.IFNA(INDEX(Cascade!$BE:$BE,MATCH($E61,Cascade!$E:$E,0)),"")</f>
        <v>4</v>
      </c>
      <c r="I61" s="73" t="str">
        <f aca="false">_xlfn.IFNA(INDEX(Cascade!$BF:$BF,MATCH($E61,Cascade!$E:$E,0)),"")</f>
        <v/>
      </c>
      <c r="J61" s="73" t="str">
        <f aca="false">_xlfn.IFNA(INDEX(Cascade!$BG:$BG,MATCH($E61,Cascade!$E:$E,0)),"")</f>
        <v/>
      </c>
      <c r="K61" s="73" t="n">
        <f aca="false">_xlfn.IFNA(INDEX(Cascade!$BH:$BH,MATCH($E61,Cascade!$E:$E,0)),"")</f>
        <v>0</v>
      </c>
      <c r="L61" s="73" t="str">
        <f aca="false">_xlfn.IFNA(INDEX(Cascade!$BI:$BI,MATCH($E61,Cascade!$E:$E,0)),"")</f>
        <v/>
      </c>
      <c r="M61" s="73" t="n">
        <f aca="false">_xlfn.IFNA(INDEX(Cascade!$BK:$BK,MATCH($E61,Cascade!$E:$E,0)),"")</f>
        <v>9</v>
      </c>
      <c r="N61" s="118"/>
      <c r="O61" s="118"/>
      <c r="P61" s="118"/>
      <c r="Q61" s="75" t="str">
        <f aca="false">IF(OR(SUM($H61)=0,SUM($N61)=0,SUM($O61)=0),"",ROUND($H61*$N61,0))</f>
        <v/>
      </c>
      <c r="R61" s="75" t="str">
        <f aca="false">IF(OR(SUM($Q61)=0,SUM($O61)=0),"",ROUND(SUM($Q61)/SUM($O61),0)-SUM($Q61))</f>
        <v/>
      </c>
      <c r="S61" s="75" t="n">
        <f aca="false">IF(SUM($H61)=0,"",SUM($H61)-SUM($Q61))</f>
        <v>4</v>
      </c>
      <c r="T61" s="75" t="str">
        <f aca="false">IF(OR(SUM($S61)=0,$N61&gt;1,SUM($P61)&lt;=0),"",ROUND($S61/$P61,0)-$S61)</f>
        <v/>
      </c>
      <c r="U61" s="118" t="n">
        <f aca="false">IF(SUM($G61)&lt;=0,"",SUM($Q61,$S61)/$G61)</f>
        <v>0.307692307692308</v>
      </c>
      <c r="V61" s="118" t="str">
        <f aca="false">IF(OR(SUM($Q61)=0,SUM($G61)=0),"",SUM($Q61)/SUM($G61))</f>
        <v/>
      </c>
      <c r="W61" s="118" t="n">
        <f aca="false">IF(OR(SUM($S61)=0,SUM($G61)=0),"",SUM($S61)/SUM($G61))</f>
        <v>0.307692307692308</v>
      </c>
      <c r="X61" s="118" t="str">
        <f aca="false">IF(OR(SUM($G61)=0,SUM($I61)=0),"",SUM($I61)/SUM($G61))</f>
        <v/>
      </c>
      <c r="Y61" s="118" t="str">
        <f aca="false">IF(OR(SUM($G61)=0,SUM($J61)=0),"",SUM($J61)/SUM($G61))</f>
        <v/>
      </c>
      <c r="Z61" s="118" t="str">
        <f aca="false">IF(OR(SUM($G61)=0,SUM($K61)=0),"",SUM($K61)/SUM($G61))</f>
        <v/>
      </c>
      <c r="AA61" s="118" t="str">
        <f aca="false">IF(OR(SUM($G61)=0,SUM($L61)=0),"",SUM($L61)/SUM($G61))</f>
        <v/>
      </c>
      <c r="AB61" s="118" t="n">
        <v>19</v>
      </c>
      <c r="AC61" s="118"/>
      <c r="AD61" s="118"/>
      <c r="AE61" s="118" t="n">
        <v>12</v>
      </c>
      <c r="AF61" s="118" t="n">
        <v>5</v>
      </c>
      <c r="AG61" s="118" t="n">
        <v>12</v>
      </c>
      <c r="AH61" s="118" t="n">
        <v>10</v>
      </c>
      <c r="AI61" s="118" t="n">
        <v>11</v>
      </c>
      <c r="AJ61" s="118" t="n">
        <v>43</v>
      </c>
      <c r="AK61" s="118" t="n">
        <f aca="false">IF(SUM($G61)&lt;=0,"",SUM($V61:$AJ61))</f>
        <v>112.307692307692</v>
      </c>
      <c r="AL61" s="118"/>
      <c r="AM61" s="75" t="n">
        <f aca="false">IF(OR(SUM($AB61)&lt;=0,SUM($G61)&lt;=0),"",ROUND($G61*$AB61,0))</f>
        <v>247</v>
      </c>
      <c r="AN61" s="75" t="str">
        <f aca="false">IF(SUM($AM61)&lt;=0,"",IF(SUM($AL61)&lt;=0,"ENTER VALID YIELD!",ROUND($AM61/$AL61,0)-$AM61))</f>
        <v>ENTER VALID YIELD!</v>
      </c>
      <c r="AO61" s="118"/>
      <c r="AP61" s="75" t="str">
        <f aca="false">IF(OR(SUM($AC61)&lt;=0,SUM($G61)&lt;=0),"",ROUND($G61*$AC61,0))</f>
        <v/>
      </c>
      <c r="AQ61" s="75" t="str">
        <f aca="false">IF(SUM($AP61)&lt;=0,"",IF(SUM($AO61)&lt;=0,"ENTER VALID YIELD!",ROUND($AP61/$AO61,0)-$AP61))</f>
        <v/>
      </c>
      <c r="AR61" s="118"/>
      <c r="AS61" s="75" t="str">
        <f aca="false">IF(OR(SUM($AD61)&lt;=0,SUM($G61)&lt;=0),"",ROUND($G61*$AD61,0))</f>
        <v/>
      </c>
      <c r="AT61" s="75" t="str">
        <f aca="false">IF(SUM($AS61)&lt;=0,"",IF(SUM($AR61)&lt;=0,"ENTER VALID YIELD!",ROUND($AS61/$AR61,0)-$AS61))</f>
        <v/>
      </c>
      <c r="AU61" s="118"/>
      <c r="AV61" s="75" t="n">
        <f aca="false">IF(OR(SUM($AE61)&lt;=0,SUM($G61)&lt;=0),"",ROUND($G61*$AE61,0))</f>
        <v>156</v>
      </c>
      <c r="AW61" s="75" t="str">
        <f aca="false">IF(SUM($AV61)&lt;=0,"",IF(SUM($AU61)&lt;=0,"ENTER VALID YIELD!",ROUND($AV61/$AU61,0)-$AV61))</f>
        <v>ENTER VALID YIELD!</v>
      </c>
      <c r="AX61" s="118"/>
      <c r="AY61" s="75" t="n">
        <f aca="false">IF(OR(SUM($AF61)&lt;=0,SUM($G61)&lt;=0),"",ROUND($G61*$AF61,0))</f>
        <v>65</v>
      </c>
      <c r="AZ61" s="75" t="str">
        <f aca="false">IF(SUM($AY61)&lt;=0,"",IF(SUM($AX61)&lt;=0,"ENTER VALID YIELD!",ROUND($AY61/$AX61,0)-$AY61))</f>
        <v>ENTER VALID YIELD!</v>
      </c>
      <c r="BA61" s="118" t="n">
        <v>17</v>
      </c>
      <c r="BB61" s="75" t="n">
        <f aca="false">IF(OR(SUM($AG61)&lt;=0,SUM($G61)&lt;=0),"",ROUND($G61*$AG61,0))</f>
        <v>156</v>
      </c>
      <c r="BC61" s="75" t="n">
        <f aca="false">IF(SUM($BB61)&lt;=0,"",IF(SUM($BA61)&lt;=0,"ENTER VALID YIELD!",ROUND($BB61/$BA61,0)-$BB61))</f>
        <v>-147</v>
      </c>
      <c r="BD61" s="118"/>
      <c r="BE61" s="75" t="n">
        <f aca="false">IF(OR(SUM($AH61)&lt;=0,SUM($G61)&lt;=0),"",ROUND($G61*$AH61,0))</f>
        <v>130</v>
      </c>
      <c r="BF61" s="75" t="str">
        <f aca="false">IF(SUM($BE61)&lt;=0,"",IF(SUM($BD61)&lt;=0,"ENTER VALID YIELD!",ROUND($BE61/$BD61,0)-$BE61))</f>
        <v>ENTER VALID YIELD!</v>
      </c>
      <c r="BG61" s="118"/>
      <c r="BH61" s="75" t="n">
        <f aca="false">IF(OR(SUM($AI61)&lt;=0,SUM($G61)&lt;=0),"",ROUND($G61*$AI61,0))</f>
        <v>143</v>
      </c>
      <c r="BI61" s="75" t="str">
        <f aca="false">IF(SUM($BH61)&lt;=0,"",IF(SUM($BG61)&lt;=0,"ENTER VALID YIELD!",ROUND($BH61/$BG61,0)-$BH61))</f>
        <v>ENTER VALID YIELD!</v>
      </c>
      <c r="BJ61" s="118"/>
      <c r="BK61" s="75" t="n">
        <f aca="false">IF(OR(SUM($AJ61)&lt;=0,SUM($G61)&lt;=0),"",ROUND($G61*$AJ61,0))</f>
        <v>559</v>
      </c>
      <c r="BL61" s="75" t="str">
        <f aca="false">IF(SUM($BK61)&lt;=0,"",IF(SUM($BJ61)&lt;=0,"ENTER VALID YIELD!",ROUND($BK61/$BJ61,0)-$BK61))</f>
        <v>ENTER VALID YIELD!</v>
      </c>
      <c r="BM61" s="73" t="n">
        <f aca="false">IF(SUM($G61)&lt;=0,"",$G61)</f>
        <v>13</v>
      </c>
      <c r="BN61" s="73" t="n">
        <f aca="false">IF(SUM($G61)&lt;=0,"",SUM($I61:$L61,$Q61,$S61,$AM61,$AP61,$AS61,$AV61,$AY61,$BB61,$BE61,$BH61,$BK61))</f>
        <v>1460</v>
      </c>
      <c r="BO61" s="73" t="n">
        <f aca="false">IF(AND(SUM($BN61)&lt;=0,SUM($BM61)&lt;=0),"",SUM($BN61)-SUM($BM61))</f>
        <v>1447</v>
      </c>
      <c r="BP61" s="73" t="str">
        <f aca="false">_xlfn.IFNA(INDEX(PMTCT!$AF:$AF,MATCH($E61,PMTCT!$E:$E,0)),"")</f>
        <v/>
      </c>
      <c r="BQ61" s="73" t="str">
        <f aca="false">_xlfn.IFNA(INDEX(PMTCT!$AV:$AV,MATCH($E61,PMTCT!$E:$E,0)),"")</f>
        <v/>
      </c>
      <c r="BR61" s="73" t="n">
        <f aca="false">_xlfn.IFNA(INDEX(TB!$R:$R,MATCH($E61,TB!$E:$E,0)),"")</f>
        <v>42</v>
      </c>
      <c r="BS61" s="73" t="str">
        <f aca="false">_xlfn.IFNA(INDEX(VMMC!$AD:$AD,MATCH($E61,VMMC!$E:$E,0)),"")</f>
        <v/>
      </c>
      <c r="BT61" s="73" t="n">
        <f aca="false">IF(SUM($R61,$T61,$AN61,$AQ61,$AT61,$AW61,$AZ61,$BC61,$BF61,$BI61,$BL61,$BP61:$BS61)=0,"",SUM($R61,$T61,$AN61,$AQ61,$AT61,$AW61,$AZ61,$BC61,$BF61,$BI61,$BL61,$BP61:$BS61))</f>
        <v>-105</v>
      </c>
      <c r="BU61" s="73" t="n">
        <f aca="false">IF(OR(SUM($BT61)=0,SUM($BN61)=0),"",SUM($BT61,$BN61))</f>
        <v>1355</v>
      </c>
      <c r="BV61" s="118" t="n">
        <f aca="false">IF(SUM($BU61)=0,"",SUM($BN61)/$BU61)</f>
        <v>1.07749077490775</v>
      </c>
      <c r="BW61" s="73"/>
      <c r="BX61" s="118" t="str">
        <f aca="false">IF(OR($C61="01-04",$C61="05-09"),"",0%)</f>
        <v/>
      </c>
      <c r="BY61" s="75" t="str">
        <f aca="false">IF(OR($C61="01-04",$C61="05-09",SUM($BW61)=0),"",ROUND($BW61*(1+$BX61),0))</f>
        <v/>
      </c>
    </row>
    <row r="62" customFormat="false" ht="15" hidden="false" customHeight="false" outlineLevel="0" collapsed="false">
      <c r="A62" s="0" t="s">
        <v>143</v>
      </c>
      <c r="B62" s="0" t="s">
        <v>115</v>
      </c>
      <c r="C62" s="0" t="s">
        <v>83</v>
      </c>
      <c r="D62" s="0" t="s">
        <v>58</v>
      </c>
      <c r="E62" s="0" t="str">
        <f aca="false">B62&amp;"|"&amp;C62&amp;"|"&amp;D62</f>
        <v>Butha Buthe [#SNU] [mvPRqBFtVC0]|05-09|Male</v>
      </c>
      <c r="F62" s="118" t="n">
        <f aca="false">_xlfn.IFNA(INDEX(Cascade!$Y:$Y,MATCH($E62,Cascade!$E:$E,0)),"")</f>
        <v>0.698630136986301</v>
      </c>
      <c r="G62" s="73" t="n">
        <f aca="false">_xlfn.IFNA(INDEX(Cascade!$BD:$BD,MATCH($E62,Cascade!$E:$E,0)),"")</f>
        <v>6</v>
      </c>
      <c r="H62" s="73" t="n">
        <f aca="false">_xlfn.IFNA(INDEX(Cascade!$BE:$BE,MATCH($E62,Cascade!$E:$E,0)),"")</f>
        <v>2</v>
      </c>
      <c r="I62" s="73" t="str">
        <f aca="false">_xlfn.IFNA(INDEX(Cascade!$BF:$BF,MATCH($E62,Cascade!$E:$E,0)),"")</f>
        <v/>
      </c>
      <c r="J62" s="73" t="str">
        <f aca="false">_xlfn.IFNA(INDEX(Cascade!$BG:$BG,MATCH($E62,Cascade!$E:$E,0)),"")</f>
        <v/>
      </c>
      <c r="K62" s="73" t="n">
        <f aca="false">_xlfn.IFNA(INDEX(Cascade!$BH:$BH,MATCH($E62,Cascade!$E:$E,0)),"")</f>
        <v>0</v>
      </c>
      <c r="L62" s="73" t="str">
        <f aca="false">_xlfn.IFNA(INDEX(Cascade!$BI:$BI,MATCH($E62,Cascade!$E:$E,0)),"")</f>
        <v/>
      </c>
      <c r="M62" s="73" t="n">
        <f aca="false">_xlfn.IFNA(INDEX(Cascade!$BK:$BK,MATCH($E62,Cascade!$E:$E,0)),"")</f>
        <v>4</v>
      </c>
      <c r="N62" s="118"/>
      <c r="O62" s="118"/>
      <c r="P62" s="118"/>
      <c r="Q62" s="75" t="str">
        <f aca="false">IF(OR(SUM($H62)=0,SUM($N62)=0,SUM($O62)=0),"",ROUND($H62*$N62,0))</f>
        <v/>
      </c>
      <c r="R62" s="75" t="str">
        <f aca="false">IF(OR(SUM($Q62)=0,SUM($O62)=0),"",ROUND(SUM($Q62)/SUM($O62),0)-SUM($Q62))</f>
        <v/>
      </c>
      <c r="S62" s="75" t="n">
        <f aca="false">IF(SUM($H62)=0,"",SUM($H62)-SUM($Q62))</f>
        <v>2</v>
      </c>
      <c r="T62" s="75" t="str">
        <f aca="false">IF(OR(SUM($S62)=0,$N62&gt;1,SUM($P62)&lt;=0),"",ROUND($S62/$P62,0)-$S62)</f>
        <v/>
      </c>
      <c r="U62" s="118" t="n">
        <f aca="false">IF(SUM($G62)&lt;=0,"",SUM($Q62,$S62)/$G62)</f>
        <v>0.333333333333333</v>
      </c>
      <c r="V62" s="118" t="str">
        <f aca="false">IF(OR(SUM($Q62)=0,SUM($G62)=0),"",SUM($Q62)/SUM($G62))</f>
        <v/>
      </c>
      <c r="W62" s="118" t="n">
        <f aca="false">IF(OR(SUM($S62)=0,SUM($G62)=0),"",SUM($S62)/SUM($G62))</f>
        <v>0.333333333333333</v>
      </c>
      <c r="X62" s="118" t="str">
        <f aca="false">IF(OR(SUM($G62)=0,SUM($I62)=0),"",SUM($I62)/SUM($G62))</f>
        <v/>
      </c>
      <c r="Y62" s="118" t="str">
        <f aca="false">IF(OR(SUM($G62)=0,SUM($J62)=0),"",SUM($J62)/SUM($G62))</f>
        <v/>
      </c>
      <c r="Z62" s="118" t="str">
        <f aca="false">IF(OR(SUM($G62)=0,SUM($K62)=0),"",SUM($K62)/SUM($G62))</f>
        <v/>
      </c>
      <c r="AA62" s="118" t="str">
        <f aca="false">IF(OR(SUM($G62)=0,SUM($L62)=0),"",SUM($L62)/SUM($G62))</f>
        <v/>
      </c>
      <c r="AB62" s="118" t="n">
        <v>25</v>
      </c>
      <c r="AC62" s="118"/>
      <c r="AD62" s="118"/>
      <c r="AE62" s="118" t="n">
        <v>3</v>
      </c>
      <c r="AF62" s="118" t="n">
        <v>14</v>
      </c>
      <c r="AG62" s="118" t="n">
        <v>10</v>
      </c>
      <c r="AH62" s="118" t="n">
        <v>24</v>
      </c>
      <c r="AI62" s="118" t="n">
        <v>19</v>
      </c>
      <c r="AJ62" s="118" t="n">
        <v>37</v>
      </c>
      <c r="AK62" s="118" t="n">
        <f aca="false">IF(SUM($G62)&lt;=0,"",SUM($V62:$AJ62))</f>
        <v>132.333333333333</v>
      </c>
      <c r="AL62" s="118"/>
      <c r="AM62" s="75" t="n">
        <f aca="false">IF(OR(SUM($AB62)&lt;=0,SUM($G62)&lt;=0),"",ROUND($G62*$AB62,0))</f>
        <v>150</v>
      </c>
      <c r="AN62" s="75" t="str">
        <f aca="false">IF(SUM($AM62)&lt;=0,"",IF(SUM($AL62)&lt;=0,"ENTER VALID YIELD!",ROUND($AM62/$AL62,0)-$AM62))</f>
        <v>ENTER VALID YIELD!</v>
      </c>
      <c r="AO62" s="118"/>
      <c r="AP62" s="75" t="str">
        <f aca="false">IF(OR(SUM($AC62)&lt;=0,SUM($G62)&lt;=0),"",ROUND($G62*$AC62,0))</f>
        <v/>
      </c>
      <c r="AQ62" s="75" t="str">
        <f aca="false">IF(SUM($AP62)&lt;=0,"",IF(SUM($AO62)&lt;=0,"ENTER VALID YIELD!",ROUND($AP62/$AO62,0)-$AP62))</f>
        <v/>
      </c>
      <c r="AR62" s="118"/>
      <c r="AS62" s="75" t="str">
        <f aca="false">IF(OR(SUM($AD62)&lt;=0,SUM($G62)&lt;=0),"",ROUND($G62*$AD62,0))</f>
        <v/>
      </c>
      <c r="AT62" s="75" t="str">
        <f aca="false">IF(SUM($AS62)&lt;=0,"",IF(SUM($AR62)&lt;=0,"ENTER VALID YIELD!",ROUND($AS62/$AR62,0)-$AS62))</f>
        <v/>
      </c>
      <c r="AU62" s="118"/>
      <c r="AV62" s="75" t="n">
        <f aca="false">IF(OR(SUM($AE62)&lt;=0,SUM($G62)&lt;=0),"",ROUND($G62*$AE62,0))</f>
        <v>18</v>
      </c>
      <c r="AW62" s="75" t="str">
        <f aca="false">IF(SUM($AV62)&lt;=0,"",IF(SUM($AU62)&lt;=0,"ENTER VALID YIELD!",ROUND($AV62/$AU62,0)-$AV62))</f>
        <v>ENTER VALID YIELD!</v>
      </c>
      <c r="AX62" s="118"/>
      <c r="AY62" s="75" t="n">
        <f aca="false">IF(OR(SUM($AF62)&lt;=0,SUM($G62)&lt;=0),"",ROUND($G62*$AF62,0))</f>
        <v>84</v>
      </c>
      <c r="AZ62" s="75" t="str">
        <f aca="false">IF(SUM($AY62)&lt;=0,"",IF(SUM($AX62)&lt;=0,"ENTER VALID YIELD!",ROUND($AY62/$AX62,0)-$AY62))</f>
        <v>ENTER VALID YIELD!</v>
      </c>
      <c r="BA62" s="118" t="n">
        <v>7</v>
      </c>
      <c r="BB62" s="75" t="n">
        <f aca="false">IF(OR(SUM($AG62)&lt;=0,SUM($G62)&lt;=0),"",ROUND($G62*$AG62,0))</f>
        <v>60</v>
      </c>
      <c r="BC62" s="75" t="n">
        <f aca="false">IF(SUM($BB62)&lt;=0,"",IF(SUM($BA62)&lt;=0,"ENTER VALID YIELD!",ROUND($BB62/$BA62,0)-$BB62))</f>
        <v>-51</v>
      </c>
      <c r="BD62" s="118"/>
      <c r="BE62" s="75" t="n">
        <f aca="false">IF(OR(SUM($AH62)&lt;=0,SUM($G62)&lt;=0),"",ROUND($G62*$AH62,0))</f>
        <v>144</v>
      </c>
      <c r="BF62" s="75" t="str">
        <f aca="false">IF(SUM($BE62)&lt;=0,"",IF(SUM($BD62)&lt;=0,"ENTER VALID YIELD!",ROUND($BE62/$BD62,0)-$BE62))</f>
        <v>ENTER VALID YIELD!</v>
      </c>
      <c r="BG62" s="118"/>
      <c r="BH62" s="75" t="n">
        <f aca="false">IF(OR(SUM($AI62)&lt;=0,SUM($G62)&lt;=0),"",ROUND($G62*$AI62,0))</f>
        <v>114</v>
      </c>
      <c r="BI62" s="75" t="str">
        <f aca="false">IF(SUM($BH62)&lt;=0,"",IF(SUM($BG62)&lt;=0,"ENTER VALID YIELD!",ROUND($BH62/$BG62,0)-$BH62))</f>
        <v>ENTER VALID YIELD!</v>
      </c>
      <c r="BJ62" s="118"/>
      <c r="BK62" s="75" t="n">
        <f aca="false">IF(OR(SUM($AJ62)&lt;=0,SUM($G62)&lt;=0),"",ROUND($G62*$AJ62,0))</f>
        <v>222</v>
      </c>
      <c r="BL62" s="75" t="str">
        <f aca="false">IF(SUM($BK62)&lt;=0,"",IF(SUM($BJ62)&lt;=0,"ENTER VALID YIELD!",ROUND($BK62/$BJ62,0)-$BK62))</f>
        <v>ENTER VALID YIELD!</v>
      </c>
      <c r="BM62" s="73" t="n">
        <f aca="false">IF(SUM($G62)&lt;=0,"",$G62)</f>
        <v>6</v>
      </c>
      <c r="BN62" s="73" t="n">
        <f aca="false">IF(SUM($G62)&lt;=0,"",SUM($I62:$L62,$Q62,$S62,$AM62,$AP62,$AS62,$AV62,$AY62,$BB62,$BE62,$BH62,$BK62))</f>
        <v>794</v>
      </c>
      <c r="BO62" s="73" t="n">
        <f aca="false">IF(AND(SUM($BN62)&lt;=0,SUM($BM62)&lt;=0),"",SUM($BN62)-SUM($BM62))</f>
        <v>788</v>
      </c>
      <c r="BP62" s="73" t="str">
        <f aca="false">_xlfn.IFNA(INDEX(PMTCT!$AF:$AF,MATCH($E62,PMTCT!$E:$E,0)),"")</f>
        <v/>
      </c>
      <c r="BQ62" s="73" t="str">
        <f aca="false">_xlfn.IFNA(INDEX(PMTCT!$AV:$AV,MATCH($E62,PMTCT!$E:$E,0)),"")</f>
        <v/>
      </c>
      <c r="BR62" s="73" t="n">
        <f aca="false">_xlfn.IFNA(INDEX(TB!$R:$R,MATCH($E62,TB!$E:$E,0)),"")</f>
        <v>49</v>
      </c>
      <c r="BS62" s="73" t="str">
        <f aca="false">_xlfn.IFNA(INDEX(VMMC!$AD:$AD,MATCH($E62,VMMC!$E:$E,0)),"")</f>
        <v/>
      </c>
      <c r="BT62" s="73" t="n">
        <f aca="false">IF(SUM($R62,$T62,$AN62,$AQ62,$AT62,$AW62,$AZ62,$BC62,$BF62,$BI62,$BL62,$BP62:$BS62)=0,"",SUM($R62,$T62,$AN62,$AQ62,$AT62,$AW62,$AZ62,$BC62,$BF62,$BI62,$BL62,$BP62:$BS62))</f>
        <v>-2</v>
      </c>
      <c r="BU62" s="73" t="n">
        <f aca="false">IF(OR(SUM($BT62)=0,SUM($BN62)=0),"",SUM($BT62,$BN62))</f>
        <v>792</v>
      </c>
      <c r="BV62" s="118" t="n">
        <f aca="false">IF(SUM($BU62)=0,"",SUM($BN62)/$BU62)</f>
        <v>1.00252525252525</v>
      </c>
      <c r="BW62" s="73"/>
      <c r="BX62" s="118" t="str">
        <f aca="false">IF(OR($C62="01-04",$C62="05-09"),"",0%)</f>
        <v/>
      </c>
      <c r="BY62" s="75" t="str">
        <f aca="false">IF(OR($C62="01-04",$C62="05-09",SUM($BW62)=0),"",ROUND($BW62*(1+$BX62),0))</f>
        <v/>
      </c>
    </row>
    <row r="63" customFormat="false" ht="15" hidden="false" customHeight="false" outlineLevel="0" collapsed="false">
      <c r="A63" s="0" t="s">
        <v>143</v>
      </c>
      <c r="B63" s="0" t="s">
        <v>115</v>
      </c>
      <c r="C63" s="0" t="s">
        <v>61</v>
      </c>
      <c r="D63" s="0" t="s">
        <v>56</v>
      </c>
      <c r="E63" s="0" t="str">
        <f aca="false">B63&amp;"|"&amp;C63&amp;"|"&amp;D63</f>
        <v>Butha Buthe [#SNU] [mvPRqBFtVC0]|10-14|Female</v>
      </c>
      <c r="F63" s="118" t="n">
        <f aca="false">_xlfn.IFNA(INDEX(Cascade!$Y:$Y,MATCH($E63,Cascade!$E:$E,0)),"")</f>
        <v>0.860655737704918</v>
      </c>
      <c r="G63" s="73" t="n">
        <f aca="false">_xlfn.IFNA(INDEX(Cascade!$BD:$BD,MATCH($E63,Cascade!$E:$E,0)),"")</f>
        <v>3</v>
      </c>
      <c r="H63" s="73" t="n">
        <f aca="false">_xlfn.IFNA(INDEX(Cascade!$BE:$BE,MATCH($E63,Cascade!$E:$E,0)),"")</f>
        <v>2</v>
      </c>
      <c r="I63" s="73" t="str">
        <f aca="false">_xlfn.IFNA(INDEX(Cascade!$BF:$BF,MATCH($E63,Cascade!$E:$E,0)),"")</f>
        <v/>
      </c>
      <c r="J63" s="73" t="str">
        <f aca="false">_xlfn.IFNA(INDEX(Cascade!$BG:$BG,MATCH($E63,Cascade!$E:$E,0)),"")</f>
        <v/>
      </c>
      <c r="K63" s="73" t="n">
        <f aca="false">_xlfn.IFNA(INDEX(Cascade!$BH:$BH,MATCH($E63,Cascade!$E:$E,0)),"")</f>
        <v>0</v>
      </c>
      <c r="L63" s="73" t="str">
        <f aca="false">_xlfn.IFNA(INDEX(Cascade!$BI:$BI,MATCH($E63,Cascade!$E:$E,0)),"")</f>
        <v/>
      </c>
      <c r="M63" s="73" t="n">
        <f aca="false">_xlfn.IFNA(INDEX(Cascade!$BK:$BK,MATCH($E63,Cascade!$E:$E,0)),"")</f>
        <v>1</v>
      </c>
      <c r="N63" s="118"/>
      <c r="O63" s="118"/>
      <c r="P63" s="118"/>
      <c r="Q63" s="75" t="str">
        <f aca="false">IF(OR(SUM($H63)=0,SUM($N63)=0,SUM($O63)=0),"",ROUND($H63*$N63,0))</f>
        <v/>
      </c>
      <c r="R63" s="75" t="str">
        <f aca="false">IF(OR(SUM($Q63)=0,SUM($O63)=0),"",ROUND(SUM($Q63)/SUM($O63),0)-SUM($Q63))</f>
        <v/>
      </c>
      <c r="S63" s="75" t="n">
        <f aca="false">IF(SUM($H63)=0,"",SUM($H63)-SUM($Q63))</f>
        <v>2</v>
      </c>
      <c r="T63" s="75" t="str">
        <f aca="false">IF(OR(SUM($S63)=0,$N63&gt;1,SUM($P63)&lt;=0),"",ROUND($S63/$P63,0)-$S63)</f>
        <v/>
      </c>
      <c r="U63" s="118" t="n">
        <f aca="false">IF(SUM($G63)&lt;=0,"",SUM($Q63,$S63)/$G63)</f>
        <v>0.666666666666667</v>
      </c>
      <c r="V63" s="118" t="str">
        <f aca="false">IF(OR(SUM($Q63)=0,SUM($G63)=0),"",SUM($Q63)/SUM($G63))</f>
        <v/>
      </c>
      <c r="W63" s="118" t="n">
        <f aca="false">IF(OR(SUM($S63)=0,SUM($G63)=0),"",SUM($S63)/SUM($G63))</f>
        <v>0.666666666666667</v>
      </c>
      <c r="X63" s="118" t="str">
        <f aca="false">IF(OR(SUM($G63)=0,SUM($I63)=0),"",SUM($I63)/SUM($G63))</f>
        <v/>
      </c>
      <c r="Y63" s="118" t="str">
        <f aca="false">IF(OR(SUM($G63)=0,SUM($J63)=0),"",SUM($J63)/SUM($G63))</f>
        <v/>
      </c>
      <c r="Z63" s="118" t="str">
        <f aca="false">IF(OR(SUM($G63)=0,SUM($K63)=0),"",SUM($K63)/SUM($G63))</f>
        <v/>
      </c>
      <c r="AA63" s="118" t="str">
        <f aca="false">IF(OR(SUM($G63)=0,SUM($L63)=0),"",SUM($L63)/SUM($G63))</f>
        <v/>
      </c>
      <c r="AB63" s="118" t="n">
        <v>19</v>
      </c>
      <c r="AC63" s="118"/>
      <c r="AD63" s="118"/>
      <c r="AE63" s="118" t="n">
        <v>6</v>
      </c>
      <c r="AF63" s="118" t="n">
        <v>35</v>
      </c>
      <c r="AG63" s="118" t="n">
        <v>47</v>
      </c>
      <c r="AH63" s="118" t="n">
        <v>13</v>
      </c>
      <c r="AI63" s="118" t="n">
        <v>28</v>
      </c>
      <c r="AJ63" s="118" t="n">
        <v>41</v>
      </c>
      <c r="AK63" s="118" t="n">
        <f aca="false">IF(SUM($G63)&lt;=0,"",SUM($V63:$AJ63))</f>
        <v>189.666666666667</v>
      </c>
      <c r="AL63" s="118"/>
      <c r="AM63" s="75" t="n">
        <f aca="false">IF(OR(SUM($AB63)&lt;=0,SUM($G63)&lt;=0),"",ROUND($G63*$AB63,0))</f>
        <v>57</v>
      </c>
      <c r="AN63" s="75" t="str">
        <f aca="false">IF(SUM($AM63)&lt;=0,"",IF(SUM($AL63)&lt;=0,"ENTER VALID YIELD!",ROUND($AM63/$AL63,0)-$AM63))</f>
        <v>ENTER VALID YIELD!</v>
      </c>
      <c r="AO63" s="118"/>
      <c r="AP63" s="75" t="str">
        <f aca="false">IF(OR(SUM($AC63)&lt;=0,SUM($G63)&lt;=0),"",ROUND($G63*$AC63,0))</f>
        <v/>
      </c>
      <c r="AQ63" s="75" t="str">
        <f aca="false">IF(SUM($AP63)&lt;=0,"",IF(SUM($AO63)&lt;=0,"ENTER VALID YIELD!",ROUND($AP63/$AO63,0)-$AP63))</f>
        <v/>
      </c>
      <c r="AR63" s="118"/>
      <c r="AS63" s="75" t="str">
        <f aca="false">IF(OR(SUM($AD63)&lt;=0,SUM($G63)&lt;=0),"",ROUND($G63*$AD63,0))</f>
        <v/>
      </c>
      <c r="AT63" s="75" t="str">
        <f aca="false">IF(SUM($AS63)&lt;=0,"",IF(SUM($AR63)&lt;=0,"ENTER VALID YIELD!",ROUND($AS63/$AR63,0)-$AS63))</f>
        <v/>
      </c>
      <c r="AU63" s="118"/>
      <c r="AV63" s="75" t="n">
        <f aca="false">IF(OR(SUM($AE63)&lt;=0,SUM($G63)&lt;=0),"",ROUND($G63*$AE63,0))</f>
        <v>18</v>
      </c>
      <c r="AW63" s="75" t="str">
        <f aca="false">IF(SUM($AV63)&lt;=0,"",IF(SUM($AU63)&lt;=0,"ENTER VALID YIELD!",ROUND($AV63/$AU63,0)-$AV63))</f>
        <v>ENTER VALID YIELD!</v>
      </c>
      <c r="AX63" s="118"/>
      <c r="AY63" s="75" t="n">
        <f aca="false">IF(OR(SUM($AF63)&lt;=0,SUM($G63)&lt;=0),"",ROUND($G63*$AF63,0))</f>
        <v>105</v>
      </c>
      <c r="AZ63" s="75" t="str">
        <f aca="false">IF(SUM($AY63)&lt;=0,"",IF(SUM($AX63)&lt;=0,"ENTER VALID YIELD!",ROUND($AY63/$AX63,0)-$AY63))</f>
        <v>ENTER VALID YIELD!</v>
      </c>
      <c r="BA63" s="118" t="n">
        <v>5</v>
      </c>
      <c r="BB63" s="75" t="n">
        <f aca="false">IF(OR(SUM($AG63)&lt;=0,SUM($G63)&lt;=0),"",ROUND($G63*$AG63,0))</f>
        <v>141</v>
      </c>
      <c r="BC63" s="75" t="n">
        <f aca="false">IF(SUM($BB63)&lt;=0,"",IF(SUM($BA63)&lt;=0,"ENTER VALID YIELD!",ROUND($BB63/$BA63,0)-$BB63))</f>
        <v>-113</v>
      </c>
      <c r="BD63" s="118"/>
      <c r="BE63" s="75" t="n">
        <f aca="false">IF(OR(SUM($AH63)&lt;=0,SUM($G63)&lt;=0),"",ROUND($G63*$AH63,0))</f>
        <v>39</v>
      </c>
      <c r="BF63" s="75" t="str">
        <f aca="false">IF(SUM($BE63)&lt;=0,"",IF(SUM($BD63)&lt;=0,"ENTER VALID YIELD!",ROUND($BE63/$BD63,0)-$BE63))</f>
        <v>ENTER VALID YIELD!</v>
      </c>
      <c r="BG63" s="118"/>
      <c r="BH63" s="75" t="n">
        <f aca="false">IF(OR(SUM($AI63)&lt;=0,SUM($G63)&lt;=0),"",ROUND($G63*$AI63,0))</f>
        <v>84</v>
      </c>
      <c r="BI63" s="75" t="str">
        <f aca="false">IF(SUM($BH63)&lt;=0,"",IF(SUM($BG63)&lt;=0,"ENTER VALID YIELD!",ROUND($BH63/$BG63,0)-$BH63))</f>
        <v>ENTER VALID YIELD!</v>
      </c>
      <c r="BJ63" s="118"/>
      <c r="BK63" s="75" t="n">
        <f aca="false">IF(OR(SUM($AJ63)&lt;=0,SUM($G63)&lt;=0),"",ROUND($G63*$AJ63,0))</f>
        <v>123</v>
      </c>
      <c r="BL63" s="75" t="str">
        <f aca="false">IF(SUM($BK63)&lt;=0,"",IF(SUM($BJ63)&lt;=0,"ENTER VALID YIELD!",ROUND($BK63/$BJ63,0)-$BK63))</f>
        <v>ENTER VALID YIELD!</v>
      </c>
      <c r="BM63" s="73" t="n">
        <f aca="false">IF(SUM($G63)&lt;=0,"",$G63)</f>
        <v>3</v>
      </c>
      <c r="BN63" s="73" t="n">
        <f aca="false">IF(SUM($G63)&lt;=0,"",SUM($I63:$L63,$Q63,$S63,$AM63,$AP63,$AS63,$AV63,$AY63,$BB63,$BE63,$BH63,$BK63))</f>
        <v>569</v>
      </c>
      <c r="BO63" s="73" t="n">
        <f aca="false">IF(AND(SUM($BN63)&lt;=0,SUM($BM63)&lt;=0),"",SUM($BN63)-SUM($BM63))</f>
        <v>566</v>
      </c>
      <c r="BP63" s="73" t="str">
        <f aca="false">_xlfn.IFNA(INDEX(PMTCT!$AF:$AF,MATCH($E63,PMTCT!$E:$E,0)),"")</f>
        <v/>
      </c>
      <c r="BQ63" s="73" t="str">
        <f aca="false">_xlfn.IFNA(INDEX(PMTCT!$AV:$AV,MATCH($E63,PMTCT!$E:$E,0)),"")</f>
        <v/>
      </c>
      <c r="BR63" s="73" t="n">
        <f aca="false">_xlfn.IFNA(INDEX(TB!$R:$R,MATCH($E63,TB!$E:$E,0)),"")</f>
        <v>2</v>
      </c>
      <c r="BS63" s="73" t="str">
        <f aca="false">_xlfn.IFNA(INDEX(VMMC!$AD:$AD,MATCH($E63,VMMC!$E:$E,0)),"")</f>
        <v/>
      </c>
      <c r="BT63" s="73" t="n">
        <f aca="false">IF(SUM($R63,$T63,$AN63,$AQ63,$AT63,$AW63,$AZ63,$BC63,$BF63,$BI63,$BL63,$BP63:$BS63)=0,"",SUM($R63,$T63,$AN63,$AQ63,$AT63,$AW63,$AZ63,$BC63,$BF63,$BI63,$BL63,$BP63:$BS63))</f>
        <v>-111</v>
      </c>
      <c r="BU63" s="73" t="n">
        <f aca="false">IF(OR(SUM($BT63)=0,SUM($BN63)=0),"",SUM($BT63,$BN63))</f>
        <v>458</v>
      </c>
      <c r="BV63" s="118" t="n">
        <f aca="false">IF(SUM($BU63)=0,"",SUM($BN63)/$BU63)</f>
        <v>1.24235807860262</v>
      </c>
      <c r="BW63" s="73"/>
      <c r="BX63" s="118" t="n">
        <f aca="false">IF(OR($C63="01-04",$C63="05-09"),"",0%)</f>
        <v>0</v>
      </c>
      <c r="BY63" s="75" t="str">
        <f aca="false">IF(OR($C63="01-04",$C63="05-09",SUM($BW63)=0),"",ROUND($BW63*(1+$BX63),0))</f>
        <v/>
      </c>
    </row>
    <row r="64" customFormat="false" ht="15" hidden="false" customHeight="false" outlineLevel="0" collapsed="false">
      <c r="A64" s="0" t="s">
        <v>143</v>
      </c>
      <c r="B64" s="0" t="s">
        <v>115</v>
      </c>
      <c r="C64" s="0" t="s">
        <v>61</v>
      </c>
      <c r="D64" s="0" t="s">
        <v>58</v>
      </c>
      <c r="E64" s="0" t="str">
        <f aca="false">B64&amp;"|"&amp;C64&amp;"|"&amp;D64</f>
        <v>Butha Buthe [#SNU] [mvPRqBFtVC0]|10-14|Male</v>
      </c>
      <c r="F64" s="118" t="n">
        <f aca="false">_xlfn.IFNA(INDEX(Cascade!$Y:$Y,MATCH($E64,Cascade!$E:$E,0)),"")</f>
        <v>0.873949579831933</v>
      </c>
      <c r="G64" s="73" t="str">
        <f aca="false">_xlfn.IFNA(INDEX(Cascade!$BD:$BD,MATCH($E64,Cascade!$E:$E,0)),"")</f>
        <v/>
      </c>
      <c r="H64" s="73" t="str">
        <f aca="false">_xlfn.IFNA(INDEX(Cascade!$BE:$BE,MATCH($E64,Cascade!$E:$E,0)),"")</f>
        <v/>
      </c>
      <c r="I64" s="73" t="str">
        <f aca="false">_xlfn.IFNA(INDEX(Cascade!$BF:$BF,MATCH($E64,Cascade!$E:$E,0)),"")</f>
        <v/>
      </c>
      <c r="J64" s="73" t="str">
        <f aca="false">_xlfn.IFNA(INDEX(Cascade!$BG:$BG,MATCH($E64,Cascade!$E:$E,0)),"")</f>
        <v/>
      </c>
      <c r="K64" s="73" t="n">
        <f aca="false">_xlfn.IFNA(INDEX(Cascade!$BH:$BH,MATCH($E64,Cascade!$E:$E,0)),"")</f>
        <v>-0</v>
      </c>
      <c r="L64" s="73" t="str">
        <f aca="false">_xlfn.IFNA(INDEX(Cascade!$BI:$BI,MATCH($E64,Cascade!$E:$E,0)),"")</f>
        <v/>
      </c>
      <c r="M64" s="73" t="str">
        <f aca="false">_xlfn.IFNA(INDEX(Cascade!$BK:$BK,MATCH($E64,Cascade!$E:$E,0)),"")</f>
        <v/>
      </c>
      <c r="N64" s="118"/>
      <c r="O64" s="118"/>
      <c r="P64" s="118"/>
      <c r="Q64" s="75" t="str">
        <f aca="false">IF(OR(SUM($H64)=0,SUM($N64)=0,SUM($O64)=0),"",ROUND($H64*$N64,0))</f>
        <v/>
      </c>
      <c r="R64" s="75" t="str">
        <f aca="false">IF(OR(SUM($Q64)=0,SUM($O64)=0),"",ROUND(SUM($Q64)/SUM($O64),0)-SUM($Q64))</f>
        <v/>
      </c>
      <c r="S64" s="75" t="str">
        <f aca="false">IF(SUM($H64)=0,"",SUM($H64)-SUM($Q64))</f>
        <v/>
      </c>
      <c r="T64" s="75" t="str">
        <f aca="false">IF(OR(SUM($S64)=0,$N64&gt;1,SUM($P64)&lt;=0),"",ROUND($S64/$P64,0)-$S64)</f>
        <v/>
      </c>
      <c r="U64" s="118" t="str">
        <f aca="false">IF(SUM($G64)&lt;=0,"",SUM($Q64,$S64)/$G64)</f>
        <v/>
      </c>
      <c r="V64" s="118" t="str">
        <f aca="false">IF(OR(SUM($Q64)=0,SUM($G64)=0),"",SUM($Q64)/SUM($G64))</f>
        <v/>
      </c>
      <c r="W64" s="118" t="str">
        <f aca="false">IF(OR(SUM($S64)=0,SUM($G64)=0),"",SUM($S64)/SUM($G64))</f>
        <v/>
      </c>
      <c r="X64" s="118" t="str">
        <f aca="false">IF(OR(SUM($G64)=0,SUM($I64)=0),"",SUM($I64)/SUM($G64))</f>
        <v/>
      </c>
      <c r="Y64" s="118" t="str">
        <f aca="false">IF(OR(SUM($G64)=0,SUM($J64)=0),"",SUM($J64)/SUM($G64))</f>
        <v/>
      </c>
      <c r="Z64" s="118" t="str">
        <f aca="false">IF(OR(SUM($G64)=0,SUM($K64)=0),"",SUM($K64)/SUM($G64))</f>
        <v/>
      </c>
      <c r="AA64" s="118" t="str">
        <f aca="false">IF(OR(SUM($G64)=0,SUM($L64)=0),"",SUM($L64)/SUM($G64))</f>
        <v/>
      </c>
      <c r="AB64" s="118" t="n">
        <v>31</v>
      </c>
      <c r="AC64" s="118"/>
      <c r="AD64" s="118"/>
      <c r="AE64" s="118" t="n">
        <v>18</v>
      </c>
      <c r="AF64" s="118" t="n">
        <v>9</v>
      </c>
      <c r="AG64" s="118" t="n">
        <v>9</v>
      </c>
      <c r="AH64" s="118" t="n">
        <v>11</v>
      </c>
      <c r="AI64" s="118" t="n">
        <v>25</v>
      </c>
      <c r="AJ64" s="118" t="n">
        <v>46</v>
      </c>
      <c r="AK64" s="118" t="str">
        <f aca="false">IF(SUM($G64)&lt;=0,"",SUM($V64:$AJ64))</f>
        <v/>
      </c>
      <c r="AL64" s="118"/>
      <c r="AM64" s="75" t="str">
        <f aca="false">IF(OR(SUM($AB64)&lt;=0,SUM($G64)&lt;=0),"",ROUND($G64*$AB64,0))</f>
        <v/>
      </c>
      <c r="AN64" s="75" t="str">
        <f aca="false">IF(SUM($AM64)&lt;=0,"",IF(SUM($AL64)&lt;=0,"ENTER VALID YIELD!",ROUND($AM64/$AL64,0)-$AM64))</f>
        <v/>
      </c>
      <c r="AO64" s="118"/>
      <c r="AP64" s="75" t="str">
        <f aca="false">IF(OR(SUM($AC64)&lt;=0,SUM($G64)&lt;=0),"",ROUND($G64*$AC64,0))</f>
        <v/>
      </c>
      <c r="AQ64" s="75" t="str">
        <f aca="false">IF(SUM($AP64)&lt;=0,"",IF(SUM($AO64)&lt;=0,"ENTER VALID YIELD!",ROUND($AP64/$AO64,0)-$AP64))</f>
        <v/>
      </c>
      <c r="AR64" s="118"/>
      <c r="AS64" s="75" t="str">
        <f aca="false">IF(OR(SUM($AD64)&lt;=0,SUM($G64)&lt;=0),"",ROUND($G64*$AD64,0))</f>
        <v/>
      </c>
      <c r="AT64" s="75" t="str">
        <f aca="false">IF(SUM($AS64)&lt;=0,"",IF(SUM($AR64)&lt;=0,"ENTER VALID YIELD!",ROUND($AS64/$AR64,0)-$AS64))</f>
        <v/>
      </c>
      <c r="AU64" s="118"/>
      <c r="AV64" s="75" t="str">
        <f aca="false">IF(OR(SUM($AE64)&lt;=0,SUM($G64)&lt;=0),"",ROUND($G64*$AE64,0))</f>
        <v/>
      </c>
      <c r="AW64" s="75" t="str">
        <f aca="false">IF(SUM($AV64)&lt;=0,"",IF(SUM($AU64)&lt;=0,"ENTER VALID YIELD!",ROUND($AV64/$AU64,0)-$AV64))</f>
        <v/>
      </c>
      <c r="AX64" s="118"/>
      <c r="AY64" s="75" t="str">
        <f aca="false">IF(OR(SUM($AF64)&lt;=0,SUM($G64)&lt;=0),"",ROUND($G64*$AF64,0))</f>
        <v/>
      </c>
      <c r="AZ64" s="75" t="str">
        <f aca="false">IF(SUM($AY64)&lt;=0,"",IF(SUM($AX64)&lt;=0,"ENTER VALID YIELD!",ROUND($AY64/$AX64,0)-$AY64))</f>
        <v/>
      </c>
      <c r="BA64" s="118" t="n">
        <v>28</v>
      </c>
      <c r="BB64" s="75" t="str">
        <f aca="false">IF(OR(SUM($AG64)&lt;=0,SUM($G64)&lt;=0),"",ROUND($G64*$AG64,0))</f>
        <v/>
      </c>
      <c r="BC64" s="75" t="str">
        <f aca="false">IF(SUM($BB64)&lt;=0,"",IF(SUM($BA64)&lt;=0,"ENTER VALID YIELD!",ROUND($BB64/$BA64,0)-$BB64))</f>
        <v/>
      </c>
      <c r="BD64" s="118"/>
      <c r="BE64" s="75" t="str">
        <f aca="false">IF(OR(SUM($AH64)&lt;=0,SUM($G64)&lt;=0),"",ROUND($G64*$AH64,0))</f>
        <v/>
      </c>
      <c r="BF64" s="75" t="str">
        <f aca="false">IF(SUM($BE64)&lt;=0,"",IF(SUM($BD64)&lt;=0,"ENTER VALID YIELD!",ROUND($BE64/$BD64,0)-$BE64))</f>
        <v/>
      </c>
      <c r="BG64" s="118"/>
      <c r="BH64" s="75" t="str">
        <f aca="false">IF(OR(SUM($AI64)&lt;=0,SUM($G64)&lt;=0),"",ROUND($G64*$AI64,0))</f>
        <v/>
      </c>
      <c r="BI64" s="75" t="str">
        <f aca="false">IF(SUM($BH64)&lt;=0,"",IF(SUM($BG64)&lt;=0,"ENTER VALID YIELD!",ROUND($BH64/$BG64,0)-$BH64))</f>
        <v/>
      </c>
      <c r="BJ64" s="118"/>
      <c r="BK64" s="75" t="str">
        <f aca="false">IF(OR(SUM($AJ64)&lt;=0,SUM($G64)&lt;=0),"",ROUND($G64*$AJ64,0))</f>
        <v/>
      </c>
      <c r="BL64" s="75" t="str">
        <f aca="false">IF(SUM($BK64)&lt;=0,"",IF(SUM($BJ64)&lt;=0,"ENTER VALID YIELD!",ROUND($BK64/$BJ64,0)-$BK64))</f>
        <v/>
      </c>
      <c r="BM64" s="73" t="str">
        <f aca="false">IF(SUM($G64)&lt;=0,"",$G64)</f>
        <v/>
      </c>
      <c r="BN64" s="73" t="str">
        <f aca="false">IF(SUM($G64)&lt;=0,"",SUM($I64:$L64,$Q64,$S64,$AM64,$AP64,$AS64,$AV64,$AY64,$BB64,$BE64,$BH64,$BK64))</f>
        <v/>
      </c>
      <c r="BO64" s="73" t="str">
        <f aca="false">IF(AND(SUM($BN64)&lt;=0,SUM($BM64)&lt;=0),"",SUM($BN64)-SUM($BM64))</f>
        <v/>
      </c>
      <c r="BP64" s="73" t="str">
        <f aca="false">_xlfn.IFNA(INDEX(PMTCT!$AF:$AF,MATCH($E64,PMTCT!$E:$E,0)),"")</f>
        <v/>
      </c>
      <c r="BQ64" s="73" t="str">
        <f aca="false">_xlfn.IFNA(INDEX(PMTCT!$AV:$AV,MATCH($E64,PMTCT!$E:$E,0)),"")</f>
        <v/>
      </c>
      <c r="BR64" s="73" t="n">
        <f aca="false">_xlfn.IFNA(INDEX(TB!$R:$R,MATCH($E64,TB!$E:$E,0)),"")</f>
        <v>-210</v>
      </c>
      <c r="BS64" s="73" t="str">
        <f aca="false">_xlfn.IFNA(INDEX(VMMC!$AD:$AD,MATCH($E64,VMMC!$E:$E,0)),"")</f>
        <v/>
      </c>
      <c r="BT64" s="73" t="n">
        <f aca="false">IF(SUM($R64,$T64,$AN64,$AQ64,$AT64,$AW64,$AZ64,$BC64,$BF64,$BI64,$BL64,$BP64:$BS64)=0,"",SUM($R64,$T64,$AN64,$AQ64,$AT64,$AW64,$AZ64,$BC64,$BF64,$BI64,$BL64,$BP64:$BS64))</f>
        <v>-210</v>
      </c>
      <c r="BU64" s="73" t="str">
        <f aca="false">IF(OR(SUM($BT64)=0,SUM($BN64)=0),"",SUM($BT64,$BN64))</f>
        <v/>
      </c>
      <c r="BV64" s="118" t="str">
        <f aca="false">IF(SUM($BU64)=0,"",SUM($BN64)/$BU64)</f>
        <v/>
      </c>
      <c r="BW64" s="73"/>
      <c r="BX64" s="118" t="n">
        <f aca="false">IF(OR($C64="01-04",$C64="05-09"),"",0%)</f>
        <v>0</v>
      </c>
      <c r="BY64" s="75" t="str">
        <f aca="false">IF(OR($C64="01-04",$C64="05-09",SUM($BW64)=0),"",ROUND($BW64*(1+$BX64),0))</f>
        <v/>
      </c>
    </row>
    <row r="65" customFormat="false" ht="15" hidden="false" customHeight="false" outlineLevel="0" collapsed="false">
      <c r="A65" s="0" t="s">
        <v>143</v>
      </c>
      <c r="B65" s="0" t="s">
        <v>115</v>
      </c>
      <c r="C65" s="0" t="s">
        <v>63</v>
      </c>
      <c r="D65" s="0" t="s">
        <v>56</v>
      </c>
      <c r="E65" s="0" t="str">
        <f aca="false">B65&amp;"|"&amp;C65&amp;"|"&amp;D65</f>
        <v>Butha Buthe [#SNU] [mvPRqBFtVC0]|15-19|Female</v>
      </c>
      <c r="F65" s="118" t="n">
        <f aca="false">_xlfn.IFNA(INDEX(Cascade!$Y:$Y,MATCH($E65,Cascade!$E:$E,0)),"")</f>
        <v>0.759615384615385</v>
      </c>
      <c r="G65" s="73" t="n">
        <f aca="false">_xlfn.IFNA(INDEX(Cascade!$BD:$BD,MATCH($E65,Cascade!$E:$E,0)),"")</f>
        <v>6</v>
      </c>
      <c r="H65" s="73" t="n">
        <f aca="false">_xlfn.IFNA(INDEX(Cascade!$BE:$BE,MATCH($E65,Cascade!$E:$E,0)),"")</f>
        <v>3</v>
      </c>
      <c r="I65" s="73" t="n">
        <f aca="false">_xlfn.IFNA(INDEX(Cascade!$BF:$BF,MATCH($E65,Cascade!$E:$E,0)),"")</f>
        <v>-2961</v>
      </c>
      <c r="J65" s="73" t="str">
        <f aca="false">_xlfn.IFNA(INDEX(Cascade!$BG:$BG,MATCH($E65,Cascade!$E:$E,0)),"")</f>
        <v/>
      </c>
      <c r="K65" s="73" t="n">
        <f aca="false">_xlfn.IFNA(INDEX(Cascade!$BH:$BH,MATCH($E65,Cascade!$E:$E,0)),"")</f>
        <v>0</v>
      </c>
      <c r="L65" s="73" t="str">
        <f aca="false">_xlfn.IFNA(INDEX(Cascade!$BI:$BI,MATCH($E65,Cascade!$E:$E,0)),"")</f>
        <v/>
      </c>
      <c r="M65" s="73" t="n">
        <f aca="false">_xlfn.IFNA(INDEX(Cascade!$BK:$BK,MATCH($E65,Cascade!$E:$E,0)),"")</f>
        <v>2964</v>
      </c>
      <c r="N65" s="118"/>
      <c r="O65" s="118"/>
      <c r="P65" s="118"/>
      <c r="Q65" s="75" t="str">
        <f aca="false">IF(OR(SUM($H65)=0,SUM($N65)=0,SUM($O65)=0),"",ROUND($H65*$N65,0))</f>
        <v/>
      </c>
      <c r="R65" s="75" t="str">
        <f aca="false">IF(OR(SUM($Q65)=0,SUM($O65)=0),"",ROUND(SUM($Q65)/SUM($O65),0)-SUM($Q65))</f>
        <v/>
      </c>
      <c r="S65" s="75" t="n">
        <f aca="false">IF(SUM($H65)=0,"",SUM($H65)-SUM($Q65))</f>
        <v>3</v>
      </c>
      <c r="T65" s="75" t="str">
        <f aca="false">IF(OR(SUM($S65)=0,$N65&gt;1,SUM($P65)&lt;=0),"",ROUND($S65/$P65,0)-$S65)</f>
        <v/>
      </c>
      <c r="U65" s="118" t="n">
        <f aca="false">IF(SUM($G65)&lt;=0,"",SUM($Q65,$S65)/$G65)</f>
        <v>0.5</v>
      </c>
      <c r="V65" s="118" t="str">
        <f aca="false">IF(OR(SUM($Q65)=0,SUM($G65)=0),"",SUM($Q65)/SUM($G65))</f>
        <v/>
      </c>
      <c r="W65" s="118" t="n">
        <f aca="false">IF(OR(SUM($S65)=0,SUM($G65)=0),"",SUM($S65)/SUM($G65))</f>
        <v>0.5</v>
      </c>
      <c r="X65" s="118" t="n">
        <f aca="false">IF(OR(SUM($G65)=0,SUM($I65)=0),"",SUM($I65)/SUM($G65))</f>
        <v>-493.5</v>
      </c>
      <c r="Y65" s="118" t="str">
        <f aca="false">IF(OR(SUM($G65)=0,SUM($J65)=0),"",SUM($J65)/SUM($G65))</f>
        <v/>
      </c>
      <c r="Z65" s="118" t="str">
        <f aca="false">IF(OR(SUM($G65)=0,SUM($K65)=0),"",SUM($K65)/SUM($G65))</f>
        <v/>
      </c>
      <c r="AA65" s="118" t="str">
        <f aca="false">IF(OR(SUM($G65)=0,SUM($L65)=0),"",SUM($L65)/SUM($G65))</f>
        <v/>
      </c>
      <c r="AB65" s="118" t="n">
        <v>44</v>
      </c>
      <c r="AC65" s="118"/>
      <c r="AD65" s="118"/>
      <c r="AE65" s="118" t="n">
        <v>7</v>
      </c>
      <c r="AF65" s="118" t="n">
        <v>28</v>
      </c>
      <c r="AG65" s="118" t="n">
        <v>5</v>
      </c>
      <c r="AH65" s="118" t="n">
        <v>16</v>
      </c>
      <c r="AI65" s="118" t="n">
        <v>32</v>
      </c>
      <c r="AJ65" s="118" t="n">
        <v>24</v>
      </c>
      <c r="AK65" s="118" t="n">
        <f aca="false">IF(SUM($G65)&lt;=0,"",SUM($V65:$AJ65))</f>
        <v>-337</v>
      </c>
      <c r="AL65" s="118"/>
      <c r="AM65" s="75" t="n">
        <f aca="false">IF(OR(SUM($AB65)&lt;=0,SUM($G65)&lt;=0),"",ROUND($G65*$AB65,0))</f>
        <v>264</v>
      </c>
      <c r="AN65" s="75" t="str">
        <f aca="false">IF(SUM($AM65)&lt;=0,"",IF(SUM($AL65)&lt;=0,"ENTER VALID YIELD!",ROUND($AM65/$AL65,0)-$AM65))</f>
        <v>ENTER VALID YIELD!</v>
      </c>
      <c r="AO65" s="118"/>
      <c r="AP65" s="75" t="str">
        <f aca="false">IF(OR(SUM($AC65)&lt;=0,SUM($G65)&lt;=0),"",ROUND($G65*$AC65,0))</f>
        <v/>
      </c>
      <c r="AQ65" s="75" t="str">
        <f aca="false">IF(SUM($AP65)&lt;=0,"",IF(SUM($AO65)&lt;=0,"ENTER VALID YIELD!",ROUND($AP65/$AO65,0)-$AP65))</f>
        <v/>
      </c>
      <c r="AR65" s="118"/>
      <c r="AS65" s="75" t="str">
        <f aca="false">IF(OR(SUM($AD65)&lt;=0,SUM($G65)&lt;=0),"",ROUND($G65*$AD65,0))</f>
        <v/>
      </c>
      <c r="AT65" s="75" t="str">
        <f aca="false">IF(SUM($AS65)&lt;=0,"",IF(SUM($AR65)&lt;=0,"ENTER VALID YIELD!",ROUND($AS65/$AR65,0)-$AS65))</f>
        <v/>
      </c>
      <c r="AU65" s="118"/>
      <c r="AV65" s="75" t="n">
        <f aca="false">IF(OR(SUM($AE65)&lt;=0,SUM($G65)&lt;=0),"",ROUND($G65*$AE65,0))</f>
        <v>42</v>
      </c>
      <c r="AW65" s="75" t="str">
        <f aca="false">IF(SUM($AV65)&lt;=0,"",IF(SUM($AU65)&lt;=0,"ENTER VALID YIELD!",ROUND($AV65/$AU65,0)-$AV65))</f>
        <v>ENTER VALID YIELD!</v>
      </c>
      <c r="AX65" s="118"/>
      <c r="AY65" s="75" t="n">
        <f aca="false">IF(OR(SUM($AF65)&lt;=0,SUM($G65)&lt;=0),"",ROUND($G65*$AF65,0))</f>
        <v>168</v>
      </c>
      <c r="AZ65" s="75" t="str">
        <f aca="false">IF(SUM($AY65)&lt;=0,"",IF(SUM($AX65)&lt;=0,"ENTER VALID YIELD!",ROUND($AY65/$AX65,0)-$AY65))</f>
        <v>ENTER VALID YIELD!</v>
      </c>
      <c r="BA65" s="118" t="n">
        <v>44</v>
      </c>
      <c r="BB65" s="75" t="n">
        <f aca="false">IF(OR(SUM($AG65)&lt;=0,SUM($G65)&lt;=0),"",ROUND($G65*$AG65,0))</f>
        <v>30</v>
      </c>
      <c r="BC65" s="75" t="n">
        <f aca="false">IF(SUM($BB65)&lt;=0,"",IF(SUM($BA65)&lt;=0,"ENTER VALID YIELD!",ROUND($BB65/$BA65,0)-$BB65))</f>
        <v>-29</v>
      </c>
      <c r="BD65" s="118"/>
      <c r="BE65" s="75" t="n">
        <f aca="false">IF(OR(SUM($AH65)&lt;=0,SUM($G65)&lt;=0),"",ROUND($G65*$AH65,0))</f>
        <v>96</v>
      </c>
      <c r="BF65" s="75" t="str">
        <f aca="false">IF(SUM($BE65)&lt;=0,"",IF(SUM($BD65)&lt;=0,"ENTER VALID YIELD!",ROUND($BE65/$BD65,0)-$BE65))</f>
        <v>ENTER VALID YIELD!</v>
      </c>
      <c r="BG65" s="118"/>
      <c r="BH65" s="75" t="n">
        <f aca="false">IF(OR(SUM($AI65)&lt;=0,SUM($G65)&lt;=0),"",ROUND($G65*$AI65,0))</f>
        <v>192</v>
      </c>
      <c r="BI65" s="75" t="str">
        <f aca="false">IF(SUM($BH65)&lt;=0,"",IF(SUM($BG65)&lt;=0,"ENTER VALID YIELD!",ROUND($BH65/$BG65,0)-$BH65))</f>
        <v>ENTER VALID YIELD!</v>
      </c>
      <c r="BJ65" s="118"/>
      <c r="BK65" s="75" t="n">
        <f aca="false">IF(OR(SUM($AJ65)&lt;=0,SUM($G65)&lt;=0),"",ROUND($G65*$AJ65,0))</f>
        <v>144</v>
      </c>
      <c r="BL65" s="75" t="str">
        <f aca="false">IF(SUM($BK65)&lt;=0,"",IF(SUM($BJ65)&lt;=0,"ENTER VALID YIELD!",ROUND($BK65/$BJ65,0)-$BK65))</f>
        <v>ENTER VALID YIELD!</v>
      </c>
      <c r="BM65" s="73" t="n">
        <f aca="false">IF(SUM($G65)&lt;=0,"",$G65)</f>
        <v>6</v>
      </c>
      <c r="BN65" s="73" t="n">
        <f aca="false">IF(SUM($G65)&lt;=0,"",SUM($I65:$L65,$Q65,$S65,$AM65,$AP65,$AS65,$AV65,$AY65,$BB65,$BE65,$BH65,$BK65))</f>
        <v>-2022</v>
      </c>
      <c r="BO65" s="73" t="n">
        <f aca="false">IF(AND(SUM($BN65)&lt;=0,SUM($BM65)&lt;=0),"",SUM($BN65)-SUM($BM65))</f>
        <v>-2028</v>
      </c>
      <c r="BP65" s="73" t="n">
        <f aca="false">_xlfn.IFNA(INDEX(PMTCT!$AF:$AF,MATCH($E65,PMTCT!$E:$E,0)),"")</f>
        <v>1974</v>
      </c>
      <c r="BQ65" s="73" t="str">
        <f aca="false">_xlfn.IFNA(INDEX(PMTCT!$AV:$AV,MATCH($E65,PMTCT!$E:$E,0)),"")</f>
        <v/>
      </c>
      <c r="BR65" s="73" t="n">
        <f aca="false">_xlfn.IFNA(INDEX(TB!$R:$R,MATCH($E65,TB!$E:$E,0)),"")</f>
        <v>48</v>
      </c>
      <c r="BS65" s="73" t="str">
        <f aca="false">_xlfn.IFNA(INDEX(VMMC!$AD:$AD,MATCH($E65,VMMC!$E:$E,0)),"")</f>
        <v/>
      </c>
      <c r="BT65" s="73" t="n">
        <f aca="false">IF(SUM($R65,$T65,$AN65,$AQ65,$AT65,$AW65,$AZ65,$BC65,$BF65,$BI65,$BL65,$BP65:$BS65)=0,"",SUM($R65,$T65,$AN65,$AQ65,$AT65,$AW65,$AZ65,$BC65,$BF65,$BI65,$BL65,$BP65:$BS65))</f>
        <v>1993</v>
      </c>
      <c r="BU65" s="73" t="n">
        <f aca="false">IF(OR(SUM($BT65)=0,SUM($BN65)=0),"",SUM($BT65,$BN65))</f>
        <v>-29</v>
      </c>
      <c r="BV65" s="118" t="n">
        <f aca="false">IF(SUM($BU65)=0,"",SUM($BN65)/$BU65)</f>
        <v>69.7241379310345</v>
      </c>
      <c r="BW65" s="73"/>
      <c r="BX65" s="118" t="n">
        <f aca="false">IF(OR($C65="01-04",$C65="05-09"),"",0%)</f>
        <v>0</v>
      </c>
      <c r="BY65" s="75" t="str">
        <f aca="false">IF(OR($C65="01-04",$C65="05-09",SUM($BW65)=0),"",ROUND($BW65*(1+$BX65),0))</f>
        <v/>
      </c>
    </row>
    <row r="66" customFormat="false" ht="15" hidden="false" customHeight="false" outlineLevel="0" collapsed="false">
      <c r="A66" s="0" t="s">
        <v>143</v>
      </c>
      <c r="B66" s="0" t="s">
        <v>115</v>
      </c>
      <c r="C66" s="0" t="s">
        <v>63</v>
      </c>
      <c r="D66" s="0" t="s">
        <v>58</v>
      </c>
      <c r="E66" s="0" t="str">
        <f aca="false">B66&amp;"|"&amp;C66&amp;"|"&amp;D66</f>
        <v>Butha Buthe [#SNU] [mvPRqBFtVC0]|15-19|Male</v>
      </c>
      <c r="F66" s="118" t="n">
        <f aca="false">_xlfn.IFNA(INDEX(Cascade!$Y:$Y,MATCH($E66,Cascade!$E:$E,0)),"")</f>
        <v>0.965811965811966</v>
      </c>
      <c r="G66" s="73" t="n">
        <f aca="false">_xlfn.IFNA(INDEX(Cascade!$BD:$BD,MATCH($E66,Cascade!$E:$E,0)),"")</f>
        <v>1</v>
      </c>
      <c r="H66" s="73" t="n">
        <f aca="false">_xlfn.IFNA(INDEX(Cascade!$BE:$BE,MATCH($E66,Cascade!$E:$E,0)),"")</f>
        <v>1</v>
      </c>
      <c r="I66" s="73" t="str">
        <f aca="false">_xlfn.IFNA(INDEX(Cascade!$BF:$BF,MATCH($E66,Cascade!$E:$E,0)),"")</f>
        <v/>
      </c>
      <c r="J66" s="73" t="str">
        <f aca="false">_xlfn.IFNA(INDEX(Cascade!$BG:$BG,MATCH($E66,Cascade!$E:$E,0)),"")</f>
        <v/>
      </c>
      <c r="K66" s="73" t="n">
        <f aca="false">_xlfn.IFNA(INDEX(Cascade!$BH:$BH,MATCH($E66,Cascade!$E:$E,0)),"")</f>
        <v>0</v>
      </c>
      <c r="L66" s="73" t="str">
        <f aca="false">_xlfn.IFNA(INDEX(Cascade!$BI:$BI,MATCH($E66,Cascade!$E:$E,0)),"")</f>
        <v/>
      </c>
      <c r="M66" s="73" t="n">
        <f aca="false">_xlfn.IFNA(INDEX(Cascade!$BK:$BK,MATCH($E66,Cascade!$E:$E,0)),"")</f>
        <v>0</v>
      </c>
      <c r="N66" s="118"/>
      <c r="O66" s="118"/>
      <c r="P66" s="118"/>
      <c r="Q66" s="75" t="str">
        <f aca="false">IF(OR(SUM($H66)=0,SUM($N66)=0,SUM($O66)=0),"",ROUND($H66*$N66,0))</f>
        <v/>
      </c>
      <c r="R66" s="75" t="str">
        <f aca="false">IF(OR(SUM($Q66)=0,SUM($O66)=0),"",ROUND(SUM($Q66)/SUM($O66),0)-SUM($Q66))</f>
        <v/>
      </c>
      <c r="S66" s="75" t="n">
        <f aca="false">IF(SUM($H66)=0,"",SUM($H66)-SUM($Q66))</f>
        <v>1</v>
      </c>
      <c r="T66" s="75" t="str">
        <f aca="false">IF(OR(SUM($S66)=0,$N66&gt;1,SUM($P66)&lt;=0),"",ROUND($S66/$P66,0)-$S66)</f>
        <v/>
      </c>
      <c r="U66" s="118" t="n">
        <f aca="false">IF(SUM($G66)&lt;=0,"",SUM($Q66,$S66)/$G66)</f>
        <v>1</v>
      </c>
      <c r="V66" s="118" t="str">
        <f aca="false">IF(OR(SUM($Q66)=0,SUM($G66)=0),"",SUM($Q66)/SUM($G66))</f>
        <v/>
      </c>
      <c r="W66" s="118" t="n">
        <f aca="false">IF(OR(SUM($S66)=0,SUM($G66)=0),"",SUM($S66)/SUM($G66))</f>
        <v>1</v>
      </c>
      <c r="X66" s="118" t="str">
        <f aca="false">IF(OR(SUM($G66)=0,SUM($I66)=0),"",SUM($I66)/SUM($G66))</f>
        <v/>
      </c>
      <c r="Y66" s="118" t="str">
        <f aca="false">IF(OR(SUM($G66)=0,SUM($J66)=0),"",SUM($J66)/SUM($G66))</f>
        <v/>
      </c>
      <c r="Z66" s="118" t="str">
        <f aca="false">IF(OR(SUM($G66)=0,SUM($K66)=0),"",SUM($K66)/SUM($G66))</f>
        <v/>
      </c>
      <c r="AA66" s="118" t="str">
        <f aca="false">IF(OR(SUM($G66)=0,SUM($L66)=0),"",SUM($L66)/SUM($G66))</f>
        <v/>
      </c>
      <c r="AB66" s="118" t="n">
        <v>7</v>
      </c>
      <c r="AC66" s="118"/>
      <c r="AD66" s="118"/>
      <c r="AE66" s="118" t="n">
        <v>36</v>
      </c>
      <c r="AF66" s="118" t="n">
        <v>47</v>
      </c>
      <c r="AG66" s="118" t="n">
        <v>0</v>
      </c>
      <c r="AH66" s="118" t="n">
        <v>13</v>
      </c>
      <c r="AI66" s="118" t="n">
        <v>14</v>
      </c>
      <c r="AJ66" s="118" t="n">
        <v>15</v>
      </c>
      <c r="AK66" s="118" t="n">
        <f aca="false">IF(SUM($G66)&lt;=0,"",SUM($V66:$AJ66))</f>
        <v>133</v>
      </c>
      <c r="AL66" s="118"/>
      <c r="AM66" s="75" t="n">
        <f aca="false">IF(OR(SUM($AB66)&lt;=0,SUM($G66)&lt;=0),"",ROUND($G66*$AB66,0))</f>
        <v>7</v>
      </c>
      <c r="AN66" s="75" t="str">
        <f aca="false">IF(SUM($AM66)&lt;=0,"",IF(SUM($AL66)&lt;=0,"ENTER VALID YIELD!",ROUND($AM66/$AL66,0)-$AM66))</f>
        <v>ENTER VALID YIELD!</v>
      </c>
      <c r="AO66" s="118"/>
      <c r="AP66" s="75" t="str">
        <f aca="false">IF(OR(SUM($AC66)&lt;=0,SUM($G66)&lt;=0),"",ROUND($G66*$AC66,0))</f>
        <v/>
      </c>
      <c r="AQ66" s="75" t="str">
        <f aca="false">IF(SUM($AP66)&lt;=0,"",IF(SUM($AO66)&lt;=0,"ENTER VALID YIELD!",ROUND($AP66/$AO66,0)-$AP66))</f>
        <v/>
      </c>
      <c r="AR66" s="118"/>
      <c r="AS66" s="75" t="str">
        <f aca="false">IF(OR(SUM($AD66)&lt;=0,SUM($G66)&lt;=0),"",ROUND($G66*$AD66,0))</f>
        <v/>
      </c>
      <c r="AT66" s="75" t="str">
        <f aca="false">IF(SUM($AS66)&lt;=0,"",IF(SUM($AR66)&lt;=0,"ENTER VALID YIELD!",ROUND($AS66/$AR66,0)-$AS66))</f>
        <v/>
      </c>
      <c r="AU66" s="118"/>
      <c r="AV66" s="75" t="n">
        <f aca="false">IF(OR(SUM($AE66)&lt;=0,SUM($G66)&lt;=0),"",ROUND($G66*$AE66,0))</f>
        <v>36</v>
      </c>
      <c r="AW66" s="75" t="str">
        <f aca="false">IF(SUM($AV66)&lt;=0,"",IF(SUM($AU66)&lt;=0,"ENTER VALID YIELD!",ROUND($AV66/$AU66,0)-$AV66))</f>
        <v>ENTER VALID YIELD!</v>
      </c>
      <c r="AX66" s="118"/>
      <c r="AY66" s="75" t="n">
        <f aca="false">IF(OR(SUM($AF66)&lt;=0,SUM($G66)&lt;=0),"",ROUND($G66*$AF66,0))</f>
        <v>47</v>
      </c>
      <c r="AZ66" s="75" t="str">
        <f aca="false">IF(SUM($AY66)&lt;=0,"",IF(SUM($AX66)&lt;=0,"ENTER VALID YIELD!",ROUND($AY66/$AX66,0)-$AY66))</f>
        <v>ENTER VALID YIELD!</v>
      </c>
      <c r="BA66" s="118" t="n">
        <v>18</v>
      </c>
      <c r="BB66" s="75" t="str">
        <f aca="false">IF(OR(SUM($AG66)&lt;=0,SUM($G66)&lt;=0),"",ROUND($G66*$AG66,0))</f>
        <v/>
      </c>
      <c r="BC66" s="75" t="str">
        <f aca="false">IF(SUM($BB66)&lt;=0,"",IF(SUM($BA66)&lt;=0,"ENTER VALID YIELD!",ROUND($BB66/$BA66,0)-$BB66))</f>
        <v/>
      </c>
      <c r="BD66" s="118"/>
      <c r="BE66" s="75" t="n">
        <f aca="false">IF(OR(SUM($AH66)&lt;=0,SUM($G66)&lt;=0),"",ROUND($G66*$AH66,0))</f>
        <v>13</v>
      </c>
      <c r="BF66" s="75" t="str">
        <f aca="false">IF(SUM($BE66)&lt;=0,"",IF(SUM($BD66)&lt;=0,"ENTER VALID YIELD!",ROUND($BE66/$BD66,0)-$BE66))</f>
        <v>ENTER VALID YIELD!</v>
      </c>
      <c r="BG66" s="118"/>
      <c r="BH66" s="75" t="n">
        <f aca="false">IF(OR(SUM($AI66)&lt;=0,SUM($G66)&lt;=0),"",ROUND($G66*$AI66,0))</f>
        <v>14</v>
      </c>
      <c r="BI66" s="75" t="str">
        <f aca="false">IF(SUM($BH66)&lt;=0,"",IF(SUM($BG66)&lt;=0,"ENTER VALID YIELD!",ROUND($BH66/$BG66,0)-$BH66))</f>
        <v>ENTER VALID YIELD!</v>
      </c>
      <c r="BJ66" s="118"/>
      <c r="BK66" s="75" t="n">
        <f aca="false">IF(OR(SUM($AJ66)&lt;=0,SUM($G66)&lt;=0),"",ROUND($G66*$AJ66,0))</f>
        <v>15</v>
      </c>
      <c r="BL66" s="75" t="str">
        <f aca="false">IF(SUM($BK66)&lt;=0,"",IF(SUM($BJ66)&lt;=0,"ENTER VALID YIELD!",ROUND($BK66/$BJ66,0)-$BK66))</f>
        <v>ENTER VALID YIELD!</v>
      </c>
      <c r="BM66" s="73" t="n">
        <f aca="false">IF(SUM($G66)&lt;=0,"",$G66)</f>
        <v>1</v>
      </c>
      <c r="BN66" s="73" t="n">
        <f aca="false">IF(SUM($G66)&lt;=0,"",SUM($I66:$L66,$Q66,$S66,$AM66,$AP66,$AS66,$AV66,$AY66,$BB66,$BE66,$BH66,$BK66))</f>
        <v>133</v>
      </c>
      <c r="BO66" s="73" t="n">
        <f aca="false">IF(AND(SUM($BN66)&lt;=0,SUM($BM66)&lt;=0),"",SUM($BN66)-SUM($BM66))</f>
        <v>132</v>
      </c>
      <c r="BP66" s="73" t="str">
        <f aca="false">_xlfn.IFNA(INDEX(PMTCT!$AF:$AF,MATCH($E66,PMTCT!$E:$E,0)),"")</f>
        <v/>
      </c>
      <c r="BQ66" s="73" t="str">
        <f aca="false">_xlfn.IFNA(INDEX(PMTCT!$AV:$AV,MATCH($E66,PMTCT!$E:$E,0)),"")</f>
        <v/>
      </c>
      <c r="BR66" s="73" t="n">
        <f aca="false">_xlfn.IFNA(INDEX(TB!$R:$R,MATCH($E66,TB!$E:$E,0)),"")</f>
        <v>39</v>
      </c>
      <c r="BS66" s="73" t="str">
        <f aca="false">_xlfn.IFNA(INDEX(VMMC!$AD:$AD,MATCH($E66,VMMC!$E:$E,0)),"")</f>
        <v/>
      </c>
      <c r="BT66" s="73" t="n">
        <f aca="false">IF(SUM($R66,$T66,$AN66,$AQ66,$AT66,$AW66,$AZ66,$BC66,$BF66,$BI66,$BL66,$BP66:$BS66)=0,"",SUM($R66,$T66,$AN66,$AQ66,$AT66,$AW66,$AZ66,$BC66,$BF66,$BI66,$BL66,$BP66:$BS66))</f>
        <v>39</v>
      </c>
      <c r="BU66" s="73" t="n">
        <f aca="false">IF(OR(SUM($BT66)=0,SUM($BN66)=0),"",SUM($BT66,$BN66))</f>
        <v>172</v>
      </c>
      <c r="BV66" s="118" t="n">
        <f aca="false">IF(SUM($BU66)=0,"",SUM($BN66)/$BU66)</f>
        <v>0.773255813953488</v>
      </c>
      <c r="BW66" s="73"/>
      <c r="BX66" s="118" t="n">
        <f aca="false">IF(OR($C66="01-04",$C66="05-09"),"",0%)</f>
        <v>0</v>
      </c>
      <c r="BY66" s="75" t="str">
        <f aca="false">IF(OR($C66="01-04",$C66="05-09",SUM($BW66)=0),"",ROUND($BW66*(1+$BX66),0))</f>
        <v/>
      </c>
    </row>
    <row r="67" customFormat="false" ht="15" hidden="false" customHeight="false" outlineLevel="0" collapsed="false">
      <c r="A67" s="0" t="s">
        <v>143</v>
      </c>
      <c r="B67" s="0" t="s">
        <v>115</v>
      </c>
      <c r="C67" s="0" t="s">
        <v>66</v>
      </c>
      <c r="D67" s="0" t="s">
        <v>56</v>
      </c>
      <c r="E67" s="0" t="str">
        <f aca="false">B67&amp;"|"&amp;C67&amp;"|"&amp;D67</f>
        <v>Butha Buthe [#SNU] [mvPRqBFtVC0]|20-24|Female</v>
      </c>
      <c r="F67" s="118" t="n">
        <f aca="false">_xlfn.IFNA(INDEX(Cascade!$Y:$Y,MATCH($E67,Cascade!$E:$E,0)),"")</f>
        <v>0.672727272727273</v>
      </c>
      <c r="G67" s="73" t="n">
        <f aca="false">_xlfn.IFNA(INDEX(Cascade!$BD:$BD,MATCH($E67,Cascade!$E:$E,0)),"")</f>
        <v>15</v>
      </c>
      <c r="H67" s="73" t="n">
        <f aca="false">_xlfn.IFNA(INDEX(Cascade!$BE:$BE,MATCH($E67,Cascade!$E:$E,0)),"")</f>
        <v>5</v>
      </c>
      <c r="I67" s="73" t="n">
        <f aca="false">_xlfn.IFNA(INDEX(Cascade!$BF:$BF,MATCH($E67,Cascade!$E:$E,0)),"")</f>
        <v>-4680</v>
      </c>
      <c r="J67" s="73" t="str">
        <f aca="false">_xlfn.IFNA(INDEX(Cascade!$BG:$BG,MATCH($E67,Cascade!$E:$E,0)),"")</f>
        <v/>
      </c>
      <c r="K67" s="73" t="n">
        <f aca="false">_xlfn.IFNA(INDEX(Cascade!$BH:$BH,MATCH($E67,Cascade!$E:$E,0)),"")</f>
        <v>116</v>
      </c>
      <c r="L67" s="73" t="str">
        <f aca="false">_xlfn.IFNA(INDEX(Cascade!$BI:$BI,MATCH($E67,Cascade!$E:$E,0)),"")</f>
        <v/>
      </c>
      <c r="M67" s="73" t="n">
        <f aca="false">_xlfn.IFNA(INDEX(Cascade!$BK:$BK,MATCH($E67,Cascade!$E:$E,0)),"")</f>
        <v>4574</v>
      </c>
      <c r="N67" s="118" t="n">
        <v>26</v>
      </c>
      <c r="O67" s="118"/>
      <c r="P67" s="118" t="n">
        <v>26</v>
      </c>
      <c r="Q67" s="75" t="str">
        <f aca="false">IF(OR(SUM($H67)=0,SUM($N67)=0,SUM($O67)=0),"",ROUND($H67*$N67,0))</f>
        <v/>
      </c>
      <c r="R67" s="75" t="str">
        <f aca="false">IF(OR(SUM($Q67)=0,SUM($O67)=0),"",ROUND(SUM($Q67)/SUM($O67),0)-SUM($Q67))</f>
        <v/>
      </c>
      <c r="S67" s="75" t="n">
        <f aca="false">IF(SUM($H67)=0,"",SUM($H67)-SUM($Q67))</f>
        <v>5</v>
      </c>
      <c r="T67" s="75" t="str">
        <f aca="false">IF(OR(SUM($S67)=0,$N67&gt;1,SUM($P67)&lt;=0),"",ROUND($S67/$P67,0)-$S67)</f>
        <v/>
      </c>
      <c r="U67" s="118" t="n">
        <f aca="false">IF(SUM($G67)&lt;=0,"",SUM($Q67,$S67)/$G67)</f>
        <v>0.333333333333333</v>
      </c>
      <c r="V67" s="118" t="str">
        <f aca="false">IF(OR(SUM($Q67)=0,SUM($G67)=0),"",SUM($Q67)/SUM($G67))</f>
        <v/>
      </c>
      <c r="W67" s="118" t="n">
        <f aca="false">IF(OR(SUM($S67)=0,SUM($G67)=0),"",SUM($S67)/SUM($G67))</f>
        <v>0.333333333333333</v>
      </c>
      <c r="X67" s="118" t="n">
        <f aca="false">IF(OR(SUM($G67)=0,SUM($I67)=0),"",SUM($I67)/SUM($G67))</f>
        <v>-312</v>
      </c>
      <c r="Y67" s="118" t="str">
        <f aca="false">IF(OR(SUM($G67)=0,SUM($J67)=0),"",SUM($J67)/SUM($G67))</f>
        <v/>
      </c>
      <c r="Z67" s="118" t="n">
        <f aca="false">IF(OR(SUM($G67)=0,SUM($K67)=0),"",SUM($K67)/SUM($G67))</f>
        <v>7.73333333333333</v>
      </c>
      <c r="AA67" s="118" t="str">
        <f aca="false">IF(OR(SUM($G67)=0,SUM($L67)=0),"",SUM($L67)/SUM($G67))</f>
        <v/>
      </c>
      <c r="AB67" s="118" t="n">
        <v>18</v>
      </c>
      <c r="AC67" s="118"/>
      <c r="AD67" s="118"/>
      <c r="AE67" s="118" t="n">
        <v>10</v>
      </c>
      <c r="AF67" s="118" t="n">
        <v>28</v>
      </c>
      <c r="AG67" s="118" t="n">
        <v>13</v>
      </c>
      <c r="AH67" s="118" t="n">
        <v>17</v>
      </c>
      <c r="AI67" s="118" t="n">
        <v>42</v>
      </c>
      <c r="AJ67" s="118" t="n">
        <v>39</v>
      </c>
      <c r="AK67" s="118" t="n">
        <f aca="false">IF(SUM($G67)&lt;=0,"",SUM($V67:$AJ67))</f>
        <v>-136.933333333333</v>
      </c>
      <c r="AL67" s="118" t="n">
        <v>48</v>
      </c>
      <c r="AM67" s="75" t="n">
        <f aca="false">IF(OR(SUM($AB67)&lt;=0,SUM($G67)&lt;=0),"",ROUND($G67*$AB67,0))</f>
        <v>270</v>
      </c>
      <c r="AN67" s="75" t="n">
        <f aca="false">IF(SUM($AM67)&lt;=0,"",IF(SUM($AL67)&lt;=0,"ENTER VALID YIELD!",ROUND($AM67/$AL67,0)-$AM67))</f>
        <v>-264</v>
      </c>
      <c r="AO67" s="118"/>
      <c r="AP67" s="75" t="str">
        <f aca="false">IF(OR(SUM($AC67)&lt;=0,SUM($G67)&lt;=0),"",ROUND($G67*$AC67,0))</f>
        <v/>
      </c>
      <c r="AQ67" s="75" t="str">
        <f aca="false">IF(SUM($AP67)&lt;=0,"",IF(SUM($AO67)&lt;=0,"ENTER VALID YIELD!",ROUND($AP67/$AO67,0)-$AP67))</f>
        <v/>
      </c>
      <c r="AR67" s="118"/>
      <c r="AS67" s="75" t="str">
        <f aca="false">IF(OR(SUM($AD67)&lt;=0,SUM($G67)&lt;=0),"",ROUND($G67*$AD67,0))</f>
        <v/>
      </c>
      <c r="AT67" s="75" t="str">
        <f aca="false">IF(SUM($AS67)&lt;=0,"",IF(SUM($AR67)&lt;=0,"ENTER VALID YIELD!",ROUND($AS67/$AR67,0)-$AS67))</f>
        <v/>
      </c>
      <c r="AU67" s="118"/>
      <c r="AV67" s="75" t="n">
        <f aca="false">IF(OR(SUM($AE67)&lt;=0,SUM($G67)&lt;=0),"",ROUND($G67*$AE67,0))</f>
        <v>150</v>
      </c>
      <c r="AW67" s="75" t="str">
        <f aca="false">IF(SUM($AV67)&lt;=0,"",IF(SUM($AU67)&lt;=0,"ENTER VALID YIELD!",ROUND($AV67/$AU67,0)-$AV67))</f>
        <v>ENTER VALID YIELD!</v>
      </c>
      <c r="AX67" s="118"/>
      <c r="AY67" s="75" t="n">
        <f aca="false">IF(OR(SUM($AF67)&lt;=0,SUM($G67)&lt;=0),"",ROUND($G67*$AF67,0))</f>
        <v>420</v>
      </c>
      <c r="AZ67" s="75" t="str">
        <f aca="false">IF(SUM($AY67)&lt;=0,"",IF(SUM($AX67)&lt;=0,"ENTER VALID YIELD!",ROUND($AY67/$AX67,0)-$AY67))</f>
        <v>ENTER VALID YIELD!</v>
      </c>
      <c r="BA67" s="118" t="n">
        <v>44</v>
      </c>
      <c r="BB67" s="75" t="n">
        <f aca="false">IF(OR(SUM($AG67)&lt;=0,SUM($G67)&lt;=0),"",ROUND($G67*$AG67,0))</f>
        <v>195</v>
      </c>
      <c r="BC67" s="75" t="n">
        <f aca="false">IF(SUM($BB67)&lt;=0,"",IF(SUM($BA67)&lt;=0,"ENTER VALID YIELD!",ROUND($BB67/$BA67,0)-$BB67))</f>
        <v>-191</v>
      </c>
      <c r="BD67" s="118"/>
      <c r="BE67" s="75" t="n">
        <f aca="false">IF(OR(SUM($AH67)&lt;=0,SUM($G67)&lt;=0),"",ROUND($G67*$AH67,0))</f>
        <v>255</v>
      </c>
      <c r="BF67" s="75" t="str">
        <f aca="false">IF(SUM($BE67)&lt;=0,"",IF(SUM($BD67)&lt;=0,"ENTER VALID YIELD!",ROUND($BE67/$BD67,0)-$BE67))</f>
        <v>ENTER VALID YIELD!</v>
      </c>
      <c r="BG67" s="118"/>
      <c r="BH67" s="75" t="n">
        <f aca="false">IF(OR(SUM($AI67)&lt;=0,SUM($G67)&lt;=0),"",ROUND($G67*$AI67,0))</f>
        <v>630</v>
      </c>
      <c r="BI67" s="75" t="str">
        <f aca="false">IF(SUM($BH67)&lt;=0,"",IF(SUM($BG67)&lt;=0,"ENTER VALID YIELD!",ROUND($BH67/$BG67,0)-$BH67))</f>
        <v>ENTER VALID YIELD!</v>
      </c>
      <c r="BJ67" s="118"/>
      <c r="BK67" s="75" t="n">
        <f aca="false">IF(OR(SUM($AJ67)&lt;=0,SUM($G67)&lt;=0),"",ROUND($G67*$AJ67,0))</f>
        <v>585</v>
      </c>
      <c r="BL67" s="75" t="str">
        <f aca="false">IF(SUM($BK67)&lt;=0,"",IF(SUM($BJ67)&lt;=0,"ENTER VALID YIELD!",ROUND($BK67/$BJ67,0)-$BK67))</f>
        <v>ENTER VALID YIELD!</v>
      </c>
      <c r="BM67" s="73" t="n">
        <f aca="false">IF(SUM($G67)&lt;=0,"",$G67)</f>
        <v>15</v>
      </c>
      <c r="BN67" s="73" t="n">
        <f aca="false">IF(SUM($G67)&lt;=0,"",SUM($I67:$L67,$Q67,$S67,$AM67,$AP67,$AS67,$AV67,$AY67,$BB67,$BE67,$BH67,$BK67))</f>
        <v>-2054</v>
      </c>
      <c r="BO67" s="73" t="n">
        <f aca="false">IF(AND(SUM($BN67)&lt;=0,SUM($BM67)&lt;=0),"",SUM($BN67)-SUM($BM67))</f>
        <v>-2069</v>
      </c>
      <c r="BP67" s="73" t="n">
        <f aca="false">_xlfn.IFNA(INDEX(PMTCT!$AF:$AF,MATCH($E67,PMTCT!$E:$E,0)),"")</f>
        <v>4320</v>
      </c>
      <c r="BQ67" s="73" t="str">
        <f aca="false">_xlfn.IFNA(INDEX(PMTCT!$AV:$AV,MATCH($E67,PMTCT!$E:$E,0)),"")</f>
        <v/>
      </c>
      <c r="BR67" s="73" t="n">
        <f aca="false">_xlfn.IFNA(INDEX(TB!$R:$R,MATCH($E67,TB!$E:$E,0)),"")</f>
        <v>-112</v>
      </c>
      <c r="BS67" s="73" t="str">
        <f aca="false">_xlfn.IFNA(INDEX(VMMC!$AD:$AD,MATCH($E67,VMMC!$E:$E,0)),"")</f>
        <v/>
      </c>
      <c r="BT67" s="73" t="n">
        <f aca="false">IF(SUM($R67,$T67,$AN67,$AQ67,$AT67,$AW67,$AZ67,$BC67,$BF67,$BI67,$BL67,$BP67:$BS67)=0,"",SUM($R67,$T67,$AN67,$AQ67,$AT67,$AW67,$AZ67,$BC67,$BF67,$BI67,$BL67,$BP67:$BS67))</f>
        <v>3753</v>
      </c>
      <c r="BU67" s="73" t="n">
        <f aca="false">IF(OR(SUM($BT67)=0,SUM($BN67)=0),"",SUM($BT67,$BN67))</f>
        <v>1699</v>
      </c>
      <c r="BV67" s="118" t="n">
        <f aca="false">IF(SUM($BU67)=0,"",SUM($BN67)/$BU67)</f>
        <v>-1.20894643908181</v>
      </c>
      <c r="BW67" s="73"/>
      <c r="BX67" s="118" t="n">
        <f aca="false">IF(OR($C67="01-04",$C67="05-09"),"",0%)</f>
        <v>0</v>
      </c>
      <c r="BY67" s="75" t="str">
        <f aca="false">IF(OR($C67="01-04",$C67="05-09",SUM($BW67)=0),"",ROUND($BW67*(1+$BX67),0))</f>
        <v/>
      </c>
    </row>
    <row r="68" customFormat="false" ht="15" hidden="false" customHeight="false" outlineLevel="0" collapsed="false">
      <c r="A68" s="0" t="s">
        <v>143</v>
      </c>
      <c r="B68" s="0" t="s">
        <v>115</v>
      </c>
      <c r="C68" s="0" t="s">
        <v>66</v>
      </c>
      <c r="D68" s="0" t="s">
        <v>58</v>
      </c>
      <c r="E68" s="0" t="str">
        <f aca="false">B68&amp;"|"&amp;C68&amp;"|"&amp;D68</f>
        <v>Butha Buthe [#SNU] [mvPRqBFtVC0]|20-24|Male</v>
      </c>
      <c r="F68" s="118" t="n">
        <f aca="false">_xlfn.IFNA(INDEX(Cascade!$Y:$Y,MATCH($E68,Cascade!$E:$E,0)),"")</f>
        <v>0.602040816326531</v>
      </c>
      <c r="G68" s="73" t="n">
        <f aca="false">_xlfn.IFNA(INDEX(Cascade!$BD:$BD,MATCH($E68,Cascade!$E:$E,0)),"")</f>
        <v>4</v>
      </c>
      <c r="H68" s="73" t="n">
        <f aca="false">_xlfn.IFNA(INDEX(Cascade!$BE:$BE,MATCH($E68,Cascade!$E:$E,0)),"")</f>
        <v>1</v>
      </c>
      <c r="I68" s="73" t="str">
        <f aca="false">_xlfn.IFNA(INDEX(Cascade!$BF:$BF,MATCH($E68,Cascade!$E:$E,0)),"")</f>
        <v/>
      </c>
      <c r="J68" s="73" t="str">
        <f aca="false">_xlfn.IFNA(INDEX(Cascade!$BG:$BG,MATCH($E68,Cascade!$E:$E,0)),"")</f>
        <v/>
      </c>
      <c r="K68" s="73" t="n">
        <f aca="false">_xlfn.IFNA(INDEX(Cascade!$BH:$BH,MATCH($E68,Cascade!$E:$E,0)),"")</f>
        <v>-0</v>
      </c>
      <c r="L68" s="73" t="str">
        <f aca="false">_xlfn.IFNA(INDEX(Cascade!$BI:$BI,MATCH($E68,Cascade!$E:$E,0)),"")</f>
        <v/>
      </c>
      <c r="M68" s="73" t="n">
        <f aca="false">_xlfn.IFNA(INDEX(Cascade!$BK:$BK,MATCH($E68,Cascade!$E:$E,0)),"")</f>
        <v>3</v>
      </c>
      <c r="N68" s="118" t="n">
        <v>34</v>
      </c>
      <c r="O68" s="118"/>
      <c r="P68" s="118" t="n">
        <v>28</v>
      </c>
      <c r="Q68" s="75" t="str">
        <f aca="false">IF(OR(SUM($H68)=0,SUM($N68)=0,SUM($O68)=0),"",ROUND($H68*$N68,0))</f>
        <v/>
      </c>
      <c r="R68" s="75" t="str">
        <f aca="false">IF(OR(SUM($Q68)=0,SUM($O68)=0),"",ROUND(SUM($Q68)/SUM($O68),0)-SUM($Q68))</f>
        <v/>
      </c>
      <c r="S68" s="75" t="n">
        <f aca="false">IF(SUM($H68)=0,"",SUM($H68)-SUM($Q68))</f>
        <v>1</v>
      </c>
      <c r="T68" s="75" t="str">
        <f aca="false">IF(OR(SUM($S68)=0,$N68&gt;1,SUM($P68)&lt;=0),"",ROUND($S68/$P68,0)-$S68)</f>
        <v/>
      </c>
      <c r="U68" s="118" t="n">
        <f aca="false">IF(SUM($G68)&lt;=0,"",SUM($Q68,$S68)/$G68)</f>
        <v>0.25</v>
      </c>
      <c r="V68" s="118" t="str">
        <f aca="false">IF(OR(SUM($Q68)=0,SUM($G68)=0),"",SUM($Q68)/SUM($G68))</f>
        <v/>
      </c>
      <c r="W68" s="118" t="n">
        <f aca="false">IF(OR(SUM($S68)=0,SUM($G68)=0),"",SUM($S68)/SUM($G68))</f>
        <v>0.25</v>
      </c>
      <c r="X68" s="118" t="str">
        <f aca="false">IF(OR(SUM($G68)=0,SUM($I68)=0),"",SUM($I68)/SUM($G68))</f>
        <v/>
      </c>
      <c r="Y68" s="118" t="str">
        <f aca="false">IF(OR(SUM($G68)=0,SUM($J68)=0),"",SUM($J68)/SUM($G68))</f>
        <v/>
      </c>
      <c r="Z68" s="118" t="str">
        <f aca="false">IF(OR(SUM($G68)=0,SUM($K68)=0),"",SUM($K68)/SUM($G68))</f>
        <v/>
      </c>
      <c r="AA68" s="118" t="str">
        <f aca="false">IF(OR(SUM($G68)=0,SUM($L68)=0),"",SUM($L68)/SUM($G68))</f>
        <v/>
      </c>
      <c r="AB68" s="118" t="n">
        <v>9</v>
      </c>
      <c r="AC68" s="118"/>
      <c r="AD68" s="118"/>
      <c r="AE68" s="118" t="n">
        <v>9</v>
      </c>
      <c r="AF68" s="118" t="n">
        <v>47</v>
      </c>
      <c r="AG68" s="118" t="n">
        <v>27</v>
      </c>
      <c r="AH68" s="118" t="n">
        <v>16</v>
      </c>
      <c r="AI68" s="118" t="n">
        <v>40</v>
      </c>
      <c r="AJ68" s="118" t="n">
        <v>25</v>
      </c>
      <c r="AK68" s="118" t="n">
        <f aca="false">IF(SUM($G68)&lt;=0,"",SUM($V68:$AJ68))</f>
        <v>173.25</v>
      </c>
      <c r="AL68" s="118"/>
      <c r="AM68" s="75" t="n">
        <f aca="false">IF(OR(SUM($AB68)&lt;=0,SUM($G68)&lt;=0),"",ROUND($G68*$AB68,0))</f>
        <v>36</v>
      </c>
      <c r="AN68" s="75" t="str">
        <f aca="false">IF(SUM($AM68)&lt;=0,"",IF(SUM($AL68)&lt;=0,"ENTER VALID YIELD!",ROUND($AM68/$AL68,0)-$AM68))</f>
        <v>ENTER VALID YIELD!</v>
      </c>
      <c r="AO68" s="118"/>
      <c r="AP68" s="75" t="str">
        <f aca="false">IF(OR(SUM($AC68)&lt;=0,SUM($G68)&lt;=0),"",ROUND($G68*$AC68,0))</f>
        <v/>
      </c>
      <c r="AQ68" s="75" t="str">
        <f aca="false">IF(SUM($AP68)&lt;=0,"",IF(SUM($AO68)&lt;=0,"ENTER VALID YIELD!",ROUND($AP68/$AO68,0)-$AP68))</f>
        <v/>
      </c>
      <c r="AR68" s="118"/>
      <c r="AS68" s="75" t="str">
        <f aca="false">IF(OR(SUM($AD68)&lt;=0,SUM($G68)&lt;=0),"",ROUND($G68*$AD68,0))</f>
        <v/>
      </c>
      <c r="AT68" s="75" t="str">
        <f aca="false">IF(SUM($AS68)&lt;=0,"",IF(SUM($AR68)&lt;=0,"ENTER VALID YIELD!",ROUND($AS68/$AR68,0)-$AS68))</f>
        <v/>
      </c>
      <c r="AU68" s="118"/>
      <c r="AV68" s="75" t="n">
        <f aca="false">IF(OR(SUM($AE68)&lt;=0,SUM($G68)&lt;=0),"",ROUND($G68*$AE68,0))</f>
        <v>36</v>
      </c>
      <c r="AW68" s="75" t="str">
        <f aca="false">IF(SUM($AV68)&lt;=0,"",IF(SUM($AU68)&lt;=0,"ENTER VALID YIELD!",ROUND($AV68/$AU68,0)-$AV68))</f>
        <v>ENTER VALID YIELD!</v>
      </c>
      <c r="AX68" s="118"/>
      <c r="AY68" s="75" t="n">
        <f aca="false">IF(OR(SUM($AF68)&lt;=0,SUM($G68)&lt;=0),"",ROUND($G68*$AF68,0))</f>
        <v>188</v>
      </c>
      <c r="AZ68" s="75" t="str">
        <f aca="false">IF(SUM($AY68)&lt;=0,"",IF(SUM($AX68)&lt;=0,"ENTER VALID YIELD!",ROUND($AY68/$AX68,0)-$AY68))</f>
        <v>ENTER VALID YIELD!</v>
      </c>
      <c r="BA68" s="118" t="n">
        <v>44</v>
      </c>
      <c r="BB68" s="75" t="n">
        <f aca="false">IF(OR(SUM($AG68)&lt;=0,SUM($G68)&lt;=0),"",ROUND($G68*$AG68,0))</f>
        <v>108</v>
      </c>
      <c r="BC68" s="75" t="n">
        <f aca="false">IF(SUM($BB68)&lt;=0,"",IF(SUM($BA68)&lt;=0,"ENTER VALID YIELD!",ROUND($BB68/$BA68,0)-$BB68))</f>
        <v>-106</v>
      </c>
      <c r="BD68" s="118"/>
      <c r="BE68" s="75" t="n">
        <f aca="false">IF(OR(SUM($AH68)&lt;=0,SUM($G68)&lt;=0),"",ROUND($G68*$AH68,0))</f>
        <v>64</v>
      </c>
      <c r="BF68" s="75" t="str">
        <f aca="false">IF(SUM($BE68)&lt;=0,"",IF(SUM($BD68)&lt;=0,"ENTER VALID YIELD!",ROUND($BE68/$BD68,0)-$BE68))</f>
        <v>ENTER VALID YIELD!</v>
      </c>
      <c r="BG68" s="118"/>
      <c r="BH68" s="75" t="n">
        <f aca="false">IF(OR(SUM($AI68)&lt;=0,SUM($G68)&lt;=0),"",ROUND($G68*$AI68,0))</f>
        <v>160</v>
      </c>
      <c r="BI68" s="75" t="str">
        <f aca="false">IF(SUM($BH68)&lt;=0,"",IF(SUM($BG68)&lt;=0,"ENTER VALID YIELD!",ROUND($BH68/$BG68,0)-$BH68))</f>
        <v>ENTER VALID YIELD!</v>
      </c>
      <c r="BJ68" s="118"/>
      <c r="BK68" s="75" t="n">
        <f aca="false">IF(OR(SUM($AJ68)&lt;=0,SUM($G68)&lt;=0),"",ROUND($G68*$AJ68,0))</f>
        <v>100</v>
      </c>
      <c r="BL68" s="75" t="str">
        <f aca="false">IF(SUM($BK68)&lt;=0,"",IF(SUM($BJ68)&lt;=0,"ENTER VALID YIELD!",ROUND($BK68/$BJ68,0)-$BK68))</f>
        <v>ENTER VALID YIELD!</v>
      </c>
      <c r="BM68" s="73" t="n">
        <f aca="false">IF(SUM($G68)&lt;=0,"",$G68)</f>
        <v>4</v>
      </c>
      <c r="BN68" s="73" t="n">
        <f aca="false">IF(SUM($G68)&lt;=0,"",SUM($I68:$L68,$Q68,$S68,$AM68,$AP68,$AS68,$AV68,$AY68,$BB68,$BE68,$BH68,$BK68))</f>
        <v>693</v>
      </c>
      <c r="BO68" s="73" t="n">
        <f aca="false">IF(AND(SUM($BN68)&lt;=0,SUM($BM68)&lt;=0),"",SUM($BN68)-SUM($BM68))</f>
        <v>689</v>
      </c>
      <c r="BP68" s="73" t="str">
        <f aca="false">_xlfn.IFNA(INDEX(PMTCT!$AF:$AF,MATCH($E68,PMTCT!$E:$E,0)),"")</f>
        <v/>
      </c>
      <c r="BQ68" s="73" t="str">
        <f aca="false">_xlfn.IFNA(INDEX(PMTCT!$AV:$AV,MATCH($E68,PMTCT!$E:$E,0)),"")</f>
        <v/>
      </c>
      <c r="BR68" s="73" t="n">
        <f aca="false">_xlfn.IFNA(INDEX(TB!$R:$R,MATCH($E68,TB!$E:$E,0)),"")</f>
        <v>-1250</v>
      </c>
      <c r="BS68" s="73" t="str">
        <f aca="false">_xlfn.IFNA(INDEX(VMMC!$AD:$AD,MATCH($E68,VMMC!$E:$E,0)),"")</f>
        <v/>
      </c>
      <c r="BT68" s="73" t="n">
        <f aca="false">IF(SUM($R68,$T68,$AN68,$AQ68,$AT68,$AW68,$AZ68,$BC68,$BF68,$BI68,$BL68,$BP68:$BS68)=0,"",SUM($R68,$T68,$AN68,$AQ68,$AT68,$AW68,$AZ68,$BC68,$BF68,$BI68,$BL68,$BP68:$BS68))</f>
        <v>-1356</v>
      </c>
      <c r="BU68" s="73" t="n">
        <f aca="false">IF(OR(SUM($BT68)=0,SUM($BN68)=0),"",SUM($BT68,$BN68))</f>
        <v>-663</v>
      </c>
      <c r="BV68" s="118" t="n">
        <f aca="false">IF(SUM($BU68)=0,"",SUM($BN68)/$BU68)</f>
        <v>-1.04524886877828</v>
      </c>
      <c r="BW68" s="73"/>
      <c r="BX68" s="118" t="n">
        <f aca="false">IF(OR($C68="01-04",$C68="05-09"),"",0%)</f>
        <v>0</v>
      </c>
      <c r="BY68" s="75" t="str">
        <f aca="false">IF(OR($C68="01-04",$C68="05-09",SUM($BW68)=0),"",ROUND($BW68*(1+$BX68),0))</f>
        <v/>
      </c>
    </row>
    <row r="69" customFormat="false" ht="15" hidden="false" customHeight="false" outlineLevel="0" collapsed="false">
      <c r="A69" s="0" t="s">
        <v>143</v>
      </c>
      <c r="B69" s="0" t="s">
        <v>115</v>
      </c>
      <c r="C69" s="0" t="s">
        <v>69</v>
      </c>
      <c r="D69" s="0" t="s">
        <v>56</v>
      </c>
      <c r="E69" s="0" t="str">
        <f aca="false">B69&amp;"|"&amp;C69&amp;"|"&amp;D69</f>
        <v>Butha Buthe [#SNU] [mvPRqBFtVC0]|25-29|Female</v>
      </c>
      <c r="F69" s="118" t="n">
        <f aca="false">_xlfn.IFNA(INDEX(Cascade!$Y:$Y,MATCH($E69,Cascade!$E:$E,0)),"")</f>
        <v>0.675961538461539</v>
      </c>
      <c r="G69" s="73" t="n">
        <f aca="false">_xlfn.IFNA(INDEX(Cascade!$BD:$BD,MATCH($E69,Cascade!$E:$E,0)),"")</f>
        <v>8</v>
      </c>
      <c r="H69" s="73" t="n">
        <f aca="false">_xlfn.IFNA(INDEX(Cascade!$BE:$BE,MATCH($E69,Cascade!$E:$E,0)),"")</f>
        <v>2</v>
      </c>
      <c r="I69" s="73" t="n">
        <f aca="false">_xlfn.IFNA(INDEX(Cascade!$BF:$BF,MATCH($E69,Cascade!$E:$E,0)),"")</f>
        <v>-27675</v>
      </c>
      <c r="J69" s="73" t="str">
        <f aca="false">_xlfn.IFNA(INDEX(Cascade!$BG:$BG,MATCH($E69,Cascade!$E:$E,0)),"")</f>
        <v/>
      </c>
      <c r="K69" s="73" t="n">
        <f aca="false">_xlfn.IFNA(INDEX(Cascade!$BH:$BH,MATCH($E69,Cascade!$E:$E,0)),"")</f>
        <v>-12100</v>
      </c>
      <c r="L69" s="73" t="str">
        <f aca="false">_xlfn.IFNA(INDEX(Cascade!$BI:$BI,MATCH($E69,Cascade!$E:$E,0)),"")</f>
        <v/>
      </c>
      <c r="M69" s="73" t="n">
        <f aca="false">_xlfn.IFNA(INDEX(Cascade!$BK:$BK,MATCH($E69,Cascade!$E:$E,0)),"")</f>
        <v>39781</v>
      </c>
      <c r="N69" s="118" t="n">
        <v>31</v>
      </c>
      <c r="O69" s="118"/>
      <c r="P69" s="118" t="n">
        <v>46</v>
      </c>
      <c r="Q69" s="75" t="str">
        <f aca="false">IF(OR(SUM($H69)=0,SUM($N69)=0,SUM($O69)=0),"",ROUND($H69*$N69,0))</f>
        <v/>
      </c>
      <c r="R69" s="75" t="str">
        <f aca="false">IF(OR(SUM($Q69)=0,SUM($O69)=0),"",ROUND(SUM($Q69)/SUM($O69),0)-SUM($Q69))</f>
        <v/>
      </c>
      <c r="S69" s="75" t="n">
        <f aca="false">IF(SUM($H69)=0,"",SUM($H69)-SUM($Q69))</f>
        <v>2</v>
      </c>
      <c r="T69" s="75" t="str">
        <f aca="false">IF(OR(SUM($S69)=0,$N69&gt;1,SUM($P69)&lt;=0),"",ROUND($S69/$P69,0)-$S69)</f>
        <v/>
      </c>
      <c r="U69" s="118" t="n">
        <f aca="false">IF(SUM($G69)&lt;=0,"",SUM($Q69,$S69)/$G69)</f>
        <v>0.25</v>
      </c>
      <c r="V69" s="118" t="str">
        <f aca="false">IF(OR(SUM($Q69)=0,SUM($G69)=0),"",SUM($Q69)/SUM($G69))</f>
        <v/>
      </c>
      <c r="W69" s="118" t="n">
        <f aca="false">IF(OR(SUM($S69)=0,SUM($G69)=0),"",SUM($S69)/SUM($G69))</f>
        <v>0.25</v>
      </c>
      <c r="X69" s="118" t="n">
        <f aca="false">IF(OR(SUM($G69)=0,SUM($I69)=0),"",SUM($I69)/SUM($G69))</f>
        <v>-3459.375</v>
      </c>
      <c r="Y69" s="118" t="str">
        <f aca="false">IF(OR(SUM($G69)=0,SUM($J69)=0),"",SUM($J69)/SUM($G69))</f>
        <v/>
      </c>
      <c r="Z69" s="118" t="n">
        <f aca="false">IF(OR(SUM($G69)=0,SUM($K69)=0),"",SUM($K69)/SUM($G69))</f>
        <v>-1512.5</v>
      </c>
      <c r="AA69" s="118" t="str">
        <f aca="false">IF(OR(SUM($G69)=0,SUM($L69)=0),"",SUM($L69)/SUM($G69))</f>
        <v/>
      </c>
      <c r="AB69" s="118" t="n">
        <v>49</v>
      </c>
      <c r="AC69" s="118"/>
      <c r="AD69" s="118"/>
      <c r="AE69" s="118" t="n">
        <v>13</v>
      </c>
      <c r="AF69" s="118" t="n">
        <v>42</v>
      </c>
      <c r="AG69" s="118" t="n">
        <v>21</v>
      </c>
      <c r="AH69" s="118" t="n">
        <v>5</v>
      </c>
      <c r="AI69" s="118" t="n">
        <v>7</v>
      </c>
      <c r="AJ69" s="118" t="n">
        <v>29</v>
      </c>
      <c r="AK69" s="118" t="n">
        <f aca="false">IF(SUM($G69)&lt;=0,"",SUM($V69:$AJ69))</f>
        <v>-4805.625</v>
      </c>
      <c r="AL69" s="118" t="n">
        <v>19</v>
      </c>
      <c r="AM69" s="75" t="n">
        <f aca="false">IF(OR(SUM($AB69)&lt;=0,SUM($G69)&lt;=0),"",ROUND($G69*$AB69,0))</f>
        <v>392</v>
      </c>
      <c r="AN69" s="75" t="n">
        <f aca="false">IF(SUM($AM69)&lt;=0,"",IF(SUM($AL69)&lt;=0,"ENTER VALID YIELD!",ROUND($AM69/$AL69,0)-$AM69))</f>
        <v>-371</v>
      </c>
      <c r="AO69" s="118"/>
      <c r="AP69" s="75" t="str">
        <f aca="false">IF(OR(SUM($AC69)&lt;=0,SUM($G69)&lt;=0),"",ROUND($G69*$AC69,0))</f>
        <v/>
      </c>
      <c r="AQ69" s="75" t="str">
        <f aca="false">IF(SUM($AP69)&lt;=0,"",IF(SUM($AO69)&lt;=0,"ENTER VALID YIELD!",ROUND($AP69/$AO69,0)-$AP69))</f>
        <v/>
      </c>
      <c r="AR69" s="118"/>
      <c r="AS69" s="75" t="str">
        <f aca="false">IF(OR(SUM($AD69)&lt;=0,SUM($G69)&lt;=0),"",ROUND($G69*$AD69,0))</f>
        <v/>
      </c>
      <c r="AT69" s="75" t="str">
        <f aca="false">IF(SUM($AS69)&lt;=0,"",IF(SUM($AR69)&lt;=0,"ENTER VALID YIELD!",ROUND($AS69/$AR69,0)-$AS69))</f>
        <v/>
      </c>
      <c r="AU69" s="118"/>
      <c r="AV69" s="75" t="n">
        <f aca="false">IF(OR(SUM($AE69)&lt;=0,SUM($G69)&lt;=0),"",ROUND($G69*$AE69,0))</f>
        <v>104</v>
      </c>
      <c r="AW69" s="75" t="str">
        <f aca="false">IF(SUM($AV69)&lt;=0,"",IF(SUM($AU69)&lt;=0,"ENTER VALID YIELD!",ROUND($AV69/$AU69,0)-$AV69))</f>
        <v>ENTER VALID YIELD!</v>
      </c>
      <c r="AX69" s="118"/>
      <c r="AY69" s="75" t="n">
        <f aca="false">IF(OR(SUM($AF69)&lt;=0,SUM($G69)&lt;=0),"",ROUND($G69*$AF69,0))</f>
        <v>336</v>
      </c>
      <c r="AZ69" s="75" t="str">
        <f aca="false">IF(SUM($AY69)&lt;=0,"",IF(SUM($AX69)&lt;=0,"ENTER VALID YIELD!",ROUND($AY69/$AX69,0)-$AY69))</f>
        <v>ENTER VALID YIELD!</v>
      </c>
      <c r="BA69" s="118" t="n">
        <v>20</v>
      </c>
      <c r="BB69" s="75" t="n">
        <f aca="false">IF(OR(SUM($AG69)&lt;=0,SUM($G69)&lt;=0),"",ROUND($G69*$AG69,0))</f>
        <v>168</v>
      </c>
      <c r="BC69" s="75" t="n">
        <f aca="false">IF(SUM($BB69)&lt;=0,"",IF(SUM($BA69)&lt;=0,"ENTER VALID YIELD!",ROUND($BB69/$BA69,0)-$BB69))</f>
        <v>-160</v>
      </c>
      <c r="BD69" s="118"/>
      <c r="BE69" s="75" t="n">
        <f aca="false">IF(OR(SUM($AH69)&lt;=0,SUM($G69)&lt;=0),"",ROUND($G69*$AH69,0))</f>
        <v>40</v>
      </c>
      <c r="BF69" s="75" t="str">
        <f aca="false">IF(SUM($BE69)&lt;=0,"",IF(SUM($BD69)&lt;=0,"ENTER VALID YIELD!",ROUND($BE69/$BD69,0)-$BE69))</f>
        <v>ENTER VALID YIELD!</v>
      </c>
      <c r="BG69" s="118"/>
      <c r="BH69" s="75" t="n">
        <f aca="false">IF(OR(SUM($AI69)&lt;=0,SUM($G69)&lt;=0),"",ROUND($G69*$AI69,0))</f>
        <v>56</v>
      </c>
      <c r="BI69" s="75" t="str">
        <f aca="false">IF(SUM($BH69)&lt;=0,"",IF(SUM($BG69)&lt;=0,"ENTER VALID YIELD!",ROUND($BH69/$BG69,0)-$BH69))</f>
        <v>ENTER VALID YIELD!</v>
      </c>
      <c r="BJ69" s="118"/>
      <c r="BK69" s="75" t="n">
        <f aca="false">IF(OR(SUM($AJ69)&lt;=0,SUM($G69)&lt;=0),"",ROUND($G69*$AJ69,0))</f>
        <v>232</v>
      </c>
      <c r="BL69" s="75" t="str">
        <f aca="false">IF(SUM($BK69)&lt;=0,"",IF(SUM($BJ69)&lt;=0,"ENTER VALID YIELD!",ROUND($BK69/$BJ69,0)-$BK69))</f>
        <v>ENTER VALID YIELD!</v>
      </c>
      <c r="BM69" s="73" t="n">
        <f aca="false">IF(SUM($G69)&lt;=0,"",$G69)</f>
        <v>8</v>
      </c>
      <c r="BN69" s="73" t="n">
        <f aca="false">IF(SUM($G69)&lt;=0,"",SUM($I69:$L69,$Q69,$S69,$AM69,$AP69,$AS69,$AV69,$AY69,$BB69,$BE69,$BH69,$BK69))</f>
        <v>-38445</v>
      </c>
      <c r="BO69" s="73" t="n">
        <f aca="false">IF(AND(SUM($BN69)&lt;=0,SUM($BM69)&lt;=0),"",SUM($BN69)-SUM($BM69))</f>
        <v>-38453</v>
      </c>
      <c r="BP69" s="73" t="n">
        <f aca="false">_xlfn.IFNA(INDEX(PMTCT!$AF:$AF,MATCH($E69,PMTCT!$E:$E,0)),"")</f>
        <v>27000</v>
      </c>
      <c r="BQ69" s="73" t="str">
        <f aca="false">_xlfn.IFNA(INDEX(PMTCT!$AV:$AV,MATCH($E69,PMTCT!$E:$E,0)),"")</f>
        <v/>
      </c>
      <c r="BR69" s="73" t="n">
        <f aca="false">_xlfn.IFNA(INDEX(TB!$R:$R,MATCH($E69,TB!$E:$E,0)),"")</f>
        <v>11616</v>
      </c>
      <c r="BS69" s="73" t="str">
        <f aca="false">_xlfn.IFNA(INDEX(VMMC!$AD:$AD,MATCH($E69,VMMC!$E:$E,0)),"")</f>
        <v/>
      </c>
      <c r="BT69" s="73" t="n">
        <f aca="false">IF(SUM($R69,$T69,$AN69,$AQ69,$AT69,$AW69,$AZ69,$BC69,$BF69,$BI69,$BL69,$BP69:$BS69)=0,"",SUM($R69,$T69,$AN69,$AQ69,$AT69,$AW69,$AZ69,$BC69,$BF69,$BI69,$BL69,$BP69:$BS69))</f>
        <v>38085</v>
      </c>
      <c r="BU69" s="73" t="n">
        <f aca="false">IF(OR(SUM($BT69)=0,SUM($BN69)=0),"",SUM($BT69,$BN69))</f>
        <v>-360</v>
      </c>
      <c r="BV69" s="118" t="n">
        <f aca="false">IF(SUM($BU69)=0,"",SUM($BN69)/$BU69)</f>
        <v>106.791666666667</v>
      </c>
      <c r="BW69" s="73"/>
      <c r="BX69" s="118" t="n">
        <f aca="false">IF(OR($C69="01-04",$C69="05-09"),"",0%)</f>
        <v>0</v>
      </c>
      <c r="BY69" s="75" t="str">
        <f aca="false">IF(OR($C69="01-04",$C69="05-09",SUM($BW69)=0),"",ROUND($BW69*(1+$BX69),0))</f>
        <v/>
      </c>
    </row>
    <row r="70" customFormat="false" ht="15" hidden="false" customHeight="false" outlineLevel="0" collapsed="false">
      <c r="A70" s="0" t="s">
        <v>143</v>
      </c>
      <c r="B70" s="0" t="s">
        <v>115</v>
      </c>
      <c r="C70" s="0" t="s">
        <v>69</v>
      </c>
      <c r="D70" s="0" t="s">
        <v>58</v>
      </c>
      <c r="E70" s="0" t="str">
        <f aca="false">B70&amp;"|"&amp;C70&amp;"|"&amp;D70</f>
        <v>Butha Buthe [#SNU] [mvPRqBFtVC0]|25-29|Male</v>
      </c>
      <c r="F70" s="118" t="n">
        <f aca="false">_xlfn.IFNA(INDEX(Cascade!$Y:$Y,MATCH($E70,Cascade!$E:$E,0)),"")</f>
        <v>0.507658643326039</v>
      </c>
      <c r="G70" s="73" t="n">
        <f aca="false">_xlfn.IFNA(INDEX(Cascade!$BD:$BD,MATCH($E70,Cascade!$E:$E,0)),"")</f>
        <v>18</v>
      </c>
      <c r="H70" s="73" t="n">
        <f aca="false">_xlfn.IFNA(INDEX(Cascade!$BE:$BE,MATCH($E70,Cascade!$E:$E,0)),"")</f>
        <v>5</v>
      </c>
      <c r="I70" s="73" t="str">
        <f aca="false">_xlfn.IFNA(INDEX(Cascade!$BF:$BF,MATCH($E70,Cascade!$E:$E,0)),"")</f>
        <v/>
      </c>
      <c r="J70" s="73" t="str">
        <f aca="false">_xlfn.IFNA(INDEX(Cascade!$BG:$BG,MATCH($E70,Cascade!$E:$E,0)),"")</f>
        <v/>
      </c>
      <c r="K70" s="73" t="n">
        <f aca="false">_xlfn.IFNA(INDEX(Cascade!$BH:$BH,MATCH($E70,Cascade!$E:$E,0)),"")</f>
        <v>-29302</v>
      </c>
      <c r="L70" s="73" t="str">
        <f aca="false">_xlfn.IFNA(INDEX(Cascade!$BI:$BI,MATCH($E70,Cascade!$E:$E,0)),"")</f>
        <v/>
      </c>
      <c r="M70" s="73" t="n">
        <f aca="false">_xlfn.IFNA(INDEX(Cascade!$BK:$BK,MATCH($E70,Cascade!$E:$E,0)),"")</f>
        <v>29315</v>
      </c>
      <c r="N70" s="118" t="n">
        <v>49</v>
      </c>
      <c r="O70" s="118"/>
      <c r="P70" s="118" t="n">
        <v>19</v>
      </c>
      <c r="Q70" s="75" t="str">
        <f aca="false">IF(OR(SUM($H70)=0,SUM($N70)=0,SUM($O70)=0),"",ROUND($H70*$N70,0))</f>
        <v/>
      </c>
      <c r="R70" s="75" t="str">
        <f aca="false">IF(OR(SUM($Q70)=0,SUM($O70)=0),"",ROUND(SUM($Q70)/SUM($O70),0)-SUM($Q70))</f>
        <v/>
      </c>
      <c r="S70" s="75" t="n">
        <f aca="false">IF(SUM($H70)=0,"",SUM($H70)-SUM($Q70))</f>
        <v>5</v>
      </c>
      <c r="T70" s="75" t="str">
        <f aca="false">IF(OR(SUM($S70)=0,$N70&gt;1,SUM($P70)&lt;=0),"",ROUND($S70/$P70,0)-$S70)</f>
        <v/>
      </c>
      <c r="U70" s="118" t="n">
        <f aca="false">IF(SUM($G70)&lt;=0,"",SUM($Q70,$S70)/$G70)</f>
        <v>0.277777777777778</v>
      </c>
      <c r="V70" s="118" t="str">
        <f aca="false">IF(OR(SUM($Q70)=0,SUM($G70)=0),"",SUM($Q70)/SUM($G70))</f>
        <v/>
      </c>
      <c r="W70" s="118" t="n">
        <f aca="false">IF(OR(SUM($S70)=0,SUM($G70)=0),"",SUM($S70)/SUM($G70))</f>
        <v>0.277777777777778</v>
      </c>
      <c r="X70" s="118" t="str">
        <f aca="false">IF(OR(SUM($G70)=0,SUM($I70)=0),"",SUM($I70)/SUM($G70))</f>
        <v/>
      </c>
      <c r="Y70" s="118" t="str">
        <f aca="false">IF(OR(SUM($G70)=0,SUM($J70)=0),"",SUM($J70)/SUM($G70))</f>
        <v/>
      </c>
      <c r="Z70" s="118" t="n">
        <f aca="false">IF(OR(SUM($G70)=0,SUM($K70)=0),"",SUM($K70)/SUM($G70))</f>
        <v>-1627.88888888889</v>
      </c>
      <c r="AA70" s="118" t="str">
        <f aca="false">IF(OR(SUM($G70)=0,SUM($L70)=0),"",SUM($L70)/SUM($G70))</f>
        <v/>
      </c>
      <c r="AB70" s="118" t="n">
        <v>31</v>
      </c>
      <c r="AC70" s="118"/>
      <c r="AD70" s="118"/>
      <c r="AE70" s="118" t="n">
        <v>47</v>
      </c>
      <c r="AF70" s="118" t="n">
        <v>42</v>
      </c>
      <c r="AG70" s="118" t="n">
        <v>39</v>
      </c>
      <c r="AH70" s="118" t="n">
        <v>42</v>
      </c>
      <c r="AI70" s="118" t="n">
        <v>27</v>
      </c>
      <c r="AJ70" s="118" t="n">
        <v>26</v>
      </c>
      <c r="AK70" s="118" t="n">
        <f aca="false">IF(SUM($G70)&lt;=0,"",SUM($V70:$AJ70))</f>
        <v>-1373.61111111111</v>
      </c>
      <c r="AL70" s="118" t="n">
        <v>2</v>
      </c>
      <c r="AM70" s="75" t="n">
        <f aca="false">IF(OR(SUM($AB70)&lt;=0,SUM($G70)&lt;=0),"",ROUND($G70*$AB70,0))</f>
        <v>558</v>
      </c>
      <c r="AN70" s="75" t="n">
        <f aca="false">IF(SUM($AM70)&lt;=0,"",IF(SUM($AL70)&lt;=0,"ENTER VALID YIELD!",ROUND($AM70/$AL70,0)-$AM70))</f>
        <v>-279</v>
      </c>
      <c r="AO70" s="118"/>
      <c r="AP70" s="75" t="str">
        <f aca="false">IF(OR(SUM($AC70)&lt;=0,SUM($G70)&lt;=0),"",ROUND($G70*$AC70,0))</f>
        <v/>
      </c>
      <c r="AQ70" s="75" t="str">
        <f aca="false">IF(SUM($AP70)&lt;=0,"",IF(SUM($AO70)&lt;=0,"ENTER VALID YIELD!",ROUND($AP70/$AO70,0)-$AP70))</f>
        <v/>
      </c>
      <c r="AR70" s="118"/>
      <c r="AS70" s="75" t="str">
        <f aca="false">IF(OR(SUM($AD70)&lt;=0,SUM($G70)&lt;=0),"",ROUND($G70*$AD70,0))</f>
        <v/>
      </c>
      <c r="AT70" s="75" t="str">
        <f aca="false">IF(SUM($AS70)&lt;=0,"",IF(SUM($AR70)&lt;=0,"ENTER VALID YIELD!",ROUND($AS70/$AR70,0)-$AS70))</f>
        <v/>
      </c>
      <c r="AU70" s="118"/>
      <c r="AV70" s="75" t="n">
        <f aca="false">IF(OR(SUM($AE70)&lt;=0,SUM($G70)&lt;=0),"",ROUND($G70*$AE70,0))</f>
        <v>846</v>
      </c>
      <c r="AW70" s="75" t="str">
        <f aca="false">IF(SUM($AV70)&lt;=0,"",IF(SUM($AU70)&lt;=0,"ENTER VALID YIELD!",ROUND($AV70/$AU70,0)-$AV70))</f>
        <v>ENTER VALID YIELD!</v>
      </c>
      <c r="AX70" s="118"/>
      <c r="AY70" s="75" t="n">
        <f aca="false">IF(OR(SUM($AF70)&lt;=0,SUM($G70)&lt;=0),"",ROUND($G70*$AF70,0))</f>
        <v>756</v>
      </c>
      <c r="AZ70" s="75" t="str">
        <f aca="false">IF(SUM($AY70)&lt;=0,"",IF(SUM($AX70)&lt;=0,"ENTER VALID YIELD!",ROUND($AY70/$AX70,0)-$AY70))</f>
        <v>ENTER VALID YIELD!</v>
      </c>
      <c r="BA70" s="118" t="n">
        <v>44</v>
      </c>
      <c r="BB70" s="75" t="n">
        <f aca="false">IF(OR(SUM($AG70)&lt;=0,SUM($G70)&lt;=0),"",ROUND($G70*$AG70,0))</f>
        <v>702</v>
      </c>
      <c r="BC70" s="75" t="n">
        <f aca="false">IF(SUM($BB70)&lt;=0,"",IF(SUM($BA70)&lt;=0,"ENTER VALID YIELD!",ROUND($BB70/$BA70,0)-$BB70))</f>
        <v>-686</v>
      </c>
      <c r="BD70" s="118"/>
      <c r="BE70" s="75" t="n">
        <f aca="false">IF(OR(SUM($AH70)&lt;=0,SUM($G70)&lt;=0),"",ROUND($G70*$AH70,0))</f>
        <v>756</v>
      </c>
      <c r="BF70" s="75" t="str">
        <f aca="false">IF(SUM($BE70)&lt;=0,"",IF(SUM($BD70)&lt;=0,"ENTER VALID YIELD!",ROUND($BE70/$BD70,0)-$BE70))</f>
        <v>ENTER VALID YIELD!</v>
      </c>
      <c r="BG70" s="118"/>
      <c r="BH70" s="75" t="n">
        <f aca="false">IF(OR(SUM($AI70)&lt;=0,SUM($G70)&lt;=0),"",ROUND($G70*$AI70,0))</f>
        <v>486</v>
      </c>
      <c r="BI70" s="75" t="str">
        <f aca="false">IF(SUM($BH70)&lt;=0,"",IF(SUM($BG70)&lt;=0,"ENTER VALID YIELD!",ROUND($BH70/$BG70,0)-$BH70))</f>
        <v>ENTER VALID YIELD!</v>
      </c>
      <c r="BJ70" s="118"/>
      <c r="BK70" s="75" t="n">
        <f aca="false">IF(OR(SUM($AJ70)&lt;=0,SUM($G70)&lt;=0),"",ROUND($G70*$AJ70,0))</f>
        <v>468</v>
      </c>
      <c r="BL70" s="75" t="str">
        <f aca="false">IF(SUM($BK70)&lt;=0,"",IF(SUM($BJ70)&lt;=0,"ENTER VALID YIELD!",ROUND($BK70/$BJ70,0)-$BK70))</f>
        <v>ENTER VALID YIELD!</v>
      </c>
      <c r="BM70" s="73" t="n">
        <f aca="false">IF(SUM($G70)&lt;=0,"",$G70)</f>
        <v>18</v>
      </c>
      <c r="BN70" s="73" t="n">
        <f aca="false">IF(SUM($G70)&lt;=0,"",SUM($I70:$L70,$Q70,$S70,$AM70,$AP70,$AS70,$AV70,$AY70,$BB70,$BE70,$BH70,$BK70))</f>
        <v>-24725</v>
      </c>
      <c r="BO70" s="73" t="n">
        <f aca="false">IF(AND(SUM($BN70)&lt;=0,SUM($BM70)&lt;=0),"",SUM($BN70)-SUM($BM70))</f>
        <v>-24743</v>
      </c>
      <c r="BP70" s="73" t="str">
        <f aca="false">_xlfn.IFNA(INDEX(PMTCT!$AF:$AF,MATCH($E70,PMTCT!$E:$E,0)),"")</f>
        <v/>
      </c>
      <c r="BQ70" s="73" t="str">
        <f aca="false">_xlfn.IFNA(INDEX(PMTCT!$AV:$AV,MATCH($E70,PMTCT!$E:$E,0)),"")</f>
        <v/>
      </c>
      <c r="BR70" s="73" t="n">
        <f aca="false">_xlfn.IFNA(INDEX(TB!$R:$R,MATCH($E70,TB!$E:$E,0)),"")</f>
        <v>28704</v>
      </c>
      <c r="BS70" s="73" t="str">
        <f aca="false">_xlfn.IFNA(INDEX(VMMC!$AD:$AD,MATCH($E70,VMMC!$E:$E,0)),"")</f>
        <v/>
      </c>
      <c r="BT70" s="73" t="n">
        <f aca="false">IF(SUM($R70,$T70,$AN70,$AQ70,$AT70,$AW70,$AZ70,$BC70,$BF70,$BI70,$BL70,$BP70:$BS70)=0,"",SUM($R70,$T70,$AN70,$AQ70,$AT70,$AW70,$AZ70,$BC70,$BF70,$BI70,$BL70,$BP70:$BS70))</f>
        <v>27739</v>
      </c>
      <c r="BU70" s="73" t="n">
        <f aca="false">IF(OR(SUM($BT70)=0,SUM($BN70)=0),"",SUM($BT70,$BN70))</f>
        <v>3014</v>
      </c>
      <c r="BV70" s="118" t="n">
        <f aca="false">IF(SUM($BU70)=0,"",SUM($BN70)/$BU70)</f>
        <v>-8.20338420703384</v>
      </c>
      <c r="BW70" s="73"/>
      <c r="BX70" s="118" t="n">
        <f aca="false">IF(OR($C70="01-04",$C70="05-09"),"",0%)</f>
        <v>0</v>
      </c>
      <c r="BY70" s="75" t="str">
        <f aca="false">IF(OR($C70="01-04",$C70="05-09",SUM($BW70)=0),"",ROUND($BW70*(1+$BX70),0))</f>
        <v/>
      </c>
    </row>
    <row r="71" customFormat="false" ht="15" hidden="false" customHeight="false" outlineLevel="0" collapsed="false">
      <c r="A71" s="0" t="s">
        <v>143</v>
      </c>
      <c r="B71" s="0" t="s">
        <v>115</v>
      </c>
      <c r="C71" s="0" t="s">
        <v>72</v>
      </c>
      <c r="D71" s="0" t="s">
        <v>56</v>
      </c>
      <c r="E71" s="0" t="str">
        <f aca="false">B71&amp;"|"&amp;C71&amp;"|"&amp;D71</f>
        <v>Butha Buthe [#SNU] [mvPRqBFtVC0]|30-34|Female</v>
      </c>
      <c r="F71" s="118" t="n">
        <f aca="false">_xlfn.IFNA(INDEX(Cascade!$Y:$Y,MATCH($E71,Cascade!$E:$E,0)),"")</f>
        <v>0.654028436018957</v>
      </c>
      <c r="G71" s="73" t="n">
        <f aca="false">_xlfn.IFNA(INDEX(Cascade!$BD:$BD,MATCH($E71,Cascade!$E:$E,0)),"")</f>
        <v>17</v>
      </c>
      <c r="H71" s="73" t="n">
        <f aca="false">_xlfn.IFNA(INDEX(Cascade!$BE:$BE,MATCH($E71,Cascade!$E:$E,0)),"")</f>
        <v>5</v>
      </c>
      <c r="I71" s="73" t="n">
        <f aca="false">_xlfn.IFNA(INDEX(Cascade!$BF:$BF,MATCH($E71,Cascade!$E:$E,0)),"")</f>
        <v>-5655</v>
      </c>
      <c r="J71" s="73" t="str">
        <f aca="false">_xlfn.IFNA(INDEX(Cascade!$BG:$BG,MATCH($E71,Cascade!$E:$E,0)),"")</f>
        <v/>
      </c>
      <c r="K71" s="73" t="n">
        <f aca="false">_xlfn.IFNA(INDEX(Cascade!$BH:$BH,MATCH($E71,Cascade!$E:$E,0)),"")</f>
        <v>-7560</v>
      </c>
      <c r="L71" s="73" t="str">
        <f aca="false">_xlfn.IFNA(INDEX(Cascade!$BI:$BI,MATCH($E71,Cascade!$E:$E,0)),"")</f>
        <v/>
      </c>
      <c r="M71" s="73" t="n">
        <f aca="false">_xlfn.IFNA(INDEX(Cascade!$BK:$BK,MATCH($E71,Cascade!$E:$E,0)),"")</f>
        <v>13227</v>
      </c>
      <c r="N71" s="118" t="n">
        <v>31</v>
      </c>
      <c r="O71" s="118"/>
      <c r="P71" s="118" t="n">
        <v>34</v>
      </c>
      <c r="Q71" s="75" t="str">
        <f aca="false">IF(OR(SUM($H71)=0,SUM($N71)=0,SUM($O71)=0),"",ROUND($H71*$N71,0))</f>
        <v/>
      </c>
      <c r="R71" s="75" t="str">
        <f aca="false">IF(OR(SUM($Q71)=0,SUM($O71)=0),"",ROUND(SUM($Q71)/SUM($O71),0)-SUM($Q71))</f>
        <v/>
      </c>
      <c r="S71" s="75" t="n">
        <f aca="false">IF(SUM($H71)=0,"",SUM($H71)-SUM($Q71))</f>
        <v>5</v>
      </c>
      <c r="T71" s="75" t="str">
        <f aca="false">IF(OR(SUM($S71)=0,$N71&gt;1,SUM($P71)&lt;=0),"",ROUND($S71/$P71,0)-$S71)</f>
        <v/>
      </c>
      <c r="U71" s="118" t="n">
        <f aca="false">IF(SUM($G71)&lt;=0,"",SUM($Q71,$S71)/$G71)</f>
        <v>0.294117647058823</v>
      </c>
      <c r="V71" s="118" t="str">
        <f aca="false">IF(OR(SUM($Q71)=0,SUM($G71)=0),"",SUM($Q71)/SUM($G71))</f>
        <v/>
      </c>
      <c r="W71" s="118" t="n">
        <f aca="false">IF(OR(SUM($S71)=0,SUM($G71)=0),"",SUM($S71)/SUM($G71))</f>
        <v>0.294117647058823</v>
      </c>
      <c r="X71" s="118" t="n">
        <f aca="false">IF(OR(SUM($G71)=0,SUM($I71)=0),"",SUM($I71)/SUM($G71))</f>
        <v>-332.647058823529</v>
      </c>
      <c r="Y71" s="118" t="str">
        <f aca="false">IF(OR(SUM($G71)=0,SUM($J71)=0),"",SUM($J71)/SUM($G71))</f>
        <v/>
      </c>
      <c r="Z71" s="118" t="n">
        <f aca="false">IF(OR(SUM($G71)=0,SUM($K71)=0),"",SUM($K71)/SUM($G71))</f>
        <v>-444.705882352941</v>
      </c>
      <c r="AA71" s="118" t="str">
        <f aca="false">IF(OR(SUM($G71)=0,SUM($L71)=0),"",SUM($L71)/SUM($G71))</f>
        <v/>
      </c>
      <c r="AB71" s="118" t="n">
        <v>21</v>
      </c>
      <c r="AC71" s="118"/>
      <c r="AD71" s="118"/>
      <c r="AE71" s="118" t="n">
        <v>3</v>
      </c>
      <c r="AF71" s="118" t="n">
        <v>46</v>
      </c>
      <c r="AG71" s="118" t="n">
        <v>29</v>
      </c>
      <c r="AH71" s="118" t="n">
        <v>20</v>
      </c>
      <c r="AI71" s="118" t="n">
        <v>19</v>
      </c>
      <c r="AJ71" s="118" t="n">
        <v>10</v>
      </c>
      <c r="AK71" s="118" t="n">
        <f aca="false">IF(SUM($G71)&lt;=0,"",SUM($V71:$AJ71))</f>
        <v>-629.058823529412</v>
      </c>
      <c r="AL71" s="118" t="n">
        <v>26</v>
      </c>
      <c r="AM71" s="75" t="n">
        <f aca="false">IF(OR(SUM($AB71)&lt;=0,SUM($G71)&lt;=0),"",ROUND($G71*$AB71,0))</f>
        <v>357</v>
      </c>
      <c r="AN71" s="75" t="n">
        <f aca="false">IF(SUM($AM71)&lt;=0,"",IF(SUM($AL71)&lt;=0,"ENTER VALID YIELD!",ROUND($AM71/$AL71,0)-$AM71))</f>
        <v>-343</v>
      </c>
      <c r="AO71" s="118"/>
      <c r="AP71" s="75" t="str">
        <f aca="false">IF(OR(SUM($AC71)&lt;=0,SUM($G71)&lt;=0),"",ROUND($G71*$AC71,0))</f>
        <v/>
      </c>
      <c r="AQ71" s="75" t="str">
        <f aca="false">IF(SUM($AP71)&lt;=0,"",IF(SUM($AO71)&lt;=0,"ENTER VALID YIELD!",ROUND($AP71/$AO71,0)-$AP71))</f>
        <v/>
      </c>
      <c r="AR71" s="118"/>
      <c r="AS71" s="75" t="str">
        <f aca="false">IF(OR(SUM($AD71)&lt;=0,SUM($G71)&lt;=0),"",ROUND($G71*$AD71,0))</f>
        <v/>
      </c>
      <c r="AT71" s="75" t="str">
        <f aca="false">IF(SUM($AS71)&lt;=0,"",IF(SUM($AR71)&lt;=0,"ENTER VALID YIELD!",ROUND($AS71/$AR71,0)-$AS71))</f>
        <v/>
      </c>
      <c r="AU71" s="118"/>
      <c r="AV71" s="75" t="n">
        <f aca="false">IF(OR(SUM($AE71)&lt;=0,SUM($G71)&lt;=0),"",ROUND($G71*$AE71,0))</f>
        <v>51</v>
      </c>
      <c r="AW71" s="75" t="str">
        <f aca="false">IF(SUM($AV71)&lt;=0,"",IF(SUM($AU71)&lt;=0,"ENTER VALID YIELD!",ROUND($AV71/$AU71,0)-$AV71))</f>
        <v>ENTER VALID YIELD!</v>
      </c>
      <c r="AX71" s="118"/>
      <c r="AY71" s="75" t="n">
        <f aca="false">IF(OR(SUM($AF71)&lt;=0,SUM($G71)&lt;=0),"",ROUND($G71*$AF71,0))</f>
        <v>782</v>
      </c>
      <c r="AZ71" s="75" t="str">
        <f aca="false">IF(SUM($AY71)&lt;=0,"",IF(SUM($AX71)&lt;=0,"ENTER VALID YIELD!",ROUND($AY71/$AX71,0)-$AY71))</f>
        <v>ENTER VALID YIELD!</v>
      </c>
      <c r="BA71" s="118" t="n">
        <v>12</v>
      </c>
      <c r="BB71" s="75" t="n">
        <f aca="false">IF(OR(SUM($AG71)&lt;=0,SUM($G71)&lt;=0),"",ROUND($G71*$AG71,0))</f>
        <v>493</v>
      </c>
      <c r="BC71" s="75" t="n">
        <f aca="false">IF(SUM($BB71)&lt;=0,"",IF(SUM($BA71)&lt;=0,"ENTER VALID YIELD!",ROUND($BB71/$BA71,0)-$BB71))</f>
        <v>-452</v>
      </c>
      <c r="BD71" s="118"/>
      <c r="BE71" s="75" t="n">
        <f aca="false">IF(OR(SUM($AH71)&lt;=0,SUM($G71)&lt;=0),"",ROUND($G71*$AH71,0))</f>
        <v>340</v>
      </c>
      <c r="BF71" s="75" t="str">
        <f aca="false">IF(SUM($BE71)&lt;=0,"",IF(SUM($BD71)&lt;=0,"ENTER VALID YIELD!",ROUND($BE71/$BD71,0)-$BE71))</f>
        <v>ENTER VALID YIELD!</v>
      </c>
      <c r="BG71" s="118"/>
      <c r="BH71" s="75" t="n">
        <f aca="false">IF(OR(SUM($AI71)&lt;=0,SUM($G71)&lt;=0),"",ROUND($G71*$AI71,0))</f>
        <v>323</v>
      </c>
      <c r="BI71" s="75" t="str">
        <f aca="false">IF(SUM($BH71)&lt;=0,"",IF(SUM($BG71)&lt;=0,"ENTER VALID YIELD!",ROUND($BH71/$BG71,0)-$BH71))</f>
        <v>ENTER VALID YIELD!</v>
      </c>
      <c r="BJ71" s="118"/>
      <c r="BK71" s="75" t="n">
        <f aca="false">IF(OR(SUM($AJ71)&lt;=0,SUM($G71)&lt;=0),"",ROUND($G71*$AJ71,0))</f>
        <v>170</v>
      </c>
      <c r="BL71" s="75" t="str">
        <f aca="false">IF(SUM($BK71)&lt;=0,"",IF(SUM($BJ71)&lt;=0,"ENTER VALID YIELD!",ROUND($BK71/$BJ71,0)-$BK71))</f>
        <v>ENTER VALID YIELD!</v>
      </c>
      <c r="BM71" s="73" t="n">
        <f aca="false">IF(SUM($G71)&lt;=0,"",$G71)</f>
        <v>17</v>
      </c>
      <c r="BN71" s="73" t="n">
        <f aca="false">IF(SUM($G71)&lt;=0,"",SUM($I71:$L71,$Q71,$S71,$AM71,$AP71,$AS71,$AV71,$AY71,$BB71,$BE71,$BH71,$BK71))</f>
        <v>-10694</v>
      </c>
      <c r="BO71" s="73" t="n">
        <f aca="false">IF(AND(SUM($BN71)&lt;=0,SUM($BM71)&lt;=0),"",SUM($BN71)-SUM($BM71))</f>
        <v>-10711</v>
      </c>
      <c r="BP71" s="73" t="n">
        <f aca="false">_xlfn.IFNA(INDEX(PMTCT!$AF:$AF,MATCH($E71,PMTCT!$E:$E,0)),"")</f>
        <v>5220</v>
      </c>
      <c r="BQ71" s="73" t="str">
        <f aca="false">_xlfn.IFNA(INDEX(PMTCT!$AV:$AV,MATCH($E71,PMTCT!$E:$E,0)),"")</f>
        <v/>
      </c>
      <c r="BR71" s="73" t="n">
        <f aca="false">_xlfn.IFNA(INDEX(TB!$R:$R,MATCH($E71,TB!$E:$E,0)),"")</f>
        <v>7371</v>
      </c>
      <c r="BS71" s="73" t="str">
        <f aca="false">_xlfn.IFNA(INDEX(VMMC!$AD:$AD,MATCH($E71,VMMC!$E:$E,0)),"")</f>
        <v/>
      </c>
      <c r="BT71" s="73" t="n">
        <f aca="false">IF(SUM($R71,$T71,$AN71,$AQ71,$AT71,$AW71,$AZ71,$BC71,$BF71,$BI71,$BL71,$BP71:$BS71)=0,"",SUM($R71,$T71,$AN71,$AQ71,$AT71,$AW71,$AZ71,$BC71,$BF71,$BI71,$BL71,$BP71:$BS71))</f>
        <v>11796</v>
      </c>
      <c r="BU71" s="73" t="n">
        <f aca="false">IF(OR(SUM($BT71)=0,SUM($BN71)=0),"",SUM($BT71,$BN71))</f>
        <v>1102</v>
      </c>
      <c r="BV71" s="118" t="n">
        <f aca="false">IF(SUM($BU71)=0,"",SUM($BN71)/$BU71)</f>
        <v>-9.70417422867514</v>
      </c>
      <c r="BW71" s="73"/>
      <c r="BX71" s="118" t="n">
        <f aca="false">IF(OR($C71="01-04",$C71="05-09"),"",0%)</f>
        <v>0</v>
      </c>
      <c r="BY71" s="75" t="str">
        <f aca="false">IF(OR($C71="01-04",$C71="05-09",SUM($BW71)=0),"",ROUND($BW71*(1+$BX71),0))</f>
        <v/>
      </c>
    </row>
    <row r="72" customFormat="false" ht="15" hidden="false" customHeight="false" outlineLevel="0" collapsed="false">
      <c r="A72" s="0" t="s">
        <v>143</v>
      </c>
      <c r="B72" s="0" t="s">
        <v>115</v>
      </c>
      <c r="C72" s="0" t="s">
        <v>72</v>
      </c>
      <c r="D72" s="0" t="s">
        <v>58</v>
      </c>
      <c r="E72" s="0" t="str">
        <f aca="false">B72&amp;"|"&amp;C72&amp;"|"&amp;D72</f>
        <v>Butha Buthe [#SNU] [mvPRqBFtVC0]|30-34|Male</v>
      </c>
      <c r="F72" s="118" t="n">
        <f aca="false">_xlfn.IFNA(INDEX(Cascade!$Y:$Y,MATCH($E72,Cascade!$E:$E,0)),"")</f>
        <v>0.496519721577726</v>
      </c>
      <c r="G72" s="73" t="n">
        <f aca="false">_xlfn.IFNA(INDEX(Cascade!$BD:$BD,MATCH($E72,Cascade!$E:$E,0)),"")</f>
        <v>31</v>
      </c>
      <c r="H72" s="73" t="n">
        <f aca="false">_xlfn.IFNA(INDEX(Cascade!$BE:$BE,MATCH($E72,Cascade!$E:$E,0)),"")</f>
        <v>9</v>
      </c>
      <c r="I72" s="73" t="str">
        <f aca="false">_xlfn.IFNA(INDEX(Cascade!$BF:$BF,MATCH($E72,Cascade!$E:$E,0)),"")</f>
        <v/>
      </c>
      <c r="J72" s="73" t="str">
        <f aca="false">_xlfn.IFNA(INDEX(Cascade!$BG:$BG,MATCH($E72,Cascade!$E:$E,0)),"")</f>
        <v/>
      </c>
      <c r="K72" s="73" t="n">
        <f aca="false">_xlfn.IFNA(INDEX(Cascade!$BH:$BH,MATCH($E72,Cascade!$E:$E,0)),"")</f>
        <v>-5166</v>
      </c>
      <c r="L72" s="73" t="str">
        <f aca="false">_xlfn.IFNA(INDEX(Cascade!$BI:$BI,MATCH($E72,Cascade!$E:$E,0)),"")</f>
        <v/>
      </c>
      <c r="M72" s="73" t="n">
        <f aca="false">_xlfn.IFNA(INDEX(Cascade!$BK:$BK,MATCH($E72,Cascade!$E:$E,0)),"")</f>
        <v>5188</v>
      </c>
      <c r="N72" s="118" t="n">
        <v>14</v>
      </c>
      <c r="O72" s="118"/>
      <c r="P72" s="118" t="n">
        <v>7</v>
      </c>
      <c r="Q72" s="75" t="str">
        <f aca="false">IF(OR(SUM($H72)=0,SUM($N72)=0,SUM($O72)=0),"",ROUND($H72*$N72,0))</f>
        <v/>
      </c>
      <c r="R72" s="75" t="str">
        <f aca="false">IF(OR(SUM($Q72)=0,SUM($O72)=0),"",ROUND(SUM($Q72)/SUM($O72),0)-SUM($Q72))</f>
        <v/>
      </c>
      <c r="S72" s="75" t="n">
        <f aca="false">IF(SUM($H72)=0,"",SUM($H72)-SUM($Q72))</f>
        <v>9</v>
      </c>
      <c r="T72" s="75" t="str">
        <f aca="false">IF(OR(SUM($S72)=0,$N72&gt;1,SUM($P72)&lt;=0),"",ROUND($S72/$P72,0)-$S72)</f>
        <v/>
      </c>
      <c r="U72" s="118" t="n">
        <f aca="false">IF(SUM($G72)&lt;=0,"",SUM($Q72,$S72)/$G72)</f>
        <v>0.290322580645161</v>
      </c>
      <c r="V72" s="118" t="str">
        <f aca="false">IF(OR(SUM($Q72)=0,SUM($G72)=0),"",SUM($Q72)/SUM($G72))</f>
        <v/>
      </c>
      <c r="W72" s="118" t="n">
        <f aca="false">IF(OR(SUM($S72)=0,SUM($G72)=0),"",SUM($S72)/SUM($G72))</f>
        <v>0.290322580645161</v>
      </c>
      <c r="X72" s="118" t="str">
        <f aca="false">IF(OR(SUM($G72)=0,SUM($I72)=0),"",SUM($I72)/SUM($G72))</f>
        <v/>
      </c>
      <c r="Y72" s="118" t="str">
        <f aca="false">IF(OR(SUM($G72)=0,SUM($J72)=0),"",SUM($J72)/SUM($G72))</f>
        <v/>
      </c>
      <c r="Z72" s="118" t="n">
        <f aca="false">IF(OR(SUM($G72)=0,SUM($K72)=0),"",SUM($K72)/SUM($G72))</f>
        <v>-166.645161290323</v>
      </c>
      <c r="AA72" s="118" t="str">
        <f aca="false">IF(OR(SUM($G72)=0,SUM($L72)=0),"",SUM($L72)/SUM($G72))</f>
        <v/>
      </c>
      <c r="AB72" s="118" t="n">
        <v>45</v>
      </c>
      <c r="AC72" s="118"/>
      <c r="AD72" s="118"/>
      <c r="AE72" s="118" t="n">
        <v>9</v>
      </c>
      <c r="AF72" s="118" t="n">
        <v>23</v>
      </c>
      <c r="AG72" s="118" t="n">
        <v>49</v>
      </c>
      <c r="AH72" s="118" t="n">
        <v>18</v>
      </c>
      <c r="AI72" s="118" t="n">
        <v>4</v>
      </c>
      <c r="AJ72" s="118" t="n">
        <v>18</v>
      </c>
      <c r="AK72" s="118" t="n">
        <f aca="false">IF(SUM($G72)&lt;=0,"",SUM($V72:$AJ72))</f>
        <v>-0.354838709677429</v>
      </c>
      <c r="AL72" s="118"/>
      <c r="AM72" s="75" t="n">
        <f aca="false">IF(OR(SUM($AB72)&lt;=0,SUM($G72)&lt;=0),"",ROUND($G72*$AB72,0))</f>
        <v>1395</v>
      </c>
      <c r="AN72" s="75" t="str">
        <f aca="false">IF(SUM($AM72)&lt;=0,"",IF(SUM($AL72)&lt;=0,"ENTER VALID YIELD!",ROUND($AM72/$AL72,0)-$AM72))</f>
        <v>ENTER VALID YIELD!</v>
      </c>
      <c r="AO72" s="118"/>
      <c r="AP72" s="75" t="str">
        <f aca="false">IF(OR(SUM($AC72)&lt;=0,SUM($G72)&lt;=0),"",ROUND($G72*$AC72,0))</f>
        <v/>
      </c>
      <c r="AQ72" s="75" t="str">
        <f aca="false">IF(SUM($AP72)&lt;=0,"",IF(SUM($AO72)&lt;=0,"ENTER VALID YIELD!",ROUND($AP72/$AO72,0)-$AP72))</f>
        <v/>
      </c>
      <c r="AR72" s="118"/>
      <c r="AS72" s="75" t="str">
        <f aca="false">IF(OR(SUM($AD72)&lt;=0,SUM($G72)&lt;=0),"",ROUND($G72*$AD72,0))</f>
        <v/>
      </c>
      <c r="AT72" s="75" t="str">
        <f aca="false">IF(SUM($AS72)&lt;=0,"",IF(SUM($AR72)&lt;=0,"ENTER VALID YIELD!",ROUND($AS72/$AR72,0)-$AS72))</f>
        <v/>
      </c>
      <c r="AU72" s="118"/>
      <c r="AV72" s="75" t="n">
        <f aca="false">IF(OR(SUM($AE72)&lt;=0,SUM($G72)&lt;=0),"",ROUND($G72*$AE72,0))</f>
        <v>279</v>
      </c>
      <c r="AW72" s="75" t="str">
        <f aca="false">IF(SUM($AV72)&lt;=0,"",IF(SUM($AU72)&lt;=0,"ENTER VALID YIELD!",ROUND($AV72/$AU72,0)-$AV72))</f>
        <v>ENTER VALID YIELD!</v>
      </c>
      <c r="AX72" s="118"/>
      <c r="AY72" s="75" t="n">
        <f aca="false">IF(OR(SUM($AF72)&lt;=0,SUM($G72)&lt;=0),"",ROUND($G72*$AF72,0))</f>
        <v>713</v>
      </c>
      <c r="AZ72" s="75" t="str">
        <f aca="false">IF(SUM($AY72)&lt;=0,"",IF(SUM($AX72)&lt;=0,"ENTER VALID YIELD!",ROUND($AY72/$AX72,0)-$AY72))</f>
        <v>ENTER VALID YIELD!</v>
      </c>
      <c r="BA72" s="118" t="n">
        <v>46</v>
      </c>
      <c r="BB72" s="75" t="n">
        <f aca="false">IF(OR(SUM($AG72)&lt;=0,SUM($G72)&lt;=0),"",ROUND($G72*$AG72,0))</f>
        <v>1519</v>
      </c>
      <c r="BC72" s="75" t="n">
        <f aca="false">IF(SUM($BB72)&lt;=0,"",IF(SUM($BA72)&lt;=0,"ENTER VALID YIELD!",ROUND($BB72/$BA72,0)-$BB72))</f>
        <v>-1486</v>
      </c>
      <c r="BD72" s="118"/>
      <c r="BE72" s="75" t="n">
        <f aca="false">IF(OR(SUM($AH72)&lt;=0,SUM($G72)&lt;=0),"",ROUND($G72*$AH72,0))</f>
        <v>558</v>
      </c>
      <c r="BF72" s="75" t="str">
        <f aca="false">IF(SUM($BE72)&lt;=0,"",IF(SUM($BD72)&lt;=0,"ENTER VALID YIELD!",ROUND($BE72/$BD72,0)-$BE72))</f>
        <v>ENTER VALID YIELD!</v>
      </c>
      <c r="BG72" s="118"/>
      <c r="BH72" s="75" t="n">
        <f aca="false">IF(OR(SUM($AI72)&lt;=0,SUM($G72)&lt;=0),"",ROUND($G72*$AI72,0))</f>
        <v>124</v>
      </c>
      <c r="BI72" s="75" t="str">
        <f aca="false">IF(SUM($BH72)&lt;=0,"",IF(SUM($BG72)&lt;=0,"ENTER VALID YIELD!",ROUND($BH72/$BG72,0)-$BH72))</f>
        <v>ENTER VALID YIELD!</v>
      </c>
      <c r="BJ72" s="118"/>
      <c r="BK72" s="75" t="n">
        <f aca="false">IF(OR(SUM($AJ72)&lt;=0,SUM($G72)&lt;=0),"",ROUND($G72*$AJ72,0))</f>
        <v>558</v>
      </c>
      <c r="BL72" s="75" t="str">
        <f aca="false">IF(SUM($BK72)&lt;=0,"",IF(SUM($BJ72)&lt;=0,"ENTER VALID YIELD!",ROUND($BK72/$BJ72,0)-$BK72))</f>
        <v>ENTER VALID YIELD!</v>
      </c>
      <c r="BM72" s="73" t="n">
        <f aca="false">IF(SUM($G72)&lt;=0,"",$G72)</f>
        <v>31</v>
      </c>
      <c r="BN72" s="73" t="n">
        <f aca="false">IF(SUM($G72)&lt;=0,"",SUM($I72:$L72,$Q72,$S72,$AM72,$AP72,$AS72,$AV72,$AY72,$BB72,$BE72,$BH72,$BK72))</f>
        <v>-11</v>
      </c>
      <c r="BO72" s="73" t="n">
        <f aca="false">IF(AND(SUM($BN72)&lt;=0,SUM($BM72)&lt;=0),"",SUM($BN72)-SUM($BM72))</f>
        <v>-42</v>
      </c>
      <c r="BP72" s="73" t="str">
        <f aca="false">_xlfn.IFNA(INDEX(PMTCT!$AF:$AF,MATCH($E72,PMTCT!$E:$E,0)),"")</f>
        <v/>
      </c>
      <c r="BQ72" s="73" t="str">
        <f aca="false">_xlfn.IFNA(INDEX(PMTCT!$AV:$AV,MATCH($E72,PMTCT!$E:$E,0)),"")</f>
        <v/>
      </c>
      <c r="BR72" s="73" t="n">
        <f aca="false">_xlfn.IFNA(INDEX(TB!$R:$R,MATCH($E72,TB!$E:$E,0)),"")</f>
        <v>4305</v>
      </c>
      <c r="BS72" s="73" t="str">
        <f aca="false">_xlfn.IFNA(INDEX(VMMC!$AD:$AD,MATCH($E72,VMMC!$E:$E,0)),"")</f>
        <v/>
      </c>
      <c r="BT72" s="73" t="n">
        <f aca="false">IF(SUM($R72,$T72,$AN72,$AQ72,$AT72,$AW72,$AZ72,$BC72,$BF72,$BI72,$BL72,$BP72:$BS72)=0,"",SUM($R72,$T72,$AN72,$AQ72,$AT72,$AW72,$AZ72,$BC72,$BF72,$BI72,$BL72,$BP72:$BS72))</f>
        <v>2819</v>
      </c>
      <c r="BU72" s="73" t="n">
        <f aca="false">IF(OR(SUM($BT72)=0,SUM($BN72)=0),"",SUM($BT72,$BN72))</f>
        <v>2808</v>
      </c>
      <c r="BV72" s="118" t="n">
        <f aca="false">IF(SUM($BU72)=0,"",SUM($BN72)/$BU72)</f>
        <v>-0.00391737891737892</v>
      </c>
      <c r="BW72" s="73"/>
      <c r="BX72" s="118" t="n">
        <f aca="false">IF(OR($C72="01-04",$C72="05-09"),"",0%)</f>
        <v>0</v>
      </c>
      <c r="BY72" s="75" t="str">
        <f aca="false">IF(OR($C72="01-04",$C72="05-09",SUM($BW72)=0),"",ROUND($BW72*(1+$BX72),0))</f>
        <v/>
      </c>
    </row>
    <row r="73" customFormat="false" ht="15" hidden="false" customHeight="false" outlineLevel="0" collapsed="false">
      <c r="A73" s="0" t="s">
        <v>143</v>
      </c>
      <c r="B73" s="0" t="s">
        <v>115</v>
      </c>
      <c r="C73" s="0" t="s">
        <v>75</v>
      </c>
      <c r="D73" s="0" t="s">
        <v>56</v>
      </c>
      <c r="E73" s="0" t="str">
        <f aca="false">B73&amp;"|"&amp;C73&amp;"|"&amp;D73</f>
        <v>Butha Buthe [#SNU] [mvPRqBFtVC0]|35-39|Female</v>
      </c>
      <c r="F73" s="118" t="n">
        <f aca="false">_xlfn.IFNA(INDEX(Cascade!$Y:$Y,MATCH($E73,Cascade!$E:$E,0)),"")</f>
        <v>0.772568229531141</v>
      </c>
      <c r="G73" s="73" t="n">
        <f aca="false">_xlfn.IFNA(INDEX(Cascade!$BD:$BD,MATCH($E73,Cascade!$E:$E,0)),"")</f>
        <v>6</v>
      </c>
      <c r="H73" s="73" t="n">
        <f aca="false">_xlfn.IFNA(INDEX(Cascade!$BE:$BE,MATCH($E73,Cascade!$E:$E,0)),"")</f>
        <v>3</v>
      </c>
      <c r="I73" s="73" t="n">
        <f aca="false">_xlfn.IFNA(INDEX(Cascade!$BF:$BF,MATCH($E73,Cascade!$E:$E,0)),"")</f>
        <v>-16720</v>
      </c>
      <c r="J73" s="73" t="str">
        <f aca="false">_xlfn.IFNA(INDEX(Cascade!$BG:$BG,MATCH($E73,Cascade!$E:$E,0)),"")</f>
        <v/>
      </c>
      <c r="K73" s="73" t="n">
        <f aca="false">_xlfn.IFNA(INDEX(Cascade!$BH:$BH,MATCH($E73,Cascade!$E:$E,0)),"")</f>
        <v>-5928</v>
      </c>
      <c r="L73" s="73" t="str">
        <f aca="false">_xlfn.IFNA(INDEX(Cascade!$BI:$BI,MATCH($E73,Cascade!$E:$E,0)),"")</f>
        <v/>
      </c>
      <c r="M73" s="73" t="n">
        <f aca="false">_xlfn.IFNA(INDEX(Cascade!$BK:$BK,MATCH($E73,Cascade!$E:$E,0)),"")</f>
        <v>22651</v>
      </c>
      <c r="N73" s="118" t="n">
        <v>28</v>
      </c>
      <c r="O73" s="118"/>
      <c r="P73" s="118" t="n">
        <v>36</v>
      </c>
      <c r="Q73" s="75" t="str">
        <f aca="false">IF(OR(SUM($H73)=0,SUM($N73)=0,SUM($O73)=0),"",ROUND($H73*$N73,0))</f>
        <v/>
      </c>
      <c r="R73" s="75" t="str">
        <f aca="false">IF(OR(SUM($Q73)=0,SUM($O73)=0),"",ROUND(SUM($Q73)/SUM($O73),0)-SUM($Q73))</f>
        <v/>
      </c>
      <c r="S73" s="75" t="n">
        <f aca="false">IF(SUM($H73)=0,"",SUM($H73)-SUM($Q73))</f>
        <v>3</v>
      </c>
      <c r="T73" s="75" t="str">
        <f aca="false">IF(OR(SUM($S73)=0,$N73&gt;1,SUM($P73)&lt;=0),"",ROUND($S73/$P73,0)-$S73)</f>
        <v/>
      </c>
      <c r="U73" s="118" t="n">
        <f aca="false">IF(SUM($G73)&lt;=0,"",SUM($Q73,$S73)/$G73)</f>
        <v>0.5</v>
      </c>
      <c r="V73" s="118" t="str">
        <f aca="false">IF(OR(SUM($Q73)=0,SUM($G73)=0),"",SUM($Q73)/SUM($G73))</f>
        <v/>
      </c>
      <c r="W73" s="118" t="n">
        <f aca="false">IF(OR(SUM($S73)=0,SUM($G73)=0),"",SUM($S73)/SUM($G73))</f>
        <v>0.5</v>
      </c>
      <c r="X73" s="118" t="n">
        <f aca="false">IF(OR(SUM($G73)=0,SUM($I73)=0),"",SUM($I73)/SUM($G73))</f>
        <v>-2786.66666666667</v>
      </c>
      <c r="Y73" s="118" t="str">
        <f aca="false">IF(OR(SUM($G73)=0,SUM($J73)=0),"",SUM($J73)/SUM($G73))</f>
        <v/>
      </c>
      <c r="Z73" s="118" t="n">
        <f aca="false">IF(OR(SUM($G73)=0,SUM($K73)=0),"",SUM($K73)/SUM($G73))</f>
        <v>-988</v>
      </c>
      <c r="AA73" s="118" t="str">
        <f aca="false">IF(OR(SUM($G73)=0,SUM($L73)=0),"",SUM($L73)/SUM($G73))</f>
        <v/>
      </c>
      <c r="AB73" s="118" t="n">
        <v>26</v>
      </c>
      <c r="AC73" s="118"/>
      <c r="AD73" s="118"/>
      <c r="AE73" s="118" t="n">
        <v>37</v>
      </c>
      <c r="AF73" s="118" t="n">
        <v>19</v>
      </c>
      <c r="AG73" s="118" t="n">
        <v>2</v>
      </c>
      <c r="AH73" s="118" t="n">
        <v>1</v>
      </c>
      <c r="AI73" s="118" t="n">
        <v>11</v>
      </c>
      <c r="AJ73" s="118" t="n">
        <v>43</v>
      </c>
      <c r="AK73" s="118" t="n">
        <f aca="false">IF(SUM($G73)&lt;=0,"",SUM($V73:$AJ73))</f>
        <v>-3635.16666666667</v>
      </c>
      <c r="AL73" s="118"/>
      <c r="AM73" s="75" t="n">
        <f aca="false">IF(OR(SUM($AB73)&lt;=0,SUM($G73)&lt;=0),"",ROUND($G73*$AB73,0))</f>
        <v>156</v>
      </c>
      <c r="AN73" s="75" t="str">
        <f aca="false">IF(SUM($AM73)&lt;=0,"",IF(SUM($AL73)&lt;=0,"ENTER VALID YIELD!",ROUND($AM73/$AL73,0)-$AM73))</f>
        <v>ENTER VALID YIELD!</v>
      </c>
      <c r="AO73" s="118"/>
      <c r="AP73" s="75" t="str">
        <f aca="false">IF(OR(SUM($AC73)&lt;=0,SUM($G73)&lt;=0),"",ROUND($G73*$AC73,0))</f>
        <v/>
      </c>
      <c r="AQ73" s="75" t="str">
        <f aca="false">IF(SUM($AP73)&lt;=0,"",IF(SUM($AO73)&lt;=0,"ENTER VALID YIELD!",ROUND($AP73/$AO73,0)-$AP73))</f>
        <v/>
      </c>
      <c r="AR73" s="118"/>
      <c r="AS73" s="75" t="str">
        <f aca="false">IF(OR(SUM($AD73)&lt;=0,SUM($G73)&lt;=0),"",ROUND($G73*$AD73,0))</f>
        <v/>
      </c>
      <c r="AT73" s="75" t="str">
        <f aca="false">IF(SUM($AS73)&lt;=0,"",IF(SUM($AR73)&lt;=0,"ENTER VALID YIELD!",ROUND($AS73/$AR73,0)-$AS73))</f>
        <v/>
      </c>
      <c r="AU73" s="118"/>
      <c r="AV73" s="75" t="n">
        <f aca="false">IF(OR(SUM($AE73)&lt;=0,SUM($G73)&lt;=0),"",ROUND($G73*$AE73,0))</f>
        <v>222</v>
      </c>
      <c r="AW73" s="75" t="str">
        <f aca="false">IF(SUM($AV73)&lt;=0,"",IF(SUM($AU73)&lt;=0,"ENTER VALID YIELD!",ROUND($AV73/$AU73,0)-$AV73))</f>
        <v>ENTER VALID YIELD!</v>
      </c>
      <c r="AX73" s="118"/>
      <c r="AY73" s="75" t="n">
        <f aca="false">IF(OR(SUM($AF73)&lt;=0,SUM($G73)&lt;=0),"",ROUND($G73*$AF73,0))</f>
        <v>114</v>
      </c>
      <c r="AZ73" s="75" t="str">
        <f aca="false">IF(SUM($AY73)&lt;=0,"",IF(SUM($AX73)&lt;=0,"ENTER VALID YIELD!",ROUND($AY73/$AX73,0)-$AY73))</f>
        <v>ENTER VALID YIELD!</v>
      </c>
      <c r="BA73" s="118" t="n">
        <v>50</v>
      </c>
      <c r="BB73" s="75" t="n">
        <f aca="false">IF(OR(SUM($AG73)&lt;=0,SUM($G73)&lt;=0),"",ROUND($G73*$AG73,0))</f>
        <v>12</v>
      </c>
      <c r="BC73" s="75" t="n">
        <f aca="false">IF(SUM($BB73)&lt;=0,"",IF(SUM($BA73)&lt;=0,"ENTER VALID YIELD!",ROUND($BB73/$BA73,0)-$BB73))</f>
        <v>-12</v>
      </c>
      <c r="BD73" s="118"/>
      <c r="BE73" s="75" t="n">
        <f aca="false">IF(OR(SUM($AH73)&lt;=0,SUM($G73)&lt;=0),"",ROUND($G73*$AH73,0))</f>
        <v>6</v>
      </c>
      <c r="BF73" s="75" t="str">
        <f aca="false">IF(SUM($BE73)&lt;=0,"",IF(SUM($BD73)&lt;=0,"ENTER VALID YIELD!",ROUND($BE73/$BD73,0)-$BE73))</f>
        <v>ENTER VALID YIELD!</v>
      </c>
      <c r="BG73" s="118"/>
      <c r="BH73" s="75" t="n">
        <f aca="false">IF(OR(SUM($AI73)&lt;=0,SUM($G73)&lt;=0),"",ROUND($G73*$AI73,0))</f>
        <v>66</v>
      </c>
      <c r="BI73" s="75" t="str">
        <f aca="false">IF(SUM($BH73)&lt;=0,"",IF(SUM($BG73)&lt;=0,"ENTER VALID YIELD!",ROUND($BH73/$BG73,0)-$BH73))</f>
        <v>ENTER VALID YIELD!</v>
      </c>
      <c r="BJ73" s="118"/>
      <c r="BK73" s="75" t="n">
        <f aca="false">IF(OR(SUM($AJ73)&lt;=0,SUM($G73)&lt;=0),"",ROUND($G73*$AJ73,0))</f>
        <v>258</v>
      </c>
      <c r="BL73" s="75" t="str">
        <f aca="false">IF(SUM($BK73)&lt;=0,"",IF(SUM($BJ73)&lt;=0,"ENTER VALID YIELD!",ROUND($BK73/$BJ73,0)-$BK73))</f>
        <v>ENTER VALID YIELD!</v>
      </c>
      <c r="BM73" s="73" t="n">
        <f aca="false">IF(SUM($G73)&lt;=0,"",$G73)</f>
        <v>6</v>
      </c>
      <c r="BN73" s="73" t="n">
        <f aca="false">IF(SUM($G73)&lt;=0,"",SUM($I73:$L73,$Q73,$S73,$AM73,$AP73,$AS73,$AV73,$AY73,$BB73,$BE73,$BH73,$BK73))</f>
        <v>-21811</v>
      </c>
      <c r="BO73" s="73" t="n">
        <f aca="false">IF(AND(SUM($BN73)&lt;=0,SUM($BM73)&lt;=0),"",SUM($BN73)-SUM($BM73))</f>
        <v>-21817</v>
      </c>
      <c r="BP73" s="73" t="n">
        <f aca="false">_xlfn.IFNA(INDEX(PMTCT!$AF:$AF,MATCH($E73,PMTCT!$E:$E,0)),"")</f>
        <v>15960</v>
      </c>
      <c r="BQ73" s="73" t="str">
        <f aca="false">_xlfn.IFNA(INDEX(PMTCT!$AV:$AV,MATCH($E73,PMTCT!$E:$E,0)),"")</f>
        <v/>
      </c>
      <c r="BR73" s="73" t="n">
        <f aca="false">_xlfn.IFNA(INDEX(TB!$R:$R,MATCH($E73,TB!$E:$E,0)),"")</f>
        <v>5616</v>
      </c>
      <c r="BS73" s="73" t="str">
        <f aca="false">_xlfn.IFNA(INDEX(VMMC!$AD:$AD,MATCH($E73,VMMC!$E:$E,0)),"")</f>
        <v/>
      </c>
      <c r="BT73" s="73" t="n">
        <f aca="false">IF(SUM($R73,$T73,$AN73,$AQ73,$AT73,$AW73,$AZ73,$BC73,$BF73,$BI73,$BL73,$BP73:$BS73)=0,"",SUM($R73,$T73,$AN73,$AQ73,$AT73,$AW73,$AZ73,$BC73,$BF73,$BI73,$BL73,$BP73:$BS73))</f>
        <v>21564</v>
      </c>
      <c r="BU73" s="73" t="n">
        <f aca="false">IF(OR(SUM($BT73)=0,SUM($BN73)=0),"",SUM($BT73,$BN73))</f>
        <v>-247</v>
      </c>
      <c r="BV73" s="118" t="n">
        <f aca="false">IF(SUM($BU73)=0,"",SUM($BN73)/$BU73)</f>
        <v>88.3036437246964</v>
      </c>
      <c r="BW73" s="73"/>
      <c r="BX73" s="118" t="n">
        <f aca="false">IF(OR($C73="01-04",$C73="05-09"),"",0%)</f>
        <v>0</v>
      </c>
      <c r="BY73" s="75" t="str">
        <f aca="false">IF(OR($C73="01-04",$C73="05-09",SUM($BW73)=0),"",ROUND($BW73*(1+$BX73),0))</f>
        <v/>
      </c>
    </row>
    <row r="74" customFormat="false" ht="15" hidden="false" customHeight="false" outlineLevel="0" collapsed="false">
      <c r="A74" s="0" t="s">
        <v>143</v>
      </c>
      <c r="B74" s="0" t="s">
        <v>115</v>
      </c>
      <c r="C74" s="0" t="s">
        <v>75</v>
      </c>
      <c r="D74" s="0" t="s">
        <v>58</v>
      </c>
      <c r="E74" s="0" t="str">
        <f aca="false">B74&amp;"|"&amp;C74&amp;"|"&amp;D74</f>
        <v>Butha Buthe [#SNU] [mvPRqBFtVC0]|35-39|Male</v>
      </c>
      <c r="F74" s="118" t="n">
        <f aca="false">_xlfn.IFNA(INDEX(Cascade!$Y:$Y,MATCH($E74,Cascade!$E:$E,0)),"")</f>
        <v>0.587242026266417</v>
      </c>
      <c r="G74" s="73" t="str">
        <f aca="false">_xlfn.IFNA(INDEX(Cascade!$BD:$BD,MATCH($E74,Cascade!$E:$E,0)),"")</f>
        <v/>
      </c>
      <c r="H74" s="73" t="str">
        <f aca="false">_xlfn.IFNA(INDEX(Cascade!$BE:$BE,MATCH($E74,Cascade!$E:$E,0)),"")</f>
        <v/>
      </c>
      <c r="I74" s="73" t="str">
        <f aca="false">_xlfn.IFNA(INDEX(Cascade!$BF:$BF,MATCH($E74,Cascade!$E:$E,0)),"")</f>
        <v/>
      </c>
      <c r="J74" s="73" t="str">
        <f aca="false">_xlfn.IFNA(INDEX(Cascade!$BG:$BG,MATCH($E74,Cascade!$E:$E,0)),"")</f>
        <v/>
      </c>
      <c r="K74" s="73" t="n">
        <f aca="false">_xlfn.IFNA(INDEX(Cascade!$BH:$BH,MATCH($E74,Cascade!$E:$E,0)),"")</f>
        <v>-43953</v>
      </c>
      <c r="L74" s="73" t="str">
        <f aca="false">_xlfn.IFNA(INDEX(Cascade!$BI:$BI,MATCH($E74,Cascade!$E:$E,0)),"")</f>
        <v/>
      </c>
      <c r="M74" s="73" t="str">
        <f aca="false">_xlfn.IFNA(INDEX(Cascade!$BK:$BK,MATCH($E74,Cascade!$E:$E,0)),"")</f>
        <v/>
      </c>
      <c r="N74" s="118" t="n">
        <v>15</v>
      </c>
      <c r="O74" s="118"/>
      <c r="P74" s="118" t="n">
        <v>43</v>
      </c>
      <c r="Q74" s="75" t="str">
        <f aca="false">IF(OR(SUM($H74)=0,SUM($N74)=0,SUM($O74)=0),"",ROUND($H74*$N74,0))</f>
        <v/>
      </c>
      <c r="R74" s="75" t="str">
        <f aca="false">IF(OR(SUM($Q74)=0,SUM($O74)=0),"",ROUND(SUM($Q74)/SUM($O74),0)-SUM($Q74))</f>
        <v/>
      </c>
      <c r="S74" s="75" t="str">
        <f aca="false">IF(SUM($H74)=0,"",SUM($H74)-SUM($Q74))</f>
        <v/>
      </c>
      <c r="T74" s="75" t="str">
        <f aca="false">IF(OR(SUM($S74)=0,$N74&gt;1,SUM($P74)&lt;=0),"",ROUND($S74/$P74,0)-$S74)</f>
        <v/>
      </c>
      <c r="U74" s="118" t="str">
        <f aca="false">IF(SUM($G74)&lt;=0,"",SUM($Q74,$S74)/$G74)</f>
        <v/>
      </c>
      <c r="V74" s="118" t="str">
        <f aca="false">IF(OR(SUM($Q74)=0,SUM($G74)=0),"",SUM($Q74)/SUM($G74))</f>
        <v/>
      </c>
      <c r="W74" s="118" t="str">
        <f aca="false">IF(OR(SUM($S74)=0,SUM($G74)=0),"",SUM($S74)/SUM($G74))</f>
        <v/>
      </c>
      <c r="X74" s="118" t="str">
        <f aca="false">IF(OR(SUM($G74)=0,SUM($I74)=0),"",SUM($I74)/SUM($G74))</f>
        <v/>
      </c>
      <c r="Y74" s="118" t="str">
        <f aca="false">IF(OR(SUM($G74)=0,SUM($J74)=0),"",SUM($J74)/SUM($G74))</f>
        <v/>
      </c>
      <c r="Z74" s="118" t="str">
        <f aca="false">IF(OR(SUM($G74)=0,SUM($K74)=0),"",SUM($K74)/SUM($G74))</f>
        <v/>
      </c>
      <c r="AA74" s="118" t="str">
        <f aca="false">IF(OR(SUM($G74)=0,SUM($L74)=0),"",SUM($L74)/SUM($G74))</f>
        <v/>
      </c>
      <c r="AB74" s="118" t="n">
        <v>39</v>
      </c>
      <c r="AC74" s="118"/>
      <c r="AD74" s="118"/>
      <c r="AE74" s="118" t="n">
        <v>13</v>
      </c>
      <c r="AF74" s="118" t="n">
        <v>3</v>
      </c>
      <c r="AG74" s="118" t="n">
        <v>45</v>
      </c>
      <c r="AH74" s="118" t="n">
        <v>1</v>
      </c>
      <c r="AI74" s="118" t="n">
        <v>26</v>
      </c>
      <c r="AJ74" s="118" t="n">
        <v>24</v>
      </c>
      <c r="AK74" s="118" t="str">
        <f aca="false">IF(SUM($G74)&lt;=0,"",SUM($V74:$AJ74))</f>
        <v/>
      </c>
      <c r="AL74" s="118" t="n">
        <v>48</v>
      </c>
      <c r="AM74" s="75" t="str">
        <f aca="false">IF(OR(SUM($AB74)&lt;=0,SUM($G74)&lt;=0),"",ROUND($G74*$AB74,0))</f>
        <v/>
      </c>
      <c r="AN74" s="75" t="str">
        <f aca="false">IF(SUM($AM74)&lt;=0,"",IF(SUM($AL74)&lt;=0,"ENTER VALID YIELD!",ROUND($AM74/$AL74,0)-$AM74))</f>
        <v/>
      </c>
      <c r="AO74" s="118"/>
      <c r="AP74" s="75" t="str">
        <f aca="false">IF(OR(SUM($AC74)&lt;=0,SUM($G74)&lt;=0),"",ROUND($G74*$AC74,0))</f>
        <v/>
      </c>
      <c r="AQ74" s="75" t="str">
        <f aca="false">IF(SUM($AP74)&lt;=0,"",IF(SUM($AO74)&lt;=0,"ENTER VALID YIELD!",ROUND($AP74/$AO74,0)-$AP74))</f>
        <v/>
      </c>
      <c r="AR74" s="118"/>
      <c r="AS74" s="75" t="str">
        <f aca="false">IF(OR(SUM($AD74)&lt;=0,SUM($G74)&lt;=0),"",ROUND($G74*$AD74,0))</f>
        <v/>
      </c>
      <c r="AT74" s="75" t="str">
        <f aca="false">IF(SUM($AS74)&lt;=0,"",IF(SUM($AR74)&lt;=0,"ENTER VALID YIELD!",ROUND($AS74/$AR74,0)-$AS74))</f>
        <v/>
      </c>
      <c r="AU74" s="118"/>
      <c r="AV74" s="75" t="str">
        <f aca="false">IF(OR(SUM($AE74)&lt;=0,SUM($G74)&lt;=0),"",ROUND($G74*$AE74,0))</f>
        <v/>
      </c>
      <c r="AW74" s="75" t="str">
        <f aca="false">IF(SUM($AV74)&lt;=0,"",IF(SUM($AU74)&lt;=0,"ENTER VALID YIELD!",ROUND($AV74/$AU74,0)-$AV74))</f>
        <v/>
      </c>
      <c r="AX74" s="118"/>
      <c r="AY74" s="75" t="str">
        <f aca="false">IF(OR(SUM($AF74)&lt;=0,SUM($G74)&lt;=0),"",ROUND($G74*$AF74,0))</f>
        <v/>
      </c>
      <c r="AZ74" s="75" t="str">
        <f aca="false">IF(SUM($AY74)&lt;=0,"",IF(SUM($AX74)&lt;=0,"ENTER VALID YIELD!",ROUND($AY74/$AX74,0)-$AY74))</f>
        <v/>
      </c>
      <c r="BA74" s="118" t="n">
        <v>33</v>
      </c>
      <c r="BB74" s="75" t="str">
        <f aca="false">IF(OR(SUM($AG74)&lt;=0,SUM($G74)&lt;=0),"",ROUND($G74*$AG74,0))</f>
        <v/>
      </c>
      <c r="BC74" s="75" t="str">
        <f aca="false">IF(SUM($BB74)&lt;=0,"",IF(SUM($BA74)&lt;=0,"ENTER VALID YIELD!",ROUND($BB74/$BA74,0)-$BB74))</f>
        <v/>
      </c>
      <c r="BD74" s="118"/>
      <c r="BE74" s="75" t="str">
        <f aca="false">IF(OR(SUM($AH74)&lt;=0,SUM($G74)&lt;=0),"",ROUND($G74*$AH74,0))</f>
        <v/>
      </c>
      <c r="BF74" s="75" t="str">
        <f aca="false">IF(SUM($BE74)&lt;=0,"",IF(SUM($BD74)&lt;=0,"ENTER VALID YIELD!",ROUND($BE74/$BD74,0)-$BE74))</f>
        <v/>
      </c>
      <c r="BG74" s="118"/>
      <c r="BH74" s="75" t="str">
        <f aca="false">IF(OR(SUM($AI74)&lt;=0,SUM($G74)&lt;=0),"",ROUND($G74*$AI74,0))</f>
        <v/>
      </c>
      <c r="BI74" s="75" t="str">
        <f aca="false">IF(SUM($BH74)&lt;=0,"",IF(SUM($BG74)&lt;=0,"ENTER VALID YIELD!",ROUND($BH74/$BG74,0)-$BH74))</f>
        <v/>
      </c>
      <c r="BJ74" s="118"/>
      <c r="BK74" s="75" t="str">
        <f aca="false">IF(OR(SUM($AJ74)&lt;=0,SUM($G74)&lt;=0),"",ROUND($G74*$AJ74,0))</f>
        <v/>
      </c>
      <c r="BL74" s="75" t="str">
        <f aca="false">IF(SUM($BK74)&lt;=0,"",IF(SUM($BJ74)&lt;=0,"ENTER VALID YIELD!",ROUND($BK74/$BJ74,0)-$BK74))</f>
        <v/>
      </c>
      <c r="BM74" s="73" t="str">
        <f aca="false">IF(SUM($G74)&lt;=0,"",$G74)</f>
        <v/>
      </c>
      <c r="BN74" s="73" t="str">
        <f aca="false">IF(SUM($G74)&lt;=0,"",SUM($I74:$L74,$Q74,$S74,$AM74,$AP74,$AS74,$AV74,$AY74,$BB74,$BE74,$BH74,$BK74))</f>
        <v/>
      </c>
      <c r="BO74" s="73" t="str">
        <f aca="false">IF(AND(SUM($BN74)&lt;=0,SUM($BM74)&lt;=0),"",SUM($BN74)-SUM($BM74))</f>
        <v/>
      </c>
      <c r="BP74" s="73" t="str">
        <f aca="false">_xlfn.IFNA(INDEX(PMTCT!$AF:$AF,MATCH($E74,PMTCT!$E:$E,0)),"")</f>
        <v/>
      </c>
      <c r="BQ74" s="73" t="str">
        <f aca="false">_xlfn.IFNA(INDEX(PMTCT!$AV:$AV,MATCH($E74,PMTCT!$E:$E,0)),"")</f>
        <v/>
      </c>
      <c r="BR74" s="73" t="n">
        <f aca="false">_xlfn.IFNA(INDEX(TB!$R:$R,MATCH($E74,TB!$E:$E,0)),"")</f>
        <v>42826</v>
      </c>
      <c r="BS74" s="73" t="str">
        <f aca="false">_xlfn.IFNA(INDEX(VMMC!$AD:$AD,MATCH($E74,VMMC!$E:$E,0)),"")</f>
        <v/>
      </c>
      <c r="BT74" s="73" t="n">
        <f aca="false">IF(SUM($R74,$T74,$AN74,$AQ74,$AT74,$AW74,$AZ74,$BC74,$BF74,$BI74,$BL74,$BP74:$BS74)=0,"",SUM($R74,$T74,$AN74,$AQ74,$AT74,$AW74,$AZ74,$BC74,$BF74,$BI74,$BL74,$BP74:$BS74))</f>
        <v>42826</v>
      </c>
      <c r="BU74" s="73" t="str">
        <f aca="false">IF(OR(SUM($BT74)=0,SUM($BN74)=0),"",SUM($BT74,$BN74))</f>
        <v/>
      </c>
      <c r="BV74" s="118" t="str">
        <f aca="false">IF(SUM($BU74)=0,"",SUM($BN74)/$BU74)</f>
        <v/>
      </c>
      <c r="BW74" s="73"/>
      <c r="BX74" s="118" t="n">
        <f aca="false">IF(OR($C74="01-04",$C74="05-09"),"",0%)</f>
        <v>0</v>
      </c>
      <c r="BY74" s="75" t="str">
        <f aca="false">IF(OR($C74="01-04",$C74="05-09",SUM($BW74)=0),"",ROUND($BW74*(1+$BX74),0))</f>
        <v/>
      </c>
    </row>
    <row r="75" customFormat="false" ht="15" hidden="false" customHeight="false" outlineLevel="0" collapsed="false">
      <c r="A75" s="0" t="s">
        <v>143</v>
      </c>
      <c r="B75" s="0" t="s">
        <v>115</v>
      </c>
      <c r="C75" s="0" t="s">
        <v>77</v>
      </c>
      <c r="D75" s="0" t="s">
        <v>56</v>
      </c>
      <c r="E75" s="0" t="str">
        <f aca="false">B75&amp;"|"&amp;C75&amp;"|"&amp;D75</f>
        <v>Butha Buthe [#SNU] [mvPRqBFtVC0]|40-44|Female</v>
      </c>
      <c r="F75" s="118" t="n">
        <f aca="false">_xlfn.IFNA(INDEX(Cascade!$Y:$Y,MATCH($E75,Cascade!$E:$E,0)),"")</f>
        <v>0.93804537521815</v>
      </c>
      <c r="G75" s="73" t="n">
        <f aca="false">_xlfn.IFNA(INDEX(Cascade!$BD:$BD,MATCH($E75,Cascade!$E:$E,0)),"")</f>
        <v>1</v>
      </c>
      <c r="H75" s="73" t="n">
        <f aca="false">_xlfn.IFNA(INDEX(Cascade!$BE:$BE,MATCH($E75,Cascade!$E:$E,0)),"")</f>
        <v>1</v>
      </c>
      <c r="I75" s="73" t="n">
        <f aca="false">_xlfn.IFNA(INDEX(Cascade!$BF:$BF,MATCH($E75,Cascade!$E:$E,0)),"")</f>
        <v>-6720</v>
      </c>
      <c r="J75" s="73" t="str">
        <f aca="false">_xlfn.IFNA(INDEX(Cascade!$BG:$BG,MATCH($E75,Cascade!$E:$E,0)),"")</f>
        <v/>
      </c>
      <c r="K75" s="73" t="n">
        <f aca="false">_xlfn.IFNA(INDEX(Cascade!$BH:$BH,MATCH($E75,Cascade!$E:$E,0)),"")</f>
        <v>-8960</v>
      </c>
      <c r="L75" s="73" t="str">
        <f aca="false">_xlfn.IFNA(INDEX(Cascade!$BI:$BI,MATCH($E75,Cascade!$E:$E,0)),"")</f>
        <v/>
      </c>
      <c r="M75" s="73" t="n">
        <f aca="false">_xlfn.IFNA(INDEX(Cascade!$BK:$BK,MATCH($E75,Cascade!$E:$E,0)),"")</f>
        <v>15680</v>
      </c>
      <c r="N75" s="118"/>
      <c r="O75" s="118"/>
      <c r="P75" s="118"/>
      <c r="Q75" s="75" t="str">
        <f aca="false">IF(OR(SUM($H75)=0,SUM($N75)=0,SUM($O75)=0),"",ROUND($H75*$N75,0))</f>
        <v/>
      </c>
      <c r="R75" s="75" t="str">
        <f aca="false">IF(OR(SUM($Q75)=0,SUM($O75)=0),"",ROUND(SUM($Q75)/SUM($O75),0)-SUM($Q75))</f>
        <v/>
      </c>
      <c r="S75" s="75" t="n">
        <f aca="false">IF(SUM($H75)=0,"",SUM($H75)-SUM($Q75))</f>
        <v>1</v>
      </c>
      <c r="T75" s="75" t="str">
        <f aca="false">IF(OR(SUM($S75)=0,$N75&gt;1,SUM($P75)&lt;=0),"",ROUND($S75/$P75,0)-$S75)</f>
        <v/>
      </c>
      <c r="U75" s="118" t="n">
        <f aca="false">IF(SUM($G75)&lt;=0,"",SUM($Q75,$S75)/$G75)</f>
        <v>1</v>
      </c>
      <c r="V75" s="118" t="str">
        <f aca="false">IF(OR(SUM($Q75)=0,SUM($G75)=0),"",SUM($Q75)/SUM($G75))</f>
        <v/>
      </c>
      <c r="W75" s="118" t="n">
        <f aca="false">IF(OR(SUM($S75)=0,SUM($G75)=0),"",SUM($S75)/SUM($G75))</f>
        <v>1</v>
      </c>
      <c r="X75" s="118" t="n">
        <f aca="false">IF(OR(SUM($G75)=0,SUM($I75)=0),"",SUM($I75)/SUM($G75))</f>
        <v>-6720</v>
      </c>
      <c r="Y75" s="118" t="str">
        <f aca="false">IF(OR(SUM($G75)=0,SUM($J75)=0),"",SUM($J75)/SUM($G75))</f>
        <v/>
      </c>
      <c r="Z75" s="118" t="n">
        <f aca="false">IF(OR(SUM($G75)=0,SUM($K75)=0),"",SUM($K75)/SUM($G75))</f>
        <v>-8960</v>
      </c>
      <c r="AA75" s="118" t="str">
        <f aca="false">IF(OR(SUM($G75)=0,SUM($L75)=0),"",SUM($L75)/SUM($G75))</f>
        <v/>
      </c>
      <c r="AB75" s="118" t="n">
        <v>29</v>
      </c>
      <c r="AC75" s="118"/>
      <c r="AD75" s="118"/>
      <c r="AE75" s="118" t="n">
        <v>29</v>
      </c>
      <c r="AF75" s="118" t="n">
        <v>8</v>
      </c>
      <c r="AG75" s="118" t="n">
        <v>20</v>
      </c>
      <c r="AH75" s="118" t="n">
        <v>50</v>
      </c>
      <c r="AI75" s="118" t="n">
        <v>45</v>
      </c>
      <c r="AJ75" s="118" t="n">
        <v>45</v>
      </c>
      <c r="AK75" s="118" t="n">
        <f aca="false">IF(SUM($G75)&lt;=0,"",SUM($V75:$AJ75))</f>
        <v>-15453</v>
      </c>
      <c r="AL75" s="118" t="n">
        <v>6</v>
      </c>
      <c r="AM75" s="75" t="n">
        <f aca="false">IF(OR(SUM($AB75)&lt;=0,SUM($G75)&lt;=0),"",ROUND($G75*$AB75,0))</f>
        <v>29</v>
      </c>
      <c r="AN75" s="75" t="n">
        <f aca="false">IF(SUM($AM75)&lt;=0,"",IF(SUM($AL75)&lt;=0,"ENTER VALID YIELD!",ROUND($AM75/$AL75,0)-$AM75))</f>
        <v>-24</v>
      </c>
      <c r="AO75" s="118"/>
      <c r="AP75" s="75" t="str">
        <f aca="false">IF(OR(SUM($AC75)&lt;=0,SUM($G75)&lt;=0),"",ROUND($G75*$AC75,0))</f>
        <v/>
      </c>
      <c r="AQ75" s="75" t="str">
        <f aca="false">IF(SUM($AP75)&lt;=0,"",IF(SUM($AO75)&lt;=0,"ENTER VALID YIELD!",ROUND($AP75/$AO75,0)-$AP75))</f>
        <v/>
      </c>
      <c r="AR75" s="118"/>
      <c r="AS75" s="75" t="str">
        <f aca="false">IF(OR(SUM($AD75)&lt;=0,SUM($G75)&lt;=0),"",ROUND($G75*$AD75,0))</f>
        <v/>
      </c>
      <c r="AT75" s="75" t="str">
        <f aca="false">IF(SUM($AS75)&lt;=0,"",IF(SUM($AR75)&lt;=0,"ENTER VALID YIELD!",ROUND($AS75/$AR75,0)-$AS75))</f>
        <v/>
      </c>
      <c r="AU75" s="118"/>
      <c r="AV75" s="75" t="n">
        <f aca="false">IF(OR(SUM($AE75)&lt;=0,SUM($G75)&lt;=0),"",ROUND($G75*$AE75,0))</f>
        <v>29</v>
      </c>
      <c r="AW75" s="75" t="str">
        <f aca="false">IF(SUM($AV75)&lt;=0,"",IF(SUM($AU75)&lt;=0,"ENTER VALID YIELD!",ROUND($AV75/$AU75,0)-$AV75))</f>
        <v>ENTER VALID YIELD!</v>
      </c>
      <c r="AX75" s="118"/>
      <c r="AY75" s="75" t="n">
        <f aca="false">IF(OR(SUM($AF75)&lt;=0,SUM($G75)&lt;=0),"",ROUND($G75*$AF75,0))</f>
        <v>8</v>
      </c>
      <c r="AZ75" s="75" t="str">
        <f aca="false">IF(SUM($AY75)&lt;=0,"",IF(SUM($AX75)&lt;=0,"ENTER VALID YIELD!",ROUND($AY75/$AX75,0)-$AY75))</f>
        <v>ENTER VALID YIELD!</v>
      </c>
      <c r="BA75" s="118" t="n">
        <v>31</v>
      </c>
      <c r="BB75" s="75" t="n">
        <f aca="false">IF(OR(SUM($AG75)&lt;=0,SUM($G75)&lt;=0),"",ROUND($G75*$AG75,0))</f>
        <v>20</v>
      </c>
      <c r="BC75" s="75" t="n">
        <f aca="false">IF(SUM($BB75)&lt;=0,"",IF(SUM($BA75)&lt;=0,"ENTER VALID YIELD!",ROUND($BB75/$BA75,0)-$BB75))</f>
        <v>-19</v>
      </c>
      <c r="BD75" s="118"/>
      <c r="BE75" s="75" t="n">
        <f aca="false">IF(OR(SUM($AH75)&lt;=0,SUM($G75)&lt;=0),"",ROUND($G75*$AH75,0))</f>
        <v>50</v>
      </c>
      <c r="BF75" s="75" t="str">
        <f aca="false">IF(SUM($BE75)&lt;=0,"",IF(SUM($BD75)&lt;=0,"ENTER VALID YIELD!",ROUND($BE75/$BD75,0)-$BE75))</f>
        <v>ENTER VALID YIELD!</v>
      </c>
      <c r="BG75" s="118"/>
      <c r="BH75" s="75" t="n">
        <f aca="false">IF(OR(SUM($AI75)&lt;=0,SUM($G75)&lt;=0),"",ROUND($G75*$AI75,0))</f>
        <v>45</v>
      </c>
      <c r="BI75" s="75" t="str">
        <f aca="false">IF(SUM($BH75)&lt;=0,"",IF(SUM($BG75)&lt;=0,"ENTER VALID YIELD!",ROUND($BH75/$BG75,0)-$BH75))</f>
        <v>ENTER VALID YIELD!</v>
      </c>
      <c r="BJ75" s="118"/>
      <c r="BK75" s="75" t="n">
        <f aca="false">IF(OR(SUM($AJ75)&lt;=0,SUM($G75)&lt;=0),"",ROUND($G75*$AJ75,0))</f>
        <v>45</v>
      </c>
      <c r="BL75" s="75" t="str">
        <f aca="false">IF(SUM($BK75)&lt;=0,"",IF(SUM($BJ75)&lt;=0,"ENTER VALID YIELD!",ROUND($BK75/$BJ75,0)-$BK75))</f>
        <v>ENTER VALID YIELD!</v>
      </c>
      <c r="BM75" s="73" t="n">
        <f aca="false">IF(SUM($G75)&lt;=0,"",$G75)</f>
        <v>1</v>
      </c>
      <c r="BN75" s="73" t="n">
        <f aca="false">IF(SUM($G75)&lt;=0,"",SUM($I75:$L75,$Q75,$S75,$AM75,$AP75,$AS75,$AV75,$AY75,$BB75,$BE75,$BH75,$BK75))</f>
        <v>-15453</v>
      </c>
      <c r="BO75" s="73" t="n">
        <f aca="false">IF(AND(SUM($BN75)&lt;=0,SUM($BM75)&lt;=0),"",SUM($BN75)-SUM($BM75))</f>
        <v>-15454</v>
      </c>
      <c r="BP75" s="73" t="n">
        <f aca="false">_xlfn.IFNA(INDEX(PMTCT!$AF:$AF,MATCH($E75,PMTCT!$E:$E,0)),"")</f>
        <v>6480</v>
      </c>
      <c r="BQ75" s="73" t="str">
        <f aca="false">_xlfn.IFNA(INDEX(PMTCT!$AV:$AV,MATCH($E75,PMTCT!$E:$E,0)),"")</f>
        <v/>
      </c>
      <c r="BR75" s="73" t="n">
        <f aca="false">_xlfn.IFNA(INDEX(TB!$R:$R,MATCH($E75,TB!$E:$E,0)),"")</f>
        <v>8320</v>
      </c>
      <c r="BS75" s="73" t="str">
        <f aca="false">_xlfn.IFNA(INDEX(VMMC!$AD:$AD,MATCH($E75,VMMC!$E:$E,0)),"")</f>
        <v/>
      </c>
      <c r="BT75" s="73" t="n">
        <f aca="false">IF(SUM($R75,$T75,$AN75,$AQ75,$AT75,$AW75,$AZ75,$BC75,$BF75,$BI75,$BL75,$BP75:$BS75)=0,"",SUM($R75,$T75,$AN75,$AQ75,$AT75,$AW75,$AZ75,$BC75,$BF75,$BI75,$BL75,$BP75:$BS75))</f>
        <v>14757</v>
      </c>
      <c r="BU75" s="73" t="n">
        <f aca="false">IF(OR(SUM($BT75)=0,SUM($BN75)=0),"",SUM($BT75,$BN75))</f>
        <v>-696</v>
      </c>
      <c r="BV75" s="118" t="n">
        <f aca="false">IF(SUM($BU75)=0,"",SUM($BN75)/$BU75)</f>
        <v>22.2025862068965</v>
      </c>
      <c r="BW75" s="73"/>
      <c r="BX75" s="118" t="n">
        <f aca="false">IF(OR($C75="01-04",$C75="05-09"),"",0%)</f>
        <v>0</v>
      </c>
      <c r="BY75" s="75" t="str">
        <f aca="false">IF(OR($C75="01-04",$C75="05-09",SUM($BW75)=0),"",ROUND($BW75*(1+$BX75),0))</f>
        <v/>
      </c>
    </row>
    <row r="76" customFormat="false" ht="15" hidden="false" customHeight="false" outlineLevel="0" collapsed="false">
      <c r="A76" s="0" t="s">
        <v>143</v>
      </c>
      <c r="B76" s="0" t="s">
        <v>115</v>
      </c>
      <c r="C76" s="0" t="s">
        <v>77</v>
      </c>
      <c r="D76" s="0" t="s">
        <v>58</v>
      </c>
      <c r="E76" s="0" t="str">
        <f aca="false">B76&amp;"|"&amp;C76&amp;"|"&amp;D76</f>
        <v>Butha Buthe [#SNU] [mvPRqBFtVC0]|40-44|Male</v>
      </c>
      <c r="F76" s="118" t="n">
        <f aca="false">_xlfn.IFNA(INDEX(Cascade!$Y:$Y,MATCH($E76,Cascade!$E:$E,0)),"")</f>
        <v>0.697601668404588</v>
      </c>
      <c r="G76" s="73" t="n">
        <f aca="false">_xlfn.IFNA(INDEX(Cascade!$BD:$BD,MATCH($E76,Cascade!$E:$E,0)),"")</f>
        <v>15</v>
      </c>
      <c r="H76" s="73" t="n">
        <f aca="false">_xlfn.IFNA(INDEX(Cascade!$BE:$BE,MATCH($E76,Cascade!$E:$E,0)),"")</f>
        <v>5</v>
      </c>
      <c r="I76" s="73" t="str">
        <f aca="false">_xlfn.IFNA(INDEX(Cascade!$BF:$BF,MATCH($E76,Cascade!$E:$E,0)),"")</f>
        <v/>
      </c>
      <c r="J76" s="73" t="str">
        <f aca="false">_xlfn.IFNA(INDEX(Cascade!$BG:$BG,MATCH($E76,Cascade!$E:$E,0)),"")</f>
        <v/>
      </c>
      <c r="K76" s="73" t="n">
        <f aca="false">_xlfn.IFNA(INDEX(Cascade!$BH:$BH,MATCH($E76,Cascade!$E:$E,0)),"")</f>
        <v>-18816</v>
      </c>
      <c r="L76" s="73" t="str">
        <f aca="false">_xlfn.IFNA(INDEX(Cascade!$BI:$BI,MATCH($E76,Cascade!$E:$E,0)),"")</f>
        <v/>
      </c>
      <c r="M76" s="73" t="n">
        <f aca="false">_xlfn.IFNA(INDEX(Cascade!$BK:$BK,MATCH($E76,Cascade!$E:$E,0)),"")</f>
        <v>18826</v>
      </c>
      <c r="N76" s="118" t="n">
        <v>12</v>
      </c>
      <c r="O76" s="118"/>
      <c r="P76" s="118" t="n">
        <v>27</v>
      </c>
      <c r="Q76" s="75" t="str">
        <f aca="false">IF(OR(SUM($H76)=0,SUM($N76)=0,SUM($O76)=0),"",ROUND($H76*$N76,0))</f>
        <v/>
      </c>
      <c r="R76" s="75" t="str">
        <f aca="false">IF(OR(SUM($Q76)=0,SUM($O76)=0),"",ROUND(SUM($Q76)/SUM($O76),0)-SUM($Q76))</f>
        <v/>
      </c>
      <c r="S76" s="75" t="n">
        <f aca="false">IF(SUM($H76)=0,"",SUM($H76)-SUM($Q76))</f>
        <v>5</v>
      </c>
      <c r="T76" s="75" t="str">
        <f aca="false">IF(OR(SUM($S76)=0,$N76&gt;1,SUM($P76)&lt;=0),"",ROUND($S76/$P76,0)-$S76)</f>
        <v/>
      </c>
      <c r="U76" s="118" t="n">
        <f aca="false">IF(SUM($G76)&lt;=0,"",SUM($Q76,$S76)/$G76)</f>
        <v>0.333333333333333</v>
      </c>
      <c r="V76" s="118" t="str">
        <f aca="false">IF(OR(SUM($Q76)=0,SUM($G76)=0),"",SUM($Q76)/SUM($G76))</f>
        <v/>
      </c>
      <c r="W76" s="118" t="n">
        <f aca="false">IF(OR(SUM($S76)=0,SUM($G76)=0),"",SUM($S76)/SUM($G76))</f>
        <v>0.333333333333333</v>
      </c>
      <c r="X76" s="118" t="str">
        <f aca="false">IF(OR(SUM($G76)=0,SUM($I76)=0),"",SUM($I76)/SUM($G76))</f>
        <v/>
      </c>
      <c r="Y76" s="118" t="str">
        <f aca="false">IF(OR(SUM($G76)=0,SUM($J76)=0),"",SUM($J76)/SUM($G76))</f>
        <v/>
      </c>
      <c r="Z76" s="118" t="n">
        <f aca="false">IF(OR(SUM($G76)=0,SUM($K76)=0),"",SUM($K76)/SUM($G76))</f>
        <v>-1254.4</v>
      </c>
      <c r="AA76" s="118" t="str">
        <f aca="false">IF(OR(SUM($G76)=0,SUM($L76)=0),"",SUM($L76)/SUM($G76))</f>
        <v/>
      </c>
      <c r="AB76" s="118" t="n">
        <v>0</v>
      </c>
      <c r="AC76" s="118"/>
      <c r="AD76" s="118"/>
      <c r="AE76" s="118" t="n">
        <v>1</v>
      </c>
      <c r="AF76" s="118" t="n">
        <v>41</v>
      </c>
      <c r="AG76" s="118" t="n">
        <v>2</v>
      </c>
      <c r="AH76" s="118" t="n">
        <v>49</v>
      </c>
      <c r="AI76" s="118" t="n">
        <v>12</v>
      </c>
      <c r="AJ76" s="118" t="n">
        <v>48</v>
      </c>
      <c r="AK76" s="118" t="n">
        <f aca="false">IF(SUM($G76)&lt;=0,"",SUM($V76:$AJ76))</f>
        <v>-1101.06666666667</v>
      </c>
      <c r="AL76" s="118" t="n">
        <v>19</v>
      </c>
      <c r="AM76" s="75" t="str">
        <f aca="false">IF(OR(SUM($AB76)&lt;=0,SUM($G76)&lt;=0),"",ROUND($G76*$AB76,0))</f>
        <v/>
      </c>
      <c r="AN76" s="75" t="str">
        <f aca="false">IF(SUM($AM76)&lt;=0,"",IF(SUM($AL76)&lt;=0,"ENTER VALID YIELD!",ROUND($AM76/$AL76,0)-$AM76))</f>
        <v/>
      </c>
      <c r="AO76" s="118"/>
      <c r="AP76" s="75" t="str">
        <f aca="false">IF(OR(SUM($AC76)&lt;=0,SUM($G76)&lt;=0),"",ROUND($G76*$AC76,0))</f>
        <v/>
      </c>
      <c r="AQ76" s="75" t="str">
        <f aca="false">IF(SUM($AP76)&lt;=0,"",IF(SUM($AO76)&lt;=0,"ENTER VALID YIELD!",ROUND($AP76/$AO76,0)-$AP76))</f>
        <v/>
      </c>
      <c r="AR76" s="118"/>
      <c r="AS76" s="75" t="str">
        <f aca="false">IF(OR(SUM($AD76)&lt;=0,SUM($G76)&lt;=0),"",ROUND($G76*$AD76,0))</f>
        <v/>
      </c>
      <c r="AT76" s="75" t="str">
        <f aca="false">IF(SUM($AS76)&lt;=0,"",IF(SUM($AR76)&lt;=0,"ENTER VALID YIELD!",ROUND($AS76/$AR76,0)-$AS76))</f>
        <v/>
      </c>
      <c r="AU76" s="118"/>
      <c r="AV76" s="75" t="n">
        <f aca="false">IF(OR(SUM($AE76)&lt;=0,SUM($G76)&lt;=0),"",ROUND($G76*$AE76,0))</f>
        <v>15</v>
      </c>
      <c r="AW76" s="75" t="str">
        <f aca="false">IF(SUM($AV76)&lt;=0,"",IF(SUM($AU76)&lt;=0,"ENTER VALID YIELD!",ROUND($AV76/$AU76,0)-$AV76))</f>
        <v>ENTER VALID YIELD!</v>
      </c>
      <c r="AX76" s="118"/>
      <c r="AY76" s="75" t="n">
        <f aca="false">IF(OR(SUM($AF76)&lt;=0,SUM($G76)&lt;=0),"",ROUND($G76*$AF76,0))</f>
        <v>615</v>
      </c>
      <c r="AZ76" s="75" t="str">
        <f aca="false">IF(SUM($AY76)&lt;=0,"",IF(SUM($AX76)&lt;=0,"ENTER VALID YIELD!",ROUND($AY76/$AX76,0)-$AY76))</f>
        <v>ENTER VALID YIELD!</v>
      </c>
      <c r="BA76" s="118" t="n">
        <v>47</v>
      </c>
      <c r="BB76" s="75" t="n">
        <f aca="false">IF(OR(SUM($AG76)&lt;=0,SUM($G76)&lt;=0),"",ROUND($G76*$AG76,0))</f>
        <v>30</v>
      </c>
      <c r="BC76" s="75" t="n">
        <f aca="false">IF(SUM($BB76)&lt;=0,"",IF(SUM($BA76)&lt;=0,"ENTER VALID YIELD!",ROUND($BB76/$BA76,0)-$BB76))</f>
        <v>-29</v>
      </c>
      <c r="BD76" s="118"/>
      <c r="BE76" s="75" t="n">
        <f aca="false">IF(OR(SUM($AH76)&lt;=0,SUM($G76)&lt;=0),"",ROUND($G76*$AH76,0))</f>
        <v>735</v>
      </c>
      <c r="BF76" s="75" t="str">
        <f aca="false">IF(SUM($BE76)&lt;=0,"",IF(SUM($BD76)&lt;=0,"ENTER VALID YIELD!",ROUND($BE76/$BD76,0)-$BE76))</f>
        <v>ENTER VALID YIELD!</v>
      </c>
      <c r="BG76" s="118"/>
      <c r="BH76" s="75" t="n">
        <f aca="false">IF(OR(SUM($AI76)&lt;=0,SUM($G76)&lt;=0),"",ROUND($G76*$AI76,0))</f>
        <v>180</v>
      </c>
      <c r="BI76" s="75" t="str">
        <f aca="false">IF(SUM($BH76)&lt;=0,"",IF(SUM($BG76)&lt;=0,"ENTER VALID YIELD!",ROUND($BH76/$BG76,0)-$BH76))</f>
        <v>ENTER VALID YIELD!</v>
      </c>
      <c r="BJ76" s="118"/>
      <c r="BK76" s="75" t="n">
        <f aca="false">IF(OR(SUM($AJ76)&lt;=0,SUM($G76)&lt;=0),"",ROUND($G76*$AJ76,0))</f>
        <v>720</v>
      </c>
      <c r="BL76" s="75" t="str">
        <f aca="false">IF(SUM($BK76)&lt;=0,"",IF(SUM($BJ76)&lt;=0,"ENTER VALID YIELD!",ROUND($BK76/$BJ76,0)-$BK76))</f>
        <v>ENTER VALID YIELD!</v>
      </c>
      <c r="BM76" s="73" t="n">
        <f aca="false">IF(SUM($G76)&lt;=0,"",$G76)</f>
        <v>15</v>
      </c>
      <c r="BN76" s="73" t="n">
        <f aca="false">IF(SUM($G76)&lt;=0,"",SUM($I76:$L76,$Q76,$S76,$AM76,$AP76,$AS76,$AV76,$AY76,$BB76,$BE76,$BH76,$BK76))</f>
        <v>-16516</v>
      </c>
      <c r="BO76" s="73" t="n">
        <f aca="false">IF(AND(SUM($BN76)&lt;=0,SUM($BM76)&lt;=0),"",SUM($BN76)-SUM($BM76))</f>
        <v>-16531</v>
      </c>
      <c r="BP76" s="73" t="str">
        <f aca="false">_xlfn.IFNA(INDEX(PMTCT!$AF:$AF,MATCH($E76,PMTCT!$E:$E,0)),"")</f>
        <v/>
      </c>
      <c r="BQ76" s="73" t="str">
        <f aca="false">_xlfn.IFNA(INDEX(PMTCT!$AV:$AV,MATCH($E76,PMTCT!$E:$E,0)),"")</f>
        <v/>
      </c>
      <c r="BR76" s="73" t="n">
        <f aca="false">_xlfn.IFNA(INDEX(TB!$R:$R,MATCH($E76,TB!$E:$E,0)),"")</f>
        <v>18228</v>
      </c>
      <c r="BS76" s="73" t="str">
        <f aca="false">_xlfn.IFNA(INDEX(VMMC!$AD:$AD,MATCH($E76,VMMC!$E:$E,0)),"")</f>
        <v/>
      </c>
      <c r="BT76" s="73" t="n">
        <f aca="false">IF(SUM($R76,$T76,$AN76,$AQ76,$AT76,$AW76,$AZ76,$BC76,$BF76,$BI76,$BL76,$BP76:$BS76)=0,"",SUM($R76,$T76,$AN76,$AQ76,$AT76,$AW76,$AZ76,$BC76,$BF76,$BI76,$BL76,$BP76:$BS76))</f>
        <v>18199</v>
      </c>
      <c r="BU76" s="73" t="n">
        <f aca="false">IF(OR(SUM($BT76)=0,SUM($BN76)=0),"",SUM($BT76,$BN76))</f>
        <v>1683</v>
      </c>
      <c r="BV76" s="118" t="n">
        <f aca="false">IF(SUM($BU76)=0,"",SUM($BN76)/$BU76)</f>
        <v>-9.8134284016637</v>
      </c>
      <c r="BW76" s="73"/>
      <c r="BX76" s="118" t="n">
        <f aca="false">IF(OR($C76="01-04",$C76="05-09"),"",0%)</f>
        <v>0</v>
      </c>
      <c r="BY76" s="75" t="str">
        <f aca="false">IF(OR($C76="01-04",$C76="05-09",SUM($BW76)=0),"",ROUND($BW76*(1+$BX76),0))</f>
        <v/>
      </c>
    </row>
    <row r="77" customFormat="false" ht="15" hidden="false" customHeight="false" outlineLevel="0" collapsed="false">
      <c r="A77" s="0" t="s">
        <v>143</v>
      </c>
      <c r="B77" s="0" t="s">
        <v>115</v>
      </c>
      <c r="C77" s="0" t="s">
        <v>80</v>
      </c>
      <c r="D77" s="0" t="s">
        <v>56</v>
      </c>
      <c r="E77" s="0" t="str">
        <f aca="false">B77&amp;"|"&amp;C77&amp;"|"&amp;D77</f>
        <v>Butha Buthe [#SNU] [mvPRqBFtVC0]|45-49|Female</v>
      </c>
      <c r="F77" s="118" t="n">
        <f aca="false">_xlfn.IFNA(INDEX(Cascade!$Y:$Y,MATCH($E77,Cascade!$E:$E,0)),"")</f>
        <v>0.988331388564761</v>
      </c>
      <c r="G77" s="73" t="n">
        <f aca="false">_xlfn.IFNA(INDEX(Cascade!$BD:$BD,MATCH($E77,Cascade!$E:$E,0)),"")</f>
        <v>1</v>
      </c>
      <c r="H77" s="73" t="n">
        <f aca="false">_xlfn.IFNA(INDEX(Cascade!$BE:$BE,MATCH($E77,Cascade!$E:$E,0)),"")</f>
        <v>1</v>
      </c>
      <c r="I77" s="73" t="n">
        <f aca="false">_xlfn.IFNA(INDEX(Cascade!$BF:$BF,MATCH($E77,Cascade!$E:$E,0)),"")</f>
        <v>-0</v>
      </c>
      <c r="J77" s="73" t="str">
        <f aca="false">_xlfn.IFNA(INDEX(Cascade!$BG:$BG,MATCH($E77,Cascade!$E:$E,0)),"")</f>
        <v/>
      </c>
      <c r="K77" s="73" t="n">
        <f aca="false">_xlfn.IFNA(INDEX(Cascade!$BH:$BH,MATCH($E77,Cascade!$E:$E,0)),"")</f>
        <v>0</v>
      </c>
      <c r="L77" s="73" t="str">
        <f aca="false">_xlfn.IFNA(INDEX(Cascade!$BI:$BI,MATCH($E77,Cascade!$E:$E,0)),"")</f>
        <v/>
      </c>
      <c r="M77" s="73" t="n">
        <f aca="false">_xlfn.IFNA(INDEX(Cascade!$BK:$BK,MATCH($E77,Cascade!$E:$E,0)),"")</f>
        <v>0</v>
      </c>
      <c r="N77" s="118"/>
      <c r="O77" s="118"/>
      <c r="P77" s="118"/>
      <c r="Q77" s="75" t="str">
        <f aca="false">IF(OR(SUM($H77)=0,SUM($N77)=0,SUM($O77)=0),"",ROUND($H77*$N77,0))</f>
        <v/>
      </c>
      <c r="R77" s="75" t="str">
        <f aca="false">IF(OR(SUM($Q77)=0,SUM($O77)=0),"",ROUND(SUM($Q77)/SUM($O77),0)-SUM($Q77))</f>
        <v/>
      </c>
      <c r="S77" s="75" t="n">
        <f aca="false">IF(SUM($H77)=0,"",SUM($H77)-SUM($Q77))</f>
        <v>1</v>
      </c>
      <c r="T77" s="75" t="str">
        <f aca="false">IF(OR(SUM($S77)=0,$N77&gt;1,SUM($P77)&lt;=0),"",ROUND($S77/$P77,0)-$S77)</f>
        <v/>
      </c>
      <c r="U77" s="118" t="n">
        <f aca="false">IF(SUM($G77)&lt;=0,"",SUM($Q77,$S77)/$G77)</f>
        <v>1</v>
      </c>
      <c r="V77" s="118" t="str">
        <f aca="false">IF(OR(SUM($Q77)=0,SUM($G77)=0),"",SUM($Q77)/SUM($G77))</f>
        <v/>
      </c>
      <c r="W77" s="118" t="n">
        <f aca="false">IF(OR(SUM($S77)=0,SUM($G77)=0),"",SUM($S77)/SUM($G77))</f>
        <v>1</v>
      </c>
      <c r="X77" s="118" t="str">
        <f aca="false">IF(OR(SUM($G77)=0,SUM($I77)=0),"",SUM($I77)/SUM($G77))</f>
        <v/>
      </c>
      <c r="Y77" s="118" t="str">
        <f aca="false">IF(OR(SUM($G77)=0,SUM($J77)=0),"",SUM($J77)/SUM($G77))</f>
        <v/>
      </c>
      <c r="Z77" s="118" t="str">
        <f aca="false">IF(OR(SUM($G77)=0,SUM($K77)=0),"",SUM($K77)/SUM($G77))</f>
        <v/>
      </c>
      <c r="AA77" s="118" t="str">
        <f aca="false">IF(OR(SUM($G77)=0,SUM($L77)=0),"",SUM($L77)/SUM($G77))</f>
        <v/>
      </c>
      <c r="AB77" s="118" t="n">
        <v>19</v>
      </c>
      <c r="AC77" s="118"/>
      <c r="AD77" s="118"/>
      <c r="AE77" s="118" t="n">
        <v>9</v>
      </c>
      <c r="AF77" s="118" t="n">
        <v>7</v>
      </c>
      <c r="AG77" s="118" t="n">
        <v>9</v>
      </c>
      <c r="AH77" s="118" t="n">
        <v>15</v>
      </c>
      <c r="AI77" s="118" t="n">
        <v>7</v>
      </c>
      <c r="AJ77" s="118" t="n">
        <v>45</v>
      </c>
      <c r="AK77" s="118" t="n">
        <f aca="false">IF(SUM($G77)&lt;=0,"",SUM($V77:$AJ77))</f>
        <v>112</v>
      </c>
      <c r="AL77" s="118" t="n">
        <v>8</v>
      </c>
      <c r="AM77" s="75" t="n">
        <f aca="false">IF(OR(SUM($AB77)&lt;=0,SUM($G77)&lt;=0),"",ROUND($G77*$AB77,0))</f>
        <v>19</v>
      </c>
      <c r="AN77" s="75" t="n">
        <f aca="false">IF(SUM($AM77)&lt;=0,"",IF(SUM($AL77)&lt;=0,"ENTER VALID YIELD!",ROUND($AM77/$AL77,0)-$AM77))</f>
        <v>-17</v>
      </c>
      <c r="AO77" s="118"/>
      <c r="AP77" s="75" t="str">
        <f aca="false">IF(OR(SUM($AC77)&lt;=0,SUM($G77)&lt;=0),"",ROUND($G77*$AC77,0))</f>
        <v/>
      </c>
      <c r="AQ77" s="75" t="str">
        <f aca="false">IF(SUM($AP77)&lt;=0,"",IF(SUM($AO77)&lt;=0,"ENTER VALID YIELD!",ROUND($AP77/$AO77,0)-$AP77))</f>
        <v/>
      </c>
      <c r="AR77" s="118"/>
      <c r="AS77" s="75" t="str">
        <f aca="false">IF(OR(SUM($AD77)&lt;=0,SUM($G77)&lt;=0),"",ROUND($G77*$AD77,0))</f>
        <v/>
      </c>
      <c r="AT77" s="75" t="str">
        <f aca="false">IF(SUM($AS77)&lt;=0,"",IF(SUM($AR77)&lt;=0,"ENTER VALID YIELD!",ROUND($AS77/$AR77,0)-$AS77))</f>
        <v/>
      </c>
      <c r="AU77" s="118"/>
      <c r="AV77" s="75" t="n">
        <f aca="false">IF(OR(SUM($AE77)&lt;=0,SUM($G77)&lt;=0),"",ROUND($G77*$AE77,0))</f>
        <v>9</v>
      </c>
      <c r="AW77" s="75" t="str">
        <f aca="false">IF(SUM($AV77)&lt;=0,"",IF(SUM($AU77)&lt;=0,"ENTER VALID YIELD!",ROUND($AV77/$AU77,0)-$AV77))</f>
        <v>ENTER VALID YIELD!</v>
      </c>
      <c r="AX77" s="118"/>
      <c r="AY77" s="75" t="n">
        <f aca="false">IF(OR(SUM($AF77)&lt;=0,SUM($G77)&lt;=0),"",ROUND($G77*$AF77,0))</f>
        <v>7</v>
      </c>
      <c r="AZ77" s="75" t="str">
        <f aca="false">IF(SUM($AY77)&lt;=0,"",IF(SUM($AX77)&lt;=0,"ENTER VALID YIELD!",ROUND($AY77/$AX77,0)-$AY77))</f>
        <v>ENTER VALID YIELD!</v>
      </c>
      <c r="BA77" s="118" t="n">
        <v>3</v>
      </c>
      <c r="BB77" s="75" t="n">
        <f aca="false">IF(OR(SUM($AG77)&lt;=0,SUM($G77)&lt;=0),"",ROUND($G77*$AG77,0))</f>
        <v>9</v>
      </c>
      <c r="BC77" s="75" t="n">
        <f aca="false">IF(SUM($BB77)&lt;=0,"",IF(SUM($BA77)&lt;=0,"ENTER VALID YIELD!",ROUND($BB77/$BA77,0)-$BB77))</f>
        <v>-6</v>
      </c>
      <c r="BD77" s="118"/>
      <c r="BE77" s="75" t="n">
        <f aca="false">IF(OR(SUM($AH77)&lt;=0,SUM($G77)&lt;=0),"",ROUND($G77*$AH77,0))</f>
        <v>15</v>
      </c>
      <c r="BF77" s="75" t="str">
        <f aca="false">IF(SUM($BE77)&lt;=0,"",IF(SUM($BD77)&lt;=0,"ENTER VALID YIELD!",ROUND($BE77/$BD77,0)-$BE77))</f>
        <v>ENTER VALID YIELD!</v>
      </c>
      <c r="BG77" s="118"/>
      <c r="BH77" s="75" t="n">
        <f aca="false">IF(OR(SUM($AI77)&lt;=0,SUM($G77)&lt;=0),"",ROUND($G77*$AI77,0))</f>
        <v>7</v>
      </c>
      <c r="BI77" s="75" t="str">
        <f aca="false">IF(SUM($BH77)&lt;=0,"",IF(SUM($BG77)&lt;=0,"ENTER VALID YIELD!",ROUND($BH77/$BG77,0)-$BH77))</f>
        <v>ENTER VALID YIELD!</v>
      </c>
      <c r="BJ77" s="118"/>
      <c r="BK77" s="75" t="n">
        <f aca="false">IF(OR(SUM($AJ77)&lt;=0,SUM($G77)&lt;=0),"",ROUND($G77*$AJ77,0))</f>
        <v>45</v>
      </c>
      <c r="BL77" s="75" t="str">
        <f aca="false">IF(SUM($BK77)&lt;=0,"",IF(SUM($BJ77)&lt;=0,"ENTER VALID YIELD!",ROUND($BK77/$BJ77,0)-$BK77))</f>
        <v>ENTER VALID YIELD!</v>
      </c>
      <c r="BM77" s="73" t="n">
        <f aca="false">IF(SUM($G77)&lt;=0,"",$G77)</f>
        <v>1</v>
      </c>
      <c r="BN77" s="73" t="n">
        <f aca="false">IF(SUM($G77)&lt;=0,"",SUM($I77:$L77,$Q77,$S77,$AM77,$AP77,$AS77,$AV77,$AY77,$BB77,$BE77,$BH77,$BK77))</f>
        <v>112</v>
      </c>
      <c r="BO77" s="73" t="n">
        <f aca="false">IF(AND(SUM($BN77)&lt;=0,SUM($BM77)&lt;=0),"",SUM($BN77)-SUM($BM77))</f>
        <v>111</v>
      </c>
      <c r="BP77" s="73" t="n">
        <f aca="false">_xlfn.IFNA(INDEX(PMTCT!$AF:$AF,MATCH($E77,PMTCT!$E:$E,0)),"")</f>
        <v>-416</v>
      </c>
      <c r="BQ77" s="73" t="str">
        <f aca="false">_xlfn.IFNA(INDEX(PMTCT!$AV:$AV,MATCH($E77,PMTCT!$E:$E,0)),"")</f>
        <v/>
      </c>
      <c r="BR77" s="73" t="n">
        <f aca="false">_xlfn.IFNA(INDEX(TB!$R:$R,MATCH($E77,TB!$E:$E,0)),"")</f>
        <v>8</v>
      </c>
      <c r="BS77" s="73" t="str">
        <f aca="false">_xlfn.IFNA(INDEX(VMMC!$AD:$AD,MATCH($E77,VMMC!$E:$E,0)),"")</f>
        <v/>
      </c>
      <c r="BT77" s="73" t="n">
        <f aca="false">IF(SUM($R77,$T77,$AN77,$AQ77,$AT77,$AW77,$AZ77,$BC77,$BF77,$BI77,$BL77,$BP77:$BS77)=0,"",SUM($R77,$T77,$AN77,$AQ77,$AT77,$AW77,$AZ77,$BC77,$BF77,$BI77,$BL77,$BP77:$BS77))</f>
        <v>-431</v>
      </c>
      <c r="BU77" s="73" t="n">
        <f aca="false">IF(OR(SUM($BT77)=0,SUM($BN77)=0),"",SUM($BT77,$BN77))</f>
        <v>-319</v>
      </c>
      <c r="BV77" s="118" t="n">
        <f aca="false">IF(SUM($BU77)=0,"",SUM($BN77)/$BU77)</f>
        <v>-0.351097178683386</v>
      </c>
      <c r="BW77" s="73"/>
      <c r="BX77" s="118" t="n">
        <f aca="false">IF(OR($C77="01-04",$C77="05-09"),"",0%)</f>
        <v>0</v>
      </c>
      <c r="BY77" s="75" t="str">
        <f aca="false">IF(OR($C77="01-04",$C77="05-09",SUM($BW77)=0),"",ROUND($BW77*(1+$BX77),0))</f>
        <v/>
      </c>
    </row>
    <row r="78" customFormat="false" ht="15" hidden="false" customHeight="false" outlineLevel="0" collapsed="false">
      <c r="A78" s="0" t="s">
        <v>143</v>
      </c>
      <c r="B78" s="0" t="s">
        <v>115</v>
      </c>
      <c r="C78" s="0" t="s">
        <v>80</v>
      </c>
      <c r="D78" s="0" t="s">
        <v>58</v>
      </c>
      <c r="E78" s="0" t="str">
        <f aca="false">B78&amp;"|"&amp;C78&amp;"|"&amp;D78</f>
        <v>Butha Buthe [#SNU] [mvPRqBFtVC0]|45-49|Male</v>
      </c>
      <c r="F78" s="118" t="n">
        <f aca="false">_xlfn.IFNA(INDEX(Cascade!$Y:$Y,MATCH($E78,Cascade!$E:$E,0)),"")</f>
        <v>0.72299872935197</v>
      </c>
      <c r="G78" s="73" t="n">
        <f aca="false">_xlfn.IFNA(INDEX(Cascade!$BD:$BD,MATCH($E78,Cascade!$E:$E,0)),"")</f>
        <v>3</v>
      </c>
      <c r="H78" s="73" t="n">
        <f aca="false">_xlfn.IFNA(INDEX(Cascade!$BE:$BE,MATCH($E78,Cascade!$E:$E,0)),"")</f>
        <v>2</v>
      </c>
      <c r="I78" s="73" t="str">
        <f aca="false">_xlfn.IFNA(INDEX(Cascade!$BF:$BF,MATCH($E78,Cascade!$E:$E,0)),"")</f>
        <v/>
      </c>
      <c r="J78" s="73" t="str">
        <f aca="false">_xlfn.IFNA(INDEX(Cascade!$BG:$BG,MATCH($E78,Cascade!$E:$E,0)),"")</f>
        <v/>
      </c>
      <c r="K78" s="73" t="n">
        <f aca="false">_xlfn.IFNA(INDEX(Cascade!$BH:$BH,MATCH($E78,Cascade!$E:$E,0)),"")</f>
        <v>-17640</v>
      </c>
      <c r="L78" s="73" t="str">
        <f aca="false">_xlfn.IFNA(INDEX(Cascade!$BI:$BI,MATCH($E78,Cascade!$E:$E,0)),"")</f>
        <v/>
      </c>
      <c r="M78" s="73" t="n">
        <f aca="false">_xlfn.IFNA(INDEX(Cascade!$BK:$BK,MATCH($E78,Cascade!$E:$E,0)),"")</f>
        <v>17641</v>
      </c>
      <c r="N78" s="118" t="n">
        <v>26</v>
      </c>
      <c r="O78" s="118"/>
      <c r="P78" s="118" t="n">
        <v>33</v>
      </c>
      <c r="Q78" s="75" t="str">
        <f aca="false">IF(OR(SUM($H78)=0,SUM($N78)=0,SUM($O78)=0),"",ROUND($H78*$N78,0))</f>
        <v/>
      </c>
      <c r="R78" s="75" t="str">
        <f aca="false">IF(OR(SUM($Q78)=0,SUM($O78)=0),"",ROUND(SUM($Q78)/SUM($O78),0)-SUM($Q78))</f>
        <v/>
      </c>
      <c r="S78" s="75" t="n">
        <f aca="false">IF(SUM($H78)=0,"",SUM($H78)-SUM($Q78))</f>
        <v>2</v>
      </c>
      <c r="T78" s="75" t="str">
        <f aca="false">IF(OR(SUM($S78)=0,$N78&gt;1,SUM($P78)&lt;=0),"",ROUND($S78/$P78,0)-$S78)</f>
        <v/>
      </c>
      <c r="U78" s="118" t="n">
        <f aca="false">IF(SUM($G78)&lt;=0,"",SUM($Q78,$S78)/$G78)</f>
        <v>0.666666666666667</v>
      </c>
      <c r="V78" s="118" t="str">
        <f aca="false">IF(OR(SUM($Q78)=0,SUM($G78)=0),"",SUM($Q78)/SUM($G78))</f>
        <v/>
      </c>
      <c r="W78" s="118" t="n">
        <f aca="false">IF(OR(SUM($S78)=0,SUM($G78)=0),"",SUM($S78)/SUM($G78))</f>
        <v>0.666666666666667</v>
      </c>
      <c r="X78" s="118" t="str">
        <f aca="false">IF(OR(SUM($G78)=0,SUM($I78)=0),"",SUM($I78)/SUM($G78))</f>
        <v/>
      </c>
      <c r="Y78" s="118" t="str">
        <f aca="false">IF(OR(SUM($G78)=0,SUM($J78)=0),"",SUM($J78)/SUM($G78))</f>
        <v/>
      </c>
      <c r="Z78" s="118" t="n">
        <f aca="false">IF(OR(SUM($G78)=0,SUM($K78)=0),"",SUM($K78)/SUM($G78))</f>
        <v>-5880</v>
      </c>
      <c r="AA78" s="118" t="str">
        <f aca="false">IF(OR(SUM($G78)=0,SUM($L78)=0),"",SUM($L78)/SUM($G78))</f>
        <v/>
      </c>
      <c r="AB78" s="118" t="n">
        <v>41</v>
      </c>
      <c r="AC78" s="118"/>
      <c r="AD78" s="118"/>
      <c r="AE78" s="118" t="n">
        <v>3</v>
      </c>
      <c r="AF78" s="118" t="n">
        <v>13</v>
      </c>
      <c r="AG78" s="118" t="n">
        <v>24</v>
      </c>
      <c r="AH78" s="118" t="n">
        <v>23</v>
      </c>
      <c r="AI78" s="118" t="n">
        <v>23</v>
      </c>
      <c r="AJ78" s="118" t="n">
        <v>17</v>
      </c>
      <c r="AK78" s="118" t="n">
        <f aca="false">IF(SUM($G78)&lt;=0,"",SUM($V78:$AJ78))</f>
        <v>-5735.33333333333</v>
      </c>
      <c r="AL78" s="118"/>
      <c r="AM78" s="75" t="n">
        <f aca="false">IF(OR(SUM($AB78)&lt;=0,SUM($G78)&lt;=0),"",ROUND($G78*$AB78,0))</f>
        <v>123</v>
      </c>
      <c r="AN78" s="75" t="str">
        <f aca="false">IF(SUM($AM78)&lt;=0,"",IF(SUM($AL78)&lt;=0,"ENTER VALID YIELD!",ROUND($AM78/$AL78,0)-$AM78))</f>
        <v>ENTER VALID YIELD!</v>
      </c>
      <c r="AO78" s="118"/>
      <c r="AP78" s="75" t="str">
        <f aca="false">IF(OR(SUM($AC78)&lt;=0,SUM($G78)&lt;=0),"",ROUND($G78*$AC78,0))</f>
        <v/>
      </c>
      <c r="AQ78" s="75" t="str">
        <f aca="false">IF(SUM($AP78)&lt;=0,"",IF(SUM($AO78)&lt;=0,"ENTER VALID YIELD!",ROUND($AP78/$AO78,0)-$AP78))</f>
        <v/>
      </c>
      <c r="AR78" s="118"/>
      <c r="AS78" s="75" t="str">
        <f aca="false">IF(OR(SUM($AD78)&lt;=0,SUM($G78)&lt;=0),"",ROUND($G78*$AD78,0))</f>
        <v/>
      </c>
      <c r="AT78" s="75" t="str">
        <f aca="false">IF(SUM($AS78)&lt;=0,"",IF(SUM($AR78)&lt;=0,"ENTER VALID YIELD!",ROUND($AS78/$AR78,0)-$AS78))</f>
        <v/>
      </c>
      <c r="AU78" s="118"/>
      <c r="AV78" s="75" t="n">
        <f aca="false">IF(OR(SUM($AE78)&lt;=0,SUM($G78)&lt;=0),"",ROUND($G78*$AE78,0))</f>
        <v>9</v>
      </c>
      <c r="AW78" s="75" t="str">
        <f aca="false">IF(SUM($AV78)&lt;=0,"",IF(SUM($AU78)&lt;=0,"ENTER VALID YIELD!",ROUND($AV78/$AU78,0)-$AV78))</f>
        <v>ENTER VALID YIELD!</v>
      </c>
      <c r="AX78" s="118"/>
      <c r="AY78" s="75" t="n">
        <f aca="false">IF(OR(SUM($AF78)&lt;=0,SUM($G78)&lt;=0),"",ROUND($G78*$AF78,0))</f>
        <v>39</v>
      </c>
      <c r="AZ78" s="75" t="str">
        <f aca="false">IF(SUM($AY78)&lt;=0,"",IF(SUM($AX78)&lt;=0,"ENTER VALID YIELD!",ROUND($AY78/$AX78,0)-$AY78))</f>
        <v>ENTER VALID YIELD!</v>
      </c>
      <c r="BA78" s="118" t="n">
        <v>20</v>
      </c>
      <c r="BB78" s="75" t="n">
        <f aca="false">IF(OR(SUM($AG78)&lt;=0,SUM($G78)&lt;=0),"",ROUND($G78*$AG78,0))</f>
        <v>72</v>
      </c>
      <c r="BC78" s="75" t="n">
        <f aca="false">IF(SUM($BB78)&lt;=0,"",IF(SUM($BA78)&lt;=0,"ENTER VALID YIELD!",ROUND($BB78/$BA78,0)-$BB78))</f>
        <v>-68</v>
      </c>
      <c r="BD78" s="118"/>
      <c r="BE78" s="75" t="n">
        <f aca="false">IF(OR(SUM($AH78)&lt;=0,SUM($G78)&lt;=0),"",ROUND($G78*$AH78,0))</f>
        <v>69</v>
      </c>
      <c r="BF78" s="75" t="str">
        <f aca="false">IF(SUM($BE78)&lt;=0,"",IF(SUM($BD78)&lt;=0,"ENTER VALID YIELD!",ROUND($BE78/$BD78,0)-$BE78))</f>
        <v>ENTER VALID YIELD!</v>
      </c>
      <c r="BG78" s="118"/>
      <c r="BH78" s="75" t="n">
        <f aca="false">IF(OR(SUM($AI78)&lt;=0,SUM($G78)&lt;=0),"",ROUND($G78*$AI78,0))</f>
        <v>69</v>
      </c>
      <c r="BI78" s="75" t="str">
        <f aca="false">IF(SUM($BH78)&lt;=0,"",IF(SUM($BG78)&lt;=0,"ENTER VALID YIELD!",ROUND($BH78/$BG78,0)-$BH78))</f>
        <v>ENTER VALID YIELD!</v>
      </c>
      <c r="BJ78" s="118"/>
      <c r="BK78" s="75" t="n">
        <f aca="false">IF(OR(SUM($AJ78)&lt;=0,SUM($G78)&lt;=0),"",ROUND($G78*$AJ78,0))</f>
        <v>51</v>
      </c>
      <c r="BL78" s="75" t="str">
        <f aca="false">IF(SUM($BK78)&lt;=0,"",IF(SUM($BJ78)&lt;=0,"ENTER VALID YIELD!",ROUND($BK78/$BJ78,0)-$BK78))</f>
        <v>ENTER VALID YIELD!</v>
      </c>
      <c r="BM78" s="73" t="n">
        <f aca="false">IF(SUM($G78)&lt;=0,"",$G78)</f>
        <v>3</v>
      </c>
      <c r="BN78" s="73" t="n">
        <f aca="false">IF(SUM($G78)&lt;=0,"",SUM($I78:$L78,$Q78,$S78,$AM78,$AP78,$AS78,$AV78,$AY78,$BB78,$BE78,$BH78,$BK78))</f>
        <v>-17206</v>
      </c>
      <c r="BO78" s="73" t="n">
        <f aca="false">IF(AND(SUM($BN78)&lt;=0,SUM($BM78)&lt;=0),"",SUM($BN78)-SUM($BM78))</f>
        <v>-17209</v>
      </c>
      <c r="BP78" s="73" t="str">
        <f aca="false">_xlfn.IFNA(INDEX(PMTCT!$AF:$AF,MATCH($E78,PMTCT!$E:$E,0)),"")</f>
        <v/>
      </c>
      <c r="BQ78" s="73" t="str">
        <f aca="false">_xlfn.IFNA(INDEX(PMTCT!$AV:$AV,MATCH($E78,PMTCT!$E:$E,0)),"")</f>
        <v/>
      </c>
      <c r="BR78" s="73" t="n">
        <f aca="false">_xlfn.IFNA(INDEX(TB!$R:$R,MATCH($E78,TB!$E:$E,0)),"")</f>
        <v>15876</v>
      </c>
      <c r="BS78" s="73" t="str">
        <f aca="false">_xlfn.IFNA(INDEX(VMMC!$AD:$AD,MATCH($E78,VMMC!$E:$E,0)),"")</f>
        <v/>
      </c>
      <c r="BT78" s="73" t="n">
        <f aca="false">IF(SUM($R78,$T78,$AN78,$AQ78,$AT78,$AW78,$AZ78,$BC78,$BF78,$BI78,$BL78,$BP78:$BS78)=0,"",SUM($R78,$T78,$AN78,$AQ78,$AT78,$AW78,$AZ78,$BC78,$BF78,$BI78,$BL78,$BP78:$BS78))</f>
        <v>15808</v>
      </c>
      <c r="BU78" s="73" t="n">
        <f aca="false">IF(OR(SUM($BT78)=0,SUM($BN78)=0),"",SUM($BT78,$BN78))</f>
        <v>-1398</v>
      </c>
      <c r="BV78" s="118" t="n">
        <f aca="false">IF(SUM($BU78)=0,"",SUM($BN78)/$BU78)</f>
        <v>12.307582260372</v>
      </c>
      <c r="BW78" s="73"/>
      <c r="BX78" s="118" t="n">
        <f aca="false">IF(OR($C78="01-04",$C78="05-09"),"",0%)</f>
        <v>0</v>
      </c>
      <c r="BY78" s="75" t="str">
        <f aca="false">IF(OR($C78="01-04",$C78="05-09",SUM($BW78)=0),"",ROUND($BW78*(1+$BX78),0))</f>
        <v/>
      </c>
    </row>
    <row r="79" customFormat="false" ht="15" hidden="false" customHeight="false" outlineLevel="0" collapsed="false">
      <c r="A79" s="0" t="s">
        <v>143</v>
      </c>
      <c r="B79" s="0" t="s">
        <v>115</v>
      </c>
      <c r="C79" s="0" t="s">
        <v>86</v>
      </c>
      <c r="D79" s="0" t="s">
        <v>56</v>
      </c>
      <c r="E79" s="0" t="str">
        <f aca="false">B79&amp;"|"&amp;C79&amp;"|"&amp;D79</f>
        <v>Butha Buthe [#SNU] [mvPRqBFtVC0]|50+|Female</v>
      </c>
      <c r="F79" s="118" t="n">
        <f aca="false">_xlfn.IFNA(INDEX(Cascade!$Y:$Y,MATCH($E79,Cascade!$E:$E,0)),"")</f>
        <v>0.793946932006633</v>
      </c>
      <c r="G79" s="73" t="n">
        <f aca="false">_xlfn.IFNA(INDEX(Cascade!$BD:$BD,MATCH($E79,Cascade!$E:$E,0)),"")</f>
        <v>6</v>
      </c>
      <c r="H79" s="73" t="n">
        <f aca="false">_xlfn.IFNA(INDEX(Cascade!$BE:$BE,MATCH($E79,Cascade!$E:$E,0)),"")</f>
        <v>3</v>
      </c>
      <c r="I79" s="73" t="str">
        <f aca="false">_xlfn.IFNA(INDEX(Cascade!$BF:$BF,MATCH($E79,Cascade!$E:$E,0)),"")</f>
        <v/>
      </c>
      <c r="J79" s="73" t="str">
        <f aca="false">_xlfn.IFNA(INDEX(Cascade!$BG:$BG,MATCH($E79,Cascade!$E:$E,0)),"")</f>
        <v/>
      </c>
      <c r="K79" s="73" t="n">
        <f aca="false">_xlfn.IFNA(INDEX(Cascade!$BH:$BH,MATCH($E79,Cascade!$E:$E,0)),"")</f>
        <v>432</v>
      </c>
      <c r="L79" s="73" t="str">
        <f aca="false">_xlfn.IFNA(INDEX(Cascade!$BI:$BI,MATCH($E79,Cascade!$E:$E,0)),"")</f>
        <v/>
      </c>
      <c r="M79" s="73" t="n">
        <f aca="false">_xlfn.IFNA(INDEX(Cascade!$BK:$BK,MATCH($E79,Cascade!$E:$E,0)),"")</f>
        <v>-429</v>
      </c>
      <c r="N79" s="118"/>
      <c r="O79" s="118"/>
      <c r="P79" s="118"/>
      <c r="Q79" s="75" t="str">
        <f aca="false">IF(OR(SUM($H79)=0,SUM($N79)=0,SUM($O79)=0),"",ROUND($H79*$N79,0))</f>
        <v/>
      </c>
      <c r="R79" s="75" t="str">
        <f aca="false">IF(OR(SUM($Q79)=0,SUM($O79)=0),"",ROUND(SUM($Q79)/SUM($O79),0)-SUM($Q79))</f>
        <v/>
      </c>
      <c r="S79" s="75" t="n">
        <f aca="false">IF(SUM($H79)=0,"",SUM($H79)-SUM($Q79))</f>
        <v>3</v>
      </c>
      <c r="T79" s="75" t="str">
        <f aca="false">IF(OR(SUM($S79)=0,$N79&gt;1,SUM($P79)&lt;=0),"",ROUND($S79/$P79,0)-$S79)</f>
        <v/>
      </c>
      <c r="U79" s="118" t="n">
        <f aca="false">IF(SUM($G79)&lt;=0,"",SUM($Q79,$S79)/$G79)</f>
        <v>0.5</v>
      </c>
      <c r="V79" s="118" t="str">
        <f aca="false">IF(OR(SUM($Q79)=0,SUM($G79)=0),"",SUM($Q79)/SUM($G79))</f>
        <v/>
      </c>
      <c r="W79" s="118" t="n">
        <f aca="false">IF(OR(SUM($S79)=0,SUM($G79)=0),"",SUM($S79)/SUM($G79))</f>
        <v>0.5</v>
      </c>
      <c r="X79" s="118" t="str">
        <f aca="false">IF(OR(SUM($G79)=0,SUM($I79)=0),"",SUM($I79)/SUM($G79))</f>
        <v/>
      </c>
      <c r="Y79" s="118" t="str">
        <f aca="false">IF(OR(SUM($G79)=0,SUM($J79)=0),"",SUM($J79)/SUM($G79))</f>
        <v/>
      </c>
      <c r="Z79" s="118" t="n">
        <f aca="false">IF(OR(SUM($G79)=0,SUM($K79)=0),"",SUM($K79)/SUM($G79))</f>
        <v>72</v>
      </c>
      <c r="AA79" s="118" t="str">
        <f aca="false">IF(OR(SUM($G79)=0,SUM($L79)=0),"",SUM($L79)/SUM($G79))</f>
        <v/>
      </c>
      <c r="AB79" s="118" t="n">
        <v>8</v>
      </c>
      <c r="AC79" s="118"/>
      <c r="AD79" s="118"/>
      <c r="AE79" s="118" t="n">
        <v>47</v>
      </c>
      <c r="AF79" s="118" t="n">
        <v>2</v>
      </c>
      <c r="AG79" s="118" t="n">
        <v>28</v>
      </c>
      <c r="AH79" s="118" t="n">
        <v>9</v>
      </c>
      <c r="AI79" s="118" t="n">
        <v>41</v>
      </c>
      <c r="AJ79" s="118" t="n">
        <v>4</v>
      </c>
      <c r="AK79" s="118" t="n">
        <f aca="false">IF(SUM($G79)&lt;=0,"",SUM($V79:$AJ79))</f>
        <v>211.5</v>
      </c>
      <c r="AL79" s="118"/>
      <c r="AM79" s="75" t="n">
        <f aca="false">IF(OR(SUM($AB79)&lt;=0,SUM($G79)&lt;=0),"",ROUND($G79*$AB79,0))</f>
        <v>48</v>
      </c>
      <c r="AN79" s="75" t="str">
        <f aca="false">IF(SUM($AM79)&lt;=0,"",IF(SUM($AL79)&lt;=0,"ENTER VALID YIELD!",ROUND($AM79/$AL79,0)-$AM79))</f>
        <v>ENTER VALID YIELD!</v>
      </c>
      <c r="AO79" s="118"/>
      <c r="AP79" s="75" t="str">
        <f aca="false">IF(OR(SUM($AC79)&lt;=0,SUM($G79)&lt;=0),"",ROUND($G79*$AC79,0))</f>
        <v/>
      </c>
      <c r="AQ79" s="75" t="str">
        <f aca="false">IF(SUM($AP79)&lt;=0,"",IF(SUM($AO79)&lt;=0,"ENTER VALID YIELD!",ROUND($AP79/$AO79,0)-$AP79))</f>
        <v/>
      </c>
      <c r="AR79" s="118"/>
      <c r="AS79" s="75" t="str">
        <f aca="false">IF(OR(SUM($AD79)&lt;=0,SUM($G79)&lt;=0),"",ROUND($G79*$AD79,0))</f>
        <v/>
      </c>
      <c r="AT79" s="75" t="str">
        <f aca="false">IF(SUM($AS79)&lt;=0,"",IF(SUM($AR79)&lt;=0,"ENTER VALID YIELD!",ROUND($AS79/$AR79,0)-$AS79))</f>
        <v/>
      </c>
      <c r="AU79" s="118"/>
      <c r="AV79" s="75" t="n">
        <f aca="false">IF(OR(SUM($AE79)&lt;=0,SUM($G79)&lt;=0),"",ROUND($G79*$AE79,0))</f>
        <v>282</v>
      </c>
      <c r="AW79" s="75" t="str">
        <f aca="false">IF(SUM($AV79)&lt;=0,"",IF(SUM($AU79)&lt;=0,"ENTER VALID YIELD!",ROUND($AV79/$AU79,0)-$AV79))</f>
        <v>ENTER VALID YIELD!</v>
      </c>
      <c r="AX79" s="118"/>
      <c r="AY79" s="75" t="n">
        <f aca="false">IF(OR(SUM($AF79)&lt;=0,SUM($G79)&lt;=0),"",ROUND($G79*$AF79,0))</f>
        <v>12</v>
      </c>
      <c r="AZ79" s="75" t="str">
        <f aca="false">IF(SUM($AY79)&lt;=0,"",IF(SUM($AX79)&lt;=0,"ENTER VALID YIELD!",ROUND($AY79/$AX79,0)-$AY79))</f>
        <v>ENTER VALID YIELD!</v>
      </c>
      <c r="BA79" s="118" t="n">
        <v>3</v>
      </c>
      <c r="BB79" s="75" t="n">
        <f aca="false">IF(OR(SUM($AG79)&lt;=0,SUM($G79)&lt;=0),"",ROUND($G79*$AG79,0))</f>
        <v>168</v>
      </c>
      <c r="BC79" s="75" t="n">
        <f aca="false">IF(SUM($BB79)&lt;=0,"",IF(SUM($BA79)&lt;=0,"ENTER VALID YIELD!",ROUND($BB79/$BA79,0)-$BB79))</f>
        <v>-112</v>
      </c>
      <c r="BD79" s="118"/>
      <c r="BE79" s="75" t="n">
        <f aca="false">IF(OR(SUM($AH79)&lt;=0,SUM($G79)&lt;=0),"",ROUND($G79*$AH79,0))</f>
        <v>54</v>
      </c>
      <c r="BF79" s="75" t="str">
        <f aca="false">IF(SUM($BE79)&lt;=0,"",IF(SUM($BD79)&lt;=0,"ENTER VALID YIELD!",ROUND($BE79/$BD79,0)-$BE79))</f>
        <v>ENTER VALID YIELD!</v>
      </c>
      <c r="BG79" s="118"/>
      <c r="BH79" s="75" t="n">
        <f aca="false">IF(OR(SUM($AI79)&lt;=0,SUM($G79)&lt;=0),"",ROUND($G79*$AI79,0))</f>
        <v>246</v>
      </c>
      <c r="BI79" s="75" t="str">
        <f aca="false">IF(SUM($BH79)&lt;=0,"",IF(SUM($BG79)&lt;=0,"ENTER VALID YIELD!",ROUND($BH79/$BG79,0)-$BH79))</f>
        <v>ENTER VALID YIELD!</v>
      </c>
      <c r="BJ79" s="118"/>
      <c r="BK79" s="75" t="n">
        <f aca="false">IF(OR(SUM($AJ79)&lt;=0,SUM($G79)&lt;=0),"",ROUND($G79*$AJ79,0))</f>
        <v>24</v>
      </c>
      <c r="BL79" s="75" t="str">
        <f aca="false">IF(SUM($BK79)&lt;=0,"",IF(SUM($BJ79)&lt;=0,"ENTER VALID YIELD!",ROUND($BK79/$BJ79,0)-$BK79))</f>
        <v>ENTER VALID YIELD!</v>
      </c>
      <c r="BM79" s="73" t="n">
        <f aca="false">IF(SUM($G79)&lt;=0,"",$G79)</f>
        <v>6</v>
      </c>
      <c r="BN79" s="73" t="n">
        <f aca="false">IF(SUM($G79)&lt;=0,"",SUM($I79:$L79,$Q79,$S79,$AM79,$AP79,$AS79,$AV79,$AY79,$BB79,$BE79,$BH79,$BK79))</f>
        <v>1269</v>
      </c>
      <c r="BO79" s="73" t="n">
        <f aca="false">IF(AND(SUM($BN79)&lt;=0,SUM($BM79)&lt;=0),"",SUM($BN79)-SUM($BM79))</f>
        <v>1263</v>
      </c>
      <c r="BP79" s="73" t="str">
        <f aca="false">_xlfn.IFNA(INDEX(PMTCT!$AF:$AF,MATCH($E79,PMTCT!$E:$E,0)),"")</f>
        <v/>
      </c>
      <c r="BQ79" s="73" t="str">
        <f aca="false">_xlfn.IFNA(INDEX(PMTCT!$AV:$AV,MATCH($E79,PMTCT!$E:$E,0)),"")</f>
        <v/>
      </c>
      <c r="BR79" s="73" t="n">
        <f aca="false">_xlfn.IFNA(INDEX(TB!$R:$R,MATCH($E79,TB!$E:$E,0)),"")</f>
        <v>-384</v>
      </c>
      <c r="BS79" s="73" t="str">
        <f aca="false">_xlfn.IFNA(INDEX(VMMC!$AD:$AD,MATCH($E79,VMMC!$E:$E,0)),"")</f>
        <v/>
      </c>
      <c r="BT79" s="73" t="n">
        <f aca="false">IF(SUM($R79,$T79,$AN79,$AQ79,$AT79,$AW79,$AZ79,$BC79,$BF79,$BI79,$BL79,$BP79:$BS79)=0,"",SUM($R79,$T79,$AN79,$AQ79,$AT79,$AW79,$AZ79,$BC79,$BF79,$BI79,$BL79,$BP79:$BS79))</f>
        <v>-496</v>
      </c>
      <c r="BU79" s="73" t="n">
        <f aca="false">IF(OR(SUM($BT79)=0,SUM($BN79)=0),"",SUM($BT79,$BN79))</f>
        <v>773</v>
      </c>
      <c r="BV79" s="118" t="n">
        <f aca="false">IF(SUM($BU79)=0,"",SUM($BN79)/$BU79)</f>
        <v>1.64165588615783</v>
      </c>
      <c r="BW79" s="73"/>
      <c r="BX79" s="118" t="n">
        <f aca="false">IF(OR($C79="01-04",$C79="05-09"),"",0%)</f>
        <v>0</v>
      </c>
      <c r="BY79" s="75" t="str">
        <f aca="false">IF(OR($C79="01-04",$C79="05-09",SUM($BW79)=0),"",ROUND($BW79*(1+$BX79),0))</f>
        <v/>
      </c>
    </row>
    <row r="80" customFormat="false" ht="15" hidden="false" customHeight="false" outlineLevel="0" collapsed="false">
      <c r="A80" s="0" t="s">
        <v>143</v>
      </c>
      <c r="B80" s="0" t="s">
        <v>115</v>
      </c>
      <c r="C80" s="0" t="s">
        <v>86</v>
      </c>
      <c r="D80" s="0" t="s">
        <v>58</v>
      </c>
      <c r="E80" s="0" t="str">
        <f aca="false">B80&amp;"|"&amp;C80&amp;"|"&amp;D80</f>
        <v>Butha Buthe [#SNU] [mvPRqBFtVC0]|50+|Male</v>
      </c>
      <c r="F80" s="118" t="n">
        <f aca="false">_xlfn.IFNA(INDEX(Cascade!$Y:$Y,MATCH($E80,Cascade!$E:$E,0)),"")</f>
        <v>0.723027375201288</v>
      </c>
      <c r="G80" s="73" t="n">
        <f aca="false">_xlfn.IFNA(INDEX(Cascade!$BD:$BD,MATCH($E80,Cascade!$E:$E,0)),"")</f>
        <v>13</v>
      </c>
      <c r="H80" s="73" t="n">
        <f aca="false">_xlfn.IFNA(INDEX(Cascade!$BE:$BE,MATCH($E80,Cascade!$E:$E,0)),"")</f>
        <v>7</v>
      </c>
      <c r="I80" s="73" t="str">
        <f aca="false">_xlfn.IFNA(INDEX(Cascade!$BF:$BF,MATCH($E80,Cascade!$E:$E,0)),"")</f>
        <v/>
      </c>
      <c r="J80" s="73" t="str">
        <f aca="false">_xlfn.IFNA(INDEX(Cascade!$BG:$BG,MATCH($E80,Cascade!$E:$E,0)),"")</f>
        <v/>
      </c>
      <c r="K80" s="73" t="n">
        <f aca="false">_xlfn.IFNA(INDEX(Cascade!$BH:$BH,MATCH($E80,Cascade!$E:$E,0)),"")</f>
        <v>-14520</v>
      </c>
      <c r="L80" s="73" t="str">
        <f aca="false">_xlfn.IFNA(INDEX(Cascade!$BI:$BI,MATCH($E80,Cascade!$E:$E,0)),"")</f>
        <v/>
      </c>
      <c r="M80" s="73" t="n">
        <f aca="false">_xlfn.IFNA(INDEX(Cascade!$BK:$BK,MATCH($E80,Cascade!$E:$E,0)),"")</f>
        <v>14526</v>
      </c>
      <c r="N80" s="118" t="n">
        <v>29</v>
      </c>
      <c r="O80" s="118"/>
      <c r="P80" s="118" t="n">
        <v>33</v>
      </c>
      <c r="Q80" s="75" t="str">
        <f aca="false">IF(OR(SUM($H80)=0,SUM($N80)=0,SUM($O80)=0),"",ROUND($H80*$N80,0))</f>
        <v/>
      </c>
      <c r="R80" s="75" t="str">
        <f aca="false">IF(OR(SUM($Q80)=0,SUM($O80)=0),"",ROUND(SUM($Q80)/SUM($O80),0)-SUM($Q80))</f>
        <v/>
      </c>
      <c r="S80" s="75" t="n">
        <f aca="false">IF(SUM($H80)=0,"",SUM($H80)-SUM($Q80))</f>
        <v>7</v>
      </c>
      <c r="T80" s="75" t="str">
        <f aca="false">IF(OR(SUM($S80)=0,$N80&gt;1,SUM($P80)&lt;=0),"",ROUND($S80/$P80,0)-$S80)</f>
        <v/>
      </c>
      <c r="U80" s="118" t="n">
        <f aca="false">IF(SUM($G80)&lt;=0,"",SUM($Q80,$S80)/$G80)</f>
        <v>0.538461538461538</v>
      </c>
      <c r="V80" s="118" t="str">
        <f aca="false">IF(OR(SUM($Q80)=0,SUM($G80)=0),"",SUM($Q80)/SUM($G80))</f>
        <v/>
      </c>
      <c r="W80" s="118" t="n">
        <f aca="false">IF(OR(SUM($S80)=0,SUM($G80)=0),"",SUM($S80)/SUM($G80))</f>
        <v>0.538461538461538</v>
      </c>
      <c r="X80" s="118" t="str">
        <f aca="false">IF(OR(SUM($G80)=0,SUM($I80)=0),"",SUM($I80)/SUM($G80))</f>
        <v/>
      </c>
      <c r="Y80" s="118" t="str">
        <f aca="false">IF(OR(SUM($G80)=0,SUM($J80)=0),"",SUM($J80)/SUM($G80))</f>
        <v/>
      </c>
      <c r="Z80" s="118" t="n">
        <f aca="false">IF(OR(SUM($G80)=0,SUM($K80)=0),"",SUM($K80)/SUM($G80))</f>
        <v>-1116.92307692308</v>
      </c>
      <c r="AA80" s="118" t="str">
        <f aca="false">IF(OR(SUM($G80)=0,SUM($L80)=0),"",SUM($L80)/SUM($G80))</f>
        <v/>
      </c>
      <c r="AB80" s="118" t="n">
        <v>24</v>
      </c>
      <c r="AC80" s="118"/>
      <c r="AD80" s="118"/>
      <c r="AE80" s="118" t="n">
        <v>48</v>
      </c>
      <c r="AF80" s="118" t="n">
        <v>24</v>
      </c>
      <c r="AG80" s="118" t="n">
        <v>4</v>
      </c>
      <c r="AH80" s="118" t="n">
        <v>16</v>
      </c>
      <c r="AI80" s="118" t="n">
        <v>29</v>
      </c>
      <c r="AJ80" s="118" t="n">
        <v>25</v>
      </c>
      <c r="AK80" s="118" t="n">
        <f aca="false">IF(SUM($G80)&lt;=0,"",SUM($V80:$AJ80))</f>
        <v>-946.384615384615</v>
      </c>
      <c r="AL80" s="118" t="n">
        <v>8</v>
      </c>
      <c r="AM80" s="75" t="n">
        <f aca="false">IF(OR(SUM($AB80)&lt;=0,SUM($G80)&lt;=0),"",ROUND($G80*$AB80,0))</f>
        <v>312</v>
      </c>
      <c r="AN80" s="75" t="n">
        <f aca="false">IF(SUM($AM80)&lt;=0,"",IF(SUM($AL80)&lt;=0,"ENTER VALID YIELD!",ROUND($AM80/$AL80,0)-$AM80))</f>
        <v>-273</v>
      </c>
      <c r="AO80" s="118"/>
      <c r="AP80" s="75" t="str">
        <f aca="false">IF(OR(SUM($AC80)&lt;=0,SUM($G80)&lt;=0),"",ROUND($G80*$AC80,0))</f>
        <v/>
      </c>
      <c r="AQ80" s="75" t="str">
        <f aca="false">IF(SUM($AP80)&lt;=0,"",IF(SUM($AO80)&lt;=0,"ENTER VALID YIELD!",ROUND($AP80/$AO80,0)-$AP80))</f>
        <v/>
      </c>
      <c r="AR80" s="118"/>
      <c r="AS80" s="75" t="str">
        <f aca="false">IF(OR(SUM($AD80)&lt;=0,SUM($G80)&lt;=0),"",ROUND($G80*$AD80,0))</f>
        <v/>
      </c>
      <c r="AT80" s="75" t="str">
        <f aca="false">IF(SUM($AS80)&lt;=0,"",IF(SUM($AR80)&lt;=0,"ENTER VALID YIELD!",ROUND($AS80/$AR80,0)-$AS80))</f>
        <v/>
      </c>
      <c r="AU80" s="118"/>
      <c r="AV80" s="75" t="n">
        <f aca="false">IF(OR(SUM($AE80)&lt;=0,SUM($G80)&lt;=0),"",ROUND($G80*$AE80,0))</f>
        <v>624</v>
      </c>
      <c r="AW80" s="75" t="str">
        <f aca="false">IF(SUM($AV80)&lt;=0,"",IF(SUM($AU80)&lt;=0,"ENTER VALID YIELD!",ROUND($AV80/$AU80,0)-$AV80))</f>
        <v>ENTER VALID YIELD!</v>
      </c>
      <c r="AX80" s="118"/>
      <c r="AY80" s="75" t="n">
        <f aca="false">IF(OR(SUM($AF80)&lt;=0,SUM($G80)&lt;=0),"",ROUND($G80*$AF80,0))</f>
        <v>312</v>
      </c>
      <c r="AZ80" s="75" t="str">
        <f aca="false">IF(SUM($AY80)&lt;=0,"",IF(SUM($AX80)&lt;=0,"ENTER VALID YIELD!",ROUND($AY80/$AX80,0)-$AY80))</f>
        <v>ENTER VALID YIELD!</v>
      </c>
      <c r="BA80" s="118" t="n">
        <v>35</v>
      </c>
      <c r="BB80" s="75" t="n">
        <f aca="false">IF(OR(SUM($AG80)&lt;=0,SUM($G80)&lt;=0),"",ROUND($G80*$AG80,0))</f>
        <v>52</v>
      </c>
      <c r="BC80" s="75" t="n">
        <f aca="false">IF(SUM($BB80)&lt;=0,"",IF(SUM($BA80)&lt;=0,"ENTER VALID YIELD!",ROUND($BB80/$BA80,0)-$BB80))</f>
        <v>-51</v>
      </c>
      <c r="BD80" s="118"/>
      <c r="BE80" s="75" t="n">
        <f aca="false">IF(OR(SUM($AH80)&lt;=0,SUM($G80)&lt;=0),"",ROUND($G80*$AH80,0))</f>
        <v>208</v>
      </c>
      <c r="BF80" s="75" t="str">
        <f aca="false">IF(SUM($BE80)&lt;=0,"",IF(SUM($BD80)&lt;=0,"ENTER VALID YIELD!",ROUND($BE80/$BD80,0)-$BE80))</f>
        <v>ENTER VALID YIELD!</v>
      </c>
      <c r="BG80" s="118"/>
      <c r="BH80" s="75" t="n">
        <f aca="false">IF(OR(SUM($AI80)&lt;=0,SUM($G80)&lt;=0),"",ROUND($G80*$AI80,0))</f>
        <v>377</v>
      </c>
      <c r="BI80" s="75" t="str">
        <f aca="false">IF(SUM($BH80)&lt;=0,"",IF(SUM($BG80)&lt;=0,"ENTER VALID YIELD!",ROUND($BH80/$BG80,0)-$BH80))</f>
        <v>ENTER VALID YIELD!</v>
      </c>
      <c r="BJ80" s="118"/>
      <c r="BK80" s="75" t="n">
        <f aca="false">IF(OR(SUM($AJ80)&lt;=0,SUM($G80)&lt;=0),"",ROUND($G80*$AJ80,0))</f>
        <v>325</v>
      </c>
      <c r="BL80" s="75" t="str">
        <f aca="false">IF(SUM($BK80)&lt;=0,"",IF(SUM($BJ80)&lt;=0,"ENTER VALID YIELD!",ROUND($BK80/$BJ80,0)-$BK80))</f>
        <v>ENTER VALID YIELD!</v>
      </c>
      <c r="BM80" s="73" t="n">
        <f aca="false">IF(SUM($G80)&lt;=0,"",$G80)</f>
        <v>13</v>
      </c>
      <c r="BN80" s="73" t="n">
        <f aca="false">IF(SUM($G80)&lt;=0,"",SUM($I80:$L80,$Q80,$S80,$AM80,$AP80,$AS80,$AV80,$AY80,$BB80,$BE80,$BH80,$BK80))</f>
        <v>-12303</v>
      </c>
      <c r="BO80" s="73" t="n">
        <f aca="false">IF(AND(SUM($BN80)&lt;=0,SUM($BM80)&lt;=0),"",SUM($BN80)-SUM($BM80))</f>
        <v>-12316</v>
      </c>
      <c r="BP80" s="73" t="str">
        <f aca="false">_xlfn.IFNA(INDEX(PMTCT!$AF:$AF,MATCH($E80,PMTCT!$E:$E,0)),"")</f>
        <v/>
      </c>
      <c r="BQ80" s="73" t="str">
        <f aca="false">_xlfn.IFNA(INDEX(PMTCT!$AV:$AV,MATCH($E80,PMTCT!$E:$E,0)),"")</f>
        <v/>
      </c>
      <c r="BR80" s="73" t="n">
        <f aca="false">_xlfn.IFNA(INDEX(TB!$R:$R,MATCH($E80,TB!$E:$E,0)),"")</f>
        <v>13068</v>
      </c>
      <c r="BS80" s="73" t="str">
        <f aca="false">_xlfn.IFNA(INDEX(VMMC!$AD:$AD,MATCH($E80,VMMC!$E:$E,0)),"")</f>
        <v/>
      </c>
      <c r="BT80" s="73" t="n">
        <f aca="false">IF(SUM($R80,$T80,$AN80,$AQ80,$AT80,$AW80,$AZ80,$BC80,$BF80,$BI80,$BL80,$BP80:$BS80)=0,"",SUM($R80,$T80,$AN80,$AQ80,$AT80,$AW80,$AZ80,$BC80,$BF80,$BI80,$BL80,$BP80:$BS80))</f>
        <v>12744</v>
      </c>
      <c r="BU80" s="73" t="n">
        <f aca="false">IF(OR(SUM($BT80)=0,SUM($BN80)=0),"",SUM($BT80,$BN80))</f>
        <v>441</v>
      </c>
      <c r="BV80" s="118" t="n">
        <f aca="false">IF(SUM($BU80)=0,"",SUM($BN80)/$BU80)</f>
        <v>-27.8979591836735</v>
      </c>
      <c r="BW80" s="73"/>
      <c r="BX80" s="118" t="n">
        <f aca="false">IF(OR($C80="01-04",$C80="05-09"),"",0%)</f>
        <v>0</v>
      </c>
      <c r="BY80" s="75" t="str">
        <f aca="false">IF(OR($C80="01-04",$C80="05-09",SUM($BW80)=0),"",ROUND($BW80*(1+$BX80),0))</f>
        <v/>
      </c>
    </row>
    <row r="81" customFormat="false" ht="15" hidden="false" customHeight="false" outlineLevel="0" collapsed="false">
      <c r="A81" s="0" t="s">
        <v>144</v>
      </c>
      <c r="B81" s="0" t="s">
        <v>103</v>
      </c>
      <c r="C81" s="0" t="s">
        <v>54</v>
      </c>
      <c r="D81" s="0" t="s">
        <v>56</v>
      </c>
      <c r="E81" s="0" t="str">
        <f aca="false">B81&amp;"|"&amp;C81&amp;"|"&amp;D81</f>
        <v>Leribe [#SNU] [FjSmRywOWUp]|01-04|Female</v>
      </c>
      <c r="F81" s="118" t="n">
        <f aca="false">_xlfn.IFNA(INDEX(Cascade!$Y:$Y,MATCH($E81,Cascade!$E:$E,0)),"")</f>
        <v>0.529411764705882</v>
      </c>
      <c r="G81" s="73" t="n">
        <f aca="false">_xlfn.IFNA(INDEX(Cascade!$BD:$BD,MATCH($E81,Cascade!$E:$E,0)),"")</f>
        <v>14</v>
      </c>
      <c r="H81" s="73" t="n">
        <f aca="false">_xlfn.IFNA(INDEX(Cascade!$BE:$BE,MATCH($E81,Cascade!$E:$E,0)),"")</f>
        <v>4</v>
      </c>
      <c r="I81" s="73" t="str">
        <f aca="false">_xlfn.IFNA(INDEX(Cascade!$BF:$BF,MATCH($E81,Cascade!$E:$E,0)),"")</f>
        <v/>
      </c>
      <c r="J81" s="73" t="str">
        <f aca="false">_xlfn.IFNA(INDEX(Cascade!$BG:$BG,MATCH($E81,Cascade!$E:$E,0)),"")</f>
        <v/>
      </c>
      <c r="K81" s="73" t="n">
        <f aca="false">_xlfn.IFNA(INDEX(Cascade!$BH:$BH,MATCH($E81,Cascade!$E:$E,0)),"")</f>
        <v>0</v>
      </c>
      <c r="L81" s="73" t="str">
        <f aca="false">_xlfn.IFNA(INDEX(Cascade!$BI:$BI,MATCH($E81,Cascade!$E:$E,0)),"")</f>
        <v/>
      </c>
      <c r="M81" s="73" t="n">
        <f aca="false">_xlfn.IFNA(INDEX(Cascade!$BK:$BK,MATCH($E81,Cascade!$E:$E,0)),"")</f>
        <v>10</v>
      </c>
      <c r="N81" s="118" t="n">
        <v>9</v>
      </c>
      <c r="O81" s="118"/>
      <c r="P81" s="118" t="n">
        <v>37</v>
      </c>
      <c r="Q81" s="75" t="str">
        <f aca="false">IF(OR(SUM($H81)=0,SUM($N81)=0,SUM($O81)=0),"",ROUND($H81*$N81,0))</f>
        <v/>
      </c>
      <c r="R81" s="75" t="str">
        <f aca="false">IF(OR(SUM($Q81)=0,SUM($O81)=0),"",ROUND(SUM($Q81)/SUM($O81),0)-SUM($Q81))</f>
        <v/>
      </c>
      <c r="S81" s="75" t="n">
        <f aca="false">IF(SUM($H81)=0,"",SUM($H81)-SUM($Q81))</f>
        <v>4</v>
      </c>
      <c r="T81" s="75" t="str">
        <f aca="false">IF(OR(SUM($S81)=0,$N81&gt;1,SUM($P81)&lt;=0),"",ROUND($S81/$P81,0)-$S81)</f>
        <v/>
      </c>
      <c r="U81" s="118" t="n">
        <f aca="false">IF(SUM($G81)&lt;=0,"",SUM($Q81,$S81)/$G81)</f>
        <v>0.285714285714286</v>
      </c>
      <c r="V81" s="118" t="str">
        <f aca="false">IF(OR(SUM($Q81)=0,SUM($G81)=0),"",SUM($Q81)/SUM($G81))</f>
        <v/>
      </c>
      <c r="W81" s="118" t="n">
        <f aca="false">IF(OR(SUM($S81)=0,SUM($G81)=0),"",SUM($S81)/SUM($G81))</f>
        <v>0.285714285714286</v>
      </c>
      <c r="X81" s="118" t="str">
        <f aca="false">IF(OR(SUM($G81)=0,SUM($I81)=0),"",SUM($I81)/SUM($G81))</f>
        <v/>
      </c>
      <c r="Y81" s="118" t="str">
        <f aca="false">IF(OR(SUM($G81)=0,SUM($J81)=0),"",SUM($J81)/SUM($G81))</f>
        <v/>
      </c>
      <c r="Z81" s="118" t="str">
        <f aca="false">IF(OR(SUM($G81)=0,SUM($K81)=0),"",SUM($K81)/SUM($G81))</f>
        <v/>
      </c>
      <c r="AA81" s="118" t="str">
        <f aca="false">IF(OR(SUM($G81)=0,SUM($L81)=0),"",SUM($L81)/SUM($G81))</f>
        <v/>
      </c>
      <c r="AB81" s="118" t="n">
        <v>34</v>
      </c>
      <c r="AC81" s="118" t="n">
        <v>37</v>
      </c>
      <c r="AD81" s="118" t="n">
        <v>36</v>
      </c>
      <c r="AE81" s="118" t="n">
        <v>7</v>
      </c>
      <c r="AF81" s="118" t="n">
        <v>23</v>
      </c>
      <c r="AG81" s="118" t="n">
        <v>26</v>
      </c>
      <c r="AH81" s="118" t="n">
        <v>20</v>
      </c>
      <c r="AI81" s="118" t="n">
        <v>43</v>
      </c>
      <c r="AJ81" s="118" t="n">
        <v>22</v>
      </c>
      <c r="AK81" s="118" t="n">
        <f aca="false">IF(SUM($G81)&lt;=0,"",SUM($V81:$AJ81))</f>
        <v>248.285714285714</v>
      </c>
      <c r="AL81" s="118"/>
      <c r="AM81" s="75" t="n">
        <f aca="false">IF(OR(SUM($AB81)&lt;=0,SUM($G81)&lt;=0),"",ROUND($G81*$AB81,0))</f>
        <v>476</v>
      </c>
      <c r="AN81" s="75" t="str">
        <f aca="false">IF(SUM($AM81)&lt;=0,"",IF(SUM($AL81)&lt;=0,"ENTER VALID YIELD!",ROUND($AM81/$AL81,0)-$AM81))</f>
        <v>ENTER VALID YIELD!</v>
      </c>
      <c r="AO81" s="118"/>
      <c r="AP81" s="75" t="n">
        <f aca="false">IF(OR(SUM($AC81)&lt;=0,SUM($G81)&lt;=0),"",ROUND($G81*$AC81,0))</f>
        <v>518</v>
      </c>
      <c r="AQ81" s="75" t="str">
        <f aca="false">IF(SUM($AP81)&lt;=0,"",IF(SUM($AO81)&lt;=0,"ENTER VALID YIELD!",ROUND($AP81/$AO81,0)-$AP81))</f>
        <v>ENTER VALID YIELD!</v>
      </c>
      <c r="AR81" s="118"/>
      <c r="AS81" s="75" t="n">
        <f aca="false">IF(OR(SUM($AD81)&lt;=0,SUM($G81)&lt;=0),"",ROUND($G81*$AD81,0))</f>
        <v>504</v>
      </c>
      <c r="AT81" s="75" t="str">
        <f aca="false">IF(SUM($AS81)&lt;=0,"",IF(SUM($AR81)&lt;=0,"ENTER VALID YIELD!",ROUND($AS81/$AR81,0)-$AS81))</f>
        <v>ENTER VALID YIELD!</v>
      </c>
      <c r="AU81" s="118"/>
      <c r="AV81" s="75" t="n">
        <f aca="false">IF(OR(SUM($AE81)&lt;=0,SUM($G81)&lt;=0),"",ROUND($G81*$AE81,0))</f>
        <v>98</v>
      </c>
      <c r="AW81" s="75" t="str">
        <f aca="false">IF(SUM($AV81)&lt;=0,"",IF(SUM($AU81)&lt;=0,"ENTER VALID YIELD!",ROUND($AV81/$AU81,0)-$AV81))</f>
        <v>ENTER VALID YIELD!</v>
      </c>
      <c r="AX81" s="118"/>
      <c r="AY81" s="75" t="n">
        <f aca="false">IF(OR(SUM($AF81)&lt;=0,SUM($G81)&lt;=0),"",ROUND($G81*$AF81,0))</f>
        <v>322</v>
      </c>
      <c r="AZ81" s="75" t="str">
        <f aca="false">IF(SUM($AY81)&lt;=0,"",IF(SUM($AX81)&lt;=0,"ENTER VALID YIELD!",ROUND($AY81/$AX81,0)-$AY81))</f>
        <v>ENTER VALID YIELD!</v>
      </c>
      <c r="BA81" s="118" t="n">
        <v>48</v>
      </c>
      <c r="BB81" s="75" t="n">
        <f aca="false">IF(OR(SUM($AG81)&lt;=0,SUM($G81)&lt;=0),"",ROUND($G81*$AG81,0))</f>
        <v>364</v>
      </c>
      <c r="BC81" s="75" t="n">
        <f aca="false">IF(SUM($BB81)&lt;=0,"",IF(SUM($BA81)&lt;=0,"ENTER VALID YIELD!",ROUND($BB81/$BA81,0)-$BB81))</f>
        <v>-356</v>
      </c>
      <c r="BD81" s="118"/>
      <c r="BE81" s="75" t="n">
        <f aca="false">IF(OR(SUM($AH81)&lt;=0,SUM($G81)&lt;=0),"",ROUND($G81*$AH81,0))</f>
        <v>280</v>
      </c>
      <c r="BF81" s="75" t="str">
        <f aca="false">IF(SUM($BE81)&lt;=0,"",IF(SUM($BD81)&lt;=0,"ENTER VALID YIELD!",ROUND($BE81/$BD81,0)-$BE81))</f>
        <v>ENTER VALID YIELD!</v>
      </c>
      <c r="BG81" s="118"/>
      <c r="BH81" s="75" t="n">
        <f aca="false">IF(OR(SUM($AI81)&lt;=0,SUM($G81)&lt;=0),"",ROUND($G81*$AI81,0))</f>
        <v>602</v>
      </c>
      <c r="BI81" s="75" t="str">
        <f aca="false">IF(SUM($BH81)&lt;=0,"",IF(SUM($BG81)&lt;=0,"ENTER VALID YIELD!",ROUND($BH81/$BG81,0)-$BH81))</f>
        <v>ENTER VALID YIELD!</v>
      </c>
      <c r="BJ81" s="118"/>
      <c r="BK81" s="75" t="n">
        <f aca="false">IF(OR(SUM($AJ81)&lt;=0,SUM($G81)&lt;=0),"",ROUND($G81*$AJ81,0))</f>
        <v>308</v>
      </c>
      <c r="BL81" s="75" t="str">
        <f aca="false">IF(SUM($BK81)&lt;=0,"",IF(SUM($BJ81)&lt;=0,"ENTER VALID YIELD!",ROUND($BK81/$BJ81,0)-$BK81))</f>
        <v>ENTER VALID YIELD!</v>
      </c>
      <c r="BM81" s="73" t="n">
        <f aca="false">IF(SUM($G81)&lt;=0,"",$G81)</f>
        <v>14</v>
      </c>
      <c r="BN81" s="73" t="n">
        <f aca="false">IF(SUM($G81)&lt;=0,"",SUM($I81:$L81,$Q81,$S81,$AM81,$AP81,$AS81,$AV81,$AY81,$BB81,$BE81,$BH81,$BK81))</f>
        <v>3476</v>
      </c>
      <c r="BO81" s="73" t="n">
        <f aca="false">IF(AND(SUM($BN81)&lt;=0,SUM($BM81)&lt;=0),"",SUM($BN81)-SUM($BM81))</f>
        <v>3462</v>
      </c>
      <c r="BP81" s="73" t="str">
        <f aca="false">_xlfn.IFNA(INDEX(PMTCT!$AF:$AF,MATCH($E81,PMTCT!$E:$E,0)),"")</f>
        <v/>
      </c>
      <c r="BQ81" s="73" t="str">
        <f aca="false">_xlfn.IFNA(INDEX(PMTCT!$AV:$AV,MATCH($E81,PMTCT!$E:$E,0)),"")</f>
        <v/>
      </c>
      <c r="BR81" s="73" t="n">
        <f aca="false">_xlfn.IFNA(INDEX(TB!$R:$R,MATCH($E81,TB!$E:$E,0)),"")</f>
        <v>12</v>
      </c>
      <c r="BS81" s="73" t="str">
        <f aca="false">_xlfn.IFNA(INDEX(VMMC!$AD:$AD,MATCH($E81,VMMC!$E:$E,0)),"")</f>
        <v/>
      </c>
      <c r="BT81" s="73" t="n">
        <f aca="false">IF(SUM($R81,$T81,$AN81,$AQ81,$AT81,$AW81,$AZ81,$BC81,$BF81,$BI81,$BL81,$BP81:$BS81)=0,"",SUM($R81,$T81,$AN81,$AQ81,$AT81,$AW81,$AZ81,$BC81,$BF81,$BI81,$BL81,$BP81:$BS81))</f>
        <v>-344</v>
      </c>
      <c r="BU81" s="73" t="n">
        <f aca="false">IF(OR(SUM($BT81)=0,SUM($BN81)=0),"",SUM($BT81,$BN81))</f>
        <v>3132</v>
      </c>
      <c r="BV81" s="118" t="n">
        <f aca="false">IF(SUM($BU81)=0,"",SUM($BN81)/$BU81)</f>
        <v>1.10983397190294</v>
      </c>
      <c r="BW81" s="73"/>
      <c r="BX81" s="118" t="str">
        <f aca="false">IF(OR($C81="01-04",$C81="05-09"),"",0%)</f>
        <v/>
      </c>
      <c r="BY81" s="75" t="str">
        <f aca="false">IF(OR($C81="01-04",$C81="05-09",SUM($BW81)=0),"",ROUND($BW81*(1+$BX81),0))</f>
        <v/>
      </c>
    </row>
    <row r="82" customFormat="false" ht="15" hidden="false" customHeight="false" outlineLevel="0" collapsed="false">
      <c r="A82" s="0" t="s">
        <v>144</v>
      </c>
      <c r="B82" s="0" t="s">
        <v>103</v>
      </c>
      <c r="C82" s="0" t="s">
        <v>54</v>
      </c>
      <c r="D82" s="0" t="s">
        <v>58</v>
      </c>
      <c r="E82" s="0" t="str">
        <f aca="false">B82&amp;"|"&amp;C82&amp;"|"&amp;D82</f>
        <v>Leribe [#SNU] [FjSmRywOWUp]|01-04|Male</v>
      </c>
      <c r="F82" s="118" t="n">
        <f aca="false">_xlfn.IFNA(INDEX(Cascade!$Y:$Y,MATCH($E82,Cascade!$E:$E,0)),"")</f>
        <v>0.533980582524272</v>
      </c>
      <c r="G82" s="73" t="n">
        <f aca="false">_xlfn.IFNA(INDEX(Cascade!$BD:$BD,MATCH($E82,Cascade!$E:$E,0)),"")</f>
        <v>8</v>
      </c>
      <c r="H82" s="73" t="n">
        <f aca="false">_xlfn.IFNA(INDEX(Cascade!$BE:$BE,MATCH($E82,Cascade!$E:$E,0)),"")</f>
        <v>2</v>
      </c>
      <c r="I82" s="73" t="str">
        <f aca="false">_xlfn.IFNA(INDEX(Cascade!$BF:$BF,MATCH($E82,Cascade!$E:$E,0)),"")</f>
        <v/>
      </c>
      <c r="J82" s="73" t="str">
        <f aca="false">_xlfn.IFNA(INDEX(Cascade!$BG:$BG,MATCH($E82,Cascade!$E:$E,0)),"")</f>
        <v/>
      </c>
      <c r="K82" s="73" t="n">
        <f aca="false">_xlfn.IFNA(INDEX(Cascade!$BH:$BH,MATCH($E82,Cascade!$E:$E,0)),"")</f>
        <v>-0</v>
      </c>
      <c r="L82" s="73" t="str">
        <f aca="false">_xlfn.IFNA(INDEX(Cascade!$BI:$BI,MATCH($E82,Cascade!$E:$E,0)),"")</f>
        <v/>
      </c>
      <c r="M82" s="73" t="n">
        <f aca="false">_xlfn.IFNA(INDEX(Cascade!$BK:$BK,MATCH($E82,Cascade!$E:$E,0)),"")</f>
        <v>6</v>
      </c>
      <c r="N82" s="118" t="n">
        <v>25</v>
      </c>
      <c r="O82" s="118"/>
      <c r="P82" s="118" t="n">
        <v>18</v>
      </c>
      <c r="Q82" s="75" t="str">
        <f aca="false">IF(OR(SUM($H82)=0,SUM($N82)=0,SUM($O82)=0),"",ROUND($H82*$N82,0))</f>
        <v/>
      </c>
      <c r="R82" s="75" t="str">
        <f aca="false">IF(OR(SUM($Q82)=0,SUM($O82)=0),"",ROUND(SUM($Q82)/SUM($O82),0)-SUM($Q82))</f>
        <v/>
      </c>
      <c r="S82" s="75" t="n">
        <f aca="false">IF(SUM($H82)=0,"",SUM($H82)-SUM($Q82))</f>
        <v>2</v>
      </c>
      <c r="T82" s="75" t="str">
        <f aca="false">IF(OR(SUM($S82)=0,$N82&gt;1,SUM($P82)&lt;=0),"",ROUND($S82/$P82,0)-$S82)</f>
        <v/>
      </c>
      <c r="U82" s="118" t="n">
        <f aca="false">IF(SUM($G82)&lt;=0,"",SUM($Q82,$S82)/$G82)</f>
        <v>0.25</v>
      </c>
      <c r="V82" s="118" t="str">
        <f aca="false">IF(OR(SUM($Q82)=0,SUM($G82)=0),"",SUM($Q82)/SUM($G82))</f>
        <v/>
      </c>
      <c r="W82" s="118" t="n">
        <f aca="false">IF(OR(SUM($S82)=0,SUM($G82)=0),"",SUM($S82)/SUM($G82))</f>
        <v>0.25</v>
      </c>
      <c r="X82" s="118" t="str">
        <f aca="false">IF(OR(SUM($G82)=0,SUM($I82)=0),"",SUM($I82)/SUM($G82))</f>
        <v/>
      </c>
      <c r="Y82" s="118" t="str">
        <f aca="false">IF(OR(SUM($G82)=0,SUM($J82)=0),"",SUM($J82)/SUM($G82))</f>
        <v/>
      </c>
      <c r="Z82" s="118" t="str">
        <f aca="false">IF(OR(SUM($G82)=0,SUM($K82)=0),"",SUM($K82)/SUM($G82))</f>
        <v/>
      </c>
      <c r="AA82" s="118" t="str">
        <f aca="false">IF(OR(SUM($G82)=0,SUM($L82)=0),"",SUM($L82)/SUM($G82))</f>
        <v/>
      </c>
      <c r="AB82" s="118" t="n">
        <v>19</v>
      </c>
      <c r="AC82" s="118" t="n">
        <v>43</v>
      </c>
      <c r="AD82" s="118" t="n">
        <v>7</v>
      </c>
      <c r="AE82" s="118" t="n">
        <v>37</v>
      </c>
      <c r="AF82" s="118" t="n">
        <v>33</v>
      </c>
      <c r="AG82" s="118" t="n">
        <v>6</v>
      </c>
      <c r="AH82" s="118" t="n">
        <v>29</v>
      </c>
      <c r="AI82" s="118" t="n">
        <v>19</v>
      </c>
      <c r="AJ82" s="118" t="n">
        <v>4</v>
      </c>
      <c r="AK82" s="118" t="n">
        <f aca="false">IF(SUM($G82)&lt;=0,"",SUM($V82:$AJ82))</f>
        <v>197.25</v>
      </c>
      <c r="AL82" s="118"/>
      <c r="AM82" s="75" t="n">
        <f aca="false">IF(OR(SUM($AB82)&lt;=0,SUM($G82)&lt;=0),"",ROUND($G82*$AB82,0))</f>
        <v>152</v>
      </c>
      <c r="AN82" s="75" t="str">
        <f aca="false">IF(SUM($AM82)&lt;=0,"",IF(SUM($AL82)&lt;=0,"ENTER VALID YIELD!",ROUND($AM82/$AL82,0)-$AM82))</f>
        <v>ENTER VALID YIELD!</v>
      </c>
      <c r="AO82" s="118"/>
      <c r="AP82" s="75" t="n">
        <f aca="false">IF(OR(SUM($AC82)&lt;=0,SUM($G82)&lt;=0),"",ROUND($G82*$AC82,0))</f>
        <v>344</v>
      </c>
      <c r="AQ82" s="75" t="str">
        <f aca="false">IF(SUM($AP82)&lt;=0,"",IF(SUM($AO82)&lt;=0,"ENTER VALID YIELD!",ROUND($AP82/$AO82,0)-$AP82))</f>
        <v>ENTER VALID YIELD!</v>
      </c>
      <c r="AR82" s="118"/>
      <c r="AS82" s="75" t="n">
        <f aca="false">IF(OR(SUM($AD82)&lt;=0,SUM($G82)&lt;=0),"",ROUND($G82*$AD82,0))</f>
        <v>56</v>
      </c>
      <c r="AT82" s="75" t="str">
        <f aca="false">IF(SUM($AS82)&lt;=0,"",IF(SUM($AR82)&lt;=0,"ENTER VALID YIELD!",ROUND($AS82/$AR82,0)-$AS82))</f>
        <v>ENTER VALID YIELD!</v>
      </c>
      <c r="AU82" s="118"/>
      <c r="AV82" s="75" t="n">
        <f aca="false">IF(OR(SUM($AE82)&lt;=0,SUM($G82)&lt;=0),"",ROUND($G82*$AE82,0))</f>
        <v>296</v>
      </c>
      <c r="AW82" s="75" t="str">
        <f aca="false">IF(SUM($AV82)&lt;=0,"",IF(SUM($AU82)&lt;=0,"ENTER VALID YIELD!",ROUND($AV82/$AU82,0)-$AV82))</f>
        <v>ENTER VALID YIELD!</v>
      </c>
      <c r="AX82" s="118"/>
      <c r="AY82" s="75" t="n">
        <f aca="false">IF(OR(SUM($AF82)&lt;=0,SUM($G82)&lt;=0),"",ROUND($G82*$AF82,0))</f>
        <v>264</v>
      </c>
      <c r="AZ82" s="75" t="str">
        <f aca="false">IF(SUM($AY82)&lt;=0,"",IF(SUM($AX82)&lt;=0,"ENTER VALID YIELD!",ROUND($AY82/$AX82,0)-$AY82))</f>
        <v>ENTER VALID YIELD!</v>
      </c>
      <c r="BA82" s="118" t="n">
        <v>13</v>
      </c>
      <c r="BB82" s="75" t="n">
        <f aca="false">IF(OR(SUM($AG82)&lt;=0,SUM($G82)&lt;=0),"",ROUND($G82*$AG82,0))</f>
        <v>48</v>
      </c>
      <c r="BC82" s="75" t="n">
        <f aca="false">IF(SUM($BB82)&lt;=0,"",IF(SUM($BA82)&lt;=0,"ENTER VALID YIELD!",ROUND($BB82/$BA82,0)-$BB82))</f>
        <v>-44</v>
      </c>
      <c r="BD82" s="118"/>
      <c r="BE82" s="75" t="n">
        <f aca="false">IF(OR(SUM($AH82)&lt;=0,SUM($G82)&lt;=0),"",ROUND($G82*$AH82,0))</f>
        <v>232</v>
      </c>
      <c r="BF82" s="75" t="str">
        <f aca="false">IF(SUM($BE82)&lt;=0,"",IF(SUM($BD82)&lt;=0,"ENTER VALID YIELD!",ROUND($BE82/$BD82,0)-$BE82))</f>
        <v>ENTER VALID YIELD!</v>
      </c>
      <c r="BG82" s="118"/>
      <c r="BH82" s="75" t="n">
        <f aca="false">IF(OR(SUM($AI82)&lt;=0,SUM($G82)&lt;=0),"",ROUND($G82*$AI82,0))</f>
        <v>152</v>
      </c>
      <c r="BI82" s="75" t="str">
        <f aca="false">IF(SUM($BH82)&lt;=0,"",IF(SUM($BG82)&lt;=0,"ENTER VALID YIELD!",ROUND($BH82/$BG82,0)-$BH82))</f>
        <v>ENTER VALID YIELD!</v>
      </c>
      <c r="BJ82" s="118"/>
      <c r="BK82" s="75" t="n">
        <f aca="false">IF(OR(SUM($AJ82)&lt;=0,SUM($G82)&lt;=0),"",ROUND($G82*$AJ82,0))</f>
        <v>32</v>
      </c>
      <c r="BL82" s="75" t="str">
        <f aca="false">IF(SUM($BK82)&lt;=0,"",IF(SUM($BJ82)&lt;=0,"ENTER VALID YIELD!",ROUND($BK82/$BJ82,0)-$BK82))</f>
        <v>ENTER VALID YIELD!</v>
      </c>
      <c r="BM82" s="73" t="n">
        <f aca="false">IF(SUM($G82)&lt;=0,"",$G82)</f>
        <v>8</v>
      </c>
      <c r="BN82" s="73" t="n">
        <f aca="false">IF(SUM($G82)&lt;=0,"",SUM($I82:$L82,$Q82,$S82,$AM82,$AP82,$AS82,$AV82,$AY82,$BB82,$BE82,$BH82,$BK82))</f>
        <v>1578</v>
      </c>
      <c r="BO82" s="73" t="n">
        <f aca="false">IF(AND(SUM($BN82)&lt;=0,SUM($BM82)&lt;=0),"",SUM($BN82)-SUM($BM82))</f>
        <v>1570</v>
      </c>
      <c r="BP82" s="73" t="str">
        <f aca="false">_xlfn.IFNA(INDEX(PMTCT!$AF:$AF,MATCH($E82,PMTCT!$E:$E,0)),"")</f>
        <v/>
      </c>
      <c r="BQ82" s="73" t="str">
        <f aca="false">_xlfn.IFNA(INDEX(PMTCT!$AV:$AV,MATCH($E82,PMTCT!$E:$E,0)),"")</f>
        <v/>
      </c>
      <c r="BR82" s="73" t="n">
        <f aca="false">_xlfn.IFNA(INDEX(TB!$R:$R,MATCH($E82,TB!$E:$E,0)),"")</f>
        <v>-504</v>
      </c>
      <c r="BS82" s="73" t="str">
        <f aca="false">_xlfn.IFNA(INDEX(VMMC!$AD:$AD,MATCH($E82,VMMC!$E:$E,0)),"")</f>
        <v/>
      </c>
      <c r="BT82" s="73" t="n">
        <f aca="false">IF(SUM($R82,$T82,$AN82,$AQ82,$AT82,$AW82,$AZ82,$BC82,$BF82,$BI82,$BL82,$BP82:$BS82)=0,"",SUM($R82,$T82,$AN82,$AQ82,$AT82,$AW82,$AZ82,$BC82,$BF82,$BI82,$BL82,$BP82:$BS82))</f>
        <v>-548</v>
      </c>
      <c r="BU82" s="73" t="n">
        <f aca="false">IF(OR(SUM($BT82)=0,SUM($BN82)=0),"",SUM($BT82,$BN82))</f>
        <v>1030</v>
      </c>
      <c r="BV82" s="118" t="n">
        <f aca="false">IF(SUM($BU82)=0,"",SUM($BN82)/$BU82)</f>
        <v>1.53203883495146</v>
      </c>
      <c r="BW82" s="73"/>
      <c r="BX82" s="118" t="str">
        <f aca="false">IF(OR($C82="01-04",$C82="05-09"),"",0%)</f>
        <v/>
      </c>
      <c r="BY82" s="75" t="str">
        <f aca="false">IF(OR($C82="01-04",$C82="05-09",SUM($BW82)=0),"",ROUND($BW82*(1+$BX82),0))</f>
        <v/>
      </c>
    </row>
    <row r="83" customFormat="false" ht="15" hidden="false" customHeight="false" outlineLevel="0" collapsed="false">
      <c r="A83" s="0" t="s">
        <v>144</v>
      </c>
      <c r="B83" s="0" t="s">
        <v>103</v>
      </c>
      <c r="C83" s="0" t="s">
        <v>83</v>
      </c>
      <c r="D83" s="0" t="s">
        <v>56</v>
      </c>
      <c r="E83" s="0" t="str">
        <f aca="false">B83&amp;"|"&amp;C83&amp;"|"&amp;D83</f>
        <v>Leribe [#SNU] [FjSmRywOWUp]|05-09|Female</v>
      </c>
      <c r="F83" s="118" t="n">
        <f aca="false">_xlfn.IFNA(INDEX(Cascade!$Y:$Y,MATCH($E83,Cascade!$E:$E,0)),"")</f>
        <v>0.623076923076923</v>
      </c>
      <c r="G83" s="73" t="n">
        <f aca="false">_xlfn.IFNA(INDEX(Cascade!$BD:$BD,MATCH($E83,Cascade!$E:$E,0)),"")</f>
        <v>11</v>
      </c>
      <c r="H83" s="73" t="n">
        <f aca="false">_xlfn.IFNA(INDEX(Cascade!$BE:$BE,MATCH($E83,Cascade!$E:$E,0)),"")</f>
        <v>3</v>
      </c>
      <c r="I83" s="73" t="str">
        <f aca="false">_xlfn.IFNA(INDEX(Cascade!$BF:$BF,MATCH($E83,Cascade!$E:$E,0)),"")</f>
        <v/>
      </c>
      <c r="J83" s="73" t="str">
        <f aca="false">_xlfn.IFNA(INDEX(Cascade!$BG:$BG,MATCH($E83,Cascade!$E:$E,0)),"")</f>
        <v/>
      </c>
      <c r="K83" s="73" t="n">
        <f aca="false">_xlfn.IFNA(INDEX(Cascade!$BH:$BH,MATCH($E83,Cascade!$E:$E,0)),"")</f>
        <v>0</v>
      </c>
      <c r="L83" s="73" t="str">
        <f aca="false">_xlfn.IFNA(INDEX(Cascade!$BI:$BI,MATCH($E83,Cascade!$E:$E,0)),"")</f>
        <v/>
      </c>
      <c r="M83" s="73" t="n">
        <f aca="false">_xlfn.IFNA(INDEX(Cascade!$BK:$BK,MATCH($E83,Cascade!$E:$E,0)),"")</f>
        <v>8</v>
      </c>
      <c r="N83" s="118" t="n">
        <v>29</v>
      </c>
      <c r="O83" s="118" t="n">
        <v>46</v>
      </c>
      <c r="P83" s="118"/>
      <c r="Q83" s="75" t="n">
        <f aca="false">IF(OR(SUM($H83)=0,SUM($N83)=0,SUM($O83)=0),"",ROUND($H83*$N83,0))</f>
        <v>87</v>
      </c>
      <c r="R83" s="75" t="n">
        <f aca="false">IF(OR(SUM($Q83)=0,SUM($O83)=0),"",ROUND(SUM($Q83)/SUM($O83),0)-SUM($Q83))</f>
        <v>-85</v>
      </c>
      <c r="S83" s="75" t="n">
        <f aca="false">IF(SUM($H83)=0,"",SUM($H83)-SUM($Q83))</f>
        <v>-84</v>
      </c>
      <c r="T83" s="75" t="str">
        <f aca="false">IF(OR(SUM($S83)=0,$N83&gt;1,SUM($P83)&lt;=0),"",ROUND($S83/$P83,0)-$S83)</f>
        <v/>
      </c>
      <c r="U83" s="118" t="n">
        <f aca="false">IF(SUM($G83)&lt;=0,"",SUM($Q83,$S83)/$G83)</f>
        <v>0.272727272727273</v>
      </c>
      <c r="V83" s="118" t="n">
        <f aca="false">IF(OR(SUM($Q83)=0,SUM($G83)=0),"",SUM($Q83)/SUM($G83))</f>
        <v>7.90909090909091</v>
      </c>
      <c r="W83" s="118" t="n">
        <f aca="false">IF(OR(SUM($S83)=0,SUM($G83)=0),"",SUM($S83)/SUM($G83))</f>
        <v>-7.63636363636364</v>
      </c>
      <c r="X83" s="118" t="str">
        <f aca="false">IF(OR(SUM($G83)=0,SUM($I83)=0),"",SUM($I83)/SUM($G83))</f>
        <v/>
      </c>
      <c r="Y83" s="118" t="str">
        <f aca="false">IF(OR(SUM($G83)=0,SUM($J83)=0),"",SUM($J83)/SUM($G83))</f>
        <v/>
      </c>
      <c r="Z83" s="118" t="str">
        <f aca="false">IF(OR(SUM($G83)=0,SUM($K83)=0),"",SUM($K83)/SUM($G83))</f>
        <v/>
      </c>
      <c r="AA83" s="118" t="str">
        <f aca="false">IF(OR(SUM($G83)=0,SUM($L83)=0),"",SUM($L83)/SUM($G83))</f>
        <v/>
      </c>
      <c r="AB83" s="118" t="n">
        <v>12</v>
      </c>
      <c r="AC83" s="118"/>
      <c r="AD83" s="118"/>
      <c r="AE83" s="118" t="n">
        <v>43</v>
      </c>
      <c r="AF83" s="118" t="n">
        <v>40</v>
      </c>
      <c r="AG83" s="118" t="n">
        <v>15</v>
      </c>
      <c r="AH83" s="118" t="n">
        <v>15</v>
      </c>
      <c r="AI83" s="118" t="n">
        <v>20</v>
      </c>
      <c r="AJ83" s="118" t="n">
        <v>41</v>
      </c>
      <c r="AK83" s="118" t="n">
        <f aca="false">IF(SUM($G83)&lt;=0,"",SUM($V83:$AJ83))</f>
        <v>186.272727272727</v>
      </c>
      <c r="AL83" s="118"/>
      <c r="AM83" s="75" t="n">
        <f aca="false">IF(OR(SUM($AB83)&lt;=0,SUM($G83)&lt;=0),"",ROUND($G83*$AB83,0))</f>
        <v>132</v>
      </c>
      <c r="AN83" s="75" t="str">
        <f aca="false">IF(SUM($AM83)&lt;=0,"",IF(SUM($AL83)&lt;=0,"ENTER VALID YIELD!",ROUND($AM83/$AL83,0)-$AM83))</f>
        <v>ENTER VALID YIELD!</v>
      </c>
      <c r="AO83" s="118"/>
      <c r="AP83" s="75" t="str">
        <f aca="false">IF(OR(SUM($AC83)&lt;=0,SUM($G83)&lt;=0),"",ROUND($G83*$AC83,0))</f>
        <v/>
      </c>
      <c r="AQ83" s="75" t="str">
        <f aca="false">IF(SUM($AP83)&lt;=0,"",IF(SUM($AO83)&lt;=0,"ENTER VALID YIELD!",ROUND($AP83/$AO83,0)-$AP83))</f>
        <v/>
      </c>
      <c r="AR83" s="118"/>
      <c r="AS83" s="75" t="str">
        <f aca="false">IF(OR(SUM($AD83)&lt;=0,SUM($G83)&lt;=0),"",ROUND($G83*$AD83,0))</f>
        <v/>
      </c>
      <c r="AT83" s="75" t="str">
        <f aca="false">IF(SUM($AS83)&lt;=0,"",IF(SUM($AR83)&lt;=0,"ENTER VALID YIELD!",ROUND($AS83/$AR83,0)-$AS83))</f>
        <v/>
      </c>
      <c r="AU83" s="118"/>
      <c r="AV83" s="75" t="n">
        <f aca="false">IF(OR(SUM($AE83)&lt;=0,SUM($G83)&lt;=0),"",ROUND($G83*$AE83,0))</f>
        <v>473</v>
      </c>
      <c r="AW83" s="75" t="str">
        <f aca="false">IF(SUM($AV83)&lt;=0,"",IF(SUM($AU83)&lt;=0,"ENTER VALID YIELD!",ROUND($AV83/$AU83,0)-$AV83))</f>
        <v>ENTER VALID YIELD!</v>
      </c>
      <c r="AX83" s="118"/>
      <c r="AY83" s="75" t="n">
        <f aca="false">IF(OR(SUM($AF83)&lt;=0,SUM($G83)&lt;=0),"",ROUND($G83*$AF83,0))</f>
        <v>440</v>
      </c>
      <c r="AZ83" s="75" t="str">
        <f aca="false">IF(SUM($AY83)&lt;=0,"",IF(SUM($AX83)&lt;=0,"ENTER VALID YIELD!",ROUND($AY83/$AX83,0)-$AY83))</f>
        <v>ENTER VALID YIELD!</v>
      </c>
      <c r="BA83" s="118" t="n">
        <v>39</v>
      </c>
      <c r="BB83" s="75" t="n">
        <f aca="false">IF(OR(SUM($AG83)&lt;=0,SUM($G83)&lt;=0),"",ROUND($G83*$AG83,0))</f>
        <v>165</v>
      </c>
      <c r="BC83" s="75" t="n">
        <f aca="false">IF(SUM($BB83)&lt;=0,"",IF(SUM($BA83)&lt;=0,"ENTER VALID YIELD!",ROUND($BB83/$BA83,0)-$BB83))</f>
        <v>-161</v>
      </c>
      <c r="BD83" s="118"/>
      <c r="BE83" s="75" t="n">
        <f aca="false">IF(OR(SUM($AH83)&lt;=0,SUM($G83)&lt;=0),"",ROUND($G83*$AH83,0))</f>
        <v>165</v>
      </c>
      <c r="BF83" s="75" t="str">
        <f aca="false">IF(SUM($BE83)&lt;=0,"",IF(SUM($BD83)&lt;=0,"ENTER VALID YIELD!",ROUND($BE83/$BD83,0)-$BE83))</f>
        <v>ENTER VALID YIELD!</v>
      </c>
      <c r="BG83" s="118"/>
      <c r="BH83" s="75" t="n">
        <f aca="false">IF(OR(SUM($AI83)&lt;=0,SUM($G83)&lt;=0),"",ROUND($G83*$AI83,0))</f>
        <v>220</v>
      </c>
      <c r="BI83" s="75" t="str">
        <f aca="false">IF(SUM($BH83)&lt;=0,"",IF(SUM($BG83)&lt;=0,"ENTER VALID YIELD!",ROUND($BH83/$BG83,0)-$BH83))</f>
        <v>ENTER VALID YIELD!</v>
      </c>
      <c r="BJ83" s="118"/>
      <c r="BK83" s="75" t="n">
        <f aca="false">IF(OR(SUM($AJ83)&lt;=0,SUM($G83)&lt;=0),"",ROUND($G83*$AJ83,0))</f>
        <v>451</v>
      </c>
      <c r="BL83" s="75" t="str">
        <f aca="false">IF(SUM($BK83)&lt;=0,"",IF(SUM($BJ83)&lt;=0,"ENTER VALID YIELD!",ROUND($BK83/$BJ83,0)-$BK83))</f>
        <v>ENTER VALID YIELD!</v>
      </c>
      <c r="BM83" s="73" t="n">
        <f aca="false">IF(SUM($G83)&lt;=0,"",$G83)</f>
        <v>11</v>
      </c>
      <c r="BN83" s="73" t="n">
        <f aca="false">IF(SUM($G83)&lt;=0,"",SUM($I83:$L83,$Q83,$S83,$AM83,$AP83,$AS83,$AV83,$AY83,$BB83,$BE83,$BH83,$BK83))</f>
        <v>2049</v>
      </c>
      <c r="BO83" s="73" t="n">
        <f aca="false">IF(AND(SUM($BN83)&lt;=0,SUM($BM83)&lt;=0),"",SUM($BN83)-SUM($BM83))</f>
        <v>2038</v>
      </c>
      <c r="BP83" s="73" t="str">
        <f aca="false">_xlfn.IFNA(INDEX(PMTCT!$AF:$AF,MATCH($E83,PMTCT!$E:$E,0)),"")</f>
        <v/>
      </c>
      <c r="BQ83" s="73" t="str">
        <f aca="false">_xlfn.IFNA(INDEX(PMTCT!$AV:$AV,MATCH($E83,PMTCT!$E:$E,0)),"")</f>
        <v/>
      </c>
      <c r="BR83" s="73" t="n">
        <f aca="false">_xlfn.IFNA(INDEX(TB!$R:$R,MATCH($E83,TB!$E:$E,0)),"")</f>
        <v>48</v>
      </c>
      <c r="BS83" s="73" t="str">
        <f aca="false">_xlfn.IFNA(INDEX(VMMC!$AD:$AD,MATCH($E83,VMMC!$E:$E,0)),"")</f>
        <v/>
      </c>
      <c r="BT83" s="73" t="n">
        <f aca="false">IF(SUM($R83,$T83,$AN83,$AQ83,$AT83,$AW83,$AZ83,$BC83,$BF83,$BI83,$BL83,$BP83:$BS83)=0,"",SUM($R83,$T83,$AN83,$AQ83,$AT83,$AW83,$AZ83,$BC83,$BF83,$BI83,$BL83,$BP83:$BS83))</f>
        <v>-198</v>
      </c>
      <c r="BU83" s="73" t="n">
        <f aca="false">IF(OR(SUM($BT83)=0,SUM($BN83)=0),"",SUM($BT83,$BN83))</f>
        <v>1851</v>
      </c>
      <c r="BV83" s="118" t="n">
        <f aca="false">IF(SUM($BU83)=0,"",SUM($BN83)/$BU83)</f>
        <v>1.10696920583468</v>
      </c>
      <c r="BW83" s="73"/>
      <c r="BX83" s="118" t="str">
        <f aca="false">IF(OR($C83="01-04",$C83="05-09"),"",0%)</f>
        <v/>
      </c>
      <c r="BY83" s="75" t="str">
        <f aca="false">IF(OR($C83="01-04",$C83="05-09",SUM($BW83)=0),"",ROUND($BW83*(1+$BX83),0))</f>
        <v/>
      </c>
    </row>
    <row r="84" customFormat="false" ht="15" hidden="false" customHeight="false" outlineLevel="0" collapsed="false">
      <c r="A84" s="0" t="s">
        <v>144</v>
      </c>
      <c r="B84" s="0" t="s">
        <v>103</v>
      </c>
      <c r="C84" s="0" t="s">
        <v>83</v>
      </c>
      <c r="D84" s="0" t="s">
        <v>58</v>
      </c>
      <c r="E84" s="0" t="str">
        <f aca="false">B84&amp;"|"&amp;C84&amp;"|"&amp;D84</f>
        <v>Leribe [#SNU] [FjSmRywOWUp]|05-09|Male</v>
      </c>
      <c r="F84" s="118" t="n">
        <f aca="false">_xlfn.IFNA(INDEX(Cascade!$Y:$Y,MATCH($E84,Cascade!$E:$E,0)),"")</f>
        <v>0.654761904761905</v>
      </c>
      <c r="G84" s="73" t="n">
        <f aca="false">_xlfn.IFNA(INDEX(Cascade!$BD:$BD,MATCH($E84,Cascade!$E:$E,0)),"")</f>
        <v>7</v>
      </c>
      <c r="H84" s="73" t="n">
        <f aca="false">_xlfn.IFNA(INDEX(Cascade!$BE:$BE,MATCH($E84,Cascade!$E:$E,0)),"")</f>
        <v>2</v>
      </c>
      <c r="I84" s="73" t="str">
        <f aca="false">_xlfn.IFNA(INDEX(Cascade!$BF:$BF,MATCH($E84,Cascade!$E:$E,0)),"")</f>
        <v/>
      </c>
      <c r="J84" s="73" t="str">
        <f aca="false">_xlfn.IFNA(INDEX(Cascade!$BG:$BG,MATCH($E84,Cascade!$E:$E,0)),"")</f>
        <v/>
      </c>
      <c r="K84" s="73" t="n">
        <f aca="false">_xlfn.IFNA(INDEX(Cascade!$BH:$BH,MATCH($E84,Cascade!$E:$E,0)),"")</f>
        <v>-0</v>
      </c>
      <c r="L84" s="73" t="str">
        <f aca="false">_xlfn.IFNA(INDEX(Cascade!$BI:$BI,MATCH($E84,Cascade!$E:$E,0)),"")</f>
        <v/>
      </c>
      <c r="M84" s="73" t="n">
        <f aca="false">_xlfn.IFNA(INDEX(Cascade!$BK:$BK,MATCH($E84,Cascade!$E:$E,0)),"")</f>
        <v>5</v>
      </c>
      <c r="N84" s="118" t="n">
        <v>36</v>
      </c>
      <c r="O84" s="118" t="n">
        <v>13</v>
      </c>
      <c r="P84" s="118" t="n">
        <v>19</v>
      </c>
      <c r="Q84" s="75" t="n">
        <f aca="false">IF(OR(SUM($H84)=0,SUM($N84)=0,SUM($O84)=0),"",ROUND($H84*$N84,0))</f>
        <v>72</v>
      </c>
      <c r="R84" s="75" t="n">
        <f aca="false">IF(OR(SUM($Q84)=0,SUM($O84)=0),"",ROUND(SUM($Q84)/SUM($O84),0)-SUM($Q84))</f>
        <v>-66</v>
      </c>
      <c r="S84" s="75" t="n">
        <f aca="false">IF(SUM($H84)=0,"",SUM($H84)-SUM($Q84))</f>
        <v>-70</v>
      </c>
      <c r="T84" s="75" t="str">
        <f aca="false">IF(OR(SUM($S84)=0,$N84&gt;1,SUM($P84)&lt;=0),"",ROUND($S84/$P84,0)-$S84)</f>
        <v/>
      </c>
      <c r="U84" s="118" t="n">
        <f aca="false">IF(SUM($G84)&lt;=0,"",SUM($Q84,$S84)/$G84)</f>
        <v>0.285714285714286</v>
      </c>
      <c r="V84" s="118" t="n">
        <f aca="false">IF(OR(SUM($Q84)=0,SUM($G84)=0),"",SUM($Q84)/SUM($G84))</f>
        <v>10.2857142857143</v>
      </c>
      <c r="W84" s="118" t="n">
        <f aca="false">IF(OR(SUM($S84)=0,SUM($G84)=0),"",SUM($S84)/SUM($G84))</f>
        <v>-10</v>
      </c>
      <c r="X84" s="118" t="str">
        <f aca="false">IF(OR(SUM($G84)=0,SUM($I84)=0),"",SUM($I84)/SUM($G84))</f>
        <v/>
      </c>
      <c r="Y84" s="118" t="str">
        <f aca="false">IF(OR(SUM($G84)=0,SUM($J84)=0),"",SUM($J84)/SUM($G84))</f>
        <v/>
      </c>
      <c r="Z84" s="118" t="str">
        <f aca="false">IF(OR(SUM($G84)=0,SUM($K84)=0),"",SUM($K84)/SUM($G84))</f>
        <v/>
      </c>
      <c r="AA84" s="118" t="str">
        <f aca="false">IF(OR(SUM($G84)=0,SUM($L84)=0),"",SUM($L84)/SUM($G84))</f>
        <v/>
      </c>
      <c r="AB84" s="118" t="n">
        <v>2</v>
      </c>
      <c r="AC84" s="118"/>
      <c r="AD84" s="118"/>
      <c r="AE84" s="118" t="n">
        <v>39</v>
      </c>
      <c r="AF84" s="118" t="n">
        <v>9</v>
      </c>
      <c r="AG84" s="118" t="n">
        <v>41</v>
      </c>
      <c r="AH84" s="118" t="n">
        <v>47</v>
      </c>
      <c r="AI84" s="118" t="n">
        <v>2</v>
      </c>
      <c r="AJ84" s="118" t="n">
        <v>50</v>
      </c>
      <c r="AK84" s="118" t="n">
        <f aca="false">IF(SUM($G84)&lt;=0,"",SUM($V84:$AJ84))</f>
        <v>190.285714285714</v>
      </c>
      <c r="AL84" s="118"/>
      <c r="AM84" s="75" t="n">
        <f aca="false">IF(OR(SUM($AB84)&lt;=0,SUM($G84)&lt;=0),"",ROUND($G84*$AB84,0))</f>
        <v>14</v>
      </c>
      <c r="AN84" s="75" t="str">
        <f aca="false">IF(SUM($AM84)&lt;=0,"",IF(SUM($AL84)&lt;=0,"ENTER VALID YIELD!",ROUND($AM84/$AL84,0)-$AM84))</f>
        <v>ENTER VALID YIELD!</v>
      </c>
      <c r="AO84" s="118"/>
      <c r="AP84" s="75" t="str">
        <f aca="false">IF(OR(SUM($AC84)&lt;=0,SUM($G84)&lt;=0),"",ROUND($G84*$AC84,0))</f>
        <v/>
      </c>
      <c r="AQ84" s="75" t="str">
        <f aca="false">IF(SUM($AP84)&lt;=0,"",IF(SUM($AO84)&lt;=0,"ENTER VALID YIELD!",ROUND($AP84/$AO84,0)-$AP84))</f>
        <v/>
      </c>
      <c r="AR84" s="118"/>
      <c r="AS84" s="75" t="str">
        <f aca="false">IF(OR(SUM($AD84)&lt;=0,SUM($G84)&lt;=0),"",ROUND($G84*$AD84,0))</f>
        <v/>
      </c>
      <c r="AT84" s="75" t="str">
        <f aca="false">IF(SUM($AS84)&lt;=0,"",IF(SUM($AR84)&lt;=0,"ENTER VALID YIELD!",ROUND($AS84/$AR84,0)-$AS84))</f>
        <v/>
      </c>
      <c r="AU84" s="118"/>
      <c r="AV84" s="75" t="n">
        <f aca="false">IF(OR(SUM($AE84)&lt;=0,SUM($G84)&lt;=0),"",ROUND($G84*$AE84,0))</f>
        <v>273</v>
      </c>
      <c r="AW84" s="75" t="str">
        <f aca="false">IF(SUM($AV84)&lt;=0,"",IF(SUM($AU84)&lt;=0,"ENTER VALID YIELD!",ROUND($AV84/$AU84,0)-$AV84))</f>
        <v>ENTER VALID YIELD!</v>
      </c>
      <c r="AX84" s="118"/>
      <c r="AY84" s="75" t="n">
        <f aca="false">IF(OR(SUM($AF84)&lt;=0,SUM($G84)&lt;=0),"",ROUND($G84*$AF84,0))</f>
        <v>63</v>
      </c>
      <c r="AZ84" s="75" t="str">
        <f aca="false">IF(SUM($AY84)&lt;=0,"",IF(SUM($AX84)&lt;=0,"ENTER VALID YIELD!",ROUND($AY84/$AX84,0)-$AY84))</f>
        <v>ENTER VALID YIELD!</v>
      </c>
      <c r="BA84" s="118" t="n">
        <v>13</v>
      </c>
      <c r="BB84" s="75" t="n">
        <f aca="false">IF(OR(SUM($AG84)&lt;=0,SUM($G84)&lt;=0),"",ROUND($G84*$AG84,0))</f>
        <v>287</v>
      </c>
      <c r="BC84" s="75" t="n">
        <f aca="false">IF(SUM($BB84)&lt;=0,"",IF(SUM($BA84)&lt;=0,"ENTER VALID YIELD!",ROUND($BB84/$BA84,0)-$BB84))</f>
        <v>-265</v>
      </c>
      <c r="BD84" s="118"/>
      <c r="BE84" s="75" t="n">
        <f aca="false">IF(OR(SUM($AH84)&lt;=0,SUM($G84)&lt;=0),"",ROUND($G84*$AH84,0))</f>
        <v>329</v>
      </c>
      <c r="BF84" s="75" t="str">
        <f aca="false">IF(SUM($BE84)&lt;=0,"",IF(SUM($BD84)&lt;=0,"ENTER VALID YIELD!",ROUND($BE84/$BD84,0)-$BE84))</f>
        <v>ENTER VALID YIELD!</v>
      </c>
      <c r="BG84" s="118"/>
      <c r="BH84" s="75" t="n">
        <f aca="false">IF(OR(SUM($AI84)&lt;=0,SUM($G84)&lt;=0),"",ROUND($G84*$AI84,0))</f>
        <v>14</v>
      </c>
      <c r="BI84" s="75" t="str">
        <f aca="false">IF(SUM($BH84)&lt;=0,"",IF(SUM($BG84)&lt;=0,"ENTER VALID YIELD!",ROUND($BH84/$BG84,0)-$BH84))</f>
        <v>ENTER VALID YIELD!</v>
      </c>
      <c r="BJ84" s="118"/>
      <c r="BK84" s="75" t="n">
        <f aca="false">IF(OR(SUM($AJ84)&lt;=0,SUM($G84)&lt;=0),"",ROUND($G84*$AJ84,0))</f>
        <v>350</v>
      </c>
      <c r="BL84" s="75" t="str">
        <f aca="false">IF(SUM($BK84)&lt;=0,"",IF(SUM($BJ84)&lt;=0,"ENTER VALID YIELD!",ROUND($BK84/$BJ84,0)-$BK84))</f>
        <v>ENTER VALID YIELD!</v>
      </c>
      <c r="BM84" s="73" t="n">
        <f aca="false">IF(SUM($G84)&lt;=0,"",$G84)</f>
        <v>7</v>
      </c>
      <c r="BN84" s="73" t="n">
        <f aca="false">IF(SUM($G84)&lt;=0,"",SUM($I84:$L84,$Q84,$S84,$AM84,$AP84,$AS84,$AV84,$AY84,$BB84,$BE84,$BH84,$BK84))</f>
        <v>1332</v>
      </c>
      <c r="BO84" s="73" t="n">
        <f aca="false">IF(AND(SUM($BN84)&lt;=0,SUM($BM84)&lt;=0),"",SUM($BN84)-SUM($BM84))</f>
        <v>1325</v>
      </c>
      <c r="BP84" s="73" t="str">
        <f aca="false">_xlfn.IFNA(INDEX(PMTCT!$AF:$AF,MATCH($E84,PMTCT!$E:$E,0)),"")</f>
        <v/>
      </c>
      <c r="BQ84" s="73" t="str">
        <f aca="false">_xlfn.IFNA(INDEX(PMTCT!$AV:$AV,MATCH($E84,PMTCT!$E:$E,0)),"")</f>
        <v/>
      </c>
      <c r="BR84" s="73" t="n">
        <f aca="false">_xlfn.IFNA(INDEX(TB!$R:$R,MATCH($E84,TB!$E:$E,0)),"")</f>
        <v>-200</v>
      </c>
      <c r="BS84" s="73" t="str">
        <f aca="false">_xlfn.IFNA(INDEX(VMMC!$AD:$AD,MATCH($E84,VMMC!$E:$E,0)),"")</f>
        <v/>
      </c>
      <c r="BT84" s="73" t="n">
        <f aca="false">IF(SUM($R84,$T84,$AN84,$AQ84,$AT84,$AW84,$AZ84,$BC84,$BF84,$BI84,$BL84,$BP84:$BS84)=0,"",SUM($R84,$T84,$AN84,$AQ84,$AT84,$AW84,$AZ84,$BC84,$BF84,$BI84,$BL84,$BP84:$BS84))</f>
        <v>-531</v>
      </c>
      <c r="BU84" s="73" t="n">
        <f aca="false">IF(OR(SUM($BT84)=0,SUM($BN84)=0),"",SUM($BT84,$BN84))</f>
        <v>801</v>
      </c>
      <c r="BV84" s="118" t="n">
        <f aca="false">IF(SUM($BU84)=0,"",SUM($BN84)/$BU84)</f>
        <v>1.66292134831461</v>
      </c>
      <c r="BW84" s="73"/>
      <c r="BX84" s="118" t="str">
        <f aca="false">IF(OR($C84="01-04",$C84="05-09"),"",0%)</f>
        <v/>
      </c>
      <c r="BY84" s="75" t="str">
        <f aca="false">IF(OR($C84="01-04",$C84="05-09",SUM($BW84)=0),"",ROUND($BW84*(1+$BX84),0))</f>
        <v/>
      </c>
    </row>
    <row r="85" customFormat="false" ht="15" hidden="false" customHeight="false" outlineLevel="0" collapsed="false">
      <c r="A85" s="0" t="s">
        <v>144</v>
      </c>
      <c r="B85" s="0" t="s">
        <v>103</v>
      </c>
      <c r="C85" s="0" t="s">
        <v>61</v>
      </c>
      <c r="D85" s="0" t="s">
        <v>56</v>
      </c>
      <c r="E85" s="0" t="str">
        <f aca="false">B85&amp;"|"&amp;C85&amp;"|"&amp;D85</f>
        <v>Leribe [#SNU] [FjSmRywOWUp]|10-14|Female</v>
      </c>
      <c r="F85" s="118" t="n">
        <f aca="false">_xlfn.IFNA(INDEX(Cascade!$Y:$Y,MATCH($E85,Cascade!$E:$E,0)),"")</f>
        <v>0.814356435643564</v>
      </c>
      <c r="G85" s="73" t="n">
        <f aca="false">_xlfn.IFNA(INDEX(Cascade!$BD:$BD,MATCH($E85,Cascade!$E:$E,0)),"")</f>
        <v>5</v>
      </c>
      <c r="H85" s="73" t="n">
        <f aca="false">_xlfn.IFNA(INDEX(Cascade!$BE:$BE,MATCH($E85,Cascade!$E:$E,0)),"")</f>
        <v>4</v>
      </c>
      <c r="I85" s="73" t="n">
        <f aca="false">_xlfn.IFNA(INDEX(Cascade!$BF:$BF,MATCH($E85,Cascade!$E:$E,0)),"")</f>
        <v>0</v>
      </c>
      <c r="J85" s="73" t="n">
        <f aca="false">_xlfn.IFNA(INDEX(Cascade!$BG:$BG,MATCH($E85,Cascade!$E:$E,0)),"")</f>
        <v>0</v>
      </c>
      <c r="K85" s="73" t="n">
        <f aca="false">_xlfn.IFNA(INDEX(Cascade!$BH:$BH,MATCH($E85,Cascade!$E:$E,0)),"")</f>
        <v>-10332</v>
      </c>
      <c r="L85" s="73" t="str">
        <f aca="false">_xlfn.IFNA(INDEX(Cascade!$BI:$BI,MATCH($E85,Cascade!$E:$E,0)),"")</f>
        <v/>
      </c>
      <c r="M85" s="73" t="n">
        <f aca="false">_xlfn.IFNA(INDEX(Cascade!$BK:$BK,MATCH($E85,Cascade!$E:$E,0)),"")</f>
        <v>10333</v>
      </c>
      <c r="N85" s="118" t="n">
        <v>28</v>
      </c>
      <c r="O85" s="118"/>
      <c r="P85" s="118" t="n">
        <v>32</v>
      </c>
      <c r="Q85" s="75" t="str">
        <f aca="false">IF(OR(SUM($H85)=0,SUM($N85)=0,SUM($O85)=0),"",ROUND($H85*$N85,0))</f>
        <v/>
      </c>
      <c r="R85" s="75" t="str">
        <f aca="false">IF(OR(SUM($Q85)=0,SUM($O85)=0),"",ROUND(SUM($Q85)/SUM($O85),0)-SUM($Q85))</f>
        <v/>
      </c>
      <c r="S85" s="75" t="n">
        <f aca="false">IF(SUM($H85)=0,"",SUM($H85)-SUM($Q85))</f>
        <v>4</v>
      </c>
      <c r="T85" s="75" t="str">
        <f aca="false">IF(OR(SUM($S85)=0,$N85&gt;1,SUM($P85)&lt;=0),"",ROUND($S85/$P85,0)-$S85)</f>
        <v/>
      </c>
      <c r="U85" s="118" t="n">
        <f aca="false">IF(SUM($G85)&lt;=0,"",SUM($Q85,$S85)/$G85)</f>
        <v>0.8</v>
      </c>
      <c r="V85" s="118" t="str">
        <f aca="false">IF(OR(SUM($Q85)=0,SUM($G85)=0),"",SUM($Q85)/SUM($G85))</f>
        <v/>
      </c>
      <c r="W85" s="118" t="n">
        <f aca="false">IF(OR(SUM($S85)=0,SUM($G85)=0),"",SUM($S85)/SUM($G85))</f>
        <v>0.8</v>
      </c>
      <c r="X85" s="118" t="str">
        <f aca="false">IF(OR(SUM($G85)=0,SUM($I85)=0),"",SUM($I85)/SUM($G85))</f>
        <v/>
      </c>
      <c r="Y85" s="118" t="str">
        <f aca="false">IF(OR(SUM($G85)=0,SUM($J85)=0),"",SUM($J85)/SUM($G85))</f>
        <v/>
      </c>
      <c r="Z85" s="118" t="n">
        <f aca="false">IF(OR(SUM($G85)=0,SUM($K85)=0),"",SUM($K85)/SUM($G85))</f>
        <v>-2066.4</v>
      </c>
      <c r="AA85" s="118" t="str">
        <f aca="false">IF(OR(SUM($G85)=0,SUM($L85)=0),"",SUM($L85)/SUM($G85))</f>
        <v/>
      </c>
      <c r="AB85" s="118" t="n">
        <v>17</v>
      </c>
      <c r="AC85" s="118"/>
      <c r="AD85" s="118"/>
      <c r="AE85" s="118" t="n">
        <v>24</v>
      </c>
      <c r="AF85" s="118" t="n">
        <v>1</v>
      </c>
      <c r="AG85" s="118" t="n">
        <v>46</v>
      </c>
      <c r="AH85" s="118" t="n">
        <v>14</v>
      </c>
      <c r="AI85" s="118" t="n">
        <v>21</v>
      </c>
      <c r="AJ85" s="118" t="n">
        <v>26</v>
      </c>
      <c r="AK85" s="118" t="n">
        <f aca="false">IF(SUM($G85)&lt;=0,"",SUM($V85:$AJ85))</f>
        <v>-1916.6</v>
      </c>
      <c r="AL85" s="118"/>
      <c r="AM85" s="75" t="n">
        <f aca="false">IF(OR(SUM($AB85)&lt;=0,SUM($G85)&lt;=0),"",ROUND($G85*$AB85,0))</f>
        <v>85</v>
      </c>
      <c r="AN85" s="75" t="str">
        <f aca="false">IF(SUM($AM85)&lt;=0,"",IF(SUM($AL85)&lt;=0,"ENTER VALID YIELD!",ROUND($AM85/$AL85,0)-$AM85))</f>
        <v>ENTER VALID YIELD!</v>
      </c>
      <c r="AO85" s="118"/>
      <c r="AP85" s="75" t="str">
        <f aca="false">IF(OR(SUM($AC85)&lt;=0,SUM($G85)&lt;=0),"",ROUND($G85*$AC85,0))</f>
        <v/>
      </c>
      <c r="AQ85" s="75" t="str">
        <f aca="false">IF(SUM($AP85)&lt;=0,"",IF(SUM($AO85)&lt;=0,"ENTER VALID YIELD!",ROUND($AP85/$AO85,0)-$AP85))</f>
        <v/>
      </c>
      <c r="AR85" s="118"/>
      <c r="AS85" s="75" t="str">
        <f aca="false">IF(OR(SUM($AD85)&lt;=0,SUM($G85)&lt;=0),"",ROUND($G85*$AD85,0))</f>
        <v/>
      </c>
      <c r="AT85" s="75" t="str">
        <f aca="false">IF(SUM($AS85)&lt;=0,"",IF(SUM($AR85)&lt;=0,"ENTER VALID YIELD!",ROUND($AS85/$AR85,0)-$AS85))</f>
        <v/>
      </c>
      <c r="AU85" s="118"/>
      <c r="AV85" s="75" t="n">
        <f aca="false">IF(OR(SUM($AE85)&lt;=0,SUM($G85)&lt;=0),"",ROUND($G85*$AE85,0))</f>
        <v>120</v>
      </c>
      <c r="AW85" s="75" t="str">
        <f aca="false">IF(SUM($AV85)&lt;=0,"",IF(SUM($AU85)&lt;=0,"ENTER VALID YIELD!",ROUND($AV85/$AU85,0)-$AV85))</f>
        <v>ENTER VALID YIELD!</v>
      </c>
      <c r="AX85" s="118"/>
      <c r="AY85" s="75" t="n">
        <f aca="false">IF(OR(SUM($AF85)&lt;=0,SUM($G85)&lt;=0),"",ROUND($G85*$AF85,0))</f>
        <v>5</v>
      </c>
      <c r="AZ85" s="75" t="str">
        <f aca="false">IF(SUM($AY85)&lt;=0,"",IF(SUM($AX85)&lt;=0,"ENTER VALID YIELD!",ROUND($AY85/$AX85,0)-$AY85))</f>
        <v>ENTER VALID YIELD!</v>
      </c>
      <c r="BA85" s="118" t="n">
        <v>9</v>
      </c>
      <c r="BB85" s="75" t="n">
        <f aca="false">IF(OR(SUM($AG85)&lt;=0,SUM($G85)&lt;=0),"",ROUND($G85*$AG85,0))</f>
        <v>230</v>
      </c>
      <c r="BC85" s="75" t="n">
        <f aca="false">IF(SUM($BB85)&lt;=0,"",IF(SUM($BA85)&lt;=0,"ENTER VALID YIELD!",ROUND($BB85/$BA85,0)-$BB85))</f>
        <v>-204</v>
      </c>
      <c r="BD85" s="118"/>
      <c r="BE85" s="75" t="n">
        <f aca="false">IF(OR(SUM($AH85)&lt;=0,SUM($G85)&lt;=0),"",ROUND($G85*$AH85,0))</f>
        <v>70</v>
      </c>
      <c r="BF85" s="75" t="str">
        <f aca="false">IF(SUM($BE85)&lt;=0,"",IF(SUM($BD85)&lt;=0,"ENTER VALID YIELD!",ROUND($BE85/$BD85,0)-$BE85))</f>
        <v>ENTER VALID YIELD!</v>
      </c>
      <c r="BG85" s="118"/>
      <c r="BH85" s="75" t="n">
        <f aca="false">IF(OR(SUM($AI85)&lt;=0,SUM($G85)&lt;=0),"",ROUND($G85*$AI85,0))</f>
        <v>105</v>
      </c>
      <c r="BI85" s="75" t="str">
        <f aca="false">IF(SUM($BH85)&lt;=0,"",IF(SUM($BG85)&lt;=0,"ENTER VALID YIELD!",ROUND($BH85/$BG85,0)-$BH85))</f>
        <v>ENTER VALID YIELD!</v>
      </c>
      <c r="BJ85" s="118"/>
      <c r="BK85" s="75" t="n">
        <f aca="false">IF(OR(SUM($AJ85)&lt;=0,SUM($G85)&lt;=0),"",ROUND($G85*$AJ85,0))</f>
        <v>130</v>
      </c>
      <c r="BL85" s="75" t="str">
        <f aca="false">IF(SUM($BK85)&lt;=0,"",IF(SUM($BJ85)&lt;=0,"ENTER VALID YIELD!",ROUND($BK85/$BJ85,0)-$BK85))</f>
        <v>ENTER VALID YIELD!</v>
      </c>
      <c r="BM85" s="73" t="n">
        <f aca="false">IF(SUM($G85)&lt;=0,"",$G85)</f>
        <v>5</v>
      </c>
      <c r="BN85" s="73" t="n">
        <f aca="false">IF(SUM($G85)&lt;=0,"",SUM($I85:$L85,$Q85,$S85,$AM85,$AP85,$AS85,$AV85,$AY85,$BB85,$BE85,$BH85,$BK85))</f>
        <v>-9583</v>
      </c>
      <c r="BO85" s="73" t="n">
        <f aca="false">IF(AND(SUM($BN85)&lt;=0,SUM($BM85)&lt;=0),"",SUM($BN85)-SUM($BM85))</f>
        <v>-9588</v>
      </c>
      <c r="BP85" s="73" t="n">
        <f aca="false">_xlfn.IFNA(INDEX(PMTCT!$AF:$AF,MATCH($E85,PMTCT!$E:$E,0)),"")</f>
        <v>1</v>
      </c>
      <c r="BQ85" s="73" t="n">
        <f aca="false">_xlfn.IFNA(INDEX(PMTCT!$AV:$AV,MATCH($E85,PMTCT!$E:$E,0)),"")</f>
        <v>1</v>
      </c>
      <c r="BR85" s="73" t="n">
        <f aca="false">_xlfn.IFNA(INDEX(TB!$R:$R,MATCH($E85,TB!$E:$E,0)),"")</f>
        <v>9840</v>
      </c>
      <c r="BS85" s="73" t="str">
        <f aca="false">_xlfn.IFNA(INDEX(VMMC!$AD:$AD,MATCH($E85,VMMC!$E:$E,0)),"")</f>
        <v/>
      </c>
      <c r="BT85" s="73" t="n">
        <f aca="false">IF(SUM($R85,$T85,$AN85,$AQ85,$AT85,$AW85,$AZ85,$BC85,$BF85,$BI85,$BL85,$BP85:$BS85)=0,"",SUM($R85,$T85,$AN85,$AQ85,$AT85,$AW85,$AZ85,$BC85,$BF85,$BI85,$BL85,$BP85:$BS85))</f>
        <v>9638</v>
      </c>
      <c r="BU85" s="73" t="n">
        <f aca="false">IF(OR(SUM($BT85)=0,SUM($BN85)=0),"",SUM($BT85,$BN85))</f>
        <v>55</v>
      </c>
      <c r="BV85" s="118" t="n">
        <f aca="false">IF(SUM($BU85)=0,"",SUM($BN85)/$BU85)</f>
        <v>-174.236363636364</v>
      </c>
      <c r="BW85" s="73" t="n">
        <v>0</v>
      </c>
      <c r="BX85" s="118" t="n">
        <f aca="false">IF(OR($C85="01-04",$C85="05-09"),"",0%)</f>
        <v>0</v>
      </c>
      <c r="BY85" s="75" t="str">
        <f aca="false">IF(OR($C85="01-04",$C85="05-09",SUM($BW85)=0),"",ROUND($BW85*(1+$BX85),0))</f>
        <v/>
      </c>
    </row>
    <row r="86" customFormat="false" ht="15" hidden="false" customHeight="false" outlineLevel="0" collapsed="false">
      <c r="A86" s="0" t="s">
        <v>144</v>
      </c>
      <c r="B86" s="0" t="s">
        <v>103</v>
      </c>
      <c r="C86" s="0" t="s">
        <v>61</v>
      </c>
      <c r="D86" s="0" t="s">
        <v>58</v>
      </c>
      <c r="E86" s="0" t="str">
        <f aca="false">B86&amp;"|"&amp;C86&amp;"|"&amp;D86</f>
        <v>Leribe [#SNU] [FjSmRywOWUp]|10-14|Male</v>
      </c>
      <c r="F86" s="118" t="n">
        <f aca="false">_xlfn.IFNA(INDEX(Cascade!$Y:$Y,MATCH($E86,Cascade!$E:$E,0)),"")</f>
        <v>0.822660098522167</v>
      </c>
      <c r="G86" s="73" t="n">
        <f aca="false">_xlfn.IFNA(INDEX(Cascade!$BD:$BD,MATCH($E86,Cascade!$E:$E,0)),"")</f>
        <v>1</v>
      </c>
      <c r="H86" s="73" t="n">
        <f aca="false">_xlfn.IFNA(INDEX(Cascade!$BE:$BE,MATCH($E86,Cascade!$E:$E,0)),"")</f>
        <v>1</v>
      </c>
      <c r="I86" s="73" t="str">
        <f aca="false">_xlfn.IFNA(INDEX(Cascade!$BF:$BF,MATCH($E86,Cascade!$E:$E,0)),"")</f>
        <v/>
      </c>
      <c r="J86" s="73" t="str">
        <f aca="false">_xlfn.IFNA(INDEX(Cascade!$BG:$BG,MATCH($E86,Cascade!$E:$E,0)),"")</f>
        <v/>
      </c>
      <c r="K86" s="73" t="n">
        <f aca="false">_xlfn.IFNA(INDEX(Cascade!$BH:$BH,MATCH($E86,Cascade!$E:$E,0)),"")</f>
        <v>-0</v>
      </c>
      <c r="L86" s="73" t="str">
        <f aca="false">_xlfn.IFNA(INDEX(Cascade!$BI:$BI,MATCH($E86,Cascade!$E:$E,0)),"")</f>
        <v/>
      </c>
      <c r="M86" s="73" t="n">
        <f aca="false">_xlfn.IFNA(INDEX(Cascade!$BK:$BK,MATCH($E86,Cascade!$E:$E,0)),"")</f>
        <v>0</v>
      </c>
      <c r="N86" s="118" t="n">
        <v>10</v>
      </c>
      <c r="O86" s="118"/>
      <c r="P86" s="118" t="n">
        <v>21</v>
      </c>
      <c r="Q86" s="75" t="str">
        <f aca="false">IF(OR(SUM($H86)=0,SUM($N86)=0,SUM($O86)=0),"",ROUND($H86*$N86,0))</f>
        <v/>
      </c>
      <c r="R86" s="75" t="str">
        <f aca="false">IF(OR(SUM($Q86)=0,SUM($O86)=0),"",ROUND(SUM($Q86)/SUM($O86),0)-SUM($Q86))</f>
        <v/>
      </c>
      <c r="S86" s="75" t="n">
        <f aca="false">IF(SUM($H86)=0,"",SUM($H86)-SUM($Q86))</f>
        <v>1</v>
      </c>
      <c r="T86" s="75" t="str">
        <f aca="false">IF(OR(SUM($S86)=0,$N86&gt;1,SUM($P86)&lt;=0),"",ROUND($S86/$P86,0)-$S86)</f>
        <v/>
      </c>
      <c r="U86" s="118" t="n">
        <f aca="false">IF(SUM($G86)&lt;=0,"",SUM($Q86,$S86)/$G86)</f>
        <v>1</v>
      </c>
      <c r="V86" s="118" t="str">
        <f aca="false">IF(OR(SUM($Q86)=0,SUM($G86)=0),"",SUM($Q86)/SUM($G86))</f>
        <v/>
      </c>
      <c r="W86" s="118" t="n">
        <f aca="false">IF(OR(SUM($S86)=0,SUM($G86)=0),"",SUM($S86)/SUM($G86))</f>
        <v>1</v>
      </c>
      <c r="X86" s="118" t="str">
        <f aca="false">IF(OR(SUM($G86)=0,SUM($I86)=0),"",SUM($I86)/SUM($G86))</f>
        <v/>
      </c>
      <c r="Y86" s="118" t="str">
        <f aca="false">IF(OR(SUM($G86)=0,SUM($J86)=0),"",SUM($J86)/SUM($G86))</f>
        <v/>
      </c>
      <c r="Z86" s="118" t="str">
        <f aca="false">IF(OR(SUM($G86)=0,SUM($K86)=0),"",SUM($K86)/SUM($G86))</f>
        <v/>
      </c>
      <c r="AA86" s="118" t="str">
        <f aca="false">IF(OR(SUM($G86)=0,SUM($L86)=0),"",SUM($L86)/SUM($G86))</f>
        <v/>
      </c>
      <c r="AB86" s="118" t="n">
        <v>0</v>
      </c>
      <c r="AC86" s="118"/>
      <c r="AD86" s="118"/>
      <c r="AE86" s="118" t="n">
        <v>39</v>
      </c>
      <c r="AF86" s="118" t="n">
        <v>15</v>
      </c>
      <c r="AG86" s="118" t="n">
        <v>48</v>
      </c>
      <c r="AH86" s="118" t="n">
        <v>40</v>
      </c>
      <c r="AI86" s="118" t="n">
        <v>19</v>
      </c>
      <c r="AJ86" s="118" t="n">
        <v>1</v>
      </c>
      <c r="AK86" s="118" t="n">
        <f aca="false">IF(SUM($G86)&lt;=0,"",SUM($V86:$AJ86))</f>
        <v>163</v>
      </c>
      <c r="AL86" s="118"/>
      <c r="AM86" s="75" t="str">
        <f aca="false">IF(OR(SUM($AB86)&lt;=0,SUM($G86)&lt;=0),"",ROUND($G86*$AB86,0))</f>
        <v/>
      </c>
      <c r="AN86" s="75" t="str">
        <f aca="false">IF(SUM($AM86)&lt;=0,"",IF(SUM($AL86)&lt;=0,"ENTER VALID YIELD!",ROUND($AM86/$AL86,0)-$AM86))</f>
        <v/>
      </c>
      <c r="AO86" s="118"/>
      <c r="AP86" s="75" t="str">
        <f aca="false">IF(OR(SUM($AC86)&lt;=0,SUM($G86)&lt;=0),"",ROUND($G86*$AC86,0))</f>
        <v/>
      </c>
      <c r="AQ86" s="75" t="str">
        <f aca="false">IF(SUM($AP86)&lt;=0,"",IF(SUM($AO86)&lt;=0,"ENTER VALID YIELD!",ROUND($AP86/$AO86,0)-$AP86))</f>
        <v/>
      </c>
      <c r="AR86" s="118"/>
      <c r="AS86" s="75" t="str">
        <f aca="false">IF(OR(SUM($AD86)&lt;=0,SUM($G86)&lt;=0),"",ROUND($G86*$AD86,0))</f>
        <v/>
      </c>
      <c r="AT86" s="75" t="str">
        <f aca="false">IF(SUM($AS86)&lt;=0,"",IF(SUM($AR86)&lt;=0,"ENTER VALID YIELD!",ROUND($AS86/$AR86,0)-$AS86))</f>
        <v/>
      </c>
      <c r="AU86" s="118"/>
      <c r="AV86" s="75" t="n">
        <f aca="false">IF(OR(SUM($AE86)&lt;=0,SUM($G86)&lt;=0),"",ROUND($G86*$AE86,0))</f>
        <v>39</v>
      </c>
      <c r="AW86" s="75" t="str">
        <f aca="false">IF(SUM($AV86)&lt;=0,"",IF(SUM($AU86)&lt;=0,"ENTER VALID YIELD!",ROUND($AV86/$AU86,0)-$AV86))</f>
        <v>ENTER VALID YIELD!</v>
      </c>
      <c r="AX86" s="118"/>
      <c r="AY86" s="75" t="n">
        <f aca="false">IF(OR(SUM($AF86)&lt;=0,SUM($G86)&lt;=0),"",ROUND($G86*$AF86,0))</f>
        <v>15</v>
      </c>
      <c r="AZ86" s="75" t="str">
        <f aca="false">IF(SUM($AY86)&lt;=0,"",IF(SUM($AX86)&lt;=0,"ENTER VALID YIELD!",ROUND($AY86/$AX86,0)-$AY86))</f>
        <v>ENTER VALID YIELD!</v>
      </c>
      <c r="BA86" s="118" t="n">
        <v>48</v>
      </c>
      <c r="BB86" s="75" t="n">
        <f aca="false">IF(OR(SUM($AG86)&lt;=0,SUM($G86)&lt;=0),"",ROUND($G86*$AG86,0))</f>
        <v>48</v>
      </c>
      <c r="BC86" s="75" t="n">
        <f aca="false">IF(SUM($BB86)&lt;=0,"",IF(SUM($BA86)&lt;=0,"ENTER VALID YIELD!",ROUND($BB86/$BA86,0)-$BB86))</f>
        <v>-47</v>
      </c>
      <c r="BD86" s="118"/>
      <c r="BE86" s="75" t="n">
        <f aca="false">IF(OR(SUM($AH86)&lt;=0,SUM($G86)&lt;=0),"",ROUND($G86*$AH86,0))</f>
        <v>40</v>
      </c>
      <c r="BF86" s="75" t="str">
        <f aca="false">IF(SUM($BE86)&lt;=0,"",IF(SUM($BD86)&lt;=0,"ENTER VALID YIELD!",ROUND($BE86/$BD86,0)-$BE86))</f>
        <v>ENTER VALID YIELD!</v>
      </c>
      <c r="BG86" s="118"/>
      <c r="BH86" s="75" t="n">
        <f aca="false">IF(OR(SUM($AI86)&lt;=0,SUM($G86)&lt;=0),"",ROUND($G86*$AI86,0))</f>
        <v>19</v>
      </c>
      <c r="BI86" s="75" t="str">
        <f aca="false">IF(SUM($BH86)&lt;=0,"",IF(SUM($BG86)&lt;=0,"ENTER VALID YIELD!",ROUND($BH86/$BG86,0)-$BH86))</f>
        <v>ENTER VALID YIELD!</v>
      </c>
      <c r="BJ86" s="118"/>
      <c r="BK86" s="75" t="n">
        <f aca="false">IF(OR(SUM($AJ86)&lt;=0,SUM($G86)&lt;=0),"",ROUND($G86*$AJ86,0))</f>
        <v>1</v>
      </c>
      <c r="BL86" s="75" t="str">
        <f aca="false">IF(SUM($BK86)&lt;=0,"",IF(SUM($BJ86)&lt;=0,"ENTER VALID YIELD!",ROUND($BK86/$BJ86,0)-$BK86))</f>
        <v>ENTER VALID YIELD!</v>
      </c>
      <c r="BM86" s="73" t="n">
        <f aca="false">IF(SUM($G86)&lt;=0,"",$G86)</f>
        <v>1</v>
      </c>
      <c r="BN86" s="73" t="n">
        <f aca="false">IF(SUM($G86)&lt;=0,"",SUM($I86:$L86,$Q86,$S86,$AM86,$AP86,$AS86,$AV86,$AY86,$BB86,$BE86,$BH86,$BK86))</f>
        <v>163</v>
      </c>
      <c r="BO86" s="73" t="n">
        <f aca="false">IF(AND(SUM($BN86)&lt;=0,SUM($BM86)&lt;=0),"",SUM($BN86)-SUM($BM86))</f>
        <v>162</v>
      </c>
      <c r="BP86" s="73" t="str">
        <f aca="false">_xlfn.IFNA(INDEX(PMTCT!$AF:$AF,MATCH($E86,PMTCT!$E:$E,0)),"")</f>
        <v/>
      </c>
      <c r="BQ86" s="73" t="str">
        <f aca="false">_xlfn.IFNA(INDEX(PMTCT!$AV:$AV,MATCH($E86,PMTCT!$E:$E,0)),"")</f>
        <v/>
      </c>
      <c r="BR86" s="73" t="n">
        <f aca="false">_xlfn.IFNA(INDEX(TB!$R:$R,MATCH($E86,TB!$E:$E,0)),"")</f>
        <v>-1189</v>
      </c>
      <c r="BS86" s="73" t="str">
        <f aca="false">_xlfn.IFNA(INDEX(VMMC!$AD:$AD,MATCH($E86,VMMC!$E:$E,0)),"")</f>
        <v/>
      </c>
      <c r="BT86" s="73" t="n">
        <f aca="false">IF(SUM($R86,$T86,$AN86,$AQ86,$AT86,$AW86,$AZ86,$BC86,$BF86,$BI86,$BL86,$BP86:$BS86)=0,"",SUM($R86,$T86,$AN86,$AQ86,$AT86,$AW86,$AZ86,$BC86,$BF86,$BI86,$BL86,$BP86:$BS86))</f>
        <v>-1236</v>
      </c>
      <c r="BU86" s="73" t="n">
        <f aca="false">IF(OR(SUM($BT86)=0,SUM($BN86)=0),"",SUM($BT86,$BN86))</f>
        <v>-1073</v>
      </c>
      <c r="BV86" s="118" t="n">
        <f aca="false">IF(SUM($BU86)=0,"",SUM($BN86)/$BU86)</f>
        <v>-0.151910531220876</v>
      </c>
      <c r="BW86" s="73" t="n">
        <v>21</v>
      </c>
      <c r="BX86" s="118" t="n">
        <f aca="false">IF(OR($C86="01-04",$C86="05-09"),"",0%)</f>
        <v>0</v>
      </c>
      <c r="BY86" s="75" t="n">
        <f aca="false">IF(OR($C86="01-04",$C86="05-09",SUM($BW86)=0),"",ROUND($BW86*(1+$BX86),0))</f>
        <v>21</v>
      </c>
    </row>
    <row r="87" customFormat="false" ht="15" hidden="false" customHeight="false" outlineLevel="0" collapsed="false">
      <c r="A87" s="0" t="s">
        <v>144</v>
      </c>
      <c r="B87" s="0" t="s">
        <v>103</v>
      </c>
      <c r="C87" s="0" t="s">
        <v>63</v>
      </c>
      <c r="D87" s="0" t="s">
        <v>56</v>
      </c>
      <c r="E87" s="0" t="str">
        <f aca="false">B87&amp;"|"&amp;C87&amp;"|"&amp;D87</f>
        <v>Leribe [#SNU] [FjSmRywOWUp]|15-19|Female</v>
      </c>
      <c r="F87" s="118" t="n">
        <f aca="false">_xlfn.IFNA(INDEX(Cascade!$Y:$Y,MATCH($E87,Cascade!$E:$E,0)),"")</f>
        <v>0.748911465892598</v>
      </c>
      <c r="G87" s="73" t="n">
        <f aca="false">_xlfn.IFNA(INDEX(Cascade!$BD:$BD,MATCH($E87,Cascade!$E:$E,0)),"")</f>
        <v>2</v>
      </c>
      <c r="H87" s="73" t="n">
        <f aca="false">_xlfn.IFNA(INDEX(Cascade!$BE:$BE,MATCH($E87,Cascade!$E:$E,0)),"")</f>
        <v>1</v>
      </c>
      <c r="I87" s="73" t="n">
        <f aca="false">_xlfn.IFNA(INDEX(Cascade!$BF:$BF,MATCH($E87,Cascade!$E:$E,0)),"")</f>
        <v>-1178</v>
      </c>
      <c r="J87" s="73" t="str">
        <f aca="false">_xlfn.IFNA(INDEX(Cascade!$BG:$BG,MATCH($E87,Cascade!$E:$E,0)),"")</f>
        <v/>
      </c>
      <c r="K87" s="73" t="n">
        <f aca="false">_xlfn.IFNA(INDEX(Cascade!$BH:$BH,MATCH($E87,Cascade!$E:$E,0)),"")</f>
        <v>-11319</v>
      </c>
      <c r="L87" s="73" t="str">
        <f aca="false">_xlfn.IFNA(INDEX(Cascade!$BI:$BI,MATCH($E87,Cascade!$E:$E,0)),"")</f>
        <v/>
      </c>
      <c r="M87" s="73" t="n">
        <f aca="false">_xlfn.IFNA(INDEX(Cascade!$BK:$BK,MATCH($E87,Cascade!$E:$E,0)),"")</f>
        <v>12498</v>
      </c>
      <c r="N87" s="118" t="n">
        <v>8</v>
      </c>
      <c r="O87" s="118" t="n">
        <v>17</v>
      </c>
      <c r="P87" s="118" t="n">
        <v>18</v>
      </c>
      <c r="Q87" s="75" t="n">
        <f aca="false">IF(OR(SUM($H87)=0,SUM($N87)=0,SUM($O87)=0),"",ROUND($H87*$N87,0))</f>
        <v>8</v>
      </c>
      <c r="R87" s="75" t="n">
        <f aca="false">IF(OR(SUM($Q87)=0,SUM($O87)=0),"",ROUND(SUM($Q87)/SUM($O87),0)-SUM($Q87))</f>
        <v>-8</v>
      </c>
      <c r="S87" s="75" t="n">
        <f aca="false">IF(SUM($H87)=0,"",SUM($H87)-SUM($Q87))</f>
        <v>-7</v>
      </c>
      <c r="T87" s="75" t="str">
        <f aca="false">IF(OR(SUM($S87)=0,$N87&gt;1,SUM($P87)&lt;=0),"",ROUND($S87/$P87,0)-$S87)</f>
        <v/>
      </c>
      <c r="U87" s="118" t="n">
        <f aca="false">IF(SUM($G87)&lt;=0,"",SUM($Q87,$S87)/$G87)</f>
        <v>0.5</v>
      </c>
      <c r="V87" s="118" t="n">
        <f aca="false">IF(OR(SUM($Q87)=0,SUM($G87)=0),"",SUM($Q87)/SUM($G87))</f>
        <v>4</v>
      </c>
      <c r="W87" s="118" t="n">
        <f aca="false">IF(OR(SUM($S87)=0,SUM($G87)=0),"",SUM($S87)/SUM($G87))</f>
        <v>-3.5</v>
      </c>
      <c r="X87" s="118" t="n">
        <f aca="false">IF(OR(SUM($G87)=0,SUM($I87)=0),"",SUM($I87)/SUM($G87))</f>
        <v>-589</v>
      </c>
      <c r="Y87" s="118" t="str">
        <f aca="false">IF(OR(SUM($G87)=0,SUM($J87)=0),"",SUM($J87)/SUM($G87))</f>
        <v/>
      </c>
      <c r="Z87" s="118" t="n">
        <f aca="false">IF(OR(SUM($G87)=0,SUM($K87)=0),"",SUM($K87)/SUM($G87))</f>
        <v>-5659.5</v>
      </c>
      <c r="AA87" s="118" t="str">
        <f aca="false">IF(OR(SUM($G87)=0,SUM($L87)=0),"",SUM($L87)/SUM($G87))</f>
        <v/>
      </c>
      <c r="AB87" s="118" t="n">
        <v>44</v>
      </c>
      <c r="AC87" s="118"/>
      <c r="AD87" s="118"/>
      <c r="AE87" s="118" t="n">
        <v>18</v>
      </c>
      <c r="AF87" s="118" t="n">
        <v>41</v>
      </c>
      <c r="AG87" s="118" t="n">
        <v>0</v>
      </c>
      <c r="AH87" s="118" t="n">
        <v>24</v>
      </c>
      <c r="AI87" s="118" t="n">
        <v>49</v>
      </c>
      <c r="AJ87" s="118" t="n">
        <v>44</v>
      </c>
      <c r="AK87" s="118" t="n">
        <f aca="false">IF(SUM($G87)&lt;=0,"",SUM($V87:$AJ87))</f>
        <v>-6028</v>
      </c>
      <c r="AL87" s="118"/>
      <c r="AM87" s="75" t="n">
        <f aca="false">IF(OR(SUM($AB87)&lt;=0,SUM($G87)&lt;=0),"",ROUND($G87*$AB87,0))</f>
        <v>88</v>
      </c>
      <c r="AN87" s="75" t="str">
        <f aca="false">IF(SUM($AM87)&lt;=0,"",IF(SUM($AL87)&lt;=0,"ENTER VALID YIELD!",ROUND($AM87/$AL87,0)-$AM87))</f>
        <v>ENTER VALID YIELD!</v>
      </c>
      <c r="AO87" s="118"/>
      <c r="AP87" s="75" t="str">
        <f aca="false">IF(OR(SUM($AC87)&lt;=0,SUM($G87)&lt;=0),"",ROUND($G87*$AC87,0))</f>
        <v/>
      </c>
      <c r="AQ87" s="75" t="str">
        <f aca="false">IF(SUM($AP87)&lt;=0,"",IF(SUM($AO87)&lt;=0,"ENTER VALID YIELD!",ROUND($AP87/$AO87,0)-$AP87))</f>
        <v/>
      </c>
      <c r="AR87" s="118"/>
      <c r="AS87" s="75" t="str">
        <f aca="false">IF(OR(SUM($AD87)&lt;=0,SUM($G87)&lt;=0),"",ROUND($G87*$AD87,0))</f>
        <v/>
      </c>
      <c r="AT87" s="75" t="str">
        <f aca="false">IF(SUM($AS87)&lt;=0,"",IF(SUM($AR87)&lt;=0,"ENTER VALID YIELD!",ROUND($AS87/$AR87,0)-$AS87))</f>
        <v/>
      </c>
      <c r="AU87" s="118"/>
      <c r="AV87" s="75" t="n">
        <f aca="false">IF(OR(SUM($AE87)&lt;=0,SUM($G87)&lt;=0),"",ROUND($G87*$AE87,0))</f>
        <v>36</v>
      </c>
      <c r="AW87" s="75" t="str">
        <f aca="false">IF(SUM($AV87)&lt;=0,"",IF(SUM($AU87)&lt;=0,"ENTER VALID YIELD!",ROUND($AV87/$AU87,0)-$AV87))</f>
        <v>ENTER VALID YIELD!</v>
      </c>
      <c r="AX87" s="118"/>
      <c r="AY87" s="75" t="n">
        <f aca="false">IF(OR(SUM($AF87)&lt;=0,SUM($G87)&lt;=0),"",ROUND($G87*$AF87,0))</f>
        <v>82</v>
      </c>
      <c r="AZ87" s="75" t="str">
        <f aca="false">IF(SUM($AY87)&lt;=0,"",IF(SUM($AX87)&lt;=0,"ENTER VALID YIELD!",ROUND($AY87/$AX87,0)-$AY87))</f>
        <v>ENTER VALID YIELD!</v>
      </c>
      <c r="BA87" s="118" t="n">
        <v>33</v>
      </c>
      <c r="BB87" s="75" t="str">
        <f aca="false">IF(OR(SUM($AG87)&lt;=0,SUM($G87)&lt;=0),"",ROUND($G87*$AG87,0))</f>
        <v/>
      </c>
      <c r="BC87" s="75" t="str">
        <f aca="false">IF(SUM($BB87)&lt;=0,"",IF(SUM($BA87)&lt;=0,"ENTER VALID YIELD!",ROUND($BB87/$BA87,0)-$BB87))</f>
        <v/>
      </c>
      <c r="BD87" s="118"/>
      <c r="BE87" s="75" t="n">
        <f aca="false">IF(OR(SUM($AH87)&lt;=0,SUM($G87)&lt;=0),"",ROUND($G87*$AH87,0))</f>
        <v>48</v>
      </c>
      <c r="BF87" s="75" t="str">
        <f aca="false">IF(SUM($BE87)&lt;=0,"",IF(SUM($BD87)&lt;=0,"ENTER VALID YIELD!",ROUND($BE87/$BD87,0)-$BE87))</f>
        <v>ENTER VALID YIELD!</v>
      </c>
      <c r="BG87" s="118" t="n">
        <v>50</v>
      </c>
      <c r="BH87" s="75" t="n">
        <f aca="false">IF(OR(SUM($AI87)&lt;=0,SUM($G87)&lt;=0),"",ROUND($G87*$AI87,0))</f>
        <v>98</v>
      </c>
      <c r="BI87" s="75" t="n">
        <f aca="false">IF(SUM($BH87)&lt;=0,"",IF(SUM($BG87)&lt;=0,"ENTER VALID YIELD!",ROUND($BH87/$BG87,0)-$BH87))</f>
        <v>-96</v>
      </c>
      <c r="BJ87" s="118" t="n">
        <v>38</v>
      </c>
      <c r="BK87" s="75" t="n">
        <f aca="false">IF(OR(SUM($AJ87)&lt;=0,SUM($G87)&lt;=0),"",ROUND($G87*$AJ87,0))</f>
        <v>88</v>
      </c>
      <c r="BL87" s="75" t="n">
        <f aca="false">IF(SUM($BK87)&lt;=0,"",IF(SUM($BJ87)&lt;=0,"ENTER VALID YIELD!",ROUND($BK87/$BJ87,0)-$BK87))</f>
        <v>-86</v>
      </c>
      <c r="BM87" s="73" t="n">
        <f aca="false">IF(SUM($G87)&lt;=0,"",$G87)</f>
        <v>2</v>
      </c>
      <c r="BN87" s="73" t="n">
        <f aca="false">IF(SUM($G87)&lt;=0,"",SUM($I87:$L87,$Q87,$S87,$AM87,$AP87,$AS87,$AV87,$AY87,$BB87,$BE87,$BH87,$BK87))</f>
        <v>-12056</v>
      </c>
      <c r="BO87" s="73" t="n">
        <f aca="false">IF(AND(SUM($BN87)&lt;=0,SUM($BM87)&lt;=0),"",SUM($BN87)-SUM($BM87))</f>
        <v>-12058</v>
      </c>
      <c r="BP87" s="73" t="n">
        <f aca="false">_xlfn.IFNA(INDEX(PMTCT!$AF:$AF,MATCH($E87,PMTCT!$E:$E,0)),"")</f>
        <v>0</v>
      </c>
      <c r="BQ87" s="73" t="str">
        <f aca="false">_xlfn.IFNA(INDEX(PMTCT!$AV:$AV,MATCH($E87,PMTCT!$E:$E,0)),"")</f>
        <v/>
      </c>
      <c r="BR87" s="73" t="n">
        <f aca="false">_xlfn.IFNA(INDEX(TB!$R:$R,MATCH($E87,TB!$E:$E,0)),"")</f>
        <v>11088</v>
      </c>
      <c r="BS87" s="73" t="str">
        <f aca="false">_xlfn.IFNA(INDEX(VMMC!$AD:$AD,MATCH($E87,VMMC!$E:$E,0)),"")</f>
        <v/>
      </c>
      <c r="BT87" s="73" t="n">
        <f aca="false">IF(SUM($R87,$T87,$AN87,$AQ87,$AT87,$AW87,$AZ87,$BC87,$BF87,$BI87,$BL87,$BP87:$BS87)=0,"",SUM($R87,$T87,$AN87,$AQ87,$AT87,$AW87,$AZ87,$BC87,$BF87,$BI87,$BL87,$BP87:$BS87))</f>
        <v>10898</v>
      </c>
      <c r="BU87" s="73" t="n">
        <f aca="false">IF(OR(SUM($BT87)=0,SUM($BN87)=0),"",SUM($BT87,$BN87))</f>
        <v>-1158</v>
      </c>
      <c r="BV87" s="118" t="n">
        <f aca="false">IF(SUM($BU87)=0,"",SUM($BN87)/$BU87)</f>
        <v>10.4110535405872</v>
      </c>
      <c r="BW87" s="73" t="n">
        <v>38</v>
      </c>
      <c r="BX87" s="118" t="n">
        <f aca="false">IF(OR($C87="01-04",$C87="05-09"),"",0%)</f>
        <v>0</v>
      </c>
      <c r="BY87" s="75" t="n">
        <f aca="false">IF(OR($C87="01-04",$C87="05-09",SUM($BW87)=0),"",ROUND($BW87*(1+$BX87),0))</f>
        <v>38</v>
      </c>
    </row>
    <row r="88" customFormat="false" ht="15" hidden="false" customHeight="false" outlineLevel="0" collapsed="false">
      <c r="A88" s="0" t="s">
        <v>144</v>
      </c>
      <c r="B88" s="0" t="s">
        <v>103</v>
      </c>
      <c r="C88" s="0" t="s">
        <v>63</v>
      </c>
      <c r="D88" s="0" t="s">
        <v>58</v>
      </c>
      <c r="E88" s="0" t="str">
        <f aca="false">B88&amp;"|"&amp;C88&amp;"|"&amp;D88</f>
        <v>Leribe [#SNU] [FjSmRywOWUp]|15-19|Male</v>
      </c>
      <c r="F88" s="118" t="n">
        <f aca="false">_xlfn.IFNA(INDEX(Cascade!$Y:$Y,MATCH($E88,Cascade!$E:$E,0)),"")</f>
        <v>0.904411764705882</v>
      </c>
      <c r="G88" s="73" t="n">
        <f aca="false">_xlfn.IFNA(INDEX(Cascade!$BD:$BD,MATCH($E88,Cascade!$E:$E,0)),"")</f>
        <v>1</v>
      </c>
      <c r="H88" s="73" t="n">
        <f aca="false">_xlfn.IFNA(INDEX(Cascade!$BE:$BE,MATCH($E88,Cascade!$E:$E,0)),"")</f>
        <v>1</v>
      </c>
      <c r="I88" s="73" t="str">
        <f aca="false">_xlfn.IFNA(INDEX(Cascade!$BF:$BF,MATCH($E88,Cascade!$E:$E,0)),"")</f>
        <v/>
      </c>
      <c r="J88" s="73" t="str">
        <f aca="false">_xlfn.IFNA(INDEX(Cascade!$BG:$BG,MATCH($E88,Cascade!$E:$E,0)),"")</f>
        <v/>
      </c>
      <c r="K88" s="73" t="n">
        <f aca="false">_xlfn.IFNA(INDEX(Cascade!$BH:$BH,MATCH($E88,Cascade!$E:$E,0)),"")</f>
        <v>-30888</v>
      </c>
      <c r="L88" s="73" t="str">
        <f aca="false">_xlfn.IFNA(INDEX(Cascade!$BI:$BI,MATCH($E88,Cascade!$E:$E,0)),"")</f>
        <v/>
      </c>
      <c r="M88" s="73" t="n">
        <f aca="false">_xlfn.IFNA(INDEX(Cascade!$BK:$BK,MATCH($E88,Cascade!$E:$E,0)),"")</f>
        <v>30888</v>
      </c>
      <c r="N88" s="118" t="n">
        <v>33</v>
      </c>
      <c r="O88" s="118"/>
      <c r="P88" s="118" t="n">
        <v>29</v>
      </c>
      <c r="Q88" s="75" t="str">
        <f aca="false">IF(OR(SUM($H88)=0,SUM($N88)=0,SUM($O88)=0),"",ROUND($H88*$N88,0))</f>
        <v/>
      </c>
      <c r="R88" s="75" t="str">
        <f aca="false">IF(OR(SUM($Q88)=0,SUM($O88)=0),"",ROUND(SUM($Q88)/SUM($O88),0)-SUM($Q88))</f>
        <v/>
      </c>
      <c r="S88" s="75" t="n">
        <f aca="false">IF(SUM($H88)=0,"",SUM($H88)-SUM($Q88))</f>
        <v>1</v>
      </c>
      <c r="T88" s="75" t="str">
        <f aca="false">IF(OR(SUM($S88)=0,$N88&gt;1,SUM($P88)&lt;=0),"",ROUND($S88/$P88,0)-$S88)</f>
        <v/>
      </c>
      <c r="U88" s="118" t="n">
        <f aca="false">IF(SUM($G88)&lt;=0,"",SUM($Q88,$S88)/$G88)</f>
        <v>1</v>
      </c>
      <c r="V88" s="118" t="str">
        <f aca="false">IF(OR(SUM($Q88)=0,SUM($G88)=0),"",SUM($Q88)/SUM($G88))</f>
        <v/>
      </c>
      <c r="W88" s="118" t="n">
        <f aca="false">IF(OR(SUM($S88)=0,SUM($G88)=0),"",SUM($S88)/SUM($G88))</f>
        <v>1</v>
      </c>
      <c r="X88" s="118" t="str">
        <f aca="false">IF(OR(SUM($G88)=0,SUM($I88)=0),"",SUM($I88)/SUM($G88))</f>
        <v/>
      </c>
      <c r="Y88" s="118" t="str">
        <f aca="false">IF(OR(SUM($G88)=0,SUM($J88)=0),"",SUM($J88)/SUM($G88))</f>
        <v/>
      </c>
      <c r="Z88" s="118" t="n">
        <f aca="false">IF(OR(SUM($G88)=0,SUM($K88)=0),"",SUM($K88)/SUM($G88))</f>
        <v>-30888</v>
      </c>
      <c r="AA88" s="118" t="str">
        <f aca="false">IF(OR(SUM($G88)=0,SUM($L88)=0),"",SUM($L88)/SUM($G88))</f>
        <v/>
      </c>
      <c r="AB88" s="118" t="n">
        <v>50</v>
      </c>
      <c r="AC88" s="118"/>
      <c r="AD88" s="118"/>
      <c r="AE88" s="118" t="n">
        <v>1</v>
      </c>
      <c r="AF88" s="118" t="n">
        <v>28</v>
      </c>
      <c r="AG88" s="118" t="n">
        <v>27</v>
      </c>
      <c r="AH88" s="118" t="n">
        <v>10</v>
      </c>
      <c r="AI88" s="118" t="n">
        <v>41</v>
      </c>
      <c r="AJ88" s="118" t="n">
        <v>15</v>
      </c>
      <c r="AK88" s="118" t="n">
        <f aca="false">IF(SUM($G88)&lt;=0,"",SUM($V88:$AJ88))</f>
        <v>-30715</v>
      </c>
      <c r="AL88" s="118"/>
      <c r="AM88" s="75" t="n">
        <f aca="false">IF(OR(SUM($AB88)&lt;=0,SUM($G88)&lt;=0),"",ROUND($G88*$AB88,0))</f>
        <v>50</v>
      </c>
      <c r="AN88" s="75" t="str">
        <f aca="false">IF(SUM($AM88)&lt;=0,"",IF(SUM($AL88)&lt;=0,"ENTER VALID YIELD!",ROUND($AM88/$AL88,0)-$AM88))</f>
        <v>ENTER VALID YIELD!</v>
      </c>
      <c r="AO88" s="118"/>
      <c r="AP88" s="75" t="str">
        <f aca="false">IF(OR(SUM($AC88)&lt;=0,SUM($G88)&lt;=0),"",ROUND($G88*$AC88,0))</f>
        <v/>
      </c>
      <c r="AQ88" s="75" t="str">
        <f aca="false">IF(SUM($AP88)&lt;=0,"",IF(SUM($AO88)&lt;=0,"ENTER VALID YIELD!",ROUND($AP88/$AO88,0)-$AP88))</f>
        <v/>
      </c>
      <c r="AR88" s="118"/>
      <c r="AS88" s="75" t="str">
        <f aca="false">IF(OR(SUM($AD88)&lt;=0,SUM($G88)&lt;=0),"",ROUND($G88*$AD88,0))</f>
        <v/>
      </c>
      <c r="AT88" s="75" t="str">
        <f aca="false">IF(SUM($AS88)&lt;=0,"",IF(SUM($AR88)&lt;=0,"ENTER VALID YIELD!",ROUND($AS88/$AR88,0)-$AS88))</f>
        <v/>
      </c>
      <c r="AU88" s="118"/>
      <c r="AV88" s="75" t="n">
        <f aca="false">IF(OR(SUM($AE88)&lt;=0,SUM($G88)&lt;=0),"",ROUND($G88*$AE88,0))</f>
        <v>1</v>
      </c>
      <c r="AW88" s="75" t="str">
        <f aca="false">IF(SUM($AV88)&lt;=0,"",IF(SUM($AU88)&lt;=0,"ENTER VALID YIELD!",ROUND($AV88/$AU88,0)-$AV88))</f>
        <v>ENTER VALID YIELD!</v>
      </c>
      <c r="AX88" s="118"/>
      <c r="AY88" s="75" t="n">
        <f aca="false">IF(OR(SUM($AF88)&lt;=0,SUM($G88)&lt;=0),"",ROUND($G88*$AF88,0))</f>
        <v>28</v>
      </c>
      <c r="AZ88" s="75" t="str">
        <f aca="false">IF(SUM($AY88)&lt;=0,"",IF(SUM($AX88)&lt;=0,"ENTER VALID YIELD!",ROUND($AY88/$AX88,0)-$AY88))</f>
        <v>ENTER VALID YIELD!</v>
      </c>
      <c r="BA88" s="118" t="n">
        <v>36</v>
      </c>
      <c r="BB88" s="75" t="n">
        <f aca="false">IF(OR(SUM($AG88)&lt;=0,SUM($G88)&lt;=0),"",ROUND($G88*$AG88,0))</f>
        <v>27</v>
      </c>
      <c r="BC88" s="75" t="n">
        <f aca="false">IF(SUM($BB88)&lt;=0,"",IF(SUM($BA88)&lt;=0,"ENTER VALID YIELD!",ROUND($BB88/$BA88,0)-$BB88))</f>
        <v>-26</v>
      </c>
      <c r="BD88" s="118"/>
      <c r="BE88" s="75" t="n">
        <f aca="false">IF(OR(SUM($AH88)&lt;=0,SUM($G88)&lt;=0),"",ROUND($G88*$AH88,0))</f>
        <v>10</v>
      </c>
      <c r="BF88" s="75" t="str">
        <f aca="false">IF(SUM($BE88)&lt;=0,"",IF(SUM($BD88)&lt;=0,"ENTER VALID YIELD!",ROUND($BE88/$BD88,0)-$BE88))</f>
        <v>ENTER VALID YIELD!</v>
      </c>
      <c r="BG88" s="118" t="n">
        <v>22</v>
      </c>
      <c r="BH88" s="75" t="n">
        <f aca="false">IF(OR(SUM($AI88)&lt;=0,SUM($G88)&lt;=0),"",ROUND($G88*$AI88,0))</f>
        <v>41</v>
      </c>
      <c r="BI88" s="75" t="n">
        <f aca="false">IF(SUM($BH88)&lt;=0,"",IF(SUM($BG88)&lt;=0,"ENTER VALID YIELD!",ROUND($BH88/$BG88,0)-$BH88))</f>
        <v>-39</v>
      </c>
      <c r="BJ88" s="118" t="n">
        <v>40</v>
      </c>
      <c r="BK88" s="75" t="n">
        <f aca="false">IF(OR(SUM($AJ88)&lt;=0,SUM($G88)&lt;=0),"",ROUND($G88*$AJ88,0))</f>
        <v>15</v>
      </c>
      <c r="BL88" s="75" t="n">
        <f aca="false">IF(SUM($BK88)&lt;=0,"",IF(SUM($BJ88)&lt;=0,"ENTER VALID YIELD!",ROUND($BK88/$BJ88,0)-$BK88))</f>
        <v>-15</v>
      </c>
      <c r="BM88" s="73" t="n">
        <f aca="false">IF(SUM($G88)&lt;=0,"",$G88)</f>
        <v>1</v>
      </c>
      <c r="BN88" s="73" t="n">
        <f aca="false">IF(SUM($G88)&lt;=0,"",SUM($I88:$L88,$Q88,$S88,$AM88,$AP88,$AS88,$AV88,$AY88,$BB88,$BE88,$BH88,$BK88))</f>
        <v>-30715</v>
      </c>
      <c r="BO88" s="73" t="n">
        <f aca="false">IF(AND(SUM($BN88)&lt;=0,SUM($BM88)&lt;=0),"",SUM($BN88)-SUM($BM88))</f>
        <v>-30716</v>
      </c>
      <c r="BP88" s="73" t="str">
        <f aca="false">_xlfn.IFNA(INDEX(PMTCT!$AF:$AF,MATCH($E88,PMTCT!$E:$E,0)),"")</f>
        <v/>
      </c>
      <c r="BQ88" s="73" t="str">
        <f aca="false">_xlfn.IFNA(INDEX(PMTCT!$AV:$AV,MATCH($E88,PMTCT!$E:$E,0)),"")</f>
        <v/>
      </c>
      <c r="BR88" s="73" t="n">
        <f aca="false">_xlfn.IFNA(INDEX(TB!$R:$R,MATCH($E88,TB!$E:$E,0)),"")</f>
        <v>30096</v>
      </c>
      <c r="BS88" s="73" t="str">
        <f aca="false">_xlfn.IFNA(INDEX(VMMC!$AD:$AD,MATCH($E88,VMMC!$E:$E,0)),"")</f>
        <v/>
      </c>
      <c r="BT88" s="73" t="n">
        <f aca="false">IF(SUM($R88,$T88,$AN88,$AQ88,$AT88,$AW88,$AZ88,$BC88,$BF88,$BI88,$BL88,$BP88:$BS88)=0,"",SUM($R88,$T88,$AN88,$AQ88,$AT88,$AW88,$AZ88,$BC88,$BF88,$BI88,$BL88,$BP88:$BS88))</f>
        <v>30016</v>
      </c>
      <c r="BU88" s="73" t="n">
        <f aca="false">IF(OR(SUM($BT88)=0,SUM($BN88)=0),"",SUM($BT88,$BN88))</f>
        <v>-699</v>
      </c>
      <c r="BV88" s="118" t="n">
        <f aca="false">IF(SUM($BU88)=0,"",SUM($BN88)/$BU88)</f>
        <v>43.9413447782547</v>
      </c>
      <c r="BW88" s="73" t="n">
        <v>9</v>
      </c>
      <c r="BX88" s="118" t="n">
        <f aca="false">IF(OR($C88="01-04",$C88="05-09"),"",0%)</f>
        <v>0</v>
      </c>
      <c r="BY88" s="75" t="n">
        <f aca="false">IF(OR($C88="01-04",$C88="05-09",SUM($BW88)=0),"",ROUND($BW88*(1+$BX88),0))</f>
        <v>9</v>
      </c>
    </row>
    <row r="89" customFormat="false" ht="15" hidden="false" customHeight="false" outlineLevel="0" collapsed="false">
      <c r="A89" s="0" t="s">
        <v>144</v>
      </c>
      <c r="B89" s="0" t="s">
        <v>103</v>
      </c>
      <c r="C89" s="0" t="s">
        <v>66</v>
      </c>
      <c r="D89" s="0" t="s">
        <v>56</v>
      </c>
      <c r="E89" s="0" t="str">
        <f aca="false">B89&amp;"|"&amp;C89&amp;"|"&amp;D89</f>
        <v>Leribe [#SNU] [FjSmRywOWUp]|20-24|Female</v>
      </c>
      <c r="F89" s="118" t="n">
        <f aca="false">_xlfn.IFNA(INDEX(Cascade!$Y:$Y,MATCH($E89,Cascade!$E:$E,0)),"")</f>
        <v>0.684514435695538</v>
      </c>
      <c r="G89" s="73" t="n">
        <f aca="false">_xlfn.IFNA(INDEX(Cascade!$BD:$BD,MATCH($E89,Cascade!$E:$E,0)),"")</f>
        <v>17</v>
      </c>
      <c r="H89" s="73" t="n">
        <f aca="false">_xlfn.IFNA(INDEX(Cascade!$BE:$BE,MATCH($E89,Cascade!$E:$E,0)),"")</f>
        <v>5</v>
      </c>
      <c r="I89" s="73" t="n">
        <f aca="false">_xlfn.IFNA(INDEX(Cascade!$BF:$BF,MATCH($E89,Cascade!$E:$E,0)),"")</f>
        <v>-20</v>
      </c>
      <c r="J89" s="73" t="str">
        <f aca="false">_xlfn.IFNA(INDEX(Cascade!$BG:$BG,MATCH($E89,Cascade!$E:$E,0)),"")</f>
        <v/>
      </c>
      <c r="K89" s="73" t="n">
        <f aca="false">_xlfn.IFNA(INDEX(Cascade!$BH:$BH,MATCH($E89,Cascade!$E:$E,0)),"")</f>
        <v>-0</v>
      </c>
      <c r="L89" s="73" t="str">
        <f aca="false">_xlfn.IFNA(INDEX(Cascade!$BI:$BI,MATCH($E89,Cascade!$E:$E,0)),"")</f>
        <v/>
      </c>
      <c r="M89" s="73" t="n">
        <f aca="false">_xlfn.IFNA(INDEX(Cascade!$BK:$BK,MATCH($E89,Cascade!$E:$E,0)),"")</f>
        <v>32</v>
      </c>
      <c r="N89" s="118" t="n">
        <v>15</v>
      </c>
      <c r="O89" s="118" t="n">
        <v>32</v>
      </c>
      <c r="P89" s="118" t="n">
        <v>22</v>
      </c>
      <c r="Q89" s="75" t="n">
        <f aca="false">IF(OR(SUM($H89)=0,SUM($N89)=0,SUM($O89)=0),"",ROUND($H89*$N89,0))</f>
        <v>75</v>
      </c>
      <c r="R89" s="75" t="n">
        <f aca="false">IF(OR(SUM($Q89)=0,SUM($O89)=0),"",ROUND(SUM($Q89)/SUM($O89),0)-SUM($Q89))</f>
        <v>-73</v>
      </c>
      <c r="S89" s="75" t="n">
        <f aca="false">IF(SUM($H89)=0,"",SUM($H89)-SUM($Q89))</f>
        <v>-70</v>
      </c>
      <c r="T89" s="75" t="str">
        <f aca="false">IF(OR(SUM($S89)=0,$N89&gt;1,SUM($P89)&lt;=0),"",ROUND($S89/$P89,0)-$S89)</f>
        <v/>
      </c>
      <c r="U89" s="118" t="n">
        <f aca="false">IF(SUM($G89)&lt;=0,"",SUM($Q89,$S89)/$G89)</f>
        <v>0.294117647058823</v>
      </c>
      <c r="V89" s="118" t="n">
        <f aca="false">IF(OR(SUM($Q89)=0,SUM($G89)=0),"",SUM($Q89)/SUM($G89))</f>
        <v>4.41176470588235</v>
      </c>
      <c r="W89" s="118" t="n">
        <f aca="false">IF(OR(SUM($S89)=0,SUM($G89)=0),"",SUM($S89)/SUM($G89))</f>
        <v>-4.11764705882353</v>
      </c>
      <c r="X89" s="118" t="n">
        <f aca="false">IF(OR(SUM($G89)=0,SUM($I89)=0),"",SUM($I89)/SUM($G89))</f>
        <v>-1.17647058823529</v>
      </c>
      <c r="Y89" s="118" t="str">
        <f aca="false">IF(OR(SUM($G89)=0,SUM($J89)=0),"",SUM($J89)/SUM($G89))</f>
        <v/>
      </c>
      <c r="Z89" s="118" t="str">
        <f aca="false">IF(OR(SUM($G89)=0,SUM($K89)=0),"",SUM($K89)/SUM($G89))</f>
        <v/>
      </c>
      <c r="AA89" s="118" t="str">
        <f aca="false">IF(OR(SUM($G89)=0,SUM($L89)=0),"",SUM($L89)/SUM($G89))</f>
        <v/>
      </c>
      <c r="AB89" s="118" t="n">
        <v>42</v>
      </c>
      <c r="AC89" s="118"/>
      <c r="AD89" s="118"/>
      <c r="AE89" s="118" t="n">
        <v>26</v>
      </c>
      <c r="AF89" s="118" t="n">
        <v>20</v>
      </c>
      <c r="AG89" s="118" t="n">
        <v>40</v>
      </c>
      <c r="AH89" s="118" t="n">
        <v>28</v>
      </c>
      <c r="AI89" s="118" t="n">
        <v>16</v>
      </c>
      <c r="AJ89" s="118" t="n">
        <v>49</v>
      </c>
      <c r="AK89" s="118" t="n">
        <f aca="false">IF(SUM($G89)&lt;=0,"",SUM($V89:$AJ89))</f>
        <v>220.117647058824</v>
      </c>
      <c r="AL89" s="118" t="n">
        <v>4</v>
      </c>
      <c r="AM89" s="75" t="n">
        <f aca="false">IF(OR(SUM($AB89)&lt;=0,SUM($G89)&lt;=0),"",ROUND($G89*$AB89,0))</f>
        <v>714</v>
      </c>
      <c r="AN89" s="75" t="n">
        <f aca="false">IF(SUM($AM89)&lt;=0,"",IF(SUM($AL89)&lt;=0,"ENTER VALID YIELD!",ROUND($AM89/$AL89,0)-$AM89))</f>
        <v>-535</v>
      </c>
      <c r="AO89" s="118"/>
      <c r="AP89" s="75" t="str">
        <f aca="false">IF(OR(SUM($AC89)&lt;=0,SUM($G89)&lt;=0),"",ROUND($G89*$AC89,0))</f>
        <v/>
      </c>
      <c r="AQ89" s="75" t="str">
        <f aca="false">IF(SUM($AP89)&lt;=0,"",IF(SUM($AO89)&lt;=0,"ENTER VALID YIELD!",ROUND($AP89/$AO89,0)-$AP89))</f>
        <v/>
      </c>
      <c r="AR89" s="118"/>
      <c r="AS89" s="75" t="str">
        <f aca="false">IF(OR(SUM($AD89)&lt;=0,SUM($G89)&lt;=0),"",ROUND($G89*$AD89,0))</f>
        <v/>
      </c>
      <c r="AT89" s="75" t="str">
        <f aca="false">IF(SUM($AS89)&lt;=0,"",IF(SUM($AR89)&lt;=0,"ENTER VALID YIELD!",ROUND($AS89/$AR89,0)-$AS89))</f>
        <v/>
      </c>
      <c r="AU89" s="118"/>
      <c r="AV89" s="75" t="n">
        <f aca="false">IF(OR(SUM($AE89)&lt;=0,SUM($G89)&lt;=0),"",ROUND($G89*$AE89,0))</f>
        <v>442</v>
      </c>
      <c r="AW89" s="75" t="str">
        <f aca="false">IF(SUM($AV89)&lt;=0,"",IF(SUM($AU89)&lt;=0,"ENTER VALID YIELD!",ROUND($AV89/$AU89,0)-$AV89))</f>
        <v>ENTER VALID YIELD!</v>
      </c>
      <c r="AX89" s="118"/>
      <c r="AY89" s="75" t="n">
        <f aca="false">IF(OR(SUM($AF89)&lt;=0,SUM($G89)&lt;=0),"",ROUND($G89*$AF89,0))</f>
        <v>340</v>
      </c>
      <c r="AZ89" s="75" t="str">
        <f aca="false">IF(SUM($AY89)&lt;=0,"",IF(SUM($AX89)&lt;=0,"ENTER VALID YIELD!",ROUND($AY89/$AX89,0)-$AY89))</f>
        <v>ENTER VALID YIELD!</v>
      </c>
      <c r="BA89" s="118" t="n">
        <v>7</v>
      </c>
      <c r="BB89" s="75" t="n">
        <f aca="false">IF(OR(SUM($AG89)&lt;=0,SUM($G89)&lt;=0),"",ROUND($G89*$AG89,0))</f>
        <v>680</v>
      </c>
      <c r="BC89" s="75" t="n">
        <f aca="false">IF(SUM($BB89)&lt;=0,"",IF(SUM($BA89)&lt;=0,"ENTER VALID YIELD!",ROUND($BB89/$BA89,0)-$BB89))</f>
        <v>-583</v>
      </c>
      <c r="BD89" s="118"/>
      <c r="BE89" s="75" t="n">
        <f aca="false">IF(OR(SUM($AH89)&lt;=0,SUM($G89)&lt;=0),"",ROUND($G89*$AH89,0))</f>
        <v>476</v>
      </c>
      <c r="BF89" s="75" t="str">
        <f aca="false">IF(SUM($BE89)&lt;=0,"",IF(SUM($BD89)&lt;=0,"ENTER VALID YIELD!",ROUND($BE89/$BD89,0)-$BE89))</f>
        <v>ENTER VALID YIELD!</v>
      </c>
      <c r="BG89" s="118" t="n">
        <v>50</v>
      </c>
      <c r="BH89" s="75" t="n">
        <f aca="false">IF(OR(SUM($AI89)&lt;=0,SUM($G89)&lt;=0),"",ROUND($G89*$AI89,0))</f>
        <v>272</v>
      </c>
      <c r="BI89" s="75" t="n">
        <f aca="false">IF(SUM($BH89)&lt;=0,"",IF(SUM($BG89)&lt;=0,"ENTER VALID YIELD!",ROUND($BH89/$BG89,0)-$BH89))</f>
        <v>-267</v>
      </c>
      <c r="BJ89" s="118" t="n">
        <v>3</v>
      </c>
      <c r="BK89" s="75" t="n">
        <f aca="false">IF(OR(SUM($AJ89)&lt;=0,SUM($G89)&lt;=0),"",ROUND($G89*$AJ89,0))</f>
        <v>833</v>
      </c>
      <c r="BL89" s="75" t="n">
        <f aca="false">IF(SUM($BK89)&lt;=0,"",IF(SUM($BJ89)&lt;=0,"ENTER VALID YIELD!",ROUND($BK89/$BJ89,0)-$BK89))</f>
        <v>-555</v>
      </c>
      <c r="BM89" s="73" t="n">
        <f aca="false">IF(SUM($G89)&lt;=0,"",$G89)</f>
        <v>17</v>
      </c>
      <c r="BN89" s="73" t="n">
        <f aca="false">IF(SUM($G89)&lt;=0,"",SUM($I89:$L89,$Q89,$S89,$AM89,$AP89,$AS89,$AV89,$AY89,$BB89,$BE89,$BH89,$BK89))</f>
        <v>3742</v>
      </c>
      <c r="BO89" s="73" t="n">
        <f aca="false">IF(AND(SUM($BN89)&lt;=0,SUM($BM89)&lt;=0),"",SUM($BN89)-SUM($BM89))</f>
        <v>3725</v>
      </c>
      <c r="BP89" s="73" t="n">
        <f aca="false">_xlfn.IFNA(INDEX(PMTCT!$AF:$AF,MATCH($E89,PMTCT!$E:$E,0)),"")</f>
        <v>16</v>
      </c>
      <c r="BQ89" s="73" t="str">
        <f aca="false">_xlfn.IFNA(INDEX(PMTCT!$AV:$AV,MATCH($E89,PMTCT!$E:$E,0)),"")</f>
        <v/>
      </c>
      <c r="BR89" s="73" t="n">
        <f aca="false">_xlfn.IFNA(INDEX(TB!$R:$R,MATCH($E89,TB!$E:$E,0)),"")</f>
        <v>-252</v>
      </c>
      <c r="BS89" s="73" t="str">
        <f aca="false">_xlfn.IFNA(INDEX(VMMC!$AD:$AD,MATCH($E89,VMMC!$E:$E,0)),"")</f>
        <v/>
      </c>
      <c r="BT89" s="73" t="n">
        <f aca="false">IF(SUM($R89,$T89,$AN89,$AQ89,$AT89,$AW89,$AZ89,$BC89,$BF89,$BI89,$BL89,$BP89:$BS89)=0,"",SUM($R89,$T89,$AN89,$AQ89,$AT89,$AW89,$AZ89,$BC89,$BF89,$BI89,$BL89,$BP89:$BS89))</f>
        <v>-2249</v>
      </c>
      <c r="BU89" s="73" t="n">
        <f aca="false">IF(OR(SUM($BT89)=0,SUM($BN89)=0),"",SUM($BT89,$BN89))</f>
        <v>1493</v>
      </c>
      <c r="BV89" s="118" t="n">
        <f aca="false">IF(SUM($BU89)=0,"",SUM($BN89)/$BU89)</f>
        <v>2.50636302746149</v>
      </c>
      <c r="BW89" s="73" t="n">
        <v>6</v>
      </c>
      <c r="BX89" s="118" t="n">
        <f aca="false">IF(OR($C89="01-04",$C89="05-09"),"",0%)</f>
        <v>0</v>
      </c>
      <c r="BY89" s="75" t="n">
        <f aca="false">IF(OR($C89="01-04",$C89="05-09",SUM($BW89)=0),"",ROUND($BW89*(1+$BX89),0))</f>
        <v>6</v>
      </c>
    </row>
    <row r="90" customFormat="false" ht="15" hidden="false" customHeight="false" outlineLevel="0" collapsed="false">
      <c r="A90" s="0" t="s">
        <v>144</v>
      </c>
      <c r="B90" s="0" t="s">
        <v>103</v>
      </c>
      <c r="C90" s="0" t="s">
        <v>66</v>
      </c>
      <c r="D90" s="0" t="s">
        <v>58</v>
      </c>
      <c r="E90" s="0" t="str">
        <f aca="false">B90&amp;"|"&amp;C90&amp;"|"&amp;D90</f>
        <v>Leribe [#SNU] [FjSmRywOWUp]|20-24|Male</v>
      </c>
      <c r="F90" s="118" t="n">
        <f aca="false">_xlfn.IFNA(INDEX(Cascade!$Y:$Y,MATCH($E90,Cascade!$E:$E,0)),"")</f>
        <v>0.592753623188406</v>
      </c>
      <c r="G90" s="73" t="n">
        <f aca="false">_xlfn.IFNA(INDEX(Cascade!$BD:$BD,MATCH($E90,Cascade!$E:$E,0)),"")</f>
        <v>1</v>
      </c>
      <c r="H90" s="73" t="n">
        <f aca="false">_xlfn.IFNA(INDEX(Cascade!$BE:$BE,MATCH($E90,Cascade!$E:$E,0)),"")</f>
        <v>0</v>
      </c>
      <c r="I90" s="73" t="str">
        <f aca="false">_xlfn.IFNA(INDEX(Cascade!$BF:$BF,MATCH($E90,Cascade!$E:$E,0)),"")</f>
        <v/>
      </c>
      <c r="J90" s="73" t="str">
        <f aca="false">_xlfn.IFNA(INDEX(Cascade!$BG:$BG,MATCH($E90,Cascade!$E:$E,0)),"")</f>
        <v/>
      </c>
      <c r="K90" s="73" t="n">
        <f aca="false">_xlfn.IFNA(INDEX(Cascade!$BH:$BH,MATCH($E90,Cascade!$E:$E,0)),"")</f>
        <v>-0</v>
      </c>
      <c r="L90" s="73" t="str">
        <f aca="false">_xlfn.IFNA(INDEX(Cascade!$BI:$BI,MATCH($E90,Cascade!$E:$E,0)),"")</f>
        <v/>
      </c>
      <c r="M90" s="73" t="n">
        <f aca="false">_xlfn.IFNA(INDEX(Cascade!$BK:$BK,MATCH($E90,Cascade!$E:$E,0)),"")</f>
        <v>1</v>
      </c>
      <c r="N90" s="118" t="n">
        <v>9</v>
      </c>
      <c r="O90" s="118" t="n">
        <v>19</v>
      </c>
      <c r="P90" s="118" t="n">
        <v>7</v>
      </c>
      <c r="Q90" s="75" t="str">
        <f aca="false">IF(OR(SUM($H90)=0,SUM($N90)=0,SUM($O90)=0),"",ROUND($H90*$N90,0))</f>
        <v/>
      </c>
      <c r="R90" s="75" t="str">
        <f aca="false">IF(OR(SUM($Q90)=0,SUM($O90)=0),"",ROUND(SUM($Q90)/SUM($O90),0)-SUM($Q90))</f>
        <v/>
      </c>
      <c r="S90" s="75" t="str">
        <f aca="false">IF(SUM($H90)=0,"",SUM($H90)-SUM($Q90))</f>
        <v/>
      </c>
      <c r="T90" s="75" t="str">
        <f aca="false">IF(OR(SUM($S90)=0,$N90&gt;1,SUM($P90)&lt;=0),"",ROUND($S90/$P90,0)-$S90)</f>
        <v/>
      </c>
      <c r="U90" s="118" t="n">
        <f aca="false">IF(SUM($G90)&lt;=0,"",SUM($Q90,$S90)/$G90)</f>
        <v>0</v>
      </c>
      <c r="V90" s="118" t="str">
        <f aca="false">IF(OR(SUM($Q90)=0,SUM($G90)=0),"",SUM($Q90)/SUM($G90))</f>
        <v/>
      </c>
      <c r="W90" s="118" t="str">
        <f aca="false">IF(OR(SUM($S90)=0,SUM($G90)=0),"",SUM($S90)/SUM($G90))</f>
        <v/>
      </c>
      <c r="X90" s="118" t="str">
        <f aca="false">IF(OR(SUM($G90)=0,SUM($I90)=0),"",SUM($I90)/SUM($G90))</f>
        <v/>
      </c>
      <c r="Y90" s="118" t="str">
        <f aca="false">IF(OR(SUM($G90)=0,SUM($J90)=0),"",SUM($J90)/SUM($G90))</f>
        <v/>
      </c>
      <c r="Z90" s="118" t="str">
        <f aca="false">IF(OR(SUM($G90)=0,SUM($K90)=0),"",SUM($K90)/SUM($G90))</f>
        <v/>
      </c>
      <c r="AA90" s="118" t="str">
        <f aca="false">IF(OR(SUM($G90)=0,SUM($L90)=0),"",SUM($L90)/SUM($G90))</f>
        <v/>
      </c>
      <c r="AB90" s="118" t="n">
        <v>32</v>
      </c>
      <c r="AC90" s="118"/>
      <c r="AD90" s="118"/>
      <c r="AE90" s="118" t="n">
        <v>26</v>
      </c>
      <c r="AF90" s="118" t="n">
        <v>11</v>
      </c>
      <c r="AG90" s="118" t="n">
        <v>20</v>
      </c>
      <c r="AH90" s="118" t="n">
        <v>16</v>
      </c>
      <c r="AI90" s="118" t="n">
        <v>48</v>
      </c>
      <c r="AJ90" s="118" t="n">
        <v>18</v>
      </c>
      <c r="AK90" s="118" t="n">
        <f aca="false">IF(SUM($G90)&lt;=0,"",SUM($V90:$AJ90))</f>
        <v>171</v>
      </c>
      <c r="AL90" s="118"/>
      <c r="AM90" s="75" t="n">
        <f aca="false">IF(OR(SUM($AB90)&lt;=0,SUM($G90)&lt;=0),"",ROUND($G90*$AB90,0))</f>
        <v>32</v>
      </c>
      <c r="AN90" s="75" t="str">
        <f aca="false">IF(SUM($AM90)&lt;=0,"",IF(SUM($AL90)&lt;=0,"ENTER VALID YIELD!",ROUND($AM90/$AL90,0)-$AM90))</f>
        <v>ENTER VALID YIELD!</v>
      </c>
      <c r="AO90" s="118"/>
      <c r="AP90" s="75" t="str">
        <f aca="false">IF(OR(SUM($AC90)&lt;=0,SUM($G90)&lt;=0),"",ROUND($G90*$AC90,0))</f>
        <v/>
      </c>
      <c r="AQ90" s="75" t="str">
        <f aca="false">IF(SUM($AP90)&lt;=0,"",IF(SUM($AO90)&lt;=0,"ENTER VALID YIELD!",ROUND($AP90/$AO90,0)-$AP90))</f>
        <v/>
      </c>
      <c r="AR90" s="118"/>
      <c r="AS90" s="75" t="str">
        <f aca="false">IF(OR(SUM($AD90)&lt;=0,SUM($G90)&lt;=0),"",ROUND($G90*$AD90,0))</f>
        <v/>
      </c>
      <c r="AT90" s="75" t="str">
        <f aca="false">IF(SUM($AS90)&lt;=0,"",IF(SUM($AR90)&lt;=0,"ENTER VALID YIELD!",ROUND($AS90/$AR90,0)-$AS90))</f>
        <v/>
      </c>
      <c r="AU90" s="118"/>
      <c r="AV90" s="75" t="n">
        <f aca="false">IF(OR(SUM($AE90)&lt;=0,SUM($G90)&lt;=0),"",ROUND($G90*$AE90,0))</f>
        <v>26</v>
      </c>
      <c r="AW90" s="75" t="str">
        <f aca="false">IF(SUM($AV90)&lt;=0,"",IF(SUM($AU90)&lt;=0,"ENTER VALID YIELD!",ROUND($AV90/$AU90,0)-$AV90))</f>
        <v>ENTER VALID YIELD!</v>
      </c>
      <c r="AX90" s="118"/>
      <c r="AY90" s="75" t="n">
        <f aca="false">IF(OR(SUM($AF90)&lt;=0,SUM($G90)&lt;=0),"",ROUND($G90*$AF90,0))</f>
        <v>11</v>
      </c>
      <c r="AZ90" s="75" t="str">
        <f aca="false">IF(SUM($AY90)&lt;=0,"",IF(SUM($AX90)&lt;=0,"ENTER VALID YIELD!",ROUND($AY90/$AX90,0)-$AY90))</f>
        <v>ENTER VALID YIELD!</v>
      </c>
      <c r="BA90" s="118" t="n">
        <v>45</v>
      </c>
      <c r="BB90" s="75" t="n">
        <f aca="false">IF(OR(SUM($AG90)&lt;=0,SUM($G90)&lt;=0),"",ROUND($G90*$AG90,0))</f>
        <v>20</v>
      </c>
      <c r="BC90" s="75" t="n">
        <f aca="false">IF(SUM($BB90)&lt;=0,"",IF(SUM($BA90)&lt;=0,"ENTER VALID YIELD!",ROUND($BB90/$BA90,0)-$BB90))</f>
        <v>-20</v>
      </c>
      <c r="BD90" s="118"/>
      <c r="BE90" s="75" t="n">
        <f aca="false">IF(OR(SUM($AH90)&lt;=0,SUM($G90)&lt;=0),"",ROUND($G90*$AH90,0))</f>
        <v>16</v>
      </c>
      <c r="BF90" s="75" t="str">
        <f aca="false">IF(SUM($BE90)&lt;=0,"",IF(SUM($BD90)&lt;=0,"ENTER VALID YIELD!",ROUND($BE90/$BD90,0)-$BE90))</f>
        <v>ENTER VALID YIELD!</v>
      </c>
      <c r="BG90" s="118" t="n">
        <v>28</v>
      </c>
      <c r="BH90" s="75" t="n">
        <f aca="false">IF(OR(SUM($AI90)&lt;=0,SUM($G90)&lt;=0),"",ROUND($G90*$AI90,0))</f>
        <v>48</v>
      </c>
      <c r="BI90" s="75" t="n">
        <f aca="false">IF(SUM($BH90)&lt;=0,"",IF(SUM($BG90)&lt;=0,"ENTER VALID YIELD!",ROUND($BH90/$BG90,0)-$BH90))</f>
        <v>-46</v>
      </c>
      <c r="BJ90" s="118" t="n">
        <v>49</v>
      </c>
      <c r="BK90" s="75" t="n">
        <f aca="false">IF(OR(SUM($AJ90)&lt;=0,SUM($G90)&lt;=0),"",ROUND($G90*$AJ90,0))</f>
        <v>18</v>
      </c>
      <c r="BL90" s="75" t="n">
        <f aca="false">IF(SUM($BK90)&lt;=0,"",IF(SUM($BJ90)&lt;=0,"ENTER VALID YIELD!",ROUND($BK90/$BJ90,0)-$BK90))</f>
        <v>-18</v>
      </c>
      <c r="BM90" s="73" t="n">
        <f aca="false">IF(SUM($G90)&lt;=0,"",$G90)</f>
        <v>1</v>
      </c>
      <c r="BN90" s="73" t="n">
        <f aca="false">IF(SUM($G90)&lt;=0,"",SUM($I90:$L90,$Q90,$S90,$AM90,$AP90,$AS90,$AV90,$AY90,$BB90,$BE90,$BH90,$BK90))</f>
        <v>171</v>
      </c>
      <c r="BO90" s="73" t="n">
        <f aca="false">IF(AND(SUM($BN90)&lt;=0,SUM($BM90)&lt;=0),"",SUM($BN90)-SUM($BM90))</f>
        <v>170</v>
      </c>
      <c r="BP90" s="73" t="str">
        <f aca="false">_xlfn.IFNA(INDEX(PMTCT!$AF:$AF,MATCH($E90,PMTCT!$E:$E,0)),"")</f>
        <v/>
      </c>
      <c r="BQ90" s="73" t="str">
        <f aca="false">_xlfn.IFNA(INDEX(PMTCT!$AV:$AV,MATCH($E90,PMTCT!$E:$E,0)),"")</f>
        <v/>
      </c>
      <c r="BR90" s="73" t="n">
        <f aca="false">_xlfn.IFNA(INDEX(TB!$R:$R,MATCH($E90,TB!$E:$E,0)),"")</f>
        <v>-598</v>
      </c>
      <c r="BS90" s="73" t="str">
        <f aca="false">_xlfn.IFNA(INDEX(VMMC!$AD:$AD,MATCH($E90,VMMC!$E:$E,0)),"")</f>
        <v/>
      </c>
      <c r="BT90" s="73" t="n">
        <f aca="false">IF(SUM($R90,$T90,$AN90,$AQ90,$AT90,$AW90,$AZ90,$BC90,$BF90,$BI90,$BL90,$BP90:$BS90)=0,"",SUM($R90,$T90,$AN90,$AQ90,$AT90,$AW90,$AZ90,$BC90,$BF90,$BI90,$BL90,$BP90:$BS90))</f>
        <v>-682</v>
      </c>
      <c r="BU90" s="73" t="n">
        <f aca="false">IF(OR(SUM($BT90)=0,SUM($BN90)=0),"",SUM($BT90,$BN90))</f>
        <v>-511</v>
      </c>
      <c r="BV90" s="118" t="n">
        <f aca="false">IF(SUM($BU90)=0,"",SUM($BN90)/$BU90)</f>
        <v>-0.334637964774951</v>
      </c>
      <c r="BW90" s="73" t="n">
        <v>47</v>
      </c>
      <c r="BX90" s="118" t="n">
        <f aca="false">IF(OR($C90="01-04",$C90="05-09"),"",0%)</f>
        <v>0</v>
      </c>
      <c r="BY90" s="75" t="n">
        <f aca="false">IF(OR($C90="01-04",$C90="05-09",SUM($BW90)=0),"",ROUND($BW90*(1+$BX90),0))</f>
        <v>47</v>
      </c>
    </row>
    <row r="91" customFormat="false" ht="15" hidden="false" customHeight="false" outlineLevel="0" collapsed="false">
      <c r="A91" s="0" t="s">
        <v>144</v>
      </c>
      <c r="B91" s="0" t="s">
        <v>103</v>
      </c>
      <c r="C91" s="0" t="s">
        <v>69</v>
      </c>
      <c r="D91" s="0" t="s">
        <v>56</v>
      </c>
      <c r="E91" s="0" t="str">
        <f aca="false">B91&amp;"|"&amp;C91&amp;"|"&amp;D91</f>
        <v>Leribe [#SNU] [FjSmRywOWUp]|25-29|Female</v>
      </c>
      <c r="F91" s="118" t="n">
        <f aca="false">_xlfn.IFNA(INDEX(Cascade!$Y:$Y,MATCH($E91,Cascade!$E:$E,0)),"")</f>
        <v>0.694226077527785</v>
      </c>
      <c r="G91" s="73" t="n">
        <f aca="false">_xlfn.IFNA(INDEX(Cascade!$BD:$BD,MATCH($E91,Cascade!$E:$E,0)),"")</f>
        <v>6</v>
      </c>
      <c r="H91" s="73" t="n">
        <f aca="false">_xlfn.IFNA(INDEX(Cascade!$BE:$BE,MATCH($E91,Cascade!$E:$E,0)),"")</f>
        <v>2</v>
      </c>
      <c r="I91" s="73" t="n">
        <f aca="false">_xlfn.IFNA(INDEX(Cascade!$BF:$BF,MATCH($E91,Cascade!$E:$E,0)),"")</f>
        <v>-20592</v>
      </c>
      <c r="J91" s="73" t="str">
        <f aca="false">_xlfn.IFNA(INDEX(Cascade!$BG:$BG,MATCH($E91,Cascade!$E:$E,0)),"")</f>
        <v/>
      </c>
      <c r="K91" s="73" t="n">
        <f aca="false">_xlfn.IFNA(INDEX(Cascade!$BH:$BH,MATCH($E91,Cascade!$E:$E,0)),"")</f>
        <v>-12005</v>
      </c>
      <c r="L91" s="73" t="str">
        <f aca="false">_xlfn.IFNA(INDEX(Cascade!$BI:$BI,MATCH($E91,Cascade!$E:$E,0)),"")</f>
        <v/>
      </c>
      <c r="M91" s="73" t="n">
        <f aca="false">_xlfn.IFNA(INDEX(Cascade!$BK:$BK,MATCH($E91,Cascade!$E:$E,0)),"")</f>
        <v>32601</v>
      </c>
      <c r="N91" s="118" t="n">
        <v>35</v>
      </c>
      <c r="O91" s="118" t="n">
        <v>30</v>
      </c>
      <c r="P91" s="118" t="n">
        <v>26</v>
      </c>
      <c r="Q91" s="75" t="n">
        <f aca="false">IF(OR(SUM($H91)=0,SUM($N91)=0,SUM($O91)=0),"",ROUND($H91*$N91,0))</f>
        <v>70</v>
      </c>
      <c r="R91" s="75" t="n">
        <f aca="false">IF(OR(SUM($Q91)=0,SUM($O91)=0),"",ROUND(SUM($Q91)/SUM($O91),0)-SUM($Q91))</f>
        <v>-68</v>
      </c>
      <c r="S91" s="75" t="n">
        <f aca="false">IF(SUM($H91)=0,"",SUM($H91)-SUM($Q91))</f>
        <v>-68</v>
      </c>
      <c r="T91" s="75" t="str">
        <f aca="false">IF(OR(SUM($S91)=0,$N91&gt;1,SUM($P91)&lt;=0),"",ROUND($S91/$P91,0)-$S91)</f>
        <v/>
      </c>
      <c r="U91" s="118" t="n">
        <f aca="false">IF(SUM($G91)&lt;=0,"",SUM($Q91,$S91)/$G91)</f>
        <v>0.333333333333333</v>
      </c>
      <c r="V91" s="118" t="n">
        <f aca="false">IF(OR(SUM($Q91)=0,SUM($G91)=0),"",SUM($Q91)/SUM($G91))</f>
        <v>11.6666666666667</v>
      </c>
      <c r="W91" s="118" t="n">
        <f aca="false">IF(OR(SUM($S91)=0,SUM($G91)=0),"",SUM($S91)/SUM($G91))</f>
        <v>-11.3333333333333</v>
      </c>
      <c r="X91" s="118" t="n">
        <f aca="false">IF(OR(SUM($G91)=0,SUM($I91)=0),"",SUM($I91)/SUM($G91))</f>
        <v>-3432</v>
      </c>
      <c r="Y91" s="118" t="str">
        <f aca="false">IF(OR(SUM($G91)=0,SUM($J91)=0),"",SUM($J91)/SUM($G91))</f>
        <v/>
      </c>
      <c r="Z91" s="118" t="n">
        <f aca="false">IF(OR(SUM($G91)=0,SUM($K91)=0),"",SUM($K91)/SUM($G91))</f>
        <v>-2000.83333333333</v>
      </c>
      <c r="AA91" s="118" t="str">
        <f aca="false">IF(OR(SUM($G91)=0,SUM($L91)=0),"",SUM($L91)/SUM($G91))</f>
        <v/>
      </c>
      <c r="AB91" s="118" t="n">
        <v>25</v>
      </c>
      <c r="AC91" s="118"/>
      <c r="AD91" s="118"/>
      <c r="AE91" s="118" t="n">
        <v>31</v>
      </c>
      <c r="AF91" s="118" t="n">
        <v>32</v>
      </c>
      <c r="AG91" s="118" t="n">
        <v>41</v>
      </c>
      <c r="AH91" s="118" t="n">
        <v>0</v>
      </c>
      <c r="AI91" s="118" t="n">
        <v>11</v>
      </c>
      <c r="AJ91" s="118" t="n">
        <v>49</v>
      </c>
      <c r="AK91" s="118" t="n">
        <f aca="false">IF(SUM($G91)&lt;=0,"",SUM($V91:$AJ91))</f>
        <v>-5243.5</v>
      </c>
      <c r="AL91" s="118" t="n">
        <v>18</v>
      </c>
      <c r="AM91" s="75" t="n">
        <f aca="false">IF(OR(SUM($AB91)&lt;=0,SUM($G91)&lt;=0),"",ROUND($G91*$AB91,0))</f>
        <v>150</v>
      </c>
      <c r="AN91" s="75" t="n">
        <f aca="false">IF(SUM($AM91)&lt;=0,"",IF(SUM($AL91)&lt;=0,"ENTER VALID YIELD!",ROUND($AM91/$AL91,0)-$AM91))</f>
        <v>-142</v>
      </c>
      <c r="AO91" s="118"/>
      <c r="AP91" s="75" t="str">
        <f aca="false">IF(OR(SUM($AC91)&lt;=0,SUM($G91)&lt;=0),"",ROUND($G91*$AC91,0))</f>
        <v/>
      </c>
      <c r="AQ91" s="75" t="str">
        <f aca="false">IF(SUM($AP91)&lt;=0,"",IF(SUM($AO91)&lt;=0,"ENTER VALID YIELD!",ROUND($AP91/$AO91,0)-$AP91))</f>
        <v/>
      </c>
      <c r="AR91" s="118"/>
      <c r="AS91" s="75" t="str">
        <f aca="false">IF(OR(SUM($AD91)&lt;=0,SUM($G91)&lt;=0),"",ROUND($G91*$AD91,0))</f>
        <v/>
      </c>
      <c r="AT91" s="75" t="str">
        <f aca="false">IF(SUM($AS91)&lt;=0,"",IF(SUM($AR91)&lt;=0,"ENTER VALID YIELD!",ROUND($AS91/$AR91,0)-$AS91))</f>
        <v/>
      </c>
      <c r="AU91" s="118"/>
      <c r="AV91" s="75" t="n">
        <f aca="false">IF(OR(SUM($AE91)&lt;=0,SUM($G91)&lt;=0),"",ROUND($G91*$AE91,0))</f>
        <v>186</v>
      </c>
      <c r="AW91" s="75" t="str">
        <f aca="false">IF(SUM($AV91)&lt;=0,"",IF(SUM($AU91)&lt;=0,"ENTER VALID YIELD!",ROUND($AV91/$AU91,0)-$AV91))</f>
        <v>ENTER VALID YIELD!</v>
      </c>
      <c r="AX91" s="118"/>
      <c r="AY91" s="75" t="n">
        <f aca="false">IF(OR(SUM($AF91)&lt;=0,SUM($G91)&lt;=0),"",ROUND($G91*$AF91,0))</f>
        <v>192</v>
      </c>
      <c r="AZ91" s="75" t="str">
        <f aca="false">IF(SUM($AY91)&lt;=0,"",IF(SUM($AX91)&lt;=0,"ENTER VALID YIELD!",ROUND($AY91/$AX91,0)-$AY91))</f>
        <v>ENTER VALID YIELD!</v>
      </c>
      <c r="BA91" s="118" t="n">
        <v>13</v>
      </c>
      <c r="BB91" s="75" t="n">
        <f aca="false">IF(OR(SUM($AG91)&lt;=0,SUM($G91)&lt;=0),"",ROUND($G91*$AG91,0))</f>
        <v>246</v>
      </c>
      <c r="BC91" s="75" t="n">
        <f aca="false">IF(SUM($BB91)&lt;=0,"",IF(SUM($BA91)&lt;=0,"ENTER VALID YIELD!",ROUND($BB91/$BA91,0)-$BB91))</f>
        <v>-227</v>
      </c>
      <c r="BD91" s="118"/>
      <c r="BE91" s="75" t="str">
        <f aca="false">IF(OR(SUM($AH91)&lt;=0,SUM($G91)&lt;=0),"",ROUND($G91*$AH91,0))</f>
        <v/>
      </c>
      <c r="BF91" s="75" t="str">
        <f aca="false">IF(SUM($BE91)&lt;=0,"",IF(SUM($BD91)&lt;=0,"ENTER VALID YIELD!",ROUND($BE91/$BD91,0)-$BE91))</f>
        <v/>
      </c>
      <c r="BG91" s="118" t="n">
        <v>29</v>
      </c>
      <c r="BH91" s="75" t="n">
        <f aca="false">IF(OR(SUM($AI91)&lt;=0,SUM($G91)&lt;=0),"",ROUND($G91*$AI91,0))</f>
        <v>66</v>
      </c>
      <c r="BI91" s="75" t="n">
        <f aca="false">IF(SUM($BH91)&lt;=0,"",IF(SUM($BG91)&lt;=0,"ENTER VALID YIELD!",ROUND($BH91/$BG91,0)-$BH91))</f>
        <v>-64</v>
      </c>
      <c r="BJ91" s="118" t="n">
        <v>30</v>
      </c>
      <c r="BK91" s="75" t="n">
        <f aca="false">IF(OR(SUM($AJ91)&lt;=0,SUM($G91)&lt;=0),"",ROUND($G91*$AJ91,0))</f>
        <v>294</v>
      </c>
      <c r="BL91" s="75" t="n">
        <f aca="false">IF(SUM($BK91)&lt;=0,"",IF(SUM($BJ91)&lt;=0,"ENTER VALID YIELD!",ROUND($BK91/$BJ91,0)-$BK91))</f>
        <v>-284</v>
      </c>
      <c r="BM91" s="73" t="n">
        <f aca="false">IF(SUM($G91)&lt;=0,"",$G91)</f>
        <v>6</v>
      </c>
      <c r="BN91" s="73" t="n">
        <f aca="false">IF(SUM($G91)&lt;=0,"",SUM($I91:$L91,$Q91,$S91,$AM91,$AP91,$AS91,$AV91,$AY91,$BB91,$BE91,$BH91,$BK91))</f>
        <v>-31461</v>
      </c>
      <c r="BO91" s="73" t="n">
        <f aca="false">IF(AND(SUM($BN91)&lt;=0,SUM($BM91)&lt;=0),"",SUM($BN91)-SUM($BM91))</f>
        <v>-31467</v>
      </c>
      <c r="BP91" s="73" t="n">
        <f aca="false">_xlfn.IFNA(INDEX(PMTCT!$AF:$AF,MATCH($E91,PMTCT!$E:$E,0)),"")</f>
        <v>19800</v>
      </c>
      <c r="BQ91" s="73" t="str">
        <f aca="false">_xlfn.IFNA(INDEX(PMTCT!$AV:$AV,MATCH($E91,PMTCT!$E:$E,0)),"")</f>
        <v/>
      </c>
      <c r="BR91" s="73" t="n">
        <f aca="false">_xlfn.IFNA(INDEX(TB!$R:$R,MATCH($E91,TB!$E:$E,0)),"")</f>
        <v>10290</v>
      </c>
      <c r="BS91" s="73" t="str">
        <f aca="false">_xlfn.IFNA(INDEX(VMMC!$AD:$AD,MATCH($E91,VMMC!$E:$E,0)),"")</f>
        <v/>
      </c>
      <c r="BT91" s="73" t="n">
        <f aca="false">IF(SUM($R91,$T91,$AN91,$AQ91,$AT91,$AW91,$AZ91,$BC91,$BF91,$BI91,$BL91,$BP91:$BS91)=0,"",SUM($R91,$T91,$AN91,$AQ91,$AT91,$AW91,$AZ91,$BC91,$BF91,$BI91,$BL91,$BP91:$BS91))</f>
        <v>29305</v>
      </c>
      <c r="BU91" s="73" t="n">
        <f aca="false">IF(OR(SUM($BT91)=0,SUM($BN91)=0),"",SUM($BT91,$BN91))</f>
        <v>-2156</v>
      </c>
      <c r="BV91" s="118" t="n">
        <f aca="false">IF(SUM($BU91)=0,"",SUM($BN91)/$BU91)</f>
        <v>14.5923005565863</v>
      </c>
      <c r="BW91" s="73" t="n">
        <v>25</v>
      </c>
      <c r="BX91" s="118" t="n">
        <f aca="false">IF(OR($C91="01-04",$C91="05-09"),"",0%)</f>
        <v>0</v>
      </c>
      <c r="BY91" s="75" t="n">
        <f aca="false">IF(OR($C91="01-04",$C91="05-09",SUM($BW91)=0),"",ROUND($BW91*(1+$BX91),0))</f>
        <v>25</v>
      </c>
    </row>
    <row r="92" customFormat="false" ht="15" hidden="false" customHeight="false" outlineLevel="0" collapsed="false">
      <c r="A92" s="0" t="s">
        <v>144</v>
      </c>
      <c r="B92" s="0" t="s">
        <v>103</v>
      </c>
      <c r="C92" s="0" t="s">
        <v>69</v>
      </c>
      <c r="D92" s="0" t="s">
        <v>58</v>
      </c>
      <c r="E92" s="0" t="str">
        <f aca="false">B92&amp;"|"&amp;C92&amp;"|"&amp;D92</f>
        <v>Leribe [#SNU] [FjSmRywOWUp]|25-29|Male</v>
      </c>
      <c r="F92" s="118" t="n">
        <f aca="false">_xlfn.IFNA(INDEX(Cascade!$Y:$Y,MATCH($E92,Cascade!$E:$E,0)),"")</f>
        <v>0.50571791613723</v>
      </c>
      <c r="G92" s="73" t="n">
        <f aca="false">_xlfn.IFNA(INDEX(Cascade!$BD:$BD,MATCH($E92,Cascade!$E:$E,0)),"")</f>
        <v>5</v>
      </c>
      <c r="H92" s="73" t="n">
        <f aca="false">_xlfn.IFNA(INDEX(Cascade!$BE:$BE,MATCH($E92,Cascade!$E:$E,0)),"")</f>
        <v>2</v>
      </c>
      <c r="I92" s="73" t="str">
        <f aca="false">_xlfn.IFNA(INDEX(Cascade!$BF:$BF,MATCH($E92,Cascade!$E:$E,0)),"")</f>
        <v/>
      </c>
      <c r="J92" s="73" t="str">
        <f aca="false">_xlfn.IFNA(INDEX(Cascade!$BG:$BG,MATCH($E92,Cascade!$E:$E,0)),"")</f>
        <v/>
      </c>
      <c r="K92" s="73" t="n">
        <f aca="false">_xlfn.IFNA(INDEX(Cascade!$BH:$BH,MATCH($E92,Cascade!$E:$E,0)),"")</f>
        <v>-20832</v>
      </c>
      <c r="L92" s="73" t="str">
        <f aca="false">_xlfn.IFNA(INDEX(Cascade!$BI:$BI,MATCH($E92,Cascade!$E:$E,0)),"")</f>
        <v/>
      </c>
      <c r="M92" s="73" t="n">
        <f aca="false">_xlfn.IFNA(INDEX(Cascade!$BK:$BK,MATCH($E92,Cascade!$E:$E,0)),"")</f>
        <v>20835</v>
      </c>
      <c r="N92" s="118" t="n">
        <v>36</v>
      </c>
      <c r="O92" s="118" t="n">
        <v>46</v>
      </c>
      <c r="P92" s="118" t="n">
        <v>32</v>
      </c>
      <c r="Q92" s="75" t="n">
        <f aca="false">IF(OR(SUM($H92)=0,SUM($N92)=0,SUM($O92)=0),"",ROUND($H92*$N92,0))</f>
        <v>72</v>
      </c>
      <c r="R92" s="75" t="n">
        <f aca="false">IF(OR(SUM($Q92)=0,SUM($O92)=0),"",ROUND(SUM($Q92)/SUM($O92),0)-SUM($Q92))</f>
        <v>-70</v>
      </c>
      <c r="S92" s="75" t="n">
        <f aca="false">IF(SUM($H92)=0,"",SUM($H92)-SUM($Q92))</f>
        <v>-70</v>
      </c>
      <c r="T92" s="75" t="str">
        <f aca="false">IF(OR(SUM($S92)=0,$N92&gt;1,SUM($P92)&lt;=0),"",ROUND($S92/$P92,0)-$S92)</f>
        <v/>
      </c>
      <c r="U92" s="118" t="n">
        <f aca="false">IF(SUM($G92)&lt;=0,"",SUM($Q92,$S92)/$G92)</f>
        <v>0.4</v>
      </c>
      <c r="V92" s="118" t="n">
        <f aca="false">IF(OR(SUM($Q92)=0,SUM($G92)=0),"",SUM($Q92)/SUM($G92))</f>
        <v>14.4</v>
      </c>
      <c r="W92" s="118" t="n">
        <f aca="false">IF(OR(SUM($S92)=0,SUM($G92)=0),"",SUM($S92)/SUM($G92))</f>
        <v>-14</v>
      </c>
      <c r="X92" s="118" t="str">
        <f aca="false">IF(OR(SUM($G92)=0,SUM($I92)=0),"",SUM($I92)/SUM($G92))</f>
        <v/>
      </c>
      <c r="Y92" s="118" t="str">
        <f aca="false">IF(OR(SUM($G92)=0,SUM($J92)=0),"",SUM($J92)/SUM($G92))</f>
        <v/>
      </c>
      <c r="Z92" s="118" t="n">
        <f aca="false">IF(OR(SUM($G92)=0,SUM($K92)=0),"",SUM($K92)/SUM($G92))</f>
        <v>-4166.4</v>
      </c>
      <c r="AA92" s="118" t="str">
        <f aca="false">IF(OR(SUM($G92)=0,SUM($L92)=0),"",SUM($L92)/SUM($G92))</f>
        <v/>
      </c>
      <c r="AB92" s="118" t="n">
        <v>8</v>
      </c>
      <c r="AC92" s="118"/>
      <c r="AD92" s="118"/>
      <c r="AE92" s="118" t="n">
        <v>39</v>
      </c>
      <c r="AF92" s="118" t="n">
        <v>20</v>
      </c>
      <c r="AG92" s="118" t="n">
        <v>4</v>
      </c>
      <c r="AH92" s="118" t="n">
        <v>7</v>
      </c>
      <c r="AI92" s="118" t="n">
        <v>36</v>
      </c>
      <c r="AJ92" s="118" t="n">
        <v>10</v>
      </c>
      <c r="AK92" s="118" t="n">
        <f aca="false">IF(SUM($G92)&lt;=0,"",SUM($V92:$AJ92))</f>
        <v>-4042</v>
      </c>
      <c r="AL92" s="118" t="n">
        <v>8</v>
      </c>
      <c r="AM92" s="75" t="n">
        <f aca="false">IF(OR(SUM($AB92)&lt;=0,SUM($G92)&lt;=0),"",ROUND($G92*$AB92,0))</f>
        <v>40</v>
      </c>
      <c r="AN92" s="75" t="n">
        <f aca="false">IF(SUM($AM92)&lt;=0,"",IF(SUM($AL92)&lt;=0,"ENTER VALID YIELD!",ROUND($AM92/$AL92,0)-$AM92))</f>
        <v>-35</v>
      </c>
      <c r="AO92" s="118"/>
      <c r="AP92" s="75" t="str">
        <f aca="false">IF(OR(SUM($AC92)&lt;=0,SUM($G92)&lt;=0),"",ROUND($G92*$AC92,0))</f>
        <v/>
      </c>
      <c r="AQ92" s="75" t="str">
        <f aca="false">IF(SUM($AP92)&lt;=0,"",IF(SUM($AO92)&lt;=0,"ENTER VALID YIELD!",ROUND($AP92/$AO92,0)-$AP92))</f>
        <v/>
      </c>
      <c r="AR92" s="118"/>
      <c r="AS92" s="75" t="str">
        <f aca="false">IF(OR(SUM($AD92)&lt;=0,SUM($G92)&lt;=0),"",ROUND($G92*$AD92,0))</f>
        <v/>
      </c>
      <c r="AT92" s="75" t="str">
        <f aca="false">IF(SUM($AS92)&lt;=0,"",IF(SUM($AR92)&lt;=0,"ENTER VALID YIELD!",ROUND($AS92/$AR92,0)-$AS92))</f>
        <v/>
      </c>
      <c r="AU92" s="118"/>
      <c r="AV92" s="75" t="n">
        <f aca="false">IF(OR(SUM($AE92)&lt;=0,SUM($G92)&lt;=0),"",ROUND($G92*$AE92,0))</f>
        <v>195</v>
      </c>
      <c r="AW92" s="75" t="str">
        <f aca="false">IF(SUM($AV92)&lt;=0,"",IF(SUM($AU92)&lt;=0,"ENTER VALID YIELD!",ROUND($AV92/$AU92,0)-$AV92))</f>
        <v>ENTER VALID YIELD!</v>
      </c>
      <c r="AX92" s="118"/>
      <c r="AY92" s="75" t="n">
        <f aca="false">IF(OR(SUM($AF92)&lt;=0,SUM($G92)&lt;=0),"",ROUND($G92*$AF92,0))</f>
        <v>100</v>
      </c>
      <c r="AZ92" s="75" t="str">
        <f aca="false">IF(SUM($AY92)&lt;=0,"",IF(SUM($AX92)&lt;=0,"ENTER VALID YIELD!",ROUND($AY92/$AX92,0)-$AY92))</f>
        <v>ENTER VALID YIELD!</v>
      </c>
      <c r="BA92" s="118" t="n">
        <v>12</v>
      </c>
      <c r="BB92" s="75" t="n">
        <f aca="false">IF(OR(SUM($AG92)&lt;=0,SUM($G92)&lt;=0),"",ROUND($G92*$AG92,0))</f>
        <v>20</v>
      </c>
      <c r="BC92" s="75" t="n">
        <f aca="false">IF(SUM($BB92)&lt;=0,"",IF(SUM($BA92)&lt;=0,"ENTER VALID YIELD!",ROUND($BB92/$BA92,0)-$BB92))</f>
        <v>-18</v>
      </c>
      <c r="BD92" s="118"/>
      <c r="BE92" s="75" t="n">
        <f aca="false">IF(OR(SUM($AH92)&lt;=0,SUM($G92)&lt;=0),"",ROUND($G92*$AH92,0))</f>
        <v>35</v>
      </c>
      <c r="BF92" s="75" t="str">
        <f aca="false">IF(SUM($BE92)&lt;=0,"",IF(SUM($BD92)&lt;=0,"ENTER VALID YIELD!",ROUND($BE92/$BD92,0)-$BE92))</f>
        <v>ENTER VALID YIELD!</v>
      </c>
      <c r="BG92" s="118" t="n">
        <v>38</v>
      </c>
      <c r="BH92" s="75" t="n">
        <f aca="false">IF(OR(SUM($AI92)&lt;=0,SUM($G92)&lt;=0),"",ROUND($G92*$AI92,0))</f>
        <v>180</v>
      </c>
      <c r="BI92" s="75" t="n">
        <f aca="false">IF(SUM($BH92)&lt;=0,"",IF(SUM($BG92)&lt;=0,"ENTER VALID YIELD!",ROUND($BH92/$BG92,0)-$BH92))</f>
        <v>-175</v>
      </c>
      <c r="BJ92" s="118" t="n">
        <v>48</v>
      </c>
      <c r="BK92" s="75" t="n">
        <f aca="false">IF(OR(SUM($AJ92)&lt;=0,SUM($G92)&lt;=0),"",ROUND($G92*$AJ92,0))</f>
        <v>50</v>
      </c>
      <c r="BL92" s="75" t="n">
        <f aca="false">IF(SUM($BK92)&lt;=0,"",IF(SUM($BJ92)&lt;=0,"ENTER VALID YIELD!",ROUND($BK92/$BJ92,0)-$BK92))</f>
        <v>-49</v>
      </c>
      <c r="BM92" s="73" t="n">
        <f aca="false">IF(SUM($G92)&lt;=0,"",$G92)</f>
        <v>5</v>
      </c>
      <c r="BN92" s="73" t="n">
        <f aca="false">IF(SUM($G92)&lt;=0,"",SUM($I92:$L92,$Q92,$S92,$AM92,$AP92,$AS92,$AV92,$AY92,$BB92,$BE92,$BH92,$BK92))</f>
        <v>-20210</v>
      </c>
      <c r="BO92" s="73" t="n">
        <f aca="false">IF(AND(SUM($BN92)&lt;=0,SUM($BM92)&lt;=0),"",SUM($BN92)-SUM($BM92))</f>
        <v>-20215</v>
      </c>
      <c r="BP92" s="73" t="str">
        <f aca="false">_xlfn.IFNA(INDEX(PMTCT!$AF:$AF,MATCH($E92,PMTCT!$E:$E,0)),"")</f>
        <v/>
      </c>
      <c r="BQ92" s="73" t="str">
        <f aca="false">_xlfn.IFNA(INDEX(PMTCT!$AV:$AV,MATCH($E92,PMTCT!$E:$E,0)),"")</f>
        <v/>
      </c>
      <c r="BR92" s="73" t="n">
        <f aca="false">_xlfn.IFNA(INDEX(TB!$R:$R,MATCH($E92,TB!$E:$E,0)),"")</f>
        <v>20088</v>
      </c>
      <c r="BS92" s="73" t="str">
        <f aca="false">_xlfn.IFNA(INDEX(VMMC!$AD:$AD,MATCH($E92,VMMC!$E:$E,0)),"")</f>
        <v/>
      </c>
      <c r="BT92" s="73" t="n">
        <f aca="false">IF(SUM($R92,$T92,$AN92,$AQ92,$AT92,$AW92,$AZ92,$BC92,$BF92,$BI92,$BL92,$BP92:$BS92)=0,"",SUM($R92,$T92,$AN92,$AQ92,$AT92,$AW92,$AZ92,$BC92,$BF92,$BI92,$BL92,$BP92:$BS92))</f>
        <v>19741</v>
      </c>
      <c r="BU92" s="73" t="n">
        <f aca="false">IF(OR(SUM($BT92)=0,SUM($BN92)=0),"",SUM($BT92,$BN92))</f>
        <v>-469</v>
      </c>
      <c r="BV92" s="118" t="n">
        <f aca="false">IF(SUM($BU92)=0,"",SUM($BN92)/$BU92)</f>
        <v>43.091684434968</v>
      </c>
      <c r="BW92" s="73" t="n">
        <v>7</v>
      </c>
      <c r="BX92" s="118" t="n">
        <f aca="false">IF(OR($C92="01-04",$C92="05-09"),"",0%)</f>
        <v>0</v>
      </c>
      <c r="BY92" s="75" t="n">
        <f aca="false">IF(OR($C92="01-04",$C92="05-09",SUM($BW92)=0),"",ROUND($BW92*(1+$BX92),0))</f>
        <v>7</v>
      </c>
    </row>
    <row r="93" customFormat="false" ht="15" hidden="false" customHeight="false" outlineLevel="0" collapsed="false">
      <c r="A93" s="0" t="s">
        <v>144</v>
      </c>
      <c r="B93" s="0" t="s">
        <v>103</v>
      </c>
      <c r="C93" s="0" t="s">
        <v>72</v>
      </c>
      <c r="D93" s="0" t="s">
        <v>56</v>
      </c>
      <c r="E93" s="0" t="str">
        <f aca="false">B93&amp;"|"&amp;C93&amp;"|"&amp;D93</f>
        <v>Leribe [#SNU] [FjSmRywOWUp]|30-34|Female</v>
      </c>
      <c r="F93" s="118" t="n">
        <f aca="false">_xlfn.IFNA(INDEX(Cascade!$Y:$Y,MATCH($E93,Cascade!$E:$E,0)),"")</f>
        <v>0.675644478645633</v>
      </c>
      <c r="G93" s="73" t="n">
        <f aca="false">_xlfn.IFNA(INDEX(Cascade!$BD:$BD,MATCH($E93,Cascade!$E:$E,0)),"")</f>
        <v>18</v>
      </c>
      <c r="H93" s="73" t="n">
        <f aca="false">_xlfn.IFNA(INDEX(Cascade!$BE:$BE,MATCH($E93,Cascade!$E:$E,0)),"")</f>
        <v>5</v>
      </c>
      <c r="I93" s="73" t="n">
        <f aca="false">_xlfn.IFNA(INDEX(Cascade!$BF:$BF,MATCH($E93,Cascade!$E:$E,0)),"")</f>
        <v>-32683</v>
      </c>
      <c r="J93" s="73" t="str">
        <f aca="false">_xlfn.IFNA(INDEX(Cascade!$BG:$BG,MATCH($E93,Cascade!$E:$E,0)),"")</f>
        <v/>
      </c>
      <c r="K93" s="73" t="n">
        <f aca="false">_xlfn.IFNA(INDEX(Cascade!$BH:$BH,MATCH($E93,Cascade!$E:$E,0)),"")</f>
        <v>-288</v>
      </c>
      <c r="L93" s="73" t="str">
        <f aca="false">_xlfn.IFNA(INDEX(Cascade!$BI:$BI,MATCH($E93,Cascade!$E:$E,0)),"")</f>
        <v/>
      </c>
      <c r="M93" s="73" t="n">
        <f aca="false">_xlfn.IFNA(INDEX(Cascade!$BK:$BK,MATCH($E93,Cascade!$E:$E,0)),"")</f>
        <v>32984</v>
      </c>
      <c r="N93" s="118" t="n">
        <v>14</v>
      </c>
      <c r="O93" s="118" t="n">
        <v>4</v>
      </c>
      <c r="P93" s="118" t="n">
        <v>29</v>
      </c>
      <c r="Q93" s="75" t="n">
        <f aca="false">IF(OR(SUM($H93)=0,SUM($N93)=0,SUM($O93)=0),"",ROUND($H93*$N93,0))</f>
        <v>70</v>
      </c>
      <c r="R93" s="75" t="n">
        <f aca="false">IF(OR(SUM($Q93)=0,SUM($O93)=0),"",ROUND(SUM($Q93)/SUM($O93),0)-SUM($Q93))</f>
        <v>-52</v>
      </c>
      <c r="S93" s="75" t="n">
        <f aca="false">IF(SUM($H93)=0,"",SUM($H93)-SUM($Q93))</f>
        <v>-65</v>
      </c>
      <c r="T93" s="75" t="str">
        <f aca="false">IF(OR(SUM($S93)=0,$N93&gt;1,SUM($P93)&lt;=0),"",ROUND($S93/$P93,0)-$S93)</f>
        <v/>
      </c>
      <c r="U93" s="118" t="n">
        <f aca="false">IF(SUM($G93)&lt;=0,"",SUM($Q93,$S93)/$G93)</f>
        <v>0.277777777777778</v>
      </c>
      <c r="V93" s="118" t="n">
        <f aca="false">IF(OR(SUM($Q93)=0,SUM($G93)=0),"",SUM($Q93)/SUM($G93))</f>
        <v>3.88888888888889</v>
      </c>
      <c r="W93" s="118" t="n">
        <f aca="false">IF(OR(SUM($S93)=0,SUM($G93)=0),"",SUM($S93)/SUM($G93))</f>
        <v>-3.61111111111111</v>
      </c>
      <c r="X93" s="118" t="n">
        <f aca="false">IF(OR(SUM($G93)=0,SUM($I93)=0),"",SUM($I93)/SUM($G93))</f>
        <v>-1815.72222222222</v>
      </c>
      <c r="Y93" s="118" t="str">
        <f aca="false">IF(OR(SUM($G93)=0,SUM($J93)=0),"",SUM($J93)/SUM($G93))</f>
        <v/>
      </c>
      <c r="Z93" s="118" t="n">
        <f aca="false">IF(OR(SUM($G93)=0,SUM($K93)=0),"",SUM($K93)/SUM($G93))</f>
        <v>-16</v>
      </c>
      <c r="AA93" s="118" t="str">
        <f aca="false">IF(OR(SUM($G93)=0,SUM($L93)=0),"",SUM($L93)/SUM($G93))</f>
        <v/>
      </c>
      <c r="AB93" s="118" t="n">
        <v>46</v>
      </c>
      <c r="AC93" s="118"/>
      <c r="AD93" s="118"/>
      <c r="AE93" s="118" t="n">
        <v>22</v>
      </c>
      <c r="AF93" s="118" t="n">
        <v>18</v>
      </c>
      <c r="AG93" s="118" t="n">
        <v>27</v>
      </c>
      <c r="AH93" s="118" t="n">
        <v>2</v>
      </c>
      <c r="AI93" s="118" t="n">
        <v>44</v>
      </c>
      <c r="AJ93" s="118" t="n">
        <v>46</v>
      </c>
      <c r="AK93" s="118" t="n">
        <f aca="false">IF(SUM($G93)&lt;=0,"",SUM($V93:$AJ93))</f>
        <v>-1626.44444444444</v>
      </c>
      <c r="AL93" s="118"/>
      <c r="AM93" s="75" t="n">
        <f aca="false">IF(OR(SUM($AB93)&lt;=0,SUM($G93)&lt;=0),"",ROUND($G93*$AB93,0))</f>
        <v>828</v>
      </c>
      <c r="AN93" s="75" t="str">
        <f aca="false">IF(SUM($AM93)&lt;=0,"",IF(SUM($AL93)&lt;=0,"ENTER VALID YIELD!",ROUND($AM93/$AL93,0)-$AM93))</f>
        <v>ENTER VALID YIELD!</v>
      </c>
      <c r="AO93" s="118"/>
      <c r="AP93" s="75" t="str">
        <f aca="false">IF(OR(SUM($AC93)&lt;=0,SUM($G93)&lt;=0),"",ROUND($G93*$AC93,0))</f>
        <v/>
      </c>
      <c r="AQ93" s="75" t="str">
        <f aca="false">IF(SUM($AP93)&lt;=0,"",IF(SUM($AO93)&lt;=0,"ENTER VALID YIELD!",ROUND($AP93/$AO93,0)-$AP93))</f>
        <v/>
      </c>
      <c r="AR93" s="118"/>
      <c r="AS93" s="75" t="str">
        <f aca="false">IF(OR(SUM($AD93)&lt;=0,SUM($G93)&lt;=0),"",ROUND($G93*$AD93,0))</f>
        <v/>
      </c>
      <c r="AT93" s="75" t="str">
        <f aca="false">IF(SUM($AS93)&lt;=0,"",IF(SUM($AR93)&lt;=0,"ENTER VALID YIELD!",ROUND($AS93/$AR93,0)-$AS93))</f>
        <v/>
      </c>
      <c r="AU93" s="118"/>
      <c r="AV93" s="75" t="n">
        <f aca="false">IF(OR(SUM($AE93)&lt;=0,SUM($G93)&lt;=0),"",ROUND($G93*$AE93,0))</f>
        <v>396</v>
      </c>
      <c r="AW93" s="75" t="str">
        <f aca="false">IF(SUM($AV93)&lt;=0,"",IF(SUM($AU93)&lt;=0,"ENTER VALID YIELD!",ROUND($AV93/$AU93,0)-$AV93))</f>
        <v>ENTER VALID YIELD!</v>
      </c>
      <c r="AX93" s="118"/>
      <c r="AY93" s="75" t="n">
        <f aca="false">IF(OR(SUM($AF93)&lt;=0,SUM($G93)&lt;=0),"",ROUND($G93*$AF93,0))</f>
        <v>324</v>
      </c>
      <c r="AZ93" s="75" t="str">
        <f aca="false">IF(SUM($AY93)&lt;=0,"",IF(SUM($AX93)&lt;=0,"ENTER VALID YIELD!",ROUND($AY93/$AX93,0)-$AY93))</f>
        <v>ENTER VALID YIELD!</v>
      </c>
      <c r="BA93" s="118" t="n">
        <v>17</v>
      </c>
      <c r="BB93" s="75" t="n">
        <f aca="false">IF(OR(SUM($AG93)&lt;=0,SUM($G93)&lt;=0),"",ROUND($G93*$AG93,0))</f>
        <v>486</v>
      </c>
      <c r="BC93" s="75" t="n">
        <f aca="false">IF(SUM($BB93)&lt;=0,"",IF(SUM($BA93)&lt;=0,"ENTER VALID YIELD!",ROUND($BB93/$BA93,0)-$BB93))</f>
        <v>-457</v>
      </c>
      <c r="BD93" s="118"/>
      <c r="BE93" s="75" t="n">
        <f aca="false">IF(OR(SUM($AH93)&lt;=0,SUM($G93)&lt;=0),"",ROUND($G93*$AH93,0))</f>
        <v>36</v>
      </c>
      <c r="BF93" s="75" t="str">
        <f aca="false">IF(SUM($BE93)&lt;=0,"",IF(SUM($BD93)&lt;=0,"ENTER VALID YIELD!",ROUND($BE93/$BD93,0)-$BE93))</f>
        <v>ENTER VALID YIELD!</v>
      </c>
      <c r="BG93" s="118" t="n">
        <v>43</v>
      </c>
      <c r="BH93" s="75" t="n">
        <f aca="false">IF(OR(SUM($AI93)&lt;=0,SUM($G93)&lt;=0),"",ROUND($G93*$AI93,0))</f>
        <v>792</v>
      </c>
      <c r="BI93" s="75" t="n">
        <f aca="false">IF(SUM($BH93)&lt;=0,"",IF(SUM($BG93)&lt;=0,"ENTER VALID YIELD!",ROUND($BH93/$BG93,0)-$BH93))</f>
        <v>-774</v>
      </c>
      <c r="BJ93" s="118" t="n">
        <v>16</v>
      </c>
      <c r="BK93" s="75" t="n">
        <f aca="false">IF(OR(SUM($AJ93)&lt;=0,SUM($G93)&lt;=0),"",ROUND($G93*$AJ93,0))</f>
        <v>828</v>
      </c>
      <c r="BL93" s="75" t="n">
        <f aca="false">IF(SUM($BK93)&lt;=0,"",IF(SUM($BJ93)&lt;=0,"ENTER VALID YIELD!",ROUND($BK93/$BJ93,0)-$BK93))</f>
        <v>-776</v>
      </c>
      <c r="BM93" s="73" t="n">
        <f aca="false">IF(SUM($G93)&lt;=0,"",$G93)</f>
        <v>18</v>
      </c>
      <c r="BN93" s="73" t="n">
        <f aca="false">IF(SUM($G93)&lt;=0,"",SUM($I93:$L93,$Q93,$S93,$AM93,$AP93,$AS93,$AV93,$AY93,$BB93,$BE93,$BH93,$BK93))</f>
        <v>-29276</v>
      </c>
      <c r="BO93" s="73" t="n">
        <f aca="false">IF(AND(SUM($BN93)&lt;=0,SUM($BM93)&lt;=0),"",SUM($BN93)-SUM($BM93))</f>
        <v>-29294</v>
      </c>
      <c r="BP93" s="73" t="n">
        <f aca="false">_xlfn.IFNA(INDEX(PMTCT!$AF:$AF,MATCH($E93,PMTCT!$E:$E,0)),"")</f>
        <v>31556</v>
      </c>
      <c r="BQ93" s="73" t="str">
        <f aca="false">_xlfn.IFNA(INDEX(PMTCT!$AV:$AV,MATCH($E93,PMTCT!$E:$E,0)),"")</f>
        <v/>
      </c>
      <c r="BR93" s="73" t="n">
        <f aca="false">_xlfn.IFNA(INDEX(TB!$R:$R,MATCH($E93,TB!$E:$E,0)),"")</f>
        <v>280</v>
      </c>
      <c r="BS93" s="73" t="str">
        <f aca="false">_xlfn.IFNA(INDEX(VMMC!$AD:$AD,MATCH($E93,VMMC!$E:$E,0)),"")</f>
        <v/>
      </c>
      <c r="BT93" s="73" t="n">
        <f aca="false">IF(SUM($R93,$T93,$AN93,$AQ93,$AT93,$AW93,$AZ93,$BC93,$BF93,$BI93,$BL93,$BP93:$BS93)=0,"",SUM($R93,$T93,$AN93,$AQ93,$AT93,$AW93,$AZ93,$BC93,$BF93,$BI93,$BL93,$BP93:$BS93))</f>
        <v>29777</v>
      </c>
      <c r="BU93" s="73" t="n">
        <f aca="false">IF(OR(SUM($BT93)=0,SUM($BN93)=0),"",SUM($BT93,$BN93))</f>
        <v>501</v>
      </c>
      <c r="BV93" s="118" t="n">
        <f aca="false">IF(SUM($BU93)=0,"",SUM($BN93)/$BU93)</f>
        <v>-58.435129740519</v>
      </c>
      <c r="BW93" s="73" t="n">
        <v>0</v>
      </c>
      <c r="BX93" s="118" t="n">
        <f aca="false">IF(OR($C93="01-04",$C93="05-09"),"",0%)</f>
        <v>0</v>
      </c>
      <c r="BY93" s="75" t="str">
        <f aca="false">IF(OR($C93="01-04",$C93="05-09",SUM($BW93)=0),"",ROUND($BW93*(1+$BX93),0))</f>
        <v/>
      </c>
    </row>
    <row r="94" customFormat="false" ht="15" hidden="false" customHeight="false" outlineLevel="0" collapsed="false">
      <c r="A94" s="0" t="s">
        <v>144</v>
      </c>
      <c r="B94" s="0" t="s">
        <v>103</v>
      </c>
      <c r="C94" s="0" t="s">
        <v>72</v>
      </c>
      <c r="D94" s="0" t="s">
        <v>58</v>
      </c>
      <c r="E94" s="0" t="str">
        <f aca="false">B94&amp;"|"&amp;C94&amp;"|"&amp;D94</f>
        <v>Leribe [#SNU] [FjSmRywOWUp]|30-34|Male</v>
      </c>
      <c r="F94" s="118" t="n">
        <f aca="false">_xlfn.IFNA(INDEX(Cascade!$Y:$Y,MATCH($E94,Cascade!$E:$E,0)),"")</f>
        <v>0.500343642611684</v>
      </c>
      <c r="G94" s="73" t="n">
        <f aca="false">_xlfn.IFNA(INDEX(Cascade!$BD:$BD,MATCH($E94,Cascade!$E:$E,0)),"")</f>
        <v>31</v>
      </c>
      <c r="H94" s="73" t="n">
        <f aca="false">_xlfn.IFNA(INDEX(Cascade!$BE:$BE,MATCH($E94,Cascade!$E:$E,0)),"")</f>
        <v>9</v>
      </c>
      <c r="I94" s="73" t="str">
        <f aca="false">_xlfn.IFNA(INDEX(Cascade!$BF:$BF,MATCH($E94,Cascade!$E:$E,0)),"")</f>
        <v/>
      </c>
      <c r="J94" s="73" t="str">
        <f aca="false">_xlfn.IFNA(INDEX(Cascade!$BG:$BG,MATCH($E94,Cascade!$E:$E,0)),"")</f>
        <v/>
      </c>
      <c r="K94" s="73" t="n">
        <f aca="false">_xlfn.IFNA(INDEX(Cascade!$BH:$BH,MATCH($E94,Cascade!$E:$E,0)),"")</f>
        <v>-35420</v>
      </c>
      <c r="L94" s="73" t="str">
        <f aca="false">_xlfn.IFNA(INDEX(Cascade!$BI:$BI,MATCH($E94,Cascade!$E:$E,0)),"")</f>
        <v/>
      </c>
      <c r="M94" s="73" t="n">
        <f aca="false">_xlfn.IFNA(INDEX(Cascade!$BK:$BK,MATCH($E94,Cascade!$E:$E,0)),"")</f>
        <v>35442</v>
      </c>
      <c r="N94" s="118" t="n">
        <v>41</v>
      </c>
      <c r="O94" s="118" t="n">
        <v>45</v>
      </c>
      <c r="P94" s="118" t="n">
        <v>29</v>
      </c>
      <c r="Q94" s="75" t="n">
        <f aca="false">IF(OR(SUM($H94)=0,SUM($N94)=0,SUM($O94)=0),"",ROUND($H94*$N94,0))</f>
        <v>369</v>
      </c>
      <c r="R94" s="75" t="n">
        <f aca="false">IF(OR(SUM($Q94)=0,SUM($O94)=0),"",ROUND(SUM($Q94)/SUM($O94),0)-SUM($Q94))</f>
        <v>-361</v>
      </c>
      <c r="S94" s="75" t="n">
        <f aca="false">IF(SUM($H94)=0,"",SUM($H94)-SUM($Q94))</f>
        <v>-360</v>
      </c>
      <c r="T94" s="75" t="str">
        <f aca="false">IF(OR(SUM($S94)=0,$N94&gt;1,SUM($P94)&lt;=0),"",ROUND($S94/$P94,0)-$S94)</f>
        <v/>
      </c>
      <c r="U94" s="118" t="n">
        <f aca="false">IF(SUM($G94)&lt;=0,"",SUM($Q94,$S94)/$G94)</f>
        <v>0.290322580645161</v>
      </c>
      <c r="V94" s="118" t="n">
        <f aca="false">IF(OR(SUM($Q94)=0,SUM($G94)=0),"",SUM($Q94)/SUM($G94))</f>
        <v>11.9032258064516</v>
      </c>
      <c r="W94" s="118" t="n">
        <f aca="false">IF(OR(SUM($S94)=0,SUM($G94)=0),"",SUM($S94)/SUM($G94))</f>
        <v>-11.6129032258065</v>
      </c>
      <c r="X94" s="118" t="str">
        <f aca="false">IF(OR(SUM($G94)=0,SUM($I94)=0),"",SUM($I94)/SUM($G94))</f>
        <v/>
      </c>
      <c r="Y94" s="118" t="str">
        <f aca="false">IF(OR(SUM($G94)=0,SUM($J94)=0),"",SUM($J94)/SUM($G94))</f>
        <v/>
      </c>
      <c r="Z94" s="118" t="n">
        <f aca="false">IF(OR(SUM($G94)=0,SUM($K94)=0),"",SUM($K94)/SUM($G94))</f>
        <v>-1142.58064516129</v>
      </c>
      <c r="AA94" s="118" t="str">
        <f aca="false">IF(OR(SUM($G94)=0,SUM($L94)=0),"",SUM($L94)/SUM($G94))</f>
        <v/>
      </c>
      <c r="AB94" s="118" t="n">
        <v>2</v>
      </c>
      <c r="AC94" s="118"/>
      <c r="AD94" s="118"/>
      <c r="AE94" s="118" t="n">
        <v>4</v>
      </c>
      <c r="AF94" s="118" t="n">
        <v>40</v>
      </c>
      <c r="AG94" s="118" t="n">
        <v>10</v>
      </c>
      <c r="AH94" s="118" t="n">
        <v>47</v>
      </c>
      <c r="AI94" s="118" t="n">
        <v>22</v>
      </c>
      <c r="AJ94" s="118" t="n">
        <v>8</v>
      </c>
      <c r="AK94" s="118" t="n">
        <f aca="false">IF(SUM($G94)&lt;=0,"",SUM($V94:$AJ94))</f>
        <v>-1009.29032258065</v>
      </c>
      <c r="AL94" s="118" t="n">
        <v>24</v>
      </c>
      <c r="AM94" s="75" t="n">
        <f aca="false">IF(OR(SUM($AB94)&lt;=0,SUM($G94)&lt;=0),"",ROUND($G94*$AB94,0))</f>
        <v>62</v>
      </c>
      <c r="AN94" s="75" t="n">
        <f aca="false">IF(SUM($AM94)&lt;=0,"",IF(SUM($AL94)&lt;=0,"ENTER VALID YIELD!",ROUND($AM94/$AL94,0)-$AM94))</f>
        <v>-59</v>
      </c>
      <c r="AO94" s="118"/>
      <c r="AP94" s="75" t="str">
        <f aca="false">IF(OR(SUM($AC94)&lt;=0,SUM($G94)&lt;=0),"",ROUND($G94*$AC94,0))</f>
        <v/>
      </c>
      <c r="AQ94" s="75" t="str">
        <f aca="false">IF(SUM($AP94)&lt;=0,"",IF(SUM($AO94)&lt;=0,"ENTER VALID YIELD!",ROUND($AP94/$AO94,0)-$AP94))</f>
        <v/>
      </c>
      <c r="AR94" s="118"/>
      <c r="AS94" s="75" t="str">
        <f aca="false">IF(OR(SUM($AD94)&lt;=0,SUM($G94)&lt;=0),"",ROUND($G94*$AD94,0))</f>
        <v/>
      </c>
      <c r="AT94" s="75" t="str">
        <f aca="false">IF(SUM($AS94)&lt;=0,"",IF(SUM($AR94)&lt;=0,"ENTER VALID YIELD!",ROUND($AS94/$AR94,0)-$AS94))</f>
        <v/>
      </c>
      <c r="AU94" s="118"/>
      <c r="AV94" s="75" t="n">
        <f aca="false">IF(OR(SUM($AE94)&lt;=0,SUM($G94)&lt;=0),"",ROUND($G94*$AE94,0))</f>
        <v>124</v>
      </c>
      <c r="AW94" s="75" t="str">
        <f aca="false">IF(SUM($AV94)&lt;=0,"",IF(SUM($AU94)&lt;=0,"ENTER VALID YIELD!",ROUND($AV94/$AU94,0)-$AV94))</f>
        <v>ENTER VALID YIELD!</v>
      </c>
      <c r="AX94" s="118"/>
      <c r="AY94" s="75" t="n">
        <f aca="false">IF(OR(SUM($AF94)&lt;=0,SUM($G94)&lt;=0),"",ROUND($G94*$AF94,0))</f>
        <v>1240</v>
      </c>
      <c r="AZ94" s="75" t="str">
        <f aca="false">IF(SUM($AY94)&lt;=0,"",IF(SUM($AX94)&lt;=0,"ENTER VALID YIELD!",ROUND($AY94/$AX94,0)-$AY94))</f>
        <v>ENTER VALID YIELD!</v>
      </c>
      <c r="BA94" s="118" t="n">
        <v>7</v>
      </c>
      <c r="BB94" s="75" t="n">
        <f aca="false">IF(OR(SUM($AG94)&lt;=0,SUM($G94)&lt;=0),"",ROUND($G94*$AG94,0))</f>
        <v>310</v>
      </c>
      <c r="BC94" s="75" t="n">
        <f aca="false">IF(SUM($BB94)&lt;=0,"",IF(SUM($BA94)&lt;=0,"ENTER VALID YIELD!",ROUND($BB94/$BA94,0)-$BB94))</f>
        <v>-266</v>
      </c>
      <c r="BD94" s="118"/>
      <c r="BE94" s="75" t="n">
        <f aca="false">IF(OR(SUM($AH94)&lt;=0,SUM($G94)&lt;=0),"",ROUND($G94*$AH94,0))</f>
        <v>1457</v>
      </c>
      <c r="BF94" s="75" t="str">
        <f aca="false">IF(SUM($BE94)&lt;=0,"",IF(SUM($BD94)&lt;=0,"ENTER VALID YIELD!",ROUND($BE94/$BD94,0)-$BE94))</f>
        <v>ENTER VALID YIELD!</v>
      </c>
      <c r="BG94" s="118" t="n">
        <v>44</v>
      </c>
      <c r="BH94" s="75" t="n">
        <f aca="false">IF(OR(SUM($AI94)&lt;=0,SUM($G94)&lt;=0),"",ROUND($G94*$AI94,0))</f>
        <v>682</v>
      </c>
      <c r="BI94" s="75" t="n">
        <f aca="false">IF(SUM($BH94)&lt;=0,"",IF(SUM($BG94)&lt;=0,"ENTER VALID YIELD!",ROUND($BH94/$BG94,0)-$BH94))</f>
        <v>-666</v>
      </c>
      <c r="BJ94" s="118" t="n">
        <v>38</v>
      </c>
      <c r="BK94" s="75" t="n">
        <f aca="false">IF(OR(SUM($AJ94)&lt;=0,SUM($G94)&lt;=0),"",ROUND($G94*$AJ94,0))</f>
        <v>248</v>
      </c>
      <c r="BL94" s="75" t="n">
        <f aca="false">IF(SUM($BK94)&lt;=0,"",IF(SUM($BJ94)&lt;=0,"ENTER VALID YIELD!",ROUND($BK94/$BJ94,0)-$BK94))</f>
        <v>-241</v>
      </c>
      <c r="BM94" s="73" t="n">
        <f aca="false">IF(SUM($G94)&lt;=0,"",$G94)</f>
        <v>31</v>
      </c>
      <c r="BN94" s="73" t="n">
        <f aca="false">IF(SUM($G94)&lt;=0,"",SUM($I94:$L94,$Q94,$S94,$AM94,$AP94,$AS94,$AV94,$AY94,$BB94,$BE94,$BH94,$BK94))</f>
        <v>-31288</v>
      </c>
      <c r="BO94" s="73" t="n">
        <f aca="false">IF(AND(SUM($BN94)&lt;=0,SUM($BM94)&lt;=0),"",SUM($BN94)-SUM($BM94))</f>
        <v>-31319</v>
      </c>
      <c r="BP94" s="73" t="str">
        <f aca="false">_xlfn.IFNA(INDEX(PMTCT!$AF:$AF,MATCH($E94,PMTCT!$E:$E,0)),"")</f>
        <v/>
      </c>
      <c r="BQ94" s="73" t="str">
        <f aca="false">_xlfn.IFNA(INDEX(PMTCT!$AV:$AV,MATCH($E94,PMTCT!$E:$E,0)),"")</f>
        <v/>
      </c>
      <c r="BR94" s="73" t="n">
        <f aca="false">_xlfn.IFNA(INDEX(TB!$R:$R,MATCH($E94,TB!$E:$E,0)),"")</f>
        <v>33810</v>
      </c>
      <c r="BS94" s="73" t="str">
        <f aca="false">_xlfn.IFNA(INDEX(VMMC!$AD:$AD,MATCH($E94,VMMC!$E:$E,0)),"")</f>
        <v/>
      </c>
      <c r="BT94" s="73" t="n">
        <f aca="false">IF(SUM($R94,$T94,$AN94,$AQ94,$AT94,$AW94,$AZ94,$BC94,$BF94,$BI94,$BL94,$BP94:$BS94)=0,"",SUM($R94,$T94,$AN94,$AQ94,$AT94,$AW94,$AZ94,$BC94,$BF94,$BI94,$BL94,$BP94:$BS94))</f>
        <v>32217</v>
      </c>
      <c r="BU94" s="73" t="n">
        <f aca="false">IF(OR(SUM($BT94)=0,SUM($BN94)=0),"",SUM($BT94,$BN94))</f>
        <v>929</v>
      </c>
      <c r="BV94" s="118" t="n">
        <f aca="false">IF(SUM($BU94)=0,"",SUM($BN94)/$BU94)</f>
        <v>-33.6792249730893</v>
      </c>
      <c r="BW94" s="73" t="n">
        <v>34</v>
      </c>
      <c r="BX94" s="118" t="n">
        <f aca="false">IF(OR($C94="01-04",$C94="05-09"),"",0%)</f>
        <v>0</v>
      </c>
      <c r="BY94" s="75" t="n">
        <f aca="false">IF(OR($C94="01-04",$C94="05-09",SUM($BW94)=0),"",ROUND($BW94*(1+$BX94),0))</f>
        <v>34</v>
      </c>
    </row>
    <row r="95" customFormat="false" ht="15" hidden="false" customHeight="false" outlineLevel="0" collapsed="false">
      <c r="A95" s="0" t="s">
        <v>144</v>
      </c>
      <c r="B95" s="0" t="s">
        <v>103</v>
      </c>
      <c r="C95" s="0" t="s">
        <v>75</v>
      </c>
      <c r="D95" s="0" t="s">
        <v>56</v>
      </c>
      <c r="E95" s="0" t="str">
        <f aca="false">B95&amp;"|"&amp;C95&amp;"|"&amp;D95</f>
        <v>Leribe [#SNU] [FjSmRywOWUp]|35-39|Female</v>
      </c>
      <c r="F95" s="118" t="n">
        <f aca="false">_xlfn.IFNA(INDEX(Cascade!$Y:$Y,MATCH($E95,Cascade!$E:$E,0)),"")</f>
        <v>0.792798229732448</v>
      </c>
      <c r="G95" s="73" t="n">
        <f aca="false">_xlfn.IFNA(INDEX(Cascade!$BD:$BD,MATCH($E95,Cascade!$E:$E,0)),"")</f>
        <v>2</v>
      </c>
      <c r="H95" s="73" t="n">
        <f aca="false">_xlfn.IFNA(INDEX(Cascade!$BE:$BE,MATCH($E95,Cascade!$E:$E,0)),"")</f>
        <v>1</v>
      </c>
      <c r="I95" s="73" t="n">
        <f aca="false">_xlfn.IFNA(INDEX(Cascade!$BF:$BF,MATCH($E95,Cascade!$E:$E,0)),"")</f>
        <v>-5850</v>
      </c>
      <c r="J95" s="73" t="str">
        <f aca="false">_xlfn.IFNA(INDEX(Cascade!$BG:$BG,MATCH($E95,Cascade!$E:$E,0)),"")</f>
        <v/>
      </c>
      <c r="K95" s="73" t="n">
        <f aca="false">_xlfn.IFNA(INDEX(Cascade!$BH:$BH,MATCH($E95,Cascade!$E:$E,0)),"")</f>
        <v>-2460</v>
      </c>
      <c r="L95" s="73" t="str">
        <f aca="false">_xlfn.IFNA(INDEX(Cascade!$BI:$BI,MATCH($E95,Cascade!$E:$E,0)),"")</f>
        <v/>
      </c>
      <c r="M95" s="73" t="n">
        <f aca="false">_xlfn.IFNA(INDEX(Cascade!$BK:$BK,MATCH($E95,Cascade!$E:$E,0)),"")</f>
        <v>8311</v>
      </c>
      <c r="N95" s="118" t="n">
        <v>19</v>
      </c>
      <c r="O95" s="118" t="n">
        <v>17</v>
      </c>
      <c r="P95" s="118" t="n">
        <v>12</v>
      </c>
      <c r="Q95" s="75" t="n">
        <f aca="false">IF(OR(SUM($H95)=0,SUM($N95)=0,SUM($O95)=0),"",ROUND($H95*$N95,0))</f>
        <v>19</v>
      </c>
      <c r="R95" s="75" t="n">
        <f aca="false">IF(OR(SUM($Q95)=0,SUM($O95)=0),"",ROUND(SUM($Q95)/SUM($O95),0)-SUM($Q95))</f>
        <v>-18</v>
      </c>
      <c r="S95" s="75" t="n">
        <f aca="false">IF(SUM($H95)=0,"",SUM($H95)-SUM($Q95))</f>
        <v>-18</v>
      </c>
      <c r="T95" s="75" t="str">
        <f aca="false">IF(OR(SUM($S95)=0,$N95&gt;1,SUM($P95)&lt;=0),"",ROUND($S95/$P95,0)-$S95)</f>
        <v/>
      </c>
      <c r="U95" s="118" t="n">
        <f aca="false">IF(SUM($G95)&lt;=0,"",SUM($Q95,$S95)/$G95)</f>
        <v>0.5</v>
      </c>
      <c r="V95" s="118" t="n">
        <f aca="false">IF(OR(SUM($Q95)=0,SUM($G95)=0),"",SUM($Q95)/SUM($G95))</f>
        <v>9.5</v>
      </c>
      <c r="W95" s="118" t="n">
        <f aca="false">IF(OR(SUM($S95)=0,SUM($G95)=0),"",SUM($S95)/SUM($G95))</f>
        <v>-9</v>
      </c>
      <c r="X95" s="118" t="n">
        <f aca="false">IF(OR(SUM($G95)=0,SUM($I95)=0),"",SUM($I95)/SUM($G95))</f>
        <v>-2925</v>
      </c>
      <c r="Y95" s="118" t="str">
        <f aca="false">IF(OR(SUM($G95)=0,SUM($J95)=0),"",SUM($J95)/SUM($G95))</f>
        <v/>
      </c>
      <c r="Z95" s="118" t="n">
        <f aca="false">IF(OR(SUM($G95)=0,SUM($K95)=0),"",SUM($K95)/SUM($G95))</f>
        <v>-1230</v>
      </c>
      <c r="AA95" s="118" t="str">
        <f aca="false">IF(OR(SUM($G95)=0,SUM($L95)=0),"",SUM($L95)/SUM($G95))</f>
        <v/>
      </c>
      <c r="AB95" s="118" t="n">
        <v>48</v>
      </c>
      <c r="AC95" s="118"/>
      <c r="AD95" s="118"/>
      <c r="AE95" s="118" t="n">
        <v>1</v>
      </c>
      <c r="AF95" s="118" t="n">
        <v>10</v>
      </c>
      <c r="AG95" s="118" t="n">
        <v>49</v>
      </c>
      <c r="AH95" s="118" t="n">
        <v>32</v>
      </c>
      <c r="AI95" s="118" t="n">
        <v>48</v>
      </c>
      <c r="AJ95" s="118" t="n">
        <v>50</v>
      </c>
      <c r="AK95" s="118" t="n">
        <f aca="false">IF(SUM($G95)&lt;=0,"",SUM($V95:$AJ95))</f>
        <v>-3916.5</v>
      </c>
      <c r="AL95" s="118" t="n">
        <v>0</v>
      </c>
      <c r="AM95" s="75" t="n">
        <f aca="false">IF(OR(SUM($AB95)&lt;=0,SUM($G95)&lt;=0),"",ROUND($G95*$AB95,0))</f>
        <v>96</v>
      </c>
      <c r="AN95" s="75" t="str">
        <f aca="false">IF(SUM($AM95)&lt;=0,"",IF(SUM($AL95)&lt;=0,"ENTER VALID YIELD!",ROUND($AM95/$AL95,0)-$AM95))</f>
        <v>ENTER VALID YIELD!</v>
      </c>
      <c r="AO95" s="118"/>
      <c r="AP95" s="75" t="str">
        <f aca="false">IF(OR(SUM($AC95)&lt;=0,SUM($G95)&lt;=0),"",ROUND($G95*$AC95,0))</f>
        <v/>
      </c>
      <c r="AQ95" s="75" t="str">
        <f aca="false">IF(SUM($AP95)&lt;=0,"",IF(SUM($AO95)&lt;=0,"ENTER VALID YIELD!",ROUND($AP95/$AO95,0)-$AP95))</f>
        <v/>
      </c>
      <c r="AR95" s="118"/>
      <c r="AS95" s="75" t="str">
        <f aca="false">IF(OR(SUM($AD95)&lt;=0,SUM($G95)&lt;=0),"",ROUND($G95*$AD95,0))</f>
        <v/>
      </c>
      <c r="AT95" s="75" t="str">
        <f aca="false">IF(SUM($AS95)&lt;=0,"",IF(SUM($AR95)&lt;=0,"ENTER VALID YIELD!",ROUND($AS95/$AR95,0)-$AS95))</f>
        <v/>
      </c>
      <c r="AU95" s="118"/>
      <c r="AV95" s="75" t="n">
        <f aca="false">IF(OR(SUM($AE95)&lt;=0,SUM($G95)&lt;=0),"",ROUND($G95*$AE95,0))</f>
        <v>2</v>
      </c>
      <c r="AW95" s="75" t="str">
        <f aca="false">IF(SUM($AV95)&lt;=0,"",IF(SUM($AU95)&lt;=0,"ENTER VALID YIELD!",ROUND($AV95/$AU95,0)-$AV95))</f>
        <v>ENTER VALID YIELD!</v>
      </c>
      <c r="AX95" s="118"/>
      <c r="AY95" s="75" t="n">
        <f aca="false">IF(OR(SUM($AF95)&lt;=0,SUM($G95)&lt;=0),"",ROUND($G95*$AF95,0))</f>
        <v>20</v>
      </c>
      <c r="AZ95" s="75" t="str">
        <f aca="false">IF(SUM($AY95)&lt;=0,"",IF(SUM($AX95)&lt;=0,"ENTER VALID YIELD!",ROUND($AY95/$AX95,0)-$AY95))</f>
        <v>ENTER VALID YIELD!</v>
      </c>
      <c r="BA95" s="118" t="n">
        <v>20</v>
      </c>
      <c r="BB95" s="75" t="n">
        <f aca="false">IF(OR(SUM($AG95)&lt;=0,SUM($G95)&lt;=0),"",ROUND($G95*$AG95,0))</f>
        <v>98</v>
      </c>
      <c r="BC95" s="75" t="n">
        <f aca="false">IF(SUM($BB95)&lt;=0,"",IF(SUM($BA95)&lt;=0,"ENTER VALID YIELD!",ROUND($BB95/$BA95,0)-$BB95))</f>
        <v>-93</v>
      </c>
      <c r="BD95" s="118"/>
      <c r="BE95" s="75" t="n">
        <f aca="false">IF(OR(SUM($AH95)&lt;=0,SUM($G95)&lt;=0),"",ROUND($G95*$AH95,0))</f>
        <v>64</v>
      </c>
      <c r="BF95" s="75" t="str">
        <f aca="false">IF(SUM($BE95)&lt;=0,"",IF(SUM($BD95)&lt;=0,"ENTER VALID YIELD!",ROUND($BE95/$BD95,0)-$BE95))</f>
        <v>ENTER VALID YIELD!</v>
      </c>
      <c r="BG95" s="118" t="n">
        <v>10</v>
      </c>
      <c r="BH95" s="75" t="n">
        <f aca="false">IF(OR(SUM($AI95)&lt;=0,SUM($G95)&lt;=0),"",ROUND($G95*$AI95,0))</f>
        <v>96</v>
      </c>
      <c r="BI95" s="75" t="n">
        <f aca="false">IF(SUM($BH95)&lt;=0,"",IF(SUM($BG95)&lt;=0,"ENTER VALID YIELD!",ROUND($BH95/$BG95,0)-$BH95))</f>
        <v>-86</v>
      </c>
      <c r="BJ95" s="118" t="n">
        <v>25</v>
      </c>
      <c r="BK95" s="75" t="n">
        <f aca="false">IF(OR(SUM($AJ95)&lt;=0,SUM($G95)&lt;=0),"",ROUND($G95*$AJ95,0))</f>
        <v>100</v>
      </c>
      <c r="BL95" s="75" t="n">
        <f aca="false">IF(SUM($BK95)&lt;=0,"",IF(SUM($BJ95)&lt;=0,"ENTER VALID YIELD!",ROUND($BK95/$BJ95,0)-$BK95))</f>
        <v>-96</v>
      </c>
      <c r="BM95" s="73" t="n">
        <f aca="false">IF(SUM($G95)&lt;=0,"",$G95)</f>
        <v>2</v>
      </c>
      <c r="BN95" s="73" t="n">
        <f aca="false">IF(SUM($G95)&lt;=0,"",SUM($I95:$L95,$Q95,$S95,$AM95,$AP95,$AS95,$AV95,$AY95,$BB95,$BE95,$BH95,$BK95))</f>
        <v>-7833</v>
      </c>
      <c r="BO95" s="73" t="n">
        <f aca="false">IF(AND(SUM($BN95)&lt;=0,SUM($BM95)&lt;=0),"",SUM($BN95)-SUM($BM95))</f>
        <v>-7835</v>
      </c>
      <c r="BP95" s="73" t="n">
        <f aca="false">_xlfn.IFNA(INDEX(PMTCT!$AF:$AF,MATCH($E95,PMTCT!$E:$E,0)),"")</f>
        <v>5400</v>
      </c>
      <c r="BQ95" s="73" t="str">
        <f aca="false">_xlfn.IFNA(INDEX(PMTCT!$AV:$AV,MATCH($E95,PMTCT!$E:$E,0)),"")</f>
        <v/>
      </c>
      <c r="BR95" s="73" t="n">
        <f aca="false">_xlfn.IFNA(INDEX(TB!$R:$R,MATCH($E95,TB!$E:$E,0)),"")</f>
        <v>2050</v>
      </c>
      <c r="BS95" s="73" t="str">
        <f aca="false">_xlfn.IFNA(INDEX(VMMC!$AD:$AD,MATCH($E95,VMMC!$E:$E,0)),"")</f>
        <v/>
      </c>
      <c r="BT95" s="73" t="n">
        <f aca="false">IF(SUM($R95,$T95,$AN95,$AQ95,$AT95,$AW95,$AZ95,$BC95,$BF95,$BI95,$BL95,$BP95:$BS95)=0,"",SUM($R95,$T95,$AN95,$AQ95,$AT95,$AW95,$AZ95,$BC95,$BF95,$BI95,$BL95,$BP95:$BS95))</f>
        <v>7157</v>
      </c>
      <c r="BU95" s="73" t="n">
        <f aca="false">IF(OR(SUM($BT95)=0,SUM($BN95)=0),"",SUM($BT95,$BN95))</f>
        <v>-676</v>
      </c>
      <c r="BV95" s="118" t="n">
        <f aca="false">IF(SUM($BU95)=0,"",SUM($BN95)/$BU95)</f>
        <v>11.5872781065089</v>
      </c>
      <c r="BW95" s="73" t="n">
        <v>25</v>
      </c>
      <c r="BX95" s="118" t="n">
        <f aca="false">IF(OR($C95="01-04",$C95="05-09"),"",0%)</f>
        <v>0</v>
      </c>
      <c r="BY95" s="75" t="n">
        <f aca="false">IF(OR($C95="01-04",$C95="05-09",SUM($BW95)=0),"",ROUND($BW95*(1+$BX95),0))</f>
        <v>25</v>
      </c>
    </row>
    <row r="96" customFormat="false" ht="15" hidden="false" customHeight="false" outlineLevel="0" collapsed="false">
      <c r="A96" s="0" t="s">
        <v>144</v>
      </c>
      <c r="B96" s="0" t="s">
        <v>103</v>
      </c>
      <c r="C96" s="0" t="s">
        <v>75</v>
      </c>
      <c r="D96" s="0" t="s">
        <v>58</v>
      </c>
      <c r="E96" s="0" t="str">
        <f aca="false">B96&amp;"|"&amp;C96&amp;"|"&amp;D96</f>
        <v>Leribe [#SNU] [FjSmRywOWUp]|35-39|Male</v>
      </c>
      <c r="F96" s="118" t="n">
        <f aca="false">_xlfn.IFNA(INDEX(Cascade!$Y:$Y,MATCH($E96,Cascade!$E:$E,0)),"")</f>
        <v>0.59650605804452</v>
      </c>
      <c r="G96" s="73" t="str">
        <f aca="false">_xlfn.IFNA(INDEX(Cascade!$BD:$BD,MATCH($E96,Cascade!$E:$E,0)),"")</f>
        <v/>
      </c>
      <c r="H96" s="73" t="str">
        <f aca="false">_xlfn.IFNA(INDEX(Cascade!$BE:$BE,MATCH($E96,Cascade!$E:$E,0)),"")</f>
        <v/>
      </c>
      <c r="I96" s="73" t="str">
        <f aca="false">_xlfn.IFNA(INDEX(Cascade!$BF:$BF,MATCH($E96,Cascade!$E:$E,0)),"")</f>
        <v/>
      </c>
      <c r="J96" s="73" t="str">
        <f aca="false">_xlfn.IFNA(INDEX(Cascade!$BG:$BG,MATCH($E96,Cascade!$E:$E,0)),"")</f>
        <v/>
      </c>
      <c r="K96" s="73" t="n">
        <f aca="false">_xlfn.IFNA(INDEX(Cascade!$BH:$BH,MATCH($E96,Cascade!$E:$E,0)),"")</f>
        <v>-3321</v>
      </c>
      <c r="L96" s="73" t="str">
        <f aca="false">_xlfn.IFNA(INDEX(Cascade!$BI:$BI,MATCH($E96,Cascade!$E:$E,0)),"")</f>
        <v/>
      </c>
      <c r="M96" s="73" t="str">
        <f aca="false">_xlfn.IFNA(INDEX(Cascade!$BK:$BK,MATCH($E96,Cascade!$E:$E,0)),"")</f>
        <v/>
      </c>
      <c r="N96" s="118" t="n">
        <v>37</v>
      </c>
      <c r="O96" s="118" t="n">
        <v>30</v>
      </c>
      <c r="P96" s="118" t="n">
        <v>23</v>
      </c>
      <c r="Q96" s="75" t="str">
        <f aca="false">IF(OR(SUM($H96)=0,SUM($N96)=0,SUM($O96)=0),"",ROUND($H96*$N96,0))</f>
        <v/>
      </c>
      <c r="R96" s="75" t="str">
        <f aca="false">IF(OR(SUM($Q96)=0,SUM($O96)=0),"",ROUND(SUM($Q96)/SUM($O96),0)-SUM($Q96))</f>
        <v/>
      </c>
      <c r="S96" s="75" t="str">
        <f aca="false">IF(SUM($H96)=0,"",SUM($H96)-SUM($Q96))</f>
        <v/>
      </c>
      <c r="T96" s="75" t="str">
        <f aca="false">IF(OR(SUM($S96)=0,$N96&gt;1,SUM($P96)&lt;=0),"",ROUND($S96/$P96,0)-$S96)</f>
        <v/>
      </c>
      <c r="U96" s="118" t="str">
        <f aca="false">IF(SUM($G96)&lt;=0,"",SUM($Q96,$S96)/$G96)</f>
        <v/>
      </c>
      <c r="V96" s="118" t="str">
        <f aca="false">IF(OR(SUM($Q96)=0,SUM($G96)=0),"",SUM($Q96)/SUM($G96))</f>
        <v/>
      </c>
      <c r="W96" s="118" t="str">
        <f aca="false">IF(OR(SUM($S96)=0,SUM($G96)=0),"",SUM($S96)/SUM($G96))</f>
        <v/>
      </c>
      <c r="X96" s="118" t="str">
        <f aca="false">IF(OR(SUM($G96)=0,SUM($I96)=0),"",SUM($I96)/SUM($G96))</f>
        <v/>
      </c>
      <c r="Y96" s="118" t="str">
        <f aca="false">IF(OR(SUM($G96)=0,SUM($J96)=0),"",SUM($J96)/SUM($G96))</f>
        <v/>
      </c>
      <c r="Z96" s="118" t="str">
        <f aca="false">IF(OR(SUM($G96)=0,SUM($K96)=0),"",SUM($K96)/SUM($G96))</f>
        <v/>
      </c>
      <c r="AA96" s="118" t="str">
        <f aca="false">IF(OR(SUM($G96)=0,SUM($L96)=0),"",SUM($L96)/SUM($G96))</f>
        <v/>
      </c>
      <c r="AB96" s="118" t="n">
        <v>2</v>
      </c>
      <c r="AC96" s="118"/>
      <c r="AD96" s="118"/>
      <c r="AE96" s="118" t="n">
        <v>45</v>
      </c>
      <c r="AF96" s="118" t="n">
        <v>39</v>
      </c>
      <c r="AG96" s="118" t="n">
        <v>28</v>
      </c>
      <c r="AH96" s="118" t="n">
        <v>24</v>
      </c>
      <c r="AI96" s="118" t="n">
        <v>12</v>
      </c>
      <c r="AJ96" s="118" t="n">
        <v>18</v>
      </c>
      <c r="AK96" s="118" t="str">
        <f aca="false">IF(SUM($G96)&lt;=0,"",SUM($V96:$AJ96))</f>
        <v/>
      </c>
      <c r="AL96" s="118" t="n">
        <v>13</v>
      </c>
      <c r="AM96" s="75" t="str">
        <f aca="false">IF(OR(SUM($AB96)&lt;=0,SUM($G96)&lt;=0),"",ROUND($G96*$AB96,0))</f>
        <v/>
      </c>
      <c r="AN96" s="75" t="str">
        <f aca="false">IF(SUM($AM96)&lt;=0,"",IF(SUM($AL96)&lt;=0,"ENTER VALID YIELD!",ROUND($AM96/$AL96,0)-$AM96))</f>
        <v/>
      </c>
      <c r="AO96" s="118"/>
      <c r="AP96" s="75" t="str">
        <f aca="false">IF(OR(SUM($AC96)&lt;=0,SUM($G96)&lt;=0),"",ROUND($G96*$AC96,0))</f>
        <v/>
      </c>
      <c r="AQ96" s="75" t="str">
        <f aca="false">IF(SUM($AP96)&lt;=0,"",IF(SUM($AO96)&lt;=0,"ENTER VALID YIELD!",ROUND($AP96/$AO96,0)-$AP96))</f>
        <v/>
      </c>
      <c r="AR96" s="118"/>
      <c r="AS96" s="75" t="str">
        <f aca="false">IF(OR(SUM($AD96)&lt;=0,SUM($G96)&lt;=0),"",ROUND($G96*$AD96,0))</f>
        <v/>
      </c>
      <c r="AT96" s="75" t="str">
        <f aca="false">IF(SUM($AS96)&lt;=0,"",IF(SUM($AR96)&lt;=0,"ENTER VALID YIELD!",ROUND($AS96/$AR96,0)-$AS96))</f>
        <v/>
      </c>
      <c r="AU96" s="118"/>
      <c r="AV96" s="75" t="str">
        <f aca="false">IF(OR(SUM($AE96)&lt;=0,SUM($G96)&lt;=0),"",ROUND($G96*$AE96,0))</f>
        <v/>
      </c>
      <c r="AW96" s="75" t="str">
        <f aca="false">IF(SUM($AV96)&lt;=0,"",IF(SUM($AU96)&lt;=0,"ENTER VALID YIELD!",ROUND($AV96/$AU96,0)-$AV96))</f>
        <v/>
      </c>
      <c r="AX96" s="118"/>
      <c r="AY96" s="75" t="str">
        <f aca="false">IF(OR(SUM($AF96)&lt;=0,SUM($G96)&lt;=0),"",ROUND($G96*$AF96,0))</f>
        <v/>
      </c>
      <c r="AZ96" s="75" t="str">
        <f aca="false">IF(SUM($AY96)&lt;=0,"",IF(SUM($AX96)&lt;=0,"ENTER VALID YIELD!",ROUND($AY96/$AX96,0)-$AY96))</f>
        <v/>
      </c>
      <c r="BA96" s="118" t="n">
        <v>46</v>
      </c>
      <c r="BB96" s="75" t="str">
        <f aca="false">IF(OR(SUM($AG96)&lt;=0,SUM($G96)&lt;=0),"",ROUND($G96*$AG96,0))</f>
        <v/>
      </c>
      <c r="BC96" s="75" t="str">
        <f aca="false">IF(SUM($BB96)&lt;=0,"",IF(SUM($BA96)&lt;=0,"ENTER VALID YIELD!",ROUND($BB96/$BA96,0)-$BB96))</f>
        <v/>
      </c>
      <c r="BD96" s="118"/>
      <c r="BE96" s="75" t="str">
        <f aca="false">IF(OR(SUM($AH96)&lt;=0,SUM($G96)&lt;=0),"",ROUND($G96*$AH96,0))</f>
        <v/>
      </c>
      <c r="BF96" s="75" t="str">
        <f aca="false">IF(SUM($BE96)&lt;=0,"",IF(SUM($BD96)&lt;=0,"ENTER VALID YIELD!",ROUND($BE96/$BD96,0)-$BE96))</f>
        <v/>
      </c>
      <c r="BG96" s="118" t="n">
        <v>27</v>
      </c>
      <c r="BH96" s="75" t="str">
        <f aca="false">IF(OR(SUM($AI96)&lt;=0,SUM($G96)&lt;=0),"",ROUND($G96*$AI96,0))</f>
        <v/>
      </c>
      <c r="BI96" s="75" t="str">
        <f aca="false">IF(SUM($BH96)&lt;=0,"",IF(SUM($BG96)&lt;=0,"ENTER VALID YIELD!",ROUND($BH96/$BG96,0)-$BH96))</f>
        <v/>
      </c>
      <c r="BJ96" s="118" t="n">
        <v>19</v>
      </c>
      <c r="BK96" s="75" t="str">
        <f aca="false">IF(OR(SUM($AJ96)&lt;=0,SUM($G96)&lt;=0),"",ROUND($G96*$AJ96,0))</f>
        <v/>
      </c>
      <c r="BL96" s="75" t="str">
        <f aca="false">IF(SUM($BK96)&lt;=0,"",IF(SUM($BJ96)&lt;=0,"ENTER VALID YIELD!",ROUND($BK96/$BJ96,0)-$BK96))</f>
        <v/>
      </c>
      <c r="BM96" s="73" t="str">
        <f aca="false">IF(SUM($G96)&lt;=0,"",$G96)</f>
        <v/>
      </c>
      <c r="BN96" s="73" t="str">
        <f aca="false">IF(SUM($G96)&lt;=0,"",SUM($I96:$L96,$Q96,$S96,$AM96,$AP96,$AS96,$AV96,$AY96,$BB96,$BE96,$BH96,$BK96))</f>
        <v/>
      </c>
      <c r="BO96" s="73" t="str">
        <f aca="false">IF(AND(SUM($BN96)&lt;=0,SUM($BM96)&lt;=0),"",SUM($BN96)-SUM($BM96))</f>
        <v/>
      </c>
      <c r="BP96" s="73" t="str">
        <f aca="false">_xlfn.IFNA(INDEX(PMTCT!$AF:$AF,MATCH($E96,PMTCT!$E:$E,0)),"")</f>
        <v/>
      </c>
      <c r="BQ96" s="73" t="str">
        <f aca="false">_xlfn.IFNA(INDEX(PMTCT!$AV:$AV,MATCH($E96,PMTCT!$E:$E,0)),"")</f>
        <v/>
      </c>
      <c r="BR96" s="73" t="n">
        <f aca="false">_xlfn.IFNA(INDEX(TB!$R:$R,MATCH($E96,TB!$E:$E,0)),"")</f>
        <v>3240</v>
      </c>
      <c r="BS96" s="73" t="str">
        <f aca="false">_xlfn.IFNA(INDEX(VMMC!$AD:$AD,MATCH($E96,VMMC!$E:$E,0)),"")</f>
        <v/>
      </c>
      <c r="BT96" s="73" t="n">
        <f aca="false">IF(SUM($R96,$T96,$AN96,$AQ96,$AT96,$AW96,$AZ96,$BC96,$BF96,$BI96,$BL96,$BP96:$BS96)=0,"",SUM($R96,$T96,$AN96,$AQ96,$AT96,$AW96,$AZ96,$BC96,$BF96,$BI96,$BL96,$BP96:$BS96))</f>
        <v>3240</v>
      </c>
      <c r="BU96" s="73" t="str">
        <f aca="false">IF(OR(SUM($BT96)=0,SUM($BN96)=0),"",SUM($BT96,$BN96))</f>
        <v/>
      </c>
      <c r="BV96" s="118" t="str">
        <f aca="false">IF(SUM($BU96)=0,"",SUM($BN96)/$BU96)</f>
        <v/>
      </c>
      <c r="BW96" s="73" t="n">
        <v>0</v>
      </c>
      <c r="BX96" s="118" t="n">
        <f aca="false">IF(OR($C96="01-04",$C96="05-09"),"",0%)</f>
        <v>0</v>
      </c>
      <c r="BY96" s="75" t="str">
        <f aca="false">IF(OR($C96="01-04",$C96="05-09",SUM($BW96)=0),"",ROUND($BW96*(1+$BX96),0))</f>
        <v/>
      </c>
    </row>
    <row r="97" customFormat="false" ht="15" hidden="false" customHeight="false" outlineLevel="0" collapsed="false">
      <c r="A97" s="0" t="s">
        <v>144</v>
      </c>
      <c r="B97" s="0" t="s">
        <v>103</v>
      </c>
      <c r="C97" s="0" t="s">
        <v>77</v>
      </c>
      <c r="D97" s="0" t="s">
        <v>56</v>
      </c>
      <c r="E97" s="0" t="str">
        <f aca="false">B97&amp;"|"&amp;C97&amp;"|"&amp;D97</f>
        <v>Leribe [#SNU] [FjSmRywOWUp]|40-44|Female</v>
      </c>
      <c r="F97" s="118" t="n">
        <f aca="false">_xlfn.IFNA(INDEX(Cascade!$Y:$Y,MATCH($E97,Cascade!$E:$E,0)),"")</f>
        <v>0.94578313253012</v>
      </c>
      <c r="G97" s="73" t="str">
        <f aca="false">_xlfn.IFNA(INDEX(Cascade!$BD:$BD,MATCH($E97,Cascade!$E:$E,0)),"")</f>
        <v/>
      </c>
      <c r="H97" s="73" t="str">
        <f aca="false">_xlfn.IFNA(INDEX(Cascade!$BE:$BE,MATCH($E97,Cascade!$E:$E,0)),"")</f>
        <v/>
      </c>
      <c r="I97" s="73" t="n">
        <f aca="false">_xlfn.IFNA(INDEX(Cascade!$BF:$BF,MATCH($E97,Cascade!$E:$E,0)),"")</f>
        <v>-90</v>
      </c>
      <c r="J97" s="73" t="str">
        <f aca="false">_xlfn.IFNA(INDEX(Cascade!$BG:$BG,MATCH($E97,Cascade!$E:$E,0)),"")</f>
        <v/>
      </c>
      <c r="K97" s="73" t="n">
        <f aca="false">_xlfn.IFNA(INDEX(Cascade!$BH:$BH,MATCH($E97,Cascade!$E:$E,0)),"")</f>
        <v>-12250</v>
      </c>
      <c r="L97" s="73" t="str">
        <f aca="false">_xlfn.IFNA(INDEX(Cascade!$BI:$BI,MATCH($E97,Cascade!$E:$E,0)),"")</f>
        <v/>
      </c>
      <c r="M97" s="73" t="str">
        <f aca="false">_xlfn.IFNA(INDEX(Cascade!$BK:$BK,MATCH($E97,Cascade!$E:$E,0)),"")</f>
        <v/>
      </c>
      <c r="N97" s="118" t="n">
        <v>41</v>
      </c>
      <c r="O97" s="118" t="n">
        <v>31</v>
      </c>
      <c r="P97" s="118" t="n">
        <v>10</v>
      </c>
      <c r="Q97" s="75" t="str">
        <f aca="false">IF(OR(SUM($H97)=0,SUM($N97)=0,SUM($O97)=0),"",ROUND($H97*$N97,0))</f>
        <v/>
      </c>
      <c r="R97" s="75" t="str">
        <f aca="false">IF(OR(SUM($Q97)=0,SUM($O97)=0),"",ROUND(SUM($Q97)/SUM($O97),0)-SUM($Q97))</f>
        <v/>
      </c>
      <c r="S97" s="75" t="str">
        <f aca="false">IF(SUM($H97)=0,"",SUM($H97)-SUM($Q97))</f>
        <v/>
      </c>
      <c r="T97" s="75" t="str">
        <f aca="false">IF(OR(SUM($S97)=0,$N97&gt;1,SUM($P97)&lt;=0),"",ROUND($S97/$P97,0)-$S97)</f>
        <v/>
      </c>
      <c r="U97" s="118" t="str">
        <f aca="false">IF(SUM($G97)&lt;=0,"",SUM($Q97,$S97)/$G97)</f>
        <v/>
      </c>
      <c r="V97" s="118" t="str">
        <f aca="false">IF(OR(SUM($Q97)=0,SUM($G97)=0),"",SUM($Q97)/SUM($G97))</f>
        <v/>
      </c>
      <c r="W97" s="118" t="str">
        <f aca="false">IF(OR(SUM($S97)=0,SUM($G97)=0),"",SUM($S97)/SUM($G97))</f>
        <v/>
      </c>
      <c r="X97" s="118" t="str">
        <f aca="false">IF(OR(SUM($G97)=0,SUM($I97)=0),"",SUM($I97)/SUM($G97))</f>
        <v/>
      </c>
      <c r="Y97" s="118" t="str">
        <f aca="false">IF(OR(SUM($G97)=0,SUM($J97)=0),"",SUM($J97)/SUM($G97))</f>
        <v/>
      </c>
      <c r="Z97" s="118" t="str">
        <f aca="false">IF(OR(SUM($G97)=0,SUM($K97)=0),"",SUM($K97)/SUM($G97))</f>
        <v/>
      </c>
      <c r="AA97" s="118" t="str">
        <f aca="false">IF(OR(SUM($G97)=0,SUM($L97)=0),"",SUM($L97)/SUM($G97))</f>
        <v/>
      </c>
      <c r="AB97" s="118" t="n">
        <v>2</v>
      </c>
      <c r="AC97" s="118"/>
      <c r="AD97" s="118"/>
      <c r="AE97" s="118" t="n">
        <v>19</v>
      </c>
      <c r="AF97" s="118" t="n">
        <v>48</v>
      </c>
      <c r="AG97" s="118" t="n">
        <v>18</v>
      </c>
      <c r="AH97" s="118" t="n">
        <v>35</v>
      </c>
      <c r="AI97" s="118" t="n">
        <v>36</v>
      </c>
      <c r="AJ97" s="118" t="n">
        <v>47</v>
      </c>
      <c r="AK97" s="118" t="str">
        <f aca="false">IF(SUM($G97)&lt;=0,"",SUM($V97:$AJ97))</f>
        <v/>
      </c>
      <c r="AL97" s="118"/>
      <c r="AM97" s="75" t="str">
        <f aca="false">IF(OR(SUM($AB97)&lt;=0,SUM($G97)&lt;=0),"",ROUND($G97*$AB97,0))</f>
        <v/>
      </c>
      <c r="AN97" s="75" t="str">
        <f aca="false">IF(SUM($AM97)&lt;=0,"",IF(SUM($AL97)&lt;=0,"ENTER VALID YIELD!",ROUND($AM97/$AL97,0)-$AM97))</f>
        <v/>
      </c>
      <c r="AO97" s="118"/>
      <c r="AP97" s="75" t="str">
        <f aca="false">IF(OR(SUM($AC97)&lt;=0,SUM($G97)&lt;=0),"",ROUND($G97*$AC97,0))</f>
        <v/>
      </c>
      <c r="AQ97" s="75" t="str">
        <f aca="false">IF(SUM($AP97)&lt;=0,"",IF(SUM($AO97)&lt;=0,"ENTER VALID YIELD!",ROUND($AP97/$AO97,0)-$AP97))</f>
        <v/>
      </c>
      <c r="AR97" s="118"/>
      <c r="AS97" s="75" t="str">
        <f aca="false">IF(OR(SUM($AD97)&lt;=0,SUM($G97)&lt;=0),"",ROUND($G97*$AD97,0))</f>
        <v/>
      </c>
      <c r="AT97" s="75" t="str">
        <f aca="false">IF(SUM($AS97)&lt;=0,"",IF(SUM($AR97)&lt;=0,"ENTER VALID YIELD!",ROUND($AS97/$AR97,0)-$AS97))</f>
        <v/>
      </c>
      <c r="AU97" s="118"/>
      <c r="AV97" s="75" t="str">
        <f aca="false">IF(OR(SUM($AE97)&lt;=0,SUM($G97)&lt;=0),"",ROUND($G97*$AE97,0))</f>
        <v/>
      </c>
      <c r="AW97" s="75" t="str">
        <f aca="false">IF(SUM($AV97)&lt;=0,"",IF(SUM($AU97)&lt;=0,"ENTER VALID YIELD!",ROUND($AV97/$AU97,0)-$AV97))</f>
        <v/>
      </c>
      <c r="AX97" s="118"/>
      <c r="AY97" s="75" t="str">
        <f aca="false">IF(OR(SUM($AF97)&lt;=0,SUM($G97)&lt;=0),"",ROUND($G97*$AF97,0))</f>
        <v/>
      </c>
      <c r="AZ97" s="75" t="str">
        <f aca="false">IF(SUM($AY97)&lt;=0,"",IF(SUM($AX97)&lt;=0,"ENTER VALID YIELD!",ROUND($AY97/$AX97,0)-$AY97))</f>
        <v/>
      </c>
      <c r="BA97" s="118" t="n">
        <v>37</v>
      </c>
      <c r="BB97" s="75" t="str">
        <f aca="false">IF(OR(SUM($AG97)&lt;=0,SUM($G97)&lt;=0),"",ROUND($G97*$AG97,0))</f>
        <v/>
      </c>
      <c r="BC97" s="75" t="str">
        <f aca="false">IF(SUM($BB97)&lt;=0,"",IF(SUM($BA97)&lt;=0,"ENTER VALID YIELD!",ROUND($BB97/$BA97,0)-$BB97))</f>
        <v/>
      </c>
      <c r="BD97" s="118"/>
      <c r="BE97" s="75" t="str">
        <f aca="false">IF(OR(SUM($AH97)&lt;=0,SUM($G97)&lt;=0),"",ROUND($G97*$AH97,0))</f>
        <v/>
      </c>
      <c r="BF97" s="75" t="str">
        <f aca="false">IF(SUM($BE97)&lt;=0,"",IF(SUM($BD97)&lt;=0,"ENTER VALID YIELD!",ROUND($BE97/$BD97,0)-$BE97))</f>
        <v/>
      </c>
      <c r="BG97" s="118" t="n">
        <v>28</v>
      </c>
      <c r="BH97" s="75" t="str">
        <f aca="false">IF(OR(SUM($AI97)&lt;=0,SUM($G97)&lt;=0),"",ROUND($G97*$AI97,0))</f>
        <v/>
      </c>
      <c r="BI97" s="75" t="str">
        <f aca="false">IF(SUM($BH97)&lt;=0,"",IF(SUM($BG97)&lt;=0,"ENTER VALID YIELD!",ROUND($BH97/$BG97,0)-$BH97))</f>
        <v/>
      </c>
      <c r="BJ97" s="118" t="n">
        <v>47</v>
      </c>
      <c r="BK97" s="75" t="str">
        <f aca="false">IF(OR(SUM($AJ97)&lt;=0,SUM($G97)&lt;=0),"",ROUND($G97*$AJ97,0))</f>
        <v/>
      </c>
      <c r="BL97" s="75" t="str">
        <f aca="false">IF(SUM($BK97)&lt;=0,"",IF(SUM($BJ97)&lt;=0,"ENTER VALID YIELD!",ROUND($BK97/$BJ97,0)-$BK97))</f>
        <v/>
      </c>
      <c r="BM97" s="73" t="str">
        <f aca="false">IF(SUM($G97)&lt;=0,"",$G97)</f>
        <v/>
      </c>
      <c r="BN97" s="73" t="str">
        <f aca="false">IF(SUM($G97)&lt;=0,"",SUM($I97:$L97,$Q97,$S97,$AM97,$AP97,$AS97,$AV97,$AY97,$BB97,$BE97,$BH97,$BK97))</f>
        <v/>
      </c>
      <c r="BO97" s="73" t="str">
        <f aca="false">IF(AND(SUM($BN97)&lt;=0,SUM($BM97)&lt;=0),"",SUM($BN97)-SUM($BM97))</f>
        <v/>
      </c>
      <c r="BP97" s="73" t="n">
        <f aca="false">_xlfn.IFNA(INDEX(PMTCT!$AF:$AF,MATCH($E97,PMTCT!$E:$E,0)),"")</f>
        <v>45</v>
      </c>
      <c r="BQ97" s="73" t="str">
        <f aca="false">_xlfn.IFNA(INDEX(PMTCT!$AV:$AV,MATCH($E97,PMTCT!$E:$E,0)),"")</f>
        <v/>
      </c>
      <c r="BR97" s="73" t="n">
        <f aca="false">_xlfn.IFNA(INDEX(TB!$R:$R,MATCH($E97,TB!$E:$E,0)),"")</f>
        <v>12000</v>
      </c>
      <c r="BS97" s="73" t="str">
        <f aca="false">_xlfn.IFNA(INDEX(VMMC!$AD:$AD,MATCH($E97,VMMC!$E:$E,0)),"")</f>
        <v/>
      </c>
      <c r="BT97" s="73" t="n">
        <f aca="false">IF(SUM($R97,$T97,$AN97,$AQ97,$AT97,$AW97,$AZ97,$BC97,$BF97,$BI97,$BL97,$BP97:$BS97)=0,"",SUM($R97,$T97,$AN97,$AQ97,$AT97,$AW97,$AZ97,$BC97,$BF97,$BI97,$BL97,$BP97:$BS97))</f>
        <v>12045</v>
      </c>
      <c r="BU97" s="73" t="str">
        <f aca="false">IF(OR(SUM($BT97)=0,SUM($BN97)=0),"",SUM($BT97,$BN97))</f>
        <v/>
      </c>
      <c r="BV97" s="118" t="str">
        <f aca="false">IF(SUM($BU97)=0,"",SUM($BN97)/$BU97)</f>
        <v/>
      </c>
      <c r="BW97" s="73" t="n">
        <v>32</v>
      </c>
      <c r="BX97" s="118" t="n">
        <f aca="false">IF(OR($C97="01-04",$C97="05-09"),"",0%)</f>
        <v>0</v>
      </c>
      <c r="BY97" s="75" t="n">
        <f aca="false">IF(OR($C97="01-04",$C97="05-09",SUM($BW97)=0),"",ROUND($BW97*(1+$BX97),0))</f>
        <v>32</v>
      </c>
    </row>
    <row r="98" customFormat="false" ht="15" hidden="false" customHeight="false" outlineLevel="0" collapsed="false">
      <c r="A98" s="0" t="s">
        <v>144</v>
      </c>
      <c r="B98" s="0" t="s">
        <v>103</v>
      </c>
      <c r="C98" s="0" t="s">
        <v>77</v>
      </c>
      <c r="D98" s="0" t="s">
        <v>58</v>
      </c>
      <c r="E98" s="0" t="str">
        <f aca="false">B98&amp;"|"&amp;C98&amp;"|"&amp;D98</f>
        <v>Leribe [#SNU] [FjSmRywOWUp]|40-44|Male</v>
      </c>
      <c r="F98" s="118" t="n">
        <f aca="false">_xlfn.IFNA(INDEX(Cascade!$Y:$Y,MATCH($E98,Cascade!$E:$E,0)),"")</f>
        <v>0.705826170009551</v>
      </c>
      <c r="G98" s="73" t="n">
        <f aca="false">_xlfn.IFNA(INDEX(Cascade!$BD:$BD,MATCH($E98,Cascade!$E:$E,0)),"")</f>
        <v>13</v>
      </c>
      <c r="H98" s="73" t="n">
        <f aca="false">_xlfn.IFNA(INDEX(Cascade!$BE:$BE,MATCH($E98,Cascade!$E:$E,0)),"")</f>
        <v>7</v>
      </c>
      <c r="I98" s="73" t="str">
        <f aca="false">_xlfn.IFNA(INDEX(Cascade!$BF:$BF,MATCH($E98,Cascade!$E:$E,0)),"")</f>
        <v/>
      </c>
      <c r="J98" s="73" t="str">
        <f aca="false">_xlfn.IFNA(INDEX(Cascade!$BG:$BG,MATCH($E98,Cascade!$E:$E,0)),"")</f>
        <v/>
      </c>
      <c r="K98" s="73" t="n">
        <f aca="false">_xlfn.IFNA(INDEX(Cascade!$BH:$BH,MATCH($E98,Cascade!$E:$E,0)),"")</f>
        <v>-16800</v>
      </c>
      <c r="L98" s="73" t="str">
        <f aca="false">_xlfn.IFNA(INDEX(Cascade!$BI:$BI,MATCH($E98,Cascade!$E:$E,0)),"")</f>
        <v/>
      </c>
      <c r="M98" s="73" t="n">
        <f aca="false">_xlfn.IFNA(INDEX(Cascade!$BK:$BK,MATCH($E98,Cascade!$E:$E,0)),"")</f>
        <v>16806</v>
      </c>
      <c r="N98" s="118" t="n">
        <v>30</v>
      </c>
      <c r="O98" s="118" t="n">
        <v>37</v>
      </c>
      <c r="P98" s="118" t="n">
        <v>37</v>
      </c>
      <c r="Q98" s="75" t="n">
        <f aca="false">IF(OR(SUM($H98)=0,SUM($N98)=0,SUM($O98)=0),"",ROUND($H98*$N98,0))</f>
        <v>210</v>
      </c>
      <c r="R98" s="75" t="n">
        <f aca="false">IF(OR(SUM($Q98)=0,SUM($O98)=0),"",ROUND(SUM($Q98)/SUM($O98),0)-SUM($Q98))</f>
        <v>-204</v>
      </c>
      <c r="S98" s="75" t="n">
        <f aca="false">IF(SUM($H98)=0,"",SUM($H98)-SUM($Q98))</f>
        <v>-203</v>
      </c>
      <c r="T98" s="75" t="str">
        <f aca="false">IF(OR(SUM($S98)=0,$N98&gt;1,SUM($P98)&lt;=0),"",ROUND($S98/$P98,0)-$S98)</f>
        <v/>
      </c>
      <c r="U98" s="118" t="n">
        <f aca="false">IF(SUM($G98)&lt;=0,"",SUM($Q98,$S98)/$G98)</f>
        <v>0.538461538461538</v>
      </c>
      <c r="V98" s="118" t="n">
        <f aca="false">IF(OR(SUM($Q98)=0,SUM($G98)=0),"",SUM($Q98)/SUM($G98))</f>
        <v>16.1538461538462</v>
      </c>
      <c r="W98" s="118" t="n">
        <f aca="false">IF(OR(SUM($S98)=0,SUM($G98)=0),"",SUM($S98)/SUM($G98))</f>
        <v>-15.6153846153846</v>
      </c>
      <c r="X98" s="118" t="str">
        <f aca="false">IF(OR(SUM($G98)=0,SUM($I98)=0),"",SUM($I98)/SUM($G98))</f>
        <v/>
      </c>
      <c r="Y98" s="118" t="str">
        <f aca="false">IF(OR(SUM($G98)=0,SUM($J98)=0),"",SUM($J98)/SUM($G98))</f>
        <v/>
      </c>
      <c r="Z98" s="118" t="n">
        <f aca="false">IF(OR(SUM($G98)=0,SUM($K98)=0),"",SUM($K98)/SUM($G98))</f>
        <v>-1292.30769230769</v>
      </c>
      <c r="AA98" s="118" t="str">
        <f aca="false">IF(OR(SUM($G98)=0,SUM($L98)=0),"",SUM($L98)/SUM($G98))</f>
        <v/>
      </c>
      <c r="AB98" s="118" t="n">
        <v>21</v>
      </c>
      <c r="AC98" s="118"/>
      <c r="AD98" s="118"/>
      <c r="AE98" s="118" t="n">
        <v>33</v>
      </c>
      <c r="AF98" s="118" t="n">
        <v>35</v>
      </c>
      <c r="AG98" s="118" t="n">
        <v>45</v>
      </c>
      <c r="AH98" s="118" t="n">
        <v>28</v>
      </c>
      <c r="AI98" s="118" t="n">
        <v>21</v>
      </c>
      <c r="AJ98" s="118" t="n">
        <v>26</v>
      </c>
      <c r="AK98" s="118" t="n">
        <f aca="false">IF(SUM($G98)&lt;=0,"",SUM($V98:$AJ98))</f>
        <v>-1082.76923076923</v>
      </c>
      <c r="AL98" s="118" t="n">
        <v>14</v>
      </c>
      <c r="AM98" s="75" t="n">
        <f aca="false">IF(OR(SUM($AB98)&lt;=0,SUM($G98)&lt;=0),"",ROUND($G98*$AB98,0))</f>
        <v>273</v>
      </c>
      <c r="AN98" s="75" t="n">
        <f aca="false">IF(SUM($AM98)&lt;=0,"",IF(SUM($AL98)&lt;=0,"ENTER VALID YIELD!",ROUND($AM98/$AL98,0)-$AM98))</f>
        <v>-253</v>
      </c>
      <c r="AO98" s="118"/>
      <c r="AP98" s="75" t="str">
        <f aca="false">IF(OR(SUM($AC98)&lt;=0,SUM($G98)&lt;=0),"",ROUND($G98*$AC98,0))</f>
        <v/>
      </c>
      <c r="AQ98" s="75" t="str">
        <f aca="false">IF(SUM($AP98)&lt;=0,"",IF(SUM($AO98)&lt;=0,"ENTER VALID YIELD!",ROUND($AP98/$AO98,0)-$AP98))</f>
        <v/>
      </c>
      <c r="AR98" s="118"/>
      <c r="AS98" s="75" t="str">
        <f aca="false">IF(OR(SUM($AD98)&lt;=0,SUM($G98)&lt;=0),"",ROUND($G98*$AD98,0))</f>
        <v/>
      </c>
      <c r="AT98" s="75" t="str">
        <f aca="false">IF(SUM($AS98)&lt;=0,"",IF(SUM($AR98)&lt;=0,"ENTER VALID YIELD!",ROUND($AS98/$AR98,0)-$AS98))</f>
        <v/>
      </c>
      <c r="AU98" s="118"/>
      <c r="AV98" s="75" t="n">
        <f aca="false">IF(OR(SUM($AE98)&lt;=0,SUM($G98)&lt;=0),"",ROUND($G98*$AE98,0))</f>
        <v>429</v>
      </c>
      <c r="AW98" s="75" t="str">
        <f aca="false">IF(SUM($AV98)&lt;=0,"",IF(SUM($AU98)&lt;=0,"ENTER VALID YIELD!",ROUND($AV98/$AU98,0)-$AV98))</f>
        <v>ENTER VALID YIELD!</v>
      </c>
      <c r="AX98" s="118"/>
      <c r="AY98" s="75" t="n">
        <f aca="false">IF(OR(SUM($AF98)&lt;=0,SUM($G98)&lt;=0),"",ROUND($G98*$AF98,0))</f>
        <v>455</v>
      </c>
      <c r="AZ98" s="75" t="str">
        <f aca="false">IF(SUM($AY98)&lt;=0,"",IF(SUM($AX98)&lt;=0,"ENTER VALID YIELD!",ROUND($AY98/$AX98,0)-$AY98))</f>
        <v>ENTER VALID YIELD!</v>
      </c>
      <c r="BA98" s="118" t="n">
        <v>33</v>
      </c>
      <c r="BB98" s="75" t="n">
        <f aca="false">IF(OR(SUM($AG98)&lt;=0,SUM($G98)&lt;=0),"",ROUND($G98*$AG98,0))</f>
        <v>585</v>
      </c>
      <c r="BC98" s="75" t="n">
        <f aca="false">IF(SUM($BB98)&lt;=0,"",IF(SUM($BA98)&lt;=0,"ENTER VALID YIELD!",ROUND($BB98/$BA98,0)-$BB98))</f>
        <v>-567</v>
      </c>
      <c r="BD98" s="118"/>
      <c r="BE98" s="75" t="n">
        <f aca="false">IF(OR(SUM($AH98)&lt;=0,SUM($G98)&lt;=0),"",ROUND($G98*$AH98,0))</f>
        <v>364</v>
      </c>
      <c r="BF98" s="75" t="str">
        <f aca="false">IF(SUM($BE98)&lt;=0,"",IF(SUM($BD98)&lt;=0,"ENTER VALID YIELD!",ROUND($BE98/$BD98,0)-$BE98))</f>
        <v>ENTER VALID YIELD!</v>
      </c>
      <c r="BG98" s="118" t="n">
        <v>23</v>
      </c>
      <c r="BH98" s="75" t="n">
        <f aca="false">IF(OR(SUM($AI98)&lt;=0,SUM($G98)&lt;=0),"",ROUND($G98*$AI98,0))</f>
        <v>273</v>
      </c>
      <c r="BI98" s="75" t="n">
        <f aca="false">IF(SUM($BH98)&lt;=0,"",IF(SUM($BG98)&lt;=0,"ENTER VALID YIELD!",ROUND($BH98/$BG98,0)-$BH98))</f>
        <v>-261</v>
      </c>
      <c r="BJ98" s="118" t="n">
        <v>3</v>
      </c>
      <c r="BK98" s="75" t="n">
        <f aca="false">IF(OR(SUM($AJ98)&lt;=0,SUM($G98)&lt;=0),"",ROUND($G98*$AJ98,0))</f>
        <v>338</v>
      </c>
      <c r="BL98" s="75" t="n">
        <f aca="false">IF(SUM($BK98)&lt;=0,"",IF(SUM($BJ98)&lt;=0,"ENTER VALID YIELD!",ROUND($BK98/$BJ98,0)-$BK98))</f>
        <v>-225</v>
      </c>
      <c r="BM98" s="73" t="n">
        <f aca="false">IF(SUM($G98)&lt;=0,"",$G98)</f>
        <v>13</v>
      </c>
      <c r="BN98" s="73" t="n">
        <f aca="false">IF(SUM($G98)&lt;=0,"",SUM($I98:$L98,$Q98,$S98,$AM98,$AP98,$AS98,$AV98,$AY98,$BB98,$BE98,$BH98,$BK98))</f>
        <v>-14076</v>
      </c>
      <c r="BO98" s="73" t="n">
        <f aca="false">IF(AND(SUM($BN98)&lt;=0,SUM($BM98)&lt;=0),"",SUM($BN98)-SUM($BM98))</f>
        <v>-14089</v>
      </c>
      <c r="BP98" s="73" t="str">
        <f aca="false">_xlfn.IFNA(INDEX(PMTCT!$AF:$AF,MATCH($E98,PMTCT!$E:$E,0)),"")</f>
        <v/>
      </c>
      <c r="BQ98" s="73" t="str">
        <f aca="false">_xlfn.IFNA(INDEX(PMTCT!$AV:$AV,MATCH($E98,PMTCT!$E:$E,0)),"")</f>
        <v/>
      </c>
      <c r="BR98" s="73" t="n">
        <f aca="false">_xlfn.IFNA(INDEX(TB!$R:$R,MATCH($E98,TB!$E:$E,0)),"")</f>
        <v>16320</v>
      </c>
      <c r="BS98" s="73" t="str">
        <f aca="false">_xlfn.IFNA(INDEX(VMMC!$AD:$AD,MATCH($E98,VMMC!$E:$E,0)),"")</f>
        <v/>
      </c>
      <c r="BT98" s="73" t="n">
        <f aca="false">IF(SUM($R98,$T98,$AN98,$AQ98,$AT98,$AW98,$AZ98,$BC98,$BF98,$BI98,$BL98,$BP98:$BS98)=0,"",SUM($R98,$T98,$AN98,$AQ98,$AT98,$AW98,$AZ98,$BC98,$BF98,$BI98,$BL98,$BP98:$BS98))</f>
        <v>14810</v>
      </c>
      <c r="BU98" s="73" t="n">
        <f aca="false">IF(OR(SUM($BT98)=0,SUM($BN98)=0),"",SUM($BT98,$BN98))</f>
        <v>734</v>
      </c>
      <c r="BV98" s="118" t="n">
        <f aca="false">IF(SUM($BU98)=0,"",SUM($BN98)/$BU98)</f>
        <v>-19.1771117166213</v>
      </c>
      <c r="BW98" s="73" t="n">
        <v>48</v>
      </c>
      <c r="BX98" s="118" t="n">
        <f aca="false">IF(OR($C98="01-04",$C98="05-09"),"",0%)</f>
        <v>0</v>
      </c>
      <c r="BY98" s="75" t="n">
        <f aca="false">IF(OR($C98="01-04",$C98="05-09",SUM($BW98)=0),"",ROUND($BW98*(1+$BX98),0))</f>
        <v>48</v>
      </c>
    </row>
    <row r="99" customFormat="false" ht="15" hidden="false" customHeight="false" outlineLevel="0" collapsed="false">
      <c r="A99" s="0" t="s">
        <v>144</v>
      </c>
      <c r="B99" s="0" t="s">
        <v>103</v>
      </c>
      <c r="C99" s="0" t="s">
        <v>80</v>
      </c>
      <c r="D99" s="0" t="s">
        <v>56</v>
      </c>
      <c r="E99" s="0" t="str">
        <f aca="false">B99&amp;"|"&amp;C99&amp;"|"&amp;D99</f>
        <v>Leribe [#SNU] [FjSmRywOWUp]|45-49|Female</v>
      </c>
      <c r="F99" s="118" t="n">
        <f aca="false">_xlfn.IFNA(INDEX(Cascade!$Y:$Y,MATCH($E99,Cascade!$E:$E,0)),"")</f>
        <v>0.966789667896679</v>
      </c>
      <c r="G99" s="73" t="n">
        <f aca="false">_xlfn.IFNA(INDEX(Cascade!$BD:$BD,MATCH($E99,Cascade!$E:$E,0)),"")</f>
        <v>1</v>
      </c>
      <c r="H99" s="73" t="n">
        <f aca="false">_xlfn.IFNA(INDEX(Cascade!$BE:$BE,MATCH($E99,Cascade!$E:$E,0)),"")</f>
        <v>1</v>
      </c>
      <c r="I99" s="73" t="n">
        <f aca="false">_xlfn.IFNA(INDEX(Cascade!$BF:$BF,MATCH($E99,Cascade!$E:$E,0)),"")</f>
        <v>-0</v>
      </c>
      <c r="J99" s="73" t="str">
        <f aca="false">_xlfn.IFNA(INDEX(Cascade!$BG:$BG,MATCH($E99,Cascade!$E:$E,0)),"")</f>
        <v/>
      </c>
      <c r="K99" s="73" t="n">
        <f aca="false">_xlfn.IFNA(INDEX(Cascade!$BH:$BH,MATCH($E99,Cascade!$E:$E,0)),"")</f>
        <v>-3780</v>
      </c>
      <c r="L99" s="73" t="str">
        <f aca="false">_xlfn.IFNA(INDEX(Cascade!$BI:$BI,MATCH($E99,Cascade!$E:$E,0)),"")</f>
        <v/>
      </c>
      <c r="M99" s="73" t="n">
        <f aca="false">_xlfn.IFNA(INDEX(Cascade!$BK:$BK,MATCH($E99,Cascade!$E:$E,0)),"")</f>
        <v>3780</v>
      </c>
      <c r="N99" s="118" t="n">
        <v>1</v>
      </c>
      <c r="O99" s="118" t="n">
        <v>45</v>
      </c>
      <c r="P99" s="118" t="n">
        <v>38</v>
      </c>
      <c r="Q99" s="75" t="n">
        <f aca="false">IF(OR(SUM($H99)=0,SUM($N99)=0,SUM($O99)=0),"",ROUND($H99*$N99,0))</f>
        <v>1</v>
      </c>
      <c r="R99" s="75" t="n">
        <f aca="false">IF(OR(SUM($Q99)=0,SUM($O99)=0),"",ROUND(SUM($Q99)/SUM($O99),0)-SUM($Q99))</f>
        <v>-1</v>
      </c>
      <c r="S99" s="75" t="n">
        <f aca="false">IF(SUM($H99)=0,"",SUM($H99)-SUM($Q99))</f>
        <v>0</v>
      </c>
      <c r="T99" s="75" t="str">
        <f aca="false">IF(OR(SUM($S99)=0,$N99&gt;1,SUM($P99)&lt;=0),"",ROUND($S99/$P99,0)-$S99)</f>
        <v/>
      </c>
      <c r="U99" s="118" t="n">
        <f aca="false">IF(SUM($G99)&lt;=0,"",SUM($Q99,$S99)/$G99)</f>
        <v>1</v>
      </c>
      <c r="V99" s="118" t="n">
        <f aca="false">IF(OR(SUM($Q99)=0,SUM($G99)=0),"",SUM($Q99)/SUM($G99))</f>
        <v>1</v>
      </c>
      <c r="W99" s="118" t="str">
        <f aca="false">IF(OR(SUM($S99)=0,SUM($G99)=0),"",SUM($S99)/SUM($G99))</f>
        <v/>
      </c>
      <c r="X99" s="118" t="str">
        <f aca="false">IF(OR(SUM($G99)=0,SUM($I99)=0),"",SUM($I99)/SUM($G99))</f>
        <v/>
      </c>
      <c r="Y99" s="118" t="str">
        <f aca="false">IF(OR(SUM($G99)=0,SUM($J99)=0),"",SUM($J99)/SUM($G99))</f>
        <v/>
      </c>
      <c r="Z99" s="118" t="n">
        <f aca="false">IF(OR(SUM($G99)=0,SUM($K99)=0),"",SUM($K99)/SUM($G99))</f>
        <v>-3780</v>
      </c>
      <c r="AA99" s="118" t="str">
        <f aca="false">IF(OR(SUM($G99)=0,SUM($L99)=0),"",SUM($L99)/SUM($G99))</f>
        <v/>
      </c>
      <c r="AB99" s="118" t="n">
        <v>3</v>
      </c>
      <c r="AC99" s="118"/>
      <c r="AD99" s="118"/>
      <c r="AE99" s="118" t="n">
        <v>16</v>
      </c>
      <c r="AF99" s="118" t="n">
        <v>49</v>
      </c>
      <c r="AG99" s="118" t="n">
        <v>4</v>
      </c>
      <c r="AH99" s="118" t="n">
        <v>17</v>
      </c>
      <c r="AI99" s="118" t="n">
        <v>28</v>
      </c>
      <c r="AJ99" s="118" t="n">
        <v>12</v>
      </c>
      <c r="AK99" s="118" t="n">
        <f aca="false">IF(SUM($G99)&lt;=0,"",SUM($V99:$AJ99))</f>
        <v>-3650</v>
      </c>
      <c r="AL99" s="118"/>
      <c r="AM99" s="75" t="n">
        <f aca="false">IF(OR(SUM($AB99)&lt;=0,SUM($G99)&lt;=0),"",ROUND($G99*$AB99,0))</f>
        <v>3</v>
      </c>
      <c r="AN99" s="75" t="str">
        <f aca="false">IF(SUM($AM99)&lt;=0,"",IF(SUM($AL99)&lt;=0,"ENTER VALID YIELD!",ROUND($AM99/$AL99,0)-$AM99))</f>
        <v>ENTER VALID YIELD!</v>
      </c>
      <c r="AO99" s="118"/>
      <c r="AP99" s="75" t="str">
        <f aca="false">IF(OR(SUM($AC99)&lt;=0,SUM($G99)&lt;=0),"",ROUND($G99*$AC99,0))</f>
        <v/>
      </c>
      <c r="AQ99" s="75" t="str">
        <f aca="false">IF(SUM($AP99)&lt;=0,"",IF(SUM($AO99)&lt;=0,"ENTER VALID YIELD!",ROUND($AP99/$AO99,0)-$AP99))</f>
        <v/>
      </c>
      <c r="AR99" s="118"/>
      <c r="AS99" s="75" t="str">
        <f aca="false">IF(OR(SUM($AD99)&lt;=0,SUM($G99)&lt;=0),"",ROUND($G99*$AD99,0))</f>
        <v/>
      </c>
      <c r="AT99" s="75" t="str">
        <f aca="false">IF(SUM($AS99)&lt;=0,"",IF(SUM($AR99)&lt;=0,"ENTER VALID YIELD!",ROUND($AS99/$AR99,0)-$AS99))</f>
        <v/>
      </c>
      <c r="AU99" s="118"/>
      <c r="AV99" s="75" t="n">
        <f aca="false">IF(OR(SUM($AE99)&lt;=0,SUM($G99)&lt;=0),"",ROUND($G99*$AE99,0))</f>
        <v>16</v>
      </c>
      <c r="AW99" s="75" t="str">
        <f aca="false">IF(SUM($AV99)&lt;=0,"",IF(SUM($AU99)&lt;=0,"ENTER VALID YIELD!",ROUND($AV99/$AU99,0)-$AV99))</f>
        <v>ENTER VALID YIELD!</v>
      </c>
      <c r="AX99" s="118"/>
      <c r="AY99" s="75" t="n">
        <f aca="false">IF(OR(SUM($AF99)&lt;=0,SUM($G99)&lt;=0),"",ROUND($G99*$AF99,0))</f>
        <v>49</v>
      </c>
      <c r="AZ99" s="75" t="str">
        <f aca="false">IF(SUM($AY99)&lt;=0,"",IF(SUM($AX99)&lt;=0,"ENTER VALID YIELD!",ROUND($AY99/$AX99,0)-$AY99))</f>
        <v>ENTER VALID YIELD!</v>
      </c>
      <c r="BA99" s="118" t="n">
        <v>34</v>
      </c>
      <c r="BB99" s="75" t="n">
        <f aca="false">IF(OR(SUM($AG99)&lt;=0,SUM($G99)&lt;=0),"",ROUND($G99*$AG99,0))</f>
        <v>4</v>
      </c>
      <c r="BC99" s="75" t="n">
        <f aca="false">IF(SUM($BB99)&lt;=0,"",IF(SUM($BA99)&lt;=0,"ENTER VALID YIELD!",ROUND($BB99/$BA99,0)-$BB99))</f>
        <v>-4</v>
      </c>
      <c r="BD99" s="118"/>
      <c r="BE99" s="75" t="n">
        <f aca="false">IF(OR(SUM($AH99)&lt;=0,SUM($G99)&lt;=0),"",ROUND($G99*$AH99,0))</f>
        <v>17</v>
      </c>
      <c r="BF99" s="75" t="str">
        <f aca="false">IF(SUM($BE99)&lt;=0,"",IF(SUM($BD99)&lt;=0,"ENTER VALID YIELD!",ROUND($BE99/$BD99,0)-$BE99))</f>
        <v>ENTER VALID YIELD!</v>
      </c>
      <c r="BG99" s="118" t="n">
        <v>36</v>
      </c>
      <c r="BH99" s="75" t="n">
        <f aca="false">IF(OR(SUM($AI99)&lt;=0,SUM($G99)&lt;=0),"",ROUND($G99*$AI99,0))</f>
        <v>28</v>
      </c>
      <c r="BI99" s="75" t="n">
        <f aca="false">IF(SUM($BH99)&lt;=0,"",IF(SUM($BG99)&lt;=0,"ENTER VALID YIELD!",ROUND($BH99/$BG99,0)-$BH99))</f>
        <v>-27</v>
      </c>
      <c r="BJ99" s="118" t="n">
        <v>30</v>
      </c>
      <c r="BK99" s="75" t="n">
        <f aca="false">IF(OR(SUM($AJ99)&lt;=0,SUM($G99)&lt;=0),"",ROUND($G99*$AJ99,0))</f>
        <v>12</v>
      </c>
      <c r="BL99" s="75" t="n">
        <f aca="false">IF(SUM($BK99)&lt;=0,"",IF(SUM($BJ99)&lt;=0,"ENTER VALID YIELD!",ROUND($BK99/$BJ99,0)-$BK99))</f>
        <v>-12</v>
      </c>
      <c r="BM99" s="73" t="n">
        <f aca="false">IF(SUM($G99)&lt;=0,"",$G99)</f>
        <v>1</v>
      </c>
      <c r="BN99" s="73" t="n">
        <f aca="false">IF(SUM($G99)&lt;=0,"",SUM($I99:$L99,$Q99,$S99,$AM99,$AP99,$AS99,$AV99,$AY99,$BB99,$BE99,$BH99,$BK99))</f>
        <v>-3650</v>
      </c>
      <c r="BO99" s="73" t="n">
        <f aca="false">IF(AND(SUM($BN99)&lt;=0,SUM($BM99)&lt;=0),"",SUM($BN99)-SUM($BM99))</f>
        <v>-3651</v>
      </c>
      <c r="BP99" s="73" t="n">
        <f aca="false">_xlfn.IFNA(INDEX(PMTCT!$AF:$AF,MATCH($E99,PMTCT!$E:$E,0)),"")</f>
        <v>-17</v>
      </c>
      <c r="BQ99" s="73" t="str">
        <f aca="false">_xlfn.IFNA(INDEX(PMTCT!$AV:$AV,MATCH($E99,PMTCT!$E:$E,0)),"")</f>
        <v/>
      </c>
      <c r="BR99" s="73" t="n">
        <f aca="false">_xlfn.IFNA(INDEX(TB!$R:$R,MATCH($E99,TB!$E:$E,0)),"")</f>
        <v>3690</v>
      </c>
      <c r="BS99" s="73" t="str">
        <f aca="false">_xlfn.IFNA(INDEX(VMMC!$AD:$AD,MATCH($E99,VMMC!$E:$E,0)),"")</f>
        <v/>
      </c>
      <c r="BT99" s="73" t="n">
        <f aca="false">IF(SUM($R99,$T99,$AN99,$AQ99,$AT99,$AW99,$AZ99,$BC99,$BF99,$BI99,$BL99,$BP99:$BS99)=0,"",SUM($R99,$T99,$AN99,$AQ99,$AT99,$AW99,$AZ99,$BC99,$BF99,$BI99,$BL99,$BP99:$BS99))</f>
        <v>3629</v>
      </c>
      <c r="BU99" s="73" t="n">
        <f aca="false">IF(OR(SUM($BT99)=0,SUM($BN99)=0),"",SUM($BT99,$BN99))</f>
        <v>-21</v>
      </c>
      <c r="BV99" s="118" t="n">
        <f aca="false">IF(SUM($BU99)=0,"",SUM($BN99)/$BU99)</f>
        <v>173.809523809524</v>
      </c>
      <c r="BW99" s="73" t="n">
        <v>39</v>
      </c>
      <c r="BX99" s="118" t="n">
        <f aca="false">IF(OR($C99="01-04",$C99="05-09"),"",0%)</f>
        <v>0</v>
      </c>
      <c r="BY99" s="75" t="n">
        <f aca="false">IF(OR($C99="01-04",$C99="05-09",SUM($BW99)=0),"",ROUND($BW99*(1+$BX99),0))</f>
        <v>39</v>
      </c>
    </row>
    <row r="100" customFormat="false" ht="15" hidden="false" customHeight="false" outlineLevel="0" collapsed="false">
      <c r="A100" s="0" t="s">
        <v>144</v>
      </c>
      <c r="B100" s="0" t="s">
        <v>103</v>
      </c>
      <c r="C100" s="0" t="s">
        <v>80</v>
      </c>
      <c r="D100" s="0" t="s">
        <v>58</v>
      </c>
      <c r="E100" s="0" t="str">
        <f aca="false">B100&amp;"|"&amp;C100&amp;"|"&amp;D100</f>
        <v>Leribe [#SNU] [FjSmRywOWUp]|45-49|Male</v>
      </c>
      <c r="F100" s="118" t="n">
        <f aca="false">_xlfn.IFNA(INDEX(Cascade!$Y:$Y,MATCH($E100,Cascade!$E:$E,0)),"")</f>
        <v>0.708763872942977</v>
      </c>
      <c r="G100" s="73" t="n">
        <f aca="false">_xlfn.IFNA(INDEX(Cascade!$BD:$BD,MATCH($E100,Cascade!$E:$E,0)),"")</f>
        <v>5</v>
      </c>
      <c r="H100" s="73" t="n">
        <f aca="false">_xlfn.IFNA(INDEX(Cascade!$BE:$BE,MATCH($E100,Cascade!$E:$E,0)),"")</f>
        <v>3</v>
      </c>
      <c r="I100" s="73" t="str">
        <f aca="false">_xlfn.IFNA(INDEX(Cascade!$BF:$BF,MATCH($E100,Cascade!$E:$E,0)),"")</f>
        <v/>
      </c>
      <c r="J100" s="73" t="str">
        <f aca="false">_xlfn.IFNA(INDEX(Cascade!$BG:$BG,MATCH($E100,Cascade!$E:$E,0)),"")</f>
        <v/>
      </c>
      <c r="K100" s="73" t="n">
        <f aca="false">_xlfn.IFNA(INDEX(Cascade!$BH:$BH,MATCH($E100,Cascade!$E:$E,0)),"")</f>
        <v>1530</v>
      </c>
      <c r="L100" s="73" t="str">
        <f aca="false">_xlfn.IFNA(INDEX(Cascade!$BI:$BI,MATCH($E100,Cascade!$E:$E,0)),"")</f>
        <v/>
      </c>
      <c r="M100" s="73" t="n">
        <f aca="false">_xlfn.IFNA(INDEX(Cascade!$BK:$BK,MATCH($E100,Cascade!$E:$E,0)),"")</f>
        <v>-1528</v>
      </c>
      <c r="N100" s="118" t="n">
        <v>24</v>
      </c>
      <c r="O100" s="118" t="n">
        <v>45</v>
      </c>
      <c r="P100" s="118" t="n">
        <v>0</v>
      </c>
      <c r="Q100" s="75" t="n">
        <f aca="false">IF(OR(SUM($H100)=0,SUM($N100)=0,SUM($O100)=0),"",ROUND($H100*$N100,0))</f>
        <v>72</v>
      </c>
      <c r="R100" s="75" t="n">
        <f aca="false">IF(OR(SUM($Q100)=0,SUM($O100)=0),"",ROUND(SUM($Q100)/SUM($O100),0)-SUM($Q100))</f>
        <v>-70</v>
      </c>
      <c r="S100" s="75" t="n">
        <f aca="false">IF(SUM($H100)=0,"",SUM($H100)-SUM($Q100))</f>
        <v>-69</v>
      </c>
      <c r="T100" s="75" t="str">
        <f aca="false">IF(OR(SUM($S100)=0,$N100&gt;1,SUM($P100)&lt;=0),"",ROUND($S100/$P100,0)-$S100)</f>
        <v/>
      </c>
      <c r="U100" s="118" t="n">
        <f aca="false">IF(SUM($G100)&lt;=0,"",SUM($Q100,$S100)/$G100)</f>
        <v>0.6</v>
      </c>
      <c r="V100" s="118" t="n">
        <f aca="false">IF(OR(SUM($Q100)=0,SUM($G100)=0),"",SUM($Q100)/SUM($G100))</f>
        <v>14.4</v>
      </c>
      <c r="W100" s="118" t="n">
        <f aca="false">IF(OR(SUM($S100)=0,SUM($G100)=0),"",SUM($S100)/SUM($G100))</f>
        <v>-13.8</v>
      </c>
      <c r="X100" s="118" t="str">
        <f aca="false">IF(OR(SUM($G100)=0,SUM($I100)=0),"",SUM($I100)/SUM($G100))</f>
        <v/>
      </c>
      <c r="Y100" s="118" t="str">
        <f aca="false">IF(OR(SUM($G100)=0,SUM($J100)=0),"",SUM($J100)/SUM($G100))</f>
        <v/>
      </c>
      <c r="Z100" s="118" t="n">
        <f aca="false">IF(OR(SUM($G100)=0,SUM($K100)=0),"",SUM($K100)/SUM($G100))</f>
        <v>306</v>
      </c>
      <c r="AA100" s="118" t="str">
        <f aca="false">IF(OR(SUM($G100)=0,SUM($L100)=0),"",SUM($L100)/SUM($G100))</f>
        <v/>
      </c>
      <c r="AB100" s="118" t="n">
        <v>32</v>
      </c>
      <c r="AC100" s="118"/>
      <c r="AD100" s="118"/>
      <c r="AE100" s="118" t="n">
        <v>15</v>
      </c>
      <c r="AF100" s="118" t="n">
        <v>16</v>
      </c>
      <c r="AG100" s="118" t="n">
        <v>30</v>
      </c>
      <c r="AH100" s="118" t="n">
        <v>42</v>
      </c>
      <c r="AI100" s="118" t="n">
        <v>24</v>
      </c>
      <c r="AJ100" s="118" t="n">
        <v>13</v>
      </c>
      <c r="AK100" s="118" t="n">
        <f aca="false">IF(SUM($G100)&lt;=0,"",SUM($V100:$AJ100))</f>
        <v>478.6</v>
      </c>
      <c r="AL100" s="118" t="n">
        <v>20</v>
      </c>
      <c r="AM100" s="75" t="n">
        <f aca="false">IF(OR(SUM($AB100)&lt;=0,SUM($G100)&lt;=0),"",ROUND($G100*$AB100,0))</f>
        <v>160</v>
      </c>
      <c r="AN100" s="75" t="n">
        <f aca="false">IF(SUM($AM100)&lt;=0,"",IF(SUM($AL100)&lt;=0,"ENTER VALID YIELD!",ROUND($AM100/$AL100,0)-$AM100))</f>
        <v>-152</v>
      </c>
      <c r="AO100" s="118"/>
      <c r="AP100" s="75" t="str">
        <f aca="false">IF(OR(SUM($AC100)&lt;=0,SUM($G100)&lt;=0),"",ROUND($G100*$AC100,0))</f>
        <v/>
      </c>
      <c r="AQ100" s="75" t="str">
        <f aca="false">IF(SUM($AP100)&lt;=0,"",IF(SUM($AO100)&lt;=0,"ENTER VALID YIELD!",ROUND($AP100/$AO100,0)-$AP100))</f>
        <v/>
      </c>
      <c r="AR100" s="118"/>
      <c r="AS100" s="75" t="str">
        <f aca="false">IF(OR(SUM($AD100)&lt;=0,SUM($G100)&lt;=0),"",ROUND($G100*$AD100,0))</f>
        <v/>
      </c>
      <c r="AT100" s="75" t="str">
        <f aca="false">IF(SUM($AS100)&lt;=0,"",IF(SUM($AR100)&lt;=0,"ENTER VALID YIELD!",ROUND($AS100/$AR100,0)-$AS100))</f>
        <v/>
      </c>
      <c r="AU100" s="118"/>
      <c r="AV100" s="75" t="n">
        <f aca="false">IF(OR(SUM($AE100)&lt;=0,SUM($G100)&lt;=0),"",ROUND($G100*$AE100,0))</f>
        <v>75</v>
      </c>
      <c r="AW100" s="75" t="str">
        <f aca="false">IF(SUM($AV100)&lt;=0,"",IF(SUM($AU100)&lt;=0,"ENTER VALID YIELD!",ROUND($AV100/$AU100,0)-$AV100))</f>
        <v>ENTER VALID YIELD!</v>
      </c>
      <c r="AX100" s="118"/>
      <c r="AY100" s="75" t="n">
        <f aca="false">IF(OR(SUM($AF100)&lt;=0,SUM($G100)&lt;=0),"",ROUND($G100*$AF100,0))</f>
        <v>80</v>
      </c>
      <c r="AZ100" s="75" t="str">
        <f aca="false">IF(SUM($AY100)&lt;=0,"",IF(SUM($AX100)&lt;=0,"ENTER VALID YIELD!",ROUND($AY100/$AX100,0)-$AY100))</f>
        <v>ENTER VALID YIELD!</v>
      </c>
      <c r="BA100" s="118" t="n">
        <v>17</v>
      </c>
      <c r="BB100" s="75" t="n">
        <f aca="false">IF(OR(SUM($AG100)&lt;=0,SUM($G100)&lt;=0),"",ROUND($G100*$AG100,0))</f>
        <v>150</v>
      </c>
      <c r="BC100" s="75" t="n">
        <f aca="false">IF(SUM($BB100)&lt;=0,"",IF(SUM($BA100)&lt;=0,"ENTER VALID YIELD!",ROUND($BB100/$BA100,0)-$BB100))</f>
        <v>-141</v>
      </c>
      <c r="BD100" s="118"/>
      <c r="BE100" s="75" t="n">
        <f aca="false">IF(OR(SUM($AH100)&lt;=0,SUM($G100)&lt;=0),"",ROUND($G100*$AH100,0))</f>
        <v>210</v>
      </c>
      <c r="BF100" s="75" t="str">
        <f aca="false">IF(SUM($BE100)&lt;=0,"",IF(SUM($BD100)&lt;=0,"ENTER VALID YIELD!",ROUND($BE100/$BD100,0)-$BE100))</f>
        <v>ENTER VALID YIELD!</v>
      </c>
      <c r="BG100" s="118" t="n">
        <v>36</v>
      </c>
      <c r="BH100" s="75" t="n">
        <f aca="false">IF(OR(SUM($AI100)&lt;=0,SUM($G100)&lt;=0),"",ROUND($G100*$AI100,0))</f>
        <v>120</v>
      </c>
      <c r="BI100" s="75" t="n">
        <f aca="false">IF(SUM($BH100)&lt;=0,"",IF(SUM($BG100)&lt;=0,"ENTER VALID YIELD!",ROUND($BH100/$BG100,0)-$BH100))</f>
        <v>-117</v>
      </c>
      <c r="BJ100" s="118" t="n">
        <v>10</v>
      </c>
      <c r="BK100" s="75" t="n">
        <f aca="false">IF(OR(SUM($AJ100)&lt;=0,SUM($G100)&lt;=0),"",ROUND($G100*$AJ100,0))</f>
        <v>65</v>
      </c>
      <c r="BL100" s="75" t="n">
        <f aca="false">IF(SUM($BK100)&lt;=0,"",IF(SUM($BJ100)&lt;=0,"ENTER VALID YIELD!",ROUND($BK100/$BJ100,0)-$BK100))</f>
        <v>-58</v>
      </c>
      <c r="BM100" s="73" t="n">
        <f aca="false">IF(SUM($G100)&lt;=0,"",$G100)</f>
        <v>5</v>
      </c>
      <c r="BN100" s="73" t="n">
        <f aca="false">IF(SUM($G100)&lt;=0,"",SUM($I100:$L100,$Q100,$S100,$AM100,$AP100,$AS100,$AV100,$AY100,$BB100,$BE100,$BH100,$BK100))</f>
        <v>2393</v>
      </c>
      <c r="BO100" s="73" t="n">
        <f aca="false">IF(AND(SUM($BN100)&lt;=0,SUM($BM100)&lt;=0),"",SUM($BN100)-SUM($BM100))</f>
        <v>2388</v>
      </c>
      <c r="BP100" s="73" t="str">
        <f aca="false">_xlfn.IFNA(INDEX(PMTCT!$AF:$AF,MATCH($E100,PMTCT!$E:$E,0)),"")</f>
        <v/>
      </c>
      <c r="BQ100" s="73" t="str">
        <f aca="false">_xlfn.IFNA(INDEX(PMTCT!$AV:$AV,MATCH($E100,PMTCT!$E:$E,0)),"")</f>
        <v/>
      </c>
      <c r="BR100" s="73" t="n">
        <f aca="false">_xlfn.IFNA(INDEX(TB!$R:$R,MATCH($E100,TB!$E:$E,0)),"")</f>
        <v>-1485</v>
      </c>
      <c r="BS100" s="73" t="str">
        <f aca="false">_xlfn.IFNA(INDEX(VMMC!$AD:$AD,MATCH($E100,VMMC!$E:$E,0)),"")</f>
        <v/>
      </c>
      <c r="BT100" s="73" t="n">
        <f aca="false">IF(SUM($R100,$T100,$AN100,$AQ100,$AT100,$AW100,$AZ100,$BC100,$BF100,$BI100,$BL100,$BP100:$BS100)=0,"",SUM($R100,$T100,$AN100,$AQ100,$AT100,$AW100,$AZ100,$BC100,$BF100,$BI100,$BL100,$BP100:$BS100))</f>
        <v>-2023</v>
      </c>
      <c r="BU100" s="73" t="n">
        <f aca="false">IF(OR(SUM($BT100)=0,SUM($BN100)=0),"",SUM($BT100,$BN100))</f>
        <v>370</v>
      </c>
      <c r="BV100" s="118" t="n">
        <f aca="false">IF(SUM($BU100)=0,"",SUM($BN100)/$BU100)</f>
        <v>6.46756756756757</v>
      </c>
      <c r="BW100" s="73" t="n">
        <v>5</v>
      </c>
      <c r="BX100" s="118" t="n">
        <f aca="false">IF(OR($C100="01-04",$C100="05-09"),"",0%)</f>
        <v>0</v>
      </c>
      <c r="BY100" s="75" t="n">
        <f aca="false">IF(OR($C100="01-04",$C100="05-09",SUM($BW100)=0),"",ROUND($BW100*(1+$BX100),0))</f>
        <v>5</v>
      </c>
    </row>
    <row r="101" customFormat="false" ht="15" hidden="false" customHeight="false" outlineLevel="0" collapsed="false">
      <c r="A101" s="0" t="s">
        <v>144</v>
      </c>
      <c r="B101" s="0" t="s">
        <v>103</v>
      </c>
      <c r="C101" s="0" t="s">
        <v>86</v>
      </c>
      <c r="D101" s="0" t="s">
        <v>56</v>
      </c>
      <c r="E101" s="0" t="str">
        <f aca="false">B101&amp;"|"&amp;C101&amp;"|"&amp;D101</f>
        <v>Leribe [#SNU] [FjSmRywOWUp]|50+|Female</v>
      </c>
      <c r="F101" s="118" t="n">
        <f aca="false">_xlfn.IFNA(INDEX(Cascade!$Y:$Y,MATCH($E101,Cascade!$E:$E,0)),"")</f>
        <v>0.757553058676654</v>
      </c>
      <c r="G101" s="73" t="n">
        <f aca="false">_xlfn.IFNA(INDEX(Cascade!$BD:$BD,MATCH($E101,Cascade!$E:$E,0)),"")</f>
        <v>7</v>
      </c>
      <c r="H101" s="73" t="n">
        <f aca="false">_xlfn.IFNA(INDEX(Cascade!$BE:$BE,MATCH($E101,Cascade!$E:$E,0)),"")</f>
        <v>4</v>
      </c>
      <c r="I101" s="73" t="str">
        <f aca="false">_xlfn.IFNA(INDEX(Cascade!$BF:$BF,MATCH($E101,Cascade!$E:$E,0)),"")</f>
        <v/>
      </c>
      <c r="J101" s="73" t="str">
        <f aca="false">_xlfn.IFNA(INDEX(Cascade!$BG:$BG,MATCH($E101,Cascade!$E:$E,0)),"")</f>
        <v/>
      </c>
      <c r="K101" s="73" t="n">
        <f aca="false">_xlfn.IFNA(INDEX(Cascade!$BH:$BH,MATCH($E101,Cascade!$E:$E,0)),"")</f>
        <v>-1935</v>
      </c>
      <c r="L101" s="73" t="str">
        <f aca="false">_xlfn.IFNA(INDEX(Cascade!$BI:$BI,MATCH($E101,Cascade!$E:$E,0)),"")</f>
        <v/>
      </c>
      <c r="M101" s="73" t="n">
        <f aca="false">_xlfn.IFNA(INDEX(Cascade!$BK:$BK,MATCH($E101,Cascade!$E:$E,0)),"")</f>
        <v>1938</v>
      </c>
      <c r="N101" s="118" t="n">
        <v>12</v>
      </c>
      <c r="O101" s="118" t="n">
        <v>0</v>
      </c>
      <c r="P101" s="118" t="n">
        <v>4</v>
      </c>
      <c r="Q101" s="75" t="str">
        <f aca="false">IF(OR(SUM($H101)=0,SUM($N101)=0,SUM($O101)=0),"",ROUND($H101*$N101,0))</f>
        <v/>
      </c>
      <c r="R101" s="75" t="str">
        <f aca="false">IF(OR(SUM($Q101)=0,SUM($O101)=0),"",ROUND(SUM($Q101)/SUM($O101),0)-SUM($Q101))</f>
        <v/>
      </c>
      <c r="S101" s="75" t="n">
        <f aca="false">IF(SUM($H101)=0,"",SUM($H101)-SUM($Q101))</f>
        <v>4</v>
      </c>
      <c r="T101" s="75" t="str">
        <f aca="false">IF(OR(SUM($S101)=0,$N101&gt;1,SUM($P101)&lt;=0),"",ROUND($S101/$P101,0)-$S101)</f>
        <v/>
      </c>
      <c r="U101" s="118" t="n">
        <f aca="false">IF(SUM($G101)&lt;=0,"",SUM($Q101,$S101)/$G101)</f>
        <v>0.571428571428571</v>
      </c>
      <c r="V101" s="118" t="str">
        <f aca="false">IF(OR(SUM($Q101)=0,SUM($G101)=0),"",SUM($Q101)/SUM($G101))</f>
        <v/>
      </c>
      <c r="W101" s="118" t="n">
        <f aca="false">IF(OR(SUM($S101)=0,SUM($G101)=0),"",SUM($S101)/SUM($G101))</f>
        <v>0.571428571428571</v>
      </c>
      <c r="X101" s="118" t="str">
        <f aca="false">IF(OR(SUM($G101)=0,SUM($I101)=0),"",SUM($I101)/SUM($G101))</f>
        <v/>
      </c>
      <c r="Y101" s="118" t="str">
        <f aca="false">IF(OR(SUM($G101)=0,SUM($J101)=0),"",SUM($J101)/SUM($G101))</f>
        <v/>
      </c>
      <c r="Z101" s="118" t="n">
        <f aca="false">IF(OR(SUM($G101)=0,SUM($K101)=0),"",SUM($K101)/SUM($G101))</f>
        <v>-276.428571428571</v>
      </c>
      <c r="AA101" s="118" t="str">
        <f aca="false">IF(OR(SUM($G101)=0,SUM($L101)=0),"",SUM($L101)/SUM($G101))</f>
        <v/>
      </c>
      <c r="AB101" s="118" t="n">
        <v>32</v>
      </c>
      <c r="AC101" s="118"/>
      <c r="AD101" s="118"/>
      <c r="AE101" s="118" t="n">
        <v>44</v>
      </c>
      <c r="AF101" s="118" t="n">
        <v>38</v>
      </c>
      <c r="AG101" s="118" t="n">
        <v>15</v>
      </c>
      <c r="AH101" s="118" t="n">
        <v>30</v>
      </c>
      <c r="AI101" s="118" t="n">
        <v>10</v>
      </c>
      <c r="AJ101" s="118" t="n">
        <v>21</v>
      </c>
      <c r="AK101" s="118" t="n">
        <f aca="false">IF(SUM($G101)&lt;=0,"",SUM($V101:$AJ101))</f>
        <v>-85.8571428571429</v>
      </c>
      <c r="AL101" s="118" t="n">
        <v>13</v>
      </c>
      <c r="AM101" s="75" t="n">
        <f aca="false">IF(OR(SUM($AB101)&lt;=0,SUM($G101)&lt;=0),"",ROUND($G101*$AB101,0))</f>
        <v>224</v>
      </c>
      <c r="AN101" s="75" t="n">
        <f aca="false">IF(SUM($AM101)&lt;=0,"",IF(SUM($AL101)&lt;=0,"ENTER VALID YIELD!",ROUND($AM101/$AL101,0)-$AM101))</f>
        <v>-207</v>
      </c>
      <c r="AO101" s="118"/>
      <c r="AP101" s="75" t="str">
        <f aca="false">IF(OR(SUM($AC101)&lt;=0,SUM($G101)&lt;=0),"",ROUND($G101*$AC101,0))</f>
        <v/>
      </c>
      <c r="AQ101" s="75" t="str">
        <f aca="false">IF(SUM($AP101)&lt;=0,"",IF(SUM($AO101)&lt;=0,"ENTER VALID YIELD!",ROUND($AP101/$AO101,0)-$AP101))</f>
        <v/>
      </c>
      <c r="AR101" s="118"/>
      <c r="AS101" s="75" t="str">
        <f aca="false">IF(OR(SUM($AD101)&lt;=0,SUM($G101)&lt;=0),"",ROUND($G101*$AD101,0))</f>
        <v/>
      </c>
      <c r="AT101" s="75" t="str">
        <f aca="false">IF(SUM($AS101)&lt;=0,"",IF(SUM($AR101)&lt;=0,"ENTER VALID YIELD!",ROUND($AS101/$AR101,0)-$AS101))</f>
        <v/>
      </c>
      <c r="AU101" s="118"/>
      <c r="AV101" s="75" t="n">
        <f aca="false">IF(OR(SUM($AE101)&lt;=0,SUM($G101)&lt;=0),"",ROUND($G101*$AE101,0))</f>
        <v>308</v>
      </c>
      <c r="AW101" s="75" t="str">
        <f aca="false">IF(SUM($AV101)&lt;=0,"",IF(SUM($AU101)&lt;=0,"ENTER VALID YIELD!",ROUND($AV101/$AU101,0)-$AV101))</f>
        <v>ENTER VALID YIELD!</v>
      </c>
      <c r="AX101" s="118"/>
      <c r="AY101" s="75" t="n">
        <f aca="false">IF(OR(SUM($AF101)&lt;=0,SUM($G101)&lt;=0),"",ROUND($G101*$AF101,0))</f>
        <v>266</v>
      </c>
      <c r="AZ101" s="75" t="str">
        <f aca="false">IF(SUM($AY101)&lt;=0,"",IF(SUM($AX101)&lt;=0,"ENTER VALID YIELD!",ROUND($AY101/$AX101,0)-$AY101))</f>
        <v>ENTER VALID YIELD!</v>
      </c>
      <c r="BA101" s="118" t="n">
        <v>6</v>
      </c>
      <c r="BB101" s="75" t="n">
        <f aca="false">IF(OR(SUM($AG101)&lt;=0,SUM($G101)&lt;=0),"",ROUND($G101*$AG101,0))</f>
        <v>105</v>
      </c>
      <c r="BC101" s="75" t="n">
        <f aca="false">IF(SUM($BB101)&lt;=0,"",IF(SUM($BA101)&lt;=0,"ENTER VALID YIELD!",ROUND($BB101/$BA101,0)-$BB101))</f>
        <v>-87</v>
      </c>
      <c r="BD101" s="118"/>
      <c r="BE101" s="75" t="n">
        <f aca="false">IF(OR(SUM($AH101)&lt;=0,SUM($G101)&lt;=0),"",ROUND($G101*$AH101,0))</f>
        <v>210</v>
      </c>
      <c r="BF101" s="75" t="str">
        <f aca="false">IF(SUM($BE101)&lt;=0,"",IF(SUM($BD101)&lt;=0,"ENTER VALID YIELD!",ROUND($BE101/$BD101,0)-$BE101))</f>
        <v>ENTER VALID YIELD!</v>
      </c>
      <c r="BG101" s="118" t="n">
        <v>44</v>
      </c>
      <c r="BH101" s="75" t="n">
        <f aca="false">IF(OR(SUM($AI101)&lt;=0,SUM($G101)&lt;=0),"",ROUND($G101*$AI101,0))</f>
        <v>70</v>
      </c>
      <c r="BI101" s="75" t="n">
        <f aca="false">IF(SUM($BH101)&lt;=0,"",IF(SUM($BG101)&lt;=0,"ENTER VALID YIELD!",ROUND($BH101/$BG101,0)-$BH101))</f>
        <v>-68</v>
      </c>
      <c r="BJ101" s="118" t="n">
        <v>49</v>
      </c>
      <c r="BK101" s="75" t="n">
        <f aca="false">IF(OR(SUM($AJ101)&lt;=0,SUM($G101)&lt;=0),"",ROUND($G101*$AJ101,0))</f>
        <v>147</v>
      </c>
      <c r="BL101" s="75" t="n">
        <f aca="false">IF(SUM($BK101)&lt;=0,"",IF(SUM($BJ101)&lt;=0,"ENTER VALID YIELD!",ROUND($BK101/$BJ101,0)-$BK101))</f>
        <v>-144</v>
      </c>
      <c r="BM101" s="73" t="n">
        <f aca="false">IF(SUM($G101)&lt;=0,"",$G101)</f>
        <v>7</v>
      </c>
      <c r="BN101" s="73" t="n">
        <f aca="false">IF(SUM($G101)&lt;=0,"",SUM($I101:$L101,$Q101,$S101,$AM101,$AP101,$AS101,$AV101,$AY101,$BB101,$BE101,$BH101,$BK101))</f>
        <v>-601</v>
      </c>
      <c r="BO101" s="73" t="n">
        <f aca="false">IF(AND(SUM($BN101)&lt;=0,SUM($BM101)&lt;=0),"",SUM($BN101)-SUM($BM101))</f>
        <v>-608</v>
      </c>
      <c r="BP101" s="73" t="str">
        <f aca="false">_xlfn.IFNA(INDEX(PMTCT!$AF:$AF,MATCH($E101,PMTCT!$E:$E,0)),"")</f>
        <v/>
      </c>
      <c r="BQ101" s="73" t="str">
        <f aca="false">_xlfn.IFNA(INDEX(PMTCT!$AV:$AV,MATCH($E101,PMTCT!$E:$E,0)),"")</f>
        <v/>
      </c>
      <c r="BR101" s="73" t="n">
        <f aca="false">_xlfn.IFNA(INDEX(TB!$R:$R,MATCH($E101,TB!$E:$E,0)),"")</f>
        <v>1892</v>
      </c>
      <c r="BS101" s="73" t="str">
        <f aca="false">_xlfn.IFNA(INDEX(VMMC!$AD:$AD,MATCH($E101,VMMC!$E:$E,0)),"")</f>
        <v/>
      </c>
      <c r="BT101" s="73" t="n">
        <f aca="false">IF(SUM($R101,$T101,$AN101,$AQ101,$AT101,$AW101,$AZ101,$BC101,$BF101,$BI101,$BL101,$BP101:$BS101)=0,"",SUM($R101,$T101,$AN101,$AQ101,$AT101,$AW101,$AZ101,$BC101,$BF101,$BI101,$BL101,$BP101:$BS101))</f>
        <v>1386</v>
      </c>
      <c r="BU101" s="73" t="n">
        <f aca="false">IF(OR(SUM($BT101)=0,SUM($BN101)=0),"",SUM($BT101,$BN101))</f>
        <v>785</v>
      </c>
      <c r="BV101" s="118" t="n">
        <f aca="false">IF(SUM($BU101)=0,"",SUM($BN101)/$BU101)</f>
        <v>-0.765605095541401</v>
      </c>
      <c r="BW101" s="73" t="n">
        <v>33</v>
      </c>
      <c r="BX101" s="118" t="n">
        <f aca="false">IF(OR($C101="01-04",$C101="05-09"),"",0%)</f>
        <v>0</v>
      </c>
      <c r="BY101" s="75" t="n">
        <f aca="false">IF(OR($C101="01-04",$C101="05-09",SUM($BW101)=0),"",ROUND($BW101*(1+$BX101),0))</f>
        <v>33</v>
      </c>
    </row>
    <row r="102" customFormat="false" ht="15" hidden="false" customHeight="false" outlineLevel="0" collapsed="false">
      <c r="A102" s="0" t="s">
        <v>144</v>
      </c>
      <c r="B102" s="0" t="s">
        <v>103</v>
      </c>
      <c r="C102" s="0" t="s">
        <v>86</v>
      </c>
      <c r="D102" s="0" t="s">
        <v>58</v>
      </c>
      <c r="E102" s="0" t="str">
        <f aca="false">B102&amp;"|"&amp;C102&amp;"|"&amp;D102</f>
        <v>Leribe [#SNU] [FjSmRywOWUp]|50+|Male</v>
      </c>
      <c r="F102" s="118" t="n">
        <f aca="false">_xlfn.IFNA(INDEX(Cascade!$Y:$Y,MATCH($E102,Cascade!$E:$E,0)),"")</f>
        <v>0.661500412201154</v>
      </c>
      <c r="G102" s="73" t="n">
        <f aca="false">_xlfn.IFNA(INDEX(Cascade!$BD:$BD,MATCH($E102,Cascade!$E:$E,0)),"")</f>
        <v>5</v>
      </c>
      <c r="H102" s="73" t="n">
        <f aca="false">_xlfn.IFNA(INDEX(Cascade!$BE:$BE,MATCH($E102,Cascade!$E:$E,0)),"")</f>
        <v>2</v>
      </c>
      <c r="I102" s="73" t="str">
        <f aca="false">_xlfn.IFNA(INDEX(Cascade!$BF:$BF,MATCH($E102,Cascade!$E:$E,0)),"")</f>
        <v/>
      </c>
      <c r="J102" s="73" t="str">
        <f aca="false">_xlfn.IFNA(INDEX(Cascade!$BG:$BG,MATCH($E102,Cascade!$E:$E,0)),"")</f>
        <v/>
      </c>
      <c r="K102" s="73" t="n">
        <f aca="false">_xlfn.IFNA(INDEX(Cascade!$BH:$BH,MATCH($E102,Cascade!$E:$E,0)),"")</f>
        <v>-1800</v>
      </c>
      <c r="L102" s="73" t="str">
        <f aca="false">_xlfn.IFNA(INDEX(Cascade!$BI:$BI,MATCH($E102,Cascade!$E:$E,0)),"")</f>
        <v/>
      </c>
      <c r="M102" s="73" t="n">
        <f aca="false">_xlfn.IFNA(INDEX(Cascade!$BK:$BK,MATCH($E102,Cascade!$E:$E,0)),"")</f>
        <v>1803</v>
      </c>
      <c r="N102" s="118" t="n">
        <v>41</v>
      </c>
      <c r="O102" s="118" t="n">
        <v>42</v>
      </c>
      <c r="P102" s="118" t="n">
        <v>49</v>
      </c>
      <c r="Q102" s="75" t="n">
        <f aca="false">IF(OR(SUM($H102)=0,SUM($N102)=0,SUM($O102)=0),"",ROUND($H102*$N102,0))</f>
        <v>82</v>
      </c>
      <c r="R102" s="75" t="n">
        <f aca="false">IF(OR(SUM($Q102)=0,SUM($O102)=0),"",ROUND(SUM($Q102)/SUM($O102),0)-SUM($Q102))</f>
        <v>-80</v>
      </c>
      <c r="S102" s="75" t="n">
        <f aca="false">IF(SUM($H102)=0,"",SUM($H102)-SUM($Q102))</f>
        <v>-80</v>
      </c>
      <c r="T102" s="75" t="str">
        <f aca="false">IF(OR(SUM($S102)=0,$N102&gt;1,SUM($P102)&lt;=0),"",ROUND($S102/$P102,0)-$S102)</f>
        <v/>
      </c>
      <c r="U102" s="118" t="n">
        <f aca="false">IF(SUM($G102)&lt;=0,"",SUM($Q102,$S102)/$G102)</f>
        <v>0.4</v>
      </c>
      <c r="V102" s="118" t="n">
        <f aca="false">IF(OR(SUM($Q102)=0,SUM($G102)=0),"",SUM($Q102)/SUM($G102))</f>
        <v>16.4</v>
      </c>
      <c r="W102" s="118" t="n">
        <f aca="false">IF(OR(SUM($S102)=0,SUM($G102)=0),"",SUM($S102)/SUM($G102))</f>
        <v>-16</v>
      </c>
      <c r="X102" s="118" t="str">
        <f aca="false">IF(OR(SUM($G102)=0,SUM($I102)=0),"",SUM($I102)/SUM($G102))</f>
        <v/>
      </c>
      <c r="Y102" s="118" t="str">
        <f aca="false">IF(OR(SUM($G102)=0,SUM($J102)=0),"",SUM($J102)/SUM($G102))</f>
        <v/>
      </c>
      <c r="Z102" s="118" t="n">
        <f aca="false">IF(OR(SUM($G102)=0,SUM($K102)=0),"",SUM($K102)/SUM($G102))</f>
        <v>-360</v>
      </c>
      <c r="AA102" s="118" t="str">
        <f aca="false">IF(OR(SUM($G102)=0,SUM($L102)=0),"",SUM($L102)/SUM($G102))</f>
        <v/>
      </c>
      <c r="AB102" s="118" t="n">
        <v>23</v>
      </c>
      <c r="AC102" s="118"/>
      <c r="AD102" s="118"/>
      <c r="AE102" s="118" t="n">
        <v>25</v>
      </c>
      <c r="AF102" s="118" t="n">
        <v>20</v>
      </c>
      <c r="AG102" s="118" t="n">
        <v>9</v>
      </c>
      <c r="AH102" s="118" t="n">
        <v>5</v>
      </c>
      <c r="AI102" s="118" t="n">
        <v>38</v>
      </c>
      <c r="AJ102" s="118" t="n">
        <v>49</v>
      </c>
      <c r="AK102" s="118" t="n">
        <f aca="false">IF(SUM($G102)&lt;=0,"",SUM($V102:$AJ102))</f>
        <v>-190.6</v>
      </c>
      <c r="AL102" s="118" t="n">
        <v>35</v>
      </c>
      <c r="AM102" s="75" t="n">
        <f aca="false">IF(OR(SUM($AB102)&lt;=0,SUM($G102)&lt;=0),"",ROUND($G102*$AB102,0))</f>
        <v>115</v>
      </c>
      <c r="AN102" s="75" t="n">
        <f aca="false">IF(SUM($AM102)&lt;=0,"",IF(SUM($AL102)&lt;=0,"ENTER VALID YIELD!",ROUND($AM102/$AL102,0)-$AM102))</f>
        <v>-112</v>
      </c>
      <c r="AO102" s="118"/>
      <c r="AP102" s="75" t="str">
        <f aca="false">IF(OR(SUM($AC102)&lt;=0,SUM($G102)&lt;=0),"",ROUND($G102*$AC102,0))</f>
        <v/>
      </c>
      <c r="AQ102" s="75" t="str">
        <f aca="false">IF(SUM($AP102)&lt;=0,"",IF(SUM($AO102)&lt;=0,"ENTER VALID YIELD!",ROUND($AP102/$AO102,0)-$AP102))</f>
        <v/>
      </c>
      <c r="AR102" s="118"/>
      <c r="AS102" s="75" t="str">
        <f aca="false">IF(OR(SUM($AD102)&lt;=0,SUM($G102)&lt;=0),"",ROUND($G102*$AD102,0))</f>
        <v/>
      </c>
      <c r="AT102" s="75" t="str">
        <f aca="false">IF(SUM($AS102)&lt;=0,"",IF(SUM($AR102)&lt;=0,"ENTER VALID YIELD!",ROUND($AS102/$AR102,0)-$AS102))</f>
        <v/>
      </c>
      <c r="AU102" s="118"/>
      <c r="AV102" s="75" t="n">
        <f aca="false">IF(OR(SUM($AE102)&lt;=0,SUM($G102)&lt;=0),"",ROUND($G102*$AE102,0))</f>
        <v>125</v>
      </c>
      <c r="AW102" s="75" t="str">
        <f aca="false">IF(SUM($AV102)&lt;=0,"",IF(SUM($AU102)&lt;=0,"ENTER VALID YIELD!",ROUND($AV102/$AU102,0)-$AV102))</f>
        <v>ENTER VALID YIELD!</v>
      </c>
      <c r="AX102" s="118"/>
      <c r="AY102" s="75" t="n">
        <f aca="false">IF(OR(SUM($AF102)&lt;=0,SUM($G102)&lt;=0),"",ROUND($G102*$AF102,0))</f>
        <v>100</v>
      </c>
      <c r="AZ102" s="75" t="str">
        <f aca="false">IF(SUM($AY102)&lt;=0,"",IF(SUM($AX102)&lt;=0,"ENTER VALID YIELD!",ROUND($AY102/$AX102,0)-$AY102))</f>
        <v>ENTER VALID YIELD!</v>
      </c>
      <c r="BA102" s="118" t="n">
        <v>20</v>
      </c>
      <c r="BB102" s="75" t="n">
        <f aca="false">IF(OR(SUM($AG102)&lt;=0,SUM($G102)&lt;=0),"",ROUND($G102*$AG102,0))</f>
        <v>45</v>
      </c>
      <c r="BC102" s="75" t="n">
        <f aca="false">IF(SUM($BB102)&lt;=0,"",IF(SUM($BA102)&lt;=0,"ENTER VALID YIELD!",ROUND($BB102/$BA102,0)-$BB102))</f>
        <v>-43</v>
      </c>
      <c r="BD102" s="118"/>
      <c r="BE102" s="75" t="n">
        <f aca="false">IF(OR(SUM($AH102)&lt;=0,SUM($G102)&lt;=0),"",ROUND($G102*$AH102,0))</f>
        <v>25</v>
      </c>
      <c r="BF102" s="75" t="str">
        <f aca="false">IF(SUM($BE102)&lt;=0,"",IF(SUM($BD102)&lt;=0,"ENTER VALID YIELD!",ROUND($BE102/$BD102,0)-$BE102))</f>
        <v>ENTER VALID YIELD!</v>
      </c>
      <c r="BG102" s="118" t="n">
        <v>27</v>
      </c>
      <c r="BH102" s="75" t="n">
        <f aca="false">IF(OR(SUM($AI102)&lt;=0,SUM($G102)&lt;=0),"",ROUND($G102*$AI102,0))</f>
        <v>190</v>
      </c>
      <c r="BI102" s="75" t="n">
        <f aca="false">IF(SUM($BH102)&lt;=0,"",IF(SUM($BG102)&lt;=0,"ENTER VALID YIELD!",ROUND($BH102/$BG102,0)-$BH102))</f>
        <v>-183</v>
      </c>
      <c r="BJ102" s="118" t="n">
        <v>5</v>
      </c>
      <c r="BK102" s="75" t="n">
        <f aca="false">IF(OR(SUM($AJ102)&lt;=0,SUM($G102)&lt;=0),"",ROUND($G102*$AJ102,0))</f>
        <v>245</v>
      </c>
      <c r="BL102" s="75" t="n">
        <f aca="false">IF(SUM($BK102)&lt;=0,"",IF(SUM($BJ102)&lt;=0,"ENTER VALID YIELD!",ROUND($BK102/$BJ102,0)-$BK102))</f>
        <v>-196</v>
      </c>
      <c r="BM102" s="73" t="n">
        <f aca="false">IF(SUM($G102)&lt;=0,"",$G102)</f>
        <v>5</v>
      </c>
      <c r="BN102" s="73" t="n">
        <f aca="false">IF(SUM($G102)&lt;=0,"",SUM($I102:$L102,$Q102,$S102,$AM102,$AP102,$AS102,$AV102,$AY102,$BB102,$BE102,$BH102,$BK102))</f>
        <v>-953</v>
      </c>
      <c r="BO102" s="73" t="n">
        <f aca="false">IF(AND(SUM($BN102)&lt;=0,SUM($BM102)&lt;=0),"",SUM($BN102)-SUM($BM102))</f>
        <v>-958</v>
      </c>
      <c r="BP102" s="73" t="str">
        <f aca="false">_xlfn.IFNA(INDEX(PMTCT!$AF:$AF,MATCH($E102,PMTCT!$E:$E,0)),"")</f>
        <v/>
      </c>
      <c r="BQ102" s="73" t="str">
        <f aca="false">_xlfn.IFNA(INDEX(PMTCT!$AV:$AV,MATCH($E102,PMTCT!$E:$E,0)),"")</f>
        <v/>
      </c>
      <c r="BR102" s="73" t="n">
        <f aca="false">_xlfn.IFNA(INDEX(TB!$R:$R,MATCH($E102,TB!$E:$E,0)),"")</f>
        <v>1750</v>
      </c>
      <c r="BS102" s="73" t="str">
        <f aca="false">_xlfn.IFNA(INDEX(VMMC!$AD:$AD,MATCH($E102,VMMC!$E:$E,0)),"")</f>
        <v/>
      </c>
      <c r="BT102" s="73" t="n">
        <f aca="false">IF(SUM($R102,$T102,$AN102,$AQ102,$AT102,$AW102,$AZ102,$BC102,$BF102,$BI102,$BL102,$BP102:$BS102)=0,"",SUM($R102,$T102,$AN102,$AQ102,$AT102,$AW102,$AZ102,$BC102,$BF102,$BI102,$BL102,$BP102:$BS102))</f>
        <v>1136</v>
      </c>
      <c r="BU102" s="73" t="n">
        <f aca="false">IF(OR(SUM($BT102)=0,SUM($BN102)=0),"",SUM($BT102,$BN102))</f>
        <v>183</v>
      </c>
      <c r="BV102" s="118" t="n">
        <f aca="false">IF(SUM($BU102)=0,"",SUM($BN102)/$BU102)</f>
        <v>-5.20765027322404</v>
      </c>
      <c r="BW102" s="73" t="n">
        <v>15</v>
      </c>
      <c r="BX102" s="118" t="n">
        <f aca="false">IF(OR($C102="01-04",$C102="05-09"),"",0%)</f>
        <v>0</v>
      </c>
      <c r="BY102" s="75" t="n">
        <f aca="false">IF(OR($C102="01-04",$C102="05-09",SUM($BW102)=0),"",ROUND($BW102*(1+$BX102),0))</f>
        <v>15</v>
      </c>
    </row>
    <row r="103" customFormat="false" ht="15" hidden="false" customHeight="false" outlineLevel="0" collapsed="false">
      <c r="A103" s="0" t="s">
        <v>145</v>
      </c>
      <c r="B103" s="0" t="s">
        <v>107</v>
      </c>
      <c r="C103" s="0" t="s">
        <v>54</v>
      </c>
      <c r="D103" s="0" t="s">
        <v>56</v>
      </c>
      <c r="E103" s="0" t="str">
        <f aca="false">B103&amp;"|"&amp;C103&amp;"|"&amp;D103</f>
        <v>Mafeteng [#SNU] [#DREAMS] [DiFv5WXIHM5]|01-04|Female</v>
      </c>
      <c r="F103" s="118" t="n">
        <f aca="false">_xlfn.IFNA(INDEX(Cascade!$Y:$Y,MATCH($E103,Cascade!$E:$E,0)),"")</f>
        <v>0.5</v>
      </c>
      <c r="G103" s="73" t="n">
        <f aca="false">_xlfn.IFNA(INDEX(Cascade!$BD:$BD,MATCH($E103,Cascade!$E:$E,0)),"")</f>
        <v>4</v>
      </c>
      <c r="H103" s="73" t="n">
        <f aca="false">_xlfn.IFNA(INDEX(Cascade!$BE:$BE,MATCH($E103,Cascade!$E:$E,0)),"")</f>
        <v>1</v>
      </c>
      <c r="I103" s="73" t="str">
        <f aca="false">_xlfn.IFNA(INDEX(Cascade!$BF:$BF,MATCH($E103,Cascade!$E:$E,0)),"")</f>
        <v/>
      </c>
      <c r="J103" s="73" t="str">
        <f aca="false">_xlfn.IFNA(INDEX(Cascade!$BG:$BG,MATCH($E103,Cascade!$E:$E,0)),"")</f>
        <v/>
      </c>
      <c r="K103" s="73" t="n">
        <f aca="false">_xlfn.IFNA(INDEX(Cascade!$BH:$BH,MATCH($E103,Cascade!$E:$E,0)),"")</f>
        <v>0</v>
      </c>
      <c r="L103" s="73" t="str">
        <f aca="false">_xlfn.IFNA(INDEX(Cascade!$BI:$BI,MATCH($E103,Cascade!$E:$E,0)),"")</f>
        <v/>
      </c>
      <c r="M103" s="73" t="n">
        <f aca="false">_xlfn.IFNA(INDEX(Cascade!$BK:$BK,MATCH($E103,Cascade!$E:$E,0)),"")</f>
        <v>3</v>
      </c>
      <c r="N103" s="118" t="n">
        <v>44</v>
      </c>
      <c r="O103" s="118"/>
      <c r="P103" s="118" t="n">
        <v>1</v>
      </c>
      <c r="Q103" s="75" t="str">
        <f aca="false">IF(OR(SUM($H103)=0,SUM($N103)=0,SUM($O103)=0),"",ROUND($H103*$N103,0))</f>
        <v/>
      </c>
      <c r="R103" s="75" t="str">
        <f aca="false">IF(OR(SUM($Q103)=0,SUM($O103)=0),"",ROUND(SUM($Q103)/SUM($O103),0)-SUM($Q103))</f>
        <v/>
      </c>
      <c r="S103" s="75" t="n">
        <f aca="false">IF(SUM($H103)=0,"",SUM($H103)-SUM($Q103))</f>
        <v>1</v>
      </c>
      <c r="T103" s="75" t="str">
        <f aca="false">IF(OR(SUM($S103)=0,$N103&gt;1,SUM($P103)&lt;=0),"",ROUND($S103/$P103,0)-$S103)</f>
        <v/>
      </c>
      <c r="U103" s="118" t="n">
        <f aca="false">IF(SUM($G103)&lt;=0,"",SUM($Q103,$S103)/$G103)</f>
        <v>0.25</v>
      </c>
      <c r="V103" s="118" t="str">
        <f aca="false">IF(OR(SUM($Q103)=0,SUM($G103)=0),"",SUM($Q103)/SUM($G103))</f>
        <v/>
      </c>
      <c r="W103" s="118" t="n">
        <f aca="false">IF(OR(SUM($S103)=0,SUM($G103)=0),"",SUM($S103)/SUM($G103))</f>
        <v>0.25</v>
      </c>
      <c r="X103" s="118" t="str">
        <f aca="false">IF(OR(SUM($G103)=0,SUM($I103)=0),"",SUM($I103)/SUM($G103))</f>
        <v/>
      </c>
      <c r="Y103" s="118" t="str">
        <f aca="false">IF(OR(SUM($G103)=0,SUM($J103)=0),"",SUM($J103)/SUM($G103))</f>
        <v/>
      </c>
      <c r="Z103" s="118" t="str">
        <f aca="false">IF(OR(SUM($G103)=0,SUM($K103)=0),"",SUM($K103)/SUM($G103))</f>
        <v/>
      </c>
      <c r="AA103" s="118" t="str">
        <f aca="false">IF(OR(SUM($G103)=0,SUM($L103)=0),"",SUM($L103)/SUM($G103))</f>
        <v/>
      </c>
      <c r="AB103" s="118" t="n">
        <v>39</v>
      </c>
      <c r="AC103" s="118" t="n">
        <v>19</v>
      </c>
      <c r="AD103" s="118" t="n">
        <v>18</v>
      </c>
      <c r="AE103" s="118" t="n">
        <v>0</v>
      </c>
      <c r="AF103" s="118" t="n">
        <v>1</v>
      </c>
      <c r="AG103" s="118" t="n">
        <v>45</v>
      </c>
      <c r="AH103" s="118" t="n">
        <v>1</v>
      </c>
      <c r="AI103" s="118" t="n">
        <v>20</v>
      </c>
      <c r="AJ103" s="118" t="n">
        <v>46</v>
      </c>
      <c r="AK103" s="118" t="n">
        <f aca="false">IF(SUM($G103)&lt;=0,"",SUM($V103:$AJ103))</f>
        <v>189.25</v>
      </c>
      <c r="AL103" s="118"/>
      <c r="AM103" s="75" t="n">
        <f aca="false">IF(OR(SUM($AB103)&lt;=0,SUM($G103)&lt;=0),"",ROUND($G103*$AB103,0))</f>
        <v>156</v>
      </c>
      <c r="AN103" s="75" t="str">
        <f aca="false">IF(SUM($AM103)&lt;=0,"",IF(SUM($AL103)&lt;=0,"ENTER VALID YIELD!",ROUND($AM103/$AL103,0)-$AM103))</f>
        <v>ENTER VALID YIELD!</v>
      </c>
      <c r="AO103" s="118"/>
      <c r="AP103" s="75" t="n">
        <f aca="false">IF(OR(SUM($AC103)&lt;=0,SUM($G103)&lt;=0),"",ROUND($G103*$AC103,0))</f>
        <v>76</v>
      </c>
      <c r="AQ103" s="75" t="str">
        <f aca="false">IF(SUM($AP103)&lt;=0,"",IF(SUM($AO103)&lt;=0,"ENTER VALID YIELD!",ROUND($AP103/$AO103,0)-$AP103))</f>
        <v>ENTER VALID YIELD!</v>
      </c>
      <c r="AR103" s="118"/>
      <c r="AS103" s="75" t="n">
        <f aca="false">IF(OR(SUM($AD103)&lt;=0,SUM($G103)&lt;=0),"",ROUND($G103*$AD103,0))</f>
        <v>72</v>
      </c>
      <c r="AT103" s="75" t="str">
        <f aca="false">IF(SUM($AS103)&lt;=0,"",IF(SUM($AR103)&lt;=0,"ENTER VALID YIELD!",ROUND($AS103/$AR103,0)-$AS103))</f>
        <v>ENTER VALID YIELD!</v>
      </c>
      <c r="AU103" s="118"/>
      <c r="AV103" s="75" t="str">
        <f aca="false">IF(OR(SUM($AE103)&lt;=0,SUM($G103)&lt;=0),"",ROUND($G103*$AE103,0))</f>
        <v/>
      </c>
      <c r="AW103" s="75" t="str">
        <f aca="false">IF(SUM($AV103)&lt;=0,"",IF(SUM($AU103)&lt;=0,"ENTER VALID YIELD!",ROUND($AV103/$AU103,0)-$AV103))</f>
        <v/>
      </c>
      <c r="AX103" s="118"/>
      <c r="AY103" s="75" t="n">
        <f aca="false">IF(OR(SUM($AF103)&lt;=0,SUM($G103)&lt;=0),"",ROUND($G103*$AF103,0))</f>
        <v>4</v>
      </c>
      <c r="AZ103" s="75" t="str">
        <f aca="false">IF(SUM($AY103)&lt;=0,"",IF(SUM($AX103)&lt;=0,"ENTER VALID YIELD!",ROUND($AY103/$AX103,0)-$AY103))</f>
        <v>ENTER VALID YIELD!</v>
      </c>
      <c r="BA103" s="118"/>
      <c r="BB103" s="75" t="n">
        <f aca="false">IF(OR(SUM($AG103)&lt;=0,SUM($G103)&lt;=0),"",ROUND($G103*$AG103,0))</f>
        <v>180</v>
      </c>
      <c r="BC103" s="75" t="str">
        <f aca="false">IF(SUM($BB103)&lt;=0,"",IF(SUM($BA103)&lt;=0,"ENTER VALID YIELD!",ROUND($BB103/$BA103,0)-$BB103))</f>
        <v>ENTER VALID YIELD!</v>
      </c>
      <c r="BD103" s="118"/>
      <c r="BE103" s="75" t="n">
        <f aca="false">IF(OR(SUM($AH103)&lt;=0,SUM($G103)&lt;=0),"",ROUND($G103*$AH103,0))</f>
        <v>4</v>
      </c>
      <c r="BF103" s="75" t="str">
        <f aca="false">IF(SUM($BE103)&lt;=0,"",IF(SUM($BD103)&lt;=0,"ENTER VALID YIELD!",ROUND($BE103/$BD103,0)-$BE103))</f>
        <v>ENTER VALID YIELD!</v>
      </c>
      <c r="BG103" s="118"/>
      <c r="BH103" s="75" t="n">
        <f aca="false">IF(OR(SUM($AI103)&lt;=0,SUM($G103)&lt;=0),"",ROUND($G103*$AI103,0))</f>
        <v>80</v>
      </c>
      <c r="BI103" s="75" t="str">
        <f aca="false">IF(SUM($BH103)&lt;=0,"",IF(SUM($BG103)&lt;=0,"ENTER VALID YIELD!",ROUND($BH103/$BG103,0)-$BH103))</f>
        <v>ENTER VALID YIELD!</v>
      </c>
      <c r="BJ103" s="118"/>
      <c r="BK103" s="75" t="n">
        <f aca="false">IF(OR(SUM($AJ103)&lt;=0,SUM($G103)&lt;=0),"",ROUND($G103*$AJ103,0))</f>
        <v>184</v>
      </c>
      <c r="BL103" s="75" t="str">
        <f aca="false">IF(SUM($BK103)&lt;=0,"",IF(SUM($BJ103)&lt;=0,"ENTER VALID YIELD!",ROUND($BK103/$BJ103,0)-$BK103))</f>
        <v>ENTER VALID YIELD!</v>
      </c>
      <c r="BM103" s="73" t="n">
        <f aca="false">IF(SUM($G103)&lt;=0,"",$G103)</f>
        <v>4</v>
      </c>
      <c r="BN103" s="73" t="n">
        <f aca="false">IF(SUM($G103)&lt;=0,"",SUM($I103:$L103,$Q103,$S103,$AM103,$AP103,$AS103,$AV103,$AY103,$BB103,$BE103,$BH103,$BK103))</f>
        <v>757</v>
      </c>
      <c r="BO103" s="73" t="n">
        <f aca="false">IF(AND(SUM($BN103)&lt;=0,SUM($BM103)&lt;=0),"",SUM($BN103)-SUM($BM103))</f>
        <v>753</v>
      </c>
      <c r="BP103" s="73" t="str">
        <f aca="false">_xlfn.IFNA(INDEX(PMTCT!$AF:$AF,MATCH($E103,PMTCT!$E:$E,0)),"")</f>
        <v/>
      </c>
      <c r="BQ103" s="73" t="str">
        <f aca="false">_xlfn.IFNA(INDEX(PMTCT!$AV:$AV,MATCH($E103,PMTCT!$E:$E,0)),"")</f>
        <v/>
      </c>
      <c r="BR103" s="73" t="n">
        <f aca="false">_xlfn.IFNA(INDEX(TB!$R:$R,MATCH($E103,TB!$E:$E,0)),"")</f>
        <v>43</v>
      </c>
      <c r="BS103" s="73" t="str">
        <f aca="false">_xlfn.IFNA(INDEX(VMMC!$AD:$AD,MATCH($E103,VMMC!$E:$E,0)),"")</f>
        <v/>
      </c>
      <c r="BT103" s="73" t="n">
        <f aca="false">IF(SUM($R103,$T103,$AN103,$AQ103,$AT103,$AW103,$AZ103,$BC103,$BF103,$BI103,$BL103,$BP103:$BS103)=0,"",SUM($R103,$T103,$AN103,$AQ103,$AT103,$AW103,$AZ103,$BC103,$BF103,$BI103,$BL103,$BP103:$BS103))</f>
        <v>43</v>
      </c>
      <c r="BU103" s="73" t="n">
        <f aca="false">IF(OR(SUM($BT103)=0,SUM($BN103)=0),"",SUM($BT103,$BN103))</f>
        <v>800</v>
      </c>
      <c r="BV103" s="118" t="n">
        <f aca="false">IF(SUM($BU103)=0,"",SUM($BN103)/$BU103)</f>
        <v>0.94625</v>
      </c>
      <c r="BW103" s="73"/>
      <c r="BX103" s="118" t="str">
        <f aca="false">IF(OR($C103="01-04",$C103="05-09"),"",0%)</f>
        <v/>
      </c>
      <c r="BY103" s="75" t="str">
        <f aca="false">IF(OR($C103="01-04",$C103="05-09",SUM($BW103)=0),"",ROUND($BW103*(1+$BX103),0))</f>
        <v/>
      </c>
    </row>
    <row r="104" customFormat="false" ht="15" hidden="false" customHeight="false" outlineLevel="0" collapsed="false">
      <c r="A104" s="0" t="s">
        <v>145</v>
      </c>
      <c r="B104" s="0" t="s">
        <v>107</v>
      </c>
      <c r="C104" s="0" t="s">
        <v>54</v>
      </c>
      <c r="D104" s="0" t="s">
        <v>58</v>
      </c>
      <c r="E104" s="0" t="str">
        <f aca="false">B104&amp;"|"&amp;C104&amp;"|"&amp;D104</f>
        <v>Mafeteng [#SNU] [#DREAMS] [DiFv5WXIHM5]|01-04|Male</v>
      </c>
      <c r="F104" s="118" t="n">
        <f aca="false">_xlfn.IFNA(INDEX(Cascade!$Y:$Y,MATCH($E104,Cascade!$E:$E,0)),"")</f>
        <v>0.491228070175439</v>
      </c>
      <c r="G104" s="73" t="n">
        <f aca="false">_xlfn.IFNA(INDEX(Cascade!$BD:$BD,MATCH($E104,Cascade!$E:$E,0)),"")</f>
        <v>14</v>
      </c>
      <c r="H104" s="73" t="n">
        <f aca="false">_xlfn.IFNA(INDEX(Cascade!$BE:$BE,MATCH($E104,Cascade!$E:$E,0)),"")</f>
        <v>4</v>
      </c>
      <c r="I104" s="73" t="str">
        <f aca="false">_xlfn.IFNA(INDEX(Cascade!$BF:$BF,MATCH($E104,Cascade!$E:$E,0)),"")</f>
        <v/>
      </c>
      <c r="J104" s="73" t="str">
        <f aca="false">_xlfn.IFNA(INDEX(Cascade!$BG:$BG,MATCH($E104,Cascade!$E:$E,0)),"")</f>
        <v/>
      </c>
      <c r="K104" s="73" t="n">
        <f aca="false">_xlfn.IFNA(INDEX(Cascade!$BH:$BH,MATCH($E104,Cascade!$E:$E,0)),"")</f>
        <v>0</v>
      </c>
      <c r="L104" s="73" t="str">
        <f aca="false">_xlfn.IFNA(INDEX(Cascade!$BI:$BI,MATCH($E104,Cascade!$E:$E,0)),"")</f>
        <v/>
      </c>
      <c r="M104" s="73" t="n">
        <f aca="false">_xlfn.IFNA(INDEX(Cascade!$BK:$BK,MATCH($E104,Cascade!$E:$E,0)),"")</f>
        <v>10</v>
      </c>
      <c r="N104" s="118" t="n">
        <v>25</v>
      </c>
      <c r="O104" s="118"/>
      <c r="P104" s="118" t="n">
        <v>27</v>
      </c>
      <c r="Q104" s="75" t="str">
        <f aca="false">IF(OR(SUM($H104)=0,SUM($N104)=0,SUM($O104)=0),"",ROUND($H104*$N104,0))</f>
        <v/>
      </c>
      <c r="R104" s="75" t="str">
        <f aca="false">IF(OR(SUM($Q104)=0,SUM($O104)=0),"",ROUND(SUM($Q104)/SUM($O104),0)-SUM($Q104))</f>
        <v/>
      </c>
      <c r="S104" s="75" t="n">
        <f aca="false">IF(SUM($H104)=0,"",SUM($H104)-SUM($Q104))</f>
        <v>4</v>
      </c>
      <c r="T104" s="75" t="str">
        <f aca="false">IF(OR(SUM($S104)=0,$N104&gt;1,SUM($P104)&lt;=0),"",ROUND($S104/$P104,0)-$S104)</f>
        <v/>
      </c>
      <c r="U104" s="118" t="n">
        <f aca="false">IF(SUM($G104)&lt;=0,"",SUM($Q104,$S104)/$G104)</f>
        <v>0.285714285714286</v>
      </c>
      <c r="V104" s="118" t="str">
        <f aca="false">IF(OR(SUM($Q104)=0,SUM($G104)=0),"",SUM($Q104)/SUM($G104))</f>
        <v/>
      </c>
      <c r="W104" s="118" t="n">
        <f aca="false">IF(OR(SUM($S104)=0,SUM($G104)=0),"",SUM($S104)/SUM($G104))</f>
        <v>0.285714285714286</v>
      </c>
      <c r="X104" s="118" t="str">
        <f aca="false">IF(OR(SUM($G104)=0,SUM($I104)=0),"",SUM($I104)/SUM($G104))</f>
        <v/>
      </c>
      <c r="Y104" s="118" t="str">
        <f aca="false">IF(OR(SUM($G104)=0,SUM($J104)=0),"",SUM($J104)/SUM($G104))</f>
        <v/>
      </c>
      <c r="Z104" s="118" t="str">
        <f aca="false">IF(OR(SUM($G104)=0,SUM($K104)=0),"",SUM($K104)/SUM($G104))</f>
        <v/>
      </c>
      <c r="AA104" s="118" t="str">
        <f aca="false">IF(OR(SUM($G104)=0,SUM($L104)=0),"",SUM($L104)/SUM($G104))</f>
        <v/>
      </c>
      <c r="AB104" s="118" t="n">
        <v>29</v>
      </c>
      <c r="AC104" s="118" t="n">
        <v>29</v>
      </c>
      <c r="AD104" s="118" t="n">
        <v>27</v>
      </c>
      <c r="AE104" s="118" t="n">
        <v>27</v>
      </c>
      <c r="AF104" s="118" t="n">
        <v>42</v>
      </c>
      <c r="AG104" s="118" t="n">
        <v>10</v>
      </c>
      <c r="AH104" s="118" t="n">
        <v>22</v>
      </c>
      <c r="AI104" s="118" t="n">
        <v>14</v>
      </c>
      <c r="AJ104" s="118" t="n">
        <v>11</v>
      </c>
      <c r="AK104" s="118" t="n">
        <f aca="false">IF(SUM($G104)&lt;=0,"",SUM($V104:$AJ104))</f>
        <v>211.285714285714</v>
      </c>
      <c r="AL104" s="118"/>
      <c r="AM104" s="75" t="n">
        <f aca="false">IF(OR(SUM($AB104)&lt;=0,SUM($G104)&lt;=0),"",ROUND($G104*$AB104,0))</f>
        <v>406</v>
      </c>
      <c r="AN104" s="75" t="str">
        <f aca="false">IF(SUM($AM104)&lt;=0,"",IF(SUM($AL104)&lt;=0,"ENTER VALID YIELD!",ROUND($AM104/$AL104,0)-$AM104))</f>
        <v>ENTER VALID YIELD!</v>
      </c>
      <c r="AO104" s="118"/>
      <c r="AP104" s="75" t="n">
        <f aca="false">IF(OR(SUM($AC104)&lt;=0,SUM($G104)&lt;=0),"",ROUND($G104*$AC104,0))</f>
        <v>406</v>
      </c>
      <c r="AQ104" s="75" t="str">
        <f aca="false">IF(SUM($AP104)&lt;=0,"",IF(SUM($AO104)&lt;=0,"ENTER VALID YIELD!",ROUND($AP104/$AO104,0)-$AP104))</f>
        <v>ENTER VALID YIELD!</v>
      </c>
      <c r="AR104" s="118"/>
      <c r="AS104" s="75" t="n">
        <f aca="false">IF(OR(SUM($AD104)&lt;=0,SUM($G104)&lt;=0),"",ROUND($G104*$AD104,0))</f>
        <v>378</v>
      </c>
      <c r="AT104" s="75" t="str">
        <f aca="false">IF(SUM($AS104)&lt;=0,"",IF(SUM($AR104)&lt;=0,"ENTER VALID YIELD!",ROUND($AS104/$AR104,0)-$AS104))</f>
        <v>ENTER VALID YIELD!</v>
      </c>
      <c r="AU104" s="118"/>
      <c r="AV104" s="75" t="n">
        <f aca="false">IF(OR(SUM($AE104)&lt;=0,SUM($G104)&lt;=0),"",ROUND($G104*$AE104,0))</f>
        <v>378</v>
      </c>
      <c r="AW104" s="75" t="str">
        <f aca="false">IF(SUM($AV104)&lt;=0,"",IF(SUM($AU104)&lt;=0,"ENTER VALID YIELD!",ROUND($AV104/$AU104,0)-$AV104))</f>
        <v>ENTER VALID YIELD!</v>
      </c>
      <c r="AX104" s="118"/>
      <c r="AY104" s="75" t="n">
        <f aca="false">IF(OR(SUM($AF104)&lt;=0,SUM($G104)&lt;=0),"",ROUND($G104*$AF104,0))</f>
        <v>588</v>
      </c>
      <c r="AZ104" s="75" t="str">
        <f aca="false">IF(SUM($AY104)&lt;=0,"",IF(SUM($AX104)&lt;=0,"ENTER VALID YIELD!",ROUND($AY104/$AX104,0)-$AY104))</f>
        <v>ENTER VALID YIELD!</v>
      </c>
      <c r="BA104" s="118" t="n">
        <v>28</v>
      </c>
      <c r="BB104" s="75" t="n">
        <f aca="false">IF(OR(SUM($AG104)&lt;=0,SUM($G104)&lt;=0),"",ROUND($G104*$AG104,0))</f>
        <v>140</v>
      </c>
      <c r="BC104" s="75" t="n">
        <f aca="false">IF(SUM($BB104)&lt;=0,"",IF(SUM($BA104)&lt;=0,"ENTER VALID YIELD!",ROUND($BB104/$BA104,0)-$BB104))</f>
        <v>-135</v>
      </c>
      <c r="BD104" s="118"/>
      <c r="BE104" s="75" t="n">
        <f aca="false">IF(OR(SUM($AH104)&lt;=0,SUM($G104)&lt;=0),"",ROUND($G104*$AH104,0))</f>
        <v>308</v>
      </c>
      <c r="BF104" s="75" t="str">
        <f aca="false">IF(SUM($BE104)&lt;=0,"",IF(SUM($BD104)&lt;=0,"ENTER VALID YIELD!",ROUND($BE104/$BD104,0)-$BE104))</f>
        <v>ENTER VALID YIELD!</v>
      </c>
      <c r="BG104" s="118"/>
      <c r="BH104" s="75" t="n">
        <f aca="false">IF(OR(SUM($AI104)&lt;=0,SUM($G104)&lt;=0),"",ROUND($G104*$AI104,0))</f>
        <v>196</v>
      </c>
      <c r="BI104" s="75" t="str">
        <f aca="false">IF(SUM($BH104)&lt;=0,"",IF(SUM($BG104)&lt;=0,"ENTER VALID YIELD!",ROUND($BH104/$BG104,0)-$BH104))</f>
        <v>ENTER VALID YIELD!</v>
      </c>
      <c r="BJ104" s="118"/>
      <c r="BK104" s="75" t="n">
        <f aca="false">IF(OR(SUM($AJ104)&lt;=0,SUM($G104)&lt;=0),"",ROUND($G104*$AJ104,0))</f>
        <v>154</v>
      </c>
      <c r="BL104" s="75" t="str">
        <f aca="false">IF(SUM($BK104)&lt;=0,"",IF(SUM($BJ104)&lt;=0,"ENTER VALID YIELD!",ROUND($BK104/$BJ104,0)-$BK104))</f>
        <v>ENTER VALID YIELD!</v>
      </c>
      <c r="BM104" s="73" t="n">
        <f aca="false">IF(SUM($G104)&lt;=0,"",$G104)</f>
        <v>14</v>
      </c>
      <c r="BN104" s="73" t="n">
        <f aca="false">IF(SUM($G104)&lt;=0,"",SUM($I104:$L104,$Q104,$S104,$AM104,$AP104,$AS104,$AV104,$AY104,$BB104,$BE104,$BH104,$BK104))</f>
        <v>2958</v>
      </c>
      <c r="BO104" s="73" t="n">
        <f aca="false">IF(AND(SUM($BN104)&lt;=0,SUM($BM104)&lt;=0),"",SUM($BN104)-SUM($BM104))</f>
        <v>2944</v>
      </c>
      <c r="BP104" s="73" t="str">
        <f aca="false">_xlfn.IFNA(INDEX(PMTCT!$AF:$AF,MATCH($E104,PMTCT!$E:$E,0)),"")</f>
        <v/>
      </c>
      <c r="BQ104" s="73" t="str">
        <f aca="false">_xlfn.IFNA(INDEX(PMTCT!$AV:$AV,MATCH($E104,PMTCT!$E:$E,0)),"")</f>
        <v/>
      </c>
      <c r="BR104" s="73" t="n">
        <f aca="false">_xlfn.IFNA(INDEX(TB!$R:$R,MATCH($E104,TB!$E:$E,0)),"")</f>
        <v>1</v>
      </c>
      <c r="BS104" s="73" t="str">
        <f aca="false">_xlfn.IFNA(INDEX(VMMC!$AD:$AD,MATCH($E104,VMMC!$E:$E,0)),"")</f>
        <v/>
      </c>
      <c r="BT104" s="73" t="n">
        <f aca="false">IF(SUM($R104,$T104,$AN104,$AQ104,$AT104,$AW104,$AZ104,$BC104,$BF104,$BI104,$BL104,$BP104:$BS104)=0,"",SUM($R104,$T104,$AN104,$AQ104,$AT104,$AW104,$AZ104,$BC104,$BF104,$BI104,$BL104,$BP104:$BS104))</f>
        <v>-134</v>
      </c>
      <c r="BU104" s="73" t="n">
        <f aca="false">IF(OR(SUM($BT104)=0,SUM($BN104)=0),"",SUM($BT104,$BN104))</f>
        <v>2824</v>
      </c>
      <c r="BV104" s="118" t="n">
        <f aca="false">IF(SUM($BU104)=0,"",SUM($BN104)/$BU104)</f>
        <v>1.04745042492918</v>
      </c>
      <c r="BW104" s="73"/>
      <c r="BX104" s="118" t="str">
        <f aca="false">IF(OR($C104="01-04",$C104="05-09"),"",0%)</f>
        <v/>
      </c>
      <c r="BY104" s="75" t="str">
        <f aca="false">IF(OR($C104="01-04",$C104="05-09",SUM($BW104)=0),"",ROUND($BW104*(1+$BX104),0))</f>
        <v/>
      </c>
    </row>
    <row r="105" customFormat="false" ht="15" hidden="false" customHeight="false" outlineLevel="0" collapsed="false">
      <c r="A105" s="0" t="s">
        <v>145</v>
      </c>
      <c r="B105" s="0" t="s">
        <v>107</v>
      </c>
      <c r="C105" s="0" t="s">
        <v>83</v>
      </c>
      <c r="D105" s="0" t="s">
        <v>56</v>
      </c>
      <c r="E105" s="0" t="str">
        <f aca="false">B105&amp;"|"&amp;C105&amp;"|"&amp;D105</f>
        <v>Mafeteng [#SNU] [#DREAMS] [DiFv5WXIHM5]|05-09|Female</v>
      </c>
      <c r="F105" s="118" t="n">
        <f aca="false">_xlfn.IFNA(INDEX(Cascade!$Y:$Y,MATCH($E105,Cascade!$E:$E,0)),"")</f>
        <v>0.623376623376623</v>
      </c>
      <c r="G105" s="73" t="n">
        <f aca="false">_xlfn.IFNA(INDEX(Cascade!$BD:$BD,MATCH($E105,Cascade!$E:$E,0)),"")</f>
        <v>9</v>
      </c>
      <c r="H105" s="73" t="n">
        <f aca="false">_xlfn.IFNA(INDEX(Cascade!$BE:$BE,MATCH($E105,Cascade!$E:$E,0)),"")</f>
        <v>3</v>
      </c>
      <c r="I105" s="73" t="str">
        <f aca="false">_xlfn.IFNA(INDEX(Cascade!$BF:$BF,MATCH($E105,Cascade!$E:$E,0)),"")</f>
        <v/>
      </c>
      <c r="J105" s="73" t="str">
        <f aca="false">_xlfn.IFNA(INDEX(Cascade!$BG:$BG,MATCH($E105,Cascade!$E:$E,0)),"")</f>
        <v/>
      </c>
      <c r="K105" s="73" t="n">
        <f aca="false">_xlfn.IFNA(INDEX(Cascade!$BH:$BH,MATCH($E105,Cascade!$E:$E,0)),"")</f>
        <v>-37324</v>
      </c>
      <c r="L105" s="73" t="str">
        <f aca="false">_xlfn.IFNA(INDEX(Cascade!$BI:$BI,MATCH($E105,Cascade!$E:$E,0)),"")</f>
        <v/>
      </c>
      <c r="M105" s="73" t="n">
        <f aca="false">_xlfn.IFNA(INDEX(Cascade!$BK:$BK,MATCH($E105,Cascade!$E:$E,0)),"")</f>
        <v>37330</v>
      </c>
      <c r="N105" s="118" t="n">
        <v>39</v>
      </c>
      <c r="O105" s="118"/>
      <c r="P105" s="118" t="n">
        <v>29</v>
      </c>
      <c r="Q105" s="75" t="str">
        <f aca="false">IF(OR(SUM($H105)=0,SUM($N105)=0,SUM($O105)=0),"",ROUND($H105*$N105,0))</f>
        <v/>
      </c>
      <c r="R105" s="75" t="str">
        <f aca="false">IF(OR(SUM($Q105)=0,SUM($O105)=0),"",ROUND(SUM($Q105)/SUM($O105),0)-SUM($Q105))</f>
        <v/>
      </c>
      <c r="S105" s="75" t="n">
        <f aca="false">IF(SUM($H105)=0,"",SUM($H105)-SUM($Q105))</f>
        <v>3</v>
      </c>
      <c r="T105" s="75" t="str">
        <f aca="false">IF(OR(SUM($S105)=0,$N105&gt;1,SUM($P105)&lt;=0),"",ROUND($S105/$P105,0)-$S105)</f>
        <v/>
      </c>
      <c r="U105" s="118" t="n">
        <f aca="false">IF(SUM($G105)&lt;=0,"",SUM($Q105,$S105)/$G105)</f>
        <v>0.333333333333333</v>
      </c>
      <c r="V105" s="118" t="str">
        <f aca="false">IF(OR(SUM($Q105)=0,SUM($G105)=0),"",SUM($Q105)/SUM($G105))</f>
        <v/>
      </c>
      <c r="W105" s="118" t="n">
        <f aca="false">IF(OR(SUM($S105)=0,SUM($G105)=0),"",SUM($S105)/SUM($G105))</f>
        <v>0.333333333333333</v>
      </c>
      <c r="X105" s="118" t="str">
        <f aca="false">IF(OR(SUM($G105)=0,SUM($I105)=0),"",SUM($I105)/SUM($G105))</f>
        <v/>
      </c>
      <c r="Y105" s="118" t="str">
        <f aca="false">IF(OR(SUM($G105)=0,SUM($J105)=0),"",SUM($J105)/SUM($G105))</f>
        <v/>
      </c>
      <c r="Z105" s="118" t="n">
        <f aca="false">IF(OR(SUM($G105)=0,SUM($K105)=0),"",SUM($K105)/SUM($G105))</f>
        <v>-4147.11111111111</v>
      </c>
      <c r="AA105" s="118" t="str">
        <f aca="false">IF(OR(SUM($G105)=0,SUM($L105)=0),"",SUM($L105)/SUM($G105))</f>
        <v/>
      </c>
      <c r="AB105" s="118" t="n">
        <v>25</v>
      </c>
      <c r="AC105" s="118"/>
      <c r="AD105" s="118"/>
      <c r="AE105" s="118" t="n">
        <v>13</v>
      </c>
      <c r="AF105" s="118" t="n">
        <v>14</v>
      </c>
      <c r="AG105" s="118" t="n">
        <v>46</v>
      </c>
      <c r="AH105" s="118" t="n">
        <v>10</v>
      </c>
      <c r="AI105" s="118" t="n">
        <v>31</v>
      </c>
      <c r="AJ105" s="118" t="n">
        <v>22</v>
      </c>
      <c r="AK105" s="118" t="n">
        <f aca="false">IF(SUM($G105)&lt;=0,"",SUM($V105:$AJ105))</f>
        <v>-3985.77777777778</v>
      </c>
      <c r="AL105" s="118"/>
      <c r="AM105" s="75" t="n">
        <f aca="false">IF(OR(SUM($AB105)&lt;=0,SUM($G105)&lt;=0),"",ROUND($G105*$AB105,0))</f>
        <v>225</v>
      </c>
      <c r="AN105" s="75" t="str">
        <f aca="false">IF(SUM($AM105)&lt;=0,"",IF(SUM($AL105)&lt;=0,"ENTER VALID YIELD!",ROUND($AM105/$AL105,0)-$AM105))</f>
        <v>ENTER VALID YIELD!</v>
      </c>
      <c r="AO105" s="118"/>
      <c r="AP105" s="75" t="str">
        <f aca="false">IF(OR(SUM($AC105)&lt;=0,SUM($G105)&lt;=0),"",ROUND($G105*$AC105,0))</f>
        <v/>
      </c>
      <c r="AQ105" s="75" t="str">
        <f aca="false">IF(SUM($AP105)&lt;=0,"",IF(SUM($AO105)&lt;=0,"ENTER VALID YIELD!",ROUND($AP105/$AO105,0)-$AP105))</f>
        <v/>
      </c>
      <c r="AR105" s="118"/>
      <c r="AS105" s="75" t="str">
        <f aca="false">IF(OR(SUM($AD105)&lt;=0,SUM($G105)&lt;=0),"",ROUND($G105*$AD105,0))</f>
        <v/>
      </c>
      <c r="AT105" s="75" t="str">
        <f aca="false">IF(SUM($AS105)&lt;=0,"",IF(SUM($AR105)&lt;=0,"ENTER VALID YIELD!",ROUND($AS105/$AR105,0)-$AS105))</f>
        <v/>
      </c>
      <c r="AU105" s="118"/>
      <c r="AV105" s="75" t="n">
        <f aca="false">IF(OR(SUM($AE105)&lt;=0,SUM($G105)&lt;=0),"",ROUND($G105*$AE105,0))</f>
        <v>117</v>
      </c>
      <c r="AW105" s="75" t="str">
        <f aca="false">IF(SUM($AV105)&lt;=0,"",IF(SUM($AU105)&lt;=0,"ENTER VALID YIELD!",ROUND($AV105/$AU105,0)-$AV105))</f>
        <v>ENTER VALID YIELD!</v>
      </c>
      <c r="AX105" s="118"/>
      <c r="AY105" s="75" t="n">
        <f aca="false">IF(OR(SUM($AF105)&lt;=0,SUM($G105)&lt;=0),"",ROUND($G105*$AF105,0))</f>
        <v>126</v>
      </c>
      <c r="AZ105" s="75" t="str">
        <f aca="false">IF(SUM($AY105)&lt;=0,"",IF(SUM($AX105)&lt;=0,"ENTER VALID YIELD!",ROUND($AY105/$AX105,0)-$AY105))</f>
        <v>ENTER VALID YIELD!</v>
      </c>
      <c r="BA105" s="118" t="n">
        <v>44</v>
      </c>
      <c r="BB105" s="75" t="n">
        <f aca="false">IF(OR(SUM($AG105)&lt;=0,SUM($G105)&lt;=0),"",ROUND($G105*$AG105,0))</f>
        <v>414</v>
      </c>
      <c r="BC105" s="75" t="n">
        <f aca="false">IF(SUM($BB105)&lt;=0,"",IF(SUM($BA105)&lt;=0,"ENTER VALID YIELD!",ROUND($BB105/$BA105,0)-$BB105))</f>
        <v>-405</v>
      </c>
      <c r="BD105" s="118"/>
      <c r="BE105" s="75" t="n">
        <f aca="false">IF(OR(SUM($AH105)&lt;=0,SUM($G105)&lt;=0),"",ROUND($G105*$AH105,0))</f>
        <v>90</v>
      </c>
      <c r="BF105" s="75" t="str">
        <f aca="false">IF(SUM($BE105)&lt;=0,"",IF(SUM($BD105)&lt;=0,"ENTER VALID YIELD!",ROUND($BE105/$BD105,0)-$BE105))</f>
        <v>ENTER VALID YIELD!</v>
      </c>
      <c r="BG105" s="118"/>
      <c r="BH105" s="75" t="n">
        <f aca="false">IF(OR(SUM($AI105)&lt;=0,SUM($G105)&lt;=0),"",ROUND($G105*$AI105,0))</f>
        <v>279</v>
      </c>
      <c r="BI105" s="75" t="str">
        <f aca="false">IF(SUM($BH105)&lt;=0,"",IF(SUM($BG105)&lt;=0,"ENTER VALID YIELD!",ROUND($BH105/$BG105,0)-$BH105))</f>
        <v>ENTER VALID YIELD!</v>
      </c>
      <c r="BJ105" s="118"/>
      <c r="BK105" s="75" t="n">
        <f aca="false">IF(OR(SUM($AJ105)&lt;=0,SUM($G105)&lt;=0),"",ROUND($G105*$AJ105,0))</f>
        <v>198</v>
      </c>
      <c r="BL105" s="75" t="str">
        <f aca="false">IF(SUM($BK105)&lt;=0,"",IF(SUM($BJ105)&lt;=0,"ENTER VALID YIELD!",ROUND($BK105/$BJ105,0)-$BK105))</f>
        <v>ENTER VALID YIELD!</v>
      </c>
      <c r="BM105" s="73" t="n">
        <f aca="false">IF(SUM($G105)&lt;=0,"",$G105)</f>
        <v>9</v>
      </c>
      <c r="BN105" s="73" t="n">
        <f aca="false">IF(SUM($G105)&lt;=0,"",SUM($I105:$L105,$Q105,$S105,$AM105,$AP105,$AS105,$AV105,$AY105,$BB105,$BE105,$BH105,$BK105))</f>
        <v>-35872</v>
      </c>
      <c r="BO105" s="73" t="n">
        <f aca="false">IF(AND(SUM($BN105)&lt;=0,SUM($BM105)&lt;=0),"",SUM($BN105)-SUM($BM105))</f>
        <v>-35881</v>
      </c>
      <c r="BP105" s="73" t="str">
        <f aca="false">_xlfn.IFNA(INDEX(PMTCT!$AF:$AF,MATCH($E105,PMTCT!$E:$E,0)),"")</f>
        <v/>
      </c>
      <c r="BQ105" s="73" t="str">
        <f aca="false">_xlfn.IFNA(INDEX(PMTCT!$AV:$AV,MATCH($E105,PMTCT!$E:$E,0)),"")</f>
        <v/>
      </c>
      <c r="BR105" s="73" t="n">
        <f aca="false">_xlfn.IFNA(INDEX(TB!$R:$R,MATCH($E105,TB!$E:$E,0)),"")</f>
        <v>36120</v>
      </c>
      <c r="BS105" s="73" t="str">
        <f aca="false">_xlfn.IFNA(INDEX(VMMC!$AD:$AD,MATCH($E105,VMMC!$E:$E,0)),"")</f>
        <v/>
      </c>
      <c r="BT105" s="73" t="n">
        <f aca="false">IF(SUM($R105,$T105,$AN105,$AQ105,$AT105,$AW105,$AZ105,$BC105,$BF105,$BI105,$BL105,$BP105:$BS105)=0,"",SUM($R105,$T105,$AN105,$AQ105,$AT105,$AW105,$AZ105,$BC105,$BF105,$BI105,$BL105,$BP105:$BS105))</f>
        <v>35715</v>
      </c>
      <c r="BU105" s="73" t="n">
        <f aca="false">IF(OR(SUM($BT105)=0,SUM($BN105)=0),"",SUM($BT105,$BN105))</f>
        <v>-157</v>
      </c>
      <c r="BV105" s="118" t="n">
        <f aca="false">IF(SUM($BU105)=0,"",SUM($BN105)/$BU105)</f>
        <v>228.484076433121</v>
      </c>
      <c r="BW105" s="73"/>
      <c r="BX105" s="118" t="str">
        <f aca="false">IF(OR($C105="01-04",$C105="05-09"),"",0%)</f>
        <v/>
      </c>
      <c r="BY105" s="75" t="str">
        <f aca="false">IF(OR($C105="01-04",$C105="05-09",SUM($BW105)=0),"",ROUND($BW105*(1+$BX105),0))</f>
        <v/>
      </c>
    </row>
    <row r="106" customFormat="false" ht="15" hidden="false" customHeight="false" outlineLevel="0" collapsed="false">
      <c r="A106" s="0" t="s">
        <v>145</v>
      </c>
      <c r="B106" s="0" t="s">
        <v>107</v>
      </c>
      <c r="C106" s="0" t="s">
        <v>83</v>
      </c>
      <c r="D106" s="0" t="s">
        <v>58</v>
      </c>
      <c r="E106" s="0" t="str">
        <f aca="false">B106&amp;"|"&amp;C106&amp;"|"&amp;D106</f>
        <v>Mafeteng [#SNU] [#DREAMS] [DiFv5WXIHM5]|05-09|Male</v>
      </c>
      <c r="F106" s="118" t="n">
        <f aca="false">_xlfn.IFNA(INDEX(Cascade!$Y:$Y,MATCH($E106,Cascade!$E:$E,0)),"")</f>
        <v>0.657894736842105</v>
      </c>
      <c r="G106" s="73" t="n">
        <f aca="false">_xlfn.IFNA(INDEX(Cascade!$BD:$BD,MATCH($E106,Cascade!$E:$E,0)),"")</f>
        <v>1</v>
      </c>
      <c r="H106" s="73" t="n">
        <f aca="false">_xlfn.IFNA(INDEX(Cascade!$BE:$BE,MATCH($E106,Cascade!$E:$E,0)),"")</f>
        <v>0</v>
      </c>
      <c r="I106" s="73" t="str">
        <f aca="false">_xlfn.IFNA(INDEX(Cascade!$BF:$BF,MATCH($E106,Cascade!$E:$E,0)),"")</f>
        <v/>
      </c>
      <c r="J106" s="73" t="str">
        <f aca="false">_xlfn.IFNA(INDEX(Cascade!$BG:$BG,MATCH($E106,Cascade!$E:$E,0)),"")</f>
        <v/>
      </c>
      <c r="K106" s="73" t="n">
        <f aca="false">_xlfn.IFNA(INDEX(Cascade!$BH:$BH,MATCH($E106,Cascade!$E:$E,0)),"")</f>
        <v>-0</v>
      </c>
      <c r="L106" s="73" t="str">
        <f aca="false">_xlfn.IFNA(INDEX(Cascade!$BI:$BI,MATCH($E106,Cascade!$E:$E,0)),"")</f>
        <v/>
      </c>
      <c r="M106" s="73" t="n">
        <f aca="false">_xlfn.IFNA(INDEX(Cascade!$BK:$BK,MATCH($E106,Cascade!$E:$E,0)),"")</f>
        <v>1</v>
      </c>
      <c r="N106" s="118" t="n">
        <v>21</v>
      </c>
      <c r="O106" s="118"/>
      <c r="P106" s="118" t="n">
        <v>15</v>
      </c>
      <c r="Q106" s="75" t="str">
        <f aca="false">IF(OR(SUM($H106)=0,SUM($N106)=0,SUM($O106)=0),"",ROUND($H106*$N106,0))</f>
        <v/>
      </c>
      <c r="R106" s="75" t="str">
        <f aca="false">IF(OR(SUM($Q106)=0,SUM($O106)=0),"",ROUND(SUM($Q106)/SUM($O106),0)-SUM($Q106))</f>
        <v/>
      </c>
      <c r="S106" s="75" t="str">
        <f aca="false">IF(SUM($H106)=0,"",SUM($H106)-SUM($Q106))</f>
        <v/>
      </c>
      <c r="T106" s="75" t="str">
        <f aca="false">IF(OR(SUM($S106)=0,$N106&gt;1,SUM($P106)&lt;=0),"",ROUND($S106/$P106,0)-$S106)</f>
        <v/>
      </c>
      <c r="U106" s="118" t="n">
        <f aca="false">IF(SUM($G106)&lt;=0,"",SUM($Q106,$S106)/$G106)</f>
        <v>0</v>
      </c>
      <c r="V106" s="118" t="str">
        <f aca="false">IF(OR(SUM($Q106)=0,SUM($G106)=0),"",SUM($Q106)/SUM($G106))</f>
        <v/>
      </c>
      <c r="W106" s="118" t="str">
        <f aca="false">IF(OR(SUM($S106)=0,SUM($G106)=0),"",SUM($S106)/SUM($G106))</f>
        <v/>
      </c>
      <c r="X106" s="118" t="str">
        <f aca="false">IF(OR(SUM($G106)=0,SUM($I106)=0),"",SUM($I106)/SUM($G106))</f>
        <v/>
      </c>
      <c r="Y106" s="118" t="str">
        <f aca="false">IF(OR(SUM($G106)=0,SUM($J106)=0),"",SUM($J106)/SUM($G106))</f>
        <v/>
      </c>
      <c r="Z106" s="118" t="str">
        <f aca="false">IF(OR(SUM($G106)=0,SUM($K106)=0),"",SUM($K106)/SUM($G106))</f>
        <v/>
      </c>
      <c r="AA106" s="118" t="str">
        <f aca="false">IF(OR(SUM($G106)=0,SUM($L106)=0),"",SUM($L106)/SUM($G106))</f>
        <v/>
      </c>
      <c r="AB106" s="118" t="n">
        <v>17</v>
      </c>
      <c r="AC106" s="118"/>
      <c r="AD106" s="118"/>
      <c r="AE106" s="118" t="n">
        <v>7</v>
      </c>
      <c r="AF106" s="118" t="n">
        <v>43</v>
      </c>
      <c r="AG106" s="118" t="n">
        <v>28</v>
      </c>
      <c r="AH106" s="118" t="n">
        <v>42</v>
      </c>
      <c r="AI106" s="118" t="n">
        <v>13</v>
      </c>
      <c r="AJ106" s="118" t="n">
        <v>48</v>
      </c>
      <c r="AK106" s="118" t="n">
        <f aca="false">IF(SUM($G106)&lt;=0,"",SUM($V106:$AJ106))</f>
        <v>198</v>
      </c>
      <c r="AL106" s="118"/>
      <c r="AM106" s="75" t="n">
        <f aca="false">IF(OR(SUM($AB106)&lt;=0,SUM($G106)&lt;=0),"",ROUND($G106*$AB106,0))</f>
        <v>17</v>
      </c>
      <c r="AN106" s="75" t="str">
        <f aca="false">IF(SUM($AM106)&lt;=0,"",IF(SUM($AL106)&lt;=0,"ENTER VALID YIELD!",ROUND($AM106/$AL106,0)-$AM106))</f>
        <v>ENTER VALID YIELD!</v>
      </c>
      <c r="AO106" s="118"/>
      <c r="AP106" s="75" t="str">
        <f aca="false">IF(OR(SUM($AC106)&lt;=0,SUM($G106)&lt;=0),"",ROUND($G106*$AC106,0))</f>
        <v/>
      </c>
      <c r="AQ106" s="75" t="str">
        <f aca="false">IF(SUM($AP106)&lt;=0,"",IF(SUM($AO106)&lt;=0,"ENTER VALID YIELD!",ROUND($AP106/$AO106,0)-$AP106))</f>
        <v/>
      </c>
      <c r="AR106" s="118"/>
      <c r="AS106" s="75" t="str">
        <f aca="false">IF(OR(SUM($AD106)&lt;=0,SUM($G106)&lt;=0),"",ROUND($G106*$AD106,0))</f>
        <v/>
      </c>
      <c r="AT106" s="75" t="str">
        <f aca="false">IF(SUM($AS106)&lt;=0,"",IF(SUM($AR106)&lt;=0,"ENTER VALID YIELD!",ROUND($AS106/$AR106,0)-$AS106))</f>
        <v/>
      </c>
      <c r="AU106" s="118"/>
      <c r="AV106" s="75" t="n">
        <f aca="false">IF(OR(SUM($AE106)&lt;=0,SUM($G106)&lt;=0),"",ROUND($G106*$AE106,0))</f>
        <v>7</v>
      </c>
      <c r="AW106" s="75" t="str">
        <f aca="false">IF(SUM($AV106)&lt;=0,"",IF(SUM($AU106)&lt;=0,"ENTER VALID YIELD!",ROUND($AV106/$AU106,0)-$AV106))</f>
        <v>ENTER VALID YIELD!</v>
      </c>
      <c r="AX106" s="118"/>
      <c r="AY106" s="75" t="n">
        <f aca="false">IF(OR(SUM($AF106)&lt;=0,SUM($G106)&lt;=0),"",ROUND($G106*$AF106,0))</f>
        <v>43</v>
      </c>
      <c r="AZ106" s="75" t="str">
        <f aca="false">IF(SUM($AY106)&lt;=0,"",IF(SUM($AX106)&lt;=0,"ENTER VALID YIELD!",ROUND($AY106/$AX106,0)-$AY106))</f>
        <v>ENTER VALID YIELD!</v>
      </c>
      <c r="BA106" s="118"/>
      <c r="BB106" s="75" t="n">
        <f aca="false">IF(OR(SUM($AG106)&lt;=0,SUM($G106)&lt;=0),"",ROUND($G106*$AG106,0))</f>
        <v>28</v>
      </c>
      <c r="BC106" s="75" t="str">
        <f aca="false">IF(SUM($BB106)&lt;=0,"",IF(SUM($BA106)&lt;=0,"ENTER VALID YIELD!",ROUND($BB106/$BA106,0)-$BB106))</f>
        <v>ENTER VALID YIELD!</v>
      </c>
      <c r="BD106" s="118"/>
      <c r="BE106" s="75" t="n">
        <f aca="false">IF(OR(SUM($AH106)&lt;=0,SUM($G106)&lt;=0),"",ROUND($G106*$AH106,0))</f>
        <v>42</v>
      </c>
      <c r="BF106" s="75" t="str">
        <f aca="false">IF(SUM($BE106)&lt;=0,"",IF(SUM($BD106)&lt;=0,"ENTER VALID YIELD!",ROUND($BE106/$BD106,0)-$BE106))</f>
        <v>ENTER VALID YIELD!</v>
      </c>
      <c r="BG106" s="118"/>
      <c r="BH106" s="75" t="n">
        <f aca="false">IF(OR(SUM($AI106)&lt;=0,SUM($G106)&lt;=0),"",ROUND($G106*$AI106,0))</f>
        <v>13</v>
      </c>
      <c r="BI106" s="75" t="str">
        <f aca="false">IF(SUM($BH106)&lt;=0,"",IF(SUM($BG106)&lt;=0,"ENTER VALID YIELD!",ROUND($BH106/$BG106,0)-$BH106))</f>
        <v>ENTER VALID YIELD!</v>
      </c>
      <c r="BJ106" s="118"/>
      <c r="BK106" s="75" t="n">
        <f aca="false">IF(OR(SUM($AJ106)&lt;=0,SUM($G106)&lt;=0),"",ROUND($G106*$AJ106,0))</f>
        <v>48</v>
      </c>
      <c r="BL106" s="75" t="str">
        <f aca="false">IF(SUM($BK106)&lt;=0,"",IF(SUM($BJ106)&lt;=0,"ENTER VALID YIELD!",ROUND($BK106/$BJ106,0)-$BK106))</f>
        <v>ENTER VALID YIELD!</v>
      </c>
      <c r="BM106" s="73" t="n">
        <f aca="false">IF(SUM($G106)&lt;=0,"",$G106)</f>
        <v>1</v>
      </c>
      <c r="BN106" s="73" t="n">
        <f aca="false">IF(SUM($G106)&lt;=0,"",SUM($I106:$L106,$Q106,$S106,$AM106,$AP106,$AS106,$AV106,$AY106,$BB106,$BE106,$BH106,$BK106))</f>
        <v>198</v>
      </c>
      <c r="BO106" s="73" t="n">
        <f aca="false">IF(AND(SUM($BN106)&lt;=0,SUM($BM106)&lt;=0),"",SUM($BN106)-SUM($BM106))</f>
        <v>197</v>
      </c>
      <c r="BP106" s="73" t="str">
        <f aca="false">_xlfn.IFNA(INDEX(PMTCT!$AF:$AF,MATCH($E106,PMTCT!$E:$E,0)),"")</f>
        <v/>
      </c>
      <c r="BQ106" s="73" t="str">
        <f aca="false">_xlfn.IFNA(INDEX(PMTCT!$AV:$AV,MATCH($E106,PMTCT!$E:$E,0)),"")</f>
        <v/>
      </c>
      <c r="BR106" s="73" t="n">
        <f aca="false">_xlfn.IFNA(INDEX(TB!$R:$R,MATCH($E106,TB!$E:$E,0)),"")</f>
        <v>-13</v>
      </c>
      <c r="BS106" s="73" t="str">
        <f aca="false">_xlfn.IFNA(INDEX(VMMC!$AD:$AD,MATCH($E106,VMMC!$E:$E,0)),"")</f>
        <v/>
      </c>
      <c r="BT106" s="73" t="n">
        <f aca="false">IF(SUM($R106,$T106,$AN106,$AQ106,$AT106,$AW106,$AZ106,$BC106,$BF106,$BI106,$BL106,$BP106:$BS106)=0,"",SUM($R106,$T106,$AN106,$AQ106,$AT106,$AW106,$AZ106,$BC106,$BF106,$BI106,$BL106,$BP106:$BS106))</f>
        <v>-13</v>
      </c>
      <c r="BU106" s="73" t="n">
        <f aca="false">IF(OR(SUM($BT106)=0,SUM($BN106)=0),"",SUM($BT106,$BN106))</f>
        <v>185</v>
      </c>
      <c r="BV106" s="118" t="n">
        <f aca="false">IF(SUM($BU106)=0,"",SUM($BN106)/$BU106)</f>
        <v>1.07027027027027</v>
      </c>
      <c r="BW106" s="73"/>
      <c r="BX106" s="118" t="str">
        <f aca="false">IF(OR($C106="01-04",$C106="05-09"),"",0%)</f>
        <v/>
      </c>
      <c r="BY106" s="75" t="str">
        <f aca="false">IF(OR($C106="01-04",$C106="05-09",SUM($BW106)=0),"",ROUND($BW106*(1+$BX106),0))</f>
        <v/>
      </c>
    </row>
    <row r="107" customFormat="false" ht="15" hidden="false" customHeight="false" outlineLevel="0" collapsed="false">
      <c r="A107" s="0" t="s">
        <v>145</v>
      </c>
      <c r="B107" s="0" t="s">
        <v>107</v>
      </c>
      <c r="C107" s="0" t="s">
        <v>61</v>
      </c>
      <c r="D107" s="0" t="s">
        <v>56</v>
      </c>
      <c r="E107" s="0" t="str">
        <f aca="false">B107&amp;"|"&amp;C107&amp;"|"&amp;D107</f>
        <v>Mafeteng [#SNU] [#DREAMS] [DiFv5WXIHM5]|10-14|Female</v>
      </c>
      <c r="F107" s="118" t="n">
        <f aca="false">_xlfn.IFNA(INDEX(Cascade!$Y:$Y,MATCH($E107,Cascade!$E:$E,0)),"")</f>
        <v>0.809716599190283</v>
      </c>
      <c r="G107" s="73" t="n">
        <f aca="false">_xlfn.IFNA(INDEX(Cascade!$BD:$BD,MATCH($E107,Cascade!$E:$E,0)),"")</f>
        <v>6</v>
      </c>
      <c r="H107" s="73" t="n">
        <f aca="false">_xlfn.IFNA(INDEX(Cascade!$BE:$BE,MATCH($E107,Cascade!$E:$E,0)),"")</f>
        <v>5</v>
      </c>
      <c r="I107" s="73" t="n">
        <f aca="false">_xlfn.IFNA(INDEX(Cascade!$BF:$BF,MATCH($E107,Cascade!$E:$E,0)),"")</f>
        <v>0</v>
      </c>
      <c r="J107" s="73" t="n">
        <f aca="false">_xlfn.IFNA(INDEX(Cascade!$BG:$BG,MATCH($E107,Cascade!$E:$E,0)),"")</f>
        <v>0</v>
      </c>
      <c r="K107" s="73" t="n">
        <f aca="false">_xlfn.IFNA(INDEX(Cascade!$BH:$BH,MATCH($E107,Cascade!$E:$E,0)),"")</f>
        <v>-0</v>
      </c>
      <c r="L107" s="73" t="str">
        <f aca="false">_xlfn.IFNA(INDEX(Cascade!$BI:$BI,MATCH($E107,Cascade!$E:$E,0)),"")</f>
        <v/>
      </c>
      <c r="M107" s="73" t="n">
        <f aca="false">_xlfn.IFNA(INDEX(Cascade!$BK:$BK,MATCH($E107,Cascade!$E:$E,0)),"")</f>
        <v>1</v>
      </c>
      <c r="N107" s="118" t="n">
        <v>36</v>
      </c>
      <c r="O107" s="118"/>
      <c r="P107" s="118" t="n">
        <v>48</v>
      </c>
      <c r="Q107" s="75" t="str">
        <f aca="false">IF(OR(SUM($H107)=0,SUM($N107)=0,SUM($O107)=0),"",ROUND($H107*$N107,0))</f>
        <v/>
      </c>
      <c r="R107" s="75" t="str">
        <f aca="false">IF(OR(SUM($Q107)=0,SUM($O107)=0),"",ROUND(SUM($Q107)/SUM($O107),0)-SUM($Q107))</f>
        <v/>
      </c>
      <c r="S107" s="75" t="n">
        <f aca="false">IF(SUM($H107)=0,"",SUM($H107)-SUM($Q107))</f>
        <v>5</v>
      </c>
      <c r="T107" s="75" t="str">
        <f aca="false">IF(OR(SUM($S107)=0,$N107&gt;1,SUM($P107)&lt;=0),"",ROUND($S107/$P107,0)-$S107)</f>
        <v/>
      </c>
      <c r="U107" s="118" t="n">
        <f aca="false">IF(SUM($G107)&lt;=0,"",SUM($Q107,$S107)/$G107)</f>
        <v>0.833333333333333</v>
      </c>
      <c r="V107" s="118" t="str">
        <f aca="false">IF(OR(SUM($Q107)=0,SUM($G107)=0),"",SUM($Q107)/SUM($G107))</f>
        <v/>
      </c>
      <c r="W107" s="118" t="n">
        <f aca="false">IF(OR(SUM($S107)=0,SUM($G107)=0),"",SUM($S107)/SUM($G107))</f>
        <v>0.833333333333333</v>
      </c>
      <c r="X107" s="118" t="str">
        <f aca="false">IF(OR(SUM($G107)=0,SUM($I107)=0),"",SUM($I107)/SUM($G107))</f>
        <v/>
      </c>
      <c r="Y107" s="118" t="str">
        <f aca="false">IF(OR(SUM($G107)=0,SUM($J107)=0),"",SUM($J107)/SUM($G107))</f>
        <v/>
      </c>
      <c r="Z107" s="118" t="str">
        <f aca="false">IF(OR(SUM($G107)=0,SUM($K107)=0),"",SUM($K107)/SUM($G107))</f>
        <v/>
      </c>
      <c r="AA107" s="118" t="str">
        <f aca="false">IF(OR(SUM($G107)=0,SUM($L107)=0),"",SUM($L107)/SUM($G107))</f>
        <v/>
      </c>
      <c r="AB107" s="118" t="n">
        <v>7</v>
      </c>
      <c r="AC107" s="118"/>
      <c r="AD107" s="118"/>
      <c r="AE107" s="118" t="n">
        <v>45</v>
      </c>
      <c r="AF107" s="118" t="n">
        <v>13</v>
      </c>
      <c r="AG107" s="118" t="n">
        <v>20</v>
      </c>
      <c r="AH107" s="118" t="n">
        <v>1</v>
      </c>
      <c r="AI107" s="118" t="n">
        <v>37</v>
      </c>
      <c r="AJ107" s="118" t="n">
        <v>13</v>
      </c>
      <c r="AK107" s="118" t="n">
        <f aca="false">IF(SUM($G107)&lt;=0,"",SUM($V107:$AJ107))</f>
        <v>136.833333333333</v>
      </c>
      <c r="AL107" s="118"/>
      <c r="AM107" s="75" t="n">
        <f aca="false">IF(OR(SUM($AB107)&lt;=0,SUM($G107)&lt;=0),"",ROUND($G107*$AB107,0))</f>
        <v>42</v>
      </c>
      <c r="AN107" s="75" t="str">
        <f aca="false">IF(SUM($AM107)&lt;=0,"",IF(SUM($AL107)&lt;=0,"ENTER VALID YIELD!",ROUND($AM107/$AL107,0)-$AM107))</f>
        <v>ENTER VALID YIELD!</v>
      </c>
      <c r="AO107" s="118"/>
      <c r="AP107" s="75" t="str">
        <f aca="false">IF(OR(SUM($AC107)&lt;=0,SUM($G107)&lt;=0),"",ROUND($G107*$AC107,0))</f>
        <v/>
      </c>
      <c r="AQ107" s="75" t="str">
        <f aca="false">IF(SUM($AP107)&lt;=0,"",IF(SUM($AO107)&lt;=0,"ENTER VALID YIELD!",ROUND($AP107/$AO107,0)-$AP107))</f>
        <v/>
      </c>
      <c r="AR107" s="118"/>
      <c r="AS107" s="75" t="str">
        <f aca="false">IF(OR(SUM($AD107)&lt;=0,SUM($G107)&lt;=0),"",ROUND($G107*$AD107,0))</f>
        <v/>
      </c>
      <c r="AT107" s="75" t="str">
        <f aca="false">IF(SUM($AS107)&lt;=0,"",IF(SUM($AR107)&lt;=0,"ENTER VALID YIELD!",ROUND($AS107/$AR107,0)-$AS107))</f>
        <v/>
      </c>
      <c r="AU107" s="118"/>
      <c r="AV107" s="75" t="n">
        <f aca="false">IF(OR(SUM($AE107)&lt;=0,SUM($G107)&lt;=0),"",ROUND($G107*$AE107,0))</f>
        <v>270</v>
      </c>
      <c r="AW107" s="75" t="str">
        <f aca="false">IF(SUM($AV107)&lt;=0,"",IF(SUM($AU107)&lt;=0,"ENTER VALID YIELD!",ROUND($AV107/$AU107,0)-$AV107))</f>
        <v>ENTER VALID YIELD!</v>
      </c>
      <c r="AX107" s="118"/>
      <c r="AY107" s="75" t="n">
        <f aca="false">IF(OR(SUM($AF107)&lt;=0,SUM($G107)&lt;=0),"",ROUND($G107*$AF107,0))</f>
        <v>78</v>
      </c>
      <c r="AZ107" s="75" t="str">
        <f aca="false">IF(SUM($AY107)&lt;=0,"",IF(SUM($AX107)&lt;=0,"ENTER VALID YIELD!",ROUND($AY107/$AX107,0)-$AY107))</f>
        <v>ENTER VALID YIELD!</v>
      </c>
      <c r="BA107" s="118" t="n">
        <v>20</v>
      </c>
      <c r="BB107" s="75" t="n">
        <f aca="false">IF(OR(SUM($AG107)&lt;=0,SUM($G107)&lt;=0),"",ROUND($G107*$AG107,0))</f>
        <v>120</v>
      </c>
      <c r="BC107" s="75" t="n">
        <f aca="false">IF(SUM($BB107)&lt;=0,"",IF(SUM($BA107)&lt;=0,"ENTER VALID YIELD!",ROUND($BB107/$BA107,0)-$BB107))</f>
        <v>-114</v>
      </c>
      <c r="BD107" s="118"/>
      <c r="BE107" s="75" t="n">
        <f aca="false">IF(OR(SUM($AH107)&lt;=0,SUM($G107)&lt;=0),"",ROUND($G107*$AH107,0))</f>
        <v>6</v>
      </c>
      <c r="BF107" s="75" t="str">
        <f aca="false">IF(SUM($BE107)&lt;=0,"",IF(SUM($BD107)&lt;=0,"ENTER VALID YIELD!",ROUND($BE107/$BD107,0)-$BE107))</f>
        <v>ENTER VALID YIELD!</v>
      </c>
      <c r="BG107" s="118"/>
      <c r="BH107" s="75" t="n">
        <f aca="false">IF(OR(SUM($AI107)&lt;=0,SUM($G107)&lt;=0),"",ROUND($G107*$AI107,0))</f>
        <v>222</v>
      </c>
      <c r="BI107" s="75" t="str">
        <f aca="false">IF(SUM($BH107)&lt;=0,"",IF(SUM($BG107)&lt;=0,"ENTER VALID YIELD!",ROUND($BH107/$BG107,0)-$BH107))</f>
        <v>ENTER VALID YIELD!</v>
      </c>
      <c r="BJ107" s="118"/>
      <c r="BK107" s="75" t="n">
        <f aca="false">IF(OR(SUM($AJ107)&lt;=0,SUM($G107)&lt;=0),"",ROUND($G107*$AJ107,0))</f>
        <v>78</v>
      </c>
      <c r="BL107" s="75" t="str">
        <f aca="false">IF(SUM($BK107)&lt;=0,"",IF(SUM($BJ107)&lt;=0,"ENTER VALID YIELD!",ROUND($BK107/$BJ107,0)-$BK107))</f>
        <v>ENTER VALID YIELD!</v>
      </c>
      <c r="BM107" s="73" t="n">
        <f aca="false">IF(SUM($G107)&lt;=0,"",$G107)</f>
        <v>6</v>
      </c>
      <c r="BN107" s="73" t="n">
        <f aca="false">IF(SUM($G107)&lt;=0,"",SUM($I107:$L107,$Q107,$S107,$AM107,$AP107,$AS107,$AV107,$AY107,$BB107,$BE107,$BH107,$BK107))</f>
        <v>821</v>
      </c>
      <c r="BO107" s="73" t="n">
        <f aca="false">IF(AND(SUM($BN107)&lt;=0,SUM($BM107)&lt;=0),"",SUM($BN107)-SUM($BM107))</f>
        <v>815</v>
      </c>
      <c r="BP107" s="73" t="n">
        <f aca="false">_xlfn.IFNA(INDEX(PMTCT!$AF:$AF,MATCH($E107,PMTCT!$E:$E,0)),"")</f>
        <v>24</v>
      </c>
      <c r="BQ107" s="73" t="n">
        <f aca="false">_xlfn.IFNA(INDEX(PMTCT!$AV:$AV,MATCH($E107,PMTCT!$E:$E,0)),"")</f>
        <v>24</v>
      </c>
      <c r="BR107" s="73" t="n">
        <f aca="false">_xlfn.IFNA(INDEX(TB!$R:$R,MATCH($E107,TB!$E:$E,0)),"")</f>
        <v>-1536</v>
      </c>
      <c r="BS107" s="73" t="str">
        <f aca="false">_xlfn.IFNA(INDEX(VMMC!$AD:$AD,MATCH($E107,VMMC!$E:$E,0)),"")</f>
        <v/>
      </c>
      <c r="BT107" s="73" t="n">
        <f aca="false">IF(SUM($R107,$T107,$AN107,$AQ107,$AT107,$AW107,$AZ107,$BC107,$BF107,$BI107,$BL107,$BP107:$BS107)=0,"",SUM($R107,$T107,$AN107,$AQ107,$AT107,$AW107,$AZ107,$BC107,$BF107,$BI107,$BL107,$BP107:$BS107))</f>
        <v>-1602</v>
      </c>
      <c r="BU107" s="73" t="n">
        <f aca="false">IF(OR(SUM($BT107)=0,SUM($BN107)=0),"",SUM($BT107,$BN107))</f>
        <v>-781</v>
      </c>
      <c r="BV107" s="118" t="n">
        <f aca="false">IF(SUM($BU107)=0,"",SUM($BN107)/$BU107)</f>
        <v>-1.05121638924456</v>
      </c>
      <c r="BW107" s="73" t="n">
        <v>25</v>
      </c>
      <c r="BX107" s="118" t="n">
        <f aca="false">IF(OR($C107="01-04",$C107="05-09"),"",0%)</f>
        <v>0</v>
      </c>
      <c r="BY107" s="75" t="n">
        <f aca="false">IF(OR($C107="01-04",$C107="05-09",SUM($BW107)=0),"",ROUND($BW107*(1+$BX107),0))</f>
        <v>25</v>
      </c>
    </row>
    <row r="108" customFormat="false" ht="15" hidden="false" customHeight="false" outlineLevel="0" collapsed="false">
      <c r="A108" s="0" t="s">
        <v>145</v>
      </c>
      <c r="B108" s="0" t="s">
        <v>107</v>
      </c>
      <c r="C108" s="0" t="s">
        <v>61</v>
      </c>
      <c r="D108" s="0" t="s">
        <v>58</v>
      </c>
      <c r="E108" s="0" t="str">
        <f aca="false">B108&amp;"|"&amp;C108&amp;"|"&amp;D108</f>
        <v>Mafeteng [#SNU] [#DREAMS] [DiFv5WXIHM5]|10-14|Male</v>
      </c>
      <c r="F108" s="118" t="n">
        <f aca="false">_xlfn.IFNA(INDEX(Cascade!$Y:$Y,MATCH($E108,Cascade!$E:$E,0)),"")</f>
        <v>0.81640625</v>
      </c>
      <c r="G108" s="73" t="n">
        <f aca="false">_xlfn.IFNA(INDEX(Cascade!$BD:$BD,MATCH($E108,Cascade!$E:$E,0)),"")</f>
        <v>5</v>
      </c>
      <c r="H108" s="73" t="n">
        <f aca="false">_xlfn.IFNA(INDEX(Cascade!$BE:$BE,MATCH($E108,Cascade!$E:$E,0)),"")</f>
        <v>4</v>
      </c>
      <c r="I108" s="73" t="str">
        <f aca="false">_xlfn.IFNA(INDEX(Cascade!$BF:$BF,MATCH($E108,Cascade!$E:$E,0)),"")</f>
        <v/>
      </c>
      <c r="J108" s="73" t="str">
        <f aca="false">_xlfn.IFNA(INDEX(Cascade!$BG:$BG,MATCH($E108,Cascade!$E:$E,0)),"")</f>
        <v/>
      </c>
      <c r="K108" s="73" t="n">
        <f aca="false">_xlfn.IFNA(INDEX(Cascade!$BH:$BH,MATCH($E108,Cascade!$E:$E,0)),"")</f>
        <v>-0</v>
      </c>
      <c r="L108" s="73" t="str">
        <f aca="false">_xlfn.IFNA(INDEX(Cascade!$BI:$BI,MATCH($E108,Cascade!$E:$E,0)),"")</f>
        <v/>
      </c>
      <c r="M108" s="73" t="n">
        <f aca="false">_xlfn.IFNA(INDEX(Cascade!$BK:$BK,MATCH($E108,Cascade!$E:$E,0)),"")</f>
        <v>1</v>
      </c>
      <c r="N108" s="118"/>
      <c r="O108" s="118"/>
      <c r="P108" s="118"/>
      <c r="Q108" s="75" t="str">
        <f aca="false">IF(OR(SUM($H108)=0,SUM($N108)=0,SUM($O108)=0),"",ROUND($H108*$N108,0))</f>
        <v/>
      </c>
      <c r="R108" s="75" t="str">
        <f aca="false">IF(OR(SUM($Q108)=0,SUM($O108)=0),"",ROUND(SUM($Q108)/SUM($O108),0)-SUM($Q108))</f>
        <v/>
      </c>
      <c r="S108" s="75" t="n">
        <f aca="false">IF(SUM($H108)=0,"",SUM($H108)-SUM($Q108))</f>
        <v>4</v>
      </c>
      <c r="T108" s="75" t="str">
        <f aca="false">IF(OR(SUM($S108)=0,$N108&gt;1,SUM($P108)&lt;=0),"",ROUND($S108/$P108,0)-$S108)</f>
        <v/>
      </c>
      <c r="U108" s="118" t="n">
        <f aca="false">IF(SUM($G108)&lt;=0,"",SUM($Q108,$S108)/$G108)</f>
        <v>0.8</v>
      </c>
      <c r="V108" s="118" t="str">
        <f aca="false">IF(OR(SUM($Q108)=0,SUM($G108)=0),"",SUM($Q108)/SUM($G108))</f>
        <v/>
      </c>
      <c r="W108" s="118" t="n">
        <f aca="false">IF(OR(SUM($S108)=0,SUM($G108)=0),"",SUM($S108)/SUM($G108))</f>
        <v>0.8</v>
      </c>
      <c r="X108" s="118" t="str">
        <f aca="false">IF(OR(SUM($G108)=0,SUM($I108)=0),"",SUM($I108)/SUM($G108))</f>
        <v/>
      </c>
      <c r="Y108" s="118" t="str">
        <f aca="false">IF(OR(SUM($G108)=0,SUM($J108)=0),"",SUM($J108)/SUM($G108))</f>
        <v/>
      </c>
      <c r="Z108" s="118" t="str">
        <f aca="false">IF(OR(SUM($G108)=0,SUM($K108)=0),"",SUM($K108)/SUM($G108))</f>
        <v/>
      </c>
      <c r="AA108" s="118" t="str">
        <f aca="false">IF(OR(SUM($G108)=0,SUM($L108)=0),"",SUM($L108)/SUM($G108))</f>
        <v/>
      </c>
      <c r="AB108" s="118" t="n">
        <v>41</v>
      </c>
      <c r="AC108" s="118"/>
      <c r="AD108" s="118"/>
      <c r="AE108" s="118" t="n">
        <v>24</v>
      </c>
      <c r="AF108" s="118" t="n">
        <v>26</v>
      </c>
      <c r="AG108" s="118" t="n">
        <v>17</v>
      </c>
      <c r="AH108" s="118" t="n">
        <v>22</v>
      </c>
      <c r="AI108" s="118" t="n">
        <v>7</v>
      </c>
      <c r="AJ108" s="118" t="n">
        <v>26</v>
      </c>
      <c r="AK108" s="118" t="n">
        <f aca="false">IF(SUM($G108)&lt;=0,"",SUM($V108:$AJ108))</f>
        <v>163.8</v>
      </c>
      <c r="AL108" s="118"/>
      <c r="AM108" s="75" t="n">
        <f aca="false">IF(OR(SUM($AB108)&lt;=0,SUM($G108)&lt;=0),"",ROUND($G108*$AB108,0))</f>
        <v>205</v>
      </c>
      <c r="AN108" s="75" t="str">
        <f aca="false">IF(SUM($AM108)&lt;=0,"",IF(SUM($AL108)&lt;=0,"ENTER VALID YIELD!",ROUND($AM108/$AL108,0)-$AM108))</f>
        <v>ENTER VALID YIELD!</v>
      </c>
      <c r="AO108" s="118"/>
      <c r="AP108" s="75" t="str">
        <f aca="false">IF(OR(SUM($AC108)&lt;=0,SUM($G108)&lt;=0),"",ROUND($G108*$AC108,0))</f>
        <v/>
      </c>
      <c r="AQ108" s="75" t="str">
        <f aca="false">IF(SUM($AP108)&lt;=0,"",IF(SUM($AO108)&lt;=0,"ENTER VALID YIELD!",ROUND($AP108/$AO108,0)-$AP108))</f>
        <v/>
      </c>
      <c r="AR108" s="118"/>
      <c r="AS108" s="75" t="str">
        <f aca="false">IF(OR(SUM($AD108)&lt;=0,SUM($G108)&lt;=0),"",ROUND($G108*$AD108,0))</f>
        <v/>
      </c>
      <c r="AT108" s="75" t="str">
        <f aca="false">IF(SUM($AS108)&lt;=0,"",IF(SUM($AR108)&lt;=0,"ENTER VALID YIELD!",ROUND($AS108/$AR108,0)-$AS108))</f>
        <v/>
      </c>
      <c r="AU108" s="118"/>
      <c r="AV108" s="75" t="n">
        <f aca="false">IF(OR(SUM($AE108)&lt;=0,SUM($G108)&lt;=0),"",ROUND($G108*$AE108,0))</f>
        <v>120</v>
      </c>
      <c r="AW108" s="75" t="str">
        <f aca="false">IF(SUM($AV108)&lt;=0,"",IF(SUM($AU108)&lt;=0,"ENTER VALID YIELD!",ROUND($AV108/$AU108,0)-$AV108))</f>
        <v>ENTER VALID YIELD!</v>
      </c>
      <c r="AX108" s="118"/>
      <c r="AY108" s="75" t="n">
        <f aca="false">IF(OR(SUM($AF108)&lt;=0,SUM($G108)&lt;=0),"",ROUND($G108*$AF108,0))</f>
        <v>130</v>
      </c>
      <c r="AZ108" s="75" t="str">
        <f aca="false">IF(SUM($AY108)&lt;=0,"",IF(SUM($AX108)&lt;=0,"ENTER VALID YIELD!",ROUND($AY108/$AX108,0)-$AY108))</f>
        <v>ENTER VALID YIELD!</v>
      </c>
      <c r="BA108" s="118" t="n">
        <v>19</v>
      </c>
      <c r="BB108" s="75" t="n">
        <f aca="false">IF(OR(SUM($AG108)&lt;=0,SUM($G108)&lt;=0),"",ROUND($G108*$AG108,0))</f>
        <v>85</v>
      </c>
      <c r="BC108" s="75" t="n">
        <f aca="false">IF(SUM($BB108)&lt;=0,"",IF(SUM($BA108)&lt;=0,"ENTER VALID YIELD!",ROUND($BB108/$BA108,0)-$BB108))</f>
        <v>-81</v>
      </c>
      <c r="BD108" s="118"/>
      <c r="BE108" s="75" t="n">
        <f aca="false">IF(OR(SUM($AH108)&lt;=0,SUM($G108)&lt;=0),"",ROUND($G108*$AH108,0))</f>
        <v>110</v>
      </c>
      <c r="BF108" s="75" t="str">
        <f aca="false">IF(SUM($BE108)&lt;=0,"",IF(SUM($BD108)&lt;=0,"ENTER VALID YIELD!",ROUND($BE108/$BD108,0)-$BE108))</f>
        <v>ENTER VALID YIELD!</v>
      </c>
      <c r="BG108" s="118"/>
      <c r="BH108" s="75" t="n">
        <f aca="false">IF(OR(SUM($AI108)&lt;=0,SUM($G108)&lt;=0),"",ROUND($G108*$AI108,0))</f>
        <v>35</v>
      </c>
      <c r="BI108" s="75" t="str">
        <f aca="false">IF(SUM($BH108)&lt;=0,"",IF(SUM($BG108)&lt;=0,"ENTER VALID YIELD!",ROUND($BH108/$BG108,0)-$BH108))</f>
        <v>ENTER VALID YIELD!</v>
      </c>
      <c r="BJ108" s="118"/>
      <c r="BK108" s="75" t="n">
        <f aca="false">IF(OR(SUM($AJ108)&lt;=0,SUM($G108)&lt;=0),"",ROUND($G108*$AJ108,0))</f>
        <v>130</v>
      </c>
      <c r="BL108" s="75" t="str">
        <f aca="false">IF(SUM($BK108)&lt;=0,"",IF(SUM($BJ108)&lt;=0,"ENTER VALID YIELD!",ROUND($BK108/$BJ108,0)-$BK108))</f>
        <v>ENTER VALID YIELD!</v>
      </c>
      <c r="BM108" s="73" t="n">
        <f aca="false">IF(SUM($G108)&lt;=0,"",$G108)</f>
        <v>5</v>
      </c>
      <c r="BN108" s="73" t="n">
        <f aca="false">IF(SUM($G108)&lt;=0,"",SUM($I108:$L108,$Q108,$S108,$AM108,$AP108,$AS108,$AV108,$AY108,$BB108,$BE108,$BH108,$BK108))</f>
        <v>819</v>
      </c>
      <c r="BO108" s="73" t="n">
        <f aca="false">IF(AND(SUM($BN108)&lt;=0,SUM($BM108)&lt;=0),"",SUM($BN108)-SUM($BM108))</f>
        <v>814</v>
      </c>
      <c r="BP108" s="73" t="str">
        <f aca="false">_xlfn.IFNA(INDEX(PMTCT!$AF:$AF,MATCH($E108,PMTCT!$E:$E,0)),"")</f>
        <v/>
      </c>
      <c r="BQ108" s="73" t="str">
        <f aca="false">_xlfn.IFNA(INDEX(PMTCT!$AV:$AV,MATCH($E108,PMTCT!$E:$E,0)),"")</f>
        <v/>
      </c>
      <c r="BR108" s="73" t="n">
        <f aca="false">_xlfn.IFNA(INDEX(TB!$R:$R,MATCH($E108,TB!$E:$E,0)),"")</f>
        <v>-280</v>
      </c>
      <c r="BS108" s="73" t="str">
        <f aca="false">_xlfn.IFNA(INDEX(VMMC!$AD:$AD,MATCH($E108,VMMC!$E:$E,0)),"")</f>
        <v/>
      </c>
      <c r="BT108" s="73" t="n">
        <f aca="false">IF(SUM($R108,$T108,$AN108,$AQ108,$AT108,$AW108,$AZ108,$BC108,$BF108,$BI108,$BL108,$BP108:$BS108)=0,"",SUM($R108,$T108,$AN108,$AQ108,$AT108,$AW108,$AZ108,$BC108,$BF108,$BI108,$BL108,$BP108:$BS108))</f>
        <v>-361</v>
      </c>
      <c r="BU108" s="73" t="n">
        <f aca="false">IF(OR(SUM($BT108)=0,SUM($BN108)=0),"",SUM($BT108,$BN108))</f>
        <v>458</v>
      </c>
      <c r="BV108" s="118" t="n">
        <f aca="false">IF(SUM($BU108)=0,"",SUM($BN108)/$BU108)</f>
        <v>1.7882096069869</v>
      </c>
      <c r="BW108" s="73" t="n">
        <v>19</v>
      </c>
      <c r="BX108" s="118" t="n">
        <f aca="false">IF(OR($C108="01-04",$C108="05-09"),"",0%)</f>
        <v>0</v>
      </c>
      <c r="BY108" s="75" t="n">
        <f aca="false">IF(OR($C108="01-04",$C108="05-09",SUM($BW108)=0),"",ROUND($BW108*(1+$BX108),0))</f>
        <v>19</v>
      </c>
    </row>
    <row r="109" customFormat="false" ht="15" hidden="false" customHeight="false" outlineLevel="0" collapsed="false">
      <c r="A109" s="0" t="s">
        <v>145</v>
      </c>
      <c r="B109" s="0" t="s">
        <v>107</v>
      </c>
      <c r="C109" s="0" t="s">
        <v>63</v>
      </c>
      <c r="D109" s="0" t="s">
        <v>56</v>
      </c>
      <c r="E109" s="0" t="str">
        <f aca="false">B109&amp;"|"&amp;C109&amp;"|"&amp;D109</f>
        <v>Mafeteng [#SNU] [#DREAMS] [DiFv5WXIHM5]|15-19|Female</v>
      </c>
      <c r="F109" s="118" t="n">
        <f aca="false">_xlfn.IFNA(INDEX(Cascade!$Y:$Y,MATCH($E109,Cascade!$E:$E,0)),"")</f>
        <v>0.737470167064439</v>
      </c>
      <c r="G109" s="73" t="n">
        <f aca="false">_xlfn.IFNA(INDEX(Cascade!$BD:$BD,MATCH($E109,Cascade!$E:$E,0)),"")</f>
        <v>12</v>
      </c>
      <c r="H109" s="73" t="n">
        <f aca="false">_xlfn.IFNA(INDEX(Cascade!$BE:$BE,MATCH($E109,Cascade!$E:$E,0)),"")</f>
        <v>6</v>
      </c>
      <c r="I109" s="73" t="n">
        <f aca="false">_xlfn.IFNA(INDEX(Cascade!$BF:$BF,MATCH($E109,Cascade!$E:$E,0)),"")</f>
        <v>-2600</v>
      </c>
      <c r="J109" s="73" t="str">
        <f aca="false">_xlfn.IFNA(INDEX(Cascade!$BG:$BG,MATCH($E109,Cascade!$E:$E,0)),"")</f>
        <v/>
      </c>
      <c r="K109" s="73" t="n">
        <f aca="false">_xlfn.IFNA(INDEX(Cascade!$BH:$BH,MATCH($E109,Cascade!$E:$E,0)),"")</f>
        <v>-0</v>
      </c>
      <c r="L109" s="73" t="str">
        <f aca="false">_xlfn.IFNA(INDEX(Cascade!$BI:$BI,MATCH($E109,Cascade!$E:$E,0)),"")</f>
        <v/>
      </c>
      <c r="M109" s="73" t="n">
        <f aca="false">_xlfn.IFNA(INDEX(Cascade!$BK:$BK,MATCH($E109,Cascade!$E:$E,0)),"")</f>
        <v>2606</v>
      </c>
      <c r="N109" s="118" t="n">
        <v>37</v>
      </c>
      <c r="O109" s="118" t="n">
        <v>42</v>
      </c>
      <c r="P109" s="118" t="n">
        <v>1</v>
      </c>
      <c r="Q109" s="75" t="n">
        <f aca="false">IF(OR(SUM($H109)=0,SUM($N109)=0,SUM($O109)=0),"",ROUND($H109*$N109,0))</f>
        <v>222</v>
      </c>
      <c r="R109" s="75" t="n">
        <f aca="false">IF(OR(SUM($Q109)=0,SUM($O109)=0),"",ROUND(SUM($Q109)/SUM($O109),0)-SUM($Q109))</f>
        <v>-217</v>
      </c>
      <c r="S109" s="75" t="n">
        <f aca="false">IF(SUM($H109)=0,"",SUM($H109)-SUM($Q109))</f>
        <v>-216</v>
      </c>
      <c r="T109" s="75" t="str">
        <f aca="false">IF(OR(SUM($S109)=0,$N109&gt;1,SUM($P109)&lt;=0),"",ROUND($S109/$P109,0)-$S109)</f>
        <v/>
      </c>
      <c r="U109" s="118" t="n">
        <f aca="false">IF(SUM($G109)&lt;=0,"",SUM($Q109,$S109)/$G109)</f>
        <v>0.5</v>
      </c>
      <c r="V109" s="118" t="n">
        <f aca="false">IF(OR(SUM($Q109)=0,SUM($G109)=0),"",SUM($Q109)/SUM($G109))</f>
        <v>18.5</v>
      </c>
      <c r="W109" s="118" t="n">
        <f aca="false">IF(OR(SUM($S109)=0,SUM($G109)=0),"",SUM($S109)/SUM($G109))</f>
        <v>-18</v>
      </c>
      <c r="X109" s="118" t="n">
        <f aca="false">IF(OR(SUM($G109)=0,SUM($I109)=0),"",SUM($I109)/SUM($G109))</f>
        <v>-216.666666666667</v>
      </c>
      <c r="Y109" s="118" t="str">
        <f aca="false">IF(OR(SUM($G109)=0,SUM($J109)=0),"",SUM($J109)/SUM($G109))</f>
        <v/>
      </c>
      <c r="Z109" s="118" t="str">
        <f aca="false">IF(OR(SUM($G109)=0,SUM($K109)=0),"",SUM($K109)/SUM($G109))</f>
        <v/>
      </c>
      <c r="AA109" s="118" t="str">
        <f aca="false">IF(OR(SUM($G109)=0,SUM($L109)=0),"",SUM($L109)/SUM($G109))</f>
        <v/>
      </c>
      <c r="AB109" s="118" t="n">
        <v>19</v>
      </c>
      <c r="AC109" s="118"/>
      <c r="AD109" s="118"/>
      <c r="AE109" s="118" t="n">
        <v>21</v>
      </c>
      <c r="AF109" s="118" t="n">
        <v>47</v>
      </c>
      <c r="AG109" s="118" t="n">
        <v>18</v>
      </c>
      <c r="AH109" s="118" t="n">
        <v>9</v>
      </c>
      <c r="AI109" s="118" t="n">
        <v>38</v>
      </c>
      <c r="AJ109" s="118" t="n">
        <v>2</v>
      </c>
      <c r="AK109" s="118" t="n">
        <f aca="false">IF(SUM($G109)&lt;=0,"",SUM($V109:$AJ109))</f>
        <v>-62.1666666666667</v>
      </c>
      <c r="AL109" s="118" t="n">
        <v>10</v>
      </c>
      <c r="AM109" s="75" t="n">
        <f aca="false">IF(OR(SUM($AB109)&lt;=0,SUM($G109)&lt;=0),"",ROUND($G109*$AB109,0))</f>
        <v>228</v>
      </c>
      <c r="AN109" s="75" t="n">
        <f aca="false">IF(SUM($AM109)&lt;=0,"",IF(SUM($AL109)&lt;=0,"ENTER VALID YIELD!",ROUND($AM109/$AL109,0)-$AM109))</f>
        <v>-205</v>
      </c>
      <c r="AO109" s="118"/>
      <c r="AP109" s="75" t="str">
        <f aca="false">IF(OR(SUM($AC109)&lt;=0,SUM($G109)&lt;=0),"",ROUND($G109*$AC109,0))</f>
        <v/>
      </c>
      <c r="AQ109" s="75" t="str">
        <f aca="false">IF(SUM($AP109)&lt;=0,"",IF(SUM($AO109)&lt;=0,"ENTER VALID YIELD!",ROUND($AP109/$AO109,0)-$AP109))</f>
        <v/>
      </c>
      <c r="AR109" s="118"/>
      <c r="AS109" s="75" t="str">
        <f aca="false">IF(OR(SUM($AD109)&lt;=0,SUM($G109)&lt;=0),"",ROUND($G109*$AD109,0))</f>
        <v/>
      </c>
      <c r="AT109" s="75" t="str">
        <f aca="false">IF(SUM($AS109)&lt;=0,"",IF(SUM($AR109)&lt;=0,"ENTER VALID YIELD!",ROUND($AS109/$AR109,0)-$AS109))</f>
        <v/>
      </c>
      <c r="AU109" s="118"/>
      <c r="AV109" s="75" t="n">
        <f aca="false">IF(OR(SUM($AE109)&lt;=0,SUM($G109)&lt;=0),"",ROUND($G109*$AE109,0))</f>
        <v>252</v>
      </c>
      <c r="AW109" s="75" t="str">
        <f aca="false">IF(SUM($AV109)&lt;=0,"",IF(SUM($AU109)&lt;=0,"ENTER VALID YIELD!",ROUND($AV109/$AU109,0)-$AV109))</f>
        <v>ENTER VALID YIELD!</v>
      </c>
      <c r="AX109" s="118"/>
      <c r="AY109" s="75" t="n">
        <f aca="false">IF(OR(SUM($AF109)&lt;=0,SUM($G109)&lt;=0),"",ROUND($G109*$AF109,0))</f>
        <v>564</v>
      </c>
      <c r="AZ109" s="75" t="str">
        <f aca="false">IF(SUM($AY109)&lt;=0,"",IF(SUM($AX109)&lt;=0,"ENTER VALID YIELD!",ROUND($AY109/$AX109,0)-$AY109))</f>
        <v>ENTER VALID YIELD!</v>
      </c>
      <c r="BA109" s="118" t="n">
        <v>14</v>
      </c>
      <c r="BB109" s="75" t="n">
        <f aca="false">IF(OR(SUM($AG109)&lt;=0,SUM($G109)&lt;=0),"",ROUND($G109*$AG109,0))</f>
        <v>216</v>
      </c>
      <c r="BC109" s="75" t="n">
        <f aca="false">IF(SUM($BB109)&lt;=0,"",IF(SUM($BA109)&lt;=0,"ENTER VALID YIELD!",ROUND($BB109/$BA109,0)-$BB109))</f>
        <v>-201</v>
      </c>
      <c r="BD109" s="118"/>
      <c r="BE109" s="75" t="n">
        <f aca="false">IF(OR(SUM($AH109)&lt;=0,SUM($G109)&lt;=0),"",ROUND($G109*$AH109,0))</f>
        <v>108</v>
      </c>
      <c r="BF109" s="75" t="str">
        <f aca="false">IF(SUM($BE109)&lt;=0,"",IF(SUM($BD109)&lt;=0,"ENTER VALID YIELD!",ROUND($BE109/$BD109,0)-$BE109))</f>
        <v>ENTER VALID YIELD!</v>
      </c>
      <c r="BG109" s="118" t="n">
        <v>16</v>
      </c>
      <c r="BH109" s="75" t="n">
        <f aca="false">IF(OR(SUM($AI109)&lt;=0,SUM($G109)&lt;=0),"",ROUND($G109*$AI109,0))</f>
        <v>456</v>
      </c>
      <c r="BI109" s="75" t="n">
        <f aca="false">IF(SUM($BH109)&lt;=0,"",IF(SUM($BG109)&lt;=0,"ENTER VALID YIELD!",ROUND($BH109/$BG109,0)-$BH109))</f>
        <v>-427</v>
      </c>
      <c r="BJ109" s="118" t="n">
        <v>39</v>
      </c>
      <c r="BK109" s="75" t="n">
        <f aca="false">IF(OR(SUM($AJ109)&lt;=0,SUM($G109)&lt;=0),"",ROUND($G109*$AJ109,0))</f>
        <v>24</v>
      </c>
      <c r="BL109" s="75" t="n">
        <f aca="false">IF(SUM($BK109)&lt;=0,"",IF(SUM($BJ109)&lt;=0,"ENTER VALID YIELD!",ROUND($BK109/$BJ109,0)-$BK109))</f>
        <v>-23</v>
      </c>
      <c r="BM109" s="73" t="n">
        <f aca="false">IF(SUM($G109)&lt;=0,"",$G109)</f>
        <v>12</v>
      </c>
      <c r="BN109" s="73" t="n">
        <f aca="false">IF(SUM($G109)&lt;=0,"",SUM($I109:$L109,$Q109,$S109,$AM109,$AP109,$AS109,$AV109,$AY109,$BB109,$BE109,$BH109,$BK109))</f>
        <v>-746</v>
      </c>
      <c r="BO109" s="73" t="n">
        <f aca="false">IF(AND(SUM($BN109)&lt;=0,SUM($BM109)&lt;=0),"",SUM($BN109)-SUM($BM109))</f>
        <v>-758</v>
      </c>
      <c r="BP109" s="73" t="n">
        <f aca="false">_xlfn.IFNA(INDEX(PMTCT!$AF:$AF,MATCH($E109,PMTCT!$E:$E,0)),"")</f>
        <v>2275</v>
      </c>
      <c r="BQ109" s="73" t="str">
        <f aca="false">_xlfn.IFNA(INDEX(PMTCT!$AV:$AV,MATCH($E109,PMTCT!$E:$E,0)),"")</f>
        <v/>
      </c>
      <c r="BR109" s="73" t="n">
        <f aca="false">_xlfn.IFNA(INDEX(TB!$R:$R,MATCH($E109,TB!$E:$E,0)),"")</f>
        <v>-66</v>
      </c>
      <c r="BS109" s="73" t="str">
        <f aca="false">_xlfn.IFNA(INDEX(VMMC!$AD:$AD,MATCH($E109,VMMC!$E:$E,0)),"")</f>
        <v/>
      </c>
      <c r="BT109" s="73" t="n">
        <f aca="false">IF(SUM($R109,$T109,$AN109,$AQ109,$AT109,$AW109,$AZ109,$BC109,$BF109,$BI109,$BL109,$BP109:$BS109)=0,"",SUM($R109,$T109,$AN109,$AQ109,$AT109,$AW109,$AZ109,$BC109,$BF109,$BI109,$BL109,$BP109:$BS109))</f>
        <v>1136</v>
      </c>
      <c r="BU109" s="73" t="n">
        <f aca="false">IF(OR(SUM($BT109)=0,SUM($BN109)=0),"",SUM($BT109,$BN109))</f>
        <v>390</v>
      </c>
      <c r="BV109" s="118" t="n">
        <f aca="false">IF(SUM($BU109)=0,"",SUM($BN109)/$BU109)</f>
        <v>-1.91282051282051</v>
      </c>
      <c r="BW109" s="73" t="n">
        <v>49</v>
      </c>
      <c r="BX109" s="118" t="n">
        <f aca="false">IF(OR($C109="01-04",$C109="05-09"),"",0%)</f>
        <v>0</v>
      </c>
      <c r="BY109" s="75" t="n">
        <f aca="false">IF(OR($C109="01-04",$C109="05-09",SUM($BW109)=0),"",ROUND($BW109*(1+$BX109),0))</f>
        <v>49</v>
      </c>
    </row>
    <row r="110" customFormat="false" ht="15" hidden="false" customHeight="false" outlineLevel="0" collapsed="false">
      <c r="A110" s="0" t="s">
        <v>145</v>
      </c>
      <c r="B110" s="0" t="s">
        <v>107</v>
      </c>
      <c r="C110" s="0" t="s">
        <v>63</v>
      </c>
      <c r="D110" s="0" t="s">
        <v>58</v>
      </c>
      <c r="E110" s="0" t="str">
        <f aca="false">B110&amp;"|"&amp;C110&amp;"|"&amp;D110</f>
        <v>Mafeteng [#SNU] [#DREAMS] [DiFv5WXIHM5]|15-19|Male</v>
      </c>
      <c r="F110" s="118" t="n">
        <f aca="false">_xlfn.IFNA(INDEX(Cascade!$Y:$Y,MATCH($E110,Cascade!$E:$E,0)),"")</f>
        <v>0.902621722846442</v>
      </c>
      <c r="G110" s="73" t="str">
        <f aca="false">_xlfn.IFNA(INDEX(Cascade!$BD:$BD,MATCH($E110,Cascade!$E:$E,0)),"")</f>
        <v/>
      </c>
      <c r="H110" s="73" t="str">
        <f aca="false">_xlfn.IFNA(INDEX(Cascade!$BE:$BE,MATCH($E110,Cascade!$E:$E,0)),"")</f>
        <v/>
      </c>
      <c r="I110" s="73" t="str">
        <f aca="false">_xlfn.IFNA(INDEX(Cascade!$BF:$BF,MATCH($E110,Cascade!$E:$E,0)),"")</f>
        <v/>
      </c>
      <c r="J110" s="73" t="str">
        <f aca="false">_xlfn.IFNA(INDEX(Cascade!$BG:$BG,MATCH($E110,Cascade!$E:$E,0)),"")</f>
        <v/>
      </c>
      <c r="K110" s="73" t="n">
        <f aca="false">_xlfn.IFNA(INDEX(Cascade!$BH:$BH,MATCH($E110,Cascade!$E:$E,0)),"")</f>
        <v>-0</v>
      </c>
      <c r="L110" s="73" t="str">
        <f aca="false">_xlfn.IFNA(INDEX(Cascade!$BI:$BI,MATCH($E110,Cascade!$E:$E,0)),"")</f>
        <v/>
      </c>
      <c r="M110" s="73" t="str">
        <f aca="false">_xlfn.IFNA(INDEX(Cascade!$BK:$BK,MATCH($E110,Cascade!$E:$E,0)),"")</f>
        <v/>
      </c>
      <c r="N110" s="118"/>
      <c r="O110" s="118"/>
      <c r="P110" s="118"/>
      <c r="Q110" s="75" t="str">
        <f aca="false">IF(OR(SUM($H110)=0,SUM($N110)=0,SUM($O110)=0),"",ROUND($H110*$N110,0))</f>
        <v/>
      </c>
      <c r="R110" s="75" t="str">
        <f aca="false">IF(OR(SUM($Q110)=0,SUM($O110)=0),"",ROUND(SUM($Q110)/SUM($O110),0)-SUM($Q110))</f>
        <v/>
      </c>
      <c r="S110" s="75" t="str">
        <f aca="false">IF(SUM($H110)=0,"",SUM($H110)-SUM($Q110))</f>
        <v/>
      </c>
      <c r="T110" s="75" t="str">
        <f aca="false">IF(OR(SUM($S110)=0,$N110&gt;1,SUM($P110)&lt;=0),"",ROUND($S110/$P110,0)-$S110)</f>
        <v/>
      </c>
      <c r="U110" s="118" t="str">
        <f aca="false">IF(SUM($G110)&lt;=0,"",SUM($Q110,$S110)/$G110)</f>
        <v/>
      </c>
      <c r="V110" s="118" t="str">
        <f aca="false">IF(OR(SUM($Q110)=0,SUM($G110)=0),"",SUM($Q110)/SUM($G110))</f>
        <v/>
      </c>
      <c r="W110" s="118" t="str">
        <f aca="false">IF(OR(SUM($S110)=0,SUM($G110)=0),"",SUM($S110)/SUM($G110))</f>
        <v/>
      </c>
      <c r="X110" s="118" t="str">
        <f aca="false">IF(OR(SUM($G110)=0,SUM($I110)=0),"",SUM($I110)/SUM($G110))</f>
        <v/>
      </c>
      <c r="Y110" s="118" t="str">
        <f aca="false">IF(OR(SUM($G110)=0,SUM($J110)=0),"",SUM($J110)/SUM($G110))</f>
        <v/>
      </c>
      <c r="Z110" s="118" t="str">
        <f aca="false">IF(OR(SUM($G110)=0,SUM($K110)=0),"",SUM($K110)/SUM($G110))</f>
        <v/>
      </c>
      <c r="AA110" s="118" t="str">
        <f aca="false">IF(OR(SUM($G110)=0,SUM($L110)=0),"",SUM($L110)/SUM($G110))</f>
        <v/>
      </c>
      <c r="AB110" s="118" t="n">
        <v>27</v>
      </c>
      <c r="AC110" s="118"/>
      <c r="AD110" s="118"/>
      <c r="AE110" s="118" t="n">
        <v>12</v>
      </c>
      <c r="AF110" s="118" t="n">
        <v>2</v>
      </c>
      <c r="AG110" s="118" t="n">
        <v>7</v>
      </c>
      <c r="AH110" s="118" t="n">
        <v>16</v>
      </c>
      <c r="AI110" s="118" t="n">
        <v>19</v>
      </c>
      <c r="AJ110" s="118" t="n">
        <v>4</v>
      </c>
      <c r="AK110" s="118" t="str">
        <f aca="false">IF(SUM($G110)&lt;=0,"",SUM($V110:$AJ110))</f>
        <v/>
      </c>
      <c r="AL110" s="118"/>
      <c r="AM110" s="75" t="str">
        <f aca="false">IF(OR(SUM($AB110)&lt;=0,SUM($G110)&lt;=0),"",ROUND($G110*$AB110,0))</f>
        <v/>
      </c>
      <c r="AN110" s="75" t="str">
        <f aca="false">IF(SUM($AM110)&lt;=0,"",IF(SUM($AL110)&lt;=0,"ENTER VALID YIELD!",ROUND($AM110/$AL110,0)-$AM110))</f>
        <v/>
      </c>
      <c r="AO110" s="118"/>
      <c r="AP110" s="75" t="str">
        <f aca="false">IF(OR(SUM($AC110)&lt;=0,SUM($G110)&lt;=0),"",ROUND($G110*$AC110,0))</f>
        <v/>
      </c>
      <c r="AQ110" s="75" t="str">
        <f aca="false">IF(SUM($AP110)&lt;=0,"",IF(SUM($AO110)&lt;=0,"ENTER VALID YIELD!",ROUND($AP110/$AO110,0)-$AP110))</f>
        <v/>
      </c>
      <c r="AR110" s="118"/>
      <c r="AS110" s="75" t="str">
        <f aca="false">IF(OR(SUM($AD110)&lt;=0,SUM($G110)&lt;=0),"",ROUND($G110*$AD110,0))</f>
        <v/>
      </c>
      <c r="AT110" s="75" t="str">
        <f aca="false">IF(SUM($AS110)&lt;=0,"",IF(SUM($AR110)&lt;=0,"ENTER VALID YIELD!",ROUND($AS110/$AR110,0)-$AS110))</f>
        <v/>
      </c>
      <c r="AU110" s="118"/>
      <c r="AV110" s="75" t="str">
        <f aca="false">IF(OR(SUM($AE110)&lt;=0,SUM($G110)&lt;=0),"",ROUND($G110*$AE110,0))</f>
        <v/>
      </c>
      <c r="AW110" s="75" t="str">
        <f aca="false">IF(SUM($AV110)&lt;=0,"",IF(SUM($AU110)&lt;=0,"ENTER VALID YIELD!",ROUND($AV110/$AU110,0)-$AV110))</f>
        <v/>
      </c>
      <c r="AX110" s="118"/>
      <c r="AY110" s="75" t="str">
        <f aca="false">IF(OR(SUM($AF110)&lt;=0,SUM($G110)&lt;=0),"",ROUND($G110*$AF110,0))</f>
        <v/>
      </c>
      <c r="AZ110" s="75" t="str">
        <f aca="false">IF(SUM($AY110)&lt;=0,"",IF(SUM($AX110)&lt;=0,"ENTER VALID YIELD!",ROUND($AY110/$AX110,0)-$AY110))</f>
        <v/>
      </c>
      <c r="BA110" s="118" t="n">
        <v>28</v>
      </c>
      <c r="BB110" s="75" t="str">
        <f aca="false">IF(OR(SUM($AG110)&lt;=0,SUM($G110)&lt;=0),"",ROUND($G110*$AG110,0))</f>
        <v/>
      </c>
      <c r="BC110" s="75" t="str">
        <f aca="false">IF(SUM($BB110)&lt;=0,"",IF(SUM($BA110)&lt;=0,"ENTER VALID YIELD!",ROUND($BB110/$BA110,0)-$BB110))</f>
        <v/>
      </c>
      <c r="BD110" s="118"/>
      <c r="BE110" s="75" t="str">
        <f aca="false">IF(OR(SUM($AH110)&lt;=0,SUM($G110)&lt;=0),"",ROUND($G110*$AH110,0))</f>
        <v/>
      </c>
      <c r="BF110" s="75" t="str">
        <f aca="false">IF(SUM($BE110)&lt;=0,"",IF(SUM($BD110)&lt;=0,"ENTER VALID YIELD!",ROUND($BE110/$BD110,0)-$BE110))</f>
        <v/>
      </c>
      <c r="BG110" s="118" t="n">
        <v>50</v>
      </c>
      <c r="BH110" s="75" t="str">
        <f aca="false">IF(OR(SUM($AI110)&lt;=0,SUM($G110)&lt;=0),"",ROUND($G110*$AI110,0))</f>
        <v/>
      </c>
      <c r="BI110" s="75" t="str">
        <f aca="false">IF(SUM($BH110)&lt;=0,"",IF(SUM($BG110)&lt;=0,"ENTER VALID YIELD!",ROUND($BH110/$BG110,0)-$BH110))</f>
        <v/>
      </c>
      <c r="BJ110" s="118"/>
      <c r="BK110" s="75" t="str">
        <f aca="false">IF(OR(SUM($AJ110)&lt;=0,SUM($G110)&lt;=0),"",ROUND($G110*$AJ110,0))</f>
        <v/>
      </c>
      <c r="BL110" s="75" t="str">
        <f aca="false">IF(SUM($BK110)&lt;=0,"",IF(SUM($BJ110)&lt;=0,"ENTER VALID YIELD!",ROUND($BK110/$BJ110,0)-$BK110))</f>
        <v/>
      </c>
      <c r="BM110" s="73" t="str">
        <f aca="false">IF(SUM($G110)&lt;=0,"",$G110)</f>
        <v/>
      </c>
      <c r="BN110" s="73" t="str">
        <f aca="false">IF(SUM($G110)&lt;=0,"",SUM($I110:$L110,$Q110,$S110,$AM110,$AP110,$AS110,$AV110,$AY110,$BB110,$BE110,$BH110,$BK110))</f>
        <v/>
      </c>
      <c r="BO110" s="73" t="str">
        <f aca="false">IF(AND(SUM($BN110)&lt;=0,SUM($BM110)&lt;=0),"",SUM($BN110)-SUM($BM110))</f>
        <v/>
      </c>
      <c r="BP110" s="73" t="str">
        <f aca="false">_xlfn.IFNA(INDEX(PMTCT!$AF:$AF,MATCH($E110,PMTCT!$E:$E,0)),"")</f>
        <v/>
      </c>
      <c r="BQ110" s="73" t="str">
        <f aca="false">_xlfn.IFNA(INDEX(PMTCT!$AV:$AV,MATCH($E110,PMTCT!$E:$E,0)),"")</f>
        <v/>
      </c>
      <c r="BR110" s="73" t="n">
        <f aca="false">_xlfn.IFNA(INDEX(TB!$R:$R,MATCH($E110,TB!$E:$E,0)),"")</f>
        <v>-352</v>
      </c>
      <c r="BS110" s="73" t="str">
        <f aca="false">_xlfn.IFNA(INDEX(VMMC!$AD:$AD,MATCH($E110,VMMC!$E:$E,0)),"")</f>
        <v/>
      </c>
      <c r="BT110" s="73" t="n">
        <f aca="false">IF(SUM($R110,$T110,$AN110,$AQ110,$AT110,$AW110,$AZ110,$BC110,$BF110,$BI110,$BL110,$BP110:$BS110)=0,"",SUM($R110,$T110,$AN110,$AQ110,$AT110,$AW110,$AZ110,$BC110,$BF110,$BI110,$BL110,$BP110:$BS110))</f>
        <v>-352</v>
      </c>
      <c r="BU110" s="73" t="str">
        <f aca="false">IF(OR(SUM($BT110)=0,SUM($BN110)=0),"",SUM($BT110,$BN110))</f>
        <v/>
      </c>
      <c r="BV110" s="118" t="str">
        <f aca="false">IF(SUM($BU110)=0,"",SUM($BN110)/$BU110)</f>
        <v/>
      </c>
      <c r="BW110" s="73" t="n">
        <v>38</v>
      </c>
      <c r="BX110" s="118" t="n">
        <f aca="false">IF(OR($C110="01-04",$C110="05-09"),"",0%)</f>
        <v>0</v>
      </c>
      <c r="BY110" s="75" t="n">
        <f aca="false">IF(OR($C110="01-04",$C110="05-09",SUM($BW110)=0),"",ROUND($BW110*(1+$BX110),0))</f>
        <v>38</v>
      </c>
    </row>
    <row r="111" customFormat="false" ht="15" hidden="false" customHeight="false" outlineLevel="0" collapsed="false">
      <c r="A111" s="0" t="s">
        <v>145</v>
      </c>
      <c r="B111" s="0" t="s">
        <v>107</v>
      </c>
      <c r="C111" s="0" t="s">
        <v>66</v>
      </c>
      <c r="D111" s="0" t="s">
        <v>56</v>
      </c>
      <c r="E111" s="0" t="str">
        <f aca="false">B111&amp;"|"&amp;C111&amp;"|"&amp;D111</f>
        <v>Mafeteng [#SNU] [#DREAMS] [DiFv5WXIHM5]|20-24|Female</v>
      </c>
      <c r="F111" s="118" t="n">
        <f aca="false">_xlfn.IFNA(INDEX(Cascade!$Y:$Y,MATCH($E111,Cascade!$E:$E,0)),"")</f>
        <v>0.658420551855376</v>
      </c>
      <c r="G111" s="73" t="n">
        <f aca="false">_xlfn.IFNA(INDEX(Cascade!$BD:$BD,MATCH($E111,Cascade!$E:$E,0)),"")</f>
        <v>18</v>
      </c>
      <c r="H111" s="73" t="n">
        <f aca="false">_xlfn.IFNA(INDEX(Cascade!$BE:$BE,MATCH($E111,Cascade!$E:$E,0)),"")</f>
        <v>5</v>
      </c>
      <c r="I111" s="73" t="n">
        <f aca="false">_xlfn.IFNA(INDEX(Cascade!$BF:$BF,MATCH($E111,Cascade!$E:$E,0)),"")</f>
        <v>-24928</v>
      </c>
      <c r="J111" s="73" t="str">
        <f aca="false">_xlfn.IFNA(INDEX(Cascade!$BG:$BG,MATCH($E111,Cascade!$E:$E,0)),"")</f>
        <v/>
      </c>
      <c r="K111" s="73" t="n">
        <f aca="false">_xlfn.IFNA(INDEX(Cascade!$BH:$BH,MATCH($E111,Cascade!$E:$E,0)),"")</f>
        <v>-24682</v>
      </c>
      <c r="L111" s="73" t="str">
        <f aca="false">_xlfn.IFNA(INDEX(Cascade!$BI:$BI,MATCH($E111,Cascade!$E:$E,0)),"")</f>
        <v/>
      </c>
      <c r="M111" s="73" t="n">
        <f aca="false">_xlfn.IFNA(INDEX(Cascade!$BK:$BK,MATCH($E111,Cascade!$E:$E,0)),"")</f>
        <v>49623</v>
      </c>
      <c r="N111" s="118" t="n">
        <v>42</v>
      </c>
      <c r="O111" s="118" t="n">
        <v>32</v>
      </c>
      <c r="P111" s="118" t="n">
        <v>9</v>
      </c>
      <c r="Q111" s="75" t="n">
        <f aca="false">IF(OR(SUM($H111)=0,SUM($N111)=0,SUM($O111)=0),"",ROUND($H111*$N111,0))</f>
        <v>210</v>
      </c>
      <c r="R111" s="75" t="n">
        <f aca="false">IF(OR(SUM($Q111)=0,SUM($O111)=0),"",ROUND(SUM($Q111)/SUM($O111),0)-SUM($Q111))</f>
        <v>-203</v>
      </c>
      <c r="S111" s="75" t="n">
        <f aca="false">IF(SUM($H111)=0,"",SUM($H111)-SUM($Q111))</f>
        <v>-205</v>
      </c>
      <c r="T111" s="75" t="str">
        <f aca="false">IF(OR(SUM($S111)=0,$N111&gt;1,SUM($P111)&lt;=0),"",ROUND($S111/$P111,0)-$S111)</f>
        <v/>
      </c>
      <c r="U111" s="118" t="n">
        <f aca="false">IF(SUM($G111)&lt;=0,"",SUM($Q111,$S111)/$G111)</f>
        <v>0.277777777777778</v>
      </c>
      <c r="V111" s="118" t="n">
        <f aca="false">IF(OR(SUM($Q111)=0,SUM($G111)=0),"",SUM($Q111)/SUM($G111))</f>
        <v>11.6666666666667</v>
      </c>
      <c r="W111" s="118" t="n">
        <f aca="false">IF(OR(SUM($S111)=0,SUM($G111)=0),"",SUM($S111)/SUM($G111))</f>
        <v>-11.3888888888889</v>
      </c>
      <c r="X111" s="118" t="n">
        <f aca="false">IF(OR(SUM($G111)=0,SUM($I111)=0),"",SUM($I111)/SUM($G111))</f>
        <v>-1384.88888888889</v>
      </c>
      <c r="Y111" s="118" t="str">
        <f aca="false">IF(OR(SUM($G111)=0,SUM($J111)=0),"",SUM($J111)/SUM($G111))</f>
        <v/>
      </c>
      <c r="Z111" s="118" t="n">
        <f aca="false">IF(OR(SUM($G111)=0,SUM($K111)=0),"",SUM($K111)/SUM($G111))</f>
        <v>-1371.22222222222</v>
      </c>
      <c r="AA111" s="118" t="str">
        <f aca="false">IF(OR(SUM($G111)=0,SUM($L111)=0),"",SUM($L111)/SUM($G111))</f>
        <v/>
      </c>
      <c r="AB111" s="118" t="n">
        <v>46</v>
      </c>
      <c r="AC111" s="118"/>
      <c r="AD111" s="118"/>
      <c r="AE111" s="118" t="n">
        <v>5</v>
      </c>
      <c r="AF111" s="118" t="n">
        <v>11</v>
      </c>
      <c r="AG111" s="118" t="n">
        <v>1</v>
      </c>
      <c r="AH111" s="118" t="n">
        <v>35</v>
      </c>
      <c r="AI111" s="118" t="n">
        <v>26</v>
      </c>
      <c r="AJ111" s="118" t="n">
        <v>50</v>
      </c>
      <c r="AK111" s="118" t="n">
        <f aca="false">IF(SUM($G111)&lt;=0,"",SUM($V111:$AJ111))</f>
        <v>-2581.83333333333</v>
      </c>
      <c r="AL111" s="118" t="n">
        <v>27</v>
      </c>
      <c r="AM111" s="75" t="n">
        <f aca="false">IF(OR(SUM($AB111)&lt;=0,SUM($G111)&lt;=0),"",ROUND($G111*$AB111,0))</f>
        <v>828</v>
      </c>
      <c r="AN111" s="75" t="n">
        <f aca="false">IF(SUM($AM111)&lt;=0,"",IF(SUM($AL111)&lt;=0,"ENTER VALID YIELD!",ROUND($AM111/$AL111,0)-$AM111))</f>
        <v>-797</v>
      </c>
      <c r="AO111" s="118"/>
      <c r="AP111" s="75" t="str">
        <f aca="false">IF(OR(SUM($AC111)&lt;=0,SUM($G111)&lt;=0),"",ROUND($G111*$AC111,0))</f>
        <v/>
      </c>
      <c r="AQ111" s="75" t="str">
        <f aca="false">IF(SUM($AP111)&lt;=0,"",IF(SUM($AO111)&lt;=0,"ENTER VALID YIELD!",ROUND($AP111/$AO111,0)-$AP111))</f>
        <v/>
      </c>
      <c r="AR111" s="118"/>
      <c r="AS111" s="75" t="str">
        <f aca="false">IF(OR(SUM($AD111)&lt;=0,SUM($G111)&lt;=0),"",ROUND($G111*$AD111,0))</f>
        <v/>
      </c>
      <c r="AT111" s="75" t="str">
        <f aca="false">IF(SUM($AS111)&lt;=0,"",IF(SUM($AR111)&lt;=0,"ENTER VALID YIELD!",ROUND($AS111/$AR111,0)-$AS111))</f>
        <v/>
      </c>
      <c r="AU111" s="118"/>
      <c r="AV111" s="75" t="n">
        <f aca="false">IF(OR(SUM($AE111)&lt;=0,SUM($G111)&lt;=0),"",ROUND($G111*$AE111,0))</f>
        <v>90</v>
      </c>
      <c r="AW111" s="75" t="str">
        <f aca="false">IF(SUM($AV111)&lt;=0,"",IF(SUM($AU111)&lt;=0,"ENTER VALID YIELD!",ROUND($AV111/$AU111,0)-$AV111))</f>
        <v>ENTER VALID YIELD!</v>
      </c>
      <c r="AX111" s="118"/>
      <c r="AY111" s="75" t="n">
        <f aca="false">IF(OR(SUM($AF111)&lt;=0,SUM($G111)&lt;=0),"",ROUND($G111*$AF111,0))</f>
        <v>198</v>
      </c>
      <c r="AZ111" s="75" t="str">
        <f aca="false">IF(SUM($AY111)&lt;=0,"",IF(SUM($AX111)&lt;=0,"ENTER VALID YIELD!",ROUND($AY111/$AX111,0)-$AY111))</f>
        <v>ENTER VALID YIELD!</v>
      </c>
      <c r="BA111" s="118" t="n">
        <v>36</v>
      </c>
      <c r="BB111" s="75" t="n">
        <f aca="false">IF(OR(SUM($AG111)&lt;=0,SUM($G111)&lt;=0),"",ROUND($G111*$AG111,0))</f>
        <v>18</v>
      </c>
      <c r="BC111" s="75" t="n">
        <f aca="false">IF(SUM($BB111)&lt;=0,"",IF(SUM($BA111)&lt;=0,"ENTER VALID YIELD!",ROUND($BB111/$BA111,0)-$BB111))</f>
        <v>-17</v>
      </c>
      <c r="BD111" s="118"/>
      <c r="BE111" s="75" t="n">
        <f aca="false">IF(OR(SUM($AH111)&lt;=0,SUM($G111)&lt;=0),"",ROUND($G111*$AH111,0))</f>
        <v>630</v>
      </c>
      <c r="BF111" s="75" t="str">
        <f aca="false">IF(SUM($BE111)&lt;=0,"",IF(SUM($BD111)&lt;=0,"ENTER VALID YIELD!",ROUND($BE111/$BD111,0)-$BE111))</f>
        <v>ENTER VALID YIELD!</v>
      </c>
      <c r="BG111" s="118" t="n">
        <v>34</v>
      </c>
      <c r="BH111" s="75" t="n">
        <f aca="false">IF(OR(SUM($AI111)&lt;=0,SUM($G111)&lt;=0),"",ROUND($G111*$AI111,0))</f>
        <v>468</v>
      </c>
      <c r="BI111" s="75" t="n">
        <f aca="false">IF(SUM($BH111)&lt;=0,"",IF(SUM($BG111)&lt;=0,"ENTER VALID YIELD!",ROUND($BH111/$BG111,0)-$BH111))</f>
        <v>-454</v>
      </c>
      <c r="BJ111" s="118"/>
      <c r="BK111" s="75" t="n">
        <f aca="false">IF(OR(SUM($AJ111)&lt;=0,SUM($G111)&lt;=0),"",ROUND($G111*$AJ111,0))</f>
        <v>900</v>
      </c>
      <c r="BL111" s="75" t="str">
        <f aca="false">IF(SUM($BK111)&lt;=0,"",IF(SUM($BJ111)&lt;=0,"ENTER VALID YIELD!",ROUND($BK111/$BJ111,0)-$BK111))</f>
        <v>ENTER VALID YIELD!</v>
      </c>
      <c r="BM111" s="73" t="n">
        <f aca="false">IF(SUM($G111)&lt;=0,"",$G111)</f>
        <v>18</v>
      </c>
      <c r="BN111" s="73" t="n">
        <f aca="false">IF(SUM($G111)&lt;=0,"",SUM($I111:$L111,$Q111,$S111,$AM111,$AP111,$AS111,$AV111,$AY111,$BB111,$BE111,$BH111,$BK111))</f>
        <v>-46473</v>
      </c>
      <c r="BO111" s="73" t="n">
        <f aca="false">IF(AND(SUM($BN111)&lt;=0,SUM($BM111)&lt;=0),"",SUM($BN111)-SUM($BM111))</f>
        <v>-46491</v>
      </c>
      <c r="BP111" s="73" t="n">
        <f aca="false">_xlfn.IFNA(INDEX(PMTCT!$AF:$AF,MATCH($E111,PMTCT!$E:$E,0)),"")</f>
        <v>24149</v>
      </c>
      <c r="BQ111" s="73" t="str">
        <f aca="false">_xlfn.IFNA(INDEX(PMTCT!$AV:$AV,MATCH($E111,PMTCT!$E:$E,0)),"")</f>
        <v/>
      </c>
      <c r="BR111" s="73" t="n">
        <f aca="false">_xlfn.IFNA(INDEX(TB!$R:$R,MATCH($E111,TB!$E:$E,0)),"")</f>
        <v>22919</v>
      </c>
      <c r="BS111" s="73" t="str">
        <f aca="false">_xlfn.IFNA(INDEX(VMMC!$AD:$AD,MATCH($E111,VMMC!$E:$E,0)),"")</f>
        <v/>
      </c>
      <c r="BT111" s="73" t="n">
        <f aca="false">IF(SUM($R111,$T111,$AN111,$AQ111,$AT111,$AW111,$AZ111,$BC111,$BF111,$BI111,$BL111,$BP111:$BS111)=0,"",SUM($R111,$T111,$AN111,$AQ111,$AT111,$AW111,$AZ111,$BC111,$BF111,$BI111,$BL111,$BP111:$BS111))</f>
        <v>45597</v>
      </c>
      <c r="BU111" s="73" t="n">
        <f aca="false">IF(OR(SUM($BT111)=0,SUM($BN111)=0),"",SUM($BT111,$BN111))</f>
        <v>-876</v>
      </c>
      <c r="BV111" s="118" t="n">
        <f aca="false">IF(SUM($BU111)=0,"",SUM($BN111)/$BU111)</f>
        <v>53.0513698630137</v>
      </c>
      <c r="BW111" s="73" t="n">
        <v>50</v>
      </c>
      <c r="BX111" s="118" t="n">
        <f aca="false">IF(OR($C111="01-04",$C111="05-09"),"",0%)</f>
        <v>0</v>
      </c>
      <c r="BY111" s="75" t="n">
        <f aca="false">IF(OR($C111="01-04",$C111="05-09",SUM($BW111)=0),"",ROUND($BW111*(1+$BX111),0))</f>
        <v>50</v>
      </c>
    </row>
    <row r="112" customFormat="false" ht="15" hidden="false" customHeight="false" outlineLevel="0" collapsed="false">
      <c r="A112" s="0" t="s">
        <v>145</v>
      </c>
      <c r="B112" s="0" t="s">
        <v>107</v>
      </c>
      <c r="C112" s="0" t="s">
        <v>66</v>
      </c>
      <c r="D112" s="0" t="s">
        <v>58</v>
      </c>
      <c r="E112" s="0" t="str">
        <f aca="false">B112&amp;"|"&amp;C112&amp;"|"&amp;D112</f>
        <v>Mafeteng [#SNU] [#DREAMS] [DiFv5WXIHM5]|20-24|Male</v>
      </c>
      <c r="F112" s="118" t="n">
        <f aca="false">_xlfn.IFNA(INDEX(Cascade!$Y:$Y,MATCH($E112,Cascade!$E:$E,0)),"")</f>
        <v>0.583333333333333</v>
      </c>
      <c r="G112" s="73" t="n">
        <f aca="false">_xlfn.IFNA(INDEX(Cascade!$BD:$BD,MATCH($E112,Cascade!$E:$E,0)),"")</f>
        <v>4</v>
      </c>
      <c r="H112" s="73" t="n">
        <f aca="false">_xlfn.IFNA(INDEX(Cascade!$BE:$BE,MATCH($E112,Cascade!$E:$E,0)),"")</f>
        <v>1</v>
      </c>
      <c r="I112" s="73" t="str">
        <f aca="false">_xlfn.IFNA(INDEX(Cascade!$BF:$BF,MATCH($E112,Cascade!$E:$E,0)),"")</f>
        <v/>
      </c>
      <c r="J112" s="73" t="str">
        <f aca="false">_xlfn.IFNA(INDEX(Cascade!$BG:$BG,MATCH($E112,Cascade!$E:$E,0)),"")</f>
        <v/>
      </c>
      <c r="K112" s="73" t="n">
        <f aca="false">_xlfn.IFNA(INDEX(Cascade!$BH:$BH,MATCH($E112,Cascade!$E:$E,0)),"")</f>
        <v>-18900</v>
      </c>
      <c r="L112" s="73" t="str">
        <f aca="false">_xlfn.IFNA(INDEX(Cascade!$BI:$BI,MATCH($E112,Cascade!$E:$E,0)),"")</f>
        <v/>
      </c>
      <c r="M112" s="73" t="n">
        <f aca="false">_xlfn.IFNA(INDEX(Cascade!$BK:$BK,MATCH($E112,Cascade!$E:$E,0)),"")</f>
        <v>18903</v>
      </c>
      <c r="N112" s="118" t="n">
        <v>29</v>
      </c>
      <c r="O112" s="118" t="n">
        <v>4</v>
      </c>
      <c r="P112" s="118" t="n">
        <v>2</v>
      </c>
      <c r="Q112" s="75" t="n">
        <f aca="false">IF(OR(SUM($H112)=0,SUM($N112)=0,SUM($O112)=0),"",ROUND($H112*$N112,0))</f>
        <v>29</v>
      </c>
      <c r="R112" s="75" t="n">
        <f aca="false">IF(OR(SUM($Q112)=0,SUM($O112)=0),"",ROUND(SUM($Q112)/SUM($O112),0)-SUM($Q112))</f>
        <v>-22</v>
      </c>
      <c r="S112" s="75" t="n">
        <f aca="false">IF(SUM($H112)=0,"",SUM($H112)-SUM($Q112))</f>
        <v>-28</v>
      </c>
      <c r="T112" s="75" t="str">
        <f aca="false">IF(OR(SUM($S112)=0,$N112&gt;1,SUM($P112)&lt;=0),"",ROUND($S112/$P112,0)-$S112)</f>
        <v/>
      </c>
      <c r="U112" s="118" t="n">
        <f aca="false">IF(SUM($G112)&lt;=0,"",SUM($Q112,$S112)/$G112)</f>
        <v>0.25</v>
      </c>
      <c r="V112" s="118" t="n">
        <f aca="false">IF(OR(SUM($Q112)=0,SUM($G112)=0),"",SUM($Q112)/SUM($G112))</f>
        <v>7.25</v>
      </c>
      <c r="W112" s="118" t="n">
        <f aca="false">IF(OR(SUM($S112)=0,SUM($G112)=0),"",SUM($S112)/SUM($G112))</f>
        <v>-7</v>
      </c>
      <c r="X112" s="118" t="str">
        <f aca="false">IF(OR(SUM($G112)=0,SUM($I112)=0),"",SUM($I112)/SUM($G112))</f>
        <v/>
      </c>
      <c r="Y112" s="118" t="str">
        <f aca="false">IF(OR(SUM($G112)=0,SUM($J112)=0),"",SUM($J112)/SUM($G112))</f>
        <v/>
      </c>
      <c r="Z112" s="118" t="n">
        <f aca="false">IF(OR(SUM($G112)=0,SUM($K112)=0),"",SUM($K112)/SUM($G112))</f>
        <v>-4725</v>
      </c>
      <c r="AA112" s="118" t="str">
        <f aca="false">IF(OR(SUM($G112)=0,SUM($L112)=0),"",SUM($L112)/SUM($G112))</f>
        <v/>
      </c>
      <c r="AB112" s="118" t="n">
        <v>22</v>
      </c>
      <c r="AC112" s="118"/>
      <c r="AD112" s="118"/>
      <c r="AE112" s="118" t="n">
        <v>0</v>
      </c>
      <c r="AF112" s="118" t="n">
        <v>4</v>
      </c>
      <c r="AG112" s="118" t="n">
        <v>41</v>
      </c>
      <c r="AH112" s="118" t="n">
        <v>49</v>
      </c>
      <c r="AI112" s="118" t="n">
        <v>28</v>
      </c>
      <c r="AJ112" s="118" t="n">
        <v>21</v>
      </c>
      <c r="AK112" s="118" t="n">
        <f aca="false">IF(SUM($G112)&lt;=0,"",SUM($V112:$AJ112))</f>
        <v>-4559.75</v>
      </c>
      <c r="AL112" s="118" t="n">
        <v>38</v>
      </c>
      <c r="AM112" s="75" t="n">
        <f aca="false">IF(OR(SUM($AB112)&lt;=0,SUM($G112)&lt;=0),"",ROUND($G112*$AB112,0))</f>
        <v>88</v>
      </c>
      <c r="AN112" s="75" t="n">
        <f aca="false">IF(SUM($AM112)&lt;=0,"",IF(SUM($AL112)&lt;=0,"ENTER VALID YIELD!",ROUND($AM112/$AL112,0)-$AM112))</f>
        <v>-86</v>
      </c>
      <c r="AO112" s="118"/>
      <c r="AP112" s="75" t="str">
        <f aca="false">IF(OR(SUM($AC112)&lt;=0,SUM($G112)&lt;=0),"",ROUND($G112*$AC112,0))</f>
        <v/>
      </c>
      <c r="AQ112" s="75" t="str">
        <f aca="false">IF(SUM($AP112)&lt;=0,"",IF(SUM($AO112)&lt;=0,"ENTER VALID YIELD!",ROUND($AP112/$AO112,0)-$AP112))</f>
        <v/>
      </c>
      <c r="AR112" s="118"/>
      <c r="AS112" s="75" t="str">
        <f aca="false">IF(OR(SUM($AD112)&lt;=0,SUM($G112)&lt;=0),"",ROUND($G112*$AD112,0))</f>
        <v/>
      </c>
      <c r="AT112" s="75" t="str">
        <f aca="false">IF(SUM($AS112)&lt;=0,"",IF(SUM($AR112)&lt;=0,"ENTER VALID YIELD!",ROUND($AS112/$AR112,0)-$AS112))</f>
        <v/>
      </c>
      <c r="AU112" s="118"/>
      <c r="AV112" s="75" t="str">
        <f aca="false">IF(OR(SUM($AE112)&lt;=0,SUM($G112)&lt;=0),"",ROUND($G112*$AE112,0))</f>
        <v/>
      </c>
      <c r="AW112" s="75" t="str">
        <f aca="false">IF(SUM($AV112)&lt;=0,"",IF(SUM($AU112)&lt;=0,"ENTER VALID YIELD!",ROUND($AV112/$AU112,0)-$AV112))</f>
        <v/>
      </c>
      <c r="AX112" s="118"/>
      <c r="AY112" s="75" t="n">
        <f aca="false">IF(OR(SUM($AF112)&lt;=0,SUM($G112)&lt;=0),"",ROUND($G112*$AF112,0))</f>
        <v>16</v>
      </c>
      <c r="AZ112" s="75" t="str">
        <f aca="false">IF(SUM($AY112)&lt;=0,"",IF(SUM($AX112)&lt;=0,"ENTER VALID YIELD!",ROUND($AY112/$AX112,0)-$AY112))</f>
        <v>ENTER VALID YIELD!</v>
      </c>
      <c r="BA112" s="118" t="n">
        <v>26</v>
      </c>
      <c r="BB112" s="75" t="n">
        <f aca="false">IF(OR(SUM($AG112)&lt;=0,SUM($G112)&lt;=0),"",ROUND($G112*$AG112,0))</f>
        <v>164</v>
      </c>
      <c r="BC112" s="75" t="n">
        <f aca="false">IF(SUM($BB112)&lt;=0,"",IF(SUM($BA112)&lt;=0,"ENTER VALID YIELD!",ROUND($BB112/$BA112,0)-$BB112))</f>
        <v>-158</v>
      </c>
      <c r="BD112" s="118"/>
      <c r="BE112" s="75" t="n">
        <f aca="false">IF(OR(SUM($AH112)&lt;=0,SUM($G112)&lt;=0),"",ROUND($G112*$AH112,0))</f>
        <v>196</v>
      </c>
      <c r="BF112" s="75" t="str">
        <f aca="false">IF(SUM($BE112)&lt;=0,"",IF(SUM($BD112)&lt;=0,"ENTER VALID YIELD!",ROUND($BE112/$BD112,0)-$BE112))</f>
        <v>ENTER VALID YIELD!</v>
      </c>
      <c r="BG112" s="118" t="n">
        <v>46</v>
      </c>
      <c r="BH112" s="75" t="n">
        <f aca="false">IF(OR(SUM($AI112)&lt;=0,SUM($G112)&lt;=0),"",ROUND($G112*$AI112,0))</f>
        <v>112</v>
      </c>
      <c r="BI112" s="75" t="n">
        <f aca="false">IF(SUM($BH112)&lt;=0,"",IF(SUM($BG112)&lt;=0,"ENTER VALID YIELD!",ROUND($BH112/$BG112,0)-$BH112))</f>
        <v>-110</v>
      </c>
      <c r="BJ112" s="118" t="n">
        <v>27</v>
      </c>
      <c r="BK112" s="75" t="n">
        <f aca="false">IF(OR(SUM($AJ112)&lt;=0,SUM($G112)&lt;=0),"",ROUND($G112*$AJ112,0))</f>
        <v>84</v>
      </c>
      <c r="BL112" s="75" t="n">
        <f aca="false">IF(SUM($BK112)&lt;=0,"",IF(SUM($BJ112)&lt;=0,"ENTER VALID YIELD!",ROUND($BK112/$BJ112,0)-$BK112))</f>
        <v>-81</v>
      </c>
      <c r="BM112" s="73" t="n">
        <f aca="false">IF(SUM($G112)&lt;=0,"",$G112)</f>
        <v>4</v>
      </c>
      <c r="BN112" s="73" t="n">
        <f aca="false">IF(SUM($G112)&lt;=0,"",SUM($I112:$L112,$Q112,$S112,$AM112,$AP112,$AS112,$AV112,$AY112,$BB112,$BE112,$BH112,$BK112))</f>
        <v>-18239</v>
      </c>
      <c r="BO112" s="73" t="n">
        <f aca="false">IF(AND(SUM($BN112)&lt;=0,SUM($BM112)&lt;=0),"",SUM($BN112)-SUM($BM112))</f>
        <v>-18243</v>
      </c>
      <c r="BP112" s="73" t="str">
        <f aca="false">_xlfn.IFNA(INDEX(PMTCT!$AF:$AF,MATCH($E112,PMTCT!$E:$E,0)),"")</f>
        <v/>
      </c>
      <c r="BQ112" s="73" t="str">
        <f aca="false">_xlfn.IFNA(INDEX(PMTCT!$AV:$AV,MATCH($E112,PMTCT!$E:$E,0)),"")</f>
        <v/>
      </c>
      <c r="BR112" s="73" t="n">
        <f aca="false">_xlfn.IFNA(INDEX(TB!$R:$R,MATCH($E112,TB!$E:$E,0)),"")</f>
        <v>17850</v>
      </c>
      <c r="BS112" s="73" t="str">
        <f aca="false">_xlfn.IFNA(INDEX(VMMC!$AD:$AD,MATCH($E112,VMMC!$E:$E,0)),"")</f>
        <v/>
      </c>
      <c r="BT112" s="73" t="n">
        <f aca="false">IF(SUM($R112,$T112,$AN112,$AQ112,$AT112,$AW112,$AZ112,$BC112,$BF112,$BI112,$BL112,$BP112:$BS112)=0,"",SUM($R112,$T112,$AN112,$AQ112,$AT112,$AW112,$AZ112,$BC112,$BF112,$BI112,$BL112,$BP112:$BS112))</f>
        <v>17393</v>
      </c>
      <c r="BU112" s="73" t="n">
        <f aca="false">IF(OR(SUM($BT112)=0,SUM($BN112)=0),"",SUM($BT112,$BN112))</f>
        <v>-846</v>
      </c>
      <c r="BV112" s="118" t="n">
        <f aca="false">IF(SUM($BU112)=0,"",SUM($BN112)/$BU112)</f>
        <v>21.5591016548463</v>
      </c>
      <c r="BW112" s="73" t="n">
        <v>20</v>
      </c>
      <c r="BX112" s="118" t="n">
        <f aca="false">IF(OR($C112="01-04",$C112="05-09"),"",0%)</f>
        <v>0</v>
      </c>
      <c r="BY112" s="75" t="n">
        <f aca="false">IF(OR($C112="01-04",$C112="05-09",SUM($BW112)=0),"",ROUND($BW112*(1+$BX112),0))</f>
        <v>20</v>
      </c>
    </row>
    <row r="113" customFormat="false" ht="15" hidden="false" customHeight="false" outlineLevel="0" collapsed="false">
      <c r="A113" s="0" t="s">
        <v>145</v>
      </c>
      <c r="B113" s="0" t="s">
        <v>107</v>
      </c>
      <c r="C113" s="0" t="s">
        <v>69</v>
      </c>
      <c r="D113" s="0" t="s">
        <v>56</v>
      </c>
      <c r="E113" s="0" t="str">
        <f aca="false">B113&amp;"|"&amp;C113&amp;"|"&amp;D113</f>
        <v>Mafeteng [#SNU] [#DREAMS] [DiFv5WXIHM5]|25-29|Female</v>
      </c>
      <c r="F113" s="118" t="n">
        <f aca="false">_xlfn.IFNA(INDEX(Cascade!$Y:$Y,MATCH($E113,Cascade!$E:$E,0)),"")</f>
        <v>0.639663335086796</v>
      </c>
      <c r="G113" s="73" t="n">
        <f aca="false">_xlfn.IFNA(INDEX(Cascade!$BD:$BD,MATCH($E113,Cascade!$E:$E,0)),"")</f>
        <v>13</v>
      </c>
      <c r="H113" s="73" t="n">
        <f aca="false">_xlfn.IFNA(INDEX(Cascade!$BE:$BE,MATCH($E113,Cascade!$E:$E,0)),"")</f>
        <v>4</v>
      </c>
      <c r="I113" s="73" t="n">
        <f aca="false">_xlfn.IFNA(INDEX(Cascade!$BF:$BF,MATCH($E113,Cascade!$E:$E,0)),"")</f>
        <v>-16740</v>
      </c>
      <c r="J113" s="73" t="str">
        <f aca="false">_xlfn.IFNA(INDEX(Cascade!$BG:$BG,MATCH($E113,Cascade!$E:$E,0)),"")</f>
        <v/>
      </c>
      <c r="K113" s="73" t="n">
        <f aca="false">_xlfn.IFNA(INDEX(Cascade!$BH:$BH,MATCH($E113,Cascade!$E:$E,0)),"")</f>
        <v>-23408</v>
      </c>
      <c r="L113" s="73" t="str">
        <f aca="false">_xlfn.IFNA(INDEX(Cascade!$BI:$BI,MATCH($E113,Cascade!$E:$E,0)),"")</f>
        <v/>
      </c>
      <c r="M113" s="73" t="n">
        <f aca="false">_xlfn.IFNA(INDEX(Cascade!$BK:$BK,MATCH($E113,Cascade!$E:$E,0)),"")</f>
        <v>40157</v>
      </c>
      <c r="N113" s="118" t="n">
        <v>28</v>
      </c>
      <c r="O113" s="118" t="n">
        <v>13</v>
      </c>
      <c r="P113" s="118" t="n">
        <v>6</v>
      </c>
      <c r="Q113" s="75" t="n">
        <f aca="false">IF(OR(SUM($H113)=0,SUM($N113)=0,SUM($O113)=0),"",ROUND($H113*$N113,0))</f>
        <v>112</v>
      </c>
      <c r="R113" s="75" t="n">
        <f aca="false">IF(OR(SUM($Q113)=0,SUM($O113)=0),"",ROUND(SUM($Q113)/SUM($O113),0)-SUM($Q113))</f>
        <v>-103</v>
      </c>
      <c r="S113" s="75" t="n">
        <f aca="false">IF(SUM($H113)=0,"",SUM($H113)-SUM($Q113))</f>
        <v>-108</v>
      </c>
      <c r="T113" s="75" t="str">
        <f aca="false">IF(OR(SUM($S113)=0,$N113&gt;1,SUM($P113)&lt;=0),"",ROUND($S113/$P113,0)-$S113)</f>
        <v/>
      </c>
      <c r="U113" s="118" t="n">
        <f aca="false">IF(SUM($G113)&lt;=0,"",SUM($Q113,$S113)/$G113)</f>
        <v>0.307692307692308</v>
      </c>
      <c r="V113" s="118" t="n">
        <f aca="false">IF(OR(SUM($Q113)=0,SUM($G113)=0),"",SUM($Q113)/SUM($G113))</f>
        <v>8.61538461538462</v>
      </c>
      <c r="W113" s="118" t="n">
        <f aca="false">IF(OR(SUM($S113)=0,SUM($G113)=0),"",SUM($S113)/SUM($G113))</f>
        <v>-8.30769230769231</v>
      </c>
      <c r="X113" s="118" t="n">
        <f aca="false">IF(OR(SUM($G113)=0,SUM($I113)=0),"",SUM($I113)/SUM($G113))</f>
        <v>-1287.69230769231</v>
      </c>
      <c r="Y113" s="118" t="str">
        <f aca="false">IF(OR(SUM($G113)=0,SUM($J113)=0),"",SUM($J113)/SUM($G113))</f>
        <v/>
      </c>
      <c r="Z113" s="118" t="n">
        <f aca="false">IF(OR(SUM($G113)=0,SUM($K113)=0),"",SUM($K113)/SUM($G113))</f>
        <v>-1800.61538461538</v>
      </c>
      <c r="AA113" s="118" t="str">
        <f aca="false">IF(OR(SUM($G113)=0,SUM($L113)=0),"",SUM($L113)/SUM($G113))</f>
        <v/>
      </c>
      <c r="AB113" s="118" t="n">
        <v>38</v>
      </c>
      <c r="AC113" s="118"/>
      <c r="AD113" s="118"/>
      <c r="AE113" s="118" t="n">
        <v>13</v>
      </c>
      <c r="AF113" s="118" t="n">
        <v>38</v>
      </c>
      <c r="AG113" s="118" t="n">
        <v>9</v>
      </c>
      <c r="AH113" s="118" t="n">
        <v>9</v>
      </c>
      <c r="AI113" s="118" t="n">
        <v>6</v>
      </c>
      <c r="AJ113" s="118" t="n">
        <v>8</v>
      </c>
      <c r="AK113" s="118" t="n">
        <f aca="false">IF(SUM($G113)&lt;=0,"",SUM($V113:$AJ113))</f>
        <v>-2967</v>
      </c>
      <c r="AL113" s="118" t="n">
        <v>47</v>
      </c>
      <c r="AM113" s="75" t="n">
        <f aca="false">IF(OR(SUM($AB113)&lt;=0,SUM($G113)&lt;=0),"",ROUND($G113*$AB113,0))</f>
        <v>494</v>
      </c>
      <c r="AN113" s="75" t="n">
        <f aca="false">IF(SUM($AM113)&lt;=0,"",IF(SUM($AL113)&lt;=0,"ENTER VALID YIELD!",ROUND($AM113/$AL113,0)-$AM113))</f>
        <v>-483</v>
      </c>
      <c r="AO113" s="118"/>
      <c r="AP113" s="75" t="str">
        <f aca="false">IF(OR(SUM($AC113)&lt;=0,SUM($G113)&lt;=0),"",ROUND($G113*$AC113,0))</f>
        <v/>
      </c>
      <c r="AQ113" s="75" t="str">
        <f aca="false">IF(SUM($AP113)&lt;=0,"",IF(SUM($AO113)&lt;=0,"ENTER VALID YIELD!",ROUND($AP113/$AO113,0)-$AP113))</f>
        <v/>
      </c>
      <c r="AR113" s="118"/>
      <c r="AS113" s="75" t="str">
        <f aca="false">IF(OR(SUM($AD113)&lt;=0,SUM($G113)&lt;=0),"",ROUND($G113*$AD113,0))</f>
        <v/>
      </c>
      <c r="AT113" s="75" t="str">
        <f aca="false">IF(SUM($AS113)&lt;=0,"",IF(SUM($AR113)&lt;=0,"ENTER VALID YIELD!",ROUND($AS113/$AR113,0)-$AS113))</f>
        <v/>
      </c>
      <c r="AU113" s="118"/>
      <c r="AV113" s="75" t="n">
        <f aca="false">IF(OR(SUM($AE113)&lt;=0,SUM($G113)&lt;=0),"",ROUND($G113*$AE113,0))</f>
        <v>169</v>
      </c>
      <c r="AW113" s="75" t="str">
        <f aca="false">IF(SUM($AV113)&lt;=0,"",IF(SUM($AU113)&lt;=0,"ENTER VALID YIELD!",ROUND($AV113/$AU113,0)-$AV113))</f>
        <v>ENTER VALID YIELD!</v>
      </c>
      <c r="AX113" s="118"/>
      <c r="AY113" s="75" t="n">
        <f aca="false">IF(OR(SUM($AF113)&lt;=0,SUM($G113)&lt;=0),"",ROUND($G113*$AF113,0))</f>
        <v>494</v>
      </c>
      <c r="AZ113" s="75" t="str">
        <f aca="false">IF(SUM($AY113)&lt;=0,"",IF(SUM($AX113)&lt;=0,"ENTER VALID YIELD!",ROUND($AY113/$AX113,0)-$AY113))</f>
        <v>ENTER VALID YIELD!</v>
      </c>
      <c r="BA113" s="118" t="n">
        <v>23</v>
      </c>
      <c r="BB113" s="75" t="n">
        <f aca="false">IF(OR(SUM($AG113)&lt;=0,SUM($G113)&lt;=0),"",ROUND($G113*$AG113,0))</f>
        <v>117</v>
      </c>
      <c r="BC113" s="75" t="n">
        <f aca="false">IF(SUM($BB113)&lt;=0,"",IF(SUM($BA113)&lt;=0,"ENTER VALID YIELD!",ROUND($BB113/$BA113,0)-$BB113))</f>
        <v>-112</v>
      </c>
      <c r="BD113" s="118"/>
      <c r="BE113" s="75" t="n">
        <f aca="false">IF(OR(SUM($AH113)&lt;=0,SUM($G113)&lt;=0),"",ROUND($G113*$AH113,0))</f>
        <v>117</v>
      </c>
      <c r="BF113" s="75" t="str">
        <f aca="false">IF(SUM($BE113)&lt;=0,"",IF(SUM($BD113)&lt;=0,"ENTER VALID YIELD!",ROUND($BE113/$BD113,0)-$BE113))</f>
        <v>ENTER VALID YIELD!</v>
      </c>
      <c r="BG113" s="118" t="n">
        <v>29</v>
      </c>
      <c r="BH113" s="75" t="n">
        <f aca="false">IF(OR(SUM($AI113)&lt;=0,SUM($G113)&lt;=0),"",ROUND($G113*$AI113,0))</f>
        <v>78</v>
      </c>
      <c r="BI113" s="75" t="n">
        <f aca="false">IF(SUM($BH113)&lt;=0,"",IF(SUM($BG113)&lt;=0,"ENTER VALID YIELD!",ROUND($BH113/$BG113,0)-$BH113))</f>
        <v>-75</v>
      </c>
      <c r="BJ113" s="118" t="n">
        <v>28</v>
      </c>
      <c r="BK113" s="75" t="n">
        <f aca="false">IF(OR(SUM($AJ113)&lt;=0,SUM($G113)&lt;=0),"",ROUND($G113*$AJ113,0))</f>
        <v>104</v>
      </c>
      <c r="BL113" s="75" t="n">
        <f aca="false">IF(SUM($BK113)&lt;=0,"",IF(SUM($BJ113)&lt;=0,"ENTER VALID YIELD!",ROUND($BK113/$BJ113,0)-$BK113))</f>
        <v>-100</v>
      </c>
      <c r="BM113" s="73" t="n">
        <f aca="false">IF(SUM($G113)&lt;=0,"",$G113)</f>
        <v>13</v>
      </c>
      <c r="BN113" s="73" t="n">
        <f aca="false">IF(SUM($G113)&lt;=0,"",SUM($I113:$L113,$Q113,$S113,$AM113,$AP113,$AS113,$AV113,$AY113,$BB113,$BE113,$BH113,$BK113))</f>
        <v>-38571</v>
      </c>
      <c r="BO113" s="73" t="n">
        <f aca="false">IF(AND(SUM($BN113)&lt;=0,SUM($BM113)&lt;=0),"",SUM($BN113)-SUM($BM113))</f>
        <v>-38584</v>
      </c>
      <c r="BP113" s="73" t="n">
        <f aca="false">_xlfn.IFNA(INDEX(PMTCT!$AF:$AF,MATCH($E113,PMTCT!$E:$E,0)),"")</f>
        <v>16200</v>
      </c>
      <c r="BQ113" s="73" t="str">
        <f aca="false">_xlfn.IFNA(INDEX(PMTCT!$AV:$AV,MATCH($E113,PMTCT!$E:$E,0)),"")</f>
        <v/>
      </c>
      <c r="BR113" s="73" t="n">
        <f aca="false">_xlfn.IFNA(INDEX(TB!$R:$R,MATCH($E113,TB!$E:$E,0)),"")</f>
        <v>22876</v>
      </c>
      <c r="BS113" s="73" t="str">
        <f aca="false">_xlfn.IFNA(INDEX(VMMC!$AD:$AD,MATCH($E113,VMMC!$E:$E,0)),"")</f>
        <v/>
      </c>
      <c r="BT113" s="73" t="n">
        <f aca="false">IF(SUM($R113,$T113,$AN113,$AQ113,$AT113,$AW113,$AZ113,$BC113,$BF113,$BI113,$BL113,$BP113:$BS113)=0,"",SUM($R113,$T113,$AN113,$AQ113,$AT113,$AW113,$AZ113,$BC113,$BF113,$BI113,$BL113,$BP113:$BS113))</f>
        <v>38203</v>
      </c>
      <c r="BU113" s="73" t="n">
        <f aca="false">IF(OR(SUM($BT113)=0,SUM($BN113)=0),"",SUM($BT113,$BN113))</f>
        <v>-368</v>
      </c>
      <c r="BV113" s="118" t="n">
        <f aca="false">IF(SUM($BU113)=0,"",SUM($BN113)/$BU113)</f>
        <v>104.8125</v>
      </c>
      <c r="BW113" s="73" t="n">
        <v>11</v>
      </c>
      <c r="BX113" s="118" t="n">
        <f aca="false">IF(OR($C113="01-04",$C113="05-09"),"",0%)</f>
        <v>0</v>
      </c>
      <c r="BY113" s="75" t="n">
        <f aca="false">IF(OR($C113="01-04",$C113="05-09",SUM($BW113)=0),"",ROUND($BW113*(1+$BX113),0))</f>
        <v>11</v>
      </c>
    </row>
    <row r="114" customFormat="false" ht="15" hidden="false" customHeight="false" outlineLevel="0" collapsed="false">
      <c r="A114" s="0" t="s">
        <v>145</v>
      </c>
      <c r="B114" s="0" t="s">
        <v>107</v>
      </c>
      <c r="C114" s="0" t="s">
        <v>69</v>
      </c>
      <c r="D114" s="0" t="s">
        <v>58</v>
      </c>
      <c r="E114" s="0" t="str">
        <f aca="false">B114&amp;"|"&amp;C114&amp;"|"&amp;D114</f>
        <v>Mafeteng [#SNU] [#DREAMS] [DiFv5WXIHM5]|25-29|Male</v>
      </c>
      <c r="F114" s="118" t="n">
        <f aca="false">_xlfn.IFNA(INDEX(Cascade!$Y:$Y,MATCH($E114,Cascade!$E:$E,0)),"")</f>
        <v>0.477673935617861</v>
      </c>
      <c r="G114" s="73" t="n">
        <f aca="false">_xlfn.IFNA(INDEX(Cascade!$BD:$BD,MATCH($E114,Cascade!$E:$E,0)),"")</f>
        <v>20</v>
      </c>
      <c r="H114" s="73" t="n">
        <f aca="false">_xlfn.IFNA(INDEX(Cascade!$BE:$BE,MATCH($E114,Cascade!$E:$E,0)),"")</f>
        <v>6</v>
      </c>
      <c r="I114" s="73" t="str">
        <f aca="false">_xlfn.IFNA(INDEX(Cascade!$BF:$BF,MATCH($E114,Cascade!$E:$E,0)),"")</f>
        <v/>
      </c>
      <c r="J114" s="73" t="str">
        <f aca="false">_xlfn.IFNA(INDEX(Cascade!$BG:$BG,MATCH($E114,Cascade!$E:$E,0)),"")</f>
        <v/>
      </c>
      <c r="K114" s="73" t="n">
        <f aca="false">_xlfn.IFNA(INDEX(Cascade!$BH:$BH,MATCH($E114,Cascade!$E:$E,0)),"")</f>
        <v>-10824</v>
      </c>
      <c r="L114" s="73" t="str">
        <f aca="false">_xlfn.IFNA(INDEX(Cascade!$BI:$BI,MATCH($E114,Cascade!$E:$E,0)),"")</f>
        <v/>
      </c>
      <c r="M114" s="73" t="n">
        <f aca="false">_xlfn.IFNA(INDEX(Cascade!$BK:$BK,MATCH($E114,Cascade!$E:$E,0)),"")</f>
        <v>10838</v>
      </c>
      <c r="N114" s="118" t="n">
        <v>10</v>
      </c>
      <c r="O114" s="118" t="n">
        <v>0</v>
      </c>
      <c r="P114" s="118" t="n">
        <v>22</v>
      </c>
      <c r="Q114" s="75" t="str">
        <f aca="false">IF(OR(SUM($H114)=0,SUM($N114)=0,SUM($O114)=0),"",ROUND($H114*$N114,0))</f>
        <v/>
      </c>
      <c r="R114" s="75" t="str">
        <f aca="false">IF(OR(SUM($Q114)=0,SUM($O114)=0),"",ROUND(SUM($Q114)/SUM($O114),0)-SUM($Q114))</f>
        <v/>
      </c>
      <c r="S114" s="75" t="n">
        <f aca="false">IF(SUM($H114)=0,"",SUM($H114)-SUM($Q114))</f>
        <v>6</v>
      </c>
      <c r="T114" s="75" t="str">
        <f aca="false">IF(OR(SUM($S114)=0,$N114&gt;1,SUM($P114)&lt;=0),"",ROUND($S114/$P114,0)-$S114)</f>
        <v/>
      </c>
      <c r="U114" s="118" t="n">
        <f aca="false">IF(SUM($G114)&lt;=0,"",SUM($Q114,$S114)/$G114)</f>
        <v>0.3</v>
      </c>
      <c r="V114" s="118" t="str">
        <f aca="false">IF(OR(SUM($Q114)=0,SUM($G114)=0),"",SUM($Q114)/SUM($G114))</f>
        <v/>
      </c>
      <c r="W114" s="118" t="n">
        <f aca="false">IF(OR(SUM($S114)=0,SUM($G114)=0),"",SUM($S114)/SUM($G114))</f>
        <v>0.3</v>
      </c>
      <c r="X114" s="118" t="str">
        <f aca="false">IF(OR(SUM($G114)=0,SUM($I114)=0),"",SUM($I114)/SUM($G114))</f>
        <v/>
      </c>
      <c r="Y114" s="118" t="str">
        <f aca="false">IF(OR(SUM($G114)=0,SUM($J114)=0),"",SUM($J114)/SUM($G114))</f>
        <v/>
      </c>
      <c r="Z114" s="118" t="n">
        <f aca="false">IF(OR(SUM($G114)=0,SUM($K114)=0),"",SUM($K114)/SUM($G114))</f>
        <v>-541.2</v>
      </c>
      <c r="AA114" s="118" t="str">
        <f aca="false">IF(OR(SUM($G114)=0,SUM($L114)=0),"",SUM($L114)/SUM($G114))</f>
        <v/>
      </c>
      <c r="AB114" s="118" t="n">
        <v>28</v>
      </c>
      <c r="AC114" s="118"/>
      <c r="AD114" s="118"/>
      <c r="AE114" s="118" t="n">
        <v>9</v>
      </c>
      <c r="AF114" s="118" t="n">
        <v>16</v>
      </c>
      <c r="AG114" s="118" t="n">
        <v>28</v>
      </c>
      <c r="AH114" s="118" t="n">
        <v>20</v>
      </c>
      <c r="AI114" s="118" t="n">
        <v>33</v>
      </c>
      <c r="AJ114" s="118" t="n">
        <v>21</v>
      </c>
      <c r="AK114" s="118" t="n">
        <f aca="false">IF(SUM($G114)&lt;=0,"",SUM($V114:$AJ114))</f>
        <v>-385.9</v>
      </c>
      <c r="AL114" s="118" t="n">
        <v>15</v>
      </c>
      <c r="AM114" s="75" t="n">
        <f aca="false">IF(OR(SUM($AB114)&lt;=0,SUM($G114)&lt;=0),"",ROUND($G114*$AB114,0))</f>
        <v>560</v>
      </c>
      <c r="AN114" s="75" t="n">
        <f aca="false">IF(SUM($AM114)&lt;=0,"",IF(SUM($AL114)&lt;=0,"ENTER VALID YIELD!",ROUND($AM114/$AL114,0)-$AM114))</f>
        <v>-523</v>
      </c>
      <c r="AO114" s="118"/>
      <c r="AP114" s="75" t="str">
        <f aca="false">IF(OR(SUM($AC114)&lt;=0,SUM($G114)&lt;=0),"",ROUND($G114*$AC114,0))</f>
        <v/>
      </c>
      <c r="AQ114" s="75" t="str">
        <f aca="false">IF(SUM($AP114)&lt;=0,"",IF(SUM($AO114)&lt;=0,"ENTER VALID YIELD!",ROUND($AP114/$AO114,0)-$AP114))</f>
        <v/>
      </c>
      <c r="AR114" s="118"/>
      <c r="AS114" s="75" t="str">
        <f aca="false">IF(OR(SUM($AD114)&lt;=0,SUM($G114)&lt;=0),"",ROUND($G114*$AD114,0))</f>
        <v/>
      </c>
      <c r="AT114" s="75" t="str">
        <f aca="false">IF(SUM($AS114)&lt;=0,"",IF(SUM($AR114)&lt;=0,"ENTER VALID YIELD!",ROUND($AS114/$AR114,0)-$AS114))</f>
        <v/>
      </c>
      <c r="AU114" s="118"/>
      <c r="AV114" s="75" t="n">
        <f aca="false">IF(OR(SUM($AE114)&lt;=0,SUM($G114)&lt;=0),"",ROUND($G114*$AE114,0))</f>
        <v>180</v>
      </c>
      <c r="AW114" s="75" t="str">
        <f aca="false">IF(SUM($AV114)&lt;=0,"",IF(SUM($AU114)&lt;=0,"ENTER VALID YIELD!",ROUND($AV114/$AU114,0)-$AV114))</f>
        <v>ENTER VALID YIELD!</v>
      </c>
      <c r="AX114" s="118"/>
      <c r="AY114" s="75" t="n">
        <f aca="false">IF(OR(SUM($AF114)&lt;=0,SUM($G114)&lt;=0),"",ROUND($G114*$AF114,0))</f>
        <v>320</v>
      </c>
      <c r="AZ114" s="75" t="str">
        <f aca="false">IF(SUM($AY114)&lt;=0,"",IF(SUM($AX114)&lt;=0,"ENTER VALID YIELD!",ROUND($AY114/$AX114,0)-$AY114))</f>
        <v>ENTER VALID YIELD!</v>
      </c>
      <c r="BA114" s="118" t="n">
        <v>13</v>
      </c>
      <c r="BB114" s="75" t="n">
        <f aca="false">IF(OR(SUM($AG114)&lt;=0,SUM($G114)&lt;=0),"",ROUND($G114*$AG114,0))</f>
        <v>560</v>
      </c>
      <c r="BC114" s="75" t="n">
        <f aca="false">IF(SUM($BB114)&lt;=0,"",IF(SUM($BA114)&lt;=0,"ENTER VALID YIELD!",ROUND($BB114/$BA114,0)-$BB114))</f>
        <v>-517</v>
      </c>
      <c r="BD114" s="118"/>
      <c r="BE114" s="75" t="n">
        <f aca="false">IF(OR(SUM($AH114)&lt;=0,SUM($G114)&lt;=0),"",ROUND($G114*$AH114,0))</f>
        <v>400</v>
      </c>
      <c r="BF114" s="75" t="str">
        <f aca="false">IF(SUM($BE114)&lt;=0,"",IF(SUM($BD114)&lt;=0,"ENTER VALID YIELD!",ROUND($BE114/$BD114,0)-$BE114))</f>
        <v>ENTER VALID YIELD!</v>
      </c>
      <c r="BG114" s="118" t="n">
        <v>46</v>
      </c>
      <c r="BH114" s="75" t="n">
        <f aca="false">IF(OR(SUM($AI114)&lt;=0,SUM($G114)&lt;=0),"",ROUND($G114*$AI114,0))</f>
        <v>660</v>
      </c>
      <c r="BI114" s="75" t="n">
        <f aca="false">IF(SUM($BH114)&lt;=0,"",IF(SUM($BG114)&lt;=0,"ENTER VALID YIELD!",ROUND($BH114/$BG114,0)-$BH114))</f>
        <v>-646</v>
      </c>
      <c r="BJ114" s="118" t="n">
        <v>23</v>
      </c>
      <c r="BK114" s="75" t="n">
        <f aca="false">IF(OR(SUM($AJ114)&lt;=0,SUM($G114)&lt;=0),"",ROUND($G114*$AJ114,0))</f>
        <v>420</v>
      </c>
      <c r="BL114" s="75" t="n">
        <f aca="false">IF(SUM($BK114)&lt;=0,"",IF(SUM($BJ114)&lt;=0,"ENTER VALID YIELD!",ROUND($BK114/$BJ114,0)-$BK114))</f>
        <v>-402</v>
      </c>
      <c r="BM114" s="73" t="n">
        <f aca="false">IF(SUM($G114)&lt;=0,"",$G114)</f>
        <v>20</v>
      </c>
      <c r="BN114" s="73" t="n">
        <f aca="false">IF(SUM($G114)&lt;=0,"",SUM($I114:$L114,$Q114,$S114,$AM114,$AP114,$AS114,$AV114,$AY114,$BB114,$BE114,$BH114,$BK114))</f>
        <v>-7718</v>
      </c>
      <c r="BO114" s="73" t="n">
        <f aca="false">IF(AND(SUM($BN114)&lt;=0,SUM($BM114)&lt;=0),"",SUM($BN114)-SUM($BM114))</f>
        <v>-7738</v>
      </c>
      <c r="BP114" s="73" t="str">
        <f aca="false">_xlfn.IFNA(INDEX(PMTCT!$AF:$AF,MATCH($E114,PMTCT!$E:$E,0)),"")</f>
        <v/>
      </c>
      <c r="BQ114" s="73" t="str">
        <f aca="false">_xlfn.IFNA(INDEX(PMTCT!$AV:$AV,MATCH($E114,PMTCT!$E:$E,0)),"")</f>
        <v/>
      </c>
      <c r="BR114" s="73" t="n">
        <f aca="false">_xlfn.IFNA(INDEX(TB!$R:$R,MATCH($E114,TB!$E:$E,0)),"")</f>
        <v>10373</v>
      </c>
      <c r="BS114" s="73" t="str">
        <f aca="false">_xlfn.IFNA(INDEX(VMMC!$AD:$AD,MATCH($E114,VMMC!$E:$E,0)),"")</f>
        <v/>
      </c>
      <c r="BT114" s="73" t="n">
        <f aca="false">IF(SUM($R114,$T114,$AN114,$AQ114,$AT114,$AW114,$AZ114,$BC114,$BF114,$BI114,$BL114,$BP114:$BS114)=0,"",SUM($R114,$T114,$AN114,$AQ114,$AT114,$AW114,$AZ114,$BC114,$BF114,$BI114,$BL114,$BP114:$BS114))</f>
        <v>8285</v>
      </c>
      <c r="BU114" s="73" t="n">
        <f aca="false">IF(OR(SUM($BT114)=0,SUM($BN114)=0),"",SUM($BT114,$BN114))</f>
        <v>567</v>
      </c>
      <c r="BV114" s="118" t="n">
        <f aca="false">IF(SUM($BU114)=0,"",SUM($BN114)/$BU114)</f>
        <v>-13.6119929453263</v>
      </c>
      <c r="BW114" s="73" t="n">
        <v>22</v>
      </c>
      <c r="BX114" s="118" t="n">
        <f aca="false">IF(OR($C114="01-04",$C114="05-09"),"",0%)</f>
        <v>0</v>
      </c>
      <c r="BY114" s="75" t="n">
        <f aca="false">IF(OR($C114="01-04",$C114="05-09",SUM($BW114)=0),"",ROUND($BW114*(1+$BX114),0))</f>
        <v>22</v>
      </c>
    </row>
    <row r="115" customFormat="false" ht="15" hidden="false" customHeight="false" outlineLevel="0" collapsed="false">
      <c r="A115" s="0" t="s">
        <v>145</v>
      </c>
      <c r="B115" s="0" t="s">
        <v>107</v>
      </c>
      <c r="C115" s="0" t="s">
        <v>72</v>
      </c>
      <c r="D115" s="0" t="s">
        <v>56</v>
      </c>
      <c r="E115" s="0" t="str">
        <f aca="false">B115&amp;"|"&amp;C115&amp;"|"&amp;D115</f>
        <v>Mafeteng [#SNU] [#DREAMS] [DiFv5WXIHM5]|30-34|Female</v>
      </c>
      <c r="F115" s="118" t="n">
        <f aca="false">_xlfn.IFNA(INDEX(Cascade!$Y:$Y,MATCH($E115,Cascade!$E:$E,0)),"")</f>
        <v>0.611551528878822</v>
      </c>
      <c r="G115" s="73" t="n">
        <f aca="false">_xlfn.IFNA(INDEX(Cascade!$BD:$BD,MATCH($E115,Cascade!$E:$E,0)),"")</f>
        <v>24</v>
      </c>
      <c r="H115" s="73" t="n">
        <f aca="false">_xlfn.IFNA(INDEX(Cascade!$BE:$BE,MATCH($E115,Cascade!$E:$E,0)),"")</f>
        <v>7</v>
      </c>
      <c r="I115" s="73" t="n">
        <f aca="false">_xlfn.IFNA(INDEX(Cascade!$BF:$BF,MATCH($E115,Cascade!$E:$E,0)),"")</f>
        <v>-360</v>
      </c>
      <c r="J115" s="73" t="str">
        <f aca="false">_xlfn.IFNA(INDEX(Cascade!$BG:$BG,MATCH($E115,Cascade!$E:$E,0)),"")</f>
        <v/>
      </c>
      <c r="K115" s="73" t="n">
        <f aca="false">_xlfn.IFNA(INDEX(Cascade!$BH:$BH,MATCH($E115,Cascade!$E:$E,0)),"")</f>
        <v>-5184</v>
      </c>
      <c r="L115" s="73" t="str">
        <f aca="false">_xlfn.IFNA(INDEX(Cascade!$BI:$BI,MATCH($E115,Cascade!$E:$E,0)),"")</f>
        <v/>
      </c>
      <c r="M115" s="73" t="n">
        <f aca="false">_xlfn.IFNA(INDEX(Cascade!$BK:$BK,MATCH($E115,Cascade!$E:$E,0)),"")</f>
        <v>5561</v>
      </c>
      <c r="N115" s="118" t="n">
        <v>22</v>
      </c>
      <c r="O115" s="118" t="n">
        <v>23</v>
      </c>
      <c r="P115" s="118" t="n">
        <v>10</v>
      </c>
      <c r="Q115" s="75" t="n">
        <f aca="false">IF(OR(SUM($H115)=0,SUM($N115)=0,SUM($O115)=0),"",ROUND($H115*$N115,0))</f>
        <v>154</v>
      </c>
      <c r="R115" s="75" t="n">
        <f aca="false">IF(OR(SUM($Q115)=0,SUM($O115)=0),"",ROUND(SUM($Q115)/SUM($O115),0)-SUM($Q115))</f>
        <v>-147</v>
      </c>
      <c r="S115" s="75" t="n">
        <f aca="false">IF(SUM($H115)=0,"",SUM($H115)-SUM($Q115))</f>
        <v>-147</v>
      </c>
      <c r="T115" s="75" t="str">
        <f aca="false">IF(OR(SUM($S115)=0,$N115&gt;1,SUM($P115)&lt;=0),"",ROUND($S115/$P115,0)-$S115)</f>
        <v/>
      </c>
      <c r="U115" s="118" t="n">
        <f aca="false">IF(SUM($G115)&lt;=0,"",SUM($Q115,$S115)/$G115)</f>
        <v>0.291666666666667</v>
      </c>
      <c r="V115" s="118" t="n">
        <f aca="false">IF(OR(SUM($Q115)=0,SUM($G115)=0),"",SUM($Q115)/SUM($G115))</f>
        <v>6.41666666666667</v>
      </c>
      <c r="W115" s="118" t="n">
        <f aca="false">IF(OR(SUM($S115)=0,SUM($G115)=0),"",SUM($S115)/SUM($G115))</f>
        <v>-6.125</v>
      </c>
      <c r="X115" s="118" t="n">
        <f aca="false">IF(OR(SUM($G115)=0,SUM($I115)=0),"",SUM($I115)/SUM($G115))</f>
        <v>-15</v>
      </c>
      <c r="Y115" s="118" t="str">
        <f aca="false">IF(OR(SUM($G115)=0,SUM($J115)=0),"",SUM($J115)/SUM($G115))</f>
        <v/>
      </c>
      <c r="Z115" s="118" t="n">
        <f aca="false">IF(OR(SUM($G115)=0,SUM($K115)=0),"",SUM($K115)/SUM($G115))</f>
        <v>-216</v>
      </c>
      <c r="AA115" s="118" t="str">
        <f aca="false">IF(OR(SUM($G115)=0,SUM($L115)=0),"",SUM($L115)/SUM($G115))</f>
        <v/>
      </c>
      <c r="AB115" s="118" t="n">
        <v>19</v>
      </c>
      <c r="AC115" s="118"/>
      <c r="AD115" s="118"/>
      <c r="AE115" s="118" t="n">
        <v>13</v>
      </c>
      <c r="AF115" s="118" t="n">
        <v>42</v>
      </c>
      <c r="AG115" s="118" t="n">
        <v>12</v>
      </c>
      <c r="AH115" s="118" t="n">
        <v>26</v>
      </c>
      <c r="AI115" s="118" t="n">
        <v>4</v>
      </c>
      <c r="AJ115" s="118" t="n">
        <v>30</v>
      </c>
      <c r="AK115" s="118" t="n">
        <f aca="false">IF(SUM($G115)&lt;=0,"",SUM($V115:$AJ115))</f>
        <v>-84.7083333333333</v>
      </c>
      <c r="AL115" s="118" t="n">
        <v>33</v>
      </c>
      <c r="AM115" s="75" t="n">
        <f aca="false">IF(OR(SUM($AB115)&lt;=0,SUM($G115)&lt;=0),"",ROUND($G115*$AB115,0))</f>
        <v>456</v>
      </c>
      <c r="AN115" s="75" t="n">
        <f aca="false">IF(SUM($AM115)&lt;=0,"",IF(SUM($AL115)&lt;=0,"ENTER VALID YIELD!",ROUND($AM115/$AL115,0)-$AM115))</f>
        <v>-442</v>
      </c>
      <c r="AO115" s="118"/>
      <c r="AP115" s="75" t="str">
        <f aca="false">IF(OR(SUM($AC115)&lt;=0,SUM($G115)&lt;=0),"",ROUND($G115*$AC115,0))</f>
        <v/>
      </c>
      <c r="AQ115" s="75" t="str">
        <f aca="false">IF(SUM($AP115)&lt;=0,"",IF(SUM($AO115)&lt;=0,"ENTER VALID YIELD!",ROUND($AP115/$AO115,0)-$AP115))</f>
        <v/>
      </c>
      <c r="AR115" s="118"/>
      <c r="AS115" s="75" t="str">
        <f aca="false">IF(OR(SUM($AD115)&lt;=0,SUM($G115)&lt;=0),"",ROUND($G115*$AD115,0))</f>
        <v/>
      </c>
      <c r="AT115" s="75" t="str">
        <f aca="false">IF(SUM($AS115)&lt;=0,"",IF(SUM($AR115)&lt;=0,"ENTER VALID YIELD!",ROUND($AS115/$AR115,0)-$AS115))</f>
        <v/>
      </c>
      <c r="AU115" s="118"/>
      <c r="AV115" s="75" t="n">
        <f aca="false">IF(OR(SUM($AE115)&lt;=0,SUM($G115)&lt;=0),"",ROUND($G115*$AE115,0))</f>
        <v>312</v>
      </c>
      <c r="AW115" s="75" t="str">
        <f aca="false">IF(SUM($AV115)&lt;=0,"",IF(SUM($AU115)&lt;=0,"ENTER VALID YIELD!",ROUND($AV115/$AU115,0)-$AV115))</f>
        <v>ENTER VALID YIELD!</v>
      </c>
      <c r="AX115" s="118"/>
      <c r="AY115" s="75" t="n">
        <f aca="false">IF(OR(SUM($AF115)&lt;=0,SUM($G115)&lt;=0),"",ROUND($G115*$AF115,0))</f>
        <v>1008</v>
      </c>
      <c r="AZ115" s="75" t="str">
        <f aca="false">IF(SUM($AY115)&lt;=0,"",IF(SUM($AX115)&lt;=0,"ENTER VALID YIELD!",ROUND($AY115/$AX115,0)-$AY115))</f>
        <v>ENTER VALID YIELD!</v>
      </c>
      <c r="BA115" s="118" t="n">
        <v>40</v>
      </c>
      <c r="BB115" s="75" t="n">
        <f aca="false">IF(OR(SUM($AG115)&lt;=0,SUM($G115)&lt;=0),"",ROUND($G115*$AG115,0))</f>
        <v>288</v>
      </c>
      <c r="BC115" s="75" t="n">
        <f aca="false">IF(SUM($BB115)&lt;=0,"",IF(SUM($BA115)&lt;=0,"ENTER VALID YIELD!",ROUND($BB115/$BA115,0)-$BB115))</f>
        <v>-281</v>
      </c>
      <c r="BD115" s="118"/>
      <c r="BE115" s="75" t="n">
        <f aca="false">IF(OR(SUM($AH115)&lt;=0,SUM($G115)&lt;=0),"",ROUND($G115*$AH115,0))</f>
        <v>624</v>
      </c>
      <c r="BF115" s="75" t="str">
        <f aca="false">IF(SUM($BE115)&lt;=0,"",IF(SUM($BD115)&lt;=0,"ENTER VALID YIELD!",ROUND($BE115/$BD115,0)-$BE115))</f>
        <v>ENTER VALID YIELD!</v>
      </c>
      <c r="BG115" s="118" t="n">
        <v>40</v>
      </c>
      <c r="BH115" s="75" t="n">
        <f aca="false">IF(OR(SUM($AI115)&lt;=0,SUM($G115)&lt;=0),"",ROUND($G115*$AI115,0))</f>
        <v>96</v>
      </c>
      <c r="BI115" s="75" t="n">
        <f aca="false">IF(SUM($BH115)&lt;=0,"",IF(SUM($BG115)&lt;=0,"ENTER VALID YIELD!",ROUND($BH115/$BG115,0)-$BH115))</f>
        <v>-94</v>
      </c>
      <c r="BJ115" s="118"/>
      <c r="BK115" s="75" t="n">
        <f aca="false">IF(OR(SUM($AJ115)&lt;=0,SUM($G115)&lt;=0),"",ROUND($G115*$AJ115,0))</f>
        <v>720</v>
      </c>
      <c r="BL115" s="75" t="str">
        <f aca="false">IF(SUM($BK115)&lt;=0,"",IF(SUM($BJ115)&lt;=0,"ENTER VALID YIELD!",ROUND($BK115/$BJ115,0)-$BK115))</f>
        <v>ENTER VALID YIELD!</v>
      </c>
      <c r="BM115" s="73" t="n">
        <f aca="false">IF(SUM($G115)&lt;=0,"",$G115)</f>
        <v>24</v>
      </c>
      <c r="BN115" s="73" t="n">
        <f aca="false">IF(SUM($G115)&lt;=0,"",SUM($I115:$L115,$Q115,$S115,$AM115,$AP115,$AS115,$AV115,$AY115,$BB115,$BE115,$BH115,$BK115))</f>
        <v>-2033</v>
      </c>
      <c r="BO115" s="73" t="n">
        <f aca="false">IF(AND(SUM($BN115)&lt;=0,SUM($BM115)&lt;=0),"",SUM($BN115)-SUM($BM115))</f>
        <v>-2057</v>
      </c>
      <c r="BP115" s="73" t="n">
        <f aca="false">_xlfn.IFNA(INDEX(PMTCT!$AF:$AF,MATCH($E115,PMTCT!$E:$E,0)),"")</f>
        <v>336</v>
      </c>
      <c r="BQ115" s="73" t="str">
        <f aca="false">_xlfn.IFNA(INDEX(PMTCT!$AV:$AV,MATCH($E115,PMTCT!$E:$E,0)),"")</f>
        <v/>
      </c>
      <c r="BR115" s="73" t="n">
        <f aca="false">_xlfn.IFNA(INDEX(TB!$R:$R,MATCH($E115,TB!$E:$E,0)),"")</f>
        <v>4968</v>
      </c>
      <c r="BS115" s="73" t="str">
        <f aca="false">_xlfn.IFNA(INDEX(VMMC!$AD:$AD,MATCH($E115,VMMC!$E:$E,0)),"")</f>
        <v/>
      </c>
      <c r="BT115" s="73" t="n">
        <f aca="false">IF(SUM($R115,$T115,$AN115,$AQ115,$AT115,$AW115,$AZ115,$BC115,$BF115,$BI115,$BL115,$BP115:$BS115)=0,"",SUM($R115,$T115,$AN115,$AQ115,$AT115,$AW115,$AZ115,$BC115,$BF115,$BI115,$BL115,$BP115:$BS115))</f>
        <v>4340</v>
      </c>
      <c r="BU115" s="73" t="n">
        <f aca="false">IF(OR(SUM($BT115)=0,SUM($BN115)=0),"",SUM($BT115,$BN115))</f>
        <v>2307</v>
      </c>
      <c r="BV115" s="118" t="n">
        <f aca="false">IF(SUM($BU115)=0,"",SUM($BN115)/$BU115)</f>
        <v>-0.88123103597746</v>
      </c>
      <c r="BW115" s="73" t="n">
        <v>23</v>
      </c>
      <c r="BX115" s="118" t="n">
        <f aca="false">IF(OR($C115="01-04",$C115="05-09"),"",0%)</f>
        <v>0</v>
      </c>
      <c r="BY115" s="75" t="n">
        <f aca="false">IF(OR($C115="01-04",$C115="05-09",SUM($BW115)=0),"",ROUND($BW115*(1+$BX115),0))</f>
        <v>23</v>
      </c>
    </row>
    <row r="116" customFormat="false" ht="15" hidden="false" customHeight="false" outlineLevel="0" collapsed="false">
      <c r="A116" s="0" t="s">
        <v>145</v>
      </c>
      <c r="B116" s="0" t="s">
        <v>107</v>
      </c>
      <c r="C116" s="0" t="s">
        <v>72</v>
      </c>
      <c r="D116" s="0" t="s">
        <v>58</v>
      </c>
      <c r="E116" s="0" t="str">
        <f aca="false">B116&amp;"|"&amp;C116&amp;"|"&amp;D116</f>
        <v>Mafeteng [#SNU] [#DREAMS] [DiFv5WXIHM5]|30-34|Male</v>
      </c>
      <c r="F116" s="118" t="n">
        <f aca="false">_xlfn.IFNA(INDEX(Cascade!$Y:$Y,MATCH($E116,Cascade!$E:$E,0)),"")</f>
        <v>0.456610366919045</v>
      </c>
      <c r="G116" s="73" t="n">
        <f aca="false">_xlfn.IFNA(INDEX(Cascade!$BD:$BD,MATCH($E116,Cascade!$E:$E,0)),"")</f>
        <v>39</v>
      </c>
      <c r="H116" s="73" t="n">
        <f aca="false">_xlfn.IFNA(INDEX(Cascade!$BE:$BE,MATCH($E116,Cascade!$E:$E,0)),"")</f>
        <v>12</v>
      </c>
      <c r="I116" s="73" t="str">
        <f aca="false">_xlfn.IFNA(INDEX(Cascade!$BF:$BF,MATCH($E116,Cascade!$E:$E,0)),"")</f>
        <v/>
      </c>
      <c r="J116" s="73" t="str">
        <f aca="false">_xlfn.IFNA(INDEX(Cascade!$BG:$BG,MATCH($E116,Cascade!$E:$E,0)),"")</f>
        <v/>
      </c>
      <c r="K116" s="73" t="n">
        <f aca="false">_xlfn.IFNA(INDEX(Cascade!$BH:$BH,MATCH($E116,Cascade!$E:$E,0)),"")</f>
        <v>-39560</v>
      </c>
      <c r="L116" s="73" t="str">
        <f aca="false">_xlfn.IFNA(INDEX(Cascade!$BI:$BI,MATCH($E116,Cascade!$E:$E,0)),"")</f>
        <v/>
      </c>
      <c r="M116" s="73" t="n">
        <f aca="false">_xlfn.IFNA(INDEX(Cascade!$BK:$BK,MATCH($E116,Cascade!$E:$E,0)),"")</f>
        <v>39587</v>
      </c>
      <c r="N116" s="118" t="n">
        <v>22</v>
      </c>
      <c r="O116" s="118" t="n">
        <v>37</v>
      </c>
      <c r="P116" s="118" t="n">
        <v>37</v>
      </c>
      <c r="Q116" s="75" t="n">
        <f aca="false">IF(OR(SUM($H116)=0,SUM($N116)=0,SUM($O116)=0),"",ROUND($H116*$N116,0))</f>
        <v>264</v>
      </c>
      <c r="R116" s="75" t="n">
        <f aca="false">IF(OR(SUM($Q116)=0,SUM($O116)=0),"",ROUND(SUM($Q116)/SUM($O116),0)-SUM($Q116))</f>
        <v>-257</v>
      </c>
      <c r="S116" s="75" t="n">
        <f aca="false">IF(SUM($H116)=0,"",SUM($H116)-SUM($Q116))</f>
        <v>-252</v>
      </c>
      <c r="T116" s="75" t="str">
        <f aca="false">IF(OR(SUM($S116)=0,$N116&gt;1,SUM($P116)&lt;=0),"",ROUND($S116/$P116,0)-$S116)</f>
        <v/>
      </c>
      <c r="U116" s="118" t="n">
        <f aca="false">IF(SUM($G116)&lt;=0,"",SUM($Q116,$S116)/$G116)</f>
        <v>0.307692307692308</v>
      </c>
      <c r="V116" s="118" t="n">
        <f aca="false">IF(OR(SUM($Q116)=0,SUM($G116)=0),"",SUM($Q116)/SUM($G116))</f>
        <v>6.76923076923077</v>
      </c>
      <c r="W116" s="118" t="n">
        <f aca="false">IF(OR(SUM($S116)=0,SUM($G116)=0),"",SUM($S116)/SUM($G116))</f>
        <v>-6.46153846153846</v>
      </c>
      <c r="X116" s="118" t="str">
        <f aca="false">IF(OR(SUM($G116)=0,SUM($I116)=0),"",SUM($I116)/SUM($G116))</f>
        <v/>
      </c>
      <c r="Y116" s="118" t="str">
        <f aca="false">IF(OR(SUM($G116)=0,SUM($J116)=0),"",SUM($J116)/SUM($G116))</f>
        <v/>
      </c>
      <c r="Z116" s="118" t="n">
        <f aca="false">IF(OR(SUM($G116)=0,SUM($K116)=0),"",SUM($K116)/SUM($G116))</f>
        <v>-1014.35897435897</v>
      </c>
      <c r="AA116" s="118" t="str">
        <f aca="false">IF(OR(SUM($G116)=0,SUM($L116)=0),"",SUM($L116)/SUM($G116))</f>
        <v/>
      </c>
      <c r="AB116" s="118" t="n">
        <v>24</v>
      </c>
      <c r="AC116" s="118"/>
      <c r="AD116" s="118"/>
      <c r="AE116" s="118" t="n">
        <v>49</v>
      </c>
      <c r="AF116" s="118" t="n">
        <v>41</v>
      </c>
      <c r="AG116" s="118" t="n">
        <v>41</v>
      </c>
      <c r="AH116" s="118" t="n">
        <v>22</v>
      </c>
      <c r="AI116" s="118" t="n">
        <v>45</v>
      </c>
      <c r="AJ116" s="118" t="n">
        <v>28</v>
      </c>
      <c r="AK116" s="118" t="n">
        <f aca="false">IF(SUM($G116)&lt;=0,"",SUM($V116:$AJ116))</f>
        <v>-764.051282051282</v>
      </c>
      <c r="AL116" s="118" t="n">
        <v>34</v>
      </c>
      <c r="AM116" s="75" t="n">
        <f aca="false">IF(OR(SUM($AB116)&lt;=0,SUM($G116)&lt;=0),"",ROUND($G116*$AB116,0))</f>
        <v>936</v>
      </c>
      <c r="AN116" s="75" t="n">
        <f aca="false">IF(SUM($AM116)&lt;=0,"",IF(SUM($AL116)&lt;=0,"ENTER VALID YIELD!",ROUND($AM116/$AL116,0)-$AM116))</f>
        <v>-908</v>
      </c>
      <c r="AO116" s="118"/>
      <c r="AP116" s="75" t="str">
        <f aca="false">IF(OR(SUM($AC116)&lt;=0,SUM($G116)&lt;=0),"",ROUND($G116*$AC116,0))</f>
        <v/>
      </c>
      <c r="AQ116" s="75" t="str">
        <f aca="false">IF(SUM($AP116)&lt;=0,"",IF(SUM($AO116)&lt;=0,"ENTER VALID YIELD!",ROUND($AP116/$AO116,0)-$AP116))</f>
        <v/>
      </c>
      <c r="AR116" s="118"/>
      <c r="AS116" s="75" t="str">
        <f aca="false">IF(OR(SUM($AD116)&lt;=0,SUM($G116)&lt;=0),"",ROUND($G116*$AD116,0))</f>
        <v/>
      </c>
      <c r="AT116" s="75" t="str">
        <f aca="false">IF(SUM($AS116)&lt;=0,"",IF(SUM($AR116)&lt;=0,"ENTER VALID YIELD!",ROUND($AS116/$AR116,0)-$AS116))</f>
        <v/>
      </c>
      <c r="AU116" s="118"/>
      <c r="AV116" s="75" t="n">
        <f aca="false">IF(OR(SUM($AE116)&lt;=0,SUM($G116)&lt;=0),"",ROUND($G116*$AE116,0))</f>
        <v>1911</v>
      </c>
      <c r="AW116" s="75" t="str">
        <f aca="false">IF(SUM($AV116)&lt;=0,"",IF(SUM($AU116)&lt;=0,"ENTER VALID YIELD!",ROUND($AV116/$AU116,0)-$AV116))</f>
        <v>ENTER VALID YIELD!</v>
      </c>
      <c r="AX116" s="118"/>
      <c r="AY116" s="75" t="n">
        <f aca="false">IF(OR(SUM($AF116)&lt;=0,SUM($G116)&lt;=0),"",ROUND($G116*$AF116,0))</f>
        <v>1599</v>
      </c>
      <c r="AZ116" s="75" t="str">
        <f aca="false">IF(SUM($AY116)&lt;=0,"",IF(SUM($AX116)&lt;=0,"ENTER VALID YIELD!",ROUND($AY116/$AX116,0)-$AY116))</f>
        <v>ENTER VALID YIELD!</v>
      </c>
      <c r="BA116" s="118" t="n">
        <v>27</v>
      </c>
      <c r="BB116" s="75" t="n">
        <f aca="false">IF(OR(SUM($AG116)&lt;=0,SUM($G116)&lt;=0),"",ROUND($G116*$AG116,0))</f>
        <v>1599</v>
      </c>
      <c r="BC116" s="75" t="n">
        <f aca="false">IF(SUM($BB116)&lt;=0,"",IF(SUM($BA116)&lt;=0,"ENTER VALID YIELD!",ROUND($BB116/$BA116,0)-$BB116))</f>
        <v>-1540</v>
      </c>
      <c r="BD116" s="118"/>
      <c r="BE116" s="75" t="n">
        <f aca="false">IF(OR(SUM($AH116)&lt;=0,SUM($G116)&lt;=0),"",ROUND($G116*$AH116,0))</f>
        <v>858</v>
      </c>
      <c r="BF116" s="75" t="str">
        <f aca="false">IF(SUM($BE116)&lt;=0,"",IF(SUM($BD116)&lt;=0,"ENTER VALID YIELD!",ROUND($BE116/$BD116,0)-$BE116))</f>
        <v>ENTER VALID YIELD!</v>
      </c>
      <c r="BG116" s="118" t="n">
        <v>7</v>
      </c>
      <c r="BH116" s="75" t="n">
        <f aca="false">IF(OR(SUM($AI116)&lt;=0,SUM($G116)&lt;=0),"",ROUND($G116*$AI116,0))</f>
        <v>1755</v>
      </c>
      <c r="BI116" s="75" t="n">
        <f aca="false">IF(SUM($BH116)&lt;=0,"",IF(SUM($BG116)&lt;=0,"ENTER VALID YIELD!",ROUND($BH116/$BG116,0)-$BH116))</f>
        <v>-1504</v>
      </c>
      <c r="BJ116" s="118" t="n">
        <v>40</v>
      </c>
      <c r="BK116" s="75" t="n">
        <f aca="false">IF(OR(SUM($AJ116)&lt;=0,SUM($G116)&lt;=0),"",ROUND($G116*$AJ116,0))</f>
        <v>1092</v>
      </c>
      <c r="BL116" s="75" t="n">
        <f aca="false">IF(SUM($BK116)&lt;=0,"",IF(SUM($BJ116)&lt;=0,"ENTER VALID YIELD!",ROUND($BK116/$BJ116,0)-$BK116))</f>
        <v>-1065</v>
      </c>
      <c r="BM116" s="73" t="n">
        <f aca="false">IF(SUM($G116)&lt;=0,"",$G116)</f>
        <v>39</v>
      </c>
      <c r="BN116" s="73" t="n">
        <f aca="false">IF(SUM($G116)&lt;=0,"",SUM($I116:$L116,$Q116,$S116,$AM116,$AP116,$AS116,$AV116,$AY116,$BB116,$BE116,$BH116,$BK116))</f>
        <v>-29798</v>
      </c>
      <c r="BO116" s="73" t="n">
        <f aca="false">IF(AND(SUM($BN116)&lt;=0,SUM($BM116)&lt;=0),"",SUM($BN116)-SUM($BM116))</f>
        <v>-29837</v>
      </c>
      <c r="BP116" s="73" t="str">
        <f aca="false">_xlfn.IFNA(INDEX(PMTCT!$AF:$AF,MATCH($E116,PMTCT!$E:$E,0)),"")</f>
        <v/>
      </c>
      <c r="BQ116" s="73" t="str">
        <f aca="false">_xlfn.IFNA(INDEX(PMTCT!$AV:$AV,MATCH($E116,PMTCT!$E:$E,0)),"")</f>
        <v/>
      </c>
      <c r="BR116" s="73" t="n">
        <f aca="false">_xlfn.IFNA(INDEX(TB!$R:$R,MATCH($E116,TB!$E:$E,0)),"")</f>
        <v>37840</v>
      </c>
      <c r="BS116" s="73" t="str">
        <f aca="false">_xlfn.IFNA(INDEX(VMMC!$AD:$AD,MATCH($E116,VMMC!$E:$E,0)),"")</f>
        <v/>
      </c>
      <c r="BT116" s="73" t="n">
        <f aca="false">IF(SUM($R116,$T116,$AN116,$AQ116,$AT116,$AW116,$AZ116,$BC116,$BF116,$BI116,$BL116,$BP116:$BS116)=0,"",SUM($R116,$T116,$AN116,$AQ116,$AT116,$AW116,$AZ116,$BC116,$BF116,$BI116,$BL116,$BP116:$BS116))</f>
        <v>32566</v>
      </c>
      <c r="BU116" s="73" t="n">
        <f aca="false">IF(OR(SUM($BT116)=0,SUM($BN116)=0),"",SUM($BT116,$BN116))</f>
        <v>2768</v>
      </c>
      <c r="BV116" s="118" t="n">
        <f aca="false">IF(SUM($BU116)=0,"",SUM($BN116)/$BU116)</f>
        <v>-10.7651734104046</v>
      </c>
      <c r="BW116" s="73" t="n">
        <v>26</v>
      </c>
      <c r="BX116" s="118" t="n">
        <f aca="false">IF(OR($C116="01-04",$C116="05-09"),"",0%)</f>
        <v>0</v>
      </c>
      <c r="BY116" s="75" t="n">
        <f aca="false">IF(OR($C116="01-04",$C116="05-09",SUM($BW116)=0),"",ROUND($BW116*(1+$BX116),0))</f>
        <v>26</v>
      </c>
    </row>
    <row r="117" customFormat="false" ht="15" hidden="false" customHeight="false" outlineLevel="0" collapsed="false">
      <c r="A117" s="0" t="s">
        <v>145</v>
      </c>
      <c r="B117" s="0" t="s">
        <v>107</v>
      </c>
      <c r="C117" s="0" t="s">
        <v>75</v>
      </c>
      <c r="D117" s="0" t="s">
        <v>56</v>
      </c>
      <c r="E117" s="0" t="str">
        <f aca="false">B117&amp;"|"&amp;C117&amp;"|"&amp;D117</f>
        <v>Mafeteng [#SNU] [#DREAMS] [DiFv5WXIHM5]|35-39|Female</v>
      </c>
      <c r="F117" s="118" t="n">
        <f aca="false">_xlfn.IFNA(INDEX(Cascade!$Y:$Y,MATCH($E117,Cascade!$E:$E,0)),"")</f>
        <v>0.729397781299525</v>
      </c>
      <c r="G117" s="73" t="str">
        <f aca="false">_xlfn.IFNA(INDEX(Cascade!$BD:$BD,MATCH($E117,Cascade!$E:$E,0)),"")</f>
        <v/>
      </c>
      <c r="H117" s="73" t="str">
        <f aca="false">_xlfn.IFNA(INDEX(Cascade!$BE:$BE,MATCH($E117,Cascade!$E:$E,0)),"")</f>
        <v/>
      </c>
      <c r="I117" s="73" t="n">
        <f aca="false">_xlfn.IFNA(INDEX(Cascade!$BF:$BF,MATCH($E117,Cascade!$E:$E,0)),"")</f>
        <v>-74925</v>
      </c>
      <c r="J117" s="73" t="str">
        <f aca="false">_xlfn.IFNA(INDEX(Cascade!$BG:$BG,MATCH($E117,Cascade!$E:$E,0)),"")</f>
        <v/>
      </c>
      <c r="K117" s="73" t="n">
        <f aca="false">_xlfn.IFNA(INDEX(Cascade!$BH:$BH,MATCH($E117,Cascade!$E:$E,0)),"")</f>
        <v>-8970</v>
      </c>
      <c r="L117" s="73" t="str">
        <f aca="false">_xlfn.IFNA(INDEX(Cascade!$BI:$BI,MATCH($E117,Cascade!$E:$E,0)),"")</f>
        <v/>
      </c>
      <c r="M117" s="73" t="str">
        <f aca="false">_xlfn.IFNA(INDEX(Cascade!$BK:$BK,MATCH($E117,Cascade!$E:$E,0)),"")</f>
        <v/>
      </c>
      <c r="N117" s="118" t="n">
        <v>28</v>
      </c>
      <c r="O117" s="118" t="n">
        <v>6</v>
      </c>
      <c r="P117" s="118" t="n">
        <v>25</v>
      </c>
      <c r="Q117" s="75" t="str">
        <f aca="false">IF(OR(SUM($H117)=0,SUM($N117)=0,SUM($O117)=0),"",ROUND($H117*$N117,0))</f>
        <v/>
      </c>
      <c r="R117" s="75" t="str">
        <f aca="false">IF(OR(SUM($Q117)=0,SUM($O117)=0),"",ROUND(SUM($Q117)/SUM($O117),0)-SUM($Q117))</f>
        <v/>
      </c>
      <c r="S117" s="75" t="str">
        <f aca="false">IF(SUM($H117)=0,"",SUM($H117)-SUM($Q117))</f>
        <v/>
      </c>
      <c r="T117" s="75" t="str">
        <f aca="false">IF(OR(SUM($S117)=0,$N117&gt;1,SUM($P117)&lt;=0),"",ROUND($S117/$P117,0)-$S117)</f>
        <v/>
      </c>
      <c r="U117" s="118" t="str">
        <f aca="false">IF(SUM($G117)&lt;=0,"",SUM($Q117,$S117)/$G117)</f>
        <v/>
      </c>
      <c r="V117" s="118" t="str">
        <f aca="false">IF(OR(SUM($Q117)=0,SUM($G117)=0),"",SUM($Q117)/SUM($G117))</f>
        <v/>
      </c>
      <c r="W117" s="118" t="str">
        <f aca="false">IF(OR(SUM($S117)=0,SUM($G117)=0),"",SUM($S117)/SUM($G117))</f>
        <v/>
      </c>
      <c r="X117" s="118" t="str">
        <f aca="false">IF(OR(SUM($G117)=0,SUM($I117)=0),"",SUM($I117)/SUM($G117))</f>
        <v/>
      </c>
      <c r="Y117" s="118" t="str">
        <f aca="false">IF(OR(SUM($G117)=0,SUM($J117)=0),"",SUM($J117)/SUM($G117))</f>
        <v/>
      </c>
      <c r="Z117" s="118" t="str">
        <f aca="false">IF(OR(SUM($G117)=0,SUM($K117)=0),"",SUM($K117)/SUM($G117))</f>
        <v/>
      </c>
      <c r="AA117" s="118" t="str">
        <f aca="false">IF(OR(SUM($G117)=0,SUM($L117)=0),"",SUM($L117)/SUM($G117))</f>
        <v/>
      </c>
      <c r="AB117" s="118" t="n">
        <v>5</v>
      </c>
      <c r="AC117" s="118"/>
      <c r="AD117" s="118"/>
      <c r="AE117" s="118" t="n">
        <v>34</v>
      </c>
      <c r="AF117" s="118" t="n">
        <v>16</v>
      </c>
      <c r="AG117" s="118" t="n">
        <v>7</v>
      </c>
      <c r="AH117" s="118" t="n">
        <v>30</v>
      </c>
      <c r="AI117" s="118" t="n">
        <v>21</v>
      </c>
      <c r="AJ117" s="118" t="n">
        <v>46</v>
      </c>
      <c r="AK117" s="118" t="str">
        <f aca="false">IF(SUM($G117)&lt;=0,"",SUM($V117:$AJ117))</f>
        <v/>
      </c>
      <c r="AL117" s="118" t="n">
        <v>2</v>
      </c>
      <c r="AM117" s="75" t="str">
        <f aca="false">IF(OR(SUM($AB117)&lt;=0,SUM($G117)&lt;=0),"",ROUND($G117*$AB117,0))</f>
        <v/>
      </c>
      <c r="AN117" s="75" t="str">
        <f aca="false">IF(SUM($AM117)&lt;=0,"",IF(SUM($AL117)&lt;=0,"ENTER VALID YIELD!",ROUND($AM117/$AL117,0)-$AM117))</f>
        <v/>
      </c>
      <c r="AO117" s="118"/>
      <c r="AP117" s="75" t="str">
        <f aca="false">IF(OR(SUM($AC117)&lt;=0,SUM($G117)&lt;=0),"",ROUND($G117*$AC117,0))</f>
        <v/>
      </c>
      <c r="AQ117" s="75" t="str">
        <f aca="false">IF(SUM($AP117)&lt;=0,"",IF(SUM($AO117)&lt;=0,"ENTER VALID YIELD!",ROUND($AP117/$AO117,0)-$AP117))</f>
        <v/>
      </c>
      <c r="AR117" s="118"/>
      <c r="AS117" s="75" t="str">
        <f aca="false">IF(OR(SUM($AD117)&lt;=0,SUM($G117)&lt;=0),"",ROUND($G117*$AD117,0))</f>
        <v/>
      </c>
      <c r="AT117" s="75" t="str">
        <f aca="false">IF(SUM($AS117)&lt;=0,"",IF(SUM($AR117)&lt;=0,"ENTER VALID YIELD!",ROUND($AS117/$AR117,0)-$AS117))</f>
        <v/>
      </c>
      <c r="AU117" s="118"/>
      <c r="AV117" s="75" t="str">
        <f aca="false">IF(OR(SUM($AE117)&lt;=0,SUM($G117)&lt;=0),"",ROUND($G117*$AE117,0))</f>
        <v/>
      </c>
      <c r="AW117" s="75" t="str">
        <f aca="false">IF(SUM($AV117)&lt;=0,"",IF(SUM($AU117)&lt;=0,"ENTER VALID YIELD!",ROUND($AV117/$AU117,0)-$AV117))</f>
        <v/>
      </c>
      <c r="AX117" s="118"/>
      <c r="AY117" s="75" t="str">
        <f aca="false">IF(OR(SUM($AF117)&lt;=0,SUM($G117)&lt;=0),"",ROUND($G117*$AF117,0))</f>
        <v/>
      </c>
      <c r="AZ117" s="75" t="str">
        <f aca="false">IF(SUM($AY117)&lt;=0,"",IF(SUM($AX117)&lt;=0,"ENTER VALID YIELD!",ROUND($AY117/$AX117,0)-$AY117))</f>
        <v/>
      </c>
      <c r="BA117" s="118" t="n">
        <v>8</v>
      </c>
      <c r="BB117" s="75" t="str">
        <f aca="false">IF(OR(SUM($AG117)&lt;=0,SUM($G117)&lt;=0),"",ROUND($G117*$AG117,0))</f>
        <v/>
      </c>
      <c r="BC117" s="75" t="str">
        <f aca="false">IF(SUM($BB117)&lt;=0,"",IF(SUM($BA117)&lt;=0,"ENTER VALID YIELD!",ROUND($BB117/$BA117,0)-$BB117))</f>
        <v/>
      </c>
      <c r="BD117" s="118"/>
      <c r="BE117" s="75" t="str">
        <f aca="false">IF(OR(SUM($AH117)&lt;=0,SUM($G117)&lt;=0),"",ROUND($G117*$AH117,0))</f>
        <v/>
      </c>
      <c r="BF117" s="75" t="str">
        <f aca="false">IF(SUM($BE117)&lt;=0,"",IF(SUM($BD117)&lt;=0,"ENTER VALID YIELD!",ROUND($BE117/$BD117,0)-$BE117))</f>
        <v/>
      </c>
      <c r="BG117" s="118" t="n">
        <v>4</v>
      </c>
      <c r="BH117" s="75" t="str">
        <f aca="false">IF(OR(SUM($AI117)&lt;=0,SUM($G117)&lt;=0),"",ROUND($G117*$AI117,0))</f>
        <v/>
      </c>
      <c r="BI117" s="75" t="str">
        <f aca="false">IF(SUM($BH117)&lt;=0,"",IF(SUM($BG117)&lt;=0,"ENTER VALID YIELD!",ROUND($BH117/$BG117,0)-$BH117))</f>
        <v/>
      </c>
      <c r="BJ117" s="118"/>
      <c r="BK117" s="75" t="str">
        <f aca="false">IF(OR(SUM($AJ117)&lt;=0,SUM($G117)&lt;=0),"",ROUND($G117*$AJ117,0))</f>
        <v/>
      </c>
      <c r="BL117" s="75" t="str">
        <f aca="false">IF(SUM($BK117)&lt;=0,"",IF(SUM($BJ117)&lt;=0,"ENTER VALID YIELD!",ROUND($BK117/$BJ117,0)-$BK117))</f>
        <v/>
      </c>
      <c r="BM117" s="73" t="str">
        <f aca="false">IF(SUM($G117)&lt;=0,"",$G117)</f>
        <v/>
      </c>
      <c r="BN117" s="73" t="str">
        <f aca="false">IF(SUM($G117)&lt;=0,"",SUM($I117:$L117,$Q117,$S117,$AM117,$AP117,$AS117,$AV117,$AY117,$BB117,$BE117,$BH117,$BK117))</f>
        <v/>
      </c>
      <c r="BO117" s="73" t="str">
        <f aca="false">IF(AND(SUM($BN117)&lt;=0,SUM($BM117)&lt;=0),"",SUM($BN117)-SUM($BM117))</f>
        <v/>
      </c>
      <c r="BP117" s="73" t="n">
        <f aca="false">_xlfn.IFNA(INDEX(PMTCT!$AF:$AF,MATCH($E117,PMTCT!$E:$E,0)),"")</f>
        <v>72900</v>
      </c>
      <c r="BQ117" s="73" t="str">
        <f aca="false">_xlfn.IFNA(INDEX(PMTCT!$AV:$AV,MATCH($E117,PMTCT!$E:$E,0)),"")</f>
        <v/>
      </c>
      <c r="BR117" s="73" t="n">
        <f aca="false">_xlfn.IFNA(INDEX(TB!$R:$R,MATCH($E117,TB!$E:$E,0)),"")</f>
        <v>8073</v>
      </c>
      <c r="BS117" s="73" t="str">
        <f aca="false">_xlfn.IFNA(INDEX(VMMC!$AD:$AD,MATCH($E117,VMMC!$E:$E,0)),"")</f>
        <v/>
      </c>
      <c r="BT117" s="73" t="n">
        <f aca="false">IF(SUM($R117,$T117,$AN117,$AQ117,$AT117,$AW117,$AZ117,$BC117,$BF117,$BI117,$BL117,$BP117:$BS117)=0,"",SUM($R117,$T117,$AN117,$AQ117,$AT117,$AW117,$AZ117,$BC117,$BF117,$BI117,$BL117,$BP117:$BS117))</f>
        <v>80973</v>
      </c>
      <c r="BU117" s="73" t="str">
        <f aca="false">IF(OR(SUM($BT117)=0,SUM($BN117)=0),"",SUM($BT117,$BN117))</f>
        <v/>
      </c>
      <c r="BV117" s="118" t="str">
        <f aca="false">IF(SUM($BU117)=0,"",SUM($BN117)/$BU117)</f>
        <v/>
      </c>
      <c r="BW117" s="73" t="n">
        <v>4</v>
      </c>
      <c r="BX117" s="118" t="n">
        <f aca="false">IF(OR($C117="01-04",$C117="05-09"),"",0%)</f>
        <v>0</v>
      </c>
      <c r="BY117" s="75" t="n">
        <f aca="false">IF(OR($C117="01-04",$C117="05-09",SUM($BW117)=0),"",ROUND($BW117*(1+$BX117),0))</f>
        <v>4</v>
      </c>
    </row>
    <row r="118" customFormat="false" ht="15" hidden="false" customHeight="false" outlineLevel="0" collapsed="false">
      <c r="A118" s="0" t="s">
        <v>145</v>
      </c>
      <c r="B118" s="0" t="s">
        <v>107</v>
      </c>
      <c r="C118" s="0" t="s">
        <v>75</v>
      </c>
      <c r="D118" s="0" t="s">
        <v>58</v>
      </c>
      <c r="E118" s="0" t="str">
        <f aca="false">B118&amp;"|"&amp;C118&amp;"|"&amp;D118</f>
        <v>Mafeteng [#SNU] [#DREAMS] [DiFv5WXIHM5]|35-39|Male</v>
      </c>
      <c r="F118" s="118" t="n">
        <f aca="false">_xlfn.IFNA(INDEX(Cascade!$Y:$Y,MATCH($E118,Cascade!$E:$E,0)),"")</f>
        <v>0.540594059405941</v>
      </c>
      <c r="G118" s="73" t="n">
        <f aca="false">_xlfn.IFNA(INDEX(Cascade!$BD:$BD,MATCH($E118,Cascade!$E:$E,0)),"")</f>
        <v>19</v>
      </c>
      <c r="H118" s="73" t="n">
        <f aca="false">_xlfn.IFNA(INDEX(Cascade!$BE:$BE,MATCH($E118,Cascade!$E:$E,0)),"")</f>
        <v>6</v>
      </c>
      <c r="I118" s="73" t="str">
        <f aca="false">_xlfn.IFNA(INDEX(Cascade!$BF:$BF,MATCH($E118,Cascade!$E:$E,0)),"")</f>
        <v/>
      </c>
      <c r="J118" s="73" t="str">
        <f aca="false">_xlfn.IFNA(INDEX(Cascade!$BG:$BG,MATCH($E118,Cascade!$E:$E,0)),"")</f>
        <v/>
      </c>
      <c r="K118" s="73" t="n">
        <f aca="false">_xlfn.IFNA(INDEX(Cascade!$BH:$BH,MATCH($E118,Cascade!$E:$E,0)),"")</f>
        <v>-3330</v>
      </c>
      <c r="L118" s="73" t="str">
        <f aca="false">_xlfn.IFNA(INDEX(Cascade!$BI:$BI,MATCH($E118,Cascade!$E:$E,0)),"")</f>
        <v/>
      </c>
      <c r="M118" s="73" t="n">
        <f aca="false">_xlfn.IFNA(INDEX(Cascade!$BK:$BK,MATCH($E118,Cascade!$E:$E,0)),"")</f>
        <v>3343</v>
      </c>
      <c r="N118" s="118" t="n">
        <v>20</v>
      </c>
      <c r="O118" s="118" t="n">
        <v>31</v>
      </c>
      <c r="P118" s="118" t="n">
        <v>15</v>
      </c>
      <c r="Q118" s="75" t="n">
        <f aca="false">IF(OR(SUM($H118)=0,SUM($N118)=0,SUM($O118)=0),"",ROUND($H118*$N118,0))</f>
        <v>120</v>
      </c>
      <c r="R118" s="75" t="n">
        <f aca="false">IF(OR(SUM($Q118)=0,SUM($O118)=0),"",ROUND(SUM($Q118)/SUM($O118),0)-SUM($Q118))</f>
        <v>-116</v>
      </c>
      <c r="S118" s="75" t="n">
        <f aca="false">IF(SUM($H118)=0,"",SUM($H118)-SUM($Q118))</f>
        <v>-114</v>
      </c>
      <c r="T118" s="75" t="str">
        <f aca="false">IF(OR(SUM($S118)=0,$N118&gt;1,SUM($P118)&lt;=0),"",ROUND($S118/$P118,0)-$S118)</f>
        <v/>
      </c>
      <c r="U118" s="118" t="n">
        <f aca="false">IF(SUM($G118)&lt;=0,"",SUM($Q118,$S118)/$G118)</f>
        <v>0.31578947368421</v>
      </c>
      <c r="V118" s="118" t="n">
        <f aca="false">IF(OR(SUM($Q118)=0,SUM($G118)=0),"",SUM($Q118)/SUM($G118))</f>
        <v>6.31578947368421</v>
      </c>
      <c r="W118" s="118" t="n">
        <f aca="false">IF(OR(SUM($S118)=0,SUM($G118)=0),"",SUM($S118)/SUM($G118))</f>
        <v>-6</v>
      </c>
      <c r="X118" s="118" t="str">
        <f aca="false">IF(OR(SUM($G118)=0,SUM($I118)=0),"",SUM($I118)/SUM($G118))</f>
        <v/>
      </c>
      <c r="Y118" s="118" t="str">
        <f aca="false">IF(OR(SUM($G118)=0,SUM($J118)=0),"",SUM($J118)/SUM($G118))</f>
        <v/>
      </c>
      <c r="Z118" s="118" t="n">
        <f aca="false">IF(OR(SUM($G118)=0,SUM($K118)=0),"",SUM($K118)/SUM($G118))</f>
        <v>-175.263157894737</v>
      </c>
      <c r="AA118" s="118" t="str">
        <f aca="false">IF(OR(SUM($G118)=0,SUM($L118)=0),"",SUM($L118)/SUM($G118))</f>
        <v/>
      </c>
      <c r="AB118" s="118" t="n">
        <v>30</v>
      </c>
      <c r="AC118" s="118"/>
      <c r="AD118" s="118"/>
      <c r="AE118" s="118" t="n">
        <v>14</v>
      </c>
      <c r="AF118" s="118" t="n">
        <v>17</v>
      </c>
      <c r="AG118" s="118" t="n">
        <v>32</v>
      </c>
      <c r="AH118" s="118" t="n">
        <v>49</v>
      </c>
      <c r="AI118" s="118" t="n">
        <v>15</v>
      </c>
      <c r="AJ118" s="118" t="n">
        <v>15</v>
      </c>
      <c r="AK118" s="118" t="n">
        <f aca="false">IF(SUM($G118)&lt;=0,"",SUM($V118:$AJ118))</f>
        <v>-2.94736842105264</v>
      </c>
      <c r="AL118" s="118" t="n">
        <v>2</v>
      </c>
      <c r="AM118" s="75" t="n">
        <f aca="false">IF(OR(SUM($AB118)&lt;=0,SUM($G118)&lt;=0),"",ROUND($G118*$AB118,0))</f>
        <v>570</v>
      </c>
      <c r="AN118" s="75" t="n">
        <f aca="false">IF(SUM($AM118)&lt;=0,"",IF(SUM($AL118)&lt;=0,"ENTER VALID YIELD!",ROUND($AM118/$AL118,0)-$AM118))</f>
        <v>-285</v>
      </c>
      <c r="AO118" s="118"/>
      <c r="AP118" s="75" t="str">
        <f aca="false">IF(OR(SUM($AC118)&lt;=0,SUM($G118)&lt;=0),"",ROUND($G118*$AC118,0))</f>
        <v/>
      </c>
      <c r="AQ118" s="75" t="str">
        <f aca="false">IF(SUM($AP118)&lt;=0,"",IF(SUM($AO118)&lt;=0,"ENTER VALID YIELD!",ROUND($AP118/$AO118,0)-$AP118))</f>
        <v/>
      </c>
      <c r="AR118" s="118"/>
      <c r="AS118" s="75" t="str">
        <f aca="false">IF(OR(SUM($AD118)&lt;=0,SUM($G118)&lt;=0),"",ROUND($G118*$AD118,0))</f>
        <v/>
      </c>
      <c r="AT118" s="75" t="str">
        <f aca="false">IF(SUM($AS118)&lt;=0,"",IF(SUM($AR118)&lt;=0,"ENTER VALID YIELD!",ROUND($AS118/$AR118,0)-$AS118))</f>
        <v/>
      </c>
      <c r="AU118" s="118"/>
      <c r="AV118" s="75" t="n">
        <f aca="false">IF(OR(SUM($AE118)&lt;=0,SUM($G118)&lt;=0),"",ROUND($G118*$AE118,0))</f>
        <v>266</v>
      </c>
      <c r="AW118" s="75" t="str">
        <f aca="false">IF(SUM($AV118)&lt;=0,"",IF(SUM($AU118)&lt;=0,"ENTER VALID YIELD!",ROUND($AV118/$AU118,0)-$AV118))</f>
        <v>ENTER VALID YIELD!</v>
      </c>
      <c r="AX118" s="118"/>
      <c r="AY118" s="75" t="n">
        <f aca="false">IF(OR(SUM($AF118)&lt;=0,SUM($G118)&lt;=0),"",ROUND($G118*$AF118,0))</f>
        <v>323</v>
      </c>
      <c r="AZ118" s="75" t="str">
        <f aca="false">IF(SUM($AY118)&lt;=0,"",IF(SUM($AX118)&lt;=0,"ENTER VALID YIELD!",ROUND($AY118/$AX118,0)-$AY118))</f>
        <v>ENTER VALID YIELD!</v>
      </c>
      <c r="BA118" s="118" t="n">
        <v>17</v>
      </c>
      <c r="BB118" s="75" t="n">
        <f aca="false">IF(OR(SUM($AG118)&lt;=0,SUM($G118)&lt;=0),"",ROUND($G118*$AG118,0))</f>
        <v>608</v>
      </c>
      <c r="BC118" s="75" t="n">
        <f aca="false">IF(SUM($BB118)&lt;=0,"",IF(SUM($BA118)&lt;=0,"ENTER VALID YIELD!",ROUND($BB118/$BA118,0)-$BB118))</f>
        <v>-572</v>
      </c>
      <c r="BD118" s="118"/>
      <c r="BE118" s="75" t="n">
        <f aca="false">IF(OR(SUM($AH118)&lt;=0,SUM($G118)&lt;=0),"",ROUND($G118*$AH118,0))</f>
        <v>931</v>
      </c>
      <c r="BF118" s="75" t="str">
        <f aca="false">IF(SUM($BE118)&lt;=0,"",IF(SUM($BD118)&lt;=0,"ENTER VALID YIELD!",ROUND($BE118/$BD118,0)-$BE118))</f>
        <v>ENTER VALID YIELD!</v>
      </c>
      <c r="BG118" s="118" t="n">
        <v>36</v>
      </c>
      <c r="BH118" s="75" t="n">
        <f aca="false">IF(OR(SUM($AI118)&lt;=0,SUM($G118)&lt;=0),"",ROUND($G118*$AI118,0))</f>
        <v>285</v>
      </c>
      <c r="BI118" s="75" t="n">
        <f aca="false">IF(SUM($BH118)&lt;=0,"",IF(SUM($BG118)&lt;=0,"ENTER VALID YIELD!",ROUND($BH118/$BG118,0)-$BH118))</f>
        <v>-277</v>
      </c>
      <c r="BJ118" s="118" t="n">
        <v>3</v>
      </c>
      <c r="BK118" s="75" t="n">
        <f aca="false">IF(OR(SUM($AJ118)&lt;=0,SUM($G118)&lt;=0),"",ROUND($G118*$AJ118,0))</f>
        <v>285</v>
      </c>
      <c r="BL118" s="75" t="n">
        <f aca="false">IF(SUM($BK118)&lt;=0,"",IF(SUM($BJ118)&lt;=0,"ENTER VALID YIELD!",ROUND($BK118/$BJ118,0)-$BK118))</f>
        <v>-190</v>
      </c>
      <c r="BM118" s="73" t="n">
        <f aca="false">IF(SUM($G118)&lt;=0,"",$G118)</f>
        <v>19</v>
      </c>
      <c r="BN118" s="73" t="n">
        <f aca="false">IF(SUM($G118)&lt;=0,"",SUM($I118:$L118,$Q118,$S118,$AM118,$AP118,$AS118,$AV118,$AY118,$BB118,$BE118,$BH118,$BK118))</f>
        <v>-56</v>
      </c>
      <c r="BO118" s="73" t="n">
        <f aca="false">IF(AND(SUM($BN118)&lt;=0,SUM($BM118)&lt;=0),"",SUM($BN118)-SUM($BM118))</f>
        <v>-75</v>
      </c>
      <c r="BP118" s="73" t="str">
        <f aca="false">_xlfn.IFNA(INDEX(PMTCT!$AF:$AF,MATCH($E118,PMTCT!$E:$E,0)),"")</f>
        <v/>
      </c>
      <c r="BQ118" s="73" t="str">
        <f aca="false">_xlfn.IFNA(INDEX(PMTCT!$AV:$AV,MATCH($E118,PMTCT!$E:$E,0)),"")</f>
        <v/>
      </c>
      <c r="BR118" s="73" t="n">
        <f aca="false">_xlfn.IFNA(INDEX(TB!$R:$R,MATCH($E118,TB!$E:$E,0)),"")</f>
        <v>3240</v>
      </c>
      <c r="BS118" s="73" t="str">
        <f aca="false">_xlfn.IFNA(INDEX(VMMC!$AD:$AD,MATCH($E118,VMMC!$E:$E,0)),"")</f>
        <v/>
      </c>
      <c r="BT118" s="73" t="n">
        <f aca="false">IF(SUM($R118,$T118,$AN118,$AQ118,$AT118,$AW118,$AZ118,$BC118,$BF118,$BI118,$BL118,$BP118:$BS118)=0,"",SUM($R118,$T118,$AN118,$AQ118,$AT118,$AW118,$AZ118,$BC118,$BF118,$BI118,$BL118,$BP118:$BS118))</f>
        <v>1800</v>
      </c>
      <c r="BU118" s="73" t="n">
        <f aca="false">IF(OR(SUM($BT118)=0,SUM($BN118)=0),"",SUM($BT118,$BN118))</f>
        <v>1744</v>
      </c>
      <c r="BV118" s="118" t="n">
        <f aca="false">IF(SUM($BU118)=0,"",SUM($BN118)/$BU118)</f>
        <v>-0.0321100917431193</v>
      </c>
      <c r="BW118" s="73" t="n">
        <v>33</v>
      </c>
      <c r="BX118" s="118" t="n">
        <f aca="false">IF(OR($C118="01-04",$C118="05-09"),"",0%)</f>
        <v>0</v>
      </c>
      <c r="BY118" s="75" t="n">
        <f aca="false">IF(OR($C118="01-04",$C118="05-09",SUM($BW118)=0),"",ROUND($BW118*(1+$BX118),0))</f>
        <v>33</v>
      </c>
    </row>
    <row r="119" customFormat="false" ht="15" hidden="false" customHeight="false" outlineLevel="0" collapsed="false">
      <c r="A119" s="0" t="s">
        <v>145</v>
      </c>
      <c r="B119" s="0" t="s">
        <v>107</v>
      </c>
      <c r="C119" s="0" t="s">
        <v>77</v>
      </c>
      <c r="D119" s="0" t="s">
        <v>56</v>
      </c>
      <c r="E119" s="0" t="str">
        <f aca="false">B119&amp;"|"&amp;C119&amp;"|"&amp;D119</f>
        <v>Mafeteng [#SNU] [#DREAMS] [DiFv5WXIHM5]|40-44|Female</v>
      </c>
      <c r="F119" s="118" t="n">
        <f aca="false">_xlfn.IFNA(INDEX(Cascade!$Y:$Y,MATCH($E119,Cascade!$E:$E,0)),"")</f>
        <v>0.888997555012225</v>
      </c>
      <c r="G119" s="73" t="n">
        <f aca="false">_xlfn.IFNA(INDEX(Cascade!$BD:$BD,MATCH($E119,Cascade!$E:$E,0)),"")</f>
        <v>1</v>
      </c>
      <c r="H119" s="73" t="n">
        <f aca="false">_xlfn.IFNA(INDEX(Cascade!$BE:$BE,MATCH($E119,Cascade!$E:$E,0)),"")</f>
        <v>1</v>
      </c>
      <c r="I119" s="73" t="n">
        <f aca="false">_xlfn.IFNA(INDEX(Cascade!$BF:$BF,MATCH($E119,Cascade!$E:$E,0)),"")</f>
        <v>-5600</v>
      </c>
      <c r="J119" s="73" t="str">
        <f aca="false">_xlfn.IFNA(INDEX(Cascade!$BG:$BG,MATCH($E119,Cascade!$E:$E,0)),"")</f>
        <v/>
      </c>
      <c r="K119" s="73" t="n">
        <f aca="false">_xlfn.IFNA(INDEX(Cascade!$BH:$BH,MATCH($E119,Cascade!$E:$E,0)),"")</f>
        <v>-0</v>
      </c>
      <c r="L119" s="73" t="str">
        <f aca="false">_xlfn.IFNA(INDEX(Cascade!$BI:$BI,MATCH($E119,Cascade!$E:$E,0)),"")</f>
        <v/>
      </c>
      <c r="M119" s="73" t="n">
        <f aca="false">_xlfn.IFNA(INDEX(Cascade!$BK:$BK,MATCH($E119,Cascade!$E:$E,0)),"")</f>
        <v>5600</v>
      </c>
      <c r="N119" s="118" t="n">
        <v>40</v>
      </c>
      <c r="O119" s="118" t="n">
        <v>36</v>
      </c>
      <c r="P119" s="118" t="n">
        <v>10</v>
      </c>
      <c r="Q119" s="75" t="n">
        <f aca="false">IF(OR(SUM($H119)=0,SUM($N119)=0,SUM($O119)=0),"",ROUND($H119*$N119,0))</f>
        <v>40</v>
      </c>
      <c r="R119" s="75" t="n">
        <f aca="false">IF(OR(SUM($Q119)=0,SUM($O119)=0),"",ROUND(SUM($Q119)/SUM($O119),0)-SUM($Q119))</f>
        <v>-39</v>
      </c>
      <c r="S119" s="75" t="n">
        <f aca="false">IF(SUM($H119)=0,"",SUM($H119)-SUM($Q119))</f>
        <v>-39</v>
      </c>
      <c r="T119" s="75" t="str">
        <f aca="false">IF(OR(SUM($S119)=0,$N119&gt;1,SUM($P119)&lt;=0),"",ROUND($S119/$P119,0)-$S119)</f>
        <v/>
      </c>
      <c r="U119" s="118" t="n">
        <f aca="false">IF(SUM($G119)&lt;=0,"",SUM($Q119,$S119)/$G119)</f>
        <v>1</v>
      </c>
      <c r="V119" s="118" t="n">
        <f aca="false">IF(OR(SUM($Q119)=0,SUM($G119)=0),"",SUM($Q119)/SUM($G119))</f>
        <v>40</v>
      </c>
      <c r="W119" s="118" t="n">
        <f aca="false">IF(OR(SUM($S119)=0,SUM($G119)=0),"",SUM($S119)/SUM($G119))</f>
        <v>-39</v>
      </c>
      <c r="X119" s="118" t="n">
        <f aca="false">IF(OR(SUM($G119)=0,SUM($I119)=0),"",SUM($I119)/SUM($G119))</f>
        <v>-5600</v>
      </c>
      <c r="Y119" s="118" t="str">
        <f aca="false">IF(OR(SUM($G119)=0,SUM($J119)=0),"",SUM($J119)/SUM($G119))</f>
        <v/>
      </c>
      <c r="Z119" s="118" t="str">
        <f aca="false">IF(OR(SUM($G119)=0,SUM($K119)=0),"",SUM($K119)/SUM($G119))</f>
        <v/>
      </c>
      <c r="AA119" s="118" t="str">
        <f aca="false">IF(OR(SUM($G119)=0,SUM($L119)=0),"",SUM($L119)/SUM($G119))</f>
        <v/>
      </c>
      <c r="AB119" s="118" t="n">
        <v>31</v>
      </c>
      <c r="AC119" s="118"/>
      <c r="AD119" s="118"/>
      <c r="AE119" s="118" t="n">
        <v>49</v>
      </c>
      <c r="AF119" s="118" t="n">
        <v>14</v>
      </c>
      <c r="AG119" s="118" t="n">
        <v>10</v>
      </c>
      <c r="AH119" s="118" t="n">
        <v>34</v>
      </c>
      <c r="AI119" s="118" t="n">
        <v>34</v>
      </c>
      <c r="AJ119" s="118" t="n">
        <v>3</v>
      </c>
      <c r="AK119" s="118" t="n">
        <f aca="false">IF(SUM($G119)&lt;=0,"",SUM($V119:$AJ119))</f>
        <v>-5424</v>
      </c>
      <c r="AL119" s="118" t="n">
        <v>32</v>
      </c>
      <c r="AM119" s="75" t="n">
        <f aca="false">IF(OR(SUM($AB119)&lt;=0,SUM($G119)&lt;=0),"",ROUND($G119*$AB119,0))</f>
        <v>31</v>
      </c>
      <c r="AN119" s="75" t="n">
        <f aca="false">IF(SUM($AM119)&lt;=0,"",IF(SUM($AL119)&lt;=0,"ENTER VALID YIELD!",ROUND($AM119/$AL119,0)-$AM119))</f>
        <v>-30</v>
      </c>
      <c r="AO119" s="118"/>
      <c r="AP119" s="75" t="str">
        <f aca="false">IF(OR(SUM($AC119)&lt;=0,SUM($G119)&lt;=0),"",ROUND($G119*$AC119,0))</f>
        <v/>
      </c>
      <c r="AQ119" s="75" t="str">
        <f aca="false">IF(SUM($AP119)&lt;=0,"",IF(SUM($AO119)&lt;=0,"ENTER VALID YIELD!",ROUND($AP119/$AO119,0)-$AP119))</f>
        <v/>
      </c>
      <c r="AR119" s="118"/>
      <c r="AS119" s="75" t="str">
        <f aca="false">IF(OR(SUM($AD119)&lt;=0,SUM($G119)&lt;=0),"",ROUND($G119*$AD119,0))</f>
        <v/>
      </c>
      <c r="AT119" s="75" t="str">
        <f aca="false">IF(SUM($AS119)&lt;=0,"",IF(SUM($AR119)&lt;=0,"ENTER VALID YIELD!",ROUND($AS119/$AR119,0)-$AS119))</f>
        <v/>
      </c>
      <c r="AU119" s="118"/>
      <c r="AV119" s="75" t="n">
        <f aca="false">IF(OR(SUM($AE119)&lt;=0,SUM($G119)&lt;=0),"",ROUND($G119*$AE119,0))</f>
        <v>49</v>
      </c>
      <c r="AW119" s="75" t="str">
        <f aca="false">IF(SUM($AV119)&lt;=0,"",IF(SUM($AU119)&lt;=0,"ENTER VALID YIELD!",ROUND($AV119/$AU119,0)-$AV119))</f>
        <v>ENTER VALID YIELD!</v>
      </c>
      <c r="AX119" s="118"/>
      <c r="AY119" s="75" t="n">
        <f aca="false">IF(OR(SUM($AF119)&lt;=0,SUM($G119)&lt;=0),"",ROUND($G119*$AF119,0))</f>
        <v>14</v>
      </c>
      <c r="AZ119" s="75" t="str">
        <f aca="false">IF(SUM($AY119)&lt;=0,"",IF(SUM($AX119)&lt;=0,"ENTER VALID YIELD!",ROUND($AY119/$AX119,0)-$AY119))</f>
        <v>ENTER VALID YIELD!</v>
      </c>
      <c r="BA119" s="118" t="n">
        <v>8</v>
      </c>
      <c r="BB119" s="75" t="n">
        <f aca="false">IF(OR(SUM($AG119)&lt;=0,SUM($G119)&lt;=0),"",ROUND($G119*$AG119,0))</f>
        <v>10</v>
      </c>
      <c r="BC119" s="75" t="n">
        <f aca="false">IF(SUM($BB119)&lt;=0,"",IF(SUM($BA119)&lt;=0,"ENTER VALID YIELD!",ROUND($BB119/$BA119,0)-$BB119))</f>
        <v>-9</v>
      </c>
      <c r="BD119" s="118"/>
      <c r="BE119" s="75" t="n">
        <f aca="false">IF(OR(SUM($AH119)&lt;=0,SUM($G119)&lt;=0),"",ROUND($G119*$AH119,0))</f>
        <v>34</v>
      </c>
      <c r="BF119" s="75" t="str">
        <f aca="false">IF(SUM($BE119)&lt;=0,"",IF(SUM($BD119)&lt;=0,"ENTER VALID YIELD!",ROUND($BE119/$BD119,0)-$BE119))</f>
        <v>ENTER VALID YIELD!</v>
      </c>
      <c r="BG119" s="118" t="n">
        <v>26</v>
      </c>
      <c r="BH119" s="75" t="n">
        <f aca="false">IF(OR(SUM($AI119)&lt;=0,SUM($G119)&lt;=0),"",ROUND($G119*$AI119,0))</f>
        <v>34</v>
      </c>
      <c r="BI119" s="75" t="n">
        <f aca="false">IF(SUM($BH119)&lt;=0,"",IF(SUM($BG119)&lt;=0,"ENTER VALID YIELD!",ROUND($BH119/$BG119,0)-$BH119))</f>
        <v>-33</v>
      </c>
      <c r="BJ119" s="118" t="n">
        <v>28</v>
      </c>
      <c r="BK119" s="75" t="n">
        <f aca="false">IF(OR(SUM($AJ119)&lt;=0,SUM($G119)&lt;=0),"",ROUND($G119*$AJ119,0))</f>
        <v>3</v>
      </c>
      <c r="BL119" s="75" t="n">
        <f aca="false">IF(SUM($BK119)&lt;=0,"",IF(SUM($BJ119)&lt;=0,"ENTER VALID YIELD!",ROUND($BK119/$BJ119,0)-$BK119))</f>
        <v>-3</v>
      </c>
      <c r="BM119" s="73" t="n">
        <f aca="false">IF(SUM($G119)&lt;=0,"",$G119)</f>
        <v>1</v>
      </c>
      <c r="BN119" s="73" t="n">
        <f aca="false">IF(SUM($G119)&lt;=0,"",SUM($I119:$L119,$Q119,$S119,$AM119,$AP119,$AS119,$AV119,$AY119,$BB119,$BE119,$BH119,$BK119))</f>
        <v>-5424</v>
      </c>
      <c r="BO119" s="73" t="n">
        <f aca="false">IF(AND(SUM($BN119)&lt;=0,SUM($BM119)&lt;=0),"",SUM($BN119)-SUM($BM119))</f>
        <v>-5425</v>
      </c>
      <c r="BP119" s="73" t="n">
        <f aca="false">_xlfn.IFNA(INDEX(PMTCT!$AF:$AF,MATCH($E119,PMTCT!$E:$E,0)),"")</f>
        <v>5376</v>
      </c>
      <c r="BQ119" s="73" t="str">
        <f aca="false">_xlfn.IFNA(INDEX(PMTCT!$AV:$AV,MATCH($E119,PMTCT!$E:$E,0)),"")</f>
        <v/>
      </c>
      <c r="BR119" s="73" t="n">
        <f aca="false">_xlfn.IFNA(INDEX(TB!$R:$R,MATCH($E119,TB!$E:$E,0)),"")</f>
        <v>-156</v>
      </c>
      <c r="BS119" s="73" t="str">
        <f aca="false">_xlfn.IFNA(INDEX(VMMC!$AD:$AD,MATCH($E119,VMMC!$E:$E,0)),"")</f>
        <v/>
      </c>
      <c r="BT119" s="73" t="n">
        <f aca="false">IF(SUM($R119,$T119,$AN119,$AQ119,$AT119,$AW119,$AZ119,$BC119,$BF119,$BI119,$BL119,$BP119:$BS119)=0,"",SUM($R119,$T119,$AN119,$AQ119,$AT119,$AW119,$AZ119,$BC119,$BF119,$BI119,$BL119,$BP119:$BS119))</f>
        <v>5106</v>
      </c>
      <c r="BU119" s="73" t="n">
        <f aca="false">IF(OR(SUM($BT119)=0,SUM($BN119)=0),"",SUM($BT119,$BN119))</f>
        <v>-318</v>
      </c>
      <c r="BV119" s="118" t="n">
        <f aca="false">IF(SUM($BU119)=0,"",SUM($BN119)/$BU119)</f>
        <v>17.0566037735849</v>
      </c>
      <c r="BW119" s="73" t="n">
        <v>38</v>
      </c>
      <c r="BX119" s="118" t="n">
        <f aca="false">IF(OR($C119="01-04",$C119="05-09"),"",0%)</f>
        <v>0</v>
      </c>
      <c r="BY119" s="75" t="n">
        <f aca="false">IF(OR($C119="01-04",$C119="05-09",SUM($BW119)=0),"",ROUND($BW119*(1+$BX119),0))</f>
        <v>38</v>
      </c>
    </row>
    <row r="120" customFormat="false" ht="15" hidden="false" customHeight="false" outlineLevel="0" collapsed="false">
      <c r="A120" s="0" t="s">
        <v>145</v>
      </c>
      <c r="B120" s="0" t="s">
        <v>107</v>
      </c>
      <c r="C120" s="0" t="s">
        <v>77</v>
      </c>
      <c r="D120" s="0" t="s">
        <v>58</v>
      </c>
      <c r="E120" s="0" t="str">
        <f aca="false">B120&amp;"|"&amp;C120&amp;"|"&amp;D120</f>
        <v>Mafeteng [#SNU] [#DREAMS] [DiFv5WXIHM5]|40-44|Male</v>
      </c>
      <c r="F120" s="118" t="n">
        <f aca="false">_xlfn.IFNA(INDEX(Cascade!$Y:$Y,MATCH($E120,Cascade!$E:$E,0)),"")</f>
        <v>0.661390616167326</v>
      </c>
      <c r="G120" s="73" t="n">
        <f aca="false">_xlfn.IFNA(INDEX(Cascade!$BD:$BD,MATCH($E120,Cascade!$E:$E,0)),"")</f>
        <v>14</v>
      </c>
      <c r="H120" s="73" t="n">
        <f aca="false">_xlfn.IFNA(INDEX(Cascade!$BE:$BE,MATCH($E120,Cascade!$E:$E,0)),"")</f>
        <v>4</v>
      </c>
      <c r="I120" s="73" t="str">
        <f aca="false">_xlfn.IFNA(INDEX(Cascade!$BF:$BF,MATCH($E120,Cascade!$E:$E,0)),"")</f>
        <v/>
      </c>
      <c r="J120" s="73" t="str">
        <f aca="false">_xlfn.IFNA(INDEX(Cascade!$BG:$BG,MATCH($E120,Cascade!$E:$E,0)),"")</f>
        <v/>
      </c>
      <c r="K120" s="73" t="n">
        <f aca="false">_xlfn.IFNA(INDEX(Cascade!$BH:$BH,MATCH($E120,Cascade!$E:$E,0)),"")</f>
        <v>-32538</v>
      </c>
      <c r="L120" s="73" t="str">
        <f aca="false">_xlfn.IFNA(INDEX(Cascade!$BI:$BI,MATCH($E120,Cascade!$E:$E,0)),"")</f>
        <v/>
      </c>
      <c r="M120" s="73" t="n">
        <f aca="false">_xlfn.IFNA(INDEX(Cascade!$BK:$BK,MATCH($E120,Cascade!$E:$E,0)),"")</f>
        <v>32548</v>
      </c>
      <c r="N120" s="118" t="n">
        <v>34</v>
      </c>
      <c r="O120" s="118" t="n">
        <v>33</v>
      </c>
      <c r="P120" s="118" t="n">
        <v>15</v>
      </c>
      <c r="Q120" s="75" t="n">
        <f aca="false">IF(OR(SUM($H120)=0,SUM($N120)=0,SUM($O120)=0),"",ROUND($H120*$N120,0))</f>
        <v>136</v>
      </c>
      <c r="R120" s="75" t="n">
        <f aca="false">IF(OR(SUM($Q120)=0,SUM($O120)=0),"",ROUND(SUM($Q120)/SUM($O120),0)-SUM($Q120))</f>
        <v>-132</v>
      </c>
      <c r="S120" s="75" t="n">
        <f aca="false">IF(SUM($H120)=0,"",SUM($H120)-SUM($Q120))</f>
        <v>-132</v>
      </c>
      <c r="T120" s="75" t="str">
        <f aca="false">IF(OR(SUM($S120)=0,$N120&gt;1,SUM($P120)&lt;=0),"",ROUND($S120/$P120,0)-$S120)</f>
        <v/>
      </c>
      <c r="U120" s="118" t="n">
        <f aca="false">IF(SUM($G120)&lt;=0,"",SUM($Q120,$S120)/$G120)</f>
        <v>0.285714285714286</v>
      </c>
      <c r="V120" s="118" t="n">
        <f aca="false">IF(OR(SUM($Q120)=0,SUM($G120)=0),"",SUM($Q120)/SUM($G120))</f>
        <v>9.71428571428571</v>
      </c>
      <c r="W120" s="118" t="n">
        <f aca="false">IF(OR(SUM($S120)=0,SUM($G120)=0),"",SUM($S120)/SUM($G120))</f>
        <v>-9.42857142857143</v>
      </c>
      <c r="X120" s="118" t="str">
        <f aca="false">IF(OR(SUM($G120)=0,SUM($I120)=0),"",SUM($I120)/SUM($G120))</f>
        <v/>
      </c>
      <c r="Y120" s="118" t="str">
        <f aca="false">IF(OR(SUM($G120)=0,SUM($J120)=0),"",SUM($J120)/SUM($G120))</f>
        <v/>
      </c>
      <c r="Z120" s="118" t="n">
        <f aca="false">IF(OR(SUM($G120)=0,SUM($K120)=0),"",SUM($K120)/SUM($G120))</f>
        <v>-2324.14285714286</v>
      </c>
      <c r="AA120" s="118" t="str">
        <f aca="false">IF(OR(SUM($G120)=0,SUM($L120)=0),"",SUM($L120)/SUM($G120))</f>
        <v/>
      </c>
      <c r="AB120" s="118" t="n">
        <v>15</v>
      </c>
      <c r="AC120" s="118"/>
      <c r="AD120" s="118"/>
      <c r="AE120" s="118" t="n">
        <v>36</v>
      </c>
      <c r="AF120" s="118" t="n">
        <v>36</v>
      </c>
      <c r="AG120" s="118" t="n">
        <v>21</v>
      </c>
      <c r="AH120" s="118" t="n">
        <v>22</v>
      </c>
      <c r="AI120" s="118" t="n">
        <v>30</v>
      </c>
      <c r="AJ120" s="118" t="n">
        <v>20</v>
      </c>
      <c r="AK120" s="118" t="n">
        <f aca="false">IF(SUM($G120)&lt;=0,"",SUM($V120:$AJ120))</f>
        <v>-2143.85714285714</v>
      </c>
      <c r="AL120" s="118" t="n">
        <v>13</v>
      </c>
      <c r="AM120" s="75" t="n">
        <f aca="false">IF(OR(SUM($AB120)&lt;=0,SUM($G120)&lt;=0),"",ROUND($G120*$AB120,0))</f>
        <v>210</v>
      </c>
      <c r="AN120" s="75" t="n">
        <f aca="false">IF(SUM($AM120)&lt;=0,"",IF(SUM($AL120)&lt;=0,"ENTER VALID YIELD!",ROUND($AM120/$AL120,0)-$AM120))</f>
        <v>-194</v>
      </c>
      <c r="AO120" s="118"/>
      <c r="AP120" s="75" t="str">
        <f aca="false">IF(OR(SUM($AC120)&lt;=0,SUM($G120)&lt;=0),"",ROUND($G120*$AC120,0))</f>
        <v/>
      </c>
      <c r="AQ120" s="75" t="str">
        <f aca="false">IF(SUM($AP120)&lt;=0,"",IF(SUM($AO120)&lt;=0,"ENTER VALID YIELD!",ROUND($AP120/$AO120,0)-$AP120))</f>
        <v/>
      </c>
      <c r="AR120" s="118"/>
      <c r="AS120" s="75" t="str">
        <f aca="false">IF(OR(SUM($AD120)&lt;=0,SUM($G120)&lt;=0),"",ROUND($G120*$AD120,0))</f>
        <v/>
      </c>
      <c r="AT120" s="75" t="str">
        <f aca="false">IF(SUM($AS120)&lt;=0,"",IF(SUM($AR120)&lt;=0,"ENTER VALID YIELD!",ROUND($AS120/$AR120,0)-$AS120))</f>
        <v/>
      </c>
      <c r="AU120" s="118"/>
      <c r="AV120" s="75" t="n">
        <f aca="false">IF(OR(SUM($AE120)&lt;=0,SUM($G120)&lt;=0),"",ROUND($G120*$AE120,0))</f>
        <v>504</v>
      </c>
      <c r="AW120" s="75" t="str">
        <f aca="false">IF(SUM($AV120)&lt;=0,"",IF(SUM($AU120)&lt;=0,"ENTER VALID YIELD!",ROUND($AV120/$AU120,0)-$AV120))</f>
        <v>ENTER VALID YIELD!</v>
      </c>
      <c r="AX120" s="118"/>
      <c r="AY120" s="75" t="n">
        <f aca="false">IF(OR(SUM($AF120)&lt;=0,SUM($G120)&lt;=0),"",ROUND($G120*$AF120,0))</f>
        <v>504</v>
      </c>
      <c r="AZ120" s="75" t="str">
        <f aca="false">IF(SUM($AY120)&lt;=0,"",IF(SUM($AX120)&lt;=0,"ENTER VALID YIELD!",ROUND($AY120/$AX120,0)-$AY120))</f>
        <v>ENTER VALID YIELD!</v>
      </c>
      <c r="BA120" s="118" t="n">
        <v>46</v>
      </c>
      <c r="BB120" s="75" t="n">
        <f aca="false">IF(OR(SUM($AG120)&lt;=0,SUM($G120)&lt;=0),"",ROUND($G120*$AG120,0))</f>
        <v>294</v>
      </c>
      <c r="BC120" s="75" t="n">
        <f aca="false">IF(SUM($BB120)&lt;=0,"",IF(SUM($BA120)&lt;=0,"ENTER VALID YIELD!",ROUND($BB120/$BA120,0)-$BB120))</f>
        <v>-288</v>
      </c>
      <c r="BD120" s="118"/>
      <c r="BE120" s="75" t="n">
        <f aca="false">IF(OR(SUM($AH120)&lt;=0,SUM($G120)&lt;=0),"",ROUND($G120*$AH120,0))</f>
        <v>308</v>
      </c>
      <c r="BF120" s="75" t="str">
        <f aca="false">IF(SUM($BE120)&lt;=0,"",IF(SUM($BD120)&lt;=0,"ENTER VALID YIELD!",ROUND($BE120/$BD120,0)-$BE120))</f>
        <v>ENTER VALID YIELD!</v>
      </c>
      <c r="BG120" s="118" t="n">
        <v>46</v>
      </c>
      <c r="BH120" s="75" t="n">
        <f aca="false">IF(OR(SUM($AI120)&lt;=0,SUM($G120)&lt;=0),"",ROUND($G120*$AI120,0))</f>
        <v>420</v>
      </c>
      <c r="BI120" s="75" t="n">
        <f aca="false">IF(SUM($BH120)&lt;=0,"",IF(SUM($BG120)&lt;=0,"ENTER VALID YIELD!",ROUND($BH120/$BG120,0)-$BH120))</f>
        <v>-411</v>
      </c>
      <c r="BJ120" s="118" t="n">
        <v>37</v>
      </c>
      <c r="BK120" s="75" t="n">
        <f aca="false">IF(OR(SUM($AJ120)&lt;=0,SUM($G120)&lt;=0),"",ROUND($G120*$AJ120,0))</f>
        <v>280</v>
      </c>
      <c r="BL120" s="75" t="n">
        <f aca="false">IF(SUM($BK120)&lt;=0,"",IF(SUM($BJ120)&lt;=0,"ENTER VALID YIELD!",ROUND($BK120/$BJ120,0)-$BK120))</f>
        <v>-272</v>
      </c>
      <c r="BM120" s="73" t="n">
        <f aca="false">IF(SUM($G120)&lt;=0,"",$G120)</f>
        <v>14</v>
      </c>
      <c r="BN120" s="73" t="n">
        <f aca="false">IF(SUM($G120)&lt;=0,"",SUM($I120:$L120,$Q120,$S120,$AM120,$AP120,$AS120,$AV120,$AY120,$BB120,$BE120,$BH120,$BK120))</f>
        <v>-30014</v>
      </c>
      <c r="BO120" s="73" t="n">
        <f aca="false">IF(AND(SUM($BN120)&lt;=0,SUM($BM120)&lt;=0),"",SUM($BN120)-SUM($BM120))</f>
        <v>-30028</v>
      </c>
      <c r="BP120" s="73" t="str">
        <f aca="false">_xlfn.IFNA(INDEX(PMTCT!$AF:$AF,MATCH($E120,PMTCT!$E:$E,0)),"")</f>
        <v/>
      </c>
      <c r="BQ120" s="73" t="str">
        <f aca="false">_xlfn.IFNA(INDEX(PMTCT!$AV:$AV,MATCH($E120,PMTCT!$E:$E,0)),"")</f>
        <v/>
      </c>
      <c r="BR120" s="73" t="n">
        <f aca="false">_xlfn.IFNA(INDEX(TB!$R:$R,MATCH($E120,TB!$E:$E,0)),"")</f>
        <v>31416</v>
      </c>
      <c r="BS120" s="73" t="str">
        <f aca="false">_xlfn.IFNA(INDEX(VMMC!$AD:$AD,MATCH($E120,VMMC!$E:$E,0)),"")</f>
        <v/>
      </c>
      <c r="BT120" s="73" t="n">
        <f aca="false">IF(SUM($R120,$T120,$AN120,$AQ120,$AT120,$AW120,$AZ120,$BC120,$BF120,$BI120,$BL120,$BP120:$BS120)=0,"",SUM($R120,$T120,$AN120,$AQ120,$AT120,$AW120,$AZ120,$BC120,$BF120,$BI120,$BL120,$BP120:$BS120))</f>
        <v>30119</v>
      </c>
      <c r="BU120" s="73" t="n">
        <f aca="false">IF(OR(SUM($BT120)=0,SUM($BN120)=0),"",SUM($BT120,$BN120))</f>
        <v>105</v>
      </c>
      <c r="BV120" s="118" t="n">
        <f aca="false">IF(SUM($BU120)=0,"",SUM($BN120)/$BU120)</f>
        <v>-285.847619047619</v>
      </c>
      <c r="BW120" s="73" t="n">
        <v>50</v>
      </c>
      <c r="BX120" s="118" t="n">
        <f aca="false">IF(OR($C120="01-04",$C120="05-09"),"",0%)</f>
        <v>0</v>
      </c>
      <c r="BY120" s="75" t="n">
        <f aca="false">IF(OR($C120="01-04",$C120="05-09",SUM($BW120)=0),"",ROUND($BW120*(1+$BX120),0))</f>
        <v>50</v>
      </c>
    </row>
    <row r="121" customFormat="false" ht="15" hidden="false" customHeight="false" outlineLevel="0" collapsed="false">
      <c r="A121" s="0" t="s">
        <v>145</v>
      </c>
      <c r="B121" s="0" t="s">
        <v>107</v>
      </c>
      <c r="C121" s="0" t="s">
        <v>80</v>
      </c>
      <c r="D121" s="0" t="s">
        <v>56</v>
      </c>
      <c r="E121" s="0" t="str">
        <f aca="false">B121&amp;"|"&amp;C121&amp;"|"&amp;D121</f>
        <v>Mafeteng [#SNU] [#DREAMS] [DiFv5WXIHM5]|45-49|Female</v>
      </c>
      <c r="F121" s="118" t="n">
        <f aca="false">_xlfn.IFNA(INDEX(Cascade!$Y:$Y,MATCH($E121,Cascade!$E:$E,0)),"")</f>
        <v>0.933333333333333</v>
      </c>
      <c r="G121" s="73" t="n">
        <f aca="false">_xlfn.IFNA(INDEX(Cascade!$BD:$BD,MATCH($E121,Cascade!$E:$E,0)),"")</f>
        <v>1</v>
      </c>
      <c r="H121" s="73" t="n">
        <f aca="false">_xlfn.IFNA(INDEX(Cascade!$BE:$BE,MATCH($E121,Cascade!$E:$E,0)),"")</f>
        <v>1</v>
      </c>
      <c r="I121" s="73" t="n">
        <f aca="false">_xlfn.IFNA(INDEX(Cascade!$BF:$BF,MATCH($E121,Cascade!$E:$E,0)),"")</f>
        <v>-0</v>
      </c>
      <c r="J121" s="73" t="str">
        <f aca="false">_xlfn.IFNA(INDEX(Cascade!$BG:$BG,MATCH($E121,Cascade!$E:$E,0)),"")</f>
        <v/>
      </c>
      <c r="K121" s="73" t="n">
        <f aca="false">_xlfn.IFNA(INDEX(Cascade!$BH:$BH,MATCH($E121,Cascade!$E:$E,0)),"")</f>
        <v>-9594</v>
      </c>
      <c r="L121" s="73" t="str">
        <f aca="false">_xlfn.IFNA(INDEX(Cascade!$BI:$BI,MATCH($E121,Cascade!$E:$E,0)),"")</f>
        <v/>
      </c>
      <c r="M121" s="73" t="n">
        <f aca="false">_xlfn.IFNA(INDEX(Cascade!$BK:$BK,MATCH($E121,Cascade!$E:$E,0)),"")</f>
        <v>9594</v>
      </c>
      <c r="N121" s="118" t="n">
        <v>44</v>
      </c>
      <c r="O121" s="118" t="n">
        <v>27</v>
      </c>
      <c r="P121" s="118" t="n">
        <v>26</v>
      </c>
      <c r="Q121" s="75" t="n">
        <f aca="false">IF(OR(SUM($H121)=0,SUM($N121)=0,SUM($O121)=0),"",ROUND($H121*$N121,0))</f>
        <v>44</v>
      </c>
      <c r="R121" s="75" t="n">
        <f aca="false">IF(OR(SUM($Q121)=0,SUM($O121)=0),"",ROUND(SUM($Q121)/SUM($O121),0)-SUM($Q121))</f>
        <v>-42</v>
      </c>
      <c r="S121" s="75" t="n">
        <f aca="false">IF(SUM($H121)=0,"",SUM($H121)-SUM($Q121))</f>
        <v>-43</v>
      </c>
      <c r="T121" s="75" t="str">
        <f aca="false">IF(OR(SUM($S121)=0,$N121&gt;1,SUM($P121)&lt;=0),"",ROUND($S121/$P121,0)-$S121)</f>
        <v/>
      </c>
      <c r="U121" s="118" t="n">
        <f aca="false">IF(SUM($G121)&lt;=0,"",SUM($Q121,$S121)/$G121)</f>
        <v>1</v>
      </c>
      <c r="V121" s="118" t="n">
        <f aca="false">IF(OR(SUM($Q121)=0,SUM($G121)=0),"",SUM($Q121)/SUM($G121))</f>
        <v>44</v>
      </c>
      <c r="W121" s="118" t="n">
        <f aca="false">IF(OR(SUM($S121)=0,SUM($G121)=0),"",SUM($S121)/SUM($G121))</f>
        <v>-43</v>
      </c>
      <c r="X121" s="118" t="str">
        <f aca="false">IF(OR(SUM($G121)=0,SUM($I121)=0),"",SUM($I121)/SUM($G121))</f>
        <v/>
      </c>
      <c r="Y121" s="118" t="str">
        <f aca="false">IF(OR(SUM($G121)=0,SUM($J121)=0),"",SUM($J121)/SUM($G121))</f>
        <v/>
      </c>
      <c r="Z121" s="118" t="n">
        <f aca="false">IF(OR(SUM($G121)=0,SUM($K121)=0),"",SUM($K121)/SUM($G121))</f>
        <v>-9594</v>
      </c>
      <c r="AA121" s="118" t="str">
        <f aca="false">IF(OR(SUM($G121)=0,SUM($L121)=0),"",SUM($L121)/SUM($G121))</f>
        <v/>
      </c>
      <c r="AB121" s="118" t="n">
        <v>9</v>
      </c>
      <c r="AC121" s="118"/>
      <c r="AD121" s="118"/>
      <c r="AE121" s="118" t="n">
        <v>17</v>
      </c>
      <c r="AF121" s="118" t="n">
        <v>46</v>
      </c>
      <c r="AG121" s="118" t="n">
        <v>12</v>
      </c>
      <c r="AH121" s="118" t="n">
        <v>6</v>
      </c>
      <c r="AI121" s="118" t="n">
        <v>8</v>
      </c>
      <c r="AJ121" s="118" t="n">
        <v>22</v>
      </c>
      <c r="AK121" s="118" t="n">
        <f aca="false">IF(SUM($G121)&lt;=0,"",SUM($V121:$AJ121))</f>
        <v>-9473</v>
      </c>
      <c r="AL121" s="118" t="n">
        <v>37</v>
      </c>
      <c r="AM121" s="75" t="n">
        <f aca="false">IF(OR(SUM($AB121)&lt;=0,SUM($G121)&lt;=0),"",ROUND($G121*$AB121,0))</f>
        <v>9</v>
      </c>
      <c r="AN121" s="75" t="n">
        <f aca="false">IF(SUM($AM121)&lt;=0,"",IF(SUM($AL121)&lt;=0,"ENTER VALID YIELD!",ROUND($AM121/$AL121,0)-$AM121))</f>
        <v>-9</v>
      </c>
      <c r="AO121" s="118"/>
      <c r="AP121" s="75" t="str">
        <f aca="false">IF(OR(SUM($AC121)&lt;=0,SUM($G121)&lt;=0),"",ROUND($G121*$AC121,0))</f>
        <v/>
      </c>
      <c r="AQ121" s="75" t="str">
        <f aca="false">IF(SUM($AP121)&lt;=0,"",IF(SUM($AO121)&lt;=0,"ENTER VALID YIELD!",ROUND($AP121/$AO121,0)-$AP121))</f>
        <v/>
      </c>
      <c r="AR121" s="118"/>
      <c r="AS121" s="75" t="str">
        <f aca="false">IF(OR(SUM($AD121)&lt;=0,SUM($G121)&lt;=0),"",ROUND($G121*$AD121,0))</f>
        <v/>
      </c>
      <c r="AT121" s="75" t="str">
        <f aca="false">IF(SUM($AS121)&lt;=0,"",IF(SUM($AR121)&lt;=0,"ENTER VALID YIELD!",ROUND($AS121/$AR121,0)-$AS121))</f>
        <v/>
      </c>
      <c r="AU121" s="118"/>
      <c r="AV121" s="75" t="n">
        <f aca="false">IF(OR(SUM($AE121)&lt;=0,SUM($G121)&lt;=0),"",ROUND($G121*$AE121,0))</f>
        <v>17</v>
      </c>
      <c r="AW121" s="75" t="str">
        <f aca="false">IF(SUM($AV121)&lt;=0,"",IF(SUM($AU121)&lt;=0,"ENTER VALID YIELD!",ROUND($AV121/$AU121,0)-$AV121))</f>
        <v>ENTER VALID YIELD!</v>
      </c>
      <c r="AX121" s="118"/>
      <c r="AY121" s="75" t="n">
        <f aca="false">IF(OR(SUM($AF121)&lt;=0,SUM($G121)&lt;=0),"",ROUND($G121*$AF121,0))</f>
        <v>46</v>
      </c>
      <c r="AZ121" s="75" t="str">
        <f aca="false">IF(SUM($AY121)&lt;=0,"",IF(SUM($AX121)&lt;=0,"ENTER VALID YIELD!",ROUND($AY121/$AX121,0)-$AY121))</f>
        <v>ENTER VALID YIELD!</v>
      </c>
      <c r="BA121" s="118" t="n">
        <v>17</v>
      </c>
      <c r="BB121" s="75" t="n">
        <f aca="false">IF(OR(SUM($AG121)&lt;=0,SUM($G121)&lt;=0),"",ROUND($G121*$AG121,0))</f>
        <v>12</v>
      </c>
      <c r="BC121" s="75" t="n">
        <f aca="false">IF(SUM($BB121)&lt;=0,"",IF(SUM($BA121)&lt;=0,"ENTER VALID YIELD!",ROUND($BB121/$BA121,0)-$BB121))</f>
        <v>-11</v>
      </c>
      <c r="BD121" s="118"/>
      <c r="BE121" s="75" t="n">
        <f aca="false">IF(OR(SUM($AH121)&lt;=0,SUM($G121)&lt;=0),"",ROUND($G121*$AH121,0))</f>
        <v>6</v>
      </c>
      <c r="BF121" s="75" t="str">
        <f aca="false">IF(SUM($BE121)&lt;=0,"",IF(SUM($BD121)&lt;=0,"ENTER VALID YIELD!",ROUND($BE121/$BD121,0)-$BE121))</f>
        <v>ENTER VALID YIELD!</v>
      </c>
      <c r="BG121" s="118" t="n">
        <v>31</v>
      </c>
      <c r="BH121" s="75" t="n">
        <f aca="false">IF(OR(SUM($AI121)&lt;=0,SUM($G121)&lt;=0),"",ROUND($G121*$AI121,0))</f>
        <v>8</v>
      </c>
      <c r="BI121" s="75" t="n">
        <f aca="false">IF(SUM($BH121)&lt;=0,"",IF(SUM($BG121)&lt;=0,"ENTER VALID YIELD!",ROUND($BH121/$BG121,0)-$BH121))</f>
        <v>-8</v>
      </c>
      <c r="BJ121" s="118" t="n">
        <v>49</v>
      </c>
      <c r="BK121" s="75" t="n">
        <f aca="false">IF(OR(SUM($AJ121)&lt;=0,SUM($G121)&lt;=0),"",ROUND($G121*$AJ121,0))</f>
        <v>22</v>
      </c>
      <c r="BL121" s="75" t="n">
        <f aca="false">IF(SUM($BK121)&lt;=0,"",IF(SUM($BJ121)&lt;=0,"ENTER VALID YIELD!",ROUND($BK121/$BJ121,0)-$BK121))</f>
        <v>-22</v>
      </c>
      <c r="BM121" s="73" t="n">
        <f aca="false">IF(SUM($G121)&lt;=0,"",$G121)</f>
        <v>1</v>
      </c>
      <c r="BN121" s="73" t="n">
        <f aca="false">IF(SUM($G121)&lt;=0,"",SUM($I121:$L121,$Q121,$S121,$AM121,$AP121,$AS121,$AV121,$AY121,$BB121,$BE121,$BH121,$BK121))</f>
        <v>-9473</v>
      </c>
      <c r="BO121" s="73" t="n">
        <f aca="false">IF(AND(SUM($BN121)&lt;=0,SUM($BM121)&lt;=0),"",SUM($BN121)-SUM($BM121))</f>
        <v>-9474</v>
      </c>
      <c r="BP121" s="73" t="n">
        <f aca="false">_xlfn.IFNA(INDEX(PMTCT!$AF:$AF,MATCH($E121,PMTCT!$E:$E,0)),"")</f>
        <v>-2058</v>
      </c>
      <c r="BQ121" s="73" t="str">
        <f aca="false">_xlfn.IFNA(INDEX(PMTCT!$AV:$AV,MATCH($E121,PMTCT!$E:$E,0)),"")</f>
        <v/>
      </c>
      <c r="BR121" s="73" t="n">
        <f aca="false">_xlfn.IFNA(INDEX(TB!$R:$R,MATCH($E121,TB!$E:$E,0)),"")</f>
        <v>9360</v>
      </c>
      <c r="BS121" s="73" t="str">
        <f aca="false">_xlfn.IFNA(INDEX(VMMC!$AD:$AD,MATCH($E121,VMMC!$E:$E,0)),"")</f>
        <v/>
      </c>
      <c r="BT121" s="73" t="n">
        <f aca="false">IF(SUM($R121,$T121,$AN121,$AQ121,$AT121,$AW121,$AZ121,$BC121,$BF121,$BI121,$BL121,$BP121:$BS121)=0,"",SUM($R121,$T121,$AN121,$AQ121,$AT121,$AW121,$AZ121,$BC121,$BF121,$BI121,$BL121,$BP121:$BS121))</f>
        <v>7210</v>
      </c>
      <c r="BU121" s="73" t="n">
        <f aca="false">IF(OR(SUM($BT121)=0,SUM($BN121)=0),"",SUM($BT121,$BN121))</f>
        <v>-2263</v>
      </c>
      <c r="BV121" s="118" t="n">
        <f aca="false">IF(SUM($BU121)=0,"",SUM($BN121)/$BU121)</f>
        <v>4.18603623508617</v>
      </c>
      <c r="BW121" s="73" t="n">
        <v>17</v>
      </c>
      <c r="BX121" s="118" t="n">
        <f aca="false">IF(OR($C121="01-04",$C121="05-09"),"",0%)</f>
        <v>0</v>
      </c>
      <c r="BY121" s="75" t="n">
        <f aca="false">IF(OR($C121="01-04",$C121="05-09",SUM($BW121)=0),"",ROUND($BW121*(1+$BX121),0))</f>
        <v>17</v>
      </c>
    </row>
    <row r="122" customFormat="false" ht="15" hidden="false" customHeight="false" outlineLevel="0" collapsed="false">
      <c r="A122" s="0" t="s">
        <v>145</v>
      </c>
      <c r="B122" s="0" t="s">
        <v>107</v>
      </c>
      <c r="C122" s="0" t="s">
        <v>80</v>
      </c>
      <c r="D122" s="0" t="s">
        <v>58</v>
      </c>
      <c r="E122" s="0" t="str">
        <f aca="false">B122&amp;"|"&amp;C122&amp;"|"&amp;D122</f>
        <v>Mafeteng [#SNU] [#DREAMS] [DiFv5WXIHM5]|45-49|Male</v>
      </c>
      <c r="F122" s="118" t="n">
        <f aca="false">_xlfn.IFNA(INDEX(Cascade!$Y:$Y,MATCH($E122,Cascade!$E:$E,0)),"")</f>
        <v>0.68646408839779</v>
      </c>
      <c r="G122" s="73" t="n">
        <f aca="false">_xlfn.IFNA(INDEX(Cascade!$BD:$BD,MATCH($E122,Cascade!$E:$E,0)),"")</f>
        <v>2</v>
      </c>
      <c r="H122" s="73" t="n">
        <f aca="false">_xlfn.IFNA(INDEX(Cascade!$BE:$BE,MATCH($E122,Cascade!$E:$E,0)),"")</f>
        <v>1</v>
      </c>
      <c r="I122" s="73" t="str">
        <f aca="false">_xlfn.IFNA(INDEX(Cascade!$BF:$BF,MATCH($E122,Cascade!$E:$E,0)),"")</f>
        <v/>
      </c>
      <c r="J122" s="73" t="str">
        <f aca="false">_xlfn.IFNA(INDEX(Cascade!$BG:$BG,MATCH($E122,Cascade!$E:$E,0)),"")</f>
        <v/>
      </c>
      <c r="K122" s="73" t="n">
        <f aca="false">_xlfn.IFNA(INDEX(Cascade!$BH:$BH,MATCH($E122,Cascade!$E:$E,0)),"")</f>
        <v>-3654</v>
      </c>
      <c r="L122" s="73" t="str">
        <f aca="false">_xlfn.IFNA(INDEX(Cascade!$BI:$BI,MATCH($E122,Cascade!$E:$E,0)),"")</f>
        <v/>
      </c>
      <c r="M122" s="73" t="n">
        <f aca="false">_xlfn.IFNA(INDEX(Cascade!$BK:$BK,MATCH($E122,Cascade!$E:$E,0)),"")</f>
        <v>3655</v>
      </c>
      <c r="N122" s="118" t="n">
        <v>10</v>
      </c>
      <c r="O122" s="118" t="n">
        <v>16</v>
      </c>
      <c r="P122" s="118" t="n">
        <v>24</v>
      </c>
      <c r="Q122" s="75" t="n">
        <f aca="false">IF(OR(SUM($H122)=0,SUM($N122)=0,SUM($O122)=0),"",ROUND($H122*$N122,0))</f>
        <v>10</v>
      </c>
      <c r="R122" s="75" t="n">
        <f aca="false">IF(OR(SUM($Q122)=0,SUM($O122)=0),"",ROUND(SUM($Q122)/SUM($O122),0)-SUM($Q122))</f>
        <v>-9</v>
      </c>
      <c r="S122" s="75" t="n">
        <f aca="false">IF(SUM($H122)=0,"",SUM($H122)-SUM($Q122))</f>
        <v>-9</v>
      </c>
      <c r="T122" s="75" t="str">
        <f aca="false">IF(OR(SUM($S122)=0,$N122&gt;1,SUM($P122)&lt;=0),"",ROUND($S122/$P122,0)-$S122)</f>
        <v/>
      </c>
      <c r="U122" s="118" t="n">
        <f aca="false">IF(SUM($G122)&lt;=0,"",SUM($Q122,$S122)/$G122)</f>
        <v>0.5</v>
      </c>
      <c r="V122" s="118" t="n">
        <f aca="false">IF(OR(SUM($Q122)=0,SUM($G122)=0),"",SUM($Q122)/SUM($G122))</f>
        <v>5</v>
      </c>
      <c r="W122" s="118" t="n">
        <f aca="false">IF(OR(SUM($S122)=0,SUM($G122)=0),"",SUM($S122)/SUM($G122))</f>
        <v>-4.5</v>
      </c>
      <c r="X122" s="118" t="str">
        <f aca="false">IF(OR(SUM($G122)=0,SUM($I122)=0),"",SUM($I122)/SUM($G122))</f>
        <v/>
      </c>
      <c r="Y122" s="118" t="str">
        <f aca="false">IF(OR(SUM($G122)=0,SUM($J122)=0),"",SUM($J122)/SUM($G122))</f>
        <v/>
      </c>
      <c r="Z122" s="118" t="n">
        <f aca="false">IF(OR(SUM($G122)=0,SUM($K122)=0),"",SUM($K122)/SUM($G122))</f>
        <v>-1827</v>
      </c>
      <c r="AA122" s="118" t="str">
        <f aca="false">IF(OR(SUM($G122)=0,SUM($L122)=0),"",SUM($L122)/SUM($G122))</f>
        <v/>
      </c>
      <c r="AB122" s="118" t="n">
        <v>36</v>
      </c>
      <c r="AC122" s="118"/>
      <c r="AD122" s="118"/>
      <c r="AE122" s="118" t="n">
        <v>24</v>
      </c>
      <c r="AF122" s="118" t="n">
        <v>44</v>
      </c>
      <c r="AG122" s="118" t="n">
        <v>9</v>
      </c>
      <c r="AH122" s="118" t="n">
        <v>14</v>
      </c>
      <c r="AI122" s="118" t="n">
        <v>11</v>
      </c>
      <c r="AJ122" s="118" t="n">
        <v>31</v>
      </c>
      <c r="AK122" s="118" t="n">
        <f aca="false">IF(SUM($G122)&lt;=0,"",SUM($V122:$AJ122))</f>
        <v>-1657.5</v>
      </c>
      <c r="AL122" s="118"/>
      <c r="AM122" s="75" t="n">
        <f aca="false">IF(OR(SUM($AB122)&lt;=0,SUM($G122)&lt;=0),"",ROUND($G122*$AB122,0))</f>
        <v>72</v>
      </c>
      <c r="AN122" s="75" t="str">
        <f aca="false">IF(SUM($AM122)&lt;=0,"",IF(SUM($AL122)&lt;=0,"ENTER VALID YIELD!",ROUND($AM122/$AL122,0)-$AM122))</f>
        <v>ENTER VALID YIELD!</v>
      </c>
      <c r="AO122" s="118"/>
      <c r="AP122" s="75" t="str">
        <f aca="false">IF(OR(SUM($AC122)&lt;=0,SUM($G122)&lt;=0),"",ROUND($G122*$AC122,0))</f>
        <v/>
      </c>
      <c r="AQ122" s="75" t="str">
        <f aca="false">IF(SUM($AP122)&lt;=0,"",IF(SUM($AO122)&lt;=0,"ENTER VALID YIELD!",ROUND($AP122/$AO122,0)-$AP122))</f>
        <v/>
      </c>
      <c r="AR122" s="118"/>
      <c r="AS122" s="75" t="str">
        <f aca="false">IF(OR(SUM($AD122)&lt;=0,SUM($G122)&lt;=0),"",ROUND($G122*$AD122,0))</f>
        <v/>
      </c>
      <c r="AT122" s="75" t="str">
        <f aca="false">IF(SUM($AS122)&lt;=0,"",IF(SUM($AR122)&lt;=0,"ENTER VALID YIELD!",ROUND($AS122/$AR122,0)-$AS122))</f>
        <v/>
      </c>
      <c r="AU122" s="118"/>
      <c r="AV122" s="75" t="n">
        <f aca="false">IF(OR(SUM($AE122)&lt;=0,SUM($G122)&lt;=0),"",ROUND($G122*$AE122,0))</f>
        <v>48</v>
      </c>
      <c r="AW122" s="75" t="str">
        <f aca="false">IF(SUM($AV122)&lt;=0,"",IF(SUM($AU122)&lt;=0,"ENTER VALID YIELD!",ROUND($AV122/$AU122,0)-$AV122))</f>
        <v>ENTER VALID YIELD!</v>
      </c>
      <c r="AX122" s="118"/>
      <c r="AY122" s="75" t="n">
        <f aca="false">IF(OR(SUM($AF122)&lt;=0,SUM($G122)&lt;=0),"",ROUND($G122*$AF122,0))</f>
        <v>88</v>
      </c>
      <c r="AZ122" s="75" t="str">
        <f aca="false">IF(SUM($AY122)&lt;=0,"",IF(SUM($AX122)&lt;=0,"ENTER VALID YIELD!",ROUND($AY122/$AX122,0)-$AY122))</f>
        <v>ENTER VALID YIELD!</v>
      </c>
      <c r="BA122" s="118" t="n">
        <v>37</v>
      </c>
      <c r="BB122" s="75" t="n">
        <f aca="false">IF(OR(SUM($AG122)&lt;=0,SUM($G122)&lt;=0),"",ROUND($G122*$AG122,0))</f>
        <v>18</v>
      </c>
      <c r="BC122" s="75" t="n">
        <f aca="false">IF(SUM($BB122)&lt;=0,"",IF(SUM($BA122)&lt;=0,"ENTER VALID YIELD!",ROUND($BB122/$BA122,0)-$BB122))</f>
        <v>-18</v>
      </c>
      <c r="BD122" s="118"/>
      <c r="BE122" s="75" t="n">
        <f aca="false">IF(OR(SUM($AH122)&lt;=0,SUM($G122)&lt;=0),"",ROUND($G122*$AH122,0))</f>
        <v>28</v>
      </c>
      <c r="BF122" s="75" t="str">
        <f aca="false">IF(SUM($BE122)&lt;=0,"",IF(SUM($BD122)&lt;=0,"ENTER VALID YIELD!",ROUND($BE122/$BD122,0)-$BE122))</f>
        <v>ENTER VALID YIELD!</v>
      </c>
      <c r="BG122" s="118" t="n">
        <v>41</v>
      </c>
      <c r="BH122" s="75" t="n">
        <f aca="false">IF(OR(SUM($AI122)&lt;=0,SUM($G122)&lt;=0),"",ROUND($G122*$AI122,0))</f>
        <v>22</v>
      </c>
      <c r="BI122" s="75" t="n">
        <f aca="false">IF(SUM($BH122)&lt;=0,"",IF(SUM($BG122)&lt;=0,"ENTER VALID YIELD!",ROUND($BH122/$BG122,0)-$BH122))</f>
        <v>-21</v>
      </c>
      <c r="BJ122" s="118"/>
      <c r="BK122" s="75" t="n">
        <f aca="false">IF(OR(SUM($AJ122)&lt;=0,SUM($G122)&lt;=0),"",ROUND($G122*$AJ122,0))</f>
        <v>62</v>
      </c>
      <c r="BL122" s="75" t="str">
        <f aca="false">IF(SUM($BK122)&lt;=0,"",IF(SUM($BJ122)&lt;=0,"ENTER VALID YIELD!",ROUND($BK122/$BJ122,0)-$BK122))</f>
        <v>ENTER VALID YIELD!</v>
      </c>
      <c r="BM122" s="73" t="n">
        <f aca="false">IF(SUM($G122)&lt;=0,"",$G122)</f>
        <v>2</v>
      </c>
      <c r="BN122" s="73" t="n">
        <f aca="false">IF(SUM($G122)&lt;=0,"",SUM($I122:$L122,$Q122,$S122,$AM122,$AP122,$AS122,$AV122,$AY122,$BB122,$BE122,$BH122,$BK122))</f>
        <v>-3315</v>
      </c>
      <c r="BO122" s="73" t="n">
        <f aca="false">IF(AND(SUM($BN122)&lt;=0,SUM($BM122)&lt;=0),"",SUM($BN122)-SUM($BM122))</f>
        <v>-3317</v>
      </c>
      <c r="BP122" s="73" t="str">
        <f aca="false">_xlfn.IFNA(INDEX(PMTCT!$AF:$AF,MATCH($E122,PMTCT!$E:$E,0)),"")</f>
        <v/>
      </c>
      <c r="BQ122" s="73" t="str">
        <f aca="false">_xlfn.IFNA(INDEX(PMTCT!$AV:$AV,MATCH($E122,PMTCT!$E:$E,0)),"")</f>
        <v/>
      </c>
      <c r="BR122" s="73" t="n">
        <f aca="false">_xlfn.IFNA(INDEX(TB!$R:$R,MATCH($E122,TB!$E:$E,0)),"")</f>
        <v>3528</v>
      </c>
      <c r="BS122" s="73" t="str">
        <f aca="false">_xlfn.IFNA(INDEX(VMMC!$AD:$AD,MATCH($E122,VMMC!$E:$E,0)),"")</f>
        <v/>
      </c>
      <c r="BT122" s="73" t="n">
        <f aca="false">IF(SUM($R122,$T122,$AN122,$AQ122,$AT122,$AW122,$AZ122,$BC122,$BF122,$BI122,$BL122,$BP122:$BS122)=0,"",SUM($R122,$T122,$AN122,$AQ122,$AT122,$AW122,$AZ122,$BC122,$BF122,$BI122,$BL122,$BP122:$BS122))</f>
        <v>3480</v>
      </c>
      <c r="BU122" s="73" t="n">
        <f aca="false">IF(OR(SUM($BT122)=0,SUM($BN122)=0),"",SUM($BT122,$BN122))</f>
        <v>165</v>
      </c>
      <c r="BV122" s="118" t="n">
        <f aca="false">IF(SUM($BU122)=0,"",SUM($BN122)/$BU122)</f>
        <v>-20.0909090909091</v>
      </c>
      <c r="BW122" s="73" t="n">
        <v>47</v>
      </c>
      <c r="BX122" s="118" t="n">
        <f aca="false">IF(OR($C122="01-04",$C122="05-09"),"",0%)</f>
        <v>0</v>
      </c>
      <c r="BY122" s="75" t="n">
        <f aca="false">IF(OR($C122="01-04",$C122="05-09",SUM($BW122)=0),"",ROUND($BW122*(1+$BX122),0))</f>
        <v>47</v>
      </c>
    </row>
    <row r="123" customFormat="false" ht="15" hidden="false" customHeight="false" outlineLevel="0" collapsed="false">
      <c r="A123" s="0" t="s">
        <v>145</v>
      </c>
      <c r="B123" s="0" t="s">
        <v>107</v>
      </c>
      <c r="C123" s="0" t="s">
        <v>86</v>
      </c>
      <c r="D123" s="0" t="s">
        <v>56</v>
      </c>
      <c r="E123" s="0" t="str">
        <f aca="false">B123&amp;"|"&amp;C123&amp;"|"&amp;D123</f>
        <v>Mafeteng [#SNU] [#DREAMS] [DiFv5WXIHM5]|50+|Female</v>
      </c>
      <c r="F123" s="118" t="n">
        <f aca="false">_xlfn.IFNA(INDEX(Cascade!$Y:$Y,MATCH($E123,Cascade!$E:$E,0)),"")</f>
        <v>0.751875246742993</v>
      </c>
      <c r="G123" s="73" t="n">
        <f aca="false">_xlfn.IFNA(INDEX(Cascade!$BD:$BD,MATCH($E123,Cascade!$E:$E,0)),"")</f>
        <v>4</v>
      </c>
      <c r="H123" s="73" t="n">
        <f aca="false">_xlfn.IFNA(INDEX(Cascade!$BE:$BE,MATCH($E123,Cascade!$E:$E,0)),"")</f>
        <v>2</v>
      </c>
      <c r="I123" s="73" t="str">
        <f aca="false">_xlfn.IFNA(INDEX(Cascade!$BF:$BF,MATCH($E123,Cascade!$E:$E,0)),"")</f>
        <v/>
      </c>
      <c r="J123" s="73" t="str">
        <f aca="false">_xlfn.IFNA(INDEX(Cascade!$BG:$BG,MATCH($E123,Cascade!$E:$E,0)),"")</f>
        <v/>
      </c>
      <c r="K123" s="73" t="n">
        <f aca="false">_xlfn.IFNA(INDEX(Cascade!$BH:$BH,MATCH($E123,Cascade!$E:$E,0)),"")</f>
        <v>-0</v>
      </c>
      <c r="L123" s="73" t="str">
        <f aca="false">_xlfn.IFNA(INDEX(Cascade!$BI:$BI,MATCH($E123,Cascade!$E:$E,0)),"")</f>
        <v/>
      </c>
      <c r="M123" s="73" t="n">
        <f aca="false">_xlfn.IFNA(INDEX(Cascade!$BK:$BK,MATCH($E123,Cascade!$E:$E,0)),"")</f>
        <v>2</v>
      </c>
      <c r="N123" s="118" t="n">
        <v>26</v>
      </c>
      <c r="O123" s="118" t="n">
        <v>9</v>
      </c>
      <c r="P123" s="118" t="n">
        <v>30</v>
      </c>
      <c r="Q123" s="75" t="n">
        <f aca="false">IF(OR(SUM($H123)=0,SUM($N123)=0,SUM($O123)=0),"",ROUND($H123*$N123,0))</f>
        <v>52</v>
      </c>
      <c r="R123" s="75" t="n">
        <f aca="false">IF(OR(SUM($Q123)=0,SUM($O123)=0),"",ROUND(SUM($Q123)/SUM($O123),0)-SUM($Q123))</f>
        <v>-46</v>
      </c>
      <c r="S123" s="75" t="n">
        <f aca="false">IF(SUM($H123)=0,"",SUM($H123)-SUM($Q123))</f>
        <v>-50</v>
      </c>
      <c r="T123" s="75" t="str">
        <f aca="false">IF(OR(SUM($S123)=0,$N123&gt;1,SUM($P123)&lt;=0),"",ROUND($S123/$P123,0)-$S123)</f>
        <v/>
      </c>
      <c r="U123" s="118" t="n">
        <f aca="false">IF(SUM($G123)&lt;=0,"",SUM($Q123,$S123)/$G123)</f>
        <v>0.5</v>
      </c>
      <c r="V123" s="118" t="n">
        <f aca="false">IF(OR(SUM($Q123)=0,SUM($G123)=0),"",SUM($Q123)/SUM($G123))</f>
        <v>13</v>
      </c>
      <c r="W123" s="118" t="n">
        <f aca="false">IF(OR(SUM($S123)=0,SUM($G123)=0),"",SUM($S123)/SUM($G123))</f>
        <v>-12.5</v>
      </c>
      <c r="X123" s="118" t="str">
        <f aca="false">IF(OR(SUM($G123)=0,SUM($I123)=0),"",SUM($I123)/SUM($G123))</f>
        <v/>
      </c>
      <c r="Y123" s="118" t="str">
        <f aca="false">IF(OR(SUM($G123)=0,SUM($J123)=0),"",SUM($J123)/SUM($G123))</f>
        <v/>
      </c>
      <c r="Z123" s="118" t="str">
        <f aca="false">IF(OR(SUM($G123)=0,SUM($K123)=0),"",SUM($K123)/SUM($G123))</f>
        <v/>
      </c>
      <c r="AA123" s="118" t="str">
        <f aca="false">IF(OR(SUM($G123)=0,SUM($L123)=0),"",SUM($L123)/SUM($G123))</f>
        <v/>
      </c>
      <c r="AB123" s="118" t="n">
        <v>8</v>
      </c>
      <c r="AC123" s="118"/>
      <c r="AD123" s="118"/>
      <c r="AE123" s="118" t="n">
        <v>19</v>
      </c>
      <c r="AF123" s="118" t="n">
        <v>23</v>
      </c>
      <c r="AG123" s="118" t="n">
        <v>31</v>
      </c>
      <c r="AH123" s="118" t="n">
        <v>20</v>
      </c>
      <c r="AI123" s="118" t="n">
        <v>49</v>
      </c>
      <c r="AJ123" s="118" t="n">
        <v>49</v>
      </c>
      <c r="AK123" s="118" t="n">
        <f aca="false">IF(SUM($G123)&lt;=0,"",SUM($V123:$AJ123))</f>
        <v>199.5</v>
      </c>
      <c r="AL123" s="118" t="n">
        <v>13</v>
      </c>
      <c r="AM123" s="75" t="n">
        <f aca="false">IF(OR(SUM($AB123)&lt;=0,SUM($G123)&lt;=0),"",ROUND($G123*$AB123,0))</f>
        <v>32</v>
      </c>
      <c r="AN123" s="75" t="n">
        <f aca="false">IF(SUM($AM123)&lt;=0,"",IF(SUM($AL123)&lt;=0,"ENTER VALID YIELD!",ROUND($AM123/$AL123,0)-$AM123))</f>
        <v>-30</v>
      </c>
      <c r="AO123" s="118"/>
      <c r="AP123" s="75" t="str">
        <f aca="false">IF(OR(SUM($AC123)&lt;=0,SUM($G123)&lt;=0),"",ROUND($G123*$AC123,0))</f>
        <v/>
      </c>
      <c r="AQ123" s="75" t="str">
        <f aca="false">IF(SUM($AP123)&lt;=0,"",IF(SUM($AO123)&lt;=0,"ENTER VALID YIELD!",ROUND($AP123/$AO123,0)-$AP123))</f>
        <v/>
      </c>
      <c r="AR123" s="118"/>
      <c r="AS123" s="75" t="str">
        <f aca="false">IF(OR(SUM($AD123)&lt;=0,SUM($G123)&lt;=0),"",ROUND($G123*$AD123,0))</f>
        <v/>
      </c>
      <c r="AT123" s="75" t="str">
        <f aca="false">IF(SUM($AS123)&lt;=0,"",IF(SUM($AR123)&lt;=0,"ENTER VALID YIELD!",ROUND($AS123/$AR123,0)-$AS123))</f>
        <v/>
      </c>
      <c r="AU123" s="118"/>
      <c r="AV123" s="75" t="n">
        <f aca="false">IF(OR(SUM($AE123)&lt;=0,SUM($G123)&lt;=0),"",ROUND($G123*$AE123,0))</f>
        <v>76</v>
      </c>
      <c r="AW123" s="75" t="str">
        <f aca="false">IF(SUM($AV123)&lt;=0,"",IF(SUM($AU123)&lt;=0,"ENTER VALID YIELD!",ROUND($AV123/$AU123,0)-$AV123))</f>
        <v>ENTER VALID YIELD!</v>
      </c>
      <c r="AX123" s="118"/>
      <c r="AY123" s="75" t="n">
        <f aca="false">IF(OR(SUM($AF123)&lt;=0,SUM($G123)&lt;=0),"",ROUND($G123*$AF123,0))</f>
        <v>92</v>
      </c>
      <c r="AZ123" s="75" t="str">
        <f aca="false">IF(SUM($AY123)&lt;=0,"",IF(SUM($AX123)&lt;=0,"ENTER VALID YIELD!",ROUND($AY123/$AX123,0)-$AY123))</f>
        <v>ENTER VALID YIELD!</v>
      </c>
      <c r="BA123" s="118" t="n">
        <v>11</v>
      </c>
      <c r="BB123" s="75" t="n">
        <f aca="false">IF(OR(SUM($AG123)&lt;=0,SUM($G123)&lt;=0),"",ROUND($G123*$AG123,0))</f>
        <v>124</v>
      </c>
      <c r="BC123" s="75" t="n">
        <f aca="false">IF(SUM($BB123)&lt;=0,"",IF(SUM($BA123)&lt;=0,"ENTER VALID YIELD!",ROUND($BB123/$BA123,0)-$BB123))</f>
        <v>-113</v>
      </c>
      <c r="BD123" s="118"/>
      <c r="BE123" s="75" t="n">
        <f aca="false">IF(OR(SUM($AH123)&lt;=0,SUM($G123)&lt;=0),"",ROUND($G123*$AH123,0))</f>
        <v>80</v>
      </c>
      <c r="BF123" s="75" t="str">
        <f aca="false">IF(SUM($BE123)&lt;=0,"",IF(SUM($BD123)&lt;=0,"ENTER VALID YIELD!",ROUND($BE123/$BD123,0)-$BE123))</f>
        <v>ENTER VALID YIELD!</v>
      </c>
      <c r="BG123" s="118" t="n">
        <v>16</v>
      </c>
      <c r="BH123" s="75" t="n">
        <f aca="false">IF(OR(SUM($AI123)&lt;=0,SUM($G123)&lt;=0),"",ROUND($G123*$AI123,0))</f>
        <v>196</v>
      </c>
      <c r="BI123" s="75" t="n">
        <f aca="false">IF(SUM($BH123)&lt;=0,"",IF(SUM($BG123)&lt;=0,"ENTER VALID YIELD!",ROUND($BH123/$BG123,0)-$BH123))</f>
        <v>-184</v>
      </c>
      <c r="BJ123" s="118" t="n">
        <v>35</v>
      </c>
      <c r="BK123" s="75" t="n">
        <f aca="false">IF(OR(SUM($AJ123)&lt;=0,SUM($G123)&lt;=0),"",ROUND($G123*$AJ123,0))</f>
        <v>196</v>
      </c>
      <c r="BL123" s="75" t="n">
        <f aca="false">IF(SUM($BK123)&lt;=0,"",IF(SUM($BJ123)&lt;=0,"ENTER VALID YIELD!",ROUND($BK123/$BJ123,0)-$BK123))</f>
        <v>-190</v>
      </c>
      <c r="BM123" s="73" t="n">
        <f aca="false">IF(SUM($G123)&lt;=0,"",$G123)</f>
        <v>4</v>
      </c>
      <c r="BN123" s="73" t="n">
        <f aca="false">IF(SUM($G123)&lt;=0,"",SUM($I123:$L123,$Q123,$S123,$AM123,$AP123,$AS123,$AV123,$AY123,$BB123,$BE123,$BH123,$BK123))</f>
        <v>798</v>
      </c>
      <c r="BO123" s="73" t="n">
        <f aca="false">IF(AND(SUM($BN123)&lt;=0,SUM($BM123)&lt;=0),"",SUM($BN123)-SUM($BM123))</f>
        <v>794</v>
      </c>
      <c r="BP123" s="73" t="str">
        <f aca="false">_xlfn.IFNA(INDEX(PMTCT!$AF:$AF,MATCH($E123,PMTCT!$E:$E,0)),"")</f>
        <v/>
      </c>
      <c r="BQ123" s="73" t="str">
        <f aca="false">_xlfn.IFNA(INDEX(PMTCT!$AV:$AV,MATCH($E123,PMTCT!$E:$E,0)),"")</f>
        <v/>
      </c>
      <c r="BR123" s="73" t="n">
        <f aca="false">_xlfn.IFNA(INDEX(TB!$R:$R,MATCH($E123,TB!$E:$E,0)),"")</f>
        <v>-990</v>
      </c>
      <c r="BS123" s="73" t="str">
        <f aca="false">_xlfn.IFNA(INDEX(VMMC!$AD:$AD,MATCH($E123,VMMC!$E:$E,0)),"")</f>
        <v/>
      </c>
      <c r="BT123" s="73" t="n">
        <f aca="false">IF(SUM($R123,$T123,$AN123,$AQ123,$AT123,$AW123,$AZ123,$BC123,$BF123,$BI123,$BL123,$BP123:$BS123)=0,"",SUM($R123,$T123,$AN123,$AQ123,$AT123,$AW123,$AZ123,$BC123,$BF123,$BI123,$BL123,$BP123:$BS123))</f>
        <v>-1553</v>
      </c>
      <c r="BU123" s="73" t="n">
        <f aca="false">IF(OR(SUM($BT123)=0,SUM($BN123)=0),"",SUM($BT123,$BN123))</f>
        <v>-755</v>
      </c>
      <c r="BV123" s="118" t="n">
        <f aca="false">IF(SUM($BU123)=0,"",SUM($BN123)/$BU123)</f>
        <v>-1.05695364238411</v>
      </c>
      <c r="BW123" s="73" t="n">
        <v>46</v>
      </c>
      <c r="BX123" s="118" t="n">
        <f aca="false">IF(OR($C123="01-04",$C123="05-09"),"",0%)</f>
        <v>0</v>
      </c>
      <c r="BY123" s="75" t="n">
        <f aca="false">IF(OR($C123="01-04",$C123="05-09",SUM($BW123)=0),"",ROUND($BW123*(1+$BX123),0))</f>
        <v>46</v>
      </c>
    </row>
    <row r="124" customFormat="false" ht="15" hidden="false" customHeight="false" outlineLevel="0" collapsed="false">
      <c r="A124" s="0" t="s">
        <v>145</v>
      </c>
      <c r="B124" s="0" t="s">
        <v>107</v>
      </c>
      <c r="C124" s="0" t="s">
        <v>86</v>
      </c>
      <c r="D124" s="0" t="s">
        <v>58</v>
      </c>
      <c r="E124" s="0" t="str">
        <f aca="false">B124&amp;"|"&amp;C124&amp;"|"&amp;D124</f>
        <v>Mafeteng [#SNU] [#DREAMS] [DiFv5WXIHM5]|50+|Male</v>
      </c>
      <c r="F124" s="118" t="n">
        <f aca="false">_xlfn.IFNA(INDEX(Cascade!$Y:$Y,MATCH($E124,Cascade!$E:$E,0)),"")</f>
        <v>0.662634762029976</v>
      </c>
      <c r="G124" s="73" t="n">
        <f aca="false">_xlfn.IFNA(INDEX(Cascade!$BD:$BD,MATCH($E124,Cascade!$E:$E,0)),"")</f>
        <v>4</v>
      </c>
      <c r="H124" s="73" t="n">
        <f aca="false">_xlfn.IFNA(INDEX(Cascade!$BE:$BE,MATCH($E124,Cascade!$E:$E,0)),"")</f>
        <v>1</v>
      </c>
      <c r="I124" s="73" t="str">
        <f aca="false">_xlfn.IFNA(INDEX(Cascade!$BF:$BF,MATCH($E124,Cascade!$E:$E,0)),"")</f>
        <v/>
      </c>
      <c r="J124" s="73" t="str">
        <f aca="false">_xlfn.IFNA(INDEX(Cascade!$BG:$BG,MATCH($E124,Cascade!$E:$E,0)),"")</f>
        <v/>
      </c>
      <c r="K124" s="73" t="n">
        <f aca="false">_xlfn.IFNA(INDEX(Cascade!$BH:$BH,MATCH($E124,Cascade!$E:$E,0)),"")</f>
        <v>-2610</v>
      </c>
      <c r="L124" s="73" t="str">
        <f aca="false">_xlfn.IFNA(INDEX(Cascade!$BI:$BI,MATCH($E124,Cascade!$E:$E,0)),"")</f>
        <v/>
      </c>
      <c r="M124" s="73" t="n">
        <f aca="false">_xlfn.IFNA(INDEX(Cascade!$BK:$BK,MATCH($E124,Cascade!$E:$E,0)),"")</f>
        <v>2613</v>
      </c>
      <c r="N124" s="118" t="n">
        <v>8</v>
      </c>
      <c r="O124" s="118" t="n">
        <v>39</v>
      </c>
      <c r="P124" s="118" t="n">
        <v>37</v>
      </c>
      <c r="Q124" s="75" t="n">
        <f aca="false">IF(OR(SUM($H124)=0,SUM($N124)=0,SUM($O124)=0),"",ROUND($H124*$N124,0))</f>
        <v>8</v>
      </c>
      <c r="R124" s="75" t="n">
        <f aca="false">IF(OR(SUM($Q124)=0,SUM($O124)=0),"",ROUND(SUM($Q124)/SUM($O124),0)-SUM($Q124))</f>
        <v>-8</v>
      </c>
      <c r="S124" s="75" t="n">
        <f aca="false">IF(SUM($H124)=0,"",SUM($H124)-SUM($Q124))</f>
        <v>-7</v>
      </c>
      <c r="T124" s="75" t="str">
        <f aca="false">IF(OR(SUM($S124)=0,$N124&gt;1,SUM($P124)&lt;=0),"",ROUND($S124/$P124,0)-$S124)</f>
        <v/>
      </c>
      <c r="U124" s="118" t="n">
        <f aca="false">IF(SUM($G124)&lt;=0,"",SUM($Q124,$S124)/$G124)</f>
        <v>0.25</v>
      </c>
      <c r="V124" s="118" t="n">
        <f aca="false">IF(OR(SUM($Q124)=0,SUM($G124)=0),"",SUM($Q124)/SUM($G124))</f>
        <v>2</v>
      </c>
      <c r="W124" s="118" t="n">
        <f aca="false">IF(OR(SUM($S124)=0,SUM($G124)=0),"",SUM($S124)/SUM($G124))</f>
        <v>-1.75</v>
      </c>
      <c r="X124" s="118" t="str">
        <f aca="false">IF(OR(SUM($G124)=0,SUM($I124)=0),"",SUM($I124)/SUM($G124))</f>
        <v/>
      </c>
      <c r="Y124" s="118" t="str">
        <f aca="false">IF(OR(SUM($G124)=0,SUM($J124)=0),"",SUM($J124)/SUM($G124))</f>
        <v/>
      </c>
      <c r="Z124" s="118" t="n">
        <f aca="false">IF(OR(SUM($G124)=0,SUM($K124)=0),"",SUM($K124)/SUM($G124))</f>
        <v>-652.5</v>
      </c>
      <c r="AA124" s="118" t="str">
        <f aca="false">IF(OR(SUM($G124)=0,SUM($L124)=0),"",SUM($L124)/SUM($G124))</f>
        <v/>
      </c>
      <c r="AB124" s="118" t="n">
        <v>7</v>
      </c>
      <c r="AC124" s="118"/>
      <c r="AD124" s="118"/>
      <c r="AE124" s="118" t="n">
        <v>50</v>
      </c>
      <c r="AF124" s="118" t="n">
        <v>9</v>
      </c>
      <c r="AG124" s="118" t="n">
        <v>33</v>
      </c>
      <c r="AH124" s="118" t="n">
        <v>19</v>
      </c>
      <c r="AI124" s="118" t="n">
        <v>24</v>
      </c>
      <c r="AJ124" s="118" t="n">
        <v>7</v>
      </c>
      <c r="AK124" s="118" t="n">
        <f aca="false">IF(SUM($G124)&lt;=0,"",SUM($V124:$AJ124))</f>
        <v>-503.25</v>
      </c>
      <c r="AL124" s="118" t="n">
        <v>37</v>
      </c>
      <c r="AM124" s="75" t="n">
        <f aca="false">IF(OR(SUM($AB124)&lt;=0,SUM($G124)&lt;=0),"",ROUND($G124*$AB124,0))</f>
        <v>28</v>
      </c>
      <c r="AN124" s="75" t="n">
        <f aca="false">IF(SUM($AM124)&lt;=0,"",IF(SUM($AL124)&lt;=0,"ENTER VALID YIELD!",ROUND($AM124/$AL124,0)-$AM124))</f>
        <v>-27</v>
      </c>
      <c r="AO124" s="118"/>
      <c r="AP124" s="75" t="str">
        <f aca="false">IF(OR(SUM($AC124)&lt;=0,SUM($G124)&lt;=0),"",ROUND($G124*$AC124,0))</f>
        <v/>
      </c>
      <c r="AQ124" s="75" t="str">
        <f aca="false">IF(SUM($AP124)&lt;=0,"",IF(SUM($AO124)&lt;=0,"ENTER VALID YIELD!",ROUND($AP124/$AO124,0)-$AP124))</f>
        <v/>
      </c>
      <c r="AR124" s="118"/>
      <c r="AS124" s="75" t="str">
        <f aca="false">IF(OR(SUM($AD124)&lt;=0,SUM($G124)&lt;=0),"",ROUND($G124*$AD124,0))</f>
        <v/>
      </c>
      <c r="AT124" s="75" t="str">
        <f aca="false">IF(SUM($AS124)&lt;=0,"",IF(SUM($AR124)&lt;=0,"ENTER VALID YIELD!",ROUND($AS124/$AR124,0)-$AS124))</f>
        <v/>
      </c>
      <c r="AU124" s="118"/>
      <c r="AV124" s="75" t="n">
        <f aca="false">IF(OR(SUM($AE124)&lt;=0,SUM($G124)&lt;=0),"",ROUND($G124*$AE124,0))</f>
        <v>200</v>
      </c>
      <c r="AW124" s="75" t="str">
        <f aca="false">IF(SUM($AV124)&lt;=0,"",IF(SUM($AU124)&lt;=0,"ENTER VALID YIELD!",ROUND($AV124/$AU124,0)-$AV124))</f>
        <v>ENTER VALID YIELD!</v>
      </c>
      <c r="AX124" s="118"/>
      <c r="AY124" s="75" t="n">
        <f aca="false">IF(OR(SUM($AF124)&lt;=0,SUM($G124)&lt;=0),"",ROUND($G124*$AF124,0))</f>
        <v>36</v>
      </c>
      <c r="AZ124" s="75" t="str">
        <f aca="false">IF(SUM($AY124)&lt;=0,"",IF(SUM($AX124)&lt;=0,"ENTER VALID YIELD!",ROUND($AY124/$AX124,0)-$AY124))</f>
        <v>ENTER VALID YIELD!</v>
      </c>
      <c r="BA124" s="118" t="n">
        <v>49</v>
      </c>
      <c r="BB124" s="75" t="n">
        <f aca="false">IF(OR(SUM($AG124)&lt;=0,SUM($G124)&lt;=0),"",ROUND($G124*$AG124,0))</f>
        <v>132</v>
      </c>
      <c r="BC124" s="75" t="n">
        <f aca="false">IF(SUM($BB124)&lt;=0,"",IF(SUM($BA124)&lt;=0,"ENTER VALID YIELD!",ROUND($BB124/$BA124,0)-$BB124))</f>
        <v>-129</v>
      </c>
      <c r="BD124" s="118"/>
      <c r="BE124" s="75" t="n">
        <f aca="false">IF(OR(SUM($AH124)&lt;=0,SUM($G124)&lt;=0),"",ROUND($G124*$AH124,0))</f>
        <v>76</v>
      </c>
      <c r="BF124" s="75" t="str">
        <f aca="false">IF(SUM($BE124)&lt;=0,"",IF(SUM($BD124)&lt;=0,"ENTER VALID YIELD!",ROUND($BE124/$BD124,0)-$BE124))</f>
        <v>ENTER VALID YIELD!</v>
      </c>
      <c r="BG124" s="118" t="n">
        <v>50</v>
      </c>
      <c r="BH124" s="75" t="n">
        <f aca="false">IF(OR(SUM($AI124)&lt;=0,SUM($G124)&lt;=0),"",ROUND($G124*$AI124,0))</f>
        <v>96</v>
      </c>
      <c r="BI124" s="75" t="n">
        <f aca="false">IF(SUM($BH124)&lt;=0,"",IF(SUM($BG124)&lt;=0,"ENTER VALID YIELD!",ROUND($BH124/$BG124,0)-$BH124))</f>
        <v>-94</v>
      </c>
      <c r="BJ124" s="118"/>
      <c r="BK124" s="75" t="n">
        <f aca="false">IF(OR(SUM($AJ124)&lt;=0,SUM($G124)&lt;=0),"",ROUND($G124*$AJ124,0))</f>
        <v>28</v>
      </c>
      <c r="BL124" s="75" t="str">
        <f aca="false">IF(SUM($BK124)&lt;=0,"",IF(SUM($BJ124)&lt;=0,"ENTER VALID YIELD!",ROUND($BK124/$BJ124,0)-$BK124))</f>
        <v>ENTER VALID YIELD!</v>
      </c>
      <c r="BM124" s="73" t="n">
        <f aca="false">IF(SUM($G124)&lt;=0,"",$G124)</f>
        <v>4</v>
      </c>
      <c r="BN124" s="73" t="n">
        <f aca="false">IF(SUM($G124)&lt;=0,"",SUM($I124:$L124,$Q124,$S124,$AM124,$AP124,$AS124,$AV124,$AY124,$BB124,$BE124,$BH124,$BK124))</f>
        <v>-2013</v>
      </c>
      <c r="BO124" s="73" t="n">
        <f aca="false">IF(AND(SUM($BN124)&lt;=0,SUM($BM124)&lt;=0),"",SUM($BN124)-SUM($BM124))</f>
        <v>-2017</v>
      </c>
      <c r="BP124" s="73" t="str">
        <f aca="false">_xlfn.IFNA(INDEX(PMTCT!$AF:$AF,MATCH($E124,PMTCT!$E:$E,0)),"")</f>
        <v/>
      </c>
      <c r="BQ124" s="73" t="str">
        <f aca="false">_xlfn.IFNA(INDEX(PMTCT!$AV:$AV,MATCH($E124,PMTCT!$E:$E,0)),"")</f>
        <v/>
      </c>
      <c r="BR124" s="73" t="n">
        <f aca="false">_xlfn.IFNA(INDEX(TB!$R:$R,MATCH($E124,TB!$E:$E,0)),"")</f>
        <v>2465</v>
      </c>
      <c r="BS124" s="73" t="str">
        <f aca="false">_xlfn.IFNA(INDEX(VMMC!$AD:$AD,MATCH($E124,VMMC!$E:$E,0)),"")</f>
        <v/>
      </c>
      <c r="BT124" s="73" t="n">
        <f aca="false">IF(SUM($R124,$T124,$AN124,$AQ124,$AT124,$AW124,$AZ124,$BC124,$BF124,$BI124,$BL124,$BP124:$BS124)=0,"",SUM($R124,$T124,$AN124,$AQ124,$AT124,$AW124,$AZ124,$BC124,$BF124,$BI124,$BL124,$BP124:$BS124))</f>
        <v>2207</v>
      </c>
      <c r="BU124" s="73" t="n">
        <f aca="false">IF(OR(SUM($BT124)=0,SUM($BN124)=0),"",SUM($BT124,$BN124))</f>
        <v>194</v>
      </c>
      <c r="BV124" s="118" t="n">
        <f aca="false">IF(SUM($BU124)=0,"",SUM($BN124)/$BU124)</f>
        <v>-10.3762886597938</v>
      </c>
      <c r="BW124" s="73" t="n">
        <v>22</v>
      </c>
      <c r="BX124" s="118" t="n">
        <f aca="false">IF(OR($C124="01-04",$C124="05-09"),"",0%)</f>
        <v>0</v>
      </c>
      <c r="BY124" s="75" t="n">
        <f aca="false">IF(OR($C124="01-04",$C124="05-09",SUM($BW124)=0),"",ROUND($BW124*(1+$BX124),0))</f>
        <v>22</v>
      </c>
    </row>
    <row r="125" customFormat="false" ht="15" hidden="false" customHeight="false" outlineLevel="0" collapsed="false">
      <c r="A125" s="0" t="s">
        <v>146</v>
      </c>
      <c r="B125" s="0" t="s">
        <v>45</v>
      </c>
      <c r="C125" s="0" t="s">
        <v>54</v>
      </c>
      <c r="D125" s="0" t="s">
        <v>56</v>
      </c>
      <c r="E125" s="0" t="str">
        <f aca="false">B125&amp;"|"&amp;C125&amp;"|"&amp;D125</f>
        <v>Maseru [#SNU] [#DREAMS] [tKOXiaNhAyJ]|01-04|Female</v>
      </c>
      <c r="F125" s="118" t="n">
        <f aca="false">_xlfn.IFNA(INDEX(Cascade!$Y:$Y,MATCH($E125,Cascade!$E:$E,0)),"")</f>
        <v>0.520408163265306</v>
      </c>
      <c r="G125" s="73" t="n">
        <f aca="false">_xlfn.IFNA(INDEX(Cascade!$BD:$BD,MATCH($E125,Cascade!$E:$E,0)),"")</f>
        <v>13</v>
      </c>
      <c r="H125" s="73" t="n">
        <f aca="false">_xlfn.IFNA(INDEX(Cascade!$BE:$BE,MATCH($E125,Cascade!$E:$E,0)),"")</f>
        <v>4</v>
      </c>
      <c r="I125" s="73" t="str">
        <f aca="false">_xlfn.IFNA(INDEX(Cascade!$BF:$BF,MATCH($E125,Cascade!$E:$E,0)),"")</f>
        <v/>
      </c>
      <c r="J125" s="73" t="str">
        <f aca="false">_xlfn.IFNA(INDEX(Cascade!$BG:$BG,MATCH($E125,Cascade!$E:$E,0)),"")</f>
        <v/>
      </c>
      <c r="K125" s="73" t="n">
        <f aca="false">_xlfn.IFNA(INDEX(Cascade!$BH:$BH,MATCH($E125,Cascade!$E:$E,0)),"")</f>
        <v>-4641</v>
      </c>
      <c r="L125" s="73" t="str">
        <f aca="false">_xlfn.IFNA(INDEX(Cascade!$BI:$BI,MATCH($E125,Cascade!$E:$E,0)),"")</f>
        <v/>
      </c>
      <c r="M125" s="73" t="n">
        <f aca="false">_xlfn.IFNA(INDEX(Cascade!$BK:$BK,MATCH($E125,Cascade!$E:$E,0)),"")</f>
        <v>4650</v>
      </c>
      <c r="N125" s="118" t="n">
        <v>34</v>
      </c>
      <c r="O125" s="118" t="n">
        <v>11</v>
      </c>
      <c r="P125" s="118" t="n">
        <v>23</v>
      </c>
      <c r="Q125" s="75" t="n">
        <f aca="false">IF(OR(SUM($H125)=0,SUM($N125)=0,SUM($O125)=0),"",ROUND($H125*$N125,0))</f>
        <v>136</v>
      </c>
      <c r="R125" s="75" t="n">
        <f aca="false">IF(OR(SUM($Q125)=0,SUM($O125)=0),"",ROUND(SUM($Q125)/SUM($O125),0)-SUM($Q125))</f>
        <v>-124</v>
      </c>
      <c r="S125" s="75" t="n">
        <f aca="false">IF(SUM($H125)=0,"",SUM($H125)-SUM($Q125))</f>
        <v>-132</v>
      </c>
      <c r="T125" s="75" t="str">
        <f aca="false">IF(OR(SUM($S125)=0,$N125&gt;1,SUM($P125)&lt;=0),"",ROUND($S125/$P125,0)-$S125)</f>
        <v/>
      </c>
      <c r="U125" s="118" t="n">
        <f aca="false">IF(SUM($G125)&lt;=0,"",SUM($Q125,$S125)/$G125)</f>
        <v>0.307692307692308</v>
      </c>
      <c r="V125" s="118" t="n">
        <f aca="false">IF(OR(SUM($Q125)=0,SUM($G125)=0),"",SUM($Q125)/SUM($G125))</f>
        <v>10.4615384615385</v>
      </c>
      <c r="W125" s="118" t="n">
        <f aca="false">IF(OR(SUM($S125)=0,SUM($G125)=0),"",SUM($S125)/SUM($G125))</f>
        <v>-10.1538461538462</v>
      </c>
      <c r="X125" s="118" t="str">
        <f aca="false">IF(OR(SUM($G125)=0,SUM($I125)=0),"",SUM($I125)/SUM($G125))</f>
        <v/>
      </c>
      <c r="Y125" s="118" t="str">
        <f aca="false">IF(OR(SUM($G125)=0,SUM($J125)=0),"",SUM($J125)/SUM($G125))</f>
        <v/>
      </c>
      <c r="Z125" s="118" t="n">
        <f aca="false">IF(OR(SUM($G125)=0,SUM($K125)=0),"",SUM($K125)/SUM($G125))</f>
        <v>-357</v>
      </c>
      <c r="AA125" s="118" t="str">
        <f aca="false">IF(OR(SUM($G125)=0,SUM($L125)=0),"",SUM($L125)/SUM($G125))</f>
        <v/>
      </c>
      <c r="AB125" s="118" t="n">
        <v>46</v>
      </c>
      <c r="AC125" s="118" t="n">
        <v>37</v>
      </c>
      <c r="AD125" s="118" t="n">
        <v>23</v>
      </c>
      <c r="AE125" s="118" t="n">
        <v>12</v>
      </c>
      <c r="AF125" s="118" t="n">
        <v>23</v>
      </c>
      <c r="AG125" s="118" t="n">
        <v>17</v>
      </c>
      <c r="AH125" s="118" t="n">
        <v>11</v>
      </c>
      <c r="AI125" s="118" t="n">
        <v>16</v>
      </c>
      <c r="AJ125" s="118" t="n">
        <v>46</v>
      </c>
      <c r="AK125" s="118" t="n">
        <f aca="false">IF(SUM($G125)&lt;=0,"",SUM($V125:$AJ125))</f>
        <v>-125.692307692308</v>
      </c>
      <c r="AL125" s="118"/>
      <c r="AM125" s="75" t="n">
        <f aca="false">IF(OR(SUM($AB125)&lt;=0,SUM($G125)&lt;=0),"",ROUND($G125*$AB125,0))</f>
        <v>598</v>
      </c>
      <c r="AN125" s="75" t="str">
        <f aca="false">IF(SUM($AM125)&lt;=0,"",IF(SUM($AL125)&lt;=0,"ENTER VALID YIELD!",ROUND($AM125/$AL125,0)-$AM125))</f>
        <v>ENTER VALID YIELD!</v>
      </c>
      <c r="AO125" s="118"/>
      <c r="AP125" s="75" t="n">
        <f aca="false">IF(OR(SUM($AC125)&lt;=0,SUM($G125)&lt;=0),"",ROUND($G125*$AC125,0))</f>
        <v>481</v>
      </c>
      <c r="AQ125" s="75" t="str">
        <f aca="false">IF(SUM($AP125)&lt;=0,"",IF(SUM($AO125)&lt;=0,"ENTER VALID YIELD!",ROUND($AP125/$AO125,0)-$AP125))</f>
        <v>ENTER VALID YIELD!</v>
      </c>
      <c r="AR125" s="118"/>
      <c r="AS125" s="75" t="n">
        <f aca="false">IF(OR(SUM($AD125)&lt;=0,SUM($G125)&lt;=0),"",ROUND($G125*$AD125,0))</f>
        <v>299</v>
      </c>
      <c r="AT125" s="75" t="str">
        <f aca="false">IF(SUM($AS125)&lt;=0,"",IF(SUM($AR125)&lt;=0,"ENTER VALID YIELD!",ROUND($AS125/$AR125,0)-$AS125))</f>
        <v>ENTER VALID YIELD!</v>
      </c>
      <c r="AU125" s="118"/>
      <c r="AV125" s="75" t="n">
        <f aca="false">IF(OR(SUM($AE125)&lt;=0,SUM($G125)&lt;=0),"",ROUND($G125*$AE125,0))</f>
        <v>156</v>
      </c>
      <c r="AW125" s="75" t="str">
        <f aca="false">IF(SUM($AV125)&lt;=0,"",IF(SUM($AU125)&lt;=0,"ENTER VALID YIELD!",ROUND($AV125/$AU125,0)-$AV125))</f>
        <v>ENTER VALID YIELD!</v>
      </c>
      <c r="AX125" s="118"/>
      <c r="AY125" s="75" t="n">
        <f aca="false">IF(OR(SUM($AF125)&lt;=0,SUM($G125)&lt;=0),"",ROUND($G125*$AF125,0))</f>
        <v>299</v>
      </c>
      <c r="AZ125" s="75" t="str">
        <f aca="false">IF(SUM($AY125)&lt;=0,"",IF(SUM($AX125)&lt;=0,"ENTER VALID YIELD!",ROUND($AY125/$AX125,0)-$AY125))</f>
        <v>ENTER VALID YIELD!</v>
      </c>
      <c r="BA125" s="118" t="n">
        <v>46</v>
      </c>
      <c r="BB125" s="75" t="n">
        <f aca="false">IF(OR(SUM($AG125)&lt;=0,SUM($G125)&lt;=0),"",ROUND($G125*$AG125,0))</f>
        <v>221</v>
      </c>
      <c r="BC125" s="75" t="n">
        <f aca="false">IF(SUM($BB125)&lt;=0,"",IF(SUM($BA125)&lt;=0,"ENTER VALID YIELD!",ROUND($BB125/$BA125,0)-$BB125))</f>
        <v>-216</v>
      </c>
      <c r="BD125" s="118"/>
      <c r="BE125" s="75" t="n">
        <f aca="false">IF(OR(SUM($AH125)&lt;=0,SUM($G125)&lt;=0),"",ROUND($G125*$AH125,0))</f>
        <v>143</v>
      </c>
      <c r="BF125" s="75" t="str">
        <f aca="false">IF(SUM($BE125)&lt;=0,"",IF(SUM($BD125)&lt;=0,"ENTER VALID YIELD!",ROUND($BE125/$BD125,0)-$BE125))</f>
        <v>ENTER VALID YIELD!</v>
      </c>
      <c r="BG125" s="118"/>
      <c r="BH125" s="75" t="n">
        <f aca="false">IF(OR(SUM($AI125)&lt;=0,SUM($G125)&lt;=0),"",ROUND($G125*$AI125,0))</f>
        <v>208</v>
      </c>
      <c r="BI125" s="75" t="str">
        <f aca="false">IF(SUM($BH125)&lt;=0,"",IF(SUM($BG125)&lt;=0,"ENTER VALID YIELD!",ROUND($BH125/$BG125,0)-$BH125))</f>
        <v>ENTER VALID YIELD!</v>
      </c>
      <c r="BJ125" s="118"/>
      <c r="BK125" s="75" t="n">
        <f aca="false">IF(OR(SUM($AJ125)&lt;=0,SUM($G125)&lt;=0),"",ROUND($G125*$AJ125,0))</f>
        <v>598</v>
      </c>
      <c r="BL125" s="75" t="str">
        <f aca="false">IF(SUM($BK125)&lt;=0,"",IF(SUM($BJ125)&lt;=0,"ENTER VALID YIELD!",ROUND($BK125/$BJ125,0)-$BK125))</f>
        <v>ENTER VALID YIELD!</v>
      </c>
      <c r="BM125" s="73" t="n">
        <f aca="false">IF(SUM($G125)&lt;=0,"",$G125)</f>
        <v>13</v>
      </c>
      <c r="BN125" s="73" t="n">
        <f aca="false">IF(SUM($G125)&lt;=0,"",SUM($I125:$L125,$Q125,$S125,$AM125,$AP125,$AS125,$AV125,$AY125,$BB125,$BE125,$BH125,$BK125))</f>
        <v>-1634</v>
      </c>
      <c r="BO125" s="73" t="n">
        <f aca="false">IF(AND(SUM($BN125)&lt;=0,SUM($BM125)&lt;=0),"",SUM($BN125)-SUM($BM125))</f>
        <v>-1647</v>
      </c>
      <c r="BP125" s="73" t="str">
        <f aca="false">_xlfn.IFNA(INDEX(PMTCT!$AF:$AF,MATCH($E125,PMTCT!$E:$E,0)),"")</f>
        <v/>
      </c>
      <c r="BQ125" s="73" t="str">
        <f aca="false">_xlfn.IFNA(INDEX(PMTCT!$AV:$AV,MATCH($E125,PMTCT!$E:$E,0)),"")</f>
        <v/>
      </c>
      <c r="BR125" s="73" t="n">
        <f aca="false">_xlfn.IFNA(INDEX(TB!$R:$R,MATCH($E125,TB!$E:$E,0)),"")</f>
        <v>4368</v>
      </c>
      <c r="BS125" s="73" t="str">
        <f aca="false">_xlfn.IFNA(INDEX(VMMC!$AD:$AD,MATCH($E125,VMMC!$E:$E,0)),"")</f>
        <v/>
      </c>
      <c r="BT125" s="73" t="n">
        <f aca="false">IF(SUM($R125,$T125,$AN125,$AQ125,$AT125,$AW125,$AZ125,$BC125,$BF125,$BI125,$BL125,$BP125:$BS125)=0,"",SUM($R125,$T125,$AN125,$AQ125,$AT125,$AW125,$AZ125,$BC125,$BF125,$BI125,$BL125,$BP125:$BS125))</f>
        <v>4028</v>
      </c>
      <c r="BU125" s="73" t="n">
        <f aca="false">IF(OR(SUM($BT125)=0,SUM($BN125)=0),"",SUM($BT125,$BN125))</f>
        <v>2394</v>
      </c>
      <c r="BV125" s="118" t="n">
        <f aca="false">IF(SUM($BU125)=0,"",SUM($BN125)/$BU125)</f>
        <v>-0.682539682539683</v>
      </c>
      <c r="BW125" s="73"/>
      <c r="BX125" s="118" t="str">
        <f aca="false">IF(OR($C125="01-04",$C125="05-09"),"",0%)</f>
        <v/>
      </c>
      <c r="BY125" s="75" t="str">
        <f aca="false">IF(OR($C125="01-04",$C125="05-09",SUM($BW125)=0),"",ROUND($BW125*(1+$BX125),0))</f>
        <v/>
      </c>
    </row>
    <row r="126" customFormat="false" ht="15" hidden="false" customHeight="false" outlineLevel="0" collapsed="false">
      <c r="A126" s="0" t="s">
        <v>146</v>
      </c>
      <c r="B126" s="0" t="s">
        <v>45</v>
      </c>
      <c r="C126" s="0" t="s">
        <v>54</v>
      </c>
      <c r="D126" s="0" t="s">
        <v>58</v>
      </c>
      <c r="E126" s="0" t="str">
        <f aca="false">B126&amp;"|"&amp;C126&amp;"|"&amp;D126</f>
        <v>Maseru [#SNU] [#DREAMS] [tKOXiaNhAyJ]|01-04|Male</v>
      </c>
      <c r="F126" s="118" t="n">
        <f aca="false">_xlfn.IFNA(INDEX(Cascade!$Y:$Y,MATCH($E126,Cascade!$E:$E,0)),"")</f>
        <v>0.522613065326633</v>
      </c>
      <c r="G126" s="73" t="n">
        <f aca="false">_xlfn.IFNA(INDEX(Cascade!$BD:$BD,MATCH($E126,Cascade!$E:$E,0)),"")</f>
        <v>15</v>
      </c>
      <c r="H126" s="73" t="n">
        <f aca="false">_xlfn.IFNA(INDEX(Cascade!$BE:$BE,MATCH($E126,Cascade!$E:$E,0)),"")</f>
        <v>5</v>
      </c>
      <c r="I126" s="73" t="str">
        <f aca="false">_xlfn.IFNA(INDEX(Cascade!$BF:$BF,MATCH($E126,Cascade!$E:$E,0)),"")</f>
        <v/>
      </c>
      <c r="J126" s="73" t="str">
        <f aca="false">_xlfn.IFNA(INDEX(Cascade!$BG:$BG,MATCH($E126,Cascade!$E:$E,0)),"")</f>
        <v/>
      </c>
      <c r="K126" s="73" t="n">
        <f aca="false">_xlfn.IFNA(INDEX(Cascade!$BH:$BH,MATCH($E126,Cascade!$E:$E,0)),"")</f>
        <v>0</v>
      </c>
      <c r="L126" s="73" t="str">
        <f aca="false">_xlfn.IFNA(INDEX(Cascade!$BI:$BI,MATCH($E126,Cascade!$E:$E,0)),"")</f>
        <v/>
      </c>
      <c r="M126" s="73" t="n">
        <f aca="false">_xlfn.IFNA(INDEX(Cascade!$BK:$BK,MATCH($E126,Cascade!$E:$E,0)),"")</f>
        <v>10</v>
      </c>
      <c r="N126" s="118" t="n">
        <v>46</v>
      </c>
      <c r="O126" s="118"/>
      <c r="P126" s="118" t="n">
        <v>18</v>
      </c>
      <c r="Q126" s="75" t="str">
        <f aca="false">IF(OR(SUM($H126)=0,SUM($N126)=0,SUM($O126)=0),"",ROUND($H126*$N126,0))</f>
        <v/>
      </c>
      <c r="R126" s="75" t="str">
        <f aca="false">IF(OR(SUM($Q126)=0,SUM($O126)=0),"",ROUND(SUM($Q126)/SUM($O126),0)-SUM($Q126))</f>
        <v/>
      </c>
      <c r="S126" s="75" t="n">
        <f aca="false">IF(SUM($H126)=0,"",SUM($H126)-SUM($Q126))</f>
        <v>5</v>
      </c>
      <c r="T126" s="75" t="str">
        <f aca="false">IF(OR(SUM($S126)=0,$N126&gt;1,SUM($P126)&lt;=0),"",ROUND($S126/$P126,0)-$S126)</f>
        <v/>
      </c>
      <c r="U126" s="118" t="n">
        <f aca="false">IF(SUM($G126)&lt;=0,"",SUM($Q126,$S126)/$G126)</f>
        <v>0.333333333333333</v>
      </c>
      <c r="V126" s="118" t="str">
        <f aca="false">IF(OR(SUM($Q126)=0,SUM($G126)=0),"",SUM($Q126)/SUM($G126))</f>
        <v/>
      </c>
      <c r="W126" s="118" t="n">
        <f aca="false">IF(OR(SUM($S126)=0,SUM($G126)=0),"",SUM($S126)/SUM($G126))</f>
        <v>0.333333333333333</v>
      </c>
      <c r="X126" s="118" t="str">
        <f aca="false">IF(OR(SUM($G126)=0,SUM($I126)=0),"",SUM($I126)/SUM($G126))</f>
        <v/>
      </c>
      <c r="Y126" s="118" t="str">
        <f aca="false">IF(OR(SUM($G126)=0,SUM($J126)=0),"",SUM($J126)/SUM($G126))</f>
        <v/>
      </c>
      <c r="Z126" s="118" t="str">
        <f aca="false">IF(OR(SUM($G126)=0,SUM($K126)=0),"",SUM($K126)/SUM($G126))</f>
        <v/>
      </c>
      <c r="AA126" s="118" t="str">
        <f aca="false">IF(OR(SUM($G126)=0,SUM($L126)=0),"",SUM($L126)/SUM($G126))</f>
        <v/>
      </c>
      <c r="AB126" s="118" t="n">
        <v>43</v>
      </c>
      <c r="AC126" s="118" t="n">
        <v>2</v>
      </c>
      <c r="AD126" s="118" t="n">
        <v>46</v>
      </c>
      <c r="AE126" s="118" t="n">
        <v>18</v>
      </c>
      <c r="AF126" s="118" t="n">
        <v>13</v>
      </c>
      <c r="AG126" s="118" t="n">
        <v>21</v>
      </c>
      <c r="AH126" s="118" t="n">
        <v>35</v>
      </c>
      <c r="AI126" s="118" t="n">
        <v>32</v>
      </c>
      <c r="AJ126" s="118" t="n">
        <v>18</v>
      </c>
      <c r="AK126" s="118" t="n">
        <f aca="false">IF(SUM($G126)&lt;=0,"",SUM($V126:$AJ126))</f>
        <v>228.333333333333</v>
      </c>
      <c r="AL126" s="118" t="n">
        <v>45</v>
      </c>
      <c r="AM126" s="75" t="n">
        <f aca="false">IF(OR(SUM($AB126)&lt;=0,SUM($G126)&lt;=0),"",ROUND($G126*$AB126,0))</f>
        <v>645</v>
      </c>
      <c r="AN126" s="75" t="n">
        <f aca="false">IF(SUM($AM126)&lt;=0,"",IF(SUM($AL126)&lt;=0,"ENTER VALID YIELD!",ROUND($AM126/$AL126,0)-$AM126))</f>
        <v>-631</v>
      </c>
      <c r="AO126" s="118"/>
      <c r="AP126" s="75" t="n">
        <f aca="false">IF(OR(SUM($AC126)&lt;=0,SUM($G126)&lt;=0),"",ROUND($G126*$AC126,0))</f>
        <v>30</v>
      </c>
      <c r="AQ126" s="75" t="str">
        <f aca="false">IF(SUM($AP126)&lt;=0,"",IF(SUM($AO126)&lt;=0,"ENTER VALID YIELD!",ROUND($AP126/$AO126,0)-$AP126))</f>
        <v>ENTER VALID YIELD!</v>
      </c>
      <c r="AR126" s="118"/>
      <c r="AS126" s="75" t="n">
        <f aca="false">IF(OR(SUM($AD126)&lt;=0,SUM($G126)&lt;=0),"",ROUND($G126*$AD126,0))</f>
        <v>690</v>
      </c>
      <c r="AT126" s="75" t="str">
        <f aca="false">IF(SUM($AS126)&lt;=0,"",IF(SUM($AR126)&lt;=0,"ENTER VALID YIELD!",ROUND($AS126/$AR126,0)-$AS126))</f>
        <v>ENTER VALID YIELD!</v>
      </c>
      <c r="AU126" s="118"/>
      <c r="AV126" s="75" t="n">
        <f aca="false">IF(OR(SUM($AE126)&lt;=0,SUM($G126)&lt;=0),"",ROUND($G126*$AE126,0))</f>
        <v>270</v>
      </c>
      <c r="AW126" s="75" t="str">
        <f aca="false">IF(SUM($AV126)&lt;=0,"",IF(SUM($AU126)&lt;=0,"ENTER VALID YIELD!",ROUND($AV126/$AU126,0)-$AV126))</f>
        <v>ENTER VALID YIELD!</v>
      </c>
      <c r="AX126" s="118"/>
      <c r="AY126" s="75" t="n">
        <f aca="false">IF(OR(SUM($AF126)&lt;=0,SUM($G126)&lt;=0),"",ROUND($G126*$AF126,0))</f>
        <v>195</v>
      </c>
      <c r="AZ126" s="75" t="str">
        <f aca="false">IF(SUM($AY126)&lt;=0,"",IF(SUM($AX126)&lt;=0,"ENTER VALID YIELD!",ROUND($AY126/$AX126,0)-$AY126))</f>
        <v>ENTER VALID YIELD!</v>
      </c>
      <c r="BA126" s="118" t="n">
        <v>32</v>
      </c>
      <c r="BB126" s="75" t="n">
        <f aca="false">IF(OR(SUM($AG126)&lt;=0,SUM($G126)&lt;=0),"",ROUND($G126*$AG126,0))</f>
        <v>315</v>
      </c>
      <c r="BC126" s="75" t="n">
        <f aca="false">IF(SUM($BB126)&lt;=0,"",IF(SUM($BA126)&lt;=0,"ENTER VALID YIELD!",ROUND($BB126/$BA126,0)-$BB126))</f>
        <v>-305</v>
      </c>
      <c r="BD126" s="118"/>
      <c r="BE126" s="75" t="n">
        <f aca="false">IF(OR(SUM($AH126)&lt;=0,SUM($G126)&lt;=0),"",ROUND($G126*$AH126,0))</f>
        <v>525</v>
      </c>
      <c r="BF126" s="75" t="str">
        <f aca="false">IF(SUM($BE126)&lt;=0,"",IF(SUM($BD126)&lt;=0,"ENTER VALID YIELD!",ROUND($BE126/$BD126,0)-$BE126))</f>
        <v>ENTER VALID YIELD!</v>
      </c>
      <c r="BG126" s="118"/>
      <c r="BH126" s="75" t="n">
        <f aca="false">IF(OR(SUM($AI126)&lt;=0,SUM($G126)&lt;=0),"",ROUND($G126*$AI126,0))</f>
        <v>480</v>
      </c>
      <c r="BI126" s="75" t="str">
        <f aca="false">IF(SUM($BH126)&lt;=0,"",IF(SUM($BG126)&lt;=0,"ENTER VALID YIELD!",ROUND($BH126/$BG126,0)-$BH126))</f>
        <v>ENTER VALID YIELD!</v>
      </c>
      <c r="BJ126" s="118"/>
      <c r="BK126" s="75" t="n">
        <f aca="false">IF(OR(SUM($AJ126)&lt;=0,SUM($G126)&lt;=0),"",ROUND($G126*$AJ126,0))</f>
        <v>270</v>
      </c>
      <c r="BL126" s="75" t="str">
        <f aca="false">IF(SUM($BK126)&lt;=0,"",IF(SUM($BJ126)&lt;=0,"ENTER VALID YIELD!",ROUND($BK126/$BJ126,0)-$BK126))</f>
        <v>ENTER VALID YIELD!</v>
      </c>
      <c r="BM126" s="73" t="n">
        <f aca="false">IF(SUM($G126)&lt;=0,"",$G126)</f>
        <v>15</v>
      </c>
      <c r="BN126" s="73" t="n">
        <f aca="false">IF(SUM($G126)&lt;=0,"",SUM($I126:$L126,$Q126,$S126,$AM126,$AP126,$AS126,$AV126,$AY126,$BB126,$BE126,$BH126,$BK126))</f>
        <v>3425</v>
      </c>
      <c r="BO126" s="73" t="n">
        <f aca="false">IF(AND(SUM($BN126)&lt;=0,SUM($BM126)&lt;=0),"",SUM($BN126)-SUM($BM126))</f>
        <v>3410</v>
      </c>
      <c r="BP126" s="73" t="str">
        <f aca="false">_xlfn.IFNA(INDEX(PMTCT!$AF:$AF,MATCH($E126,PMTCT!$E:$E,0)),"")</f>
        <v/>
      </c>
      <c r="BQ126" s="73" t="str">
        <f aca="false">_xlfn.IFNA(INDEX(PMTCT!$AV:$AV,MATCH($E126,PMTCT!$E:$E,0)),"")</f>
        <v/>
      </c>
      <c r="BR126" s="73" t="n">
        <f aca="false">_xlfn.IFNA(INDEX(TB!$R:$R,MATCH($E126,TB!$E:$E,0)),"")</f>
        <v>0</v>
      </c>
      <c r="BS126" s="73" t="str">
        <f aca="false">_xlfn.IFNA(INDEX(VMMC!$AD:$AD,MATCH($E126,VMMC!$E:$E,0)),"")</f>
        <v/>
      </c>
      <c r="BT126" s="73" t="n">
        <f aca="false">IF(SUM($R126,$T126,$AN126,$AQ126,$AT126,$AW126,$AZ126,$BC126,$BF126,$BI126,$BL126,$BP126:$BS126)=0,"",SUM($R126,$T126,$AN126,$AQ126,$AT126,$AW126,$AZ126,$BC126,$BF126,$BI126,$BL126,$BP126:$BS126))</f>
        <v>-936</v>
      </c>
      <c r="BU126" s="73" t="n">
        <f aca="false">IF(OR(SUM($BT126)=0,SUM($BN126)=0),"",SUM($BT126,$BN126))</f>
        <v>2489</v>
      </c>
      <c r="BV126" s="118" t="n">
        <f aca="false">IF(SUM($BU126)=0,"",SUM($BN126)/$BU126)</f>
        <v>1.37605464041784</v>
      </c>
      <c r="BW126" s="73"/>
      <c r="BX126" s="118" t="str">
        <f aca="false">IF(OR($C126="01-04",$C126="05-09"),"",0%)</f>
        <v/>
      </c>
      <c r="BY126" s="75" t="str">
        <f aca="false">IF(OR($C126="01-04",$C126="05-09",SUM($BW126)=0),"",ROUND($BW126*(1+$BX126),0))</f>
        <v/>
      </c>
    </row>
    <row r="127" customFormat="false" ht="15" hidden="false" customHeight="false" outlineLevel="0" collapsed="false">
      <c r="A127" s="0" t="s">
        <v>146</v>
      </c>
      <c r="B127" s="0" t="s">
        <v>45</v>
      </c>
      <c r="C127" s="0" t="s">
        <v>83</v>
      </c>
      <c r="D127" s="0" t="s">
        <v>56</v>
      </c>
      <c r="E127" s="0" t="str">
        <f aca="false">B127&amp;"|"&amp;C127&amp;"|"&amp;D127</f>
        <v>Maseru [#SNU] [#DREAMS] [tKOXiaNhAyJ]|05-09|Female</v>
      </c>
      <c r="F127" s="118" t="n">
        <f aca="false">_xlfn.IFNA(INDEX(Cascade!$Y:$Y,MATCH($E127,Cascade!$E:$E,0)),"")</f>
        <v>0.572025052192067</v>
      </c>
      <c r="G127" s="73" t="n">
        <f aca="false">_xlfn.IFNA(INDEX(Cascade!$BD:$BD,MATCH($E127,Cascade!$E:$E,0)),"")</f>
        <v>15</v>
      </c>
      <c r="H127" s="73" t="n">
        <f aca="false">_xlfn.IFNA(INDEX(Cascade!$BE:$BE,MATCH($E127,Cascade!$E:$E,0)),"")</f>
        <v>5</v>
      </c>
      <c r="I127" s="73" t="str">
        <f aca="false">_xlfn.IFNA(INDEX(Cascade!$BF:$BF,MATCH($E127,Cascade!$E:$E,0)),"")</f>
        <v/>
      </c>
      <c r="J127" s="73" t="str">
        <f aca="false">_xlfn.IFNA(INDEX(Cascade!$BG:$BG,MATCH($E127,Cascade!$E:$E,0)),"")</f>
        <v/>
      </c>
      <c r="K127" s="73" t="n">
        <f aca="false">_xlfn.IFNA(INDEX(Cascade!$BH:$BH,MATCH($E127,Cascade!$E:$E,0)),"")</f>
        <v>-0</v>
      </c>
      <c r="L127" s="73" t="str">
        <f aca="false">_xlfn.IFNA(INDEX(Cascade!$BI:$BI,MATCH($E127,Cascade!$E:$E,0)),"")</f>
        <v/>
      </c>
      <c r="M127" s="73" t="n">
        <f aca="false">_xlfn.IFNA(INDEX(Cascade!$BK:$BK,MATCH($E127,Cascade!$E:$E,0)),"")</f>
        <v>10</v>
      </c>
      <c r="N127" s="118" t="n">
        <v>20</v>
      </c>
      <c r="O127" s="118"/>
      <c r="P127" s="118" t="n">
        <v>7</v>
      </c>
      <c r="Q127" s="75" t="str">
        <f aca="false">IF(OR(SUM($H127)=0,SUM($N127)=0,SUM($O127)=0),"",ROUND($H127*$N127,0))</f>
        <v/>
      </c>
      <c r="R127" s="75" t="str">
        <f aca="false">IF(OR(SUM($Q127)=0,SUM($O127)=0),"",ROUND(SUM($Q127)/SUM($O127),0)-SUM($Q127))</f>
        <v/>
      </c>
      <c r="S127" s="75" t="n">
        <f aca="false">IF(SUM($H127)=0,"",SUM($H127)-SUM($Q127))</f>
        <v>5</v>
      </c>
      <c r="T127" s="75" t="str">
        <f aca="false">IF(OR(SUM($S127)=0,$N127&gt;1,SUM($P127)&lt;=0),"",ROUND($S127/$P127,0)-$S127)</f>
        <v/>
      </c>
      <c r="U127" s="118" t="n">
        <f aca="false">IF(SUM($G127)&lt;=0,"",SUM($Q127,$S127)/$G127)</f>
        <v>0.333333333333333</v>
      </c>
      <c r="V127" s="118" t="str">
        <f aca="false">IF(OR(SUM($Q127)=0,SUM($G127)=0),"",SUM($Q127)/SUM($G127))</f>
        <v/>
      </c>
      <c r="W127" s="118" t="n">
        <f aca="false">IF(OR(SUM($S127)=0,SUM($G127)=0),"",SUM($S127)/SUM($G127))</f>
        <v>0.333333333333333</v>
      </c>
      <c r="X127" s="118" t="str">
        <f aca="false">IF(OR(SUM($G127)=0,SUM($I127)=0),"",SUM($I127)/SUM($G127))</f>
        <v/>
      </c>
      <c r="Y127" s="118" t="str">
        <f aca="false">IF(OR(SUM($G127)=0,SUM($J127)=0),"",SUM($J127)/SUM($G127))</f>
        <v/>
      </c>
      <c r="Z127" s="118" t="str">
        <f aca="false">IF(OR(SUM($G127)=0,SUM($K127)=0),"",SUM($K127)/SUM($G127))</f>
        <v/>
      </c>
      <c r="AA127" s="118" t="str">
        <f aca="false">IF(OR(SUM($G127)=0,SUM($L127)=0),"",SUM($L127)/SUM($G127))</f>
        <v/>
      </c>
      <c r="AB127" s="118" t="n">
        <v>24</v>
      </c>
      <c r="AC127" s="118"/>
      <c r="AD127" s="118"/>
      <c r="AE127" s="118" t="n">
        <v>14</v>
      </c>
      <c r="AF127" s="118" t="n">
        <v>43</v>
      </c>
      <c r="AG127" s="118" t="n">
        <v>37</v>
      </c>
      <c r="AH127" s="118" t="n">
        <v>30</v>
      </c>
      <c r="AI127" s="118" t="n">
        <v>5</v>
      </c>
      <c r="AJ127" s="118" t="n">
        <v>35</v>
      </c>
      <c r="AK127" s="118" t="n">
        <f aca="false">IF(SUM($G127)&lt;=0,"",SUM($V127:$AJ127))</f>
        <v>188.333333333333</v>
      </c>
      <c r="AL127" s="118" t="n">
        <v>7</v>
      </c>
      <c r="AM127" s="75" t="n">
        <f aca="false">IF(OR(SUM($AB127)&lt;=0,SUM($G127)&lt;=0),"",ROUND($G127*$AB127,0))</f>
        <v>360</v>
      </c>
      <c r="AN127" s="75" t="n">
        <f aca="false">IF(SUM($AM127)&lt;=0,"",IF(SUM($AL127)&lt;=0,"ENTER VALID YIELD!",ROUND($AM127/$AL127,0)-$AM127))</f>
        <v>-309</v>
      </c>
      <c r="AO127" s="118"/>
      <c r="AP127" s="75" t="str">
        <f aca="false">IF(OR(SUM($AC127)&lt;=0,SUM($G127)&lt;=0),"",ROUND($G127*$AC127,0))</f>
        <v/>
      </c>
      <c r="AQ127" s="75" t="str">
        <f aca="false">IF(SUM($AP127)&lt;=0,"",IF(SUM($AO127)&lt;=0,"ENTER VALID YIELD!",ROUND($AP127/$AO127,0)-$AP127))</f>
        <v/>
      </c>
      <c r="AR127" s="118"/>
      <c r="AS127" s="75" t="str">
        <f aca="false">IF(OR(SUM($AD127)&lt;=0,SUM($G127)&lt;=0),"",ROUND($G127*$AD127,0))</f>
        <v/>
      </c>
      <c r="AT127" s="75" t="str">
        <f aca="false">IF(SUM($AS127)&lt;=0,"",IF(SUM($AR127)&lt;=0,"ENTER VALID YIELD!",ROUND($AS127/$AR127,0)-$AS127))</f>
        <v/>
      </c>
      <c r="AU127" s="118"/>
      <c r="AV127" s="75" t="n">
        <f aca="false">IF(OR(SUM($AE127)&lt;=0,SUM($G127)&lt;=0),"",ROUND($G127*$AE127,0))</f>
        <v>210</v>
      </c>
      <c r="AW127" s="75" t="str">
        <f aca="false">IF(SUM($AV127)&lt;=0,"",IF(SUM($AU127)&lt;=0,"ENTER VALID YIELD!",ROUND($AV127/$AU127,0)-$AV127))</f>
        <v>ENTER VALID YIELD!</v>
      </c>
      <c r="AX127" s="118"/>
      <c r="AY127" s="75" t="n">
        <f aca="false">IF(OR(SUM($AF127)&lt;=0,SUM($G127)&lt;=0),"",ROUND($G127*$AF127,0))</f>
        <v>645</v>
      </c>
      <c r="AZ127" s="75" t="str">
        <f aca="false">IF(SUM($AY127)&lt;=0,"",IF(SUM($AX127)&lt;=0,"ENTER VALID YIELD!",ROUND($AY127/$AX127,0)-$AY127))</f>
        <v>ENTER VALID YIELD!</v>
      </c>
      <c r="BA127" s="118" t="n">
        <v>50</v>
      </c>
      <c r="BB127" s="75" t="n">
        <f aca="false">IF(OR(SUM($AG127)&lt;=0,SUM($G127)&lt;=0),"",ROUND($G127*$AG127,0))</f>
        <v>555</v>
      </c>
      <c r="BC127" s="75" t="n">
        <f aca="false">IF(SUM($BB127)&lt;=0,"",IF(SUM($BA127)&lt;=0,"ENTER VALID YIELD!",ROUND($BB127/$BA127,0)-$BB127))</f>
        <v>-544</v>
      </c>
      <c r="BD127" s="118"/>
      <c r="BE127" s="75" t="n">
        <f aca="false">IF(OR(SUM($AH127)&lt;=0,SUM($G127)&lt;=0),"",ROUND($G127*$AH127,0))</f>
        <v>450</v>
      </c>
      <c r="BF127" s="75" t="str">
        <f aca="false">IF(SUM($BE127)&lt;=0,"",IF(SUM($BD127)&lt;=0,"ENTER VALID YIELD!",ROUND($BE127/$BD127,0)-$BE127))</f>
        <v>ENTER VALID YIELD!</v>
      </c>
      <c r="BG127" s="118"/>
      <c r="BH127" s="75" t="n">
        <f aca="false">IF(OR(SUM($AI127)&lt;=0,SUM($G127)&lt;=0),"",ROUND($G127*$AI127,0))</f>
        <v>75</v>
      </c>
      <c r="BI127" s="75" t="str">
        <f aca="false">IF(SUM($BH127)&lt;=0,"",IF(SUM($BG127)&lt;=0,"ENTER VALID YIELD!",ROUND($BH127/$BG127,0)-$BH127))</f>
        <v>ENTER VALID YIELD!</v>
      </c>
      <c r="BJ127" s="118"/>
      <c r="BK127" s="75" t="n">
        <f aca="false">IF(OR(SUM($AJ127)&lt;=0,SUM($G127)&lt;=0),"",ROUND($G127*$AJ127,0))</f>
        <v>525</v>
      </c>
      <c r="BL127" s="75" t="str">
        <f aca="false">IF(SUM($BK127)&lt;=0,"",IF(SUM($BJ127)&lt;=0,"ENTER VALID YIELD!",ROUND($BK127/$BJ127,0)-$BK127))</f>
        <v>ENTER VALID YIELD!</v>
      </c>
      <c r="BM127" s="73" t="n">
        <f aca="false">IF(SUM($G127)&lt;=0,"",$G127)</f>
        <v>15</v>
      </c>
      <c r="BN127" s="73" t="n">
        <f aca="false">IF(SUM($G127)&lt;=0,"",SUM($I127:$L127,$Q127,$S127,$AM127,$AP127,$AS127,$AV127,$AY127,$BB127,$BE127,$BH127,$BK127))</f>
        <v>2825</v>
      </c>
      <c r="BO127" s="73" t="n">
        <f aca="false">IF(AND(SUM($BN127)&lt;=0,SUM($BM127)&lt;=0),"",SUM($BN127)-SUM($BM127))</f>
        <v>2810</v>
      </c>
      <c r="BP127" s="73" t="str">
        <f aca="false">_xlfn.IFNA(INDEX(PMTCT!$AF:$AF,MATCH($E127,PMTCT!$E:$E,0)),"")</f>
        <v/>
      </c>
      <c r="BQ127" s="73" t="str">
        <f aca="false">_xlfn.IFNA(INDEX(PMTCT!$AV:$AV,MATCH($E127,PMTCT!$E:$E,0)),"")</f>
        <v/>
      </c>
      <c r="BR127" s="73" t="n">
        <f aca="false">_xlfn.IFNA(INDEX(TB!$R:$R,MATCH($E127,TB!$E:$E,0)),"")</f>
        <v>-333</v>
      </c>
      <c r="BS127" s="73" t="str">
        <f aca="false">_xlfn.IFNA(INDEX(VMMC!$AD:$AD,MATCH($E127,VMMC!$E:$E,0)),"")</f>
        <v/>
      </c>
      <c r="BT127" s="73" t="n">
        <f aca="false">IF(SUM($R127,$T127,$AN127,$AQ127,$AT127,$AW127,$AZ127,$BC127,$BF127,$BI127,$BL127,$BP127:$BS127)=0,"",SUM($R127,$T127,$AN127,$AQ127,$AT127,$AW127,$AZ127,$BC127,$BF127,$BI127,$BL127,$BP127:$BS127))</f>
        <v>-1186</v>
      </c>
      <c r="BU127" s="73" t="n">
        <f aca="false">IF(OR(SUM($BT127)=0,SUM($BN127)=0),"",SUM($BT127,$BN127))</f>
        <v>1639</v>
      </c>
      <c r="BV127" s="118" t="n">
        <f aca="false">IF(SUM($BU127)=0,"",SUM($BN127)/$BU127)</f>
        <v>1.72361195851129</v>
      </c>
      <c r="BW127" s="73"/>
      <c r="BX127" s="118" t="str">
        <f aca="false">IF(OR($C127="01-04",$C127="05-09"),"",0%)</f>
        <v/>
      </c>
      <c r="BY127" s="75" t="str">
        <f aca="false">IF(OR($C127="01-04",$C127="05-09",SUM($BW127)=0),"",ROUND($BW127*(1+$BX127),0))</f>
        <v/>
      </c>
    </row>
    <row r="128" customFormat="false" ht="15" hidden="false" customHeight="false" outlineLevel="0" collapsed="false">
      <c r="A128" s="0" t="s">
        <v>146</v>
      </c>
      <c r="B128" s="0" t="s">
        <v>45</v>
      </c>
      <c r="C128" s="0" t="s">
        <v>83</v>
      </c>
      <c r="D128" s="0" t="s">
        <v>58</v>
      </c>
      <c r="E128" s="0" t="str">
        <f aca="false">B128&amp;"|"&amp;C128&amp;"|"&amp;D128</f>
        <v>Maseru [#SNU] [#DREAMS] [tKOXiaNhAyJ]|05-09|Male</v>
      </c>
      <c r="F128" s="118" t="n">
        <f aca="false">_xlfn.IFNA(INDEX(Cascade!$Y:$Y,MATCH($E128,Cascade!$E:$E,0)),"")</f>
        <v>0.601293103448276</v>
      </c>
      <c r="G128" s="73" t="str">
        <f aca="false">_xlfn.IFNA(INDEX(Cascade!$BD:$BD,MATCH($E128,Cascade!$E:$E,0)),"")</f>
        <v/>
      </c>
      <c r="H128" s="73" t="str">
        <f aca="false">_xlfn.IFNA(INDEX(Cascade!$BE:$BE,MATCH($E128,Cascade!$E:$E,0)),"")</f>
        <v/>
      </c>
      <c r="I128" s="73" t="str">
        <f aca="false">_xlfn.IFNA(INDEX(Cascade!$BF:$BF,MATCH($E128,Cascade!$E:$E,0)),"")</f>
        <v/>
      </c>
      <c r="J128" s="73" t="str">
        <f aca="false">_xlfn.IFNA(INDEX(Cascade!$BG:$BG,MATCH($E128,Cascade!$E:$E,0)),"")</f>
        <v/>
      </c>
      <c r="K128" s="73" t="n">
        <f aca="false">_xlfn.IFNA(INDEX(Cascade!$BH:$BH,MATCH($E128,Cascade!$E:$E,0)),"")</f>
        <v>-0</v>
      </c>
      <c r="L128" s="73" t="str">
        <f aca="false">_xlfn.IFNA(INDEX(Cascade!$BI:$BI,MATCH($E128,Cascade!$E:$E,0)),"")</f>
        <v/>
      </c>
      <c r="M128" s="73" t="str">
        <f aca="false">_xlfn.IFNA(INDEX(Cascade!$BK:$BK,MATCH($E128,Cascade!$E:$E,0)),"")</f>
        <v/>
      </c>
      <c r="N128" s="118" t="n">
        <v>39</v>
      </c>
      <c r="O128" s="118"/>
      <c r="P128" s="118" t="n">
        <v>42</v>
      </c>
      <c r="Q128" s="75" t="str">
        <f aca="false">IF(OR(SUM($H128)=0,SUM($N128)=0,SUM($O128)=0),"",ROUND($H128*$N128,0))</f>
        <v/>
      </c>
      <c r="R128" s="75" t="str">
        <f aca="false">IF(OR(SUM($Q128)=0,SUM($O128)=0),"",ROUND(SUM($Q128)/SUM($O128),0)-SUM($Q128))</f>
        <v/>
      </c>
      <c r="S128" s="75" t="str">
        <f aca="false">IF(SUM($H128)=0,"",SUM($H128)-SUM($Q128))</f>
        <v/>
      </c>
      <c r="T128" s="75" t="str">
        <f aca="false">IF(OR(SUM($S128)=0,$N128&gt;1,SUM($P128)&lt;=0),"",ROUND($S128/$P128,0)-$S128)</f>
        <v/>
      </c>
      <c r="U128" s="118" t="str">
        <f aca="false">IF(SUM($G128)&lt;=0,"",SUM($Q128,$S128)/$G128)</f>
        <v/>
      </c>
      <c r="V128" s="118" t="str">
        <f aca="false">IF(OR(SUM($Q128)=0,SUM($G128)=0),"",SUM($Q128)/SUM($G128))</f>
        <v/>
      </c>
      <c r="W128" s="118" t="str">
        <f aca="false">IF(OR(SUM($S128)=0,SUM($G128)=0),"",SUM($S128)/SUM($G128))</f>
        <v/>
      </c>
      <c r="X128" s="118" t="str">
        <f aca="false">IF(OR(SUM($G128)=0,SUM($I128)=0),"",SUM($I128)/SUM($G128))</f>
        <v/>
      </c>
      <c r="Y128" s="118" t="str">
        <f aca="false">IF(OR(SUM($G128)=0,SUM($J128)=0),"",SUM($J128)/SUM($G128))</f>
        <v/>
      </c>
      <c r="Z128" s="118" t="str">
        <f aca="false">IF(OR(SUM($G128)=0,SUM($K128)=0),"",SUM($K128)/SUM($G128))</f>
        <v/>
      </c>
      <c r="AA128" s="118" t="str">
        <f aca="false">IF(OR(SUM($G128)=0,SUM($L128)=0),"",SUM($L128)/SUM($G128))</f>
        <v/>
      </c>
      <c r="AB128" s="118" t="n">
        <v>40</v>
      </c>
      <c r="AC128" s="118"/>
      <c r="AD128" s="118"/>
      <c r="AE128" s="118" t="n">
        <v>27</v>
      </c>
      <c r="AF128" s="118" t="n">
        <v>42</v>
      </c>
      <c r="AG128" s="118" t="n">
        <v>34</v>
      </c>
      <c r="AH128" s="118" t="n">
        <v>13</v>
      </c>
      <c r="AI128" s="118" t="n">
        <v>23</v>
      </c>
      <c r="AJ128" s="118" t="n">
        <v>45</v>
      </c>
      <c r="AK128" s="118" t="str">
        <f aca="false">IF(SUM($G128)&lt;=0,"",SUM($V128:$AJ128))</f>
        <v/>
      </c>
      <c r="AL128" s="118"/>
      <c r="AM128" s="75" t="str">
        <f aca="false">IF(OR(SUM($AB128)&lt;=0,SUM($G128)&lt;=0),"",ROUND($G128*$AB128,0))</f>
        <v/>
      </c>
      <c r="AN128" s="75" t="str">
        <f aca="false">IF(SUM($AM128)&lt;=0,"",IF(SUM($AL128)&lt;=0,"ENTER VALID YIELD!",ROUND($AM128/$AL128,0)-$AM128))</f>
        <v/>
      </c>
      <c r="AO128" s="118"/>
      <c r="AP128" s="75" t="str">
        <f aca="false">IF(OR(SUM($AC128)&lt;=0,SUM($G128)&lt;=0),"",ROUND($G128*$AC128,0))</f>
        <v/>
      </c>
      <c r="AQ128" s="75" t="str">
        <f aca="false">IF(SUM($AP128)&lt;=0,"",IF(SUM($AO128)&lt;=0,"ENTER VALID YIELD!",ROUND($AP128/$AO128,0)-$AP128))</f>
        <v/>
      </c>
      <c r="AR128" s="118"/>
      <c r="AS128" s="75" t="str">
        <f aca="false">IF(OR(SUM($AD128)&lt;=0,SUM($G128)&lt;=0),"",ROUND($G128*$AD128,0))</f>
        <v/>
      </c>
      <c r="AT128" s="75" t="str">
        <f aca="false">IF(SUM($AS128)&lt;=0,"",IF(SUM($AR128)&lt;=0,"ENTER VALID YIELD!",ROUND($AS128/$AR128,0)-$AS128))</f>
        <v/>
      </c>
      <c r="AU128" s="118"/>
      <c r="AV128" s="75" t="str">
        <f aca="false">IF(OR(SUM($AE128)&lt;=0,SUM($G128)&lt;=0),"",ROUND($G128*$AE128,0))</f>
        <v/>
      </c>
      <c r="AW128" s="75" t="str">
        <f aca="false">IF(SUM($AV128)&lt;=0,"",IF(SUM($AU128)&lt;=0,"ENTER VALID YIELD!",ROUND($AV128/$AU128,0)-$AV128))</f>
        <v/>
      </c>
      <c r="AX128" s="118"/>
      <c r="AY128" s="75" t="str">
        <f aca="false">IF(OR(SUM($AF128)&lt;=0,SUM($G128)&lt;=0),"",ROUND($G128*$AF128,0))</f>
        <v/>
      </c>
      <c r="AZ128" s="75" t="str">
        <f aca="false">IF(SUM($AY128)&lt;=0,"",IF(SUM($AX128)&lt;=0,"ENTER VALID YIELD!",ROUND($AY128/$AX128,0)-$AY128))</f>
        <v/>
      </c>
      <c r="BA128" s="118" t="n">
        <v>23</v>
      </c>
      <c r="BB128" s="75" t="str">
        <f aca="false">IF(OR(SUM($AG128)&lt;=0,SUM($G128)&lt;=0),"",ROUND($G128*$AG128,0))</f>
        <v/>
      </c>
      <c r="BC128" s="75" t="str">
        <f aca="false">IF(SUM($BB128)&lt;=0,"",IF(SUM($BA128)&lt;=0,"ENTER VALID YIELD!",ROUND($BB128/$BA128,0)-$BB128))</f>
        <v/>
      </c>
      <c r="BD128" s="118"/>
      <c r="BE128" s="75" t="str">
        <f aca="false">IF(OR(SUM($AH128)&lt;=0,SUM($G128)&lt;=0),"",ROUND($G128*$AH128,0))</f>
        <v/>
      </c>
      <c r="BF128" s="75" t="str">
        <f aca="false">IF(SUM($BE128)&lt;=0,"",IF(SUM($BD128)&lt;=0,"ENTER VALID YIELD!",ROUND($BE128/$BD128,0)-$BE128))</f>
        <v/>
      </c>
      <c r="BG128" s="118"/>
      <c r="BH128" s="75" t="str">
        <f aca="false">IF(OR(SUM($AI128)&lt;=0,SUM($G128)&lt;=0),"",ROUND($G128*$AI128,0))</f>
        <v/>
      </c>
      <c r="BI128" s="75" t="str">
        <f aca="false">IF(SUM($BH128)&lt;=0,"",IF(SUM($BG128)&lt;=0,"ENTER VALID YIELD!",ROUND($BH128/$BG128,0)-$BH128))</f>
        <v/>
      </c>
      <c r="BJ128" s="118"/>
      <c r="BK128" s="75" t="str">
        <f aca="false">IF(OR(SUM($AJ128)&lt;=0,SUM($G128)&lt;=0),"",ROUND($G128*$AJ128,0))</f>
        <v/>
      </c>
      <c r="BL128" s="75" t="str">
        <f aca="false">IF(SUM($BK128)&lt;=0,"",IF(SUM($BJ128)&lt;=0,"ENTER VALID YIELD!",ROUND($BK128/$BJ128,0)-$BK128))</f>
        <v/>
      </c>
      <c r="BM128" s="73" t="str">
        <f aca="false">IF(SUM($G128)&lt;=0,"",$G128)</f>
        <v/>
      </c>
      <c r="BN128" s="73" t="str">
        <f aca="false">IF(SUM($G128)&lt;=0,"",SUM($I128:$L128,$Q128,$S128,$AM128,$AP128,$AS128,$AV128,$AY128,$BB128,$BE128,$BH128,$BK128))</f>
        <v/>
      </c>
      <c r="BO128" s="73" t="str">
        <f aca="false">IF(AND(SUM($BN128)&lt;=0,SUM($BM128)&lt;=0),"",SUM($BN128)-SUM($BM128))</f>
        <v/>
      </c>
      <c r="BP128" s="73" t="str">
        <f aca="false">_xlfn.IFNA(INDEX(PMTCT!$AF:$AF,MATCH($E128,PMTCT!$E:$E,0)),"")</f>
        <v/>
      </c>
      <c r="BQ128" s="73" t="str">
        <f aca="false">_xlfn.IFNA(INDEX(PMTCT!$AV:$AV,MATCH($E128,PMTCT!$E:$E,0)),"")</f>
        <v/>
      </c>
      <c r="BR128" s="73" t="n">
        <f aca="false">_xlfn.IFNA(INDEX(TB!$R:$R,MATCH($E128,TB!$E:$E,0)),"")</f>
        <v>-30</v>
      </c>
      <c r="BS128" s="73" t="str">
        <f aca="false">_xlfn.IFNA(INDEX(VMMC!$AD:$AD,MATCH($E128,VMMC!$E:$E,0)),"")</f>
        <v/>
      </c>
      <c r="BT128" s="73" t="n">
        <f aca="false">IF(SUM($R128,$T128,$AN128,$AQ128,$AT128,$AW128,$AZ128,$BC128,$BF128,$BI128,$BL128,$BP128:$BS128)=0,"",SUM($R128,$T128,$AN128,$AQ128,$AT128,$AW128,$AZ128,$BC128,$BF128,$BI128,$BL128,$BP128:$BS128))</f>
        <v>-30</v>
      </c>
      <c r="BU128" s="73" t="str">
        <f aca="false">IF(OR(SUM($BT128)=0,SUM($BN128)=0),"",SUM($BT128,$BN128))</f>
        <v/>
      </c>
      <c r="BV128" s="118" t="str">
        <f aca="false">IF(SUM($BU128)=0,"",SUM($BN128)/$BU128)</f>
        <v/>
      </c>
      <c r="BW128" s="73"/>
      <c r="BX128" s="118" t="str">
        <f aca="false">IF(OR($C128="01-04",$C128="05-09"),"",0%)</f>
        <v/>
      </c>
      <c r="BY128" s="75" t="str">
        <f aca="false">IF(OR($C128="01-04",$C128="05-09",SUM($BW128)=0),"",ROUND($BW128*(1+$BX128),0))</f>
        <v/>
      </c>
    </row>
    <row r="129" customFormat="false" ht="15" hidden="false" customHeight="false" outlineLevel="0" collapsed="false">
      <c r="A129" s="0" t="s">
        <v>146</v>
      </c>
      <c r="B129" s="0" t="s">
        <v>45</v>
      </c>
      <c r="C129" s="0" t="s">
        <v>61</v>
      </c>
      <c r="D129" s="0" t="s">
        <v>56</v>
      </c>
      <c r="E129" s="0" t="str">
        <f aca="false">B129&amp;"|"&amp;C129&amp;"|"&amp;D129</f>
        <v>Maseru [#SNU] [#DREAMS] [tKOXiaNhAyJ]|10-14|Female</v>
      </c>
      <c r="F129" s="118" t="n">
        <f aca="false">_xlfn.IFNA(INDEX(Cascade!$Y:$Y,MATCH($E129,Cascade!$E:$E,0)),"")</f>
        <v>0.744350282485876</v>
      </c>
      <c r="G129" s="73" t="n">
        <f aca="false">_xlfn.IFNA(INDEX(Cascade!$BD:$BD,MATCH($E129,Cascade!$E:$E,0)),"")</f>
        <v>5</v>
      </c>
      <c r="H129" s="73" t="n">
        <f aca="false">_xlfn.IFNA(INDEX(Cascade!$BE:$BE,MATCH($E129,Cascade!$E:$E,0)),"")</f>
        <v>3</v>
      </c>
      <c r="I129" s="73" t="str">
        <f aca="false">_xlfn.IFNA(INDEX(Cascade!$BF:$BF,MATCH($E129,Cascade!$E:$E,0)),"")</f>
        <v/>
      </c>
      <c r="J129" s="73" t="str">
        <f aca="false">_xlfn.IFNA(INDEX(Cascade!$BG:$BG,MATCH($E129,Cascade!$E:$E,0)),"")</f>
        <v/>
      </c>
      <c r="K129" s="73" t="n">
        <f aca="false">_xlfn.IFNA(INDEX(Cascade!$BH:$BH,MATCH($E129,Cascade!$E:$E,0)),"")</f>
        <v>-7590</v>
      </c>
      <c r="L129" s="73" t="str">
        <f aca="false">_xlfn.IFNA(INDEX(Cascade!$BI:$BI,MATCH($E129,Cascade!$E:$E,0)),"")</f>
        <v/>
      </c>
      <c r="M129" s="73" t="n">
        <f aca="false">_xlfn.IFNA(INDEX(Cascade!$BK:$BK,MATCH($E129,Cascade!$E:$E,0)),"")</f>
        <v>7592</v>
      </c>
      <c r="N129" s="118" t="n">
        <v>19</v>
      </c>
      <c r="O129" s="118"/>
      <c r="P129" s="118" t="n">
        <v>9</v>
      </c>
      <c r="Q129" s="75" t="str">
        <f aca="false">IF(OR(SUM($H129)=0,SUM($N129)=0,SUM($O129)=0),"",ROUND($H129*$N129,0))</f>
        <v/>
      </c>
      <c r="R129" s="75" t="str">
        <f aca="false">IF(OR(SUM($Q129)=0,SUM($O129)=0),"",ROUND(SUM($Q129)/SUM($O129),0)-SUM($Q129))</f>
        <v/>
      </c>
      <c r="S129" s="75" t="n">
        <f aca="false">IF(SUM($H129)=0,"",SUM($H129)-SUM($Q129))</f>
        <v>3</v>
      </c>
      <c r="T129" s="75" t="str">
        <f aca="false">IF(OR(SUM($S129)=0,$N129&gt;1,SUM($P129)&lt;=0),"",ROUND($S129/$P129,0)-$S129)</f>
        <v/>
      </c>
      <c r="U129" s="118" t="n">
        <f aca="false">IF(SUM($G129)&lt;=0,"",SUM($Q129,$S129)/$G129)</f>
        <v>0.6</v>
      </c>
      <c r="V129" s="118" t="str">
        <f aca="false">IF(OR(SUM($Q129)=0,SUM($G129)=0),"",SUM($Q129)/SUM($G129))</f>
        <v/>
      </c>
      <c r="W129" s="118" t="n">
        <f aca="false">IF(OR(SUM($S129)=0,SUM($G129)=0),"",SUM($S129)/SUM($G129))</f>
        <v>0.6</v>
      </c>
      <c r="X129" s="118" t="str">
        <f aca="false">IF(OR(SUM($G129)=0,SUM($I129)=0),"",SUM($I129)/SUM($G129))</f>
        <v/>
      </c>
      <c r="Y129" s="118" t="str">
        <f aca="false">IF(OR(SUM($G129)=0,SUM($J129)=0),"",SUM($J129)/SUM($G129))</f>
        <v/>
      </c>
      <c r="Z129" s="118" t="n">
        <f aca="false">IF(OR(SUM($G129)=0,SUM($K129)=0),"",SUM($K129)/SUM($G129))</f>
        <v>-1518</v>
      </c>
      <c r="AA129" s="118" t="str">
        <f aca="false">IF(OR(SUM($G129)=0,SUM($L129)=0),"",SUM($L129)/SUM($G129))</f>
        <v/>
      </c>
      <c r="AB129" s="118" t="n">
        <v>34</v>
      </c>
      <c r="AC129" s="118"/>
      <c r="AD129" s="118"/>
      <c r="AE129" s="118" t="n">
        <v>24</v>
      </c>
      <c r="AF129" s="118" t="n">
        <v>33</v>
      </c>
      <c r="AG129" s="118" t="n">
        <v>33</v>
      </c>
      <c r="AH129" s="118" t="n">
        <v>46</v>
      </c>
      <c r="AI129" s="118" t="n">
        <v>46</v>
      </c>
      <c r="AJ129" s="118" t="n">
        <v>50</v>
      </c>
      <c r="AK129" s="118" t="n">
        <f aca="false">IF(SUM($G129)&lt;=0,"",SUM($V129:$AJ129))</f>
        <v>-1251.4</v>
      </c>
      <c r="AL129" s="118"/>
      <c r="AM129" s="75" t="n">
        <f aca="false">IF(OR(SUM($AB129)&lt;=0,SUM($G129)&lt;=0),"",ROUND($G129*$AB129,0))</f>
        <v>170</v>
      </c>
      <c r="AN129" s="75" t="str">
        <f aca="false">IF(SUM($AM129)&lt;=0,"",IF(SUM($AL129)&lt;=0,"ENTER VALID YIELD!",ROUND($AM129/$AL129,0)-$AM129))</f>
        <v>ENTER VALID YIELD!</v>
      </c>
      <c r="AO129" s="118"/>
      <c r="AP129" s="75" t="str">
        <f aca="false">IF(OR(SUM($AC129)&lt;=0,SUM($G129)&lt;=0),"",ROUND($G129*$AC129,0))</f>
        <v/>
      </c>
      <c r="AQ129" s="75" t="str">
        <f aca="false">IF(SUM($AP129)&lt;=0,"",IF(SUM($AO129)&lt;=0,"ENTER VALID YIELD!",ROUND($AP129/$AO129,0)-$AP129))</f>
        <v/>
      </c>
      <c r="AR129" s="118"/>
      <c r="AS129" s="75" t="str">
        <f aca="false">IF(OR(SUM($AD129)&lt;=0,SUM($G129)&lt;=0),"",ROUND($G129*$AD129,0))</f>
        <v/>
      </c>
      <c r="AT129" s="75" t="str">
        <f aca="false">IF(SUM($AS129)&lt;=0,"",IF(SUM($AR129)&lt;=0,"ENTER VALID YIELD!",ROUND($AS129/$AR129,0)-$AS129))</f>
        <v/>
      </c>
      <c r="AU129" s="118"/>
      <c r="AV129" s="75" t="n">
        <f aca="false">IF(OR(SUM($AE129)&lt;=0,SUM($G129)&lt;=0),"",ROUND($G129*$AE129,0))</f>
        <v>120</v>
      </c>
      <c r="AW129" s="75" t="str">
        <f aca="false">IF(SUM($AV129)&lt;=0,"",IF(SUM($AU129)&lt;=0,"ENTER VALID YIELD!",ROUND($AV129/$AU129,0)-$AV129))</f>
        <v>ENTER VALID YIELD!</v>
      </c>
      <c r="AX129" s="118"/>
      <c r="AY129" s="75" t="n">
        <f aca="false">IF(OR(SUM($AF129)&lt;=0,SUM($G129)&lt;=0),"",ROUND($G129*$AF129,0))</f>
        <v>165</v>
      </c>
      <c r="AZ129" s="75" t="str">
        <f aca="false">IF(SUM($AY129)&lt;=0,"",IF(SUM($AX129)&lt;=0,"ENTER VALID YIELD!",ROUND($AY129/$AX129,0)-$AY129))</f>
        <v>ENTER VALID YIELD!</v>
      </c>
      <c r="BA129" s="118" t="n">
        <v>29</v>
      </c>
      <c r="BB129" s="75" t="n">
        <f aca="false">IF(OR(SUM($AG129)&lt;=0,SUM($G129)&lt;=0),"",ROUND($G129*$AG129,0))</f>
        <v>165</v>
      </c>
      <c r="BC129" s="75" t="n">
        <f aca="false">IF(SUM($BB129)&lt;=0,"",IF(SUM($BA129)&lt;=0,"ENTER VALID YIELD!",ROUND($BB129/$BA129,0)-$BB129))</f>
        <v>-159</v>
      </c>
      <c r="BD129" s="118"/>
      <c r="BE129" s="75" t="n">
        <f aca="false">IF(OR(SUM($AH129)&lt;=0,SUM($G129)&lt;=0),"",ROUND($G129*$AH129,0))</f>
        <v>230</v>
      </c>
      <c r="BF129" s="75" t="str">
        <f aca="false">IF(SUM($BE129)&lt;=0,"",IF(SUM($BD129)&lt;=0,"ENTER VALID YIELD!",ROUND($BE129/$BD129,0)-$BE129))</f>
        <v>ENTER VALID YIELD!</v>
      </c>
      <c r="BG129" s="118"/>
      <c r="BH129" s="75" t="n">
        <f aca="false">IF(OR(SUM($AI129)&lt;=0,SUM($G129)&lt;=0),"",ROUND($G129*$AI129,0))</f>
        <v>230</v>
      </c>
      <c r="BI129" s="75" t="str">
        <f aca="false">IF(SUM($BH129)&lt;=0,"",IF(SUM($BG129)&lt;=0,"ENTER VALID YIELD!",ROUND($BH129/$BG129,0)-$BH129))</f>
        <v>ENTER VALID YIELD!</v>
      </c>
      <c r="BJ129" s="118" t="n">
        <v>37</v>
      </c>
      <c r="BK129" s="75" t="n">
        <f aca="false">IF(OR(SUM($AJ129)&lt;=0,SUM($G129)&lt;=0),"",ROUND($G129*$AJ129,0))</f>
        <v>250</v>
      </c>
      <c r="BL129" s="75" t="n">
        <f aca="false">IF(SUM($BK129)&lt;=0,"",IF(SUM($BJ129)&lt;=0,"ENTER VALID YIELD!",ROUND($BK129/$BJ129,0)-$BK129))</f>
        <v>-243</v>
      </c>
      <c r="BM129" s="73" t="n">
        <f aca="false">IF(SUM($G129)&lt;=0,"",$G129)</f>
        <v>5</v>
      </c>
      <c r="BN129" s="73" t="n">
        <f aca="false">IF(SUM($G129)&lt;=0,"",SUM($I129:$L129,$Q129,$S129,$AM129,$AP129,$AS129,$AV129,$AY129,$BB129,$BE129,$BH129,$BK129))</f>
        <v>-6257</v>
      </c>
      <c r="BO129" s="73" t="n">
        <f aca="false">IF(AND(SUM($BN129)&lt;=0,SUM($BM129)&lt;=0),"",SUM($BN129)-SUM($BM129))</f>
        <v>-6262</v>
      </c>
      <c r="BP129" s="73" t="str">
        <f aca="false">_xlfn.IFNA(INDEX(PMTCT!$AF:$AF,MATCH($E129,PMTCT!$E:$E,0)),"")</f>
        <v/>
      </c>
      <c r="BQ129" s="73" t="str">
        <f aca="false">_xlfn.IFNA(INDEX(PMTCT!$AV:$AV,MATCH($E129,PMTCT!$E:$E,0)),"")</f>
        <v/>
      </c>
      <c r="BR129" s="73" t="n">
        <f aca="false">_xlfn.IFNA(INDEX(TB!$R:$R,MATCH($E129,TB!$E:$E,0)),"")</f>
        <v>7260</v>
      </c>
      <c r="BS129" s="73" t="str">
        <f aca="false">_xlfn.IFNA(INDEX(VMMC!$AD:$AD,MATCH($E129,VMMC!$E:$E,0)),"")</f>
        <v/>
      </c>
      <c r="BT129" s="73" t="n">
        <f aca="false">IF(SUM($R129,$T129,$AN129,$AQ129,$AT129,$AW129,$AZ129,$BC129,$BF129,$BI129,$BL129,$BP129:$BS129)=0,"",SUM($R129,$T129,$AN129,$AQ129,$AT129,$AW129,$AZ129,$BC129,$BF129,$BI129,$BL129,$BP129:$BS129))</f>
        <v>6858</v>
      </c>
      <c r="BU129" s="73" t="n">
        <f aca="false">IF(OR(SUM($BT129)=0,SUM($BN129)=0),"",SUM($BT129,$BN129))</f>
        <v>601</v>
      </c>
      <c r="BV129" s="118" t="n">
        <f aca="false">IF(SUM($BU129)=0,"",SUM($BN129)/$BU129)</f>
        <v>-10.4109816971714</v>
      </c>
      <c r="BW129" s="73" t="n">
        <v>33</v>
      </c>
      <c r="BX129" s="118" t="n">
        <f aca="false">IF(OR($C129="01-04",$C129="05-09"),"",0%)</f>
        <v>0</v>
      </c>
      <c r="BY129" s="75" t="n">
        <f aca="false">IF(OR($C129="01-04",$C129="05-09",SUM($BW129)=0),"",ROUND($BW129*(1+$BX129),0))</f>
        <v>33</v>
      </c>
    </row>
    <row r="130" customFormat="false" ht="15" hidden="false" customHeight="false" outlineLevel="0" collapsed="false">
      <c r="A130" s="0" t="s">
        <v>146</v>
      </c>
      <c r="B130" s="0" t="s">
        <v>45</v>
      </c>
      <c r="C130" s="0" t="s">
        <v>61</v>
      </c>
      <c r="D130" s="0" t="s">
        <v>58</v>
      </c>
      <c r="E130" s="0" t="str">
        <f aca="false">B130&amp;"|"&amp;C130&amp;"|"&amp;D130</f>
        <v>Maseru [#SNU] [#DREAMS] [tKOXiaNhAyJ]|10-14|Male</v>
      </c>
      <c r="F130" s="118" t="n">
        <f aca="false">_xlfn.IFNA(INDEX(Cascade!$Y:$Y,MATCH($E130,Cascade!$E:$E,0)),"")</f>
        <v>0.745810055865922</v>
      </c>
      <c r="G130" s="73" t="n">
        <f aca="false">_xlfn.IFNA(INDEX(Cascade!$BD:$BD,MATCH($E130,Cascade!$E:$E,0)),"")</f>
        <v>11</v>
      </c>
      <c r="H130" s="73" t="n">
        <f aca="false">_xlfn.IFNA(INDEX(Cascade!$BE:$BE,MATCH($E130,Cascade!$E:$E,0)),"")</f>
        <v>6</v>
      </c>
      <c r="I130" s="73" t="str">
        <f aca="false">_xlfn.IFNA(INDEX(Cascade!$BF:$BF,MATCH($E130,Cascade!$E:$E,0)),"")</f>
        <v/>
      </c>
      <c r="J130" s="73" t="str">
        <f aca="false">_xlfn.IFNA(INDEX(Cascade!$BG:$BG,MATCH($E130,Cascade!$E:$E,0)),"")</f>
        <v/>
      </c>
      <c r="K130" s="73" t="n">
        <f aca="false">_xlfn.IFNA(INDEX(Cascade!$BH:$BH,MATCH($E130,Cascade!$E:$E,0)),"")</f>
        <v>-0</v>
      </c>
      <c r="L130" s="73" t="str">
        <f aca="false">_xlfn.IFNA(INDEX(Cascade!$BI:$BI,MATCH($E130,Cascade!$E:$E,0)),"")</f>
        <v/>
      </c>
      <c r="M130" s="73" t="n">
        <f aca="false">_xlfn.IFNA(INDEX(Cascade!$BK:$BK,MATCH($E130,Cascade!$E:$E,0)),"")</f>
        <v>5</v>
      </c>
      <c r="N130" s="118" t="n">
        <v>27</v>
      </c>
      <c r="O130" s="118"/>
      <c r="P130" s="118" t="n">
        <v>22</v>
      </c>
      <c r="Q130" s="75" t="str">
        <f aca="false">IF(OR(SUM($H130)=0,SUM($N130)=0,SUM($O130)=0),"",ROUND($H130*$N130,0))</f>
        <v/>
      </c>
      <c r="R130" s="75" t="str">
        <f aca="false">IF(OR(SUM($Q130)=0,SUM($O130)=0),"",ROUND(SUM($Q130)/SUM($O130),0)-SUM($Q130))</f>
        <v/>
      </c>
      <c r="S130" s="75" t="n">
        <f aca="false">IF(SUM($H130)=0,"",SUM($H130)-SUM($Q130))</f>
        <v>6</v>
      </c>
      <c r="T130" s="75" t="str">
        <f aca="false">IF(OR(SUM($S130)=0,$N130&gt;1,SUM($P130)&lt;=0),"",ROUND($S130/$P130,0)-$S130)</f>
        <v/>
      </c>
      <c r="U130" s="118" t="n">
        <f aca="false">IF(SUM($G130)&lt;=0,"",SUM($Q130,$S130)/$G130)</f>
        <v>0.545454545454545</v>
      </c>
      <c r="V130" s="118" t="str">
        <f aca="false">IF(OR(SUM($Q130)=0,SUM($G130)=0),"",SUM($Q130)/SUM($G130))</f>
        <v/>
      </c>
      <c r="W130" s="118" t="n">
        <f aca="false">IF(OR(SUM($S130)=0,SUM($G130)=0),"",SUM($S130)/SUM($G130))</f>
        <v>0.545454545454545</v>
      </c>
      <c r="X130" s="118" t="str">
        <f aca="false">IF(OR(SUM($G130)=0,SUM($I130)=0),"",SUM($I130)/SUM($G130))</f>
        <v/>
      </c>
      <c r="Y130" s="118" t="str">
        <f aca="false">IF(OR(SUM($G130)=0,SUM($J130)=0),"",SUM($J130)/SUM($G130))</f>
        <v/>
      </c>
      <c r="Z130" s="118" t="str">
        <f aca="false">IF(OR(SUM($G130)=0,SUM($K130)=0),"",SUM($K130)/SUM($G130))</f>
        <v/>
      </c>
      <c r="AA130" s="118" t="str">
        <f aca="false">IF(OR(SUM($G130)=0,SUM($L130)=0),"",SUM($L130)/SUM($G130))</f>
        <v/>
      </c>
      <c r="AB130" s="118" t="n">
        <v>43</v>
      </c>
      <c r="AC130" s="118"/>
      <c r="AD130" s="118"/>
      <c r="AE130" s="118" t="n">
        <v>49</v>
      </c>
      <c r="AF130" s="118" t="n">
        <v>29</v>
      </c>
      <c r="AG130" s="118" t="n">
        <v>21</v>
      </c>
      <c r="AH130" s="118" t="n">
        <v>50</v>
      </c>
      <c r="AI130" s="118" t="n">
        <v>19</v>
      </c>
      <c r="AJ130" s="118" t="n">
        <v>36</v>
      </c>
      <c r="AK130" s="118" t="n">
        <f aca="false">IF(SUM($G130)&lt;=0,"",SUM($V130:$AJ130))</f>
        <v>247.545454545455</v>
      </c>
      <c r="AL130" s="118"/>
      <c r="AM130" s="75" t="n">
        <f aca="false">IF(OR(SUM($AB130)&lt;=0,SUM($G130)&lt;=0),"",ROUND($G130*$AB130,0))</f>
        <v>473</v>
      </c>
      <c r="AN130" s="75" t="str">
        <f aca="false">IF(SUM($AM130)&lt;=0,"",IF(SUM($AL130)&lt;=0,"ENTER VALID YIELD!",ROUND($AM130/$AL130,0)-$AM130))</f>
        <v>ENTER VALID YIELD!</v>
      </c>
      <c r="AO130" s="118"/>
      <c r="AP130" s="75" t="str">
        <f aca="false">IF(OR(SUM($AC130)&lt;=0,SUM($G130)&lt;=0),"",ROUND($G130*$AC130,0))</f>
        <v/>
      </c>
      <c r="AQ130" s="75" t="str">
        <f aca="false">IF(SUM($AP130)&lt;=0,"",IF(SUM($AO130)&lt;=0,"ENTER VALID YIELD!",ROUND($AP130/$AO130,0)-$AP130))</f>
        <v/>
      </c>
      <c r="AR130" s="118"/>
      <c r="AS130" s="75" t="str">
        <f aca="false">IF(OR(SUM($AD130)&lt;=0,SUM($G130)&lt;=0),"",ROUND($G130*$AD130,0))</f>
        <v/>
      </c>
      <c r="AT130" s="75" t="str">
        <f aca="false">IF(SUM($AS130)&lt;=0,"",IF(SUM($AR130)&lt;=0,"ENTER VALID YIELD!",ROUND($AS130/$AR130,0)-$AS130))</f>
        <v/>
      </c>
      <c r="AU130" s="118"/>
      <c r="AV130" s="75" t="n">
        <f aca="false">IF(OR(SUM($AE130)&lt;=0,SUM($G130)&lt;=0),"",ROUND($G130*$AE130,0))</f>
        <v>539</v>
      </c>
      <c r="AW130" s="75" t="str">
        <f aca="false">IF(SUM($AV130)&lt;=0,"",IF(SUM($AU130)&lt;=0,"ENTER VALID YIELD!",ROUND($AV130/$AU130,0)-$AV130))</f>
        <v>ENTER VALID YIELD!</v>
      </c>
      <c r="AX130" s="118"/>
      <c r="AY130" s="75" t="n">
        <f aca="false">IF(OR(SUM($AF130)&lt;=0,SUM($G130)&lt;=0),"",ROUND($G130*$AF130,0))</f>
        <v>319</v>
      </c>
      <c r="AZ130" s="75" t="str">
        <f aca="false">IF(SUM($AY130)&lt;=0,"",IF(SUM($AX130)&lt;=0,"ENTER VALID YIELD!",ROUND($AY130/$AX130,0)-$AY130))</f>
        <v>ENTER VALID YIELD!</v>
      </c>
      <c r="BA130" s="118" t="n">
        <v>20</v>
      </c>
      <c r="BB130" s="75" t="n">
        <f aca="false">IF(OR(SUM($AG130)&lt;=0,SUM($G130)&lt;=0),"",ROUND($G130*$AG130,0))</f>
        <v>231</v>
      </c>
      <c r="BC130" s="75" t="n">
        <f aca="false">IF(SUM($BB130)&lt;=0,"",IF(SUM($BA130)&lt;=0,"ENTER VALID YIELD!",ROUND($BB130/$BA130,0)-$BB130))</f>
        <v>-219</v>
      </c>
      <c r="BD130" s="118"/>
      <c r="BE130" s="75" t="n">
        <f aca="false">IF(OR(SUM($AH130)&lt;=0,SUM($G130)&lt;=0),"",ROUND($G130*$AH130,0))</f>
        <v>550</v>
      </c>
      <c r="BF130" s="75" t="str">
        <f aca="false">IF(SUM($BE130)&lt;=0,"",IF(SUM($BD130)&lt;=0,"ENTER VALID YIELD!",ROUND($BE130/$BD130,0)-$BE130))</f>
        <v>ENTER VALID YIELD!</v>
      </c>
      <c r="BG130" s="118"/>
      <c r="BH130" s="75" t="n">
        <f aca="false">IF(OR(SUM($AI130)&lt;=0,SUM($G130)&lt;=0),"",ROUND($G130*$AI130,0))</f>
        <v>209</v>
      </c>
      <c r="BI130" s="75" t="str">
        <f aca="false">IF(SUM($BH130)&lt;=0,"",IF(SUM($BG130)&lt;=0,"ENTER VALID YIELD!",ROUND($BH130/$BG130,0)-$BH130))</f>
        <v>ENTER VALID YIELD!</v>
      </c>
      <c r="BJ130" s="118"/>
      <c r="BK130" s="75" t="n">
        <f aca="false">IF(OR(SUM($AJ130)&lt;=0,SUM($G130)&lt;=0),"",ROUND($G130*$AJ130,0))</f>
        <v>396</v>
      </c>
      <c r="BL130" s="75" t="str">
        <f aca="false">IF(SUM($BK130)&lt;=0,"",IF(SUM($BJ130)&lt;=0,"ENTER VALID YIELD!",ROUND($BK130/$BJ130,0)-$BK130))</f>
        <v>ENTER VALID YIELD!</v>
      </c>
      <c r="BM130" s="73" t="n">
        <f aca="false">IF(SUM($G130)&lt;=0,"",$G130)</f>
        <v>11</v>
      </c>
      <c r="BN130" s="73" t="n">
        <f aca="false">IF(SUM($G130)&lt;=0,"",SUM($I130:$L130,$Q130,$S130,$AM130,$AP130,$AS130,$AV130,$AY130,$BB130,$BE130,$BH130,$BK130))</f>
        <v>2723</v>
      </c>
      <c r="BO130" s="73" t="n">
        <f aca="false">IF(AND(SUM($BN130)&lt;=0,SUM($BM130)&lt;=0),"",SUM($BN130)-SUM($BM130))</f>
        <v>2712</v>
      </c>
      <c r="BP130" s="73" t="str">
        <f aca="false">_xlfn.IFNA(INDEX(PMTCT!$AF:$AF,MATCH($E130,PMTCT!$E:$E,0)),"")</f>
        <v/>
      </c>
      <c r="BQ130" s="73" t="str">
        <f aca="false">_xlfn.IFNA(INDEX(PMTCT!$AV:$AV,MATCH($E130,PMTCT!$E:$E,0)),"")</f>
        <v/>
      </c>
      <c r="BR130" s="73" t="n">
        <f aca="false">_xlfn.IFNA(INDEX(TB!$R:$R,MATCH($E130,TB!$E:$E,0)),"")</f>
        <v>-533</v>
      </c>
      <c r="BS130" s="73" t="str">
        <f aca="false">_xlfn.IFNA(INDEX(VMMC!$AD:$AD,MATCH($E130,VMMC!$E:$E,0)),"")</f>
        <v/>
      </c>
      <c r="BT130" s="73" t="n">
        <f aca="false">IF(SUM($R130,$T130,$AN130,$AQ130,$AT130,$AW130,$AZ130,$BC130,$BF130,$BI130,$BL130,$BP130:$BS130)=0,"",SUM($R130,$T130,$AN130,$AQ130,$AT130,$AW130,$AZ130,$BC130,$BF130,$BI130,$BL130,$BP130:$BS130))</f>
        <v>-752</v>
      </c>
      <c r="BU130" s="73" t="n">
        <f aca="false">IF(OR(SUM($BT130)=0,SUM($BN130)=0),"",SUM($BT130,$BN130))</f>
        <v>1971</v>
      </c>
      <c r="BV130" s="118" t="n">
        <f aca="false">IF(SUM($BU130)=0,"",SUM($BN130)/$BU130)</f>
        <v>1.38153221714866</v>
      </c>
      <c r="BW130" s="73" t="n">
        <v>22</v>
      </c>
      <c r="BX130" s="118" t="n">
        <f aca="false">IF(OR($C130="01-04",$C130="05-09"),"",0%)</f>
        <v>0</v>
      </c>
      <c r="BY130" s="75" t="n">
        <f aca="false">IF(OR($C130="01-04",$C130="05-09",SUM($BW130)=0),"",ROUND($BW130*(1+$BX130),0))</f>
        <v>22</v>
      </c>
    </row>
    <row r="131" customFormat="false" ht="15" hidden="false" customHeight="false" outlineLevel="0" collapsed="false">
      <c r="A131" s="0" t="s">
        <v>146</v>
      </c>
      <c r="B131" s="0" t="s">
        <v>45</v>
      </c>
      <c r="C131" s="0" t="s">
        <v>63</v>
      </c>
      <c r="D131" s="0" t="s">
        <v>56</v>
      </c>
      <c r="E131" s="0" t="str">
        <f aca="false">B131&amp;"|"&amp;C131&amp;"|"&amp;D131</f>
        <v>Maseru [#SNU] [#DREAMS] [tKOXiaNhAyJ]|15-19|Female</v>
      </c>
      <c r="F131" s="118" t="n">
        <f aca="false">_xlfn.IFNA(INDEX(Cascade!$Y:$Y,MATCH($E131,Cascade!$E:$E,0)),"")</f>
        <v>0.6778413736713</v>
      </c>
      <c r="G131" s="73" t="n">
        <f aca="false">_xlfn.IFNA(INDEX(Cascade!$BD:$BD,MATCH($E131,Cascade!$E:$E,0)),"")</f>
        <v>14</v>
      </c>
      <c r="H131" s="73" t="n">
        <f aca="false">_xlfn.IFNA(INDEX(Cascade!$BE:$BE,MATCH($E131,Cascade!$E:$E,0)),"")</f>
        <v>4</v>
      </c>
      <c r="I131" s="73" t="n">
        <f aca="false">_xlfn.IFNA(INDEX(Cascade!$BF:$BF,MATCH($E131,Cascade!$E:$E,0)),"")</f>
        <v>-3876</v>
      </c>
      <c r="J131" s="73" t="str">
        <f aca="false">_xlfn.IFNA(INDEX(Cascade!$BG:$BG,MATCH($E131,Cascade!$E:$E,0)),"")</f>
        <v/>
      </c>
      <c r="K131" s="73" t="n">
        <f aca="false">_xlfn.IFNA(INDEX(Cascade!$BH:$BH,MATCH($E131,Cascade!$E:$E,0)),"")</f>
        <v>-2145</v>
      </c>
      <c r="L131" s="73" t="str">
        <f aca="false">_xlfn.IFNA(INDEX(Cascade!$BI:$BI,MATCH($E131,Cascade!$E:$E,0)),"")</f>
        <v/>
      </c>
      <c r="M131" s="73" t="n">
        <f aca="false">_xlfn.IFNA(INDEX(Cascade!$BK:$BK,MATCH($E131,Cascade!$E:$E,0)),"")</f>
        <v>6031</v>
      </c>
      <c r="N131" s="118" t="n">
        <v>27</v>
      </c>
      <c r="O131" s="118" t="n">
        <v>32</v>
      </c>
      <c r="P131" s="118" t="n">
        <v>31</v>
      </c>
      <c r="Q131" s="75" t="n">
        <f aca="false">IF(OR(SUM($H131)=0,SUM($N131)=0,SUM($O131)=0),"",ROUND($H131*$N131,0))</f>
        <v>108</v>
      </c>
      <c r="R131" s="75" t="n">
        <f aca="false">IF(OR(SUM($Q131)=0,SUM($O131)=0),"",ROUND(SUM($Q131)/SUM($O131),0)-SUM($Q131))</f>
        <v>-105</v>
      </c>
      <c r="S131" s="75" t="n">
        <f aca="false">IF(SUM($H131)=0,"",SUM($H131)-SUM($Q131))</f>
        <v>-104</v>
      </c>
      <c r="T131" s="75" t="str">
        <f aca="false">IF(OR(SUM($S131)=0,$N131&gt;1,SUM($P131)&lt;=0),"",ROUND($S131/$P131,0)-$S131)</f>
        <v/>
      </c>
      <c r="U131" s="118" t="n">
        <f aca="false">IF(SUM($G131)&lt;=0,"",SUM($Q131,$S131)/$G131)</f>
        <v>0.285714285714286</v>
      </c>
      <c r="V131" s="118" t="n">
        <f aca="false">IF(OR(SUM($Q131)=0,SUM($G131)=0),"",SUM($Q131)/SUM($G131))</f>
        <v>7.71428571428571</v>
      </c>
      <c r="W131" s="118" t="n">
        <f aca="false">IF(OR(SUM($S131)=0,SUM($G131)=0),"",SUM($S131)/SUM($G131))</f>
        <v>-7.42857142857143</v>
      </c>
      <c r="X131" s="118" t="n">
        <f aca="false">IF(OR(SUM($G131)=0,SUM($I131)=0),"",SUM($I131)/SUM($G131))</f>
        <v>-276.857142857143</v>
      </c>
      <c r="Y131" s="118" t="str">
        <f aca="false">IF(OR(SUM($G131)=0,SUM($J131)=0),"",SUM($J131)/SUM($G131))</f>
        <v/>
      </c>
      <c r="Z131" s="118" t="n">
        <f aca="false">IF(OR(SUM($G131)=0,SUM($K131)=0),"",SUM($K131)/SUM($G131))</f>
        <v>-153.214285714286</v>
      </c>
      <c r="AA131" s="118" t="str">
        <f aca="false">IF(OR(SUM($G131)=0,SUM($L131)=0),"",SUM($L131)/SUM($G131))</f>
        <v/>
      </c>
      <c r="AB131" s="118" t="n">
        <v>22</v>
      </c>
      <c r="AC131" s="118"/>
      <c r="AD131" s="118"/>
      <c r="AE131" s="118" t="n">
        <v>13</v>
      </c>
      <c r="AF131" s="118" t="n">
        <v>49</v>
      </c>
      <c r="AG131" s="118" t="n">
        <v>36</v>
      </c>
      <c r="AH131" s="118" t="n">
        <v>31</v>
      </c>
      <c r="AI131" s="118" t="n">
        <v>42</v>
      </c>
      <c r="AJ131" s="118" t="n">
        <v>34</v>
      </c>
      <c r="AK131" s="118" t="n">
        <f aca="false">IF(SUM($G131)&lt;=0,"",SUM($V131:$AJ131))</f>
        <v>-202.785714285714</v>
      </c>
      <c r="AL131" s="118" t="n">
        <v>29</v>
      </c>
      <c r="AM131" s="75" t="n">
        <f aca="false">IF(OR(SUM($AB131)&lt;=0,SUM($G131)&lt;=0),"",ROUND($G131*$AB131,0))</f>
        <v>308</v>
      </c>
      <c r="AN131" s="75" t="n">
        <f aca="false">IF(SUM($AM131)&lt;=0,"",IF(SUM($AL131)&lt;=0,"ENTER VALID YIELD!",ROUND($AM131/$AL131,0)-$AM131))</f>
        <v>-297</v>
      </c>
      <c r="AO131" s="118"/>
      <c r="AP131" s="75" t="str">
        <f aca="false">IF(OR(SUM($AC131)&lt;=0,SUM($G131)&lt;=0),"",ROUND($G131*$AC131,0))</f>
        <v/>
      </c>
      <c r="AQ131" s="75" t="str">
        <f aca="false">IF(SUM($AP131)&lt;=0,"",IF(SUM($AO131)&lt;=0,"ENTER VALID YIELD!",ROUND($AP131/$AO131,0)-$AP131))</f>
        <v/>
      </c>
      <c r="AR131" s="118"/>
      <c r="AS131" s="75" t="str">
        <f aca="false">IF(OR(SUM($AD131)&lt;=0,SUM($G131)&lt;=0),"",ROUND($G131*$AD131,0))</f>
        <v/>
      </c>
      <c r="AT131" s="75" t="str">
        <f aca="false">IF(SUM($AS131)&lt;=0,"",IF(SUM($AR131)&lt;=0,"ENTER VALID YIELD!",ROUND($AS131/$AR131,0)-$AS131))</f>
        <v/>
      </c>
      <c r="AU131" s="118"/>
      <c r="AV131" s="75" t="n">
        <f aca="false">IF(OR(SUM($AE131)&lt;=0,SUM($G131)&lt;=0),"",ROUND($G131*$AE131,0))</f>
        <v>182</v>
      </c>
      <c r="AW131" s="75" t="str">
        <f aca="false">IF(SUM($AV131)&lt;=0,"",IF(SUM($AU131)&lt;=0,"ENTER VALID YIELD!",ROUND($AV131/$AU131,0)-$AV131))</f>
        <v>ENTER VALID YIELD!</v>
      </c>
      <c r="AX131" s="118"/>
      <c r="AY131" s="75" t="n">
        <f aca="false">IF(OR(SUM($AF131)&lt;=0,SUM($G131)&lt;=0),"",ROUND($G131*$AF131,0))</f>
        <v>686</v>
      </c>
      <c r="AZ131" s="75" t="str">
        <f aca="false">IF(SUM($AY131)&lt;=0,"",IF(SUM($AX131)&lt;=0,"ENTER VALID YIELD!",ROUND($AY131/$AX131,0)-$AY131))</f>
        <v>ENTER VALID YIELD!</v>
      </c>
      <c r="BA131" s="118" t="n">
        <v>13</v>
      </c>
      <c r="BB131" s="75" t="n">
        <f aca="false">IF(OR(SUM($AG131)&lt;=0,SUM($G131)&lt;=0),"",ROUND($G131*$AG131,0))</f>
        <v>504</v>
      </c>
      <c r="BC131" s="75" t="n">
        <f aca="false">IF(SUM($BB131)&lt;=0,"",IF(SUM($BA131)&lt;=0,"ENTER VALID YIELD!",ROUND($BB131/$BA131,0)-$BB131))</f>
        <v>-465</v>
      </c>
      <c r="BD131" s="118"/>
      <c r="BE131" s="75" t="n">
        <f aca="false">IF(OR(SUM($AH131)&lt;=0,SUM($G131)&lt;=0),"",ROUND($G131*$AH131,0))</f>
        <v>434</v>
      </c>
      <c r="BF131" s="75" t="str">
        <f aca="false">IF(SUM($BE131)&lt;=0,"",IF(SUM($BD131)&lt;=0,"ENTER VALID YIELD!",ROUND($BE131/$BD131,0)-$BE131))</f>
        <v>ENTER VALID YIELD!</v>
      </c>
      <c r="BG131" s="118" t="n">
        <v>14</v>
      </c>
      <c r="BH131" s="75" t="n">
        <f aca="false">IF(OR(SUM($AI131)&lt;=0,SUM($G131)&lt;=0),"",ROUND($G131*$AI131,0))</f>
        <v>588</v>
      </c>
      <c r="BI131" s="75" t="n">
        <f aca="false">IF(SUM($BH131)&lt;=0,"",IF(SUM($BG131)&lt;=0,"ENTER VALID YIELD!",ROUND($BH131/$BG131,0)-$BH131))</f>
        <v>-546</v>
      </c>
      <c r="BJ131" s="118" t="n">
        <v>8</v>
      </c>
      <c r="BK131" s="75" t="n">
        <f aca="false">IF(OR(SUM($AJ131)&lt;=0,SUM($G131)&lt;=0),"",ROUND($G131*$AJ131,0))</f>
        <v>476</v>
      </c>
      <c r="BL131" s="75" t="n">
        <f aca="false">IF(SUM($BK131)&lt;=0,"",IF(SUM($BJ131)&lt;=0,"ENTER VALID YIELD!",ROUND($BK131/$BJ131,0)-$BK131))</f>
        <v>-416</v>
      </c>
      <c r="BM131" s="73" t="n">
        <f aca="false">IF(SUM($G131)&lt;=0,"",$G131)</f>
        <v>14</v>
      </c>
      <c r="BN131" s="73" t="n">
        <f aca="false">IF(SUM($G131)&lt;=0,"",SUM($I131:$L131,$Q131,$S131,$AM131,$AP131,$AS131,$AV131,$AY131,$BB131,$BE131,$BH131,$BK131))</f>
        <v>-2839</v>
      </c>
      <c r="BO131" s="73" t="n">
        <f aca="false">IF(AND(SUM($BN131)&lt;=0,SUM($BM131)&lt;=0),"",SUM($BN131)-SUM($BM131))</f>
        <v>-2853</v>
      </c>
      <c r="BP131" s="73" t="n">
        <f aca="false">_xlfn.IFNA(INDEX(PMTCT!$AF:$AF,MATCH($E131,PMTCT!$E:$E,0)),"")</f>
        <v>3672</v>
      </c>
      <c r="BQ131" s="73" t="str">
        <f aca="false">_xlfn.IFNA(INDEX(PMTCT!$AV:$AV,MATCH($E131,PMTCT!$E:$E,0)),"")</f>
        <v/>
      </c>
      <c r="BR131" s="73" t="n">
        <f aca="false">_xlfn.IFNA(INDEX(TB!$R:$R,MATCH($E131,TB!$E:$E,0)),"")</f>
        <v>2002</v>
      </c>
      <c r="BS131" s="73" t="str">
        <f aca="false">_xlfn.IFNA(INDEX(VMMC!$AD:$AD,MATCH($E131,VMMC!$E:$E,0)),"")</f>
        <v/>
      </c>
      <c r="BT131" s="73" t="n">
        <f aca="false">IF(SUM($R131,$T131,$AN131,$AQ131,$AT131,$AW131,$AZ131,$BC131,$BF131,$BI131,$BL131,$BP131:$BS131)=0,"",SUM($R131,$T131,$AN131,$AQ131,$AT131,$AW131,$AZ131,$BC131,$BF131,$BI131,$BL131,$BP131:$BS131))</f>
        <v>3845</v>
      </c>
      <c r="BU131" s="73" t="n">
        <f aca="false">IF(OR(SUM($BT131)=0,SUM($BN131)=0),"",SUM($BT131,$BN131))</f>
        <v>1006</v>
      </c>
      <c r="BV131" s="118" t="n">
        <f aca="false">IF(SUM($BU131)=0,"",SUM($BN131)/$BU131)</f>
        <v>-2.8220675944334</v>
      </c>
      <c r="BW131" s="73" t="n">
        <v>32</v>
      </c>
      <c r="BX131" s="118" t="n">
        <f aca="false">IF(OR($C131="01-04",$C131="05-09"),"",0%)</f>
        <v>0</v>
      </c>
      <c r="BY131" s="75" t="n">
        <f aca="false">IF(OR($C131="01-04",$C131="05-09",SUM($BW131)=0),"",ROUND($BW131*(1+$BX131),0))</f>
        <v>32</v>
      </c>
    </row>
    <row r="132" customFormat="false" ht="15" hidden="false" customHeight="false" outlineLevel="0" collapsed="false">
      <c r="A132" s="0" t="s">
        <v>146</v>
      </c>
      <c r="B132" s="0" t="s">
        <v>45</v>
      </c>
      <c r="C132" s="0" t="s">
        <v>63</v>
      </c>
      <c r="D132" s="0" t="s">
        <v>58</v>
      </c>
      <c r="E132" s="0" t="str">
        <f aca="false">B132&amp;"|"&amp;C132&amp;"|"&amp;D132</f>
        <v>Maseru [#SNU] [#DREAMS] [tKOXiaNhAyJ]|15-19|Male</v>
      </c>
      <c r="F132" s="118" t="n">
        <f aca="false">_xlfn.IFNA(INDEX(Cascade!$Y:$Y,MATCH($E132,Cascade!$E:$E,0)),"")</f>
        <v>0.828451882845188</v>
      </c>
      <c r="G132" s="73" t="n">
        <f aca="false">_xlfn.IFNA(INDEX(Cascade!$BD:$BD,MATCH($E132,Cascade!$E:$E,0)),"")</f>
        <v>1</v>
      </c>
      <c r="H132" s="73" t="n">
        <f aca="false">_xlfn.IFNA(INDEX(Cascade!$BE:$BE,MATCH($E132,Cascade!$E:$E,0)),"")</f>
        <v>1</v>
      </c>
      <c r="I132" s="73" t="str">
        <f aca="false">_xlfn.IFNA(INDEX(Cascade!$BF:$BF,MATCH($E132,Cascade!$E:$E,0)),"")</f>
        <v/>
      </c>
      <c r="J132" s="73" t="str">
        <f aca="false">_xlfn.IFNA(INDEX(Cascade!$BG:$BG,MATCH($E132,Cascade!$E:$E,0)),"")</f>
        <v/>
      </c>
      <c r="K132" s="73" t="n">
        <f aca="false">_xlfn.IFNA(INDEX(Cascade!$BH:$BH,MATCH($E132,Cascade!$E:$E,0)),"")</f>
        <v>-0</v>
      </c>
      <c r="L132" s="73" t="str">
        <f aca="false">_xlfn.IFNA(INDEX(Cascade!$BI:$BI,MATCH($E132,Cascade!$E:$E,0)),"")</f>
        <v/>
      </c>
      <c r="M132" s="73" t="n">
        <f aca="false">_xlfn.IFNA(INDEX(Cascade!$BK:$BK,MATCH($E132,Cascade!$E:$E,0)),"")</f>
        <v>0</v>
      </c>
      <c r="N132" s="118" t="n">
        <v>13</v>
      </c>
      <c r="O132" s="118"/>
      <c r="P132" s="118" t="n">
        <v>35</v>
      </c>
      <c r="Q132" s="75" t="str">
        <f aca="false">IF(OR(SUM($H132)=0,SUM($N132)=0,SUM($O132)=0),"",ROUND($H132*$N132,0))</f>
        <v/>
      </c>
      <c r="R132" s="75" t="str">
        <f aca="false">IF(OR(SUM($Q132)=0,SUM($O132)=0),"",ROUND(SUM($Q132)/SUM($O132),0)-SUM($Q132))</f>
        <v/>
      </c>
      <c r="S132" s="75" t="n">
        <f aca="false">IF(SUM($H132)=0,"",SUM($H132)-SUM($Q132))</f>
        <v>1</v>
      </c>
      <c r="T132" s="75" t="str">
        <f aca="false">IF(OR(SUM($S132)=0,$N132&gt;1,SUM($P132)&lt;=0),"",ROUND($S132/$P132,0)-$S132)</f>
        <v/>
      </c>
      <c r="U132" s="118" t="n">
        <f aca="false">IF(SUM($G132)&lt;=0,"",SUM($Q132,$S132)/$G132)</f>
        <v>1</v>
      </c>
      <c r="V132" s="118" t="str">
        <f aca="false">IF(OR(SUM($Q132)=0,SUM($G132)=0),"",SUM($Q132)/SUM($G132))</f>
        <v/>
      </c>
      <c r="W132" s="118" t="n">
        <f aca="false">IF(OR(SUM($S132)=0,SUM($G132)=0),"",SUM($S132)/SUM($G132))</f>
        <v>1</v>
      </c>
      <c r="X132" s="118" t="str">
        <f aca="false">IF(OR(SUM($G132)=0,SUM($I132)=0),"",SUM($I132)/SUM($G132))</f>
        <v/>
      </c>
      <c r="Y132" s="118" t="str">
        <f aca="false">IF(OR(SUM($G132)=0,SUM($J132)=0),"",SUM($J132)/SUM($G132))</f>
        <v/>
      </c>
      <c r="Z132" s="118" t="str">
        <f aca="false">IF(OR(SUM($G132)=0,SUM($K132)=0),"",SUM($K132)/SUM($G132))</f>
        <v/>
      </c>
      <c r="AA132" s="118" t="str">
        <f aca="false">IF(OR(SUM($G132)=0,SUM($L132)=0),"",SUM($L132)/SUM($G132))</f>
        <v/>
      </c>
      <c r="AB132" s="118" t="n">
        <v>1</v>
      </c>
      <c r="AC132" s="118"/>
      <c r="AD132" s="118"/>
      <c r="AE132" s="118" t="n">
        <v>33</v>
      </c>
      <c r="AF132" s="118" t="n">
        <v>2</v>
      </c>
      <c r="AG132" s="118" t="n">
        <v>23</v>
      </c>
      <c r="AH132" s="118" t="n">
        <v>17</v>
      </c>
      <c r="AI132" s="118" t="n">
        <v>27</v>
      </c>
      <c r="AJ132" s="118" t="n">
        <v>4</v>
      </c>
      <c r="AK132" s="118" t="n">
        <f aca="false">IF(SUM($G132)&lt;=0,"",SUM($V132:$AJ132))</f>
        <v>108</v>
      </c>
      <c r="AL132" s="118"/>
      <c r="AM132" s="75" t="n">
        <f aca="false">IF(OR(SUM($AB132)&lt;=0,SUM($G132)&lt;=0),"",ROUND($G132*$AB132,0))</f>
        <v>1</v>
      </c>
      <c r="AN132" s="75" t="str">
        <f aca="false">IF(SUM($AM132)&lt;=0,"",IF(SUM($AL132)&lt;=0,"ENTER VALID YIELD!",ROUND($AM132/$AL132,0)-$AM132))</f>
        <v>ENTER VALID YIELD!</v>
      </c>
      <c r="AO132" s="118"/>
      <c r="AP132" s="75" t="str">
        <f aca="false">IF(OR(SUM($AC132)&lt;=0,SUM($G132)&lt;=0),"",ROUND($G132*$AC132,0))</f>
        <v/>
      </c>
      <c r="AQ132" s="75" t="str">
        <f aca="false">IF(SUM($AP132)&lt;=0,"",IF(SUM($AO132)&lt;=0,"ENTER VALID YIELD!",ROUND($AP132/$AO132,0)-$AP132))</f>
        <v/>
      </c>
      <c r="AR132" s="118"/>
      <c r="AS132" s="75" t="str">
        <f aca="false">IF(OR(SUM($AD132)&lt;=0,SUM($G132)&lt;=0),"",ROUND($G132*$AD132,0))</f>
        <v/>
      </c>
      <c r="AT132" s="75" t="str">
        <f aca="false">IF(SUM($AS132)&lt;=0,"",IF(SUM($AR132)&lt;=0,"ENTER VALID YIELD!",ROUND($AS132/$AR132,0)-$AS132))</f>
        <v/>
      </c>
      <c r="AU132" s="118"/>
      <c r="AV132" s="75" t="n">
        <f aca="false">IF(OR(SUM($AE132)&lt;=0,SUM($G132)&lt;=0),"",ROUND($G132*$AE132,0))</f>
        <v>33</v>
      </c>
      <c r="AW132" s="75" t="str">
        <f aca="false">IF(SUM($AV132)&lt;=0,"",IF(SUM($AU132)&lt;=0,"ENTER VALID YIELD!",ROUND($AV132/$AU132,0)-$AV132))</f>
        <v>ENTER VALID YIELD!</v>
      </c>
      <c r="AX132" s="118"/>
      <c r="AY132" s="75" t="n">
        <f aca="false">IF(OR(SUM($AF132)&lt;=0,SUM($G132)&lt;=0),"",ROUND($G132*$AF132,0))</f>
        <v>2</v>
      </c>
      <c r="AZ132" s="75" t="str">
        <f aca="false">IF(SUM($AY132)&lt;=0,"",IF(SUM($AX132)&lt;=0,"ENTER VALID YIELD!",ROUND($AY132/$AX132,0)-$AY132))</f>
        <v>ENTER VALID YIELD!</v>
      </c>
      <c r="BA132" s="118" t="n">
        <v>36</v>
      </c>
      <c r="BB132" s="75" t="n">
        <f aca="false">IF(OR(SUM($AG132)&lt;=0,SUM($G132)&lt;=0),"",ROUND($G132*$AG132,0))</f>
        <v>23</v>
      </c>
      <c r="BC132" s="75" t="n">
        <f aca="false">IF(SUM($BB132)&lt;=0,"",IF(SUM($BA132)&lt;=0,"ENTER VALID YIELD!",ROUND($BB132/$BA132,0)-$BB132))</f>
        <v>-22</v>
      </c>
      <c r="BD132" s="118"/>
      <c r="BE132" s="75" t="n">
        <f aca="false">IF(OR(SUM($AH132)&lt;=0,SUM($G132)&lt;=0),"",ROUND($G132*$AH132,0))</f>
        <v>17</v>
      </c>
      <c r="BF132" s="75" t="str">
        <f aca="false">IF(SUM($BE132)&lt;=0,"",IF(SUM($BD132)&lt;=0,"ENTER VALID YIELD!",ROUND($BE132/$BD132,0)-$BE132))</f>
        <v>ENTER VALID YIELD!</v>
      </c>
      <c r="BG132" s="118" t="n">
        <v>42</v>
      </c>
      <c r="BH132" s="75" t="n">
        <f aca="false">IF(OR(SUM($AI132)&lt;=0,SUM($G132)&lt;=0),"",ROUND($G132*$AI132,0))</f>
        <v>27</v>
      </c>
      <c r="BI132" s="75" t="n">
        <f aca="false">IF(SUM($BH132)&lt;=0,"",IF(SUM($BG132)&lt;=0,"ENTER VALID YIELD!",ROUND($BH132/$BG132,0)-$BH132))</f>
        <v>-26</v>
      </c>
      <c r="BJ132" s="118" t="n">
        <v>32</v>
      </c>
      <c r="BK132" s="75" t="n">
        <f aca="false">IF(OR(SUM($AJ132)&lt;=0,SUM($G132)&lt;=0),"",ROUND($G132*$AJ132,0))</f>
        <v>4</v>
      </c>
      <c r="BL132" s="75" t="n">
        <f aca="false">IF(SUM($BK132)&lt;=0,"",IF(SUM($BJ132)&lt;=0,"ENTER VALID YIELD!",ROUND($BK132/$BJ132,0)-$BK132))</f>
        <v>-4</v>
      </c>
      <c r="BM132" s="73" t="n">
        <f aca="false">IF(SUM($G132)&lt;=0,"",$G132)</f>
        <v>1</v>
      </c>
      <c r="BN132" s="73" t="n">
        <f aca="false">IF(SUM($G132)&lt;=0,"",SUM($I132:$L132,$Q132,$S132,$AM132,$AP132,$AS132,$AV132,$AY132,$BB132,$BE132,$BH132,$BK132))</f>
        <v>108</v>
      </c>
      <c r="BO132" s="73" t="n">
        <f aca="false">IF(AND(SUM($BN132)&lt;=0,SUM($BM132)&lt;=0),"",SUM($BN132)-SUM($BM132))</f>
        <v>107</v>
      </c>
      <c r="BP132" s="73" t="str">
        <f aca="false">_xlfn.IFNA(INDEX(PMTCT!$AF:$AF,MATCH($E132,PMTCT!$E:$E,0)),"")</f>
        <v/>
      </c>
      <c r="BQ132" s="73" t="str">
        <f aca="false">_xlfn.IFNA(INDEX(PMTCT!$AV:$AV,MATCH($E132,PMTCT!$E:$E,0)),"")</f>
        <v/>
      </c>
      <c r="BR132" s="73" t="n">
        <f aca="false">_xlfn.IFNA(INDEX(TB!$R:$R,MATCH($E132,TB!$E:$E,0)),"")</f>
        <v>-1974</v>
      </c>
      <c r="BS132" s="73" t="str">
        <f aca="false">_xlfn.IFNA(INDEX(VMMC!$AD:$AD,MATCH($E132,VMMC!$E:$E,0)),"")</f>
        <v/>
      </c>
      <c r="BT132" s="73" t="n">
        <f aca="false">IF(SUM($R132,$T132,$AN132,$AQ132,$AT132,$AW132,$AZ132,$BC132,$BF132,$BI132,$BL132,$BP132:$BS132)=0,"",SUM($R132,$T132,$AN132,$AQ132,$AT132,$AW132,$AZ132,$BC132,$BF132,$BI132,$BL132,$BP132:$BS132))</f>
        <v>-2026</v>
      </c>
      <c r="BU132" s="73" t="n">
        <f aca="false">IF(OR(SUM($BT132)=0,SUM($BN132)=0),"",SUM($BT132,$BN132))</f>
        <v>-1918</v>
      </c>
      <c r="BV132" s="118" t="n">
        <f aca="false">IF(SUM($BU132)=0,"",SUM($BN132)/$BU132)</f>
        <v>-0.0563086548488008</v>
      </c>
      <c r="BW132" s="73" t="n">
        <v>30</v>
      </c>
      <c r="BX132" s="118" t="n">
        <f aca="false">IF(OR($C132="01-04",$C132="05-09"),"",0%)</f>
        <v>0</v>
      </c>
      <c r="BY132" s="75" t="n">
        <f aca="false">IF(OR($C132="01-04",$C132="05-09",SUM($BW132)=0),"",ROUND($BW132*(1+$BX132),0))</f>
        <v>30</v>
      </c>
    </row>
    <row r="133" customFormat="false" ht="15" hidden="false" customHeight="false" outlineLevel="0" collapsed="false">
      <c r="A133" s="0" t="s">
        <v>146</v>
      </c>
      <c r="B133" s="0" t="s">
        <v>45</v>
      </c>
      <c r="C133" s="0" t="s">
        <v>66</v>
      </c>
      <c r="D133" s="0" t="s">
        <v>56</v>
      </c>
      <c r="E133" s="0" t="str">
        <f aca="false">B133&amp;"|"&amp;C133&amp;"|"&amp;D133</f>
        <v>Maseru [#SNU] [#DREAMS] [tKOXiaNhAyJ]|20-24|Female</v>
      </c>
      <c r="F133" s="118" t="n">
        <f aca="false">_xlfn.IFNA(INDEX(Cascade!$Y:$Y,MATCH($E133,Cascade!$E:$E,0)),"")</f>
        <v>0.626175759204515</v>
      </c>
      <c r="G133" s="73" t="n">
        <f aca="false">_xlfn.IFNA(INDEX(Cascade!$BD:$BD,MATCH($E133,Cascade!$E:$E,0)),"")</f>
        <v>9</v>
      </c>
      <c r="H133" s="73" t="n">
        <f aca="false">_xlfn.IFNA(INDEX(Cascade!$BE:$BE,MATCH($E133,Cascade!$E:$E,0)),"")</f>
        <v>3</v>
      </c>
      <c r="I133" s="73" t="n">
        <f aca="false">_xlfn.IFNA(INDEX(Cascade!$BF:$BF,MATCH($E133,Cascade!$E:$E,0)),"")</f>
        <v>-414</v>
      </c>
      <c r="J133" s="73" t="str">
        <f aca="false">_xlfn.IFNA(INDEX(Cascade!$BG:$BG,MATCH($E133,Cascade!$E:$E,0)),"")</f>
        <v/>
      </c>
      <c r="K133" s="73" t="str">
        <f aca="false">_xlfn.IFNA(INDEX(Cascade!$BH:$BH,MATCH($E133,Cascade!$E:$E,0)),"")</f>
        <v/>
      </c>
      <c r="L133" s="73" t="str">
        <f aca="false">_xlfn.IFNA(INDEX(Cascade!$BI:$BI,MATCH($E133,Cascade!$E:$E,0)),"")</f>
        <v/>
      </c>
      <c r="M133" s="73" t="n">
        <f aca="false">_xlfn.IFNA(INDEX(Cascade!$BK:$BK,MATCH($E133,Cascade!$E:$E,0)),"")</f>
        <v>420</v>
      </c>
      <c r="N133" s="118" t="n">
        <v>3</v>
      </c>
      <c r="O133" s="118" t="n">
        <v>5</v>
      </c>
      <c r="P133" s="118" t="n">
        <v>11</v>
      </c>
      <c r="Q133" s="75" t="n">
        <f aca="false">IF(OR(SUM($H133)=0,SUM($N133)=0,SUM($O133)=0),"",ROUND($H133*$N133,0))</f>
        <v>9</v>
      </c>
      <c r="R133" s="75" t="n">
        <f aca="false">IF(OR(SUM($Q133)=0,SUM($O133)=0),"",ROUND(SUM($Q133)/SUM($O133),0)-SUM($Q133))</f>
        <v>-7</v>
      </c>
      <c r="S133" s="75" t="n">
        <f aca="false">IF(SUM($H133)=0,"",SUM($H133)-SUM($Q133))</f>
        <v>-6</v>
      </c>
      <c r="T133" s="75" t="str">
        <f aca="false">IF(OR(SUM($S133)=0,$N133&gt;1,SUM($P133)&lt;=0),"",ROUND($S133/$P133,0)-$S133)</f>
        <v/>
      </c>
      <c r="U133" s="118" t="n">
        <f aca="false">IF(SUM($G133)&lt;=0,"",SUM($Q133,$S133)/$G133)</f>
        <v>0.333333333333333</v>
      </c>
      <c r="V133" s="118" t="n">
        <f aca="false">IF(OR(SUM($Q133)=0,SUM($G133)=0),"",SUM($Q133)/SUM($G133))</f>
        <v>1</v>
      </c>
      <c r="W133" s="118" t="n">
        <f aca="false">IF(OR(SUM($S133)=0,SUM($G133)=0),"",SUM($S133)/SUM($G133))</f>
        <v>-0.666666666666667</v>
      </c>
      <c r="X133" s="118" t="n">
        <f aca="false">IF(OR(SUM($G133)=0,SUM($I133)=0),"",SUM($I133)/SUM($G133))</f>
        <v>-46</v>
      </c>
      <c r="Y133" s="118" t="str">
        <f aca="false">IF(OR(SUM($G133)=0,SUM($J133)=0),"",SUM($J133)/SUM($G133))</f>
        <v/>
      </c>
      <c r="Z133" s="118" t="str">
        <f aca="false">IF(OR(SUM($G133)=0,SUM($K133)=0),"",SUM($K133)/SUM($G133))</f>
        <v/>
      </c>
      <c r="AA133" s="118" t="str">
        <f aca="false">IF(OR(SUM($G133)=0,SUM($L133)=0),"",SUM($L133)/SUM($G133))</f>
        <v/>
      </c>
      <c r="AB133" s="118" t="n">
        <v>15</v>
      </c>
      <c r="AC133" s="118"/>
      <c r="AD133" s="118"/>
      <c r="AE133" s="118" t="n">
        <v>28</v>
      </c>
      <c r="AF133" s="118" t="n">
        <v>31</v>
      </c>
      <c r="AG133" s="118" t="n">
        <v>30</v>
      </c>
      <c r="AH133" s="118" t="n">
        <v>3</v>
      </c>
      <c r="AI133" s="118" t="n">
        <v>34</v>
      </c>
      <c r="AJ133" s="118" t="n">
        <v>44</v>
      </c>
      <c r="AK133" s="118" t="n">
        <f aca="false">IF(SUM($G133)&lt;=0,"",SUM($V133:$AJ133))</f>
        <v>139.333333333333</v>
      </c>
      <c r="AL133" s="118" t="n">
        <v>45</v>
      </c>
      <c r="AM133" s="75" t="n">
        <f aca="false">IF(OR(SUM($AB133)&lt;=0,SUM($G133)&lt;=0),"",ROUND($G133*$AB133,0))</f>
        <v>135</v>
      </c>
      <c r="AN133" s="75" t="n">
        <f aca="false">IF(SUM($AM133)&lt;=0,"",IF(SUM($AL133)&lt;=0,"ENTER VALID YIELD!",ROUND($AM133/$AL133,0)-$AM133))</f>
        <v>-132</v>
      </c>
      <c r="AO133" s="118"/>
      <c r="AP133" s="75" t="str">
        <f aca="false">IF(OR(SUM($AC133)&lt;=0,SUM($G133)&lt;=0),"",ROUND($G133*$AC133,0))</f>
        <v/>
      </c>
      <c r="AQ133" s="75" t="str">
        <f aca="false">IF(SUM($AP133)&lt;=0,"",IF(SUM($AO133)&lt;=0,"ENTER VALID YIELD!",ROUND($AP133/$AO133,0)-$AP133))</f>
        <v/>
      </c>
      <c r="AR133" s="118"/>
      <c r="AS133" s="75" t="str">
        <f aca="false">IF(OR(SUM($AD133)&lt;=0,SUM($G133)&lt;=0),"",ROUND($G133*$AD133,0))</f>
        <v/>
      </c>
      <c r="AT133" s="75" t="str">
        <f aca="false">IF(SUM($AS133)&lt;=0,"",IF(SUM($AR133)&lt;=0,"ENTER VALID YIELD!",ROUND($AS133/$AR133,0)-$AS133))</f>
        <v/>
      </c>
      <c r="AU133" s="118"/>
      <c r="AV133" s="75" t="n">
        <f aca="false">IF(OR(SUM($AE133)&lt;=0,SUM($G133)&lt;=0),"",ROUND($G133*$AE133,0))</f>
        <v>252</v>
      </c>
      <c r="AW133" s="75" t="str">
        <f aca="false">IF(SUM($AV133)&lt;=0,"",IF(SUM($AU133)&lt;=0,"ENTER VALID YIELD!",ROUND($AV133/$AU133,0)-$AV133))</f>
        <v>ENTER VALID YIELD!</v>
      </c>
      <c r="AX133" s="118"/>
      <c r="AY133" s="75" t="n">
        <f aca="false">IF(OR(SUM($AF133)&lt;=0,SUM($G133)&lt;=0),"",ROUND($G133*$AF133,0))</f>
        <v>279</v>
      </c>
      <c r="AZ133" s="75" t="str">
        <f aca="false">IF(SUM($AY133)&lt;=0,"",IF(SUM($AX133)&lt;=0,"ENTER VALID YIELD!",ROUND($AY133/$AX133,0)-$AY133))</f>
        <v>ENTER VALID YIELD!</v>
      </c>
      <c r="BA133" s="118" t="n">
        <v>47</v>
      </c>
      <c r="BB133" s="75" t="n">
        <f aca="false">IF(OR(SUM($AG133)&lt;=0,SUM($G133)&lt;=0),"",ROUND($G133*$AG133,0))</f>
        <v>270</v>
      </c>
      <c r="BC133" s="75" t="n">
        <f aca="false">IF(SUM($BB133)&lt;=0,"",IF(SUM($BA133)&lt;=0,"ENTER VALID YIELD!",ROUND($BB133/$BA133,0)-$BB133))</f>
        <v>-264</v>
      </c>
      <c r="BD133" s="118"/>
      <c r="BE133" s="75" t="n">
        <f aca="false">IF(OR(SUM($AH133)&lt;=0,SUM($G133)&lt;=0),"",ROUND($G133*$AH133,0))</f>
        <v>27</v>
      </c>
      <c r="BF133" s="75" t="str">
        <f aca="false">IF(SUM($BE133)&lt;=0,"",IF(SUM($BD133)&lt;=0,"ENTER VALID YIELD!",ROUND($BE133/$BD133,0)-$BE133))</f>
        <v>ENTER VALID YIELD!</v>
      </c>
      <c r="BG133" s="118" t="n">
        <v>1</v>
      </c>
      <c r="BH133" s="75" t="n">
        <f aca="false">IF(OR(SUM($AI133)&lt;=0,SUM($G133)&lt;=0),"",ROUND($G133*$AI133,0))</f>
        <v>306</v>
      </c>
      <c r="BI133" s="75" t="n">
        <f aca="false">IF(SUM($BH133)&lt;=0,"",IF(SUM($BG133)&lt;=0,"ENTER VALID YIELD!",ROUND($BH133/$BG133,0)-$BH133))</f>
        <v>0</v>
      </c>
      <c r="BJ133" s="118" t="n">
        <v>11</v>
      </c>
      <c r="BK133" s="75" t="n">
        <f aca="false">IF(OR(SUM($AJ133)&lt;=0,SUM($G133)&lt;=0),"",ROUND($G133*$AJ133,0))</f>
        <v>396</v>
      </c>
      <c r="BL133" s="75" t="n">
        <f aca="false">IF(SUM($BK133)&lt;=0,"",IF(SUM($BJ133)&lt;=0,"ENTER VALID YIELD!",ROUND($BK133/$BJ133,0)-$BK133))</f>
        <v>-360</v>
      </c>
      <c r="BM133" s="73" t="n">
        <f aca="false">IF(SUM($G133)&lt;=0,"",$G133)</f>
        <v>9</v>
      </c>
      <c r="BN133" s="73" t="n">
        <f aca="false">IF(SUM($G133)&lt;=0,"",SUM($I133:$L133,$Q133,$S133,$AM133,$AP133,$AS133,$AV133,$AY133,$BB133,$BE133,$BH133,$BK133))</f>
        <v>1254</v>
      </c>
      <c r="BO133" s="73" t="n">
        <f aca="false">IF(AND(SUM($BN133)&lt;=0,SUM($BM133)&lt;=0),"",SUM($BN133)-SUM($BM133))</f>
        <v>1245</v>
      </c>
      <c r="BP133" s="73" t="n">
        <f aca="false">_xlfn.IFNA(INDEX(PMTCT!$AF:$AF,MATCH($E133,PMTCT!$E:$E,0)),"")</f>
        <v>276</v>
      </c>
      <c r="BQ133" s="73" t="str">
        <f aca="false">_xlfn.IFNA(INDEX(PMTCT!$AV:$AV,MATCH($E133,PMTCT!$E:$E,0)),"")</f>
        <v/>
      </c>
      <c r="BR133" s="73" t="str">
        <f aca="false">_xlfn.IFNA(INDEX(TB!$R:$R,MATCH($E133,TB!$E:$E,0)),"")</f>
        <v/>
      </c>
      <c r="BS133" s="73" t="str">
        <f aca="false">_xlfn.IFNA(INDEX(VMMC!$AD:$AD,MATCH($E133,VMMC!$E:$E,0)),"")</f>
        <v/>
      </c>
      <c r="BT133" s="73" t="n">
        <f aca="false">IF(SUM($R133,$T133,$AN133,$AQ133,$AT133,$AW133,$AZ133,$BC133,$BF133,$BI133,$BL133,$BP133:$BS133)=0,"",SUM($R133,$T133,$AN133,$AQ133,$AT133,$AW133,$AZ133,$BC133,$BF133,$BI133,$BL133,$BP133:$BS133))</f>
        <v>-487</v>
      </c>
      <c r="BU133" s="73" t="n">
        <f aca="false">IF(OR(SUM($BT133)=0,SUM($BN133)=0),"",SUM($BT133,$BN133))</f>
        <v>767</v>
      </c>
      <c r="BV133" s="118" t="n">
        <f aca="false">IF(SUM($BU133)=0,"",SUM($BN133)/$BU133)</f>
        <v>1.63494132985658</v>
      </c>
      <c r="BW133" s="73" t="n">
        <v>43</v>
      </c>
      <c r="BX133" s="118" t="n">
        <f aca="false">IF(OR($C133="01-04",$C133="05-09"),"",0%)</f>
        <v>0</v>
      </c>
      <c r="BY133" s="75" t="n">
        <f aca="false">IF(OR($C133="01-04",$C133="05-09",SUM($BW133)=0),"",ROUND($BW133*(1+$BX133),0))</f>
        <v>43</v>
      </c>
    </row>
    <row r="134" customFormat="false" ht="15" hidden="false" customHeight="false" outlineLevel="0" collapsed="false">
      <c r="A134" s="0" t="s">
        <v>146</v>
      </c>
      <c r="B134" s="0" t="s">
        <v>45</v>
      </c>
      <c r="C134" s="0" t="s">
        <v>66</v>
      </c>
      <c r="D134" s="0" t="s">
        <v>58</v>
      </c>
      <c r="E134" s="0" t="str">
        <f aca="false">B134&amp;"|"&amp;C134&amp;"|"&amp;D134</f>
        <v>Maseru [#SNU] [#DREAMS] [tKOXiaNhAyJ]|20-24|Male</v>
      </c>
      <c r="F134" s="118" t="n">
        <f aca="false">_xlfn.IFNA(INDEX(Cascade!$Y:$Y,MATCH($E134,Cascade!$E:$E,0)),"")</f>
        <v>0.588009223674097</v>
      </c>
      <c r="G134" s="73" t="n">
        <f aca="false">_xlfn.IFNA(INDEX(Cascade!$BD:$BD,MATCH($E134,Cascade!$E:$E,0)),"")</f>
        <v>9</v>
      </c>
      <c r="H134" s="73" t="n">
        <f aca="false">_xlfn.IFNA(INDEX(Cascade!$BE:$BE,MATCH($E134,Cascade!$E:$E,0)),"")</f>
        <v>3</v>
      </c>
      <c r="I134" s="73" t="str">
        <f aca="false">_xlfn.IFNA(INDEX(Cascade!$BF:$BF,MATCH($E134,Cascade!$E:$E,0)),"")</f>
        <v/>
      </c>
      <c r="J134" s="73" t="str">
        <f aca="false">_xlfn.IFNA(INDEX(Cascade!$BG:$BG,MATCH($E134,Cascade!$E:$E,0)),"")</f>
        <v/>
      </c>
      <c r="K134" s="73" t="n">
        <f aca="false">_xlfn.IFNA(INDEX(Cascade!$BH:$BH,MATCH($E134,Cascade!$E:$E,0)),"")</f>
        <v>-63140</v>
      </c>
      <c r="L134" s="73" t="str">
        <f aca="false">_xlfn.IFNA(INDEX(Cascade!$BI:$BI,MATCH($E134,Cascade!$E:$E,0)),"")</f>
        <v/>
      </c>
      <c r="M134" s="73" t="n">
        <f aca="false">_xlfn.IFNA(INDEX(Cascade!$BK:$BK,MATCH($E134,Cascade!$E:$E,0)),"")</f>
        <v>63146</v>
      </c>
      <c r="N134" s="118" t="n">
        <v>24</v>
      </c>
      <c r="O134" s="118" t="n">
        <v>16</v>
      </c>
      <c r="P134" s="118" t="n">
        <v>20</v>
      </c>
      <c r="Q134" s="75" t="n">
        <f aca="false">IF(OR(SUM($H134)=0,SUM($N134)=0,SUM($O134)=0),"",ROUND($H134*$N134,0))</f>
        <v>72</v>
      </c>
      <c r="R134" s="75" t="n">
        <f aca="false">IF(OR(SUM($Q134)=0,SUM($O134)=0),"",ROUND(SUM($Q134)/SUM($O134),0)-SUM($Q134))</f>
        <v>-67</v>
      </c>
      <c r="S134" s="75" t="n">
        <f aca="false">IF(SUM($H134)=0,"",SUM($H134)-SUM($Q134))</f>
        <v>-69</v>
      </c>
      <c r="T134" s="75" t="str">
        <f aca="false">IF(OR(SUM($S134)=0,$N134&gt;1,SUM($P134)&lt;=0),"",ROUND($S134/$P134,0)-$S134)</f>
        <v/>
      </c>
      <c r="U134" s="118" t="n">
        <f aca="false">IF(SUM($G134)&lt;=0,"",SUM($Q134,$S134)/$G134)</f>
        <v>0.333333333333333</v>
      </c>
      <c r="V134" s="118" t="n">
        <f aca="false">IF(OR(SUM($Q134)=0,SUM($G134)=0),"",SUM($Q134)/SUM($G134))</f>
        <v>8</v>
      </c>
      <c r="W134" s="118" t="n">
        <f aca="false">IF(OR(SUM($S134)=0,SUM($G134)=0),"",SUM($S134)/SUM($G134))</f>
        <v>-7.66666666666667</v>
      </c>
      <c r="X134" s="118" t="str">
        <f aca="false">IF(OR(SUM($G134)=0,SUM($I134)=0),"",SUM($I134)/SUM($G134))</f>
        <v/>
      </c>
      <c r="Y134" s="118" t="str">
        <f aca="false">IF(OR(SUM($G134)=0,SUM($J134)=0),"",SUM($J134)/SUM($G134))</f>
        <v/>
      </c>
      <c r="Z134" s="118" t="n">
        <f aca="false">IF(OR(SUM($G134)=0,SUM($K134)=0),"",SUM($K134)/SUM($G134))</f>
        <v>-7015.55555555556</v>
      </c>
      <c r="AA134" s="118" t="str">
        <f aca="false">IF(OR(SUM($G134)=0,SUM($L134)=0),"",SUM($L134)/SUM($G134))</f>
        <v/>
      </c>
      <c r="AB134" s="118" t="n">
        <v>45</v>
      </c>
      <c r="AC134" s="118"/>
      <c r="AD134" s="118"/>
      <c r="AE134" s="118" t="n">
        <v>35</v>
      </c>
      <c r="AF134" s="118" t="n">
        <v>26</v>
      </c>
      <c r="AG134" s="118" t="n">
        <v>0</v>
      </c>
      <c r="AH134" s="118" t="n">
        <v>14</v>
      </c>
      <c r="AI134" s="118" t="n">
        <v>18</v>
      </c>
      <c r="AJ134" s="118" t="n">
        <v>46</v>
      </c>
      <c r="AK134" s="118" t="n">
        <f aca="false">IF(SUM($G134)&lt;=0,"",SUM($V134:$AJ134))</f>
        <v>-6831.22222222222</v>
      </c>
      <c r="AL134" s="118" t="n">
        <v>0</v>
      </c>
      <c r="AM134" s="75" t="n">
        <f aca="false">IF(OR(SUM($AB134)&lt;=0,SUM($G134)&lt;=0),"",ROUND($G134*$AB134,0))</f>
        <v>405</v>
      </c>
      <c r="AN134" s="75" t="str">
        <f aca="false">IF(SUM($AM134)&lt;=0,"",IF(SUM($AL134)&lt;=0,"ENTER VALID YIELD!",ROUND($AM134/$AL134,0)-$AM134))</f>
        <v>ENTER VALID YIELD!</v>
      </c>
      <c r="AO134" s="118"/>
      <c r="AP134" s="75" t="str">
        <f aca="false">IF(OR(SUM($AC134)&lt;=0,SUM($G134)&lt;=0),"",ROUND($G134*$AC134,0))</f>
        <v/>
      </c>
      <c r="AQ134" s="75" t="str">
        <f aca="false">IF(SUM($AP134)&lt;=0,"",IF(SUM($AO134)&lt;=0,"ENTER VALID YIELD!",ROUND($AP134/$AO134,0)-$AP134))</f>
        <v/>
      </c>
      <c r="AR134" s="118"/>
      <c r="AS134" s="75" t="str">
        <f aca="false">IF(OR(SUM($AD134)&lt;=0,SUM($G134)&lt;=0),"",ROUND($G134*$AD134,0))</f>
        <v/>
      </c>
      <c r="AT134" s="75" t="str">
        <f aca="false">IF(SUM($AS134)&lt;=0,"",IF(SUM($AR134)&lt;=0,"ENTER VALID YIELD!",ROUND($AS134/$AR134,0)-$AS134))</f>
        <v/>
      </c>
      <c r="AU134" s="118"/>
      <c r="AV134" s="75" t="n">
        <f aca="false">IF(OR(SUM($AE134)&lt;=0,SUM($G134)&lt;=0),"",ROUND($G134*$AE134,0))</f>
        <v>315</v>
      </c>
      <c r="AW134" s="75" t="str">
        <f aca="false">IF(SUM($AV134)&lt;=0,"",IF(SUM($AU134)&lt;=0,"ENTER VALID YIELD!",ROUND($AV134/$AU134,0)-$AV134))</f>
        <v>ENTER VALID YIELD!</v>
      </c>
      <c r="AX134" s="118"/>
      <c r="AY134" s="75" t="n">
        <f aca="false">IF(OR(SUM($AF134)&lt;=0,SUM($G134)&lt;=0),"",ROUND($G134*$AF134,0))</f>
        <v>234</v>
      </c>
      <c r="AZ134" s="75" t="str">
        <f aca="false">IF(SUM($AY134)&lt;=0,"",IF(SUM($AX134)&lt;=0,"ENTER VALID YIELD!",ROUND($AY134/$AX134,0)-$AY134))</f>
        <v>ENTER VALID YIELD!</v>
      </c>
      <c r="BA134" s="118" t="n">
        <v>31</v>
      </c>
      <c r="BB134" s="75" t="str">
        <f aca="false">IF(OR(SUM($AG134)&lt;=0,SUM($G134)&lt;=0),"",ROUND($G134*$AG134,0))</f>
        <v/>
      </c>
      <c r="BC134" s="75" t="str">
        <f aca="false">IF(SUM($BB134)&lt;=0,"",IF(SUM($BA134)&lt;=0,"ENTER VALID YIELD!",ROUND($BB134/$BA134,0)-$BB134))</f>
        <v/>
      </c>
      <c r="BD134" s="118"/>
      <c r="BE134" s="75" t="n">
        <f aca="false">IF(OR(SUM($AH134)&lt;=0,SUM($G134)&lt;=0),"",ROUND($G134*$AH134,0))</f>
        <v>126</v>
      </c>
      <c r="BF134" s="75" t="str">
        <f aca="false">IF(SUM($BE134)&lt;=0,"",IF(SUM($BD134)&lt;=0,"ENTER VALID YIELD!",ROUND($BE134/$BD134,0)-$BE134))</f>
        <v>ENTER VALID YIELD!</v>
      </c>
      <c r="BG134" s="118" t="n">
        <v>48</v>
      </c>
      <c r="BH134" s="75" t="n">
        <f aca="false">IF(OR(SUM($AI134)&lt;=0,SUM($G134)&lt;=0),"",ROUND($G134*$AI134,0))</f>
        <v>162</v>
      </c>
      <c r="BI134" s="75" t="n">
        <f aca="false">IF(SUM($BH134)&lt;=0,"",IF(SUM($BG134)&lt;=0,"ENTER VALID YIELD!",ROUND($BH134/$BG134,0)-$BH134))</f>
        <v>-159</v>
      </c>
      <c r="BJ134" s="118" t="n">
        <v>23</v>
      </c>
      <c r="BK134" s="75" t="n">
        <f aca="false">IF(OR(SUM($AJ134)&lt;=0,SUM($G134)&lt;=0),"",ROUND($G134*$AJ134,0))</f>
        <v>414</v>
      </c>
      <c r="BL134" s="75" t="n">
        <f aca="false">IF(SUM($BK134)&lt;=0,"",IF(SUM($BJ134)&lt;=0,"ENTER VALID YIELD!",ROUND($BK134/$BJ134,0)-$BK134))</f>
        <v>-396</v>
      </c>
      <c r="BM134" s="73" t="n">
        <f aca="false">IF(SUM($G134)&lt;=0,"",$G134)</f>
        <v>9</v>
      </c>
      <c r="BN134" s="73" t="n">
        <f aca="false">IF(SUM($G134)&lt;=0,"",SUM($I134:$L134,$Q134,$S134,$AM134,$AP134,$AS134,$AV134,$AY134,$BB134,$BE134,$BH134,$BK134))</f>
        <v>-61481</v>
      </c>
      <c r="BO134" s="73" t="n">
        <f aca="false">IF(AND(SUM($BN134)&lt;=0,SUM($BM134)&lt;=0),"",SUM($BN134)-SUM($BM134))</f>
        <v>-61490</v>
      </c>
      <c r="BP134" s="73" t="str">
        <f aca="false">_xlfn.IFNA(INDEX(PMTCT!$AF:$AF,MATCH($E134,PMTCT!$E:$E,0)),"")</f>
        <v/>
      </c>
      <c r="BQ134" s="73" t="str">
        <f aca="false">_xlfn.IFNA(INDEX(PMTCT!$AV:$AV,MATCH($E134,PMTCT!$E:$E,0)),"")</f>
        <v/>
      </c>
      <c r="BR134" s="73" t="n">
        <f aca="false">_xlfn.IFNA(INDEX(TB!$R:$R,MATCH($E134,TB!$E:$E,0)),"")</f>
        <v>61600</v>
      </c>
      <c r="BS134" s="73" t="str">
        <f aca="false">_xlfn.IFNA(INDEX(VMMC!$AD:$AD,MATCH($E134,VMMC!$E:$E,0)),"")</f>
        <v/>
      </c>
      <c r="BT134" s="73" t="n">
        <f aca="false">IF(SUM($R134,$T134,$AN134,$AQ134,$AT134,$AW134,$AZ134,$BC134,$BF134,$BI134,$BL134,$BP134:$BS134)=0,"",SUM($R134,$T134,$AN134,$AQ134,$AT134,$AW134,$AZ134,$BC134,$BF134,$BI134,$BL134,$BP134:$BS134))</f>
        <v>60978</v>
      </c>
      <c r="BU134" s="73" t="n">
        <f aca="false">IF(OR(SUM($BT134)=0,SUM($BN134)=0),"",SUM($BT134,$BN134))</f>
        <v>-503</v>
      </c>
      <c r="BV134" s="118" t="n">
        <f aca="false">IF(SUM($BU134)=0,"",SUM($BN134)/$BU134)</f>
        <v>122.228628230616</v>
      </c>
      <c r="BW134" s="73" t="n">
        <v>42</v>
      </c>
      <c r="BX134" s="118" t="n">
        <f aca="false">IF(OR($C134="01-04",$C134="05-09"),"",0%)</f>
        <v>0</v>
      </c>
      <c r="BY134" s="75" t="n">
        <f aca="false">IF(OR($C134="01-04",$C134="05-09",SUM($BW134)=0),"",ROUND($BW134*(1+$BX134),0))</f>
        <v>42</v>
      </c>
    </row>
    <row r="135" customFormat="false" ht="15" hidden="false" customHeight="false" outlineLevel="0" collapsed="false">
      <c r="A135" s="0" t="s">
        <v>146</v>
      </c>
      <c r="B135" s="0" t="s">
        <v>45</v>
      </c>
      <c r="C135" s="0" t="s">
        <v>69</v>
      </c>
      <c r="D135" s="0" t="s">
        <v>56</v>
      </c>
      <c r="E135" s="0" t="str">
        <f aca="false">B135&amp;"|"&amp;C135&amp;"|"&amp;D135</f>
        <v>Maseru [#SNU] [#DREAMS] [tKOXiaNhAyJ]|25-29|Female</v>
      </c>
      <c r="F135" s="118" t="n">
        <f aca="false">_xlfn.IFNA(INDEX(Cascade!$Y:$Y,MATCH($E135,Cascade!$E:$E,0)),"")</f>
        <v>0.667383705297123</v>
      </c>
      <c r="G135" s="73" t="n">
        <f aca="false">_xlfn.IFNA(INDEX(Cascade!$BD:$BD,MATCH($E135,Cascade!$E:$E,0)),"")</f>
        <v>2</v>
      </c>
      <c r="H135" s="73" t="n">
        <f aca="false">_xlfn.IFNA(INDEX(Cascade!$BE:$BE,MATCH($E135,Cascade!$E:$E,0)),"")</f>
        <v>1</v>
      </c>
      <c r="I135" s="73" t="n">
        <f aca="false">_xlfn.IFNA(INDEX(Cascade!$BF:$BF,MATCH($E135,Cascade!$E:$E,0)),"")</f>
        <v>-63640</v>
      </c>
      <c r="J135" s="73" t="str">
        <f aca="false">_xlfn.IFNA(INDEX(Cascade!$BG:$BG,MATCH($E135,Cascade!$E:$E,0)),"")</f>
        <v/>
      </c>
      <c r="K135" s="73" t="n">
        <f aca="false">_xlfn.IFNA(INDEX(Cascade!$BH:$BH,MATCH($E135,Cascade!$E:$E,0)),"")</f>
        <v>-2520</v>
      </c>
      <c r="L135" s="73" t="str">
        <f aca="false">_xlfn.IFNA(INDEX(Cascade!$BI:$BI,MATCH($E135,Cascade!$E:$E,0)),"")</f>
        <v/>
      </c>
      <c r="M135" s="73" t="n">
        <f aca="false">_xlfn.IFNA(INDEX(Cascade!$BK:$BK,MATCH($E135,Cascade!$E:$E,0)),"")</f>
        <v>66161</v>
      </c>
      <c r="N135" s="118" t="n">
        <v>23</v>
      </c>
      <c r="O135" s="118" t="n">
        <v>13</v>
      </c>
      <c r="P135" s="118" t="n">
        <v>6</v>
      </c>
      <c r="Q135" s="75" t="n">
        <f aca="false">IF(OR(SUM($H135)=0,SUM($N135)=0,SUM($O135)=0),"",ROUND($H135*$N135,0))</f>
        <v>23</v>
      </c>
      <c r="R135" s="75" t="n">
        <f aca="false">IF(OR(SUM($Q135)=0,SUM($O135)=0),"",ROUND(SUM($Q135)/SUM($O135),0)-SUM($Q135))</f>
        <v>-21</v>
      </c>
      <c r="S135" s="75" t="n">
        <f aca="false">IF(SUM($H135)=0,"",SUM($H135)-SUM($Q135))</f>
        <v>-22</v>
      </c>
      <c r="T135" s="75" t="str">
        <f aca="false">IF(OR(SUM($S135)=0,$N135&gt;1,SUM($P135)&lt;=0),"",ROUND($S135/$P135,0)-$S135)</f>
        <v/>
      </c>
      <c r="U135" s="118" t="n">
        <f aca="false">IF(SUM($G135)&lt;=0,"",SUM($Q135,$S135)/$G135)</f>
        <v>0.5</v>
      </c>
      <c r="V135" s="118" t="n">
        <f aca="false">IF(OR(SUM($Q135)=0,SUM($G135)=0),"",SUM($Q135)/SUM($G135))</f>
        <v>11.5</v>
      </c>
      <c r="W135" s="118" t="n">
        <f aca="false">IF(OR(SUM($S135)=0,SUM($G135)=0),"",SUM($S135)/SUM($G135))</f>
        <v>-11</v>
      </c>
      <c r="X135" s="118" t="n">
        <f aca="false">IF(OR(SUM($G135)=0,SUM($I135)=0),"",SUM($I135)/SUM($G135))</f>
        <v>-31820</v>
      </c>
      <c r="Y135" s="118" t="str">
        <f aca="false">IF(OR(SUM($G135)=0,SUM($J135)=0),"",SUM($J135)/SUM($G135))</f>
        <v/>
      </c>
      <c r="Z135" s="118" t="n">
        <f aca="false">IF(OR(SUM($G135)=0,SUM($K135)=0),"",SUM($K135)/SUM($G135))</f>
        <v>-1260</v>
      </c>
      <c r="AA135" s="118" t="str">
        <f aca="false">IF(OR(SUM($G135)=0,SUM($L135)=0),"",SUM($L135)/SUM($G135))</f>
        <v/>
      </c>
      <c r="AB135" s="118" t="n">
        <v>27</v>
      </c>
      <c r="AC135" s="118"/>
      <c r="AD135" s="118"/>
      <c r="AE135" s="118" t="n">
        <v>8</v>
      </c>
      <c r="AF135" s="118" t="n">
        <v>23</v>
      </c>
      <c r="AG135" s="118" t="n">
        <v>34</v>
      </c>
      <c r="AH135" s="118" t="n">
        <v>13</v>
      </c>
      <c r="AI135" s="118" t="n">
        <v>6</v>
      </c>
      <c r="AJ135" s="118" t="n">
        <v>7</v>
      </c>
      <c r="AK135" s="118" t="n">
        <f aca="false">IF(SUM($G135)&lt;=0,"",SUM($V135:$AJ135))</f>
        <v>-32961.5</v>
      </c>
      <c r="AL135" s="118" t="n">
        <v>30</v>
      </c>
      <c r="AM135" s="75" t="n">
        <f aca="false">IF(OR(SUM($AB135)&lt;=0,SUM($G135)&lt;=0),"",ROUND($G135*$AB135,0))</f>
        <v>54</v>
      </c>
      <c r="AN135" s="75" t="n">
        <f aca="false">IF(SUM($AM135)&lt;=0,"",IF(SUM($AL135)&lt;=0,"ENTER VALID YIELD!",ROUND($AM135/$AL135,0)-$AM135))</f>
        <v>-52</v>
      </c>
      <c r="AO135" s="118"/>
      <c r="AP135" s="75" t="str">
        <f aca="false">IF(OR(SUM($AC135)&lt;=0,SUM($G135)&lt;=0),"",ROUND($G135*$AC135,0))</f>
        <v/>
      </c>
      <c r="AQ135" s="75" t="str">
        <f aca="false">IF(SUM($AP135)&lt;=0,"",IF(SUM($AO135)&lt;=0,"ENTER VALID YIELD!",ROUND($AP135/$AO135,0)-$AP135))</f>
        <v/>
      </c>
      <c r="AR135" s="118"/>
      <c r="AS135" s="75" t="str">
        <f aca="false">IF(OR(SUM($AD135)&lt;=0,SUM($G135)&lt;=0),"",ROUND($G135*$AD135,0))</f>
        <v/>
      </c>
      <c r="AT135" s="75" t="str">
        <f aca="false">IF(SUM($AS135)&lt;=0,"",IF(SUM($AR135)&lt;=0,"ENTER VALID YIELD!",ROUND($AS135/$AR135,0)-$AS135))</f>
        <v/>
      </c>
      <c r="AU135" s="118"/>
      <c r="AV135" s="75" t="n">
        <f aca="false">IF(OR(SUM($AE135)&lt;=0,SUM($G135)&lt;=0),"",ROUND($G135*$AE135,0))</f>
        <v>16</v>
      </c>
      <c r="AW135" s="75" t="str">
        <f aca="false">IF(SUM($AV135)&lt;=0,"",IF(SUM($AU135)&lt;=0,"ENTER VALID YIELD!",ROUND($AV135/$AU135,0)-$AV135))</f>
        <v>ENTER VALID YIELD!</v>
      </c>
      <c r="AX135" s="118"/>
      <c r="AY135" s="75" t="n">
        <f aca="false">IF(OR(SUM($AF135)&lt;=0,SUM($G135)&lt;=0),"",ROUND($G135*$AF135,0))</f>
        <v>46</v>
      </c>
      <c r="AZ135" s="75" t="str">
        <f aca="false">IF(SUM($AY135)&lt;=0,"",IF(SUM($AX135)&lt;=0,"ENTER VALID YIELD!",ROUND($AY135/$AX135,0)-$AY135))</f>
        <v>ENTER VALID YIELD!</v>
      </c>
      <c r="BA135" s="118" t="n">
        <v>29</v>
      </c>
      <c r="BB135" s="75" t="n">
        <f aca="false">IF(OR(SUM($AG135)&lt;=0,SUM($G135)&lt;=0),"",ROUND($G135*$AG135,0))</f>
        <v>68</v>
      </c>
      <c r="BC135" s="75" t="n">
        <f aca="false">IF(SUM($BB135)&lt;=0,"",IF(SUM($BA135)&lt;=0,"ENTER VALID YIELD!",ROUND($BB135/$BA135,0)-$BB135))</f>
        <v>-66</v>
      </c>
      <c r="BD135" s="118"/>
      <c r="BE135" s="75" t="n">
        <f aca="false">IF(OR(SUM($AH135)&lt;=0,SUM($G135)&lt;=0),"",ROUND($G135*$AH135,0))</f>
        <v>26</v>
      </c>
      <c r="BF135" s="75" t="str">
        <f aca="false">IF(SUM($BE135)&lt;=0,"",IF(SUM($BD135)&lt;=0,"ENTER VALID YIELD!",ROUND($BE135/$BD135,0)-$BE135))</f>
        <v>ENTER VALID YIELD!</v>
      </c>
      <c r="BG135" s="118" t="n">
        <v>39</v>
      </c>
      <c r="BH135" s="75" t="n">
        <f aca="false">IF(OR(SUM($AI135)&lt;=0,SUM($G135)&lt;=0),"",ROUND($G135*$AI135,0))</f>
        <v>12</v>
      </c>
      <c r="BI135" s="75" t="n">
        <f aca="false">IF(SUM($BH135)&lt;=0,"",IF(SUM($BG135)&lt;=0,"ENTER VALID YIELD!",ROUND($BH135/$BG135,0)-$BH135))</f>
        <v>-12</v>
      </c>
      <c r="BJ135" s="118" t="n">
        <v>5</v>
      </c>
      <c r="BK135" s="75" t="n">
        <f aca="false">IF(OR(SUM($AJ135)&lt;=0,SUM($G135)&lt;=0),"",ROUND($G135*$AJ135,0))</f>
        <v>14</v>
      </c>
      <c r="BL135" s="75" t="n">
        <f aca="false">IF(SUM($BK135)&lt;=0,"",IF(SUM($BJ135)&lt;=0,"ENTER VALID YIELD!",ROUND($BK135/$BJ135,0)-$BK135))</f>
        <v>-11</v>
      </c>
      <c r="BM135" s="73" t="n">
        <f aca="false">IF(SUM($G135)&lt;=0,"",$G135)</f>
        <v>2</v>
      </c>
      <c r="BN135" s="73" t="n">
        <f aca="false">IF(SUM($G135)&lt;=0,"",SUM($I135:$L135,$Q135,$S135,$AM135,$AP135,$AS135,$AV135,$AY135,$BB135,$BE135,$BH135,$BK135))</f>
        <v>-65923</v>
      </c>
      <c r="BO135" s="73" t="n">
        <f aca="false">IF(AND(SUM($BN135)&lt;=0,SUM($BM135)&lt;=0),"",SUM($BN135)-SUM($BM135))</f>
        <v>-65925</v>
      </c>
      <c r="BP135" s="73" t="n">
        <f aca="false">_xlfn.IFNA(INDEX(PMTCT!$AF:$AF,MATCH($E135,PMTCT!$E:$E,0)),"")</f>
        <v>62160</v>
      </c>
      <c r="BQ135" s="73" t="str">
        <f aca="false">_xlfn.IFNA(INDEX(PMTCT!$AV:$AV,MATCH($E135,PMTCT!$E:$E,0)),"")</f>
        <v/>
      </c>
      <c r="BR135" s="73" t="n">
        <f aca="false">_xlfn.IFNA(INDEX(TB!$R:$R,MATCH($E135,TB!$E:$E,0)),"")</f>
        <v>2160</v>
      </c>
      <c r="BS135" s="73" t="str">
        <f aca="false">_xlfn.IFNA(INDEX(VMMC!$AD:$AD,MATCH($E135,VMMC!$E:$E,0)),"")</f>
        <v/>
      </c>
      <c r="BT135" s="73" t="n">
        <f aca="false">IF(SUM($R135,$T135,$AN135,$AQ135,$AT135,$AW135,$AZ135,$BC135,$BF135,$BI135,$BL135,$BP135:$BS135)=0,"",SUM($R135,$T135,$AN135,$AQ135,$AT135,$AW135,$AZ135,$BC135,$BF135,$BI135,$BL135,$BP135:$BS135))</f>
        <v>64158</v>
      </c>
      <c r="BU135" s="73" t="n">
        <f aca="false">IF(OR(SUM($BT135)=0,SUM($BN135)=0),"",SUM($BT135,$BN135))</f>
        <v>-1765</v>
      </c>
      <c r="BV135" s="118" t="n">
        <f aca="false">IF(SUM($BU135)=0,"",SUM($BN135)/$BU135)</f>
        <v>37.3501416430595</v>
      </c>
      <c r="BW135" s="73" t="n">
        <v>25</v>
      </c>
      <c r="BX135" s="118" t="n">
        <f aca="false">IF(OR($C135="01-04",$C135="05-09"),"",0%)</f>
        <v>0</v>
      </c>
      <c r="BY135" s="75" t="n">
        <f aca="false">IF(OR($C135="01-04",$C135="05-09",SUM($BW135)=0),"",ROUND($BW135*(1+$BX135),0))</f>
        <v>25</v>
      </c>
    </row>
    <row r="136" customFormat="false" ht="15" hidden="false" customHeight="false" outlineLevel="0" collapsed="false">
      <c r="A136" s="0" t="s">
        <v>146</v>
      </c>
      <c r="B136" s="0" t="s">
        <v>45</v>
      </c>
      <c r="C136" s="0" t="s">
        <v>69</v>
      </c>
      <c r="D136" s="0" t="s">
        <v>58</v>
      </c>
      <c r="E136" s="0" t="str">
        <f aca="false">B136&amp;"|"&amp;C136&amp;"|"&amp;D136</f>
        <v>Maseru [#SNU] [#DREAMS] [tKOXiaNhAyJ]|25-29|Male</v>
      </c>
      <c r="F136" s="118" t="n">
        <f aca="false">_xlfn.IFNA(INDEX(Cascade!$Y:$Y,MATCH($E136,Cascade!$E:$E,0)),"")</f>
        <v>0.548523206751055</v>
      </c>
      <c r="G136" s="73" t="n">
        <f aca="false">_xlfn.IFNA(INDEX(Cascade!$BD:$BD,MATCH($E136,Cascade!$E:$E,0)),"")</f>
        <v>20</v>
      </c>
      <c r="H136" s="73" t="n">
        <f aca="false">_xlfn.IFNA(INDEX(Cascade!$BE:$BE,MATCH($E136,Cascade!$E:$E,0)),"")</f>
        <v>6</v>
      </c>
      <c r="I136" s="73" t="str">
        <f aca="false">_xlfn.IFNA(INDEX(Cascade!$BF:$BF,MATCH($E136,Cascade!$E:$E,0)),"")</f>
        <v/>
      </c>
      <c r="J136" s="73" t="str">
        <f aca="false">_xlfn.IFNA(INDEX(Cascade!$BG:$BG,MATCH($E136,Cascade!$E:$E,0)),"")</f>
        <v/>
      </c>
      <c r="K136" s="73" t="n">
        <f aca="false">_xlfn.IFNA(INDEX(Cascade!$BH:$BH,MATCH($E136,Cascade!$E:$E,0)),"")</f>
        <v>-54648</v>
      </c>
      <c r="L136" s="73" t="str">
        <f aca="false">_xlfn.IFNA(INDEX(Cascade!$BI:$BI,MATCH($E136,Cascade!$E:$E,0)),"")</f>
        <v/>
      </c>
      <c r="M136" s="73" t="n">
        <f aca="false">_xlfn.IFNA(INDEX(Cascade!$BK:$BK,MATCH($E136,Cascade!$E:$E,0)),"")</f>
        <v>54662</v>
      </c>
      <c r="N136" s="118" t="n">
        <v>15</v>
      </c>
      <c r="O136" s="118" t="n">
        <v>42</v>
      </c>
      <c r="P136" s="118" t="n">
        <v>9</v>
      </c>
      <c r="Q136" s="75" t="n">
        <f aca="false">IF(OR(SUM($H136)=0,SUM($N136)=0,SUM($O136)=0),"",ROUND($H136*$N136,0))</f>
        <v>90</v>
      </c>
      <c r="R136" s="75" t="n">
        <f aca="false">IF(OR(SUM($Q136)=0,SUM($O136)=0),"",ROUND(SUM($Q136)/SUM($O136),0)-SUM($Q136))</f>
        <v>-88</v>
      </c>
      <c r="S136" s="75" t="n">
        <f aca="false">IF(SUM($H136)=0,"",SUM($H136)-SUM($Q136))</f>
        <v>-84</v>
      </c>
      <c r="T136" s="75" t="str">
        <f aca="false">IF(OR(SUM($S136)=0,$N136&gt;1,SUM($P136)&lt;=0),"",ROUND($S136/$P136,0)-$S136)</f>
        <v/>
      </c>
      <c r="U136" s="118" t="n">
        <f aca="false">IF(SUM($G136)&lt;=0,"",SUM($Q136,$S136)/$G136)</f>
        <v>0.3</v>
      </c>
      <c r="V136" s="118" t="n">
        <f aca="false">IF(OR(SUM($Q136)=0,SUM($G136)=0),"",SUM($Q136)/SUM($G136))</f>
        <v>4.5</v>
      </c>
      <c r="W136" s="118" t="n">
        <f aca="false">IF(OR(SUM($S136)=0,SUM($G136)=0),"",SUM($S136)/SUM($G136))</f>
        <v>-4.2</v>
      </c>
      <c r="X136" s="118" t="str">
        <f aca="false">IF(OR(SUM($G136)=0,SUM($I136)=0),"",SUM($I136)/SUM($G136))</f>
        <v/>
      </c>
      <c r="Y136" s="118" t="str">
        <f aca="false">IF(OR(SUM($G136)=0,SUM($J136)=0),"",SUM($J136)/SUM($G136))</f>
        <v/>
      </c>
      <c r="Z136" s="118" t="n">
        <f aca="false">IF(OR(SUM($G136)=0,SUM($K136)=0),"",SUM($K136)/SUM($G136))</f>
        <v>-2732.4</v>
      </c>
      <c r="AA136" s="118" t="str">
        <f aca="false">IF(OR(SUM($G136)=0,SUM($L136)=0),"",SUM($L136)/SUM($G136))</f>
        <v/>
      </c>
      <c r="AB136" s="118" t="n">
        <v>12</v>
      </c>
      <c r="AC136" s="118"/>
      <c r="AD136" s="118"/>
      <c r="AE136" s="118" t="n">
        <v>24</v>
      </c>
      <c r="AF136" s="118" t="n">
        <v>14</v>
      </c>
      <c r="AG136" s="118" t="n">
        <v>18</v>
      </c>
      <c r="AH136" s="118" t="n">
        <v>44</v>
      </c>
      <c r="AI136" s="118" t="n">
        <v>47</v>
      </c>
      <c r="AJ136" s="118" t="n">
        <v>13</v>
      </c>
      <c r="AK136" s="118" t="n">
        <f aca="false">IF(SUM($G136)&lt;=0,"",SUM($V136:$AJ136))</f>
        <v>-2560.1</v>
      </c>
      <c r="AL136" s="118" t="n">
        <v>1</v>
      </c>
      <c r="AM136" s="75" t="n">
        <f aca="false">IF(OR(SUM($AB136)&lt;=0,SUM($G136)&lt;=0),"",ROUND($G136*$AB136,0))</f>
        <v>240</v>
      </c>
      <c r="AN136" s="75" t="n">
        <f aca="false">IF(SUM($AM136)&lt;=0,"",IF(SUM($AL136)&lt;=0,"ENTER VALID YIELD!",ROUND($AM136/$AL136,0)-$AM136))</f>
        <v>0</v>
      </c>
      <c r="AO136" s="118"/>
      <c r="AP136" s="75" t="str">
        <f aca="false">IF(OR(SUM($AC136)&lt;=0,SUM($G136)&lt;=0),"",ROUND($G136*$AC136,0))</f>
        <v/>
      </c>
      <c r="AQ136" s="75" t="str">
        <f aca="false">IF(SUM($AP136)&lt;=0,"",IF(SUM($AO136)&lt;=0,"ENTER VALID YIELD!",ROUND($AP136/$AO136,0)-$AP136))</f>
        <v/>
      </c>
      <c r="AR136" s="118"/>
      <c r="AS136" s="75" t="str">
        <f aca="false">IF(OR(SUM($AD136)&lt;=0,SUM($G136)&lt;=0),"",ROUND($G136*$AD136,0))</f>
        <v/>
      </c>
      <c r="AT136" s="75" t="str">
        <f aca="false">IF(SUM($AS136)&lt;=0,"",IF(SUM($AR136)&lt;=0,"ENTER VALID YIELD!",ROUND($AS136/$AR136,0)-$AS136))</f>
        <v/>
      </c>
      <c r="AU136" s="118"/>
      <c r="AV136" s="75" t="n">
        <f aca="false">IF(OR(SUM($AE136)&lt;=0,SUM($G136)&lt;=0),"",ROUND($G136*$AE136,0))</f>
        <v>480</v>
      </c>
      <c r="AW136" s="75" t="str">
        <f aca="false">IF(SUM($AV136)&lt;=0,"",IF(SUM($AU136)&lt;=0,"ENTER VALID YIELD!",ROUND($AV136/$AU136,0)-$AV136))</f>
        <v>ENTER VALID YIELD!</v>
      </c>
      <c r="AX136" s="118"/>
      <c r="AY136" s="75" t="n">
        <f aca="false">IF(OR(SUM($AF136)&lt;=0,SUM($G136)&lt;=0),"",ROUND($G136*$AF136,0))</f>
        <v>280</v>
      </c>
      <c r="AZ136" s="75" t="str">
        <f aca="false">IF(SUM($AY136)&lt;=0,"",IF(SUM($AX136)&lt;=0,"ENTER VALID YIELD!",ROUND($AY136/$AX136,0)-$AY136))</f>
        <v>ENTER VALID YIELD!</v>
      </c>
      <c r="BA136" s="118" t="n">
        <v>46</v>
      </c>
      <c r="BB136" s="75" t="n">
        <f aca="false">IF(OR(SUM($AG136)&lt;=0,SUM($G136)&lt;=0),"",ROUND($G136*$AG136,0))</f>
        <v>360</v>
      </c>
      <c r="BC136" s="75" t="n">
        <f aca="false">IF(SUM($BB136)&lt;=0,"",IF(SUM($BA136)&lt;=0,"ENTER VALID YIELD!",ROUND($BB136/$BA136,0)-$BB136))</f>
        <v>-352</v>
      </c>
      <c r="BD136" s="118"/>
      <c r="BE136" s="75" t="n">
        <f aca="false">IF(OR(SUM($AH136)&lt;=0,SUM($G136)&lt;=0),"",ROUND($G136*$AH136,0))</f>
        <v>880</v>
      </c>
      <c r="BF136" s="75" t="str">
        <f aca="false">IF(SUM($BE136)&lt;=0,"",IF(SUM($BD136)&lt;=0,"ENTER VALID YIELD!",ROUND($BE136/$BD136,0)-$BE136))</f>
        <v>ENTER VALID YIELD!</v>
      </c>
      <c r="BG136" s="118" t="n">
        <v>44</v>
      </c>
      <c r="BH136" s="75" t="n">
        <f aca="false">IF(OR(SUM($AI136)&lt;=0,SUM($G136)&lt;=0),"",ROUND($G136*$AI136,0))</f>
        <v>940</v>
      </c>
      <c r="BI136" s="75" t="n">
        <f aca="false">IF(SUM($BH136)&lt;=0,"",IF(SUM($BG136)&lt;=0,"ENTER VALID YIELD!",ROUND($BH136/$BG136,0)-$BH136))</f>
        <v>-919</v>
      </c>
      <c r="BJ136" s="118" t="n">
        <v>44</v>
      </c>
      <c r="BK136" s="75" t="n">
        <f aca="false">IF(OR(SUM($AJ136)&lt;=0,SUM($G136)&lt;=0),"",ROUND($G136*$AJ136,0))</f>
        <v>260</v>
      </c>
      <c r="BL136" s="75" t="n">
        <f aca="false">IF(SUM($BK136)&lt;=0,"",IF(SUM($BJ136)&lt;=0,"ENTER VALID YIELD!",ROUND($BK136/$BJ136,0)-$BK136))</f>
        <v>-254</v>
      </c>
      <c r="BM136" s="73" t="n">
        <f aca="false">IF(SUM($G136)&lt;=0,"",$G136)</f>
        <v>20</v>
      </c>
      <c r="BN136" s="73" t="n">
        <f aca="false">IF(SUM($G136)&lt;=0,"",SUM($I136:$L136,$Q136,$S136,$AM136,$AP136,$AS136,$AV136,$AY136,$BB136,$BE136,$BH136,$BK136))</f>
        <v>-51202</v>
      </c>
      <c r="BO136" s="73" t="n">
        <f aca="false">IF(AND(SUM($BN136)&lt;=0,SUM($BM136)&lt;=0),"",SUM($BN136)-SUM($BM136))</f>
        <v>-51222</v>
      </c>
      <c r="BP136" s="73" t="str">
        <f aca="false">_xlfn.IFNA(INDEX(PMTCT!$AF:$AF,MATCH($E136,PMTCT!$E:$E,0)),"")</f>
        <v/>
      </c>
      <c r="BQ136" s="73" t="str">
        <f aca="false">_xlfn.IFNA(INDEX(PMTCT!$AV:$AV,MATCH($E136,PMTCT!$E:$E,0)),"")</f>
        <v/>
      </c>
      <c r="BR136" s="73" t="n">
        <f aca="false">_xlfn.IFNA(INDEX(TB!$R:$R,MATCH($E136,TB!$E:$E,0)),"")</f>
        <v>53406</v>
      </c>
      <c r="BS136" s="73" t="str">
        <f aca="false">_xlfn.IFNA(INDEX(VMMC!$AD:$AD,MATCH($E136,VMMC!$E:$E,0)),"")</f>
        <v/>
      </c>
      <c r="BT136" s="73" t="n">
        <f aca="false">IF(SUM($R136,$T136,$AN136,$AQ136,$AT136,$AW136,$AZ136,$BC136,$BF136,$BI136,$BL136,$BP136:$BS136)=0,"",SUM($R136,$T136,$AN136,$AQ136,$AT136,$AW136,$AZ136,$BC136,$BF136,$BI136,$BL136,$BP136:$BS136))</f>
        <v>51793</v>
      </c>
      <c r="BU136" s="73" t="n">
        <f aca="false">IF(OR(SUM($BT136)=0,SUM($BN136)=0),"",SUM($BT136,$BN136))</f>
        <v>591</v>
      </c>
      <c r="BV136" s="118" t="n">
        <f aca="false">IF(SUM($BU136)=0,"",SUM($BN136)/$BU136)</f>
        <v>-86.6362098138748</v>
      </c>
      <c r="BW136" s="73" t="n">
        <v>20</v>
      </c>
      <c r="BX136" s="118" t="n">
        <f aca="false">IF(OR($C136="01-04",$C136="05-09"),"",0%)</f>
        <v>0</v>
      </c>
      <c r="BY136" s="75" t="n">
        <f aca="false">IF(OR($C136="01-04",$C136="05-09",SUM($BW136)=0),"",ROUND($BW136*(1+$BX136),0))</f>
        <v>20</v>
      </c>
    </row>
    <row r="137" customFormat="false" ht="15" hidden="false" customHeight="false" outlineLevel="0" collapsed="false">
      <c r="A137" s="0" t="s">
        <v>146</v>
      </c>
      <c r="B137" s="0" t="s">
        <v>45</v>
      </c>
      <c r="C137" s="0" t="s">
        <v>72</v>
      </c>
      <c r="D137" s="0" t="s">
        <v>56</v>
      </c>
      <c r="E137" s="0" t="str">
        <f aca="false">B137&amp;"|"&amp;C137&amp;"|"&amp;D137</f>
        <v>Maseru [#SNU] [#DREAMS] [tKOXiaNhAyJ]|30-34|Female</v>
      </c>
      <c r="F137" s="118" t="n">
        <f aca="false">_xlfn.IFNA(INDEX(Cascade!$Y:$Y,MATCH($E137,Cascade!$E:$E,0)),"")</f>
        <v>0.671367019193106</v>
      </c>
      <c r="G137" s="73" t="n">
        <f aca="false">_xlfn.IFNA(INDEX(Cascade!$BD:$BD,MATCH($E137,Cascade!$E:$E,0)),"")</f>
        <v>12</v>
      </c>
      <c r="H137" s="73" t="n">
        <f aca="false">_xlfn.IFNA(INDEX(Cascade!$BE:$BE,MATCH($E137,Cascade!$E:$E,0)),"")</f>
        <v>4</v>
      </c>
      <c r="I137" s="73" t="n">
        <f aca="false">_xlfn.IFNA(INDEX(Cascade!$BF:$BF,MATCH($E137,Cascade!$E:$E,0)),"")</f>
        <v>-25530</v>
      </c>
      <c r="J137" s="73" t="str">
        <f aca="false">_xlfn.IFNA(INDEX(Cascade!$BG:$BG,MATCH($E137,Cascade!$E:$E,0)),"")</f>
        <v/>
      </c>
      <c r="K137" s="73" t="n">
        <f aca="false">_xlfn.IFNA(INDEX(Cascade!$BH:$BH,MATCH($E137,Cascade!$E:$E,0)),"")</f>
        <v>-1620</v>
      </c>
      <c r="L137" s="73" t="str">
        <f aca="false">_xlfn.IFNA(INDEX(Cascade!$BI:$BI,MATCH($E137,Cascade!$E:$E,0)),"")</f>
        <v/>
      </c>
      <c r="M137" s="73" t="n">
        <f aca="false">_xlfn.IFNA(INDEX(Cascade!$BK:$BK,MATCH($E137,Cascade!$E:$E,0)),"")</f>
        <v>27158</v>
      </c>
      <c r="N137" s="118" t="n">
        <v>43</v>
      </c>
      <c r="O137" s="118" t="n">
        <v>34</v>
      </c>
      <c r="P137" s="118" t="n">
        <v>47</v>
      </c>
      <c r="Q137" s="75" t="n">
        <f aca="false">IF(OR(SUM($H137)=0,SUM($N137)=0,SUM($O137)=0),"",ROUND($H137*$N137,0))</f>
        <v>172</v>
      </c>
      <c r="R137" s="75" t="n">
        <f aca="false">IF(OR(SUM($Q137)=0,SUM($O137)=0),"",ROUND(SUM($Q137)/SUM($O137),0)-SUM($Q137))</f>
        <v>-167</v>
      </c>
      <c r="S137" s="75" t="n">
        <f aca="false">IF(SUM($H137)=0,"",SUM($H137)-SUM($Q137))</f>
        <v>-168</v>
      </c>
      <c r="T137" s="75" t="str">
        <f aca="false">IF(OR(SUM($S137)=0,$N137&gt;1,SUM($P137)&lt;=0),"",ROUND($S137/$P137,0)-$S137)</f>
        <v/>
      </c>
      <c r="U137" s="118" t="n">
        <f aca="false">IF(SUM($G137)&lt;=0,"",SUM($Q137,$S137)/$G137)</f>
        <v>0.333333333333333</v>
      </c>
      <c r="V137" s="118" t="n">
        <f aca="false">IF(OR(SUM($Q137)=0,SUM($G137)=0),"",SUM($Q137)/SUM($G137))</f>
        <v>14.3333333333333</v>
      </c>
      <c r="W137" s="118" t="n">
        <f aca="false">IF(OR(SUM($S137)=0,SUM($G137)=0),"",SUM($S137)/SUM($G137))</f>
        <v>-14</v>
      </c>
      <c r="X137" s="118" t="n">
        <f aca="false">IF(OR(SUM($G137)=0,SUM($I137)=0),"",SUM($I137)/SUM($G137))</f>
        <v>-2127.5</v>
      </c>
      <c r="Y137" s="118" t="str">
        <f aca="false">IF(OR(SUM($G137)=0,SUM($J137)=0),"",SUM($J137)/SUM($G137))</f>
        <v/>
      </c>
      <c r="Z137" s="118" t="n">
        <f aca="false">IF(OR(SUM($G137)=0,SUM($K137)=0),"",SUM($K137)/SUM($G137))</f>
        <v>-135</v>
      </c>
      <c r="AA137" s="118" t="str">
        <f aca="false">IF(OR(SUM($G137)=0,SUM($L137)=0),"",SUM($L137)/SUM($G137))</f>
        <v/>
      </c>
      <c r="AB137" s="118" t="n">
        <v>16</v>
      </c>
      <c r="AC137" s="118"/>
      <c r="AD137" s="118"/>
      <c r="AE137" s="118" t="n">
        <v>6</v>
      </c>
      <c r="AF137" s="118" t="n">
        <v>37</v>
      </c>
      <c r="AG137" s="118" t="n">
        <v>35</v>
      </c>
      <c r="AH137" s="118" t="n">
        <v>11</v>
      </c>
      <c r="AI137" s="118" t="n">
        <v>4</v>
      </c>
      <c r="AJ137" s="118" t="n">
        <v>23</v>
      </c>
      <c r="AK137" s="118" t="n">
        <f aca="false">IF(SUM($G137)&lt;=0,"",SUM($V137:$AJ137))</f>
        <v>-2130.16666666667</v>
      </c>
      <c r="AL137" s="118" t="n">
        <v>35</v>
      </c>
      <c r="AM137" s="75" t="n">
        <f aca="false">IF(OR(SUM($AB137)&lt;=0,SUM($G137)&lt;=0),"",ROUND($G137*$AB137,0))</f>
        <v>192</v>
      </c>
      <c r="AN137" s="75" t="n">
        <f aca="false">IF(SUM($AM137)&lt;=0,"",IF(SUM($AL137)&lt;=0,"ENTER VALID YIELD!",ROUND($AM137/$AL137,0)-$AM137))</f>
        <v>-187</v>
      </c>
      <c r="AO137" s="118"/>
      <c r="AP137" s="75" t="str">
        <f aca="false">IF(OR(SUM($AC137)&lt;=0,SUM($G137)&lt;=0),"",ROUND($G137*$AC137,0))</f>
        <v/>
      </c>
      <c r="AQ137" s="75" t="str">
        <f aca="false">IF(SUM($AP137)&lt;=0,"",IF(SUM($AO137)&lt;=0,"ENTER VALID YIELD!",ROUND($AP137/$AO137,0)-$AP137))</f>
        <v/>
      </c>
      <c r="AR137" s="118"/>
      <c r="AS137" s="75" t="str">
        <f aca="false">IF(OR(SUM($AD137)&lt;=0,SUM($G137)&lt;=0),"",ROUND($G137*$AD137,0))</f>
        <v/>
      </c>
      <c r="AT137" s="75" t="str">
        <f aca="false">IF(SUM($AS137)&lt;=0,"",IF(SUM($AR137)&lt;=0,"ENTER VALID YIELD!",ROUND($AS137/$AR137,0)-$AS137))</f>
        <v/>
      </c>
      <c r="AU137" s="118"/>
      <c r="AV137" s="75" t="n">
        <f aca="false">IF(OR(SUM($AE137)&lt;=0,SUM($G137)&lt;=0),"",ROUND($G137*$AE137,0))</f>
        <v>72</v>
      </c>
      <c r="AW137" s="75" t="str">
        <f aca="false">IF(SUM($AV137)&lt;=0,"",IF(SUM($AU137)&lt;=0,"ENTER VALID YIELD!",ROUND($AV137/$AU137,0)-$AV137))</f>
        <v>ENTER VALID YIELD!</v>
      </c>
      <c r="AX137" s="118"/>
      <c r="AY137" s="75" t="n">
        <f aca="false">IF(OR(SUM($AF137)&lt;=0,SUM($G137)&lt;=0),"",ROUND($G137*$AF137,0))</f>
        <v>444</v>
      </c>
      <c r="AZ137" s="75" t="str">
        <f aca="false">IF(SUM($AY137)&lt;=0,"",IF(SUM($AX137)&lt;=0,"ENTER VALID YIELD!",ROUND($AY137/$AX137,0)-$AY137))</f>
        <v>ENTER VALID YIELD!</v>
      </c>
      <c r="BA137" s="118" t="n">
        <v>38</v>
      </c>
      <c r="BB137" s="75" t="n">
        <f aca="false">IF(OR(SUM($AG137)&lt;=0,SUM($G137)&lt;=0),"",ROUND($G137*$AG137,0))</f>
        <v>420</v>
      </c>
      <c r="BC137" s="75" t="n">
        <f aca="false">IF(SUM($BB137)&lt;=0,"",IF(SUM($BA137)&lt;=0,"ENTER VALID YIELD!",ROUND($BB137/$BA137,0)-$BB137))</f>
        <v>-409</v>
      </c>
      <c r="BD137" s="118" t="n">
        <v>32</v>
      </c>
      <c r="BE137" s="75" t="n">
        <f aca="false">IF(OR(SUM($AH137)&lt;=0,SUM($G137)&lt;=0),"",ROUND($G137*$AH137,0))</f>
        <v>132</v>
      </c>
      <c r="BF137" s="75" t="n">
        <f aca="false">IF(SUM($BE137)&lt;=0,"",IF(SUM($BD137)&lt;=0,"ENTER VALID YIELD!",ROUND($BE137/$BD137,0)-$BE137))</f>
        <v>-128</v>
      </c>
      <c r="BG137" s="118" t="n">
        <v>14</v>
      </c>
      <c r="BH137" s="75" t="n">
        <f aca="false">IF(OR(SUM($AI137)&lt;=0,SUM($G137)&lt;=0),"",ROUND($G137*$AI137,0))</f>
        <v>48</v>
      </c>
      <c r="BI137" s="75" t="n">
        <f aca="false">IF(SUM($BH137)&lt;=0,"",IF(SUM($BG137)&lt;=0,"ENTER VALID YIELD!",ROUND($BH137/$BG137,0)-$BH137))</f>
        <v>-45</v>
      </c>
      <c r="BJ137" s="118" t="n">
        <v>11</v>
      </c>
      <c r="BK137" s="75" t="n">
        <f aca="false">IF(OR(SUM($AJ137)&lt;=0,SUM($G137)&lt;=0),"",ROUND($G137*$AJ137,0))</f>
        <v>276</v>
      </c>
      <c r="BL137" s="75" t="n">
        <f aca="false">IF(SUM($BK137)&lt;=0,"",IF(SUM($BJ137)&lt;=0,"ENTER VALID YIELD!",ROUND($BK137/$BJ137,0)-$BK137))</f>
        <v>-251</v>
      </c>
      <c r="BM137" s="73" t="n">
        <f aca="false">IF(SUM($G137)&lt;=0,"",$G137)</f>
        <v>12</v>
      </c>
      <c r="BN137" s="73" t="n">
        <f aca="false">IF(SUM($G137)&lt;=0,"",SUM($I137:$L137,$Q137,$S137,$AM137,$AP137,$AS137,$AV137,$AY137,$BB137,$BE137,$BH137,$BK137))</f>
        <v>-25562</v>
      </c>
      <c r="BO137" s="73" t="n">
        <f aca="false">IF(AND(SUM($BN137)&lt;=0,SUM($BM137)&lt;=0),"",SUM($BN137)-SUM($BM137))</f>
        <v>-25574</v>
      </c>
      <c r="BP137" s="73" t="n">
        <f aca="false">_xlfn.IFNA(INDEX(PMTCT!$AF:$AF,MATCH($E137,PMTCT!$E:$E,0)),"")</f>
        <v>24679</v>
      </c>
      <c r="BQ137" s="73" t="str">
        <f aca="false">_xlfn.IFNA(INDEX(PMTCT!$AV:$AV,MATCH($E137,PMTCT!$E:$E,0)),"")</f>
        <v/>
      </c>
      <c r="BR137" s="73" t="n">
        <f aca="false">_xlfn.IFNA(INDEX(TB!$R:$R,MATCH($E137,TB!$E:$E,0)),"")</f>
        <v>1215</v>
      </c>
      <c r="BS137" s="73" t="str">
        <f aca="false">_xlfn.IFNA(INDEX(VMMC!$AD:$AD,MATCH($E137,VMMC!$E:$E,0)),"")</f>
        <v/>
      </c>
      <c r="BT137" s="73" t="n">
        <f aca="false">IF(SUM($R137,$T137,$AN137,$AQ137,$AT137,$AW137,$AZ137,$BC137,$BF137,$BI137,$BL137,$BP137:$BS137)=0,"",SUM($R137,$T137,$AN137,$AQ137,$AT137,$AW137,$AZ137,$BC137,$BF137,$BI137,$BL137,$BP137:$BS137))</f>
        <v>24707</v>
      </c>
      <c r="BU137" s="73" t="n">
        <f aca="false">IF(OR(SUM($BT137)=0,SUM($BN137)=0),"",SUM($BT137,$BN137))</f>
        <v>-855</v>
      </c>
      <c r="BV137" s="118" t="n">
        <f aca="false">IF(SUM($BU137)=0,"",SUM($BN137)/$BU137)</f>
        <v>29.8970760233918</v>
      </c>
      <c r="BW137" s="73" t="n">
        <v>19</v>
      </c>
      <c r="BX137" s="118" t="n">
        <f aca="false">IF(OR($C137="01-04",$C137="05-09"),"",0%)</f>
        <v>0</v>
      </c>
      <c r="BY137" s="75" t="n">
        <f aca="false">IF(OR($C137="01-04",$C137="05-09",SUM($BW137)=0),"",ROUND($BW137*(1+$BX137),0))</f>
        <v>19</v>
      </c>
    </row>
    <row r="138" customFormat="false" ht="15" hidden="false" customHeight="false" outlineLevel="0" collapsed="false">
      <c r="A138" s="0" t="s">
        <v>146</v>
      </c>
      <c r="B138" s="0" t="s">
        <v>45</v>
      </c>
      <c r="C138" s="0" t="s">
        <v>72</v>
      </c>
      <c r="D138" s="0" t="s">
        <v>58</v>
      </c>
      <c r="E138" s="0" t="str">
        <f aca="false">B138&amp;"|"&amp;C138&amp;"|"&amp;D138</f>
        <v>Maseru [#SNU] [#DREAMS] [tKOXiaNhAyJ]|30-34|Male</v>
      </c>
      <c r="F138" s="118" t="n">
        <f aca="false">_xlfn.IFNA(INDEX(Cascade!$Y:$Y,MATCH($E138,Cascade!$E:$E,0)),"")</f>
        <v>0.561719586157688</v>
      </c>
      <c r="G138" s="73" t="n">
        <f aca="false">_xlfn.IFNA(INDEX(Cascade!$BD:$BD,MATCH($E138,Cascade!$E:$E,0)),"")</f>
        <v>21</v>
      </c>
      <c r="H138" s="73" t="n">
        <f aca="false">_xlfn.IFNA(INDEX(Cascade!$BE:$BE,MATCH($E138,Cascade!$E:$E,0)),"")</f>
        <v>6</v>
      </c>
      <c r="I138" s="73" t="str">
        <f aca="false">_xlfn.IFNA(INDEX(Cascade!$BF:$BF,MATCH($E138,Cascade!$E:$E,0)),"")</f>
        <v/>
      </c>
      <c r="J138" s="73" t="str">
        <f aca="false">_xlfn.IFNA(INDEX(Cascade!$BG:$BG,MATCH($E138,Cascade!$E:$E,0)),"")</f>
        <v/>
      </c>
      <c r="K138" s="73" t="n">
        <f aca="false">_xlfn.IFNA(INDEX(Cascade!$BH:$BH,MATCH($E138,Cascade!$E:$E,0)),"")</f>
        <v>-57684</v>
      </c>
      <c r="L138" s="73" t="str">
        <f aca="false">_xlfn.IFNA(INDEX(Cascade!$BI:$BI,MATCH($E138,Cascade!$E:$E,0)),"")</f>
        <v/>
      </c>
      <c r="M138" s="73" t="n">
        <f aca="false">_xlfn.IFNA(INDEX(Cascade!$BK:$BK,MATCH($E138,Cascade!$E:$E,0)),"")</f>
        <v>57699</v>
      </c>
      <c r="N138" s="118" t="n">
        <v>21</v>
      </c>
      <c r="O138" s="118" t="n">
        <v>3</v>
      </c>
      <c r="P138" s="118" t="n">
        <v>47</v>
      </c>
      <c r="Q138" s="75" t="n">
        <f aca="false">IF(OR(SUM($H138)=0,SUM($N138)=0,SUM($O138)=0),"",ROUND($H138*$N138,0))</f>
        <v>126</v>
      </c>
      <c r="R138" s="75" t="n">
        <f aca="false">IF(OR(SUM($Q138)=0,SUM($O138)=0),"",ROUND(SUM($Q138)/SUM($O138),0)-SUM($Q138))</f>
        <v>-84</v>
      </c>
      <c r="S138" s="75" t="n">
        <f aca="false">IF(SUM($H138)=0,"",SUM($H138)-SUM($Q138))</f>
        <v>-120</v>
      </c>
      <c r="T138" s="75" t="str">
        <f aca="false">IF(OR(SUM($S138)=0,$N138&gt;1,SUM($P138)&lt;=0),"",ROUND($S138/$P138,0)-$S138)</f>
        <v/>
      </c>
      <c r="U138" s="118" t="n">
        <f aca="false">IF(SUM($G138)&lt;=0,"",SUM($Q138,$S138)/$G138)</f>
        <v>0.285714285714286</v>
      </c>
      <c r="V138" s="118" t="n">
        <f aca="false">IF(OR(SUM($Q138)=0,SUM($G138)=0),"",SUM($Q138)/SUM($G138))</f>
        <v>6</v>
      </c>
      <c r="W138" s="118" t="n">
        <f aca="false">IF(OR(SUM($S138)=0,SUM($G138)=0),"",SUM($S138)/SUM($G138))</f>
        <v>-5.71428571428571</v>
      </c>
      <c r="X138" s="118" t="str">
        <f aca="false">IF(OR(SUM($G138)=0,SUM($I138)=0),"",SUM($I138)/SUM($G138))</f>
        <v/>
      </c>
      <c r="Y138" s="118" t="str">
        <f aca="false">IF(OR(SUM($G138)=0,SUM($J138)=0),"",SUM($J138)/SUM($G138))</f>
        <v/>
      </c>
      <c r="Z138" s="118" t="n">
        <f aca="false">IF(OR(SUM($G138)=0,SUM($K138)=0),"",SUM($K138)/SUM($G138))</f>
        <v>-2746.85714285714</v>
      </c>
      <c r="AA138" s="118" t="str">
        <f aca="false">IF(OR(SUM($G138)=0,SUM($L138)=0),"",SUM($L138)/SUM($G138))</f>
        <v/>
      </c>
      <c r="AB138" s="118" t="n">
        <v>31</v>
      </c>
      <c r="AC138" s="118"/>
      <c r="AD138" s="118"/>
      <c r="AE138" s="118" t="n">
        <v>27</v>
      </c>
      <c r="AF138" s="118" t="n">
        <v>49</v>
      </c>
      <c r="AG138" s="118" t="n">
        <v>8</v>
      </c>
      <c r="AH138" s="118" t="n">
        <v>39</v>
      </c>
      <c r="AI138" s="118" t="n">
        <v>18</v>
      </c>
      <c r="AJ138" s="118" t="n">
        <v>29</v>
      </c>
      <c r="AK138" s="118" t="n">
        <f aca="false">IF(SUM($G138)&lt;=0,"",SUM($V138:$AJ138))</f>
        <v>-2545.57142857143</v>
      </c>
      <c r="AL138" s="118"/>
      <c r="AM138" s="75" t="n">
        <f aca="false">IF(OR(SUM($AB138)&lt;=0,SUM($G138)&lt;=0),"",ROUND($G138*$AB138,0))</f>
        <v>651</v>
      </c>
      <c r="AN138" s="75" t="str">
        <f aca="false">IF(SUM($AM138)&lt;=0,"",IF(SUM($AL138)&lt;=0,"ENTER VALID YIELD!",ROUND($AM138/$AL138,0)-$AM138))</f>
        <v>ENTER VALID YIELD!</v>
      </c>
      <c r="AO138" s="118"/>
      <c r="AP138" s="75" t="str">
        <f aca="false">IF(OR(SUM($AC138)&lt;=0,SUM($G138)&lt;=0),"",ROUND($G138*$AC138,0))</f>
        <v/>
      </c>
      <c r="AQ138" s="75" t="str">
        <f aca="false">IF(SUM($AP138)&lt;=0,"",IF(SUM($AO138)&lt;=0,"ENTER VALID YIELD!",ROUND($AP138/$AO138,0)-$AP138))</f>
        <v/>
      </c>
      <c r="AR138" s="118"/>
      <c r="AS138" s="75" t="str">
        <f aca="false">IF(OR(SUM($AD138)&lt;=0,SUM($G138)&lt;=0),"",ROUND($G138*$AD138,0))</f>
        <v/>
      </c>
      <c r="AT138" s="75" t="str">
        <f aca="false">IF(SUM($AS138)&lt;=0,"",IF(SUM($AR138)&lt;=0,"ENTER VALID YIELD!",ROUND($AS138/$AR138,0)-$AS138))</f>
        <v/>
      </c>
      <c r="AU138" s="118"/>
      <c r="AV138" s="75" t="n">
        <f aca="false">IF(OR(SUM($AE138)&lt;=0,SUM($G138)&lt;=0),"",ROUND($G138*$AE138,0))</f>
        <v>567</v>
      </c>
      <c r="AW138" s="75" t="str">
        <f aca="false">IF(SUM($AV138)&lt;=0,"",IF(SUM($AU138)&lt;=0,"ENTER VALID YIELD!",ROUND($AV138/$AU138,0)-$AV138))</f>
        <v>ENTER VALID YIELD!</v>
      </c>
      <c r="AX138" s="118"/>
      <c r="AY138" s="75" t="n">
        <f aca="false">IF(OR(SUM($AF138)&lt;=0,SUM($G138)&lt;=0),"",ROUND($G138*$AF138,0))</f>
        <v>1029</v>
      </c>
      <c r="AZ138" s="75" t="str">
        <f aca="false">IF(SUM($AY138)&lt;=0,"",IF(SUM($AX138)&lt;=0,"ENTER VALID YIELD!",ROUND($AY138/$AX138,0)-$AY138))</f>
        <v>ENTER VALID YIELD!</v>
      </c>
      <c r="BA138" s="118" t="n">
        <v>44</v>
      </c>
      <c r="BB138" s="75" t="n">
        <f aca="false">IF(OR(SUM($AG138)&lt;=0,SUM($G138)&lt;=0),"",ROUND($G138*$AG138,0))</f>
        <v>168</v>
      </c>
      <c r="BC138" s="75" t="n">
        <f aca="false">IF(SUM($BB138)&lt;=0,"",IF(SUM($BA138)&lt;=0,"ENTER VALID YIELD!",ROUND($BB138/$BA138,0)-$BB138))</f>
        <v>-164</v>
      </c>
      <c r="BD138" s="118"/>
      <c r="BE138" s="75" t="n">
        <f aca="false">IF(OR(SUM($AH138)&lt;=0,SUM($G138)&lt;=0),"",ROUND($G138*$AH138,0))</f>
        <v>819</v>
      </c>
      <c r="BF138" s="75" t="str">
        <f aca="false">IF(SUM($BE138)&lt;=0,"",IF(SUM($BD138)&lt;=0,"ENTER VALID YIELD!",ROUND($BE138/$BD138,0)-$BE138))</f>
        <v>ENTER VALID YIELD!</v>
      </c>
      <c r="BG138" s="118" t="n">
        <v>27</v>
      </c>
      <c r="BH138" s="75" t="n">
        <f aca="false">IF(OR(SUM($AI138)&lt;=0,SUM($G138)&lt;=0),"",ROUND($G138*$AI138,0))</f>
        <v>378</v>
      </c>
      <c r="BI138" s="75" t="n">
        <f aca="false">IF(SUM($BH138)&lt;=0,"",IF(SUM($BG138)&lt;=0,"ENTER VALID YIELD!",ROUND($BH138/$BG138,0)-$BH138))</f>
        <v>-364</v>
      </c>
      <c r="BJ138" s="118" t="n">
        <v>37</v>
      </c>
      <c r="BK138" s="75" t="n">
        <f aca="false">IF(OR(SUM($AJ138)&lt;=0,SUM($G138)&lt;=0),"",ROUND($G138*$AJ138,0))</f>
        <v>609</v>
      </c>
      <c r="BL138" s="75" t="n">
        <f aca="false">IF(SUM($BK138)&lt;=0,"",IF(SUM($BJ138)&lt;=0,"ENTER VALID YIELD!",ROUND($BK138/$BJ138,0)-$BK138))</f>
        <v>-593</v>
      </c>
      <c r="BM138" s="73" t="n">
        <f aca="false">IF(SUM($G138)&lt;=0,"",$G138)</f>
        <v>21</v>
      </c>
      <c r="BN138" s="73" t="n">
        <f aca="false">IF(SUM($G138)&lt;=0,"",SUM($I138:$L138,$Q138,$S138,$AM138,$AP138,$AS138,$AV138,$AY138,$BB138,$BE138,$BH138,$BK138))</f>
        <v>-53457</v>
      </c>
      <c r="BO138" s="73" t="n">
        <f aca="false">IF(AND(SUM($BN138)&lt;=0,SUM($BM138)&lt;=0),"",SUM($BN138)-SUM($BM138))</f>
        <v>-53478</v>
      </c>
      <c r="BP138" s="73" t="str">
        <f aca="false">_xlfn.IFNA(INDEX(PMTCT!$AF:$AF,MATCH($E138,PMTCT!$E:$E,0)),"")</f>
        <v/>
      </c>
      <c r="BQ138" s="73" t="str">
        <f aca="false">_xlfn.IFNA(INDEX(PMTCT!$AV:$AV,MATCH($E138,PMTCT!$E:$E,0)),"")</f>
        <v/>
      </c>
      <c r="BR138" s="73" t="n">
        <f aca="false">_xlfn.IFNA(INDEX(TB!$R:$R,MATCH($E138,TB!$E:$E,0)),"")</f>
        <v>56430</v>
      </c>
      <c r="BS138" s="73" t="str">
        <f aca="false">_xlfn.IFNA(INDEX(VMMC!$AD:$AD,MATCH($E138,VMMC!$E:$E,0)),"")</f>
        <v/>
      </c>
      <c r="BT138" s="73" t="n">
        <f aca="false">IF(SUM($R138,$T138,$AN138,$AQ138,$AT138,$AW138,$AZ138,$BC138,$BF138,$BI138,$BL138,$BP138:$BS138)=0,"",SUM($R138,$T138,$AN138,$AQ138,$AT138,$AW138,$AZ138,$BC138,$BF138,$BI138,$BL138,$BP138:$BS138))</f>
        <v>55225</v>
      </c>
      <c r="BU138" s="73" t="n">
        <f aca="false">IF(OR(SUM($BT138)=0,SUM($BN138)=0),"",SUM($BT138,$BN138))</f>
        <v>1768</v>
      </c>
      <c r="BV138" s="118" t="n">
        <f aca="false">IF(SUM($BU138)=0,"",SUM($BN138)/$BU138)</f>
        <v>-30.2358597285068</v>
      </c>
      <c r="BW138" s="73" t="n">
        <v>33</v>
      </c>
      <c r="BX138" s="118" t="n">
        <f aca="false">IF(OR($C138="01-04",$C138="05-09"),"",0%)</f>
        <v>0</v>
      </c>
      <c r="BY138" s="75" t="n">
        <f aca="false">IF(OR($C138="01-04",$C138="05-09",SUM($BW138)=0),"",ROUND($BW138*(1+$BX138),0))</f>
        <v>33</v>
      </c>
    </row>
    <row r="139" customFormat="false" ht="15" hidden="false" customHeight="false" outlineLevel="0" collapsed="false">
      <c r="A139" s="0" t="s">
        <v>146</v>
      </c>
      <c r="B139" s="0" t="s">
        <v>45</v>
      </c>
      <c r="C139" s="0" t="s">
        <v>75</v>
      </c>
      <c r="D139" s="0" t="s">
        <v>56</v>
      </c>
      <c r="E139" s="0" t="str">
        <f aca="false">B139&amp;"|"&amp;C139&amp;"|"&amp;D139</f>
        <v>Maseru [#SNU] [#DREAMS] [tKOXiaNhAyJ]|35-39|Female</v>
      </c>
      <c r="F139" s="118" t="n">
        <f aca="false">_xlfn.IFNA(INDEX(Cascade!$Y:$Y,MATCH($E139,Cascade!$E:$E,0)),"")</f>
        <v>0.813893208916537</v>
      </c>
      <c r="G139" s="73" t="n">
        <f aca="false">_xlfn.IFNA(INDEX(Cascade!$BD:$BD,MATCH($E139,Cascade!$E:$E,0)),"")</f>
        <v>2</v>
      </c>
      <c r="H139" s="73" t="n">
        <f aca="false">_xlfn.IFNA(INDEX(Cascade!$BE:$BE,MATCH($E139,Cascade!$E:$E,0)),"")</f>
        <v>2</v>
      </c>
      <c r="I139" s="73" t="n">
        <f aca="false">_xlfn.IFNA(INDEX(Cascade!$BF:$BF,MATCH($E139,Cascade!$E:$E,0)),"")</f>
        <v>-9324</v>
      </c>
      <c r="J139" s="73" t="str">
        <f aca="false">_xlfn.IFNA(INDEX(Cascade!$BG:$BG,MATCH($E139,Cascade!$E:$E,0)),"")</f>
        <v/>
      </c>
      <c r="K139" s="73" t="n">
        <f aca="false">_xlfn.IFNA(INDEX(Cascade!$BH:$BH,MATCH($E139,Cascade!$E:$E,0)),"")</f>
        <v>-0</v>
      </c>
      <c r="L139" s="73" t="str">
        <f aca="false">_xlfn.IFNA(INDEX(Cascade!$BI:$BI,MATCH($E139,Cascade!$E:$E,0)),"")</f>
        <v/>
      </c>
      <c r="M139" s="73" t="n">
        <f aca="false">_xlfn.IFNA(INDEX(Cascade!$BK:$BK,MATCH($E139,Cascade!$E:$E,0)),"")</f>
        <v>9324</v>
      </c>
      <c r="N139" s="118" t="n">
        <v>49</v>
      </c>
      <c r="O139" s="118" t="n">
        <v>24</v>
      </c>
      <c r="P139" s="118" t="n">
        <v>32</v>
      </c>
      <c r="Q139" s="75" t="n">
        <f aca="false">IF(OR(SUM($H139)=0,SUM($N139)=0,SUM($O139)=0),"",ROUND($H139*$N139,0))</f>
        <v>98</v>
      </c>
      <c r="R139" s="75" t="n">
        <f aca="false">IF(OR(SUM($Q139)=0,SUM($O139)=0),"",ROUND(SUM($Q139)/SUM($O139),0)-SUM($Q139))</f>
        <v>-94</v>
      </c>
      <c r="S139" s="75" t="n">
        <f aca="false">IF(SUM($H139)=0,"",SUM($H139)-SUM($Q139))</f>
        <v>-96</v>
      </c>
      <c r="T139" s="75" t="str">
        <f aca="false">IF(OR(SUM($S139)=0,$N139&gt;1,SUM($P139)&lt;=0),"",ROUND($S139/$P139,0)-$S139)</f>
        <v/>
      </c>
      <c r="U139" s="118" t="n">
        <f aca="false">IF(SUM($G139)&lt;=0,"",SUM($Q139,$S139)/$G139)</f>
        <v>1</v>
      </c>
      <c r="V139" s="118" t="n">
        <f aca="false">IF(OR(SUM($Q139)=0,SUM($G139)=0),"",SUM($Q139)/SUM($G139))</f>
        <v>49</v>
      </c>
      <c r="W139" s="118" t="n">
        <f aca="false">IF(OR(SUM($S139)=0,SUM($G139)=0),"",SUM($S139)/SUM($G139))</f>
        <v>-48</v>
      </c>
      <c r="X139" s="118" t="n">
        <f aca="false">IF(OR(SUM($G139)=0,SUM($I139)=0),"",SUM($I139)/SUM($G139))</f>
        <v>-4662</v>
      </c>
      <c r="Y139" s="118" t="str">
        <f aca="false">IF(OR(SUM($G139)=0,SUM($J139)=0),"",SUM($J139)/SUM($G139))</f>
        <v/>
      </c>
      <c r="Z139" s="118" t="str">
        <f aca="false">IF(OR(SUM($G139)=0,SUM($K139)=0),"",SUM($K139)/SUM($G139))</f>
        <v/>
      </c>
      <c r="AA139" s="118" t="str">
        <f aca="false">IF(OR(SUM($G139)=0,SUM($L139)=0),"",SUM($L139)/SUM($G139))</f>
        <v/>
      </c>
      <c r="AB139" s="118" t="n">
        <v>45</v>
      </c>
      <c r="AC139" s="118"/>
      <c r="AD139" s="118"/>
      <c r="AE139" s="118" t="n">
        <v>39</v>
      </c>
      <c r="AF139" s="118" t="n">
        <v>32</v>
      </c>
      <c r="AG139" s="118" t="n">
        <v>25</v>
      </c>
      <c r="AH139" s="118" t="n">
        <v>7</v>
      </c>
      <c r="AI139" s="118" t="n">
        <v>23</v>
      </c>
      <c r="AJ139" s="118" t="n">
        <v>40</v>
      </c>
      <c r="AK139" s="118" t="n">
        <f aca="false">IF(SUM($G139)&lt;=0,"",SUM($V139:$AJ139))</f>
        <v>-4450</v>
      </c>
      <c r="AL139" s="118" t="n">
        <v>7</v>
      </c>
      <c r="AM139" s="75" t="n">
        <f aca="false">IF(OR(SUM($AB139)&lt;=0,SUM($G139)&lt;=0),"",ROUND($G139*$AB139,0))</f>
        <v>90</v>
      </c>
      <c r="AN139" s="75" t="n">
        <f aca="false">IF(SUM($AM139)&lt;=0,"",IF(SUM($AL139)&lt;=0,"ENTER VALID YIELD!",ROUND($AM139/$AL139,0)-$AM139))</f>
        <v>-77</v>
      </c>
      <c r="AO139" s="118"/>
      <c r="AP139" s="75" t="str">
        <f aca="false">IF(OR(SUM($AC139)&lt;=0,SUM($G139)&lt;=0),"",ROUND($G139*$AC139,0))</f>
        <v/>
      </c>
      <c r="AQ139" s="75" t="str">
        <f aca="false">IF(SUM($AP139)&lt;=0,"",IF(SUM($AO139)&lt;=0,"ENTER VALID YIELD!",ROUND($AP139/$AO139,0)-$AP139))</f>
        <v/>
      </c>
      <c r="AR139" s="118"/>
      <c r="AS139" s="75" t="str">
        <f aca="false">IF(OR(SUM($AD139)&lt;=0,SUM($G139)&lt;=0),"",ROUND($G139*$AD139,0))</f>
        <v/>
      </c>
      <c r="AT139" s="75" t="str">
        <f aca="false">IF(SUM($AS139)&lt;=0,"",IF(SUM($AR139)&lt;=0,"ENTER VALID YIELD!",ROUND($AS139/$AR139,0)-$AS139))</f>
        <v/>
      </c>
      <c r="AU139" s="118"/>
      <c r="AV139" s="75" t="n">
        <f aca="false">IF(OR(SUM($AE139)&lt;=0,SUM($G139)&lt;=0),"",ROUND($G139*$AE139,0))</f>
        <v>78</v>
      </c>
      <c r="AW139" s="75" t="str">
        <f aca="false">IF(SUM($AV139)&lt;=0,"",IF(SUM($AU139)&lt;=0,"ENTER VALID YIELD!",ROUND($AV139/$AU139,0)-$AV139))</f>
        <v>ENTER VALID YIELD!</v>
      </c>
      <c r="AX139" s="118"/>
      <c r="AY139" s="75" t="n">
        <f aca="false">IF(OR(SUM($AF139)&lt;=0,SUM($G139)&lt;=0),"",ROUND($G139*$AF139,0))</f>
        <v>64</v>
      </c>
      <c r="AZ139" s="75" t="str">
        <f aca="false">IF(SUM($AY139)&lt;=0,"",IF(SUM($AX139)&lt;=0,"ENTER VALID YIELD!",ROUND($AY139/$AX139,0)-$AY139))</f>
        <v>ENTER VALID YIELD!</v>
      </c>
      <c r="BA139" s="118" t="n">
        <v>5</v>
      </c>
      <c r="BB139" s="75" t="n">
        <f aca="false">IF(OR(SUM($AG139)&lt;=0,SUM($G139)&lt;=0),"",ROUND($G139*$AG139,0))</f>
        <v>50</v>
      </c>
      <c r="BC139" s="75" t="n">
        <f aca="false">IF(SUM($BB139)&lt;=0,"",IF(SUM($BA139)&lt;=0,"ENTER VALID YIELD!",ROUND($BB139/$BA139,0)-$BB139))</f>
        <v>-40</v>
      </c>
      <c r="BD139" s="118"/>
      <c r="BE139" s="75" t="n">
        <f aca="false">IF(OR(SUM($AH139)&lt;=0,SUM($G139)&lt;=0),"",ROUND($G139*$AH139,0))</f>
        <v>14</v>
      </c>
      <c r="BF139" s="75" t="str">
        <f aca="false">IF(SUM($BE139)&lt;=0,"",IF(SUM($BD139)&lt;=0,"ENTER VALID YIELD!",ROUND($BE139/$BD139,0)-$BE139))</f>
        <v>ENTER VALID YIELD!</v>
      </c>
      <c r="BG139" s="118" t="n">
        <v>19</v>
      </c>
      <c r="BH139" s="75" t="n">
        <f aca="false">IF(OR(SUM($AI139)&lt;=0,SUM($G139)&lt;=0),"",ROUND($G139*$AI139,0))</f>
        <v>46</v>
      </c>
      <c r="BI139" s="75" t="n">
        <f aca="false">IF(SUM($BH139)&lt;=0,"",IF(SUM($BG139)&lt;=0,"ENTER VALID YIELD!",ROUND($BH139/$BG139,0)-$BH139))</f>
        <v>-44</v>
      </c>
      <c r="BJ139" s="118" t="n">
        <v>6</v>
      </c>
      <c r="BK139" s="75" t="n">
        <f aca="false">IF(OR(SUM($AJ139)&lt;=0,SUM($G139)&lt;=0),"",ROUND($G139*$AJ139,0))</f>
        <v>80</v>
      </c>
      <c r="BL139" s="75" t="n">
        <f aca="false">IF(SUM($BK139)&lt;=0,"",IF(SUM($BJ139)&lt;=0,"ENTER VALID YIELD!",ROUND($BK139/$BJ139,0)-$BK139))</f>
        <v>-67</v>
      </c>
      <c r="BM139" s="73" t="n">
        <f aca="false">IF(SUM($G139)&lt;=0,"",$G139)</f>
        <v>2</v>
      </c>
      <c r="BN139" s="73" t="n">
        <f aca="false">IF(SUM($G139)&lt;=0,"",SUM($I139:$L139,$Q139,$S139,$AM139,$AP139,$AS139,$AV139,$AY139,$BB139,$BE139,$BH139,$BK139))</f>
        <v>-8900</v>
      </c>
      <c r="BO139" s="73" t="n">
        <f aca="false">IF(AND(SUM($BN139)&lt;=0,SUM($BM139)&lt;=0),"",SUM($BN139)-SUM($BM139))</f>
        <v>-8902</v>
      </c>
      <c r="BP139" s="73" t="n">
        <f aca="false">_xlfn.IFNA(INDEX(PMTCT!$AF:$AF,MATCH($E139,PMTCT!$E:$E,0)),"")</f>
        <v>9102</v>
      </c>
      <c r="BQ139" s="73" t="str">
        <f aca="false">_xlfn.IFNA(INDEX(PMTCT!$AV:$AV,MATCH($E139,PMTCT!$E:$E,0)),"")</f>
        <v/>
      </c>
      <c r="BR139" s="73" t="n">
        <f aca="false">_xlfn.IFNA(INDEX(TB!$R:$R,MATCH($E139,TB!$E:$E,0)),"")</f>
        <v>-648</v>
      </c>
      <c r="BS139" s="73" t="str">
        <f aca="false">_xlfn.IFNA(INDEX(VMMC!$AD:$AD,MATCH($E139,VMMC!$E:$E,0)),"")</f>
        <v/>
      </c>
      <c r="BT139" s="73" t="n">
        <f aca="false">IF(SUM($R139,$T139,$AN139,$AQ139,$AT139,$AW139,$AZ139,$BC139,$BF139,$BI139,$BL139,$BP139:$BS139)=0,"",SUM($R139,$T139,$AN139,$AQ139,$AT139,$AW139,$AZ139,$BC139,$BF139,$BI139,$BL139,$BP139:$BS139))</f>
        <v>8132</v>
      </c>
      <c r="BU139" s="73" t="n">
        <f aca="false">IF(OR(SUM($BT139)=0,SUM($BN139)=0),"",SUM($BT139,$BN139))</f>
        <v>-768</v>
      </c>
      <c r="BV139" s="118" t="n">
        <f aca="false">IF(SUM($BU139)=0,"",SUM($BN139)/$BU139)</f>
        <v>11.5885416666667</v>
      </c>
      <c r="BW139" s="73" t="n">
        <v>23</v>
      </c>
      <c r="BX139" s="118" t="n">
        <f aca="false">IF(OR($C139="01-04",$C139="05-09"),"",0%)</f>
        <v>0</v>
      </c>
      <c r="BY139" s="75" t="n">
        <f aca="false">IF(OR($C139="01-04",$C139="05-09",SUM($BW139)=0),"",ROUND($BW139*(1+$BX139),0))</f>
        <v>23</v>
      </c>
    </row>
    <row r="140" customFormat="false" ht="15" hidden="false" customHeight="false" outlineLevel="0" collapsed="false">
      <c r="A140" s="0" t="s">
        <v>146</v>
      </c>
      <c r="B140" s="0" t="s">
        <v>45</v>
      </c>
      <c r="C140" s="0" t="s">
        <v>75</v>
      </c>
      <c r="D140" s="0" t="s">
        <v>58</v>
      </c>
      <c r="E140" s="0" t="str">
        <f aca="false">B140&amp;"|"&amp;C140&amp;"|"&amp;D140</f>
        <v>Maseru [#SNU] [#DREAMS] [tKOXiaNhAyJ]|35-39|Male</v>
      </c>
      <c r="F140" s="118" t="n">
        <f aca="false">_xlfn.IFNA(INDEX(Cascade!$Y:$Y,MATCH($E140,Cascade!$E:$E,0)),"")</f>
        <v>0.678477306002928</v>
      </c>
      <c r="G140" s="73" t="n">
        <f aca="false">_xlfn.IFNA(INDEX(Cascade!$BD:$BD,MATCH($E140,Cascade!$E:$E,0)),"")</f>
        <v>18</v>
      </c>
      <c r="H140" s="73" t="n">
        <f aca="false">_xlfn.IFNA(INDEX(Cascade!$BE:$BE,MATCH($E140,Cascade!$E:$E,0)),"")</f>
        <v>5</v>
      </c>
      <c r="I140" s="73" t="str">
        <f aca="false">_xlfn.IFNA(INDEX(Cascade!$BF:$BF,MATCH($E140,Cascade!$E:$E,0)),"")</f>
        <v/>
      </c>
      <c r="J140" s="73" t="str">
        <f aca="false">_xlfn.IFNA(INDEX(Cascade!$BG:$BG,MATCH($E140,Cascade!$E:$E,0)),"")</f>
        <v/>
      </c>
      <c r="K140" s="73" t="n">
        <f aca="false">_xlfn.IFNA(INDEX(Cascade!$BH:$BH,MATCH($E140,Cascade!$E:$E,0)),"")</f>
        <v>-18870</v>
      </c>
      <c r="L140" s="73" t="str">
        <f aca="false">_xlfn.IFNA(INDEX(Cascade!$BI:$BI,MATCH($E140,Cascade!$E:$E,0)),"")</f>
        <v/>
      </c>
      <c r="M140" s="73" t="n">
        <f aca="false">_xlfn.IFNA(INDEX(Cascade!$BK:$BK,MATCH($E140,Cascade!$E:$E,0)),"")</f>
        <v>18883</v>
      </c>
      <c r="N140" s="118" t="n">
        <v>4</v>
      </c>
      <c r="O140" s="118" t="n">
        <v>4</v>
      </c>
      <c r="P140" s="118" t="n">
        <v>27</v>
      </c>
      <c r="Q140" s="75" t="n">
        <f aca="false">IF(OR(SUM($H140)=0,SUM($N140)=0,SUM($O140)=0),"",ROUND($H140*$N140,0))</f>
        <v>20</v>
      </c>
      <c r="R140" s="75" t="n">
        <f aca="false">IF(OR(SUM($Q140)=0,SUM($O140)=0),"",ROUND(SUM($Q140)/SUM($O140),0)-SUM($Q140))</f>
        <v>-15</v>
      </c>
      <c r="S140" s="75" t="n">
        <f aca="false">IF(SUM($H140)=0,"",SUM($H140)-SUM($Q140))</f>
        <v>-15</v>
      </c>
      <c r="T140" s="75" t="str">
        <f aca="false">IF(OR(SUM($S140)=0,$N140&gt;1,SUM($P140)&lt;=0),"",ROUND($S140/$P140,0)-$S140)</f>
        <v/>
      </c>
      <c r="U140" s="118" t="n">
        <f aca="false">IF(SUM($G140)&lt;=0,"",SUM($Q140,$S140)/$G140)</f>
        <v>0.277777777777778</v>
      </c>
      <c r="V140" s="118" t="n">
        <f aca="false">IF(OR(SUM($Q140)=0,SUM($G140)=0),"",SUM($Q140)/SUM($G140))</f>
        <v>1.11111111111111</v>
      </c>
      <c r="W140" s="118" t="n">
        <f aca="false">IF(OR(SUM($S140)=0,SUM($G140)=0),"",SUM($S140)/SUM($G140))</f>
        <v>-0.833333333333333</v>
      </c>
      <c r="X140" s="118" t="str">
        <f aca="false">IF(OR(SUM($G140)=0,SUM($I140)=0),"",SUM($I140)/SUM($G140))</f>
        <v/>
      </c>
      <c r="Y140" s="118" t="str">
        <f aca="false">IF(OR(SUM($G140)=0,SUM($J140)=0),"",SUM($J140)/SUM($G140))</f>
        <v/>
      </c>
      <c r="Z140" s="118" t="n">
        <f aca="false">IF(OR(SUM($G140)=0,SUM($K140)=0),"",SUM($K140)/SUM($G140))</f>
        <v>-1048.33333333333</v>
      </c>
      <c r="AA140" s="118" t="str">
        <f aca="false">IF(OR(SUM($G140)=0,SUM($L140)=0),"",SUM($L140)/SUM($G140))</f>
        <v/>
      </c>
      <c r="AB140" s="118" t="n">
        <v>29</v>
      </c>
      <c r="AC140" s="118"/>
      <c r="AD140" s="118"/>
      <c r="AE140" s="118" t="n">
        <v>34</v>
      </c>
      <c r="AF140" s="118" t="n">
        <v>35</v>
      </c>
      <c r="AG140" s="118" t="n">
        <v>19</v>
      </c>
      <c r="AH140" s="118" t="n">
        <v>31</v>
      </c>
      <c r="AI140" s="118" t="n">
        <v>48</v>
      </c>
      <c r="AJ140" s="118" t="n">
        <v>8</v>
      </c>
      <c r="AK140" s="118" t="n">
        <f aca="false">IF(SUM($G140)&lt;=0,"",SUM($V140:$AJ140))</f>
        <v>-844.055555555556</v>
      </c>
      <c r="AL140" s="118" t="n">
        <v>36</v>
      </c>
      <c r="AM140" s="75" t="n">
        <f aca="false">IF(OR(SUM($AB140)&lt;=0,SUM($G140)&lt;=0),"",ROUND($G140*$AB140,0))</f>
        <v>522</v>
      </c>
      <c r="AN140" s="75" t="n">
        <f aca="false">IF(SUM($AM140)&lt;=0,"",IF(SUM($AL140)&lt;=0,"ENTER VALID YIELD!",ROUND($AM140/$AL140,0)-$AM140))</f>
        <v>-507</v>
      </c>
      <c r="AO140" s="118"/>
      <c r="AP140" s="75" t="str">
        <f aca="false">IF(OR(SUM($AC140)&lt;=0,SUM($G140)&lt;=0),"",ROUND($G140*$AC140,0))</f>
        <v/>
      </c>
      <c r="AQ140" s="75" t="str">
        <f aca="false">IF(SUM($AP140)&lt;=0,"",IF(SUM($AO140)&lt;=0,"ENTER VALID YIELD!",ROUND($AP140/$AO140,0)-$AP140))</f>
        <v/>
      </c>
      <c r="AR140" s="118"/>
      <c r="AS140" s="75" t="str">
        <f aca="false">IF(OR(SUM($AD140)&lt;=0,SUM($G140)&lt;=0),"",ROUND($G140*$AD140,0))</f>
        <v/>
      </c>
      <c r="AT140" s="75" t="str">
        <f aca="false">IF(SUM($AS140)&lt;=0,"",IF(SUM($AR140)&lt;=0,"ENTER VALID YIELD!",ROUND($AS140/$AR140,0)-$AS140))</f>
        <v/>
      </c>
      <c r="AU140" s="118"/>
      <c r="AV140" s="75" t="n">
        <f aca="false">IF(OR(SUM($AE140)&lt;=0,SUM($G140)&lt;=0),"",ROUND($G140*$AE140,0))</f>
        <v>612</v>
      </c>
      <c r="AW140" s="75" t="str">
        <f aca="false">IF(SUM($AV140)&lt;=0,"",IF(SUM($AU140)&lt;=0,"ENTER VALID YIELD!",ROUND($AV140/$AU140,0)-$AV140))</f>
        <v>ENTER VALID YIELD!</v>
      </c>
      <c r="AX140" s="118"/>
      <c r="AY140" s="75" t="n">
        <f aca="false">IF(OR(SUM($AF140)&lt;=0,SUM($G140)&lt;=0),"",ROUND($G140*$AF140,0))</f>
        <v>630</v>
      </c>
      <c r="AZ140" s="75" t="str">
        <f aca="false">IF(SUM($AY140)&lt;=0,"",IF(SUM($AX140)&lt;=0,"ENTER VALID YIELD!",ROUND($AY140/$AX140,0)-$AY140))</f>
        <v>ENTER VALID YIELD!</v>
      </c>
      <c r="BA140" s="118" t="n">
        <v>29</v>
      </c>
      <c r="BB140" s="75" t="n">
        <f aca="false">IF(OR(SUM($AG140)&lt;=0,SUM($G140)&lt;=0),"",ROUND($G140*$AG140,0))</f>
        <v>342</v>
      </c>
      <c r="BC140" s="75" t="n">
        <f aca="false">IF(SUM($BB140)&lt;=0,"",IF(SUM($BA140)&lt;=0,"ENTER VALID YIELD!",ROUND($BB140/$BA140,0)-$BB140))</f>
        <v>-330</v>
      </c>
      <c r="BD140" s="118"/>
      <c r="BE140" s="75" t="n">
        <f aca="false">IF(OR(SUM($AH140)&lt;=0,SUM($G140)&lt;=0),"",ROUND($G140*$AH140,0))</f>
        <v>558</v>
      </c>
      <c r="BF140" s="75" t="str">
        <f aca="false">IF(SUM($BE140)&lt;=0,"",IF(SUM($BD140)&lt;=0,"ENTER VALID YIELD!",ROUND($BE140/$BD140,0)-$BE140))</f>
        <v>ENTER VALID YIELD!</v>
      </c>
      <c r="BG140" s="118" t="n">
        <v>11</v>
      </c>
      <c r="BH140" s="75" t="n">
        <f aca="false">IF(OR(SUM($AI140)&lt;=0,SUM($G140)&lt;=0),"",ROUND($G140*$AI140,0))</f>
        <v>864</v>
      </c>
      <c r="BI140" s="75" t="n">
        <f aca="false">IF(SUM($BH140)&lt;=0,"",IF(SUM($BG140)&lt;=0,"ENTER VALID YIELD!",ROUND($BH140/$BG140,0)-$BH140))</f>
        <v>-785</v>
      </c>
      <c r="BJ140" s="118" t="n">
        <v>44</v>
      </c>
      <c r="BK140" s="75" t="n">
        <f aca="false">IF(OR(SUM($AJ140)&lt;=0,SUM($G140)&lt;=0),"",ROUND($G140*$AJ140,0))</f>
        <v>144</v>
      </c>
      <c r="BL140" s="75" t="n">
        <f aca="false">IF(SUM($BK140)&lt;=0,"",IF(SUM($BJ140)&lt;=0,"ENTER VALID YIELD!",ROUND($BK140/$BJ140,0)-$BK140))</f>
        <v>-141</v>
      </c>
      <c r="BM140" s="73" t="n">
        <f aca="false">IF(SUM($G140)&lt;=0,"",$G140)</f>
        <v>18</v>
      </c>
      <c r="BN140" s="73" t="n">
        <f aca="false">IF(SUM($G140)&lt;=0,"",SUM($I140:$L140,$Q140,$S140,$AM140,$AP140,$AS140,$AV140,$AY140,$BB140,$BE140,$BH140,$BK140))</f>
        <v>-15193</v>
      </c>
      <c r="BO140" s="73" t="n">
        <f aca="false">IF(AND(SUM($BN140)&lt;=0,SUM($BM140)&lt;=0),"",SUM($BN140)-SUM($BM140))</f>
        <v>-15211</v>
      </c>
      <c r="BP140" s="73" t="str">
        <f aca="false">_xlfn.IFNA(INDEX(PMTCT!$AF:$AF,MATCH($E140,PMTCT!$E:$E,0)),"")</f>
        <v/>
      </c>
      <c r="BQ140" s="73" t="str">
        <f aca="false">_xlfn.IFNA(INDEX(PMTCT!$AV:$AV,MATCH($E140,PMTCT!$E:$E,0)),"")</f>
        <v/>
      </c>
      <c r="BR140" s="73" t="n">
        <f aca="false">_xlfn.IFNA(INDEX(TB!$R:$R,MATCH($E140,TB!$E:$E,0)),"")</f>
        <v>18315</v>
      </c>
      <c r="BS140" s="73" t="str">
        <f aca="false">_xlfn.IFNA(INDEX(VMMC!$AD:$AD,MATCH($E140,VMMC!$E:$E,0)),"")</f>
        <v/>
      </c>
      <c r="BT140" s="73" t="n">
        <f aca="false">IF(SUM($R140,$T140,$AN140,$AQ140,$AT140,$AW140,$AZ140,$BC140,$BF140,$BI140,$BL140,$BP140:$BS140)=0,"",SUM($R140,$T140,$AN140,$AQ140,$AT140,$AW140,$AZ140,$BC140,$BF140,$BI140,$BL140,$BP140:$BS140))</f>
        <v>16537</v>
      </c>
      <c r="BU140" s="73" t="n">
        <f aca="false">IF(OR(SUM($BT140)=0,SUM($BN140)=0),"",SUM($BT140,$BN140))</f>
        <v>1344</v>
      </c>
      <c r="BV140" s="118" t="n">
        <f aca="false">IF(SUM($BU140)=0,"",SUM($BN140)/$BU140)</f>
        <v>-11.3043154761905</v>
      </c>
      <c r="BW140" s="73" t="n">
        <v>8</v>
      </c>
      <c r="BX140" s="118" t="n">
        <f aca="false">IF(OR($C140="01-04",$C140="05-09"),"",0%)</f>
        <v>0</v>
      </c>
      <c r="BY140" s="75" t="n">
        <f aca="false">IF(OR($C140="01-04",$C140="05-09",SUM($BW140)=0),"",ROUND($BW140*(1+$BX140),0))</f>
        <v>8</v>
      </c>
    </row>
    <row r="141" customFormat="false" ht="15" hidden="false" customHeight="false" outlineLevel="0" collapsed="false">
      <c r="A141" s="0" t="s">
        <v>146</v>
      </c>
      <c r="B141" s="0" t="s">
        <v>45</v>
      </c>
      <c r="C141" s="0" t="s">
        <v>77</v>
      </c>
      <c r="D141" s="0" t="s">
        <v>56</v>
      </c>
      <c r="E141" s="0" t="str">
        <f aca="false">B141&amp;"|"&amp;C141&amp;"|"&amp;D141</f>
        <v>Maseru [#SNU] [#DREAMS] [tKOXiaNhAyJ]|40-44|Female</v>
      </c>
      <c r="F141" s="118" t="n">
        <f aca="false">_xlfn.IFNA(INDEX(Cascade!$Y:$Y,MATCH($E141,Cascade!$E:$E,0)),"")</f>
        <v>0.97124474789916</v>
      </c>
      <c r="G141" s="73" t="str">
        <f aca="false">_xlfn.IFNA(INDEX(Cascade!$BD:$BD,MATCH($E141,Cascade!$E:$E,0)),"")</f>
        <v/>
      </c>
      <c r="H141" s="73" t="str">
        <f aca="false">_xlfn.IFNA(INDEX(Cascade!$BE:$BE,MATCH($E141,Cascade!$E:$E,0)),"")</f>
        <v/>
      </c>
      <c r="I141" s="73" t="n">
        <f aca="false">_xlfn.IFNA(INDEX(Cascade!$BF:$BF,MATCH($E141,Cascade!$E:$E,0)),"")</f>
        <v>-3952</v>
      </c>
      <c r="J141" s="73" t="str">
        <f aca="false">_xlfn.IFNA(INDEX(Cascade!$BG:$BG,MATCH($E141,Cascade!$E:$E,0)),"")</f>
        <v/>
      </c>
      <c r="K141" s="73" t="n">
        <f aca="false">_xlfn.IFNA(INDEX(Cascade!$BH:$BH,MATCH($E141,Cascade!$E:$E,0)),"")</f>
        <v>-6776</v>
      </c>
      <c r="L141" s="73" t="str">
        <f aca="false">_xlfn.IFNA(INDEX(Cascade!$BI:$BI,MATCH($E141,Cascade!$E:$E,0)),"")</f>
        <v/>
      </c>
      <c r="M141" s="73" t="str">
        <f aca="false">_xlfn.IFNA(INDEX(Cascade!$BK:$BK,MATCH($E141,Cascade!$E:$E,0)),"")</f>
        <v/>
      </c>
      <c r="N141" s="118" t="n">
        <v>1</v>
      </c>
      <c r="O141" s="118" t="n">
        <v>39</v>
      </c>
      <c r="P141" s="118" t="n">
        <v>27</v>
      </c>
      <c r="Q141" s="75" t="str">
        <f aca="false">IF(OR(SUM($H141)=0,SUM($N141)=0,SUM($O141)=0),"",ROUND($H141*$N141,0))</f>
        <v/>
      </c>
      <c r="R141" s="75" t="str">
        <f aca="false">IF(OR(SUM($Q141)=0,SUM($O141)=0),"",ROUND(SUM($Q141)/SUM($O141),0)-SUM($Q141))</f>
        <v/>
      </c>
      <c r="S141" s="75" t="str">
        <f aca="false">IF(SUM($H141)=0,"",SUM($H141)-SUM($Q141))</f>
        <v/>
      </c>
      <c r="T141" s="75" t="str">
        <f aca="false">IF(OR(SUM($S141)=0,$N141&gt;1,SUM($P141)&lt;=0),"",ROUND($S141/$P141,0)-$S141)</f>
        <v/>
      </c>
      <c r="U141" s="118" t="str">
        <f aca="false">IF(SUM($G141)&lt;=0,"",SUM($Q141,$S141)/$G141)</f>
        <v/>
      </c>
      <c r="V141" s="118" t="str">
        <f aca="false">IF(OR(SUM($Q141)=0,SUM($G141)=0),"",SUM($Q141)/SUM($G141))</f>
        <v/>
      </c>
      <c r="W141" s="118" t="str">
        <f aca="false">IF(OR(SUM($S141)=0,SUM($G141)=0),"",SUM($S141)/SUM($G141))</f>
        <v/>
      </c>
      <c r="X141" s="118" t="str">
        <f aca="false">IF(OR(SUM($G141)=0,SUM($I141)=0),"",SUM($I141)/SUM($G141))</f>
        <v/>
      </c>
      <c r="Y141" s="118" t="str">
        <f aca="false">IF(OR(SUM($G141)=0,SUM($J141)=0),"",SUM($J141)/SUM($G141))</f>
        <v/>
      </c>
      <c r="Z141" s="118" t="str">
        <f aca="false">IF(OR(SUM($G141)=0,SUM($K141)=0),"",SUM($K141)/SUM($G141))</f>
        <v/>
      </c>
      <c r="AA141" s="118" t="str">
        <f aca="false">IF(OR(SUM($G141)=0,SUM($L141)=0),"",SUM($L141)/SUM($G141))</f>
        <v/>
      </c>
      <c r="AB141" s="118" t="n">
        <v>41</v>
      </c>
      <c r="AC141" s="118"/>
      <c r="AD141" s="118"/>
      <c r="AE141" s="118" t="n">
        <v>16</v>
      </c>
      <c r="AF141" s="118" t="n">
        <v>37</v>
      </c>
      <c r="AG141" s="118" t="n">
        <v>7</v>
      </c>
      <c r="AH141" s="118" t="n">
        <v>0</v>
      </c>
      <c r="AI141" s="118" t="n">
        <v>48</v>
      </c>
      <c r="AJ141" s="118" t="n">
        <v>16</v>
      </c>
      <c r="AK141" s="118" t="str">
        <f aca="false">IF(SUM($G141)&lt;=0,"",SUM($V141:$AJ141))</f>
        <v/>
      </c>
      <c r="AL141" s="118" t="n">
        <v>38</v>
      </c>
      <c r="AM141" s="75" t="str">
        <f aca="false">IF(OR(SUM($AB141)&lt;=0,SUM($G141)&lt;=0),"",ROUND($G141*$AB141,0))</f>
        <v/>
      </c>
      <c r="AN141" s="75" t="str">
        <f aca="false">IF(SUM($AM141)&lt;=0,"",IF(SUM($AL141)&lt;=0,"ENTER VALID YIELD!",ROUND($AM141/$AL141,0)-$AM141))</f>
        <v/>
      </c>
      <c r="AO141" s="118"/>
      <c r="AP141" s="75" t="str">
        <f aca="false">IF(OR(SUM($AC141)&lt;=0,SUM($G141)&lt;=0),"",ROUND($G141*$AC141,0))</f>
        <v/>
      </c>
      <c r="AQ141" s="75" t="str">
        <f aca="false">IF(SUM($AP141)&lt;=0,"",IF(SUM($AO141)&lt;=0,"ENTER VALID YIELD!",ROUND($AP141/$AO141,0)-$AP141))</f>
        <v/>
      </c>
      <c r="AR141" s="118"/>
      <c r="AS141" s="75" t="str">
        <f aca="false">IF(OR(SUM($AD141)&lt;=0,SUM($G141)&lt;=0),"",ROUND($G141*$AD141,0))</f>
        <v/>
      </c>
      <c r="AT141" s="75" t="str">
        <f aca="false">IF(SUM($AS141)&lt;=0,"",IF(SUM($AR141)&lt;=0,"ENTER VALID YIELD!",ROUND($AS141/$AR141,0)-$AS141))</f>
        <v/>
      </c>
      <c r="AU141" s="118"/>
      <c r="AV141" s="75" t="str">
        <f aca="false">IF(OR(SUM($AE141)&lt;=0,SUM($G141)&lt;=0),"",ROUND($G141*$AE141,0))</f>
        <v/>
      </c>
      <c r="AW141" s="75" t="str">
        <f aca="false">IF(SUM($AV141)&lt;=0,"",IF(SUM($AU141)&lt;=0,"ENTER VALID YIELD!",ROUND($AV141/$AU141,0)-$AV141))</f>
        <v/>
      </c>
      <c r="AX141" s="118"/>
      <c r="AY141" s="75" t="str">
        <f aca="false">IF(OR(SUM($AF141)&lt;=0,SUM($G141)&lt;=0),"",ROUND($G141*$AF141,0))</f>
        <v/>
      </c>
      <c r="AZ141" s="75" t="str">
        <f aca="false">IF(SUM($AY141)&lt;=0,"",IF(SUM($AX141)&lt;=0,"ENTER VALID YIELD!",ROUND($AY141/$AX141,0)-$AY141))</f>
        <v/>
      </c>
      <c r="BA141" s="118" t="n">
        <v>11</v>
      </c>
      <c r="BB141" s="75" t="str">
        <f aca="false">IF(OR(SUM($AG141)&lt;=0,SUM($G141)&lt;=0),"",ROUND($G141*$AG141,0))</f>
        <v/>
      </c>
      <c r="BC141" s="75" t="str">
        <f aca="false">IF(SUM($BB141)&lt;=0,"",IF(SUM($BA141)&lt;=0,"ENTER VALID YIELD!",ROUND($BB141/$BA141,0)-$BB141))</f>
        <v/>
      </c>
      <c r="BD141" s="118"/>
      <c r="BE141" s="75" t="str">
        <f aca="false">IF(OR(SUM($AH141)&lt;=0,SUM($G141)&lt;=0),"",ROUND($G141*$AH141,0))</f>
        <v/>
      </c>
      <c r="BF141" s="75" t="str">
        <f aca="false">IF(SUM($BE141)&lt;=0,"",IF(SUM($BD141)&lt;=0,"ENTER VALID YIELD!",ROUND($BE141/$BD141,0)-$BE141))</f>
        <v/>
      </c>
      <c r="BG141" s="118" t="n">
        <v>39</v>
      </c>
      <c r="BH141" s="75" t="str">
        <f aca="false">IF(OR(SUM($AI141)&lt;=0,SUM($G141)&lt;=0),"",ROUND($G141*$AI141,0))</f>
        <v/>
      </c>
      <c r="BI141" s="75" t="str">
        <f aca="false">IF(SUM($BH141)&lt;=0,"",IF(SUM($BG141)&lt;=0,"ENTER VALID YIELD!",ROUND($BH141/$BG141,0)-$BH141))</f>
        <v/>
      </c>
      <c r="BJ141" s="118" t="n">
        <v>14</v>
      </c>
      <c r="BK141" s="75" t="str">
        <f aca="false">IF(OR(SUM($AJ141)&lt;=0,SUM($G141)&lt;=0),"",ROUND($G141*$AJ141,0))</f>
        <v/>
      </c>
      <c r="BL141" s="75" t="str">
        <f aca="false">IF(SUM($BK141)&lt;=0,"",IF(SUM($BJ141)&lt;=0,"ENTER VALID YIELD!",ROUND($BK141/$BJ141,0)-$BK141))</f>
        <v/>
      </c>
      <c r="BM141" s="73" t="str">
        <f aca="false">IF(SUM($G141)&lt;=0,"",$G141)</f>
        <v/>
      </c>
      <c r="BN141" s="73" t="str">
        <f aca="false">IF(SUM($G141)&lt;=0,"",SUM($I141:$L141,$Q141,$S141,$AM141,$AP141,$AS141,$AV141,$AY141,$BB141,$BE141,$BH141,$BK141))</f>
        <v/>
      </c>
      <c r="BO141" s="73" t="str">
        <f aca="false">IF(AND(SUM($BN141)&lt;=0,SUM($BM141)&lt;=0),"",SUM($BN141)-SUM($BM141))</f>
        <v/>
      </c>
      <c r="BP141" s="73" t="n">
        <f aca="false">_xlfn.IFNA(INDEX(PMTCT!$AF:$AF,MATCH($E141,PMTCT!$E:$E,0)),"")</f>
        <v>3648</v>
      </c>
      <c r="BQ141" s="73" t="str">
        <f aca="false">_xlfn.IFNA(INDEX(PMTCT!$AV:$AV,MATCH($E141,PMTCT!$E:$E,0)),"")</f>
        <v/>
      </c>
      <c r="BR141" s="73" t="n">
        <f aca="false">_xlfn.IFNA(INDEX(TB!$R:$R,MATCH($E141,TB!$E:$E,0)),"")</f>
        <v>6468</v>
      </c>
      <c r="BS141" s="73" t="str">
        <f aca="false">_xlfn.IFNA(INDEX(VMMC!$AD:$AD,MATCH($E141,VMMC!$E:$E,0)),"")</f>
        <v/>
      </c>
      <c r="BT141" s="73" t="n">
        <f aca="false">IF(SUM($R141,$T141,$AN141,$AQ141,$AT141,$AW141,$AZ141,$BC141,$BF141,$BI141,$BL141,$BP141:$BS141)=0,"",SUM($R141,$T141,$AN141,$AQ141,$AT141,$AW141,$AZ141,$BC141,$BF141,$BI141,$BL141,$BP141:$BS141))</f>
        <v>10116</v>
      </c>
      <c r="BU141" s="73" t="str">
        <f aca="false">IF(OR(SUM($BT141)=0,SUM($BN141)=0),"",SUM($BT141,$BN141))</f>
        <v/>
      </c>
      <c r="BV141" s="118" t="str">
        <f aca="false">IF(SUM($BU141)=0,"",SUM($BN141)/$BU141)</f>
        <v/>
      </c>
      <c r="BW141" s="73" t="n">
        <v>38</v>
      </c>
      <c r="BX141" s="118" t="n">
        <f aca="false">IF(OR($C141="01-04",$C141="05-09"),"",0%)</f>
        <v>0</v>
      </c>
      <c r="BY141" s="75" t="n">
        <f aca="false">IF(OR($C141="01-04",$C141="05-09",SUM($BW141)=0),"",ROUND($BW141*(1+$BX141),0))</f>
        <v>38</v>
      </c>
    </row>
    <row r="142" customFormat="false" ht="15" hidden="false" customHeight="false" outlineLevel="0" collapsed="false">
      <c r="A142" s="0" t="s">
        <v>146</v>
      </c>
      <c r="B142" s="0" t="s">
        <v>45</v>
      </c>
      <c r="C142" s="0" t="s">
        <v>77</v>
      </c>
      <c r="D142" s="0" t="s">
        <v>58</v>
      </c>
      <c r="E142" s="0" t="str">
        <f aca="false">B142&amp;"|"&amp;C142&amp;"|"&amp;D142</f>
        <v>Maseru [#SNU] [#DREAMS] [tKOXiaNhAyJ]|40-44|Male</v>
      </c>
      <c r="F142" s="118" t="n">
        <f aca="false">_xlfn.IFNA(INDEX(Cascade!$Y:$Y,MATCH($E142,Cascade!$E:$E,0)),"")</f>
        <v>0.80641447368421</v>
      </c>
      <c r="G142" s="73" t="n">
        <f aca="false">_xlfn.IFNA(INDEX(Cascade!$BD:$BD,MATCH($E142,Cascade!$E:$E,0)),"")</f>
        <v>5</v>
      </c>
      <c r="H142" s="73" t="n">
        <f aca="false">_xlfn.IFNA(INDEX(Cascade!$BE:$BE,MATCH($E142,Cascade!$E:$E,0)),"")</f>
        <v>4</v>
      </c>
      <c r="I142" s="73" t="str">
        <f aca="false">_xlfn.IFNA(INDEX(Cascade!$BF:$BF,MATCH($E142,Cascade!$E:$E,0)),"")</f>
        <v/>
      </c>
      <c r="J142" s="73" t="str">
        <f aca="false">_xlfn.IFNA(INDEX(Cascade!$BG:$BG,MATCH($E142,Cascade!$E:$E,0)),"")</f>
        <v/>
      </c>
      <c r="K142" s="73" t="n">
        <f aca="false">_xlfn.IFNA(INDEX(Cascade!$BH:$BH,MATCH($E142,Cascade!$E:$E,0)),"")</f>
        <v>-1144</v>
      </c>
      <c r="L142" s="73" t="str">
        <f aca="false">_xlfn.IFNA(INDEX(Cascade!$BI:$BI,MATCH($E142,Cascade!$E:$E,0)),"")</f>
        <v/>
      </c>
      <c r="M142" s="73" t="n">
        <f aca="false">_xlfn.IFNA(INDEX(Cascade!$BK:$BK,MATCH($E142,Cascade!$E:$E,0)),"")</f>
        <v>1145</v>
      </c>
      <c r="N142" s="118" t="n">
        <v>43</v>
      </c>
      <c r="O142" s="118" t="n">
        <v>46</v>
      </c>
      <c r="P142" s="118" t="n">
        <v>6</v>
      </c>
      <c r="Q142" s="75" t="n">
        <f aca="false">IF(OR(SUM($H142)=0,SUM($N142)=0,SUM($O142)=0),"",ROUND($H142*$N142,0))</f>
        <v>172</v>
      </c>
      <c r="R142" s="75" t="n">
        <f aca="false">IF(OR(SUM($Q142)=0,SUM($O142)=0),"",ROUND(SUM($Q142)/SUM($O142),0)-SUM($Q142))</f>
        <v>-168</v>
      </c>
      <c r="S142" s="75" t="n">
        <f aca="false">IF(SUM($H142)=0,"",SUM($H142)-SUM($Q142))</f>
        <v>-168</v>
      </c>
      <c r="T142" s="75" t="str">
        <f aca="false">IF(OR(SUM($S142)=0,$N142&gt;1,SUM($P142)&lt;=0),"",ROUND($S142/$P142,0)-$S142)</f>
        <v/>
      </c>
      <c r="U142" s="118" t="n">
        <f aca="false">IF(SUM($G142)&lt;=0,"",SUM($Q142,$S142)/$G142)</f>
        <v>0.8</v>
      </c>
      <c r="V142" s="118" t="n">
        <f aca="false">IF(OR(SUM($Q142)=0,SUM($G142)=0),"",SUM($Q142)/SUM($G142))</f>
        <v>34.4</v>
      </c>
      <c r="W142" s="118" t="n">
        <f aca="false">IF(OR(SUM($S142)=0,SUM($G142)=0),"",SUM($S142)/SUM($G142))</f>
        <v>-33.6</v>
      </c>
      <c r="X142" s="118" t="str">
        <f aca="false">IF(OR(SUM($G142)=0,SUM($I142)=0),"",SUM($I142)/SUM($G142))</f>
        <v/>
      </c>
      <c r="Y142" s="118" t="str">
        <f aca="false">IF(OR(SUM($G142)=0,SUM($J142)=0),"",SUM($J142)/SUM($G142))</f>
        <v/>
      </c>
      <c r="Z142" s="118" t="n">
        <f aca="false">IF(OR(SUM($G142)=0,SUM($K142)=0),"",SUM($K142)/SUM($G142))</f>
        <v>-228.8</v>
      </c>
      <c r="AA142" s="118" t="str">
        <f aca="false">IF(OR(SUM($G142)=0,SUM($L142)=0),"",SUM($L142)/SUM($G142))</f>
        <v/>
      </c>
      <c r="AB142" s="118" t="n">
        <v>13</v>
      </c>
      <c r="AC142" s="118"/>
      <c r="AD142" s="118"/>
      <c r="AE142" s="118" t="n">
        <v>6</v>
      </c>
      <c r="AF142" s="118" t="n">
        <v>14</v>
      </c>
      <c r="AG142" s="118" t="n">
        <v>8</v>
      </c>
      <c r="AH142" s="118" t="n">
        <v>8</v>
      </c>
      <c r="AI142" s="118" t="n">
        <v>22</v>
      </c>
      <c r="AJ142" s="118" t="n">
        <v>22</v>
      </c>
      <c r="AK142" s="118" t="n">
        <f aca="false">IF(SUM($G142)&lt;=0,"",SUM($V142:$AJ142))</f>
        <v>-135</v>
      </c>
      <c r="AL142" s="118" t="n">
        <v>27</v>
      </c>
      <c r="AM142" s="75" t="n">
        <f aca="false">IF(OR(SUM($AB142)&lt;=0,SUM($G142)&lt;=0),"",ROUND($G142*$AB142,0))</f>
        <v>65</v>
      </c>
      <c r="AN142" s="75" t="n">
        <f aca="false">IF(SUM($AM142)&lt;=0,"",IF(SUM($AL142)&lt;=0,"ENTER VALID YIELD!",ROUND($AM142/$AL142,0)-$AM142))</f>
        <v>-63</v>
      </c>
      <c r="AO142" s="118"/>
      <c r="AP142" s="75" t="str">
        <f aca="false">IF(OR(SUM($AC142)&lt;=0,SUM($G142)&lt;=0),"",ROUND($G142*$AC142,0))</f>
        <v/>
      </c>
      <c r="AQ142" s="75" t="str">
        <f aca="false">IF(SUM($AP142)&lt;=0,"",IF(SUM($AO142)&lt;=0,"ENTER VALID YIELD!",ROUND($AP142/$AO142,0)-$AP142))</f>
        <v/>
      </c>
      <c r="AR142" s="118"/>
      <c r="AS142" s="75" t="str">
        <f aca="false">IF(OR(SUM($AD142)&lt;=0,SUM($G142)&lt;=0),"",ROUND($G142*$AD142,0))</f>
        <v/>
      </c>
      <c r="AT142" s="75" t="str">
        <f aca="false">IF(SUM($AS142)&lt;=0,"",IF(SUM($AR142)&lt;=0,"ENTER VALID YIELD!",ROUND($AS142/$AR142,0)-$AS142))</f>
        <v/>
      </c>
      <c r="AU142" s="118"/>
      <c r="AV142" s="75" t="n">
        <f aca="false">IF(OR(SUM($AE142)&lt;=0,SUM($G142)&lt;=0),"",ROUND($G142*$AE142,0))</f>
        <v>30</v>
      </c>
      <c r="AW142" s="75" t="str">
        <f aca="false">IF(SUM($AV142)&lt;=0,"",IF(SUM($AU142)&lt;=0,"ENTER VALID YIELD!",ROUND($AV142/$AU142,0)-$AV142))</f>
        <v>ENTER VALID YIELD!</v>
      </c>
      <c r="AX142" s="118"/>
      <c r="AY142" s="75" t="n">
        <f aca="false">IF(OR(SUM($AF142)&lt;=0,SUM($G142)&lt;=0),"",ROUND($G142*$AF142,0))</f>
        <v>70</v>
      </c>
      <c r="AZ142" s="75" t="str">
        <f aca="false">IF(SUM($AY142)&lt;=0,"",IF(SUM($AX142)&lt;=0,"ENTER VALID YIELD!",ROUND($AY142/$AX142,0)-$AY142))</f>
        <v>ENTER VALID YIELD!</v>
      </c>
      <c r="BA142" s="118" t="n">
        <v>34</v>
      </c>
      <c r="BB142" s="75" t="n">
        <f aca="false">IF(OR(SUM($AG142)&lt;=0,SUM($G142)&lt;=0),"",ROUND($G142*$AG142,0))</f>
        <v>40</v>
      </c>
      <c r="BC142" s="75" t="n">
        <f aca="false">IF(SUM($BB142)&lt;=0,"",IF(SUM($BA142)&lt;=0,"ENTER VALID YIELD!",ROUND($BB142/$BA142,0)-$BB142))</f>
        <v>-39</v>
      </c>
      <c r="BD142" s="118"/>
      <c r="BE142" s="75" t="n">
        <f aca="false">IF(OR(SUM($AH142)&lt;=0,SUM($G142)&lt;=0),"",ROUND($G142*$AH142,0))</f>
        <v>40</v>
      </c>
      <c r="BF142" s="75" t="str">
        <f aca="false">IF(SUM($BE142)&lt;=0,"",IF(SUM($BD142)&lt;=0,"ENTER VALID YIELD!",ROUND($BE142/$BD142,0)-$BE142))</f>
        <v>ENTER VALID YIELD!</v>
      </c>
      <c r="BG142" s="118" t="n">
        <v>10</v>
      </c>
      <c r="BH142" s="75" t="n">
        <f aca="false">IF(OR(SUM($AI142)&lt;=0,SUM($G142)&lt;=0),"",ROUND($G142*$AI142,0))</f>
        <v>110</v>
      </c>
      <c r="BI142" s="75" t="n">
        <f aca="false">IF(SUM($BH142)&lt;=0,"",IF(SUM($BG142)&lt;=0,"ENTER VALID YIELD!",ROUND($BH142/$BG142,0)-$BH142))</f>
        <v>-99</v>
      </c>
      <c r="BJ142" s="118" t="n">
        <v>29</v>
      </c>
      <c r="BK142" s="75" t="n">
        <f aca="false">IF(OR(SUM($AJ142)&lt;=0,SUM($G142)&lt;=0),"",ROUND($G142*$AJ142,0))</f>
        <v>110</v>
      </c>
      <c r="BL142" s="75" t="n">
        <f aca="false">IF(SUM($BK142)&lt;=0,"",IF(SUM($BJ142)&lt;=0,"ENTER VALID YIELD!",ROUND($BK142/$BJ142,0)-$BK142))</f>
        <v>-106</v>
      </c>
      <c r="BM142" s="73" t="n">
        <f aca="false">IF(SUM($G142)&lt;=0,"",$G142)</f>
        <v>5</v>
      </c>
      <c r="BN142" s="73" t="n">
        <f aca="false">IF(SUM($G142)&lt;=0,"",SUM($I142:$L142,$Q142,$S142,$AM142,$AP142,$AS142,$AV142,$AY142,$BB142,$BE142,$BH142,$BK142))</f>
        <v>-675</v>
      </c>
      <c r="BO142" s="73" t="n">
        <f aca="false">IF(AND(SUM($BN142)&lt;=0,SUM($BM142)&lt;=0),"",SUM($BN142)-SUM($BM142))</f>
        <v>-680</v>
      </c>
      <c r="BP142" s="73" t="str">
        <f aca="false">_xlfn.IFNA(INDEX(PMTCT!$AF:$AF,MATCH($E142,PMTCT!$E:$E,0)),"")</f>
        <v/>
      </c>
      <c r="BQ142" s="73" t="str">
        <f aca="false">_xlfn.IFNA(INDEX(PMTCT!$AV:$AV,MATCH($E142,PMTCT!$E:$E,0)),"")</f>
        <v/>
      </c>
      <c r="BR142" s="73" t="n">
        <f aca="false">_xlfn.IFNA(INDEX(TB!$R:$R,MATCH($E142,TB!$E:$E,0)),"")</f>
        <v>1118</v>
      </c>
      <c r="BS142" s="73" t="str">
        <f aca="false">_xlfn.IFNA(INDEX(VMMC!$AD:$AD,MATCH($E142,VMMC!$E:$E,0)),"")</f>
        <v/>
      </c>
      <c r="BT142" s="73" t="n">
        <f aca="false">IF(SUM($R142,$T142,$AN142,$AQ142,$AT142,$AW142,$AZ142,$BC142,$BF142,$BI142,$BL142,$BP142:$BS142)=0,"",SUM($R142,$T142,$AN142,$AQ142,$AT142,$AW142,$AZ142,$BC142,$BF142,$BI142,$BL142,$BP142:$BS142))</f>
        <v>643</v>
      </c>
      <c r="BU142" s="73" t="n">
        <f aca="false">IF(OR(SUM($BT142)=0,SUM($BN142)=0),"",SUM($BT142,$BN142))</f>
        <v>-32</v>
      </c>
      <c r="BV142" s="118" t="n">
        <f aca="false">IF(SUM($BU142)=0,"",SUM($BN142)/$BU142)</f>
        <v>21.09375</v>
      </c>
      <c r="BW142" s="73" t="n">
        <v>41</v>
      </c>
      <c r="BX142" s="118" t="n">
        <f aca="false">IF(OR($C142="01-04",$C142="05-09"),"",0%)</f>
        <v>0</v>
      </c>
      <c r="BY142" s="75" t="n">
        <f aca="false">IF(OR($C142="01-04",$C142="05-09",SUM($BW142)=0),"",ROUND($BW142*(1+$BX142),0))</f>
        <v>41</v>
      </c>
    </row>
    <row r="143" customFormat="false" ht="15" hidden="false" customHeight="false" outlineLevel="0" collapsed="false">
      <c r="A143" s="0" t="s">
        <v>146</v>
      </c>
      <c r="B143" s="0" t="s">
        <v>45</v>
      </c>
      <c r="C143" s="0" t="s">
        <v>80</v>
      </c>
      <c r="D143" s="0" t="s">
        <v>56</v>
      </c>
      <c r="E143" s="0" t="str">
        <f aca="false">B143&amp;"|"&amp;C143&amp;"|"&amp;D143</f>
        <v>Maseru [#SNU] [#DREAMS] [tKOXiaNhAyJ]|45-49|Female</v>
      </c>
      <c r="F143" s="118" t="n">
        <f aca="false">_xlfn.IFNA(INDEX(Cascade!$Y:$Y,MATCH($E143,Cascade!$E:$E,0)),"")</f>
        <v>0.968610698365528</v>
      </c>
      <c r="G143" s="73" t="str">
        <f aca="false">_xlfn.IFNA(INDEX(Cascade!$BD:$BD,MATCH($E143,Cascade!$E:$E,0)),"")</f>
        <v/>
      </c>
      <c r="H143" s="73" t="str">
        <f aca="false">_xlfn.IFNA(INDEX(Cascade!$BE:$BE,MATCH($E143,Cascade!$E:$E,0)),"")</f>
        <v/>
      </c>
      <c r="I143" s="73" t="n">
        <f aca="false">_xlfn.IFNA(INDEX(Cascade!$BF:$BF,MATCH($E143,Cascade!$E:$E,0)),"")</f>
        <v>-0</v>
      </c>
      <c r="J143" s="73" t="str">
        <f aca="false">_xlfn.IFNA(INDEX(Cascade!$BG:$BG,MATCH($E143,Cascade!$E:$E,0)),"")</f>
        <v/>
      </c>
      <c r="K143" s="73" t="n">
        <f aca="false">_xlfn.IFNA(INDEX(Cascade!$BH:$BH,MATCH($E143,Cascade!$E:$E,0)),"")</f>
        <v>-588</v>
      </c>
      <c r="L143" s="73" t="str">
        <f aca="false">_xlfn.IFNA(INDEX(Cascade!$BI:$BI,MATCH($E143,Cascade!$E:$E,0)),"")</f>
        <v/>
      </c>
      <c r="M143" s="73" t="str">
        <f aca="false">_xlfn.IFNA(INDEX(Cascade!$BK:$BK,MATCH($E143,Cascade!$E:$E,0)),"")</f>
        <v/>
      </c>
      <c r="N143" s="118" t="n">
        <v>14</v>
      </c>
      <c r="O143" s="118" t="n">
        <v>31</v>
      </c>
      <c r="P143" s="118" t="n">
        <v>28</v>
      </c>
      <c r="Q143" s="75" t="str">
        <f aca="false">IF(OR(SUM($H143)=0,SUM($N143)=0,SUM($O143)=0),"",ROUND($H143*$N143,0))</f>
        <v/>
      </c>
      <c r="R143" s="75" t="str">
        <f aca="false">IF(OR(SUM($Q143)=0,SUM($O143)=0),"",ROUND(SUM($Q143)/SUM($O143),0)-SUM($Q143))</f>
        <v/>
      </c>
      <c r="S143" s="75" t="str">
        <f aca="false">IF(SUM($H143)=0,"",SUM($H143)-SUM($Q143))</f>
        <v/>
      </c>
      <c r="T143" s="75" t="str">
        <f aca="false">IF(OR(SUM($S143)=0,$N143&gt;1,SUM($P143)&lt;=0),"",ROUND($S143/$P143,0)-$S143)</f>
        <v/>
      </c>
      <c r="U143" s="118" t="str">
        <f aca="false">IF(SUM($G143)&lt;=0,"",SUM($Q143,$S143)/$G143)</f>
        <v/>
      </c>
      <c r="V143" s="118" t="str">
        <f aca="false">IF(OR(SUM($Q143)=0,SUM($G143)=0),"",SUM($Q143)/SUM($G143))</f>
        <v/>
      </c>
      <c r="W143" s="118" t="str">
        <f aca="false">IF(OR(SUM($S143)=0,SUM($G143)=0),"",SUM($S143)/SUM($G143))</f>
        <v/>
      </c>
      <c r="X143" s="118" t="str">
        <f aca="false">IF(OR(SUM($G143)=0,SUM($I143)=0),"",SUM($I143)/SUM($G143))</f>
        <v/>
      </c>
      <c r="Y143" s="118" t="str">
        <f aca="false">IF(OR(SUM($G143)=0,SUM($J143)=0),"",SUM($J143)/SUM($G143))</f>
        <v/>
      </c>
      <c r="Z143" s="118" t="str">
        <f aca="false">IF(OR(SUM($G143)=0,SUM($K143)=0),"",SUM($K143)/SUM($G143))</f>
        <v/>
      </c>
      <c r="AA143" s="118" t="str">
        <f aca="false">IF(OR(SUM($G143)=0,SUM($L143)=0),"",SUM($L143)/SUM($G143))</f>
        <v/>
      </c>
      <c r="AB143" s="118" t="n">
        <v>9</v>
      </c>
      <c r="AC143" s="118"/>
      <c r="AD143" s="118"/>
      <c r="AE143" s="118" t="n">
        <v>14</v>
      </c>
      <c r="AF143" s="118" t="n">
        <v>47</v>
      </c>
      <c r="AG143" s="118" t="n">
        <v>49</v>
      </c>
      <c r="AH143" s="118" t="n">
        <v>27</v>
      </c>
      <c r="AI143" s="118" t="n">
        <v>46</v>
      </c>
      <c r="AJ143" s="118" t="n">
        <v>28</v>
      </c>
      <c r="AK143" s="118" t="str">
        <f aca="false">IF(SUM($G143)&lt;=0,"",SUM($V143:$AJ143))</f>
        <v/>
      </c>
      <c r="AL143" s="118" t="n">
        <v>19</v>
      </c>
      <c r="AM143" s="75" t="str">
        <f aca="false">IF(OR(SUM($AB143)&lt;=0,SUM($G143)&lt;=0),"",ROUND($G143*$AB143,0))</f>
        <v/>
      </c>
      <c r="AN143" s="75" t="str">
        <f aca="false">IF(SUM($AM143)&lt;=0,"",IF(SUM($AL143)&lt;=0,"ENTER VALID YIELD!",ROUND($AM143/$AL143,0)-$AM143))</f>
        <v/>
      </c>
      <c r="AO143" s="118"/>
      <c r="AP143" s="75" t="str">
        <f aca="false">IF(OR(SUM($AC143)&lt;=0,SUM($G143)&lt;=0),"",ROUND($G143*$AC143,0))</f>
        <v/>
      </c>
      <c r="AQ143" s="75" t="str">
        <f aca="false">IF(SUM($AP143)&lt;=0,"",IF(SUM($AO143)&lt;=0,"ENTER VALID YIELD!",ROUND($AP143/$AO143,0)-$AP143))</f>
        <v/>
      </c>
      <c r="AR143" s="118"/>
      <c r="AS143" s="75" t="str">
        <f aca="false">IF(OR(SUM($AD143)&lt;=0,SUM($G143)&lt;=0),"",ROUND($G143*$AD143,0))</f>
        <v/>
      </c>
      <c r="AT143" s="75" t="str">
        <f aca="false">IF(SUM($AS143)&lt;=0,"",IF(SUM($AR143)&lt;=0,"ENTER VALID YIELD!",ROUND($AS143/$AR143,0)-$AS143))</f>
        <v/>
      </c>
      <c r="AU143" s="118"/>
      <c r="AV143" s="75" t="str">
        <f aca="false">IF(OR(SUM($AE143)&lt;=0,SUM($G143)&lt;=0),"",ROUND($G143*$AE143,0))</f>
        <v/>
      </c>
      <c r="AW143" s="75" t="str">
        <f aca="false">IF(SUM($AV143)&lt;=0,"",IF(SUM($AU143)&lt;=0,"ENTER VALID YIELD!",ROUND($AV143/$AU143,0)-$AV143))</f>
        <v/>
      </c>
      <c r="AX143" s="118"/>
      <c r="AY143" s="75" t="str">
        <f aca="false">IF(OR(SUM($AF143)&lt;=0,SUM($G143)&lt;=0),"",ROUND($G143*$AF143,0))</f>
        <v/>
      </c>
      <c r="AZ143" s="75" t="str">
        <f aca="false">IF(SUM($AY143)&lt;=0,"",IF(SUM($AX143)&lt;=0,"ENTER VALID YIELD!",ROUND($AY143/$AX143,0)-$AY143))</f>
        <v/>
      </c>
      <c r="BA143" s="118" t="n">
        <v>39</v>
      </c>
      <c r="BB143" s="75" t="str">
        <f aca="false">IF(OR(SUM($AG143)&lt;=0,SUM($G143)&lt;=0),"",ROUND($G143*$AG143,0))</f>
        <v/>
      </c>
      <c r="BC143" s="75" t="str">
        <f aca="false">IF(SUM($BB143)&lt;=0,"",IF(SUM($BA143)&lt;=0,"ENTER VALID YIELD!",ROUND($BB143/$BA143,0)-$BB143))</f>
        <v/>
      </c>
      <c r="BD143" s="118"/>
      <c r="BE143" s="75" t="str">
        <f aca="false">IF(OR(SUM($AH143)&lt;=0,SUM($G143)&lt;=0),"",ROUND($G143*$AH143,0))</f>
        <v/>
      </c>
      <c r="BF143" s="75" t="str">
        <f aca="false">IF(SUM($BE143)&lt;=0,"",IF(SUM($BD143)&lt;=0,"ENTER VALID YIELD!",ROUND($BE143/$BD143,0)-$BE143))</f>
        <v/>
      </c>
      <c r="BG143" s="118" t="n">
        <v>11</v>
      </c>
      <c r="BH143" s="75" t="str">
        <f aca="false">IF(OR(SUM($AI143)&lt;=0,SUM($G143)&lt;=0),"",ROUND($G143*$AI143,0))</f>
        <v/>
      </c>
      <c r="BI143" s="75" t="str">
        <f aca="false">IF(SUM($BH143)&lt;=0,"",IF(SUM($BG143)&lt;=0,"ENTER VALID YIELD!",ROUND($BH143/$BG143,0)-$BH143))</f>
        <v/>
      </c>
      <c r="BJ143" s="118" t="n">
        <v>18</v>
      </c>
      <c r="BK143" s="75" t="str">
        <f aca="false">IF(OR(SUM($AJ143)&lt;=0,SUM($G143)&lt;=0),"",ROUND($G143*$AJ143,0))</f>
        <v/>
      </c>
      <c r="BL143" s="75" t="str">
        <f aca="false">IF(SUM($BK143)&lt;=0,"",IF(SUM($BJ143)&lt;=0,"ENTER VALID YIELD!",ROUND($BK143/$BJ143,0)-$BK143))</f>
        <v/>
      </c>
      <c r="BM143" s="73" t="str">
        <f aca="false">IF(SUM($G143)&lt;=0,"",$G143)</f>
        <v/>
      </c>
      <c r="BN143" s="73" t="str">
        <f aca="false">IF(SUM($G143)&lt;=0,"",SUM($I143:$L143,$Q143,$S143,$AM143,$AP143,$AS143,$AV143,$AY143,$BB143,$BE143,$BH143,$BK143))</f>
        <v/>
      </c>
      <c r="BO143" s="73" t="str">
        <f aca="false">IF(AND(SUM($BN143)&lt;=0,SUM($BM143)&lt;=0),"",SUM($BN143)-SUM($BM143))</f>
        <v/>
      </c>
      <c r="BP143" s="73" t="n">
        <f aca="false">_xlfn.IFNA(INDEX(PMTCT!$AF:$AF,MATCH($E143,PMTCT!$E:$E,0)),"")</f>
        <v>-1568</v>
      </c>
      <c r="BQ143" s="73" t="str">
        <f aca="false">_xlfn.IFNA(INDEX(PMTCT!$AV:$AV,MATCH($E143,PMTCT!$E:$E,0)),"")</f>
        <v/>
      </c>
      <c r="BR143" s="73" t="n">
        <f aca="false">_xlfn.IFNA(INDEX(TB!$R:$R,MATCH($E143,TB!$E:$E,0)),"")</f>
        <v>504</v>
      </c>
      <c r="BS143" s="73" t="str">
        <f aca="false">_xlfn.IFNA(INDEX(VMMC!$AD:$AD,MATCH($E143,VMMC!$E:$E,0)),"")</f>
        <v/>
      </c>
      <c r="BT143" s="73" t="n">
        <f aca="false">IF(SUM($R143,$T143,$AN143,$AQ143,$AT143,$AW143,$AZ143,$BC143,$BF143,$BI143,$BL143,$BP143:$BS143)=0,"",SUM($R143,$T143,$AN143,$AQ143,$AT143,$AW143,$AZ143,$BC143,$BF143,$BI143,$BL143,$BP143:$BS143))</f>
        <v>-1064</v>
      </c>
      <c r="BU143" s="73" t="str">
        <f aca="false">IF(OR(SUM($BT143)=0,SUM($BN143)=0),"",SUM($BT143,$BN143))</f>
        <v/>
      </c>
      <c r="BV143" s="118" t="str">
        <f aca="false">IF(SUM($BU143)=0,"",SUM($BN143)/$BU143)</f>
        <v/>
      </c>
      <c r="BW143" s="73" t="n">
        <v>25</v>
      </c>
      <c r="BX143" s="118" t="n">
        <f aca="false">IF(OR($C143="01-04",$C143="05-09"),"",0%)</f>
        <v>0</v>
      </c>
      <c r="BY143" s="75" t="n">
        <f aca="false">IF(OR($C143="01-04",$C143="05-09",SUM($BW143)=0),"",ROUND($BW143*(1+$BX143),0))</f>
        <v>25</v>
      </c>
    </row>
    <row r="144" customFormat="false" ht="15" hidden="false" customHeight="false" outlineLevel="0" collapsed="false">
      <c r="A144" s="0" t="s">
        <v>146</v>
      </c>
      <c r="B144" s="0" t="s">
        <v>45</v>
      </c>
      <c r="C144" s="0" t="s">
        <v>80</v>
      </c>
      <c r="D144" s="0" t="s">
        <v>58</v>
      </c>
      <c r="E144" s="0" t="str">
        <f aca="false">B144&amp;"|"&amp;C144&amp;"|"&amp;D144</f>
        <v>Maseru [#SNU] [#DREAMS] [tKOXiaNhAyJ]|45-49|Male</v>
      </c>
      <c r="F144" s="118" t="n">
        <f aca="false">_xlfn.IFNA(INDEX(Cascade!$Y:$Y,MATCH($E144,Cascade!$E:$E,0)),"")</f>
        <v>0.796986357157402</v>
      </c>
      <c r="G144" s="73" t="n">
        <f aca="false">_xlfn.IFNA(INDEX(Cascade!$BD:$BD,MATCH($E144,Cascade!$E:$E,0)),"")</f>
        <v>7</v>
      </c>
      <c r="H144" s="73" t="n">
        <f aca="false">_xlfn.IFNA(INDEX(Cascade!$BE:$BE,MATCH($E144,Cascade!$E:$E,0)),"")</f>
        <v>4</v>
      </c>
      <c r="I144" s="73" t="str">
        <f aca="false">_xlfn.IFNA(INDEX(Cascade!$BF:$BF,MATCH($E144,Cascade!$E:$E,0)),"")</f>
        <v/>
      </c>
      <c r="J144" s="73" t="str">
        <f aca="false">_xlfn.IFNA(INDEX(Cascade!$BG:$BG,MATCH($E144,Cascade!$E:$E,0)),"")</f>
        <v/>
      </c>
      <c r="K144" s="73" t="n">
        <f aca="false">_xlfn.IFNA(INDEX(Cascade!$BH:$BH,MATCH($E144,Cascade!$E:$E,0)),"")</f>
        <v>-8514</v>
      </c>
      <c r="L144" s="73" t="str">
        <f aca="false">_xlfn.IFNA(INDEX(Cascade!$BI:$BI,MATCH($E144,Cascade!$E:$E,0)),"")</f>
        <v/>
      </c>
      <c r="M144" s="73" t="n">
        <f aca="false">_xlfn.IFNA(INDEX(Cascade!$BK:$BK,MATCH($E144,Cascade!$E:$E,0)),"")</f>
        <v>8517</v>
      </c>
      <c r="N144" s="118" t="n">
        <v>23</v>
      </c>
      <c r="O144" s="118" t="n">
        <v>30</v>
      </c>
      <c r="P144" s="118" t="n">
        <v>39</v>
      </c>
      <c r="Q144" s="75" t="n">
        <f aca="false">IF(OR(SUM($H144)=0,SUM($N144)=0,SUM($O144)=0),"",ROUND($H144*$N144,0))</f>
        <v>92</v>
      </c>
      <c r="R144" s="75" t="n">
        <f aca="false">IF(OR(SUM($Q144)=0,SUM($O144)=0),"",ROUND(SUM($Q144)/SUM($O144),0)-SUM($Q144))</f>
        <v>-89</v>
      </c>
      <c r="S144" s="75" t="n">
        <f aca="false">IF(SUM($H144)=0,"",SUM($H144)-SUM($Q144))</f>
        <v>-88</v>
      </c>
      <c r="T144" s="75" t="str">
        <f aca="false">IF(OR(SUM($S144)=0,$N144&gt;1,SUM($P144)&lt;=0),"",ROUND($S144/$P144,0)-$S144)</f>
        <v/>
      </c>
      <c r="U144" s="118" t="n">
        <f aca="false">IF(SUM($G144)&lt;=0,"",SUM($Q144,$S144)/$G144)</f>
        <v>0.571428571428571</v>
      </c>
      <c r="V144" s="118" t="n">
        <f aca="false">IF(OR(SUM($Q144)=0,SUM($G144)=0),"",SUM($Q144)/SUM($G144))</f>
        <v>13.1428571428571</v>
      </c>
      <c r="W144" s="118" t="n">
        <f aca="false">IF(OR(SUM($S144)=0,SUM($G144)=0),"",SUM($S144)/SUM($G144))</f>
        <v>-12.5714285714286</v>
      </c>
      <c r="X144" s="118" t="str">
        <f aca="false">IF(OR(SUM($G144)=0,SUM($I144)=0),"",SUM($I144)/SUM($G144))</f>
        <v/>
      </c>
      <c r="Y144" s="118" t="str">
        <f aca="false">IF(OR(SUM($G144)=0,SUM($J144)=0),"",SUM($J144)/SUM($G144))</f>
        <v/>
      </c>
      <c r="Z144" s="118" t="n">
        <f aca="false">IF(OR(SUM($G144)=0,SUM($K144)=0),"",SUM($K144)/SUM($G144))</f>
        <v>-1216.28571428571</v>
      </c>
      <c r="AA144" s="118" t="str">
        <f aca="false">IF(OR(SUM($G144)=0,SUM($L144)=0),"",SUM($L144)/SUM($G144))</f>
        <v/>
      </c>
      <c r="AB144" s="118" t="n">
        <v>10</v>
      </c>
      <c r="AC144" s="118"/>
      <c r="AD144" s="118"/>
      <c r="AE144" s="118" t="n">
        <v>8</v>
      </c>
      <c r="AF144" s="118" t="n">
        <v>22</v>
      </c>
      <c r="AG144" s="118" t="n">
        <v>2</v>
      </c>
      <c r="AH144" s="118" t="n">
        <v>13</v>
      </c>
      <c r="AI144" s="118" t="n">
        <v>47</v>
      </c>
      <c r="AJ144" s="118" t="n">
        <v>33</v>
      </c>
      <c r="AK144" s="118" t="n">
        <f aca="false">IF(SUM($G144)&lt;=0,"",SUM($V144:$AJ144))</f>
        <v>-1080.71428571429</v>
      </c>
      <c r="AL144" s="118"/>
      <c r="AM144" s="75" t="n">
        <f aca="false">IF(OR(SUM($AB144)&lt;=0,SUM($G144)&lt;=0),"",ROUND($G144*$AB144,0))</f>
        <v>70</v>
      </c>
      <c r="AN144" s="75" t="str">
        <f aca="false">IF(SUM($AM144)&lt;=0,"",IF(SUM($AL144)&lt;=0,"ENTER VALID YIELD!",ROUND($AM144/$AL144,0)-$AM144))</f>
        <v>ENTER VALID YIELD!</v>
      </c>
      <c r="AO144" s="118"/>
      <c r="AP144" s="75" t="str">
        <f aca="false">IF(OR(SUM($AC144)&lt;=0,SUM($G144)&lt;=0),"",ROUND($G144*$AC144,0))</f>
        <v/>
      </c>
      <c r="AQ144" s="75" t="str">
        <f aca="false">IF(SUM($AP144)&lt;=0,"",IF(SUM($AO144)&lt;=0,"ENTER VALID YIELD!",ROUND($AP144/$AO144,0)-$AP144))</f>
        <v/>
      </c>
      <c r="AR144" s="118"/>
      <c r="AS144" s="75" t="str">
        <f aca="false">IF(OR(SUM($AD144)&lt;=0,SUM($G144)&lt;=0),"",ROUND($G144*$AD144,0))</f>
        <v/>
      </c>
      <c r="AT144" s="75" t="str">
        <f aca="false">IF(SUM($AS144)&lt;=0,"",IF(SUM($AR144)&lt;=0,"ENTER VALID YIELD!",ROUND($AS144/$AR144,0)-$AS144))</f>
        <v/>
      </c>
      <c r="AU144" s="118"/>
      <c r="AV144" s="75" t="n">
        <f aca="false">IF(OR(SUM($AE144)&lt;=0,SUM($G144)&lt;=0),"",ROUND($G144*$AE144,0))</f>
        <v>56</v>
      </c>
      <c r="AW144" s="75" t="str">
        <f aca="false">IF(SUM($AV144)&lt;=0,"",IF(SUM($AU144)&lt;=0,"ENTER VALID YIELD!",ROUND($AV144/$AU144,0)-$AV144))</f>
        <v>ENTER VALID YIELD!</v>
      </c>
      <c r="AX144" s="118"/>
      <c r="AY144" s="75" t="n">
        <f aca="false">IF(OR(SUM($AF144)&lt;=0,SUM($G144)&lt;=0),"",ROUND($G144*$AF144,0))</f>
        <v>154</v>
      </c>
      <c r="AZ144" s="75" t="str">
        <f aca="false">IF(SUM($AY144)&lt;=0,"",IF(SUM($AX144)&lt;=0,"ENTER VALID YIELD!",ROUND($AY144/$AX144,0)-$AY144))</f>
        <v>ENTER VALID YIELD!</v>
      </c>
      <c r="BA144" s="118" t="n">
        <v>40</v>
      </c>
      <c r="BB144" s="75" t="n">
        <f aca="false">IF(OR(SUM($AG144)&lt;=0,SUM($G144)&lt;=0),"",ROUND($G144*$AG144,0))</f>
        <v>14</v>
      </c>
      <c r="BC144" s="75" t="n">
        <f aca="false">IF(SUM($BB144)&lt;=0,"",IF(SUM($BA144)&lt;=0,"ENTER VALID YIELD!",ROUND($BB144/$BA144,0)-$BB144))</f>
        <v>-14</v>
      </c>
      <c r="BD144" s="118"/>
      <c r="BE144" s="75" t="n">
        <f aca="false">IF(OR(SUM($AH144)&lt;=0,SUM($G144)&lt;=0),"",ROUND($G144*$AH144,0))</f>
        <v>91</v>
      </c>
      <c r="BF144" s="75" t="str">
        <f aca="false">IF(SUM($BE144)&lt;=0,"",IF(SUM($BD144)&lt;=0,"ENTER VALID YIELD!",ROUND($BE144/$BD144,0)-$BE144))</f>
        <v>ENTER VALID YIELD!</v>
      </c>
      <c r="BG144" s="118" t="n">
        <v>47</v>
      </c>
      <c r="BH144" s="75" t="n">
        <f aca="false">IF(OR(SUM($AI144)&lt;=0,SUM($G144)&lt;=0),"",ROUND($G144*$AI144,0))</f>
        <v>329</v>
      </c>
      <c r="BI144" s="75" t="n">
        <f aca="false">IF(SUM($BH144)&lt;=0,"",IF(SUM($BG144)&lt;=0,"ENTER VALID YIELD!",ROUND($BH144/$BG144,0)-$BH144))</f>
        <v>-322</v>
      </c>
      <c r="BJ144" s="118" t="n">
        <v>48</v>
      </c>
      <c r="BK144" s="75" t="n">
        <f aca="false">IF(OR(SUM($AJ144)&lt;=0,SUM($G144)&lt;=0),"",ROUND($G144*$AJ144,0))</f>
        <v>231</v>
      </c>
      <c r="BL144" s="75" t="n">
        <f aca="false">IF(SUM($BK144)&lt;=0,"",IF(SUM($BJ144)&lt;=0,"ENTER VALID YIELD!",ROUND($BK144/$BJ144,0)-$BK144))</f>
        <v>-226</v>
      </c>
      <c r="BM144" s="73" t="n">
        <f aca="false">IF(SUM($G144)&lt;=0,"",$G144)</f>
        <v>7</v>
      </c>
      <c r="BN144" s="73" t="n">
        <f aca="false">IF(SUM($G144)&lt;=0,"",SUM($I144:$L144,$Q144,$S144,$AM144,$AP144,$AS144,$AV144,$AY144,$BB144,$BE144,$BH144,$BK144))</f>
        <v>-7565</v>
      </c>
      <c r="BO144" s="73" t="n">
        <f aca="false">IF(AND(SUM($BN144)&lt;=0,SUM($BM144)&lt;=0),"",SUM($BN144)-SUM($BM144))</f>
        <v>-7572</v>
      </c>
      <c r="BP144" s="73" t="str">
        <f aca="false">_xlfn.IFNA(INDEX(PMTCT!$AF:$AF,MATCH($E144,PMTCT!$E:$E,0)),"")</f>
        <v/>
      </c>
      <c r="BQ144" s="73" t="str">
        <f aca="false">_xlfn.IFNA(INDEX(PMTCT!$AV:$AV,MATCH($E144,PMTCT!$E:$E,0)),"")</f>
        <v/>
      </c>
      <c r="BR144" s="73" t="n">
        <f aca="false">_xlfn.IFNA(INDEX(TB!$R:$R,MATCH($E144,TB!$E:$E,0)),"")</f>
        <v>8127</v>
      </c>
      <c r="BS144" s="73" t="str">
        <f aca="false">_xlfn.IFNA(INDEX(VMMC!$AD:$AD,MATCH($E144,VMMC!$E:$E,0)),"")</f>
        <v/>
      </c>
      <c r="BT144" s="73" t="n">
        <f aca="false">IF(SUM($R144,$T144,$AN144,$AQ144,$AT144,$AW144,$AZ144,$BC144,$BF144,$BI144,$BL144,$BP144:$BS144)=0,"",SUM($R144,$T144,$AN144,$AQ144,$AT144,$AW144,$AZ144,$BC144,$BF144,$BI144,$BL144,$BP144:$BS144))</f>
        <v>7476</v>
      </c>
      <c r="BU144" s="73" t="n">
        <f aca="false">IF(OR(SUM($BT144)=0,SUM($BN144)=0),"",SUM($BT144,$BN144))</f>
        <v>-89</v>
      </c>
      <c r="BV144" s="118" t="n">
        <f aca="false">IF(SUM($BU144)=0,"",SUM($BN144)/$BU144)</f>
        <v>85</v>
      </c>
      <c r="BW144" s="73" t="n">
        <v>15</v>
      </c>
      <c r="BX144" s="118" t="n">
        <f aca="false">IF(OR($C144="01-04",$C144="05-09"),"",0%)</f>
        <v>0</v>
      </c>
      <c r="BY144" s="75" t="n">
        <f aca="false">IF(OR($C144="01-04",$C144="05-09",SUM($BW144)=0),"",ROUND($BW144*(1+$BX144),0))</f>
        <v>15</v>
      </c>
    </row>
    <row r="145" customFormat="false" ht="15" hidden="false" customHeight="false" outlineLevel="0" collapsed="false">
      <c r="A145" s="0" t="s">
        <v>146</v>
      </c>
      <c r="B145" s="0" t="s">
        <v>45</v>
      </c>
      <c r="C145" s="0" t="s">
        <v>86</v>
      </c>
      <c r="D145" s="0" t="s">
        <v>56</v>
      </c>
      <c r="E145" s="0" t="str">
        <f aca="false">B145&amp;"|"&amp;C145&amp;"|"&amp;D145</f>
        <v>Maseru [#SNU] [#DREAMS] [tKOXiaNhAyJ]|50+|Female</v>
      </c>
      <c r="F145" s="118" t="n">
        <f aca="false">_xlfn.IFNA(INDEX(Cascade!$Y:$Y,MATCH($E145,Cascade!$E:$E,0)),"")</f>
        <v>0.752140708169405</v>
      </c>
      <c r="G145" s="73" t="n">
        <f aca="false">_xlfn.IFNA(INDEX(Cascade!$BD:$BD,MATCH($E145,Cascade!$E:$E,0)),"")</f>
        <v>9</v>
      </c>
      <c r="H145" s="73" t="n">
        <f aca="false">_xlfn.IFNA(INDEX(Cascade!$BE:$BE,MATCH($E145,Cascade!$E:$E,0)),"")</f>
        <v>5</v>
      </c>
      <c r="I145" s="73" t="str">
        <f aca="false">_xlfn.IFNA(INDEX(Cascade!$BF:$BF,MATCH($E145,Cascade!$E:$E,0)),"")</f>
        <v/>
      </c>
      <c r="J145" s="73" t="str">
        <f aca="false">_xlfn.IFNA(INDEX(Cascade!$BG:$BG,MATCH($E145,Cascade!$E:$E,0)),"")</f>
        <v/>
      </c>
      <c r="K145" s="73" t="n">
        <f aca="false">_xlfn.IFNA(INDEX(Cascade!$BH:$BH,MATCH($E145,Cascade!$E:$E,0)),"")</f>
        <v>-1786</v>
      </c>
      <c r="L145" s="73" t="str">
        <f aca="false">_xlfn.IFNA(INDEX(Cascade!$BI:$BI,MATCH($E145,Cascade!$E:$E,0)),"")</f>
        <v/>
      </c>
      <c r="M145" s="73" t="n">
        <f aca="false">_xlfn.IFNA(INDEX(Cascade!$BK:$BK,MATCH($E145,Cascade!$E:$E,0)),"")</f>
        <v>1790</v>
      </c>
      <c r="N145" s="118" t="n">
        <v>43</v>
      </c>
      <c r="O145" s="118" t="n">
        <v>4</v>
      </c>
      <c r="P145" s="118" t="n">
        <v>2</v>
      </c>
      <c r="Q145" s="75" t="n">
        <f aca="false">IF(OR(SUM($H145)=0,SUM($N145)=0,SUM($O145)=0),"",ROUND($H145*$N145,0))</f>
        <v>215</v>
      </c>
      <c r="R145" s="75" t="n">
        <f aca="false">IF(OR(SUM($Q145)=0,SUM($O145)=0),"",ROUND(SUM($Q145)/SUM($O145),0)-SUM($Q145))</f>
        <v>-161</v>
      </c>
      <c r="S145" s="75" t="n">
        <f aca="false">IF(SUM($H145)=0,"",SUM($H145)-SUM($Q145))</f>
        <v>-210</v>
      </c>
      <c r="T145" s="75" t="str">
        <f aca="false">IF(OR(SUM($S145)=0,$N145&gt;1,SUM($P145)&lt;=0),"",ROUND($S145/$P145,0)-$S145)</f>
        <v/>
      </c>
      <c r="U145" s="118" t="n">
        <f aca="false">IF(SUM($G145)&lt;=0,"",SUM($Q145,$S145)/$G145)</f>
        <v>0.555555555555556</v>
      </c>
      <c r="V145" s="118" t="n">
        <f aca="false">IF(OR(SUM($Q145)=0,SUM($G145)=0),"",SUM($Q145)/SUM($G145))</f>
        <v>23.8888888888889</v>
      </c>
      <c r="W145" s="118" t="n">
        <f aca="false">IF(OR(SUM($S145)=0,SUM($G145)=0),"",SUM($S145)/SUM($G145))</f>
        <v>-23.3333333333333</v>
      </c>
      <c r="X145" s="118" t="str">
        <f aca="false">IF(OR(SUM($G145)=0,SUM($I145)=0),"",SUM($I145)/SUM($G145))</f>
        <v/>
      </c>
      <c r="Y145" s="118" t="str">
        <f aca="false">IF(OR(SUM($G145)=0,SUM($J145)=0),"",SUM($J145)/SUM($G145))</f>
        <v/>
      </c>
      <c r="Z145" s="118" t="n">
        <f aca="false">IF(OR(SUM($G145)=0,SUM($K145)=0),"",SUM($K145)/SUM($G145))</f>
        <v>-198.444444444444</v>
      </c>
      <c r="AA145" s="118" t="str">
        <f aca="false">IF(OR(SUM($G145)=0,SUM($L145)=0),"",SUM($L145)/SUM($G145))</f>
        <v/>
      </c>
      <c r="AB145" s="118" t="n">
        <v>20</v>
      </c>
      <c r="AC145" s="118"/>
      <c r="AD145" s="118"/>
      <c r="AE145" s="118" t="n">
        <v>14</v>
      </c>
      <c r="AF145" s="118" t="n">
        <v>37</v>
      </c>
      <c r="AG145" s="118" t="n">
        <v>7</v>
      </c>
      <c r="AH145" s="118" t="n">
        <v>16</v>
      </c>
      <c r="AI145" s="118" t="n">
        <v>6</v>
      </c>
      <c r="AJ145" s="118" t="n">
        <v>23</v>
      </c>
      <c r="AK145" s="118" t="n">
        <f aca="false">IF(SUM($G145)&lt;=0,"",SUM($V145:$AJ145))</f>
        <v>-74.8888888888889</v>
      </c>
      <c r="AL145" s="118" t="n">
        <v>10</v>
      </c>
      <c r="AM145" s="75" t="n">
        <f aca="false">IF(OR(SUM($AB145)&lt;=0,SUM($G145)&lt;=0),"",ROUND($G145*$AB145,0))</f>
        <v>180</v>
      </c>
      <c r="AN145" s="75" t="n">
        <f aca="false">IF(SUM($AM145)&lt;=0,"",IF(SUM($AL145)&lt;=0,"ENTER VALID YIELD!",ROUND($AM145/$AL145,0)-$AM145))</f>
        <v>-162</v>
      </c>
      <c r="AO145" s="118"/>
      <c r="AP145" s="75" t="str">
        <f aca="false">IF(OR(SUM($AC145)&lt;=0,SUM($G145)&lt;=0),"",ROUND($G145*$AC145,0))</f>
        <v/>
      </c>
      <c r="AQ145" s="75" t="str">
        <f aca="false">IF(SUM($AP145)&lt;=0,"",IF(SUM($AO145)&lt;=0,"ENTER VALID YIELD!",ROUND($AP145/$AO145,0)-$AP145))</f>
        <v/>
      </c>
      <c r="AR145" s="118"/>
      <c r="AS145" s="75" t="str">
        <f aca="false">IF(OR(SUM($AD145)&lt;=0,SUM($G145)&lt;=0),"",ROUND($G145*$AD145,0))</f>
        <v/>
      </c>
      <c r="AT145" s="75" t="str">
        <f aca="false">IF(SUM($AS145)&lt;=0,"",IF(SUM($AR145)&lt;=0,"ENTER VALID YIELD!",ROUND($AS145/$AR145,0)-$AS145))</f>
        <v/>
      </c>
      <c r="AU145" s="118"/>
      <c r="AV145" s="75" t="n">
        <f aca="false">IF(OR(SUM($AE145)&lt;=0,SUM($G145)&lt;=0),"",ROUND($G145*$AE145,0))</f>
        <v>126</v>
      </c>
      <c r="AW145" s="75" t="str">
        <f aca="false">IF(SUM($AV145)&lt;=0,"",IF(SUM($AU145)&lt;=0,"ENTER VALID YIELD!",ROUND($AV145/$AU145,0)-$AV145))</f>
        <v>ENTER VALID YIELD!</v>
      </c>
      <c r="AX145" s="118"/>
      <c r="AY145" s="75" t="n">
        <f aca="false">IF(OR(SUM($AF145)&lt;=0,SUM($G145)&lt;=0),"",ROUND($G145*$AF145,0))</f>
        <v>333</v>
      </c>
      <c r="AZ145" s="75" t="str">
        <f aca="false">IF(SUM($AY145)&lt;=0,"",IF(SUM($AX145)&lt;=0,"ENTER VALID YIELD!",ROUND($AY145/$AX145,0)-$AY145))</f>
        <v>ENTER VALID YIELD!</v>
      </c>
      <c r="BA145" s="118" t="n">
        <v>32</v>
      </c>
      <c r="BB145" s="75" t="n">
        <f aca="false">IF(OR(SUM($AG145)&lt;=0,SUM($G145)&lt;=0),"",ROUND($G145*$AG145,0))</f>
        <v>63</v>
      </c>
      <c r="BC145" s="75" t="n">
        <f aca="false">IF(SUM($BB145)&lt;=0,"",IF(SUM($BA145)&lt;=0,"ENTER VALID YIELD!",ROUND($BB145/$BA145,0)-$BB145))</f>
        <v>-61</v>
      </c>
      <c r="BD145" s="118"/>
      <c r="BE145" s="75" t="n">
        <f aca="false">IF(OR(SUM($AH145)&lt;=0,SUM($G145)&lt;=0),"",ROUND($G145*$AH145,0))</f>
        <v>144</v>
      </c>
      <c r="BF145" s="75" t="str">
        <f aca="false">IF(SUM($BE145)&lt;=0,"",IF(SUM($BD145)&lt;=0,"ENTER VALID YIELD!",ROUND($BE145/$BD145,0)-$BE145))</f>
        <v>ENTER VALID YIELD!</v>
      </c>
      <c r="BG145" s="118" t="n">
        <v>9</v>
      </c>
      <c r="BH145" s="75" t="n">
        <f aca="false">IF(OR(SUM($AI145)&lt;=0,SUM($G145)&lt;=0),"",ROUND($G145*$AI145,0))</f>
        <v>54</v>
      </c>
      <c r="BI145" s="75" t="n">
        <f aca="false">IF(SUM($BH145)&lt;=0,"",IF(SUM($BG145)&lt;=0,"ENTER VALID YIELD!",ROUND($BH145/$BG145,0)-$BH145))</f>
        <v>-48</v>
      </c>
      <c r="BJ145" s="118" t="n">
        <v>21</v>
      </c>
      <c r="BK145" s="75" t="n">
        <f aca="false">IF(OR(SUM($AJ145)&lt;=0,SUM($G145)&lt;=0),"",ROUND($G145*$AJ145,0))</f>
        <v>207</v>
      </c>
      <c r="BL145" s="75" t="n">
        <f aca="false">IF(SUM($BK145)&lt;=0,"",IF(SUM($BJ145)&lt;=0,"ENTER VALID YIELD!",ROUND($BK145/$BJ145,0)-$BK145))</f>
        <v>-197</v>
      </c>
      <c r="BM145" s="73" t="n">
        <f aca="false">IF(SUM($G145)&lt;=0,"",$G145)</f>
        <v>9</v>
      </c>
      <c r="BN145" s="73" t="n">
        <f aca="false">IF(SUM($G145)&lt;=0,"",SUM($I145:$L145,$Q145,$S145,$AM145,$AP145,$AS145,$AV145,$AY145,$BB145,$BE145,$BH145,$BK145))</f>
        <v>-674</v>
      </c>
      <c r="BO145" s="73" t="n">
        <f aca="false">IF(AND(SUM($BN145)&lt;=0,SUM($BM145)&lt;=0),"",SUM($BN145)-SUM($BM145))</f>
        <v>-683</v>
      </c>
      <c r="BP145" s="73" t="str">
        <f aca="false">_xlfn.IFNA(INDEX(PMTCT!$AF:$AF,MATCH($E145,PMTCT!$E:$E,0)),"")</f>
        <v/>
      </c>
      <c r="BQ145" s="73" t="str">
        <f aca="false">_xlfn.IFNA(INDEX(PMTCT!$AV:$AV,MATCH($E145,PMTCT!$E:$E,0)),"")</f>
        <v/>
      </c>
      <c r="BR145" s="73" t="n">
        <f aca="false">_xlfn.IFNA(INDEX(TB!$R:$R,MATCH($E145,TB!$E:$E,0)),"")</f>
        <v>1748</v>
      </c>
      <c r="BS145" s="73" t="str">
        <f aca="false">_xlfn.IFNA(INDEX(VMMC!$AD:$AD,MATCH($E145,VMMC!$E:$E,0)),"")</f>
        <v/>
      </c>
      <c r="BT145" s="73" t="n">
        <f aca="false">IF(SUM($R145,$T145,$AN145,$AQ145,$AT145,$AW145,$AZ145,$BC145,$BF145,$BI145,$BL145,$BP145:$BS145)=0,"",SUM($R145,$T145,$AN145,$AQ145,$AT145,$AW145,$AZ145,$BC145,$BF145,$BI145,$BL145,$BP145:$BS145))</f>
        <v>1119</v>
      </c>
      <c r="BU145" s="73" t="n">
        <f aca="false">IF(OR(SUM($BT145)=0,SUM($BN145)=0),"",SUM($BT145,$BN145))</f>
        <v>445</v>
      </c>
      <c r="BV145" s="118" t="n">
        <f aca="false">IF(SUM($BU145)=0,"",SUM($BN145)/$BU145)</f>
        <v>-1.51460674157303</v>
      </c>
      <c r="BW145" s="73" t="n">
        <v>39</v>
      </c>
      <c r="BX145" s="118" t="n">
        <f aca="false">IF(OR($C145="01-04",$C145="05-09"),"",0%)</f>
        <v>0</v>
      </c>
      <c r="BY145" s="75" t="n">
        <f aca="false">IF(OR($C145="01-04",$C145="05-09",SUM($BW145)=0),"",ROUND($BW145*(1+$BX145),0))</f>
        <v>39</v>
      </c>
    </row>
    <row r="146" customFormat="false" ht="15" hidden="false" customHeight="false" outlineLevel="0" collapsed="false">
      <c r="A146" s="0" t="s">
        <v>146</v>
      </c>
      <c r="B146" s="0" t="s">
        <v>45</v>
      </c>
      <c r="C146" s="0" t="s">
        <v>86</v>
      </c>
      <c r="D146" s="0" t="s">
        <v>58</v>
      </c>
      <c r="E146" s="0" t="str">
        <f aca="false">B146&amp;"|"&amp;C146&amp;"|"&amp;D146</f>
        <v>Maseru [#SNU] [#DREAMS] [tKOXiaNhAyJ]|50+|Male</v>
      </c>
      <c r="F146" s="118" t="n">
        <f aca="false">_xlfn.IFNA(INDEX(Cascade!$Y:$Y,MATCH($E146,Cascade!$E:$E,0)),"")</f>
        <v>0.710733899151273</v>
      </c>
      <c r="G146" s="73" t="n">
        <f aca="false">_xlfn.IFNA(INDEX(Cascade!$BD:$BD,MATCH($E146,Cascade!$E:$E,0)),"")</f>
        <v>4</v>
      </c>
      <c r="H146" s="73" t="n">
        <f aca="false">_xlfn.IFNA(INDEX(Cascade!$BE:$BE,MATCH($E146,Cascade!$E:$E,0)),"")</f>
        <v>2</v>
      </c>
      <c r="I146" s="73" t="str">
        <f aca="false">_xlfn.IFNA(INDEX(Cascade!$BF:$BF,MATCH($E146,Cascade!$E:$E,0)),"")</f>
        <v/>
      </c>
      <c r="J146" s="73" t="str">
        <f aca="false">_xlfn.IFNA(INDEX(Cascade!$BG:$BG,MATCH($E146,Cascade!$E:$E,0)),"")</f>
        <v/>
      </c>
      <c r="K146" s="73" t="n">
        <f aca="false">_xlfn.IFNA(INDEX(Cascade!$BH:$BH,MATCH($E146,Cascade!$E:$E,0)),"")</f>
        <v>-2640</v>
      </c>
      <c r="L146" s="73" t="str">
        <f aca="false">_xlfn.IFNA(INDEX(Cascade!$BI:$BI,MATCH($E146,Cascade!$E:$E,0)),"")</f>
        <v/>
      </c>
      <c r="M146" s="73" t="n">
        <f aca="false">_xlfn.IFNA(INDEX(Cascade!$BK:$BK,MATCH($E146,Cascade!$E:$E,0)),"")</f>
        <v>2642</v>
      </c>
      <c r="N146" s="118" t="n">
        <v>5</v>
      </c>
      <c r="O146" s="118" t="n">
        <v>49</v>
      </c>
      <c r="P146" s="118" t="n">
        <v>20</v>
      </c>
      <c r="Q146" s="75" t="n">
        <f aca="false">IF(OR(SUM($H146)=0,SUM($N146)=0,SUM($O146)=0),"",ROUND($H146*$N146,0))</f>
        <v>10</v>
      </c>
      <c r="R146" s="75" t="n">
        <f aca="false">IF(OR(SUM($Q146)=0,SUM($O146)=0),"",ROUND(SUM($Q146)/SUM($O146),0)-SUM($Q146))</f>
        <v>-10</v>
      </c>
      <c r="S146" s="75" t="n">
        <f aca="false">IF(SUM($H146)=0,"",SUM($H146)-SUM($Q146))</f>
        <v>-8</v>
      </c>
      <c r="T146" s="75" t="str">
        <f aca="false">IF(OR(SUM($S146)=0,$N146&gt;1,SUM($P146)&lt;=0),"",ROUND($S146/$P146,0)-$S146)</f>
        <v/>
      </c>
      <c r="U146" s="118" t="n">
        <f aca="false">IF(SUM($G146)&lt;=0,"",SUM($Q146,$S146)/$G146)</f>
        <v>0.5</v>
      </c>
      <c r="V146" s="118" t="n">
        <f aca="false">IF(OR(SUM($Q146)=0,SUM($G146)=0),"",SUM($Q146)/SUM($G146))</f>
        <v>2.5</v>
      </c>
      <c r="W146" s="118" t="n">
        <f aca="false">IF(OR(SUM($S146)=0,SUM($G146)=0),"",SUM($S146)/SUM($G146))</f>
        <v>-2</v>
      </c>
      <c r="X146" s="118" t="str">
        <f aca="false">IF(OR(SUM($G146)=0,SUM($I146)=0),"",SUM($I146)/SUM($G146))</f>
        <v/>
      </c>
      <c r="Y146" s="118" t="str">
        <f aca="false">IF(OR(SUM($G146)=0,SUM($J146)=0),"",SUM($J146)/SUM($G146))</f>
        <v/>
      </c>
      <c r="Z146" s="118" t="n">
        <f aca="false">IF(OR(SUM($G146)=0,SUM($K146)=0),"",SUM($K146)/SUM($G146))</f>
        <v>-660</v>
      </c>
      <c r="AA146" s="118" t="str">
        <f aca="false">IF(OR(SUM($G146)=0,SUM($L146)=0),"",SUM($L146)/SUM($G146))</f>
        <v/>
      </c>
      <c r="AB146" s="118" t="n">
        <v>15</v>
      </c>
      <c r="AC146" s="118"/>
      <c r="AD146" s="118"/>
      <c r="AE146" s="118" t="n">
        <v>25</v>
      </c>
      <c r="AF146" s="118" t="n">
        <v>42</v>
      </c>
      <c r="AG146" s="118" t="n">
        <v>38</v>
      </c>
      <c r="AH146" s="118" t="n">
        <v>37</v>
      </c>
      <c r="AI146" s="118" t="n">
        <v>17</v>
      </c>
      <c r="AJ146" s="118" t="n">
        <v>49</v>
      </c>
      <c r="AK146" s="118" t="n">
        <f aca="false">IF(SUM($G146)&lt;=0,"",SUM($V146:$AJ146))</f>
        <v>-436.5</v>
      </c>
      <c r="AL146" s="118" t="n">
        <v>37</v>
      </c>
      <c r="AM146" s="75" t="n">
        <f aca="false">IF(OR(SUM($AB146)&lt;=0,SUM($G146)&lt;=0),"",ROUND($G146*$AB146,0))</f>
        <v>60</v>
      </c>
      <c r="AN146" s="75" t="n">
        <f aca="false">IF(SUM($AM146)&lt;=0,"",IF(SUM($AL146)&lt;=0,"ENTER VALID YIELD!",ROUND($AM146/$AL146,0)-$AM146))</f>
        <v>-58</v>
      </c>
      <c r="AO146" s="118"/>
      <c r="AP146" s="75" t="str">
        <f aca="false">IF(OR(SUM($AC146)&lt;=0,SUM($G146)&lt;=0),"",ROUND($G146*$AC146,0))</f>
        <v/>
      </c>
      <c r="AQ146" s="75" t="str">
        <f aca="false">IF(SUM($AP146)&lt;=0,"",IF(SUM($AO146)&lt;=0,"ENTER VALID YIELD!",ROUND($AP146/$AO146,0)-$AP146))</f>
        <v/>
      </c>
      <c r="AR146" s="118"/>
      <c r="AS146" s="75" t="str">
        <f aca="false">IF(OR(SUM($AD146)&lt;=0,SUM($G146)&lt;=0),"",ROUND($G146*$AD146,0))</f>
        <v/>
      </c>
      <c r="AT146" s="75" t="str">
        <f aca="false">IF(SUM($AS146)&lt;=0,"",IF(SUM($AR146)&lt;=0,"ENTER VALID YIELD!",ROUND($AS146/$AR146,0)-$AS146))</f>
        <v/>
      </c>
      <c r="AU146" s="118"/>
      <c r="AV146" s="75" t="n">
        <f aca="false">IF(OR(SUM($AE146)&lt;=0,SUM($G146)&lt;=0),"",ROUND($G146*$AE146,0))</f>
        <v>100</v>
      </c>
      <c r="AW146" s="75" t="str">
        <f aca="false">IF(SUM($AV146)&lt;=0,"",IF(SUM($AU146)&lt;=0,"ENTER VALID YIELD!",ROUND($AV146/$AU146,0)-$AV146))</f>
        <v>ENTER VALID YIELD!</v>
      </c>
      <c r="AX146" s="118"/>
      <c r="AY146" s="75" t="n">
        <f aca="false">IF(OR(SUM($AF146)&lt;=0,SUM($G146)&lt;=0),"",ROUND($G146*$AF146,0))</f>
        <v>168</v>
      </c>
      <c r="AZ146" s="75" t="str">
        <f aca="false">IF(SUM($AY146)&lt;=0,"",IF(SUM($AX146)&lt;=0,"ENTER VALID YIELD!",ROUND($AY146/$AX146,0)-$AY146))</f>
        <v>ENTER VALID YIELD!</v>
      </c>
      <c r="BA146" s="118" t="n">
        <v>37</v>
      </c>
      <c r="BB146" s="75" t="n">
        <f aca="false">IF(OR(SUM($AG146)&lt;=0,SUM($G146)&lt;=0),"",ROUND($G146*$AG146,0))</f>
        <v>152</v>
      </c>
      <c r="BC146" s="75" t="n">
        <f aca="false">IF(SUM($BB146)&lt;=0,"",IF(SUM($BA146)&lt;=0,"ENTER VALID YIELD!",ROUND($BB146/$BA146,0)-$BB146))</f>
        <v>-148</v>
      </c>
      <c r="BD146" s="118"/>
      <c r="BE146" s="75" t="n">
        <f aca="false">IF(OR(SUM($AH146)&lt;=0,SUM($G146)&lt;=0),"",ROUND($G146*$AH146,0))</f>
        <v>148</v>
      </c>
      <c r="BF146" s="75" t="str">
        <f aca="false">IF(SUM($BE146)&lt;=0,"",IF(SUM($BD146)&lt;=0,"ENTER VALID YIELD!",ROUND($BE146/$BD146,0)-$BE146))</f>
        <v>ENTER VALID YIELD!</v>
      </c>
      <c r="BG146" s="118" t="n">
        <v>46</v>
      </c>
      <c r="BH146" s="75" t="n">
        <f aca="false">IF(OR(SUM($AI146)&lt;=0,SUM($G146)&lt;=0),"",ROUND($G146*$AI146,0))</f>
        <v>68</v>
      </c>
      <c r="BI146" s="75" t="n">
        <f aca="false">IF(SUM($BH146)&lt;=0,"",IF(SUM($BG146)&lt;=0,"ENTER VALID YIELD!",ROUND($BH146/$BG146,0)-$BH146))</f>
        <v>-67</v>
      </c>
      <c r="BJ146" s="118" t="n">
        <v>14</v>
      </c>
      <c r="BK146" s="75" t="n">
        <f aca="false">IF(OR(SUM($AJ146)&lt;=0,SUM($G146)&lt;=0),"",ROUND($G146*$AJ146,0))</f>
        <v>196</v>
      </c>
      <c r="BL146" s="75" t="n">
        <f aca="false">IF(SUM($BK146)&lt;=0,"",IF(SUM($BJ146)&lt;=0,"ENTER VALID YIELD!",ROUND($BK146/$BJ146,0)-$BK146))</f>
        <v>-182</v>
      </c>
      <c r="BM146" s="73" t="n">
        <f aca="false">IF(SUM($G146)&lt;=0,"",$G146)</f>
        <v>4</v>
      </c>
      <c r="BN146" s="73" t="n">
        <f aca="false">IF(SUM($G146)&lt;=0,"",SUM($I146:$L146,$Q146,$S146,$AM146,$AP146,$AS146,$AV146,$AY146,$BB146,$BE146,$BH146,$BK146))</f>
        <v>-1746</v>
      </c>
      <c r="BO146" s="73" t="n">
        <f aca="false">IF(AND(SUM($BN146)&lt;=0,SUM($BM146)&lt;=0),"",SUM($BN146)-SUM($BM146))</f>
        <v>-1750</v>
      </c>
      <c r="BP146" s="73" t="str">
        <f aca="false">_xlfn.IFNA(INDEX(PMTCT!$AF:$AF,MATCH($E146,PMTCT!$E:$E,0)),"")</f>
        <v/>
      </c>
      <c r="BQ146" s="73" t="str">
        <f aca="false">_xlfn.IFNA(INDEX(PMTCT!$AV:$AV,MATCH($E146,PMTCT!$E:$E,0)),"")</f>
        <v/>
      </c>
      <c r="BR146" s="73" t="n">
        <f aca="false">_xlfn.IFNA(INDEX(TB!$R:$R,MATCH($E146,TB!$E:$E,0)),"")</f>
        <v>2508</v>
      </c>
      <c r="BS146" s="73" t="str">
        <f aca="false">_xlfn.IFNA(INDEX(VMMC!$AD:$AD,MATCH($E146,VMMC!$E:$E,0)),"")</f>
        <v/>
      </c>
      <c r="BT146" s="73" t="n">
        <f aca="false">IF(SUM($R146,$T146,$AN146,$AQ146,$AT146,$AW146,$AZ146,$BC146,$BF146,$BI146,$BL146,$BP146:$BS146)=0,"",SUM($R146,$T146,$AN146,$AQ146,$AT146,$AW146,$AZ146,$BC146,$BF146,$BI146,$BL146,$BP146:$BS146))</f>
        <v>2043</v>
      </c>
      <c r="BU146" s="73" t="n">
        <f aca="false">IF(OR(SUM($BT146)=0,SUM($BN146)=0),"",SUM($BT146,$BN146))</f>
        <v>297</v>
      </c>
      <c r="BV146" s="118" t="n">
        <f aca="false">IF(SUM($BU146)=0,"",SUM($BN146)/$BU146)</f>
        <v>-5.87878787878788</v>
      </c>
      <c r="BW146" s="73" t="n">
        <v>19</v>
      </c>
      <c r="BX146" s="118" t="n">
        <f aca="false">IF(OR($C146="01-04",$C146="05-09"),"",0%)</f>
        <v>0</v>
      </c>
      <c r="BY146" s="75" t="n">
        <f aca="false">IF(OR($C146="01-04",$C146="05-09",SUM($BW146)=0),"",ROUND($BW146*(1+$BX146),0))</f>
        <v>19</v>
      </c>
    </row>
    <row r="147" customFormat="false" ht="15" hidden="false" customHeight="false" outlineLevel="0" collapsed="false">
      <c r="A147" s="0" t="s">
        <v>147</v>
      </c>
      <c r="B147" s="0" t="s">
        <v>105</v>
      </c>
      <c r="C147" s="0" t="s">
        <v>54</v>
      </c>
      <c r="D147" s="0" t="s">
        <v>56</v>
      </c>
      <c r="E147" s="0" t="str">
        <f aca="false">B147&amp;"|"&amp;C147&amp;"|"&amp;D147</f>
        <v>Mohale's Hoek [#SNU] [#DREAMS] [YGI7vISD2kJ]|01-04|Female</v>
      </c>
      <c r="F147" s="118" t="n">
        <f aca="false">_xlfn.IFNA(INDEX(Cascade!$Y:$Y,MATCH($E147,Cascade!$E:$E,0)),"")</f>
        <v>0.454545454545455</v>
      </c>
      <c r="G147" s="73" t="n">
        <f aca="false">_xlfn.IFNA(INDEX(Cascade!$BD:$BD,MATCH($E147,Cascade!$E:$E,0)),"")</f>
        <v>16</v>
      </c>
      <c r="H147" s="73" t="n">
        <f aca="false">_xlfn.IFNA(INDEX(Cascade!$BE:$BE,MATCH($E147,Cascade!$E:$E,0)),"")</f>
        <v>5</v>
      </c>
      <c r="I147" s="73" t="str">
        <f aca="false">_xlfn.IFNA(INDEX(Cascade!$BF:$BF,MATCH($E147,Cascade!$E:$E,0)),"")</f>
        <v/>
      </c>
      <c r="J147" s="73" t="str">
        <f aca="false">_xlfn.IFNA(INDEX(Cascade!$BG:$BG,MATCH($E147,Cascade!$E:$E,0)),"")</f>
        <v/>
      </c>
      <c r="K147" s="73" t="n">
        <f aca="false">_xlfn.IFNA(INDEX(Cascade!$BH:$BH,MATCH($E147,Cascade!$E:$E,0)),"")</f>
        <v>0</v>
      </c>
      <c r="L147" s="73" t="str">
        <f aca="false">_xlfn.IFNA(INDEX(Cascade!$BI:$BI,MATCH($E147,Cascade!$E:$E,0)),"")</f>
        <v/>
      </c>
      <c r="M147" s="73" t="n">
        <f aca="false">_xlfn.IFNA(INDEX(Cascade!$BK:$BK,MATCH($E147,Cascade!$E:$E,0)),"")</f>
        <v>11</v>
      </c>
      <c r="N147" s="118" t="n">
        <v>41</v>
      </c>
      <c r="O147" s="118"/>
      <c r="P147" s="118" t="n">
        <v>24</v>
      </c>
      <c r="Q147" s="75" t="str">
        <f aca="false">IF(OR(SUM($H147)=0,SUM($N147)=0,SUM($O147)=0),"",ROUND($H147*$N147,0))</f>
        <v/>
      </c>
      <c r="R147" s="75" t="str">
        <f aca="false">IF(OR(SUM($Q147)=0,SUM($O147)=0),"",ROUND(SUM($Q147)/SUM($O147),0)-SUM($Q147))</f>
        <v/>
      </c>
      <c r="S147" s="75" t="n">
        <f aca="false">IF(SUM($H147)=0,"",SUM($H147)-SUM($Q147))</f>
        <v>5</v>
      </c>
      <c r="T147" s="75" t="str">
        <f aca="false">IF(OR(SUM($S147)=0,$N147&gt;1,SUM($P147)&lt;=0),"",ROUND($S147/$P147,0)-$S147)</f>
        <v/>
      </c>
      <c r="U147" s="118" t="n">
        <f aca="false">IF(SUM($G147)&lt;=0,"",SUM($Q147,$S147)/$G147)</f>
        <v>0.3125</v>
      </c>
      <c r="V147" s="118" t="str">
        <f aca="false">IF(OR(SUM($Q147)=0,SUM($G147)=0),"",SUM($Q147)/SUM($G147))</f>
        <v/>
      </c>
      <c r="W147" s="118" t="n">
        <f aca="false">IF(OR(SUM($S147)=0,SUM($G147)=0),"",SUM($S147)/SUM($G147))</f>
        <v>0.3125</v>
      </c>
      <c r="X147" s="118" t="str">
        <f aca="false">IF(OR(SUM($G147)=0,SUM($I147)=0),"",SUM($I147)/SUM($G147))</f>
        <v/>
      </c>
      <c r="Y147" s="118" t="str">
        <f aca="false">IF(OR(SUM($G147)=0,SUM($J147)=0),"",SUM($J147)/SUM($G147))</f>
        <v/>
      </c>
      <c r="Z147" s="118" t="str">
        <f aca="false">IF(OR(SUM($G147)=0,SUM($K147)=0),"",SUM($K147)/SUM($G147))</f>
        <v/>
      </c>
      <c r="AA147" s="118" t="str">
        <f aca="false">IF(OR(SUM($G147)=0,SUM($L147)=0),"",SUM($L147)/SUM($G147))</f>
        <v/>
      </c>
      <c r="AB147" s="118" t="n">
        <v>28</v>
      </c>
      <c r="AC147" s="118" t="n">
        <v>35</v>
      </c>
      <c r="AD147" s="118" t="n">
        <v>9</v>
      </c>
      <c r="AE147" s="118" t="n">
        <v>22</v>
      </c>
      <c r="AF147" s="118" t="n">
        <v>22</v>
      </c>
      <c r="AG147" s="118" t="n">
        <v>46</v>
      </c>
      <c r="AH147" s="118" t="n">
        <v>13</v>
      </c>
      <c r="AI147" s="118" t="n">
        <v>38</v>
      </c>
      <c r="AJ147" s="118" t="n">
        <v>18</v>
      </c>
      <c r="AK147" s="118" t="n">
        <f aca="false">IF(SUM($G147)&lt;=0,"",SUM($V147:$AJ147))</f>
        <v>231.3125</v>
      </c>
      <c r="AL147" s="118"/>
      <c r="AM147" s="75" t="n">
        <f aca="false">IF(OR(SUM($AB147)&lt;=0,SUM($G147)&lt;=0),"",ROUND($G147*$AB147,0))</f>
        <v>448</v>
      </c>
      <c r="AN147" s="75" t="str">
        <f aca="false">IF(SUM($AM147)&lt;=0,"",IF(SUM($AL147)&lt;=0,"ENTER VALID YIELD!",ROUND($AM147/$AL147,0)-$AM147))</f>
        <v>ENTER VALID YIELD!</v>
      </c>
      <c r="AO147" s="118"/>
      <c r="AP147" s="75" t="n">
        <f aca="false">IF(OR(SUM($AC147)&lt;=0,SUM($G147)&lt;=0),"",ROUND($G147*$AC147,0))</f>
        <v>560</v>
      </c>
      <c r="AQ147" s="75" t="str">
        <f aca="false">IF(SUM($AP147)&lt;=0,"",IF(SUM($AO147)&lt;=0,"ENTER VALID YIELD!",ROUND($AP147/$AO147,0)-$AP147))</f>
        <v>ENTER VALID YIELD!</v>
      </c>
      <c r="AR147" s="118"/>
      <c r="AS147" s="75" t="n">
        <f aca="false">IF(OR(SUM($AD147)&lt;=0,SUM($G147)&lt;=0),"",ROUND($G147*$AD147,0))</f>
        <v>144</v>
      </c>
      <c r="AT147" s="75" t="str">
        <f aca="false">IF(SUM($AS147)&lt;=0,"",IF(SUM($AR147)&lt;=0,"ENTER VALID YIELD!",ROUND($AS147/$AR147,0)-$AS147))</f>
        <v>ENTER VALID YIELD!</v>
      </c>
      <c r="AU147" s="118"/>
      <c r="AV147" s="75" t="n">
        <f aca="false">IF(OR(SUM($AE147)&lt;=0,SUM($G147)&lt;=0),"",ROUND($G147*$AE147,0))</f>
        <v>352</v>
      </c>
      <c r="AW147" s="75" t="str">
        <f aca="false">IF(SUM($AV147)&lt;=0,"",IF(SUM($AU147)&lt;=0,"ENTER VALID YIELD!",ROUND($AV147/$AU147,0)-$AV147))</f>
        <v>ENTER VALID YIELD!</v>
      </c>
      <c r="AX147" s="118"/>
      <c r="AY147" s="75" t="n">
        <f aca="false">IF(OR(SUM($AF147)&lt;=0,SUM($G147)&lt;=0),"",ROUND($G147*$AF147,0))</f>
        <v>352</v>
      </c>
      <c r="AZ147" s="75" t="str">
        <f aca="false">IF(SUM($AY147)&lt;=0,"",IF(SUM($AX147)&lt;=0,"ENTER VALID YIELD!",ROUND($AY147/$AX147,0)-$AY147))</f>
        <v>ENTER VALID YIELD!</v>
      </c>
      <c r="BA147" s="118" t="n">
        <v>50</v>
      </c>
      <c r="BB147" s="75" t="n">
        <f aca="false">IF(OR(SUM($AG147)&lt;=0,SUM($G147)&lt;=0),"",ROUND($G147*$AG147,0))</f>
        <v>736</v>
      </c>
      <c r="BC147" s="75" t="n">
        <f aca="false">IF(SUM($BB147)&lt;=0,"",IF(SUM($BA147)&lt;=0,"ENTER VALID YIELD!",ROUND($BB147/$BA147,0)-$BB147))</f>
        <v>-721</v>
      </c>
      <c r="BD147" s="118"/>
      <c r="BE147" s="75" t="n">
        <f aca="false">IF(OR(SUM($AH147)&lt;=0,SUM($G147)&lt;=0),"",ROUND($G147*$AH147,0))</f>
        <v>208</v>
      </c>
      <c r="BF147" s="75" t="str">
        <f aca="false">IF(SUM($BE147)&lt;=0,"",IF(SUM($BD147)&lt;=0,"ENTER VALID YIELD!",ROUND($BE147/$BD147,0)-$BE147))</f>
        <v>ENTER VALID YIELD!</v>
      </c>
      <c r="BG147" s="118"/>
      <c r="BH147" s="75" t="n">
        <f aca="false">IF(OR(SUM($AI147)&lt;=0,SUM($G147)&lt;=0),"",ROUND($G147*$AI147,0))</f>
        <v>608</v>
      </c>
      <c r="BI147" s="75" t="str">
        <f aca="false">IF(SUM($BH147)&lt;=0,"",IF(SUM($BG147)&lt;=0,"ENTER VALID YIELD!",ROUND($BH147/$BG147,0)-$BH147))</f>
        <v>ENTER VALID YIELD!</v>
      </c>
      <c r="BJ147" s="118"/>
      <c r="BK147" s="75" t="n">
        <f aca="false">IF(OR(SUM($AJ147)&lt;=0,SUM($G147)&lt;=0),"",ROUND($G147*$AJ147,0))</f>
        <v>288</v>
      </c>
      <c r="BL147" s="75" t="str">
        <f aca="false">IF(SUM($BK147)&lt;=0,"",IF(SUM($BJ147)&lt;=0,"ENTER VALID YIELD!",ROUND($BK147/$BJ147,0)-$BK147))</f>
        <v>ENTER VALID YIELD!</v>
      </c>
      <c r="BM147" s="73" t="n">
        <f aca="false">IF(SUM($G147)&lt;=0,"",$G147)</f>
        <v>16</v>
      </c>
      <c r="BN147" s="73" t="n">
        <f aca="false">IF(SUM($G147)&lt;=0,"",SUM($I147:$L147,$Q147,$S147,$AM147,$AP147,$AS147,$AV147,$AY147,$BB147,$BE147,$BH147,$BK147))</f>
        <v>3701</v>
      </c>
      <c r="BO147" s="73" t="n">
        <f aca="false">IF(AND(SUM($BN147)&lt;=0,SUM($BM147)&lt;=0),"",SUM($BN147)-SUM($BM147))</f>
        <v>3685</v>
      </c>
      <c r="BP147" s="73" t="str">
        <f aca="false">_xlfn.IFNA(INDEX(PMTCT!$AF:$AF,MATCH($E147,PMTCT!$E:$E,0)),"")</f>
        <v/>
      </c>
      <c r="BQ147" s="73" t="str">
        <f aca="false">_xlfn.IFNA(INDEX(PMTCT!$AV:$AV,MATCH($E147,PMTCT!$E:$E,0)),"")</f>
        <v/>
      </c>
      <c r="BR147" s="73" t="n">
        <f aca="false">_xlfn.IFNA(INDEX(TB!$R:$R,MATCH($E147,TB!$E:$E,0)),"")</f>
        <v>14</v>
      </c>
      <c r="BS147" s="73" t="str">
        <f aca="false">_xlfn.IFNA(INDEX(VMMC!$AD:$AD,MATCH($E147,VMMC!$E:$E,0)),"")</f>
        <v/>
      </c>
      <c r="BT147" s="73" t="n">
        <f aca="false">IF(SUM($R147,$T147,$AN147,$AQ147,$AT147,$AW147,$AZ147,$BC147,$BF147,$BI147,$BL147,$BP147:$BS147)=0,"",SUM($R147,$T147,$AN147,$AQ147,$AT147,$AW147,$AZ147,$BC147,$BF147,$BI147,$BL147,$BP147:$BS147))</f>
        <v>-707</v>
      </c>
      <c r="BU147" s="73" t="n">
        <f aca="false">IF(OR(SUM($BT147)=0,SUM($BN147)=0),"",SUM($BT147,$BN147))</f>
        <v>2994</v>
      </c>
      <c r="BV147" s="118" t="n">
        <f aca="false">IF(SUM($BU147)=0,"",SUM($BN147)/$BU147)</f>
        <v>1.23613894455578</v>
      </c>
      <c r="BW147" s="73"/>
      <c r="BX147" s="118" t="str">
        <f aca="false">IF(OR($C147="01-04",$C147="05-09"),"",0%)</f>
        <v/>
      </c>
      <c r="BY147" s="75" t="str">
        <f aca="false">IF(OR($C147="01-04",$C147="05-09",SUM($BW147)=0),"",ROUND($BW147*(1+$BX147),0))</f>
        <v/>
      </c>
    </row>
    <row r="148" customFormat="false" ht="15" hidden="false" customHeight="false" outlineLevel="0" collapsed="false">
      <c r="A148" s="0" t="s">
        <v>147</v>
      </c>
      <c r="B148" s="0" t="s">
        <v>105</v>
      </c>
      <c r="C148" s="0" t="s">
        <v>54</v>
      </c>
      <c r="D148" s="0" t="s">
        <v>58</v>
      </c>
      <c r="E148" s="0" t="str">
        <f aca="false">B148&amp;"|"&amp;C148&amp;"|"&amp;D148</f>
        <v>Mohale's Hoek [#SNU] [#DREAMS] [YGI7vISD2kJ]|01-04|Male</v>
      </c>
      <c r="F148" s="118" t="n">
        <f aca="false">_xlfn.IFNA(INDEX(Cascade!$Y:$Y,MATCH($E148,Cascade!$E:$E,0)),"")</f>
        <v>0.472727272727273</v>
      </c>
      <c r="G148" s="73" t="n">
        <f aca="false">_xlfn.IFNA(INDEX(Cascade!$BD:$BD,MATCH($E148,Cascade!$E:$E,0)),"")</f>
        <v>5</v>
      </c>
      <c r="H148" s="73" t="n">
        <f aca="false">_xlfn.IFNA(INDEX(Cascade!$BE:$BE,MATCH($E148,Cascade!$E:$E,0)),"")</f>
        <v>2</v>
      </c>
      <c r="I148" s="73" t="str">
        <f aca="false">_xlfn.IFNA(INDEX(Cascade!$BF:$BF,MATCH($E148,Cascade!$E:$E,0)),"")</f>
        <v/>
      </c>
      <c r="J148" s="73" t="str">
        <f aca="false">_xlfn.IFNA(INDEX(Cascade!$BG:$BG,MATCH($E148,Cascade!$E:$E,0)),"")</f>
        <v/>
      </c>
      <c r="K148" s="73" t="n">
        <f aca="false">_xlfn.IFNA(INDEX(Cascade!$BH:$BH,MATCH($E148,Cascade!$E:$E,0)),"")</f>
        <v>0</v>
      </c>
      <c r="L148" s="73" t="str">
        <f aca="false">_xlfn.IFNA(INDEX(Cascade!$BI:$BI,MATCH($E148,Cascade!$E:$E,0)),"")</f>
        <v/>
      </c>
      <c r="M148" s="73" t="n">
        <f aca="false">_xlfn.IFNA(INDEX(Cascade!$BK:$BK,MATCH($E148,Cascade!$E:$E,0)),"")</f>
        <v>3</v>
      </c>
      <c r="N148" s="118" t="n">
        <v>13</v>
      </c>
      <c r="O148" s="118" t="n">
        <v>1</v>
      </c>
      <c r="P148" s="118" t="n">
        <v>9</v>
      </c>
      <c r="Q148" s="75" t="n">
        <f aca="false">IF(OR(SUM($H148)=0,SUM($N148)=0,SUM($O148)=0),"",ROUND($H148*$N148,0))</f>
        <v>26</v>
      </c>
      <c r="R148" s="75" t="n">
        <f aca="false">IF(OR(SUM($Q148)=0,SUM($O148)=0),"",ROUND(SUM($Q148)/SUM($O148),0)-SUM($Q148))</f>
        <v>0</v>
      </c>
      <c r="S148" s="75" t="n">
        <f aca="false">IF(SUM($H148)=0,"",SUM($H148)-SUM($Q148))</f>
        <v>-24</v>
      </c>
      <c r="T148" s="75" t="str">
        <f aca="false">IF(OR(SUM($S148)=0,$N148&gt;1,SUM($P148)&lt;=0),"",ROUND($S148/$P148,0)-$S148)</f>
        <v/>
      </c>
      <c r="U148" s="118" t="n">
        <f aca="false">IF(SUM($G148)&lt;=0,"",SUM($Q148,$S148)/$G148)</f>
        <v>0.4</v>
      </c>
      <c r="V148" s="118" t="n">
        <f aca="false">IF(OR(SUM($Q148)=0,SUM($G148)=0),"",SUM($Q148)/SUM($G148))</f>
        <v>5.2</v>
      </c>
      <c r="W148" s="118" t="n">
        <f aca="false">IF(OR(SUM($S148)=0,SUM($G148)=0),"",SUM($S148)/SUM($G148))</f>
        <v>-4.8</v>
      </c>
      <c r="X148" s="118" t="str">
        <f aca="false">IF(OR(SUM($G148)=0,SUM($I148)=0),"",SUM($I148)/SUM($G148))</f>
        <v/>
      </c>
      <c r="Y148" s="118" t="str">
        <f aca="false">IF(OR(SUM($G148)=0,SUM($J148)=0),"",SUM($J148)/SUM($G148))</f>
        <v/>
      </c>
      <c r="Z148" s="118" t="str">
        <f aca="false">IF(OR(SUM($G148)=0,SUM($K148)=0),"",SUM($K148)/SUM($G148))</f>
        <v/>
      </c>
      <c r="AA148" s="118" t="str">
        <f aca="false">IF(OR(SUM($G148)=0,SUM($L148)=0),"",SUM($L148)/SUM($G148))</f>
        <v/>
      </c>
      <c r="AB148" s="118" t="n">
        <v>16</v>
      </c>
      <c r="AC148" s="118" t="n">
        <v>26</v>
      </c>
      <c r="AD148" s="118" t="n">
        <v>25</v>
      </c>
      <c r="AE148" s="118" t="n">
        <v>42</v>
      </c>
      <c r="AF148" s="118" t="n">
        <v>33</v>
      </c>
      <c r="AG148" s="118" t="n">
        <v>24</v>
      </c>
      <c r="AH148" s="118" t="n">
        <v>13</v>
      </c>
      <c r="AI148" s="118" t="n">
        <v>1</v>
      </c>
      <c r="AJ148" s="118" t="n">
        <v>22</v>
      </c>
      <c r="AK148" s="118" t="n">
        <f aca="false">IF(SUM($G148)&lt;=0,"",SUM($V148:$AJ148))</f>
        <v>202.4</v>
      </c>
      <c r="AL148" s="118" t="n">
        <v>16</v>
      </c>
      <c r="AM148" s="75" t="n">
        <f aca="false">IF(OR(SUM($AB148)&lt;=0,SUM($G148)&lt;=0),"",ROUND($G148*$AB148,0))</f>
        <v>80</v>
      </c>
      <c r="AN148" s="75" t="n">
        <f aca="false">IF(SUM($AM148)&lt;=0,"",IF(SUM($AL148)&lt;=0,"ENTER VALID YIELD!",ROUND($AM148/$AL148,0)-$AM148))</f>
        <v>-75</v>
      </c>
      <c r="AO148" s="118"/>
      <c r="AP148" s="75" t="n">
        <f aca="false">IF(OR(SUM($AC148)&lt;=0,SUM($G148)&lt;=0),"",ROUND($G148*$AC148,0))</f>
        <v>130</v>
      </c>
      <c r="AQ148" s="75" t="str">
        <f aca="false">IF(SUM($AP148)&lt;=0,"",IF(SUM($AO148)&lt;=0,"ENTER VALID YIELD!",ROUND($AP148/$AO148,0)-$AP148))</f>
        <v>ENTER VALID YIELD!</v>
      </c>
      <c r="AR148" s="118"/>
      <c r="AS148" s="75" t="n">
        <f aca="false">IF(OR(SUM($AD148)&lt;=0,SUM($G148)&lt;=0),"",ROUND($G148*$AD148,0))</f>
        <v>125</v>
      </c>
      <c r="AT148" s="75" t="str">
        <f aca="false">IF(SUM($AS148)&lt;=0,"",IF(SUM($AR148)&lt;=0,"ENTER VALID YIELD!",ROUND($AS148/$AR148,0)-$AS148))</f>
        <v>ENTER VALID YIELD!</v>
      </c>
      <c r="AU148" s="118"/>
      <c r="AV148" s="75" t="n">
        <f aca="false">IF(OR(SUM($AE148)&lt;=0,SUM($G148)&lt;=0),"",ROUND($G148*$AE148,0))</f>
        <v>210</v>
      </c>
      <c r="AW148" s="75" t="str">
        <f aca="false">IF(SUM($AV148)&lt;=0,"",IF(SUM($AU148)&lt;=0,"ENTER VALID YIELD!",ROUND($AV148/$AU148,0)-$AV148))</f>
        <v>ENTER VALID YIELD!</v>
      </c>
      <c r="AX148" s="118"/>
      <c r="AY148" s="75" t="n">
        <f aca="false">IF(OR(SUM($AF148)&lt;=0,SUM($G148)&lt;=0),"",ROUND($G148*$AF148,0))</f>
        <v>165</v>
      </c>
      <c r="AZ148" s="75" t="str">
        <f aca="false">IF(SUM($AY148)&lt;=0,"",IF(SUM($AX148)&lt;=0,"ENTER VALID YIELD!",ROUND($AY148/$AX148,0)-$AY148))</f>
        <v>ENTER VALID YIELD!</v>
      </c>
      <c r="BA148" s="118" t="n">
        <v>36</v>
      </c>
      <c r="BB148" s="75" t="n">
        <f aca="false">IF(OR(SUM($AG148)&lt;=0,SUM($G148)&lt;=0),"",ROUND($G148*$AG148,0))</f>
        <v>120</v>
      </c>
      <c r="BC148" s="75" t="n">
        <f aca="false">IF(SUM($BB148)&lt;=0,"",IF(SUM($BA148)&lt;=0,"ENTER VALID YIELD!",ROUND($BB148/$BA148,0)-$BB148))</f>
        <v>-117</v>
      </c>
      <c r="BD148" s="118"/>
      <c r="BE148" s="75" t="n">
        <f aca="false">IF(OR(SUM($AH148)&lt;=0,SUM($G148)&lt;=0),"",ROUND($G148*$AH148,0))</f>
        <v>65</v>
      </c>
      <c r="BF148" s="75" t="str">
        <f aca="false">IF(SUM($BE148)&lt;=0,"",IF(SUM($BD148)&lt;=0,"ENTER VALID YIELD!",ROUND($BE148/$BD148,0)-$BE148))</f>
        <v>ENTER VALID YIELD!</v>
      </c>
      <c r="BG148" s="118"/>
      <c r="BH148" s="75" t="n">
        <f aca="false">IF(OR(SUM($AI148)&lt;=0,SUM($G148)&lt;=0),"",ROUND($G148*$AI148,0))</f>
        <v>5</v>
      </c>
      <c r="BI148" s="75" t="str">
        <f aca="false">IF(SUM($BH148)&lt;=0,"",IF(SUM($BG148)&lt;=0,"ENTER VALID YIELD!",ROUND($BH148/$BG148,0)-$BH148))</f>
        <v>ENTER VALID YIELD!</v>
      </c>
      <c r="BJ148" s="118"/>
      <c r="BK148" s="75" t="n">
        <f aca="false">IF(OR(SUM($AJ148)&lt;=0,SUM($G148)&lt;=0),"",ROUND($G148*$AJ148,0))</f>
        <v>110</v>
      </c>
      <c r="BL148" s="75" t="str">
        <f aca="false">IF(SUM($BK148)&lt;=0,"",IF(SUM($BJ148)&lt;=0,"ENTER VALID YIELD!",ROUND($BK148/$BJ148,0)-$BK148))</f>
        <v>ENTER VALID YIELD!</v>
      </c>
      <c r="BM148" s="73" t="n">
        <f aca="false">IF(SUM($G148)&lt;=0,"",$G148)</f>
        <v>5</v>
      </c>
      <c r="BN148" s="73" t="n">
        <f aca="false">IF(SUM($G148)&lt;=0,"",SUM($I148:$L148,$Q148,$S148,$AM148,$AP148,$AS148,$AV148,$AY148,$BB148,$BE148,$BH148,$BK148))</f>
        <v>1012</v>
      </c>
      <c r="BO148" s="73" t="n">
        <f aca="false">IF(AND(SUM($BN148)&lt;=0,SUM($BM148)&lt;=0),"",SUM($BN148)-SUM($BM148))</f>
        <v>1007</v>
      </c>
      <c r="BP148" s="73" t="str">
        <f aca="false">_xlfn.IFNA(INDEX(PMTCT!$AF:$AF,MATCH($E148,PMTCT!$E:$E,0)),"")</f>
        <v/>
      </c>
      <c r="BQ148" s="73" t="str">
        <f aca="false">_xlfn.IFNA(INDEX(PMTCT!$AV:$AV,MATCH($E148,PMTCT!$E:$E,0)),"")</f>
        <v/>
      </c>
      <c r="BR148" s="73" t="n">
        <f aca="false">_xlfn.IFNA(INDEX(TB!$R:$R,MATCH($E148,TB!$E:$E,0)),"")</f>
        <v>42</v>
      </c>
      <c r="BS148" s="73" t="str">
        <f aca="false">_xlfn.IFNA(INDEX(VMMC!$AD:$AD,MATCH($E148,VMMC!$E:$E,0)),"")</f>
        <v/>
      </c>
      <c r="BT148" s="73" t="n">
        <f aca="false">IF(SUM($R148,$T148,$AN148,$AQ148,$AT148,$AW148,$AZ148,$BC148,$BF148,$BI148,$BL148,$BP148:$BS148)=0,"",SUM($R148,$T148,$AN148,$AQ148,$AT148,$AW148,$AZ148,$BC148,$BF148,$BI148,$BL148,$BP148:$BS148))</f>
        <v>-150</v>
      </c>
      <c r="BU148" s="73" t="n">
        <f aca="false">IF(OR(SUM($BT148)=0,SUM($BN148)=0),"",SUM($BT148,$BN148))</f>
        <v>862</v>
      </c>
      <c r="BV148" s="118" t="n">
        <f aca="false">IF(SUM($BU148)=0,"",SUM($BN148)/$BU148)</f>
        <v>1.17401392111369</v>
      </c>
      <c r="BW148" s="73"/>
      <c r="BX148" s="118" t="str">
        <f aca="false">IF(OR($C148="01-04",$C148="05-09"),"",0%)</f>
        <v/>
      </c>
      <c r="BY148" s="75" t="str">
        <f aca="false">IF(OR($C148="01-04",$C148="05-09",SUM($BW148)=0),"",ROUND($BW148*(1+$BX148),0))</f>
        <v/>
      </c>
    </row>
    <row r="149" customFormat="false" ht="15" hidden="false" customHeight="false" outlineLevel="0" collapsed="false">
      <c r="A149" s="0" t="s">
        <v>147</v>
      </c>
      <c r="B149" s="0" t="s">
        <v>105</v>
      </c>
      <c r="C149" s="0" t="s">
        <v>83</v>
      </c>
      <c r="D149" s="0" t="s">
        <v>56</v>
      </c>
      <c r="E149" s="0" t="str">
        <f aca="false">B149&amp;"|"&amp;C149&amp;"|"&amp;D149</f>
        <v>Mohale's Hoek [#SNU] [#DREAMS] [YGI7vISD2kJ]|05-09|Female</v>
      </c>
      <c r="F149" s="118" t="n">
        <f aca="false">_xlfn.IFNA(INDEX(Cascade!$Y:$Y,MATCH($E149,Cascade!$E:$E,0)),"")</f>
        <v>0.58125</v>
      </c>
      <c r="G149" s="73" t="n">
        <f aca="false">_xlfn.IFNA(INDEX(Cascade!$BD:$BD,MATCH($E149,Cascade!$E:$E,0)),"")</f>
        <v>20</v>
      </c>
      <c r="H149" s="73" t="n">
        <f aca="false">_xlfn.IFNA(INDEX(Cascade!$BE:$BE,MATCH($E149,Cascade!$E:$E,0)),"")</f>
        <v>6</v>
      </c>
      <c r="I149" s="73" t="str">
        <f aca="false">_xlfn.IFNA(INDEX(Cascade!$BF:$BF,MATCH($E149,Cascade!$E:$E,0)),"")</f>
        <v/>
      </c>
      <c r="J149" s="73" t="str">
        <f aca="false">_xlfn.IFNA(INDEX(Cascade!$BG:$BG,MATCH($E149,Cascade!$E:$E,0)),"")</f>
        <v/>
      </c>
      <c r="K149" s="73" t="n">
        <f aca="false">_xlfn.IFNA(INDEX(Cascade!$BH:$BH,MATCH($E149,Cascade!$E:$E,0)),"")</f>
        <v>0</v>
      </c>
      <c r="L149" s="73" t="str">
        <f aca="false">_xlfn.IFNA(INDEX(Cascade!$BI:$BI,MATCH($E149,Cascade!$E:$E,0)),"")</f>
        <v/>
      </c>
      <c r="M149" s="73" t="n">
        <f aca="false">_xlfn.IFNA(INDEX(Cascade!$BK:$BK,MATCH($E149,Cascade!$E:$E,0)),"")</f>
        <v>14</v>
      </c>
      <c r="N149" s="118" t="n">
        <v>31</v>
      </c>
      <c r="O149" s="118"/>
      <c r="P149" s="118" t="n">
        <v>18</v>
      </c>
      <c r="Q149" s="75" t="str">
        <f aca="false">IF(OR(SUM($H149)=0,SUM($N149)=0,SUM($O149)=0),"",ROUND($H149*$N149,0))</f>
        <v/>
      </c>
      <c r="R149" s="75" t="str">
        <f aca="false">IF(OR(SUM($Q149)=0,SUM($O149)=0),"",ROUND(SUM($Q149)/SUM($O149),0)-SUM($Q149))</f>
        <v/>
      </c>
      <c r="S149" s="75" t="n">
        <f aca="false">IF(SUM($H149)=0,"",SUM($H149)-SUM($Q149))</f>
        <v>6</v>
      </c>
      <c r="T149" s="75" t="str">
        <f aca="false">IF(OR(SUM($S149)=0,$N149&gt;1,SUM($P149)&lt;=0),"",ROUND($S149/$P149,0)-$S149)</f>
        <v/>
      </c>
      <c r="U149" s="118" t="n">
        <f aca="false">IF(SUM($G149)&lt;=0,"",SUM($Q149,$S149)/$G149)</f>
        <v>0.3</v>
      </c>
      <c r="V149" s="118" t="str">
        <f aca="false">IF(OR(SUM($Q149)=0,SUM($G149)=0),"",SUM($Q149)/SUM($G149))</f>
        <v/>
      </c>
      <c r="W149" s="118" t="n">
        <f aca="false">IF(OR(SUM($S149)=0,SUM($G149)=0),"",SUM($S149)/SUM($G149))</f>
        <v>0.3</v>
      </c>
      <c r="X149" s="118" t="str">
        <f aca="false">IF(OR(SUM($G149)=0,SUM($I149)=0),"",SUM($I149)/SUM($G149))</f>
        <v/>
      </c>
      <c r="Y149" s="118" t="str">
        <f aca="false">IF(OR(SUM($G149)=0,SUM($J149)=0),"",SUM($J149)/SUM($G149))</f>
        <v/>
      </c>
      <c r="Z149" s="118" t="str">
        <f aca="false">IF(OR(SUM($G149)=0,SUM($K149)=0),"",SUM($K149)/SUM($G149))</f>
        <v/>
      </c>
      <c r="AA149" s="118" t="str">
        <f aca="false">IF(OR(SUM($G149)=0,SUM($L149)=0),"",SUM($L149)/SUM($G149))</f>
        <v/>
      </c>
      <c r="AB149" s="118" t="n">
        <v>23</v>
      </c>
      <c r="AC149" s="118"/>
      <c r="AD149" s="118"/>
      <c r="AE149" s="118" t="n">
        <v>35</v>
      </c>
      <c r="AF149" s="118" t="n">
        <v>42</v>
      </c>
      <c r="AG149" s="118" t="n">
        <v>31</v>
      </c>
      <c r="AH149" s="118" t="n">
        <v>29</v>
      </c>
      <c r="AI149" s="118" t="n">
        <v>34</v>
      </c>
      <c r="AJ149" s="118" t="n">
        <v>2</v>
      </c>
      <c r="AK149" s="118" t="n">
        <f aca="false">IF(SUM($G149)&lt;=0,"",SUM($V149:$AJ149))</f>
        <v>196.3</v>
      </c>
      <c r="AL149" s="118"/>
      <c r="AM149" s="75" t="n">
        <f aca="false">IF(OR(SUM($AB149)&lt;=0,SUM($G149)&lt;=0),"",ROUND($G149*$AB149,0))</f>
        <v>460</v>
      </c>
      <c r="AN149" s="75" t="str">
        <f aca="false">IF(SUM($AM149)&lt;=0,"",IF(SUM($AL149)&lt;=0,"ENTER VALID YIELD!",ROUND($AM149/$AL149,0)-$AM149))</f>
        <v>ENTER VALID YIELD!</v>
      </c>
      <c r="AO149" s="118"/>
      <c r="AP149" s="75" t="str">
        <f aca="false">IF(OR(SUM($AC149)&lt;=0,SUM($G149)&lt;=0),"",ROUND($G149*$AC149,0))</f>
        <v/>
      </c>
      <c r="AQ149" s="75" t="str">
        <f aca="false">IF(SUM($AP149)&lt;=0,"",IF(SUM($AO149)&lt;=0,"ENTER VALID YIELD!",ROUND($AP149/$AO149,0)-$AP149))</f>
        <v/>
      </c>
      <c r="AR149" s="118"/>
      <c r="AS149" s="75" t="str">
        <f aca="false">IF(OR(SUM($AD149)&lt;=0,SUM($G149)&lt;=0),"",ROUND($G149*$AD149,0))</f>
        <v/>
      </c>
      <c r="AT149" s="75" t="str">
        <f aca="false">IF(SUM($AS149)&lt;=0,"",IF(SUM($AR149)&lt;=0,"ENTER VALID YIELD!",ROUND($AS149/$AR149,0)-$AS149))</f>
        <v/>
      </c>
      <c r="AU149" s="118"/>
      <c r="AV149" s="75" t="n">
        <f aca="false">IF(OR(SUM($AE149)&lt;=0,SUM($G149)&lt;=0),"",ROUND($G149*$AE149,0))</f>
        <v>700</v>
      </c>
      <c r="AW149" s="75" t="str">
        <f aca="false">IF(SUM($AV149)&lt;=0,"",IF(SUM($AU149)&lt;=0,"ENTER VALID YIELD!",ROUND($AV149/$AU149,0)-$AV149))</f>
        <v>ENTER VALID YIELD!</v>
      </c>
      <c r="AX149" s="118"/>
      <c r="AY149" s="75" t="n">
        <f aca="false">IF(OR(SUM($AF149)&lt;=0,SUM($G149)&lt;=0),"",ROUND($G149*$AF149,0))</f>
        <v>840</v>
      </c>
      <c r="AZ149" s="75" t="str">
        <f aca="false">IF(SUM($AY149)&lt;=0,"",IF(SUM($AX149)&lt;=0,"ENTER VALID YIELD!",ROUND($AY149/$AX149,0)-$AY149))</f>
        <v>ENTER VALID YIELD!</v>
      </c>
      <c r="BA149" s="118"/>
      <c r="BB149" s="75" t="n">
        <f aca="false">IF(OR(SUM($AG149)&lt;=0,SUM($G149)&lt;=0),"",ROUND($G149*$AG149,0))</f>
        <v>620</v>
      </c>
      <c r="BC149" s="75" t="str">
        <f aca="false">IF(SUM($BB149)&lt;=0,"",IF(SUM($BA149)&lt;=0,"ENTER VALID YIELD!",ROUND($BB149/$BA149,0)-$BB149))</f>
        <v>ENTER VALID YIELD!</v>
      </c>
      <c r="BD149" s="118"/>
      <c r="BE149" s="75" t="n">
        <f aca="false">IF(OR(SUM($AH149)&lt;=0,SUM($G149)&lt;=0),"",ROUND($G149*$AH149,0))</f>
        <v>580</v>
      </c>
      <c r="BF149" s="75" t="str">
        <f aca="false">IF(SUM($BE149)&lt;=0,"",IF(SUM($BD149)&lt;=0,"ENTER VALID YIELD!",ROUND($BE149/$BD149,0)-$BE149))</f>
        <v>ENTER VALID YIELD!</v>
      </c>
      <c r="BG149" s="118"/>
      <c r="BH149" s="75" t="n">
        <f aca="false">IF(OR(SUM($AI149)&lt;=0,SUM($G149)&lt;=0),"",ROUND($G149*$AI149,0))</f>
        <v>680</v>
      </c>
      <c r="BI149" s="75" t="str">
        <f aca="false">IF(SUM($BH149)&lt;=0,"",IF(SUM($BG149)&lt;=0,"ENTER VALID YIELD!",ROUND($BH149/$BG149,0)-$BH149))</f>
        <v>ENTER VALID YIELD!</v>
      </c>
      <c r="BJ149" s="118"/>
      <c r="BK149" s="75" t="n">
        <f aca="false">IF(OR(SUM($AJ149)&lt;=0,SUM($G149)&lt;=0),"",ROUND($G149*$AJ149,0))</f>
        <v>40</v>
      </c>
      <c r="BL149" s="75" t="str">
        <f aca="false">IF(SUM($BK149)&lt;=0,"",IF(SUM($BJ149)&lt;=0,"ENTER VALID YIELD!",ROUND($BK149/$BJ149,0)-$BK149))</f>
        <v>ENTER VALID YIELD!</v>
      </c>
      <c r="BM149" s="73" t="n">
        <f aca="false">IF(SUM($G149)&lt;=0,"",$G149)</f>
        <v>20</v>
      </c>
      <c r="BN149" s="73" t="n">
        <f aca="false">IF(SUM($G149)&lt;=0,"",SUM($I149:$L149,$Q149,$S149,$AM149,$AP149,$AS149,$AV149,$AY149,$BB149,$BE149,$BH149,$BK149))</f>
        <v>3926</v>
      </c>
      <c r="BO149" s="73" t="n">
        <f aca="false">IF(AND(SUM($BN149)&lt;=0,SUM($BM149)&lt;=0),"",SUM($BN149)-SUM($BM149))</f>
        <v>3906</v>
      </c>
      <c r="BP149" s="73" t="str">
        <f aca="false">_xlfn.IFNA(INDEX(PMTCT!$AF:$AF,MATCH($E149,PMTCT!$E:$E,0)),"")</f>
        <v/>
      </c>
      <c r="BQ149" s="73" t="str">
        <f aca="false">_xlfn.IFNA(INDEX(PMTCT!$AV:$AV,MATCH($E149,PMTCT!$E:$E,0)),"")</f>
        <v/>
      </c>
      <c r="BR149" s="73" t="n">
        <f aca="false">_xlfn.IFNA(INDEX(TB!$R:$R,MATCH($E149,TB!$E:$E,0)),"")</f>
        <v>35</v>
      </c>
      <c r="BS149" s="73" t="str">
        <f aca="false">_xlfn.IFNA(INDEX(VMMC!$AD:$AD,MATCH($E149,VMMC!$E:$E,0)),"")</f>
        <v/>
      </c>
      <c r="BT149" s="73" t="n">
        <f aca="false">IF(SUM($R149,$T149,$AN149,$AQ149,$AT149,$AW149,$AZ149,$BC149,$BF149,$BI149,$BL149,$BP149:$BS149)=0,"",SUM($R149,$T149,$AN149,$AQ149,$AT149,$AW149,$AZ149,$BC149,$BF149,$BI149,$BL149,$BP149:$BS149))</f>
        <v>35</v>
      </c>
      <c r="BU149" s="73" t="n">
        <f aca="false">IF(OR(SUM($BT149)=0,SUM($BN149)=0),"",SUM($BT149,$BN149))</f>
        <v>3961</v>
      </c>
      <c r="BV149" s="118" t="n">
        <f aca="false">IF(SUM($BU149)=0,"",SUM($BN149)/$BU149)</f>
        <v>0.991163847513254</v>
      </c>
      <c r="BW149" s="73"/>
      <c r="BX149" s="118" t="str">
        <f aca="false">IF(OR($C149="01-04",$C149="05-09"),"",0%)</f>
        <v/>
      </c>
      <c r="BY149" s="75" t="str">
        <f aca="false">IF(OR($C149="01-04",$C149="05-09",SUM($BW149)=0),"",ROUND($BW149*(1+$BX149),0))</f>
        <v/>
      </c>
    </row>
    <row r="150" customFormat="false" ht="15" hidden="false" customHeight="false" outlineLevel="0" collapsed="false">
      <c r="A150" s="0" t="s">
        <v>147</v>
      </c>
      <c r="B150" s="0" t="s">
        <v>105</v>
      </c>
      <c r="C150" s="0" t="s">
        <v>83</v>
      </c>
      <c r="D150" s="0" t="s">
        <v>58</v>
      </c>
      <c r="E150" s="0" t="str">
        <f aca="false">B150&amp;"|"&amp;C150&amp;"|"&amp;D150</f>
        <v>Mohale's Hoek [#SNU] [#DREAMS] [YGI7vISD2kJ]|05-09|Male</v>
      </c>
      <c r="F150" s="118" t="n">
        <f aca="false">_xlfn.IFNA(INDEX(Cascade!$Y:$Y,MATCH($E150,Cascade!$E:$E,0)),"")</f>
        <v>0.606451612903226</v>
      </c>
      <c r="G150" s="73" t="n">
        <f aca="false">_xlfn.IFNA(INDEX(Cascade!$BD:$BD,MATCH($E150,Cascade!$E:$E,0)),"")</f>
        <v>2</v>
      </c>
      <c r="H150" s="73" t="n">
        <f aca="false">_xlfn.IFNA(INDEX(Cascade!$BE:$BE,MATCH($E150,Cascade!$E:$E,0)),"")</f>
        <v>1</v>
      </c>
      <c r="I150" s="73" t="str">
        <f aca="false">_xlfn.IFNA(INDEX(Cascade!$BF:$BF,MATCH($E150,Cascade!$E:$E,0)),"")</f>
        <v/>
      </c>
      <c r="J150" s="73" t="str">
        <f aca="false">_xlfn.IFNA(INDEX(Cascade!$BG:$BG,MATCH($E150,Cascade!$E:$E,0)),"")</f>
        <v/>
      </c>
      <c r="K150" s="73" t="n">
        <f aca="false">_xlfn.IFNA(INDEX(Cascade!$BH:$BH,MATCH($E150,Cascade!$E:$E,0)),"")</f>
        <v>0</v>
      </c>
      <c r="L150" s="73" t="str">
        <f aca="false">_xlfn.IFNA(INDEX(Cascade!$BI:$BI,MATCH($E150,Cascade!$E:$E,0)),"")</f>
        <v/>
      </c>
      <c r="M150" s="73" t="n">
        <f aca="false">_xlfn.IFNA(INDEX(Cascade!$BK:$BK,MATCH($E150,Cascade!$E:$E,0)),"")</f>
        <v>1</v>
      </c>
      <c r="N150" s="118" t="n">
        <v>33</v>
      </c>
      <c r="O150" s="118"/>
      <c r="P150" s="118" t="n">
        <v>47</v>
      </c>
      <c r="Q150" s="75" t="str">
        <f aca="false">IF(OR(SUM($H150)=0,SUM($N150)=0,SUM($O150)=0),"",ROUND($H150*$N150,0))</f>
        <v/>
      </c>
      <c r="R150" s="75" t="str">
        <f aca="false">IF(OR(SUM($Q150)=0,SUM($O150)=0),"",ROUND(SUM($Q150)/SUM($O150),0)-SUM($Q150))</f>
        <v/>
      </c>
      <c r="S150" s="75" t="n">
        <f aca="false">IF(SUM($H150)=0,"",SUM($H150)-SUM($Q150))</f>
        <v>1</v>
      </c>
      <c r="T150" s="75" t="str">
        <f aca="false">IF(OR(SUM($S150)=0,$N150&gt;1,SUM($P150)&lt;=0),"",ROUND($S150/$P150,0)-$S150)</f>
        <v/>
      </c>
      <c r="U150" s="118" t="n">
        <f aca="false">IF(SUM($G150)&lt;=0,"",SUM($Q150,$S150)/$G150)</f>
        <v>0.5</v>
      </c>
      <c r="V150" s="118" t="str">
        <f aca="false">IF(OR(SUM($Q150)=0,SUM($G150)=0),"",SUM($Q150)/SUM($G150))</f>
        <v/>
      </c>
      <c r="W150" s="118" t="n">
        <f aca="false">IF(OR(SUM($S150)=0,SUM($G150)=0),"",SUM($S150)/SUM($G150))</f>
        <v>0.5</v>
      </c>
      <c r="X150" s="118" t="str">
        <f aca="false">IF(OR(SUM($G150)=0,SUM($I150)=0),"",SUM($I150)/SUM($G150))</f>
        <v/>
      </c>
      <c r="Y150" s="118" t="str">
        <f aca="false">IF(OR(SUM($G150)=0,SUM($J150)=0),"",SUM($J150)/SUM($G150))</f>
        <v/>
      </c>
      <c r="Z150" s="118" t="str">
        <f aca="false">IF(OR(SUM($G150)=0,SUM($K150)=0),"",SUM($K150)/SUM($G150))</f>
        <v/>
      </c>
      <c r="AA150" s="118" t="str">
        <f aca="false">IF(OR(SUM($G150)=0,SUM($L150)=0),"",SUM($L150)/SUM($G150))</f>
        <v/>
      </c>
      <c r="AB150" s="118" t="n">
        <v>4</v>
      </c>
      <c r="AC150" s="118"/>
      <c r="AD150" s="118"/>
      <c r="AE150" s="118" t="n">
        <v>2</v>
      </c>
      <c r="AF150" s="118" t="n">
        <v>39</v>
      </c>
      <c r="AG150" s="118" t="n">
        <v>35</v>
      </c>
      <c r="AH150" s="118" t="n">
        <v>5</v>
      </c>
      <c r="AI150" s="118" t="n">
        <v>12</v>
      </c>
      <c r="AJ150" s="118" t="n">
        <v>23</v>
      </c>
      <c r="AK150" s="118" t="n">
        <f aca="false">IF(SUM($G150)&lt;=0,"",SUM($V150:$AJ150))</f>
        <v>120.5</v>
      </c>
      <c r="AL150" s="118"/>
      <c r="AM150" s="75" t="n">
        <f aca="false">IF(OR(SUM($AB150)&lt;=0,SUM($G150)&lt;=0),"",ROUND($G150*$AB150,0))</f>
        <v>8</v>
      </c>
      <c r="AN150" s="75" t="str">
        <f aca="false">IF(SUM($AM150)&lt;=0,"",IF(SUM($AL150)&lt;=0,"ENTER VALID YIELD!",ROUND($AM150/$AL150,0)-$AM150))</f>
        <v>ENTER VALID YIELD!</v>
      </c>
      <c r="AO150" s="118"/>
      <c r="AP150" s="75" t="str">
        <f aca="false">IF(OR(SUM($AC150)&lt;=0,SUM($G150)&lt;=0),"",ROUND($G150*$AC150,0))</f>
        <v/>
      </c>
      <c r="AQ150" s="75" t="str">
        <f aca="false">IF(SUM($AP150)&lt;=0,"",IF(SUM($AO150)&lt;=0,"ENTER VALID YIELD!",ROUND($AP150/$AO150,0)-$AP150))</f>
        <v/>
      </c>
      <c r="AR150" s="118"/>
      <c r="AS150" s="75" t="str">
        <f aca="false">IF(OR(SUM($AD150)&lt;=0,SUM($G150)&lt;=0),"",ROUND($G150*$AD150,0))</f>
        <v/>
      </c>
      <c r="AT150" s="75" t="str">
        <f aca="false">IF(SUM($AS150)&lt;=0,"",IF(SUM($AR150)&lt;=0,"ENTER VALID YIELD!",ROUND($AS150/$AR150,0)-$AS150))</f>
        <v/>
      </c>
      <c r="AU150" s="118"/>
      <c r="AV150" s="75" t="n">
        <f aca="false">IF(OR(SUM($AE150)&lt;=0,SUM($G150)&lt;=0),"",ROUND($G150*$AE150,0))</f>
        <v>4</v>
      </c>
      <c r="AW150" s="75" t="str">
        <f aca="false">IF(SUM($AV150)&lt;=0,"",IF(SUM($AU150)&lt;=0,"ENTER VALID YIELD!",ROUND($AV150/$AU150,0)-$AV150))</f>
        <v>ENTER VALID YIELD!</v>
      </c>
      <c r="AX150" s="118"/>
      <c r="AY150" s="75" t="n">
        <f aca="false">IF(OR(SUM($AF150)&lt;=0,SUM($G150)&lt;=0),"",ROUND($G150*$AF150,0))</f>
        <v>78</v>
      </c>
      <c r="AZ150" s="75" t="str">
        <f aca="false">IF(SUM($AY150)&lt;=0,"",IF(SUM($AX150)&lt;=0,"ENTER VALID YIELD!",ROUND($AY150/$AX150,0)-$AY150))</f>
        <v>ENTER VALID YIELD!</v>
      </c>
      <c r="BA150" s="118" t="n">
        <v>30</v>
      </c>
      <c r="BB150" s="75" t="n">
        <f aca="false">IF(OR(SUM($AG150)&lt;=0,SUM($G150)&lt;=0),"",ROUND($G150*$AG150,0))</f>
        <v>70</v>
      </c>
      <c r="BC150" s="75" t="n">
        <f aca="false">IF(SUM($BB150)&lt;=0,"",IF(SUM($BA150)&lt;=0,"ENTER VALID YIELD!",ROUND($BB150/$BA150,0)-$BB150))</f>
        <v>-68</v>
      </c>
      <c r="BD150" s="118"/>
      <c r="BE150" s="75" t="n">
        <f aca="false">IF(OR(SUM($AH150)&lt;=0,SUM($G150)&lt;=0),"",ROUND($G150*$AH150,0))</f>
        <v>10</v>
      </c>
      <c r="BF150" s="75" t="str">
        <f aca="false">IF(SUM($BE150)&lt;=0,"",IF(SUM($BD150)&lt;=0,"ENTER VALID YIELD!",ROUND($BE150/$BD150,0)-$BE150))</f>
        <v>ENTER VALID YIELD!</v>
      </c>
      <c r="BG150" s="118"/>
      <c r="BH150" s="75" t="n">
        <f aca="false">IF(OR(SUM($AI150)&lt;=0,SUM($G150)&lt;=0),"",ROUND($G150*$AI150,0))</f>
        <v>24</v>
      </c>
      <c r="BI150" s="75" t="str">
        <f aca="false">IF(SUM($BH150)&lt;=0,"",IF(SUM($BG150)&lt;=0,"ENTER VALID YIELD!",ROUND($BH150/$BG150,0)-$BH150))</f>
        <v>ENTER VALID YIELD!</v>
      </c>
      <c r="BJ150" s="118"/>
      <c r="BK150" s="75" t="n">
        <f aca="false">IF(OR(SUM($AJ150)&lt;=0,SUM($G150)&lt;=0),"",ROUND($G150*$AJ150,0))</f>
        <v>46</v>
      </c>
      <c r="BL150" s="75" t="str">
        <f aca="false">IF(SUM($BK150)&lt;=0,"",IF(SUM($BJ150)&lt;=0,"ENTER VALID YIELD!",ROUND($BK150/$BJ150,0)-$BK150))</f>
        <v>ENTER VALID YIELD!</v>
      </c>
      <c r="BM150" s="73" t="n">
        <f aca="false">IF(SUM($G150)&lt;=0,"",$G150)</f>
        <v>2</v>
      </c>
      <c r="BN150" s="73" t="n">
        <f aca="false">IF(SUM($G150)&lt;=0,"",SUM($I150:$L150,$Q150,$S150,$AM150,$AP150,$AS150,$AV150,$AY150,$BB150,$BE150,$BH150,$BK150))</f>
        <v>241</v>
      </c>
      <c r="BO150" s="73" t="n">
        <f aca="false">IF(AND(SUM($BN150)&lt;=0,SUM($BM150)&lt;=0),"",SUM($BN150)-SUM($BM150))</f>
        <v>239</v>
      </c>
      <c r="BP150" s="73" t="str">
        <f aca="false">_xlfn.IFNA(INDEX(PMTCT!$AF:$AF,MATCH($E150,PMTCT!$E:$E,0)),"")</f>
        <v/>
      </c>
      <c r="BQ150" s="73" t="str">
        <f aca="false">_xlfn.IFNA(INDEX(PMTCT!$AV:$AV,MATCH($E150,PMTCT!$E:$E,0)),"")</f>
        <v/>
      </c>
      <c r="BR150" s="73" t="n">
        <f aca="false">_xlfn.IFNA(INDEX(TB!$R:$R,MATCH($E150,TB!$E:$E,0)),"")</f>
        <v>28</v>
      </c>
      <c r="BS150" s="73" t="str">
        <f aca="false">_xlfn.IFNA(INDEX(VMMC!$AD:$AD,MATCH($E150,VMMC!$E:$E,0)),"")</f>
        <v/>
      </c>
      <c r="BT150" s="73" t="n">
        <f aca="false">IF(SUM($R150,$T150,$AN150,$AQ150,$AT150,$AW150,$AZ150,$BC150,$BF150,$BI150,$BL150,$BP150:$BS150)=0,"",SUM($R150,$T150,$AN150,$AQ150,$AT150,$AW150,$AZ150,$BC150,$BF150,$BI150,$BL150,$BP150:$BS150))</f>
        <v>-40</v>
      </c>
      <c r="BU150" s="73" t="n">
        <f aca="false">IF(OR(SUM($BT150)=0,SUM($BN150)=0),"",SUM($BT150,$BN150))</f>
        <v>201</v>
      </c>
      <c r="BV150" s="118" t="n">
        <f aca="false">IF(SUM($BU150)=0,"",SUM($BN150)/$BU150)</f>
        <v>1.19900497512438</v>
      </c>
      <c r="BW150" s="73"/>
      <c r="BX150" s="118" t="str">
        <f aca="false">IF(OR($C150="01-04",$C150="05-09"),"",0%)</f>
        <v/>
      </c>
      <c r="BY150" s="75" t="str">
        <f aca="false">IF(OR($C150="01-04",$C150="05-09",SUM($BW150)=0),"",ROUND($BW150*(1+$BX150),0))</f>
        <v/>
      </c>
    </row>
    <row r="151" customFormat="false" ht="15" hidden="false" customHeight="false" outlineLevel="0" collapsed="false">
      <c r="A151" s="0" t="s">
        <v>147</v>
      </c>
      <c r="B151" s="0" t="s">
        <v>105</v>
      </c>
      <c r="C151" s="0" t="s">
        <v>61</v>
      </c>
      <c r="D151" s="0" t="s">
        <v>56</v>
      </c>
      <c r="E151" s="0" t="str">
        <f aca="false">B151&amp;"|"&amp;C151&amp;"|"&amp;D151</f>
        <v>Mohale's Hoek [#SNU] [#DREAMS] [YGI7vISD2kJ]|10-14|Female</v>
      </c>
      <c r="F151" s="118" t="n">
        <f aca="false">_xlfn.IFNA(INDEX(Cascade!$Y:$Y,MATCH($E151,Cascade!$E:$E,0)),"")</f>
        <v>0.75095785440613</v>
      </c>
      <c r="G151" s="73" t="n">
        <f aca="false">_xlfn.IFNA(INDEX(Cascade!$BD:$BD,MATCH($E151,Cascade!$E:$E,0)),"")</f>
        <v>5</v>
      </c>
      <c r="H151" s="73" t="n">
        <f aca="false">_xlfn.IFNA(INDEX(Cascade!$BE:$BE,MATCH($E151,Cascade!$E:$E,0)),"")</f>
        <v>3</v>
      </c>
      <c r="I151" s="73" t="n">
        <f aca="false">_xlfn.IFNA(INDEX(Cascade!$BF:$BF,MATCH($E151,Cascade!$E:$E,0)),"")</f>
        <v>-0</v>
      </c>
      <c r="J151" s="73" t="str">
        <f aca="false">_xlfn.IFNA(INDEX(Cascade!$BG:$BG,MATCH($E151,Cascade!$E:$E,0)),"")</f>
        <v/>
      </c>
      <c r="K151" s="73" t="n">
        <f aca="false">_xlfn.IFNA(INDEX(Cascade!$BH:$BH,MATCH($E151,Cascade!$E:$E,0)),"")</f>
        <v>0</v>
      </c>
      <c r="L151" s="73" t="str">
        <f aca="false">_xlfn.IFNA(INDEX(Cascade!$BI:$BI,MATCH($E151,Cascade!$E:$E,0)),"")</f>
        <v/>
      </c>
      <c r="M151" s="73" t="n">
        <f aca="false">_xlfn.IFNA(INDEX(Cascade!$BK:$BK,MATCH($E151,Cascade!$E:$E,0)),"")</f>
        <v>2</v>
      </c>
      <c r="N151" s="118" t="n">
        <v>30</v>
      </c>
      <c r="O151" s="118"/>
      <c r="P151" s="118" t="n">
        <v>44</v>
      </c>
      <c r="Q151" s="75" t="str">
        <f aca="false">IF(OR(SUM($H151)=0,SUM($N151)=0,SUM($O151)=0),"",ROUND($H151*$N151,0))</f>
        <v/>
      </c>
      <c r="R151" s="75" t="str">
        <f aca="false">IF(OR(SUM($Q151)=0,SUM($O151)=0),"",ROUND(SUM($Q151)/SUM($O151),0)-SUM($Q151))</f>
        <v/>
      </c>
      <c r="S151" s="75" t="n">
        <f aca="false">IF(SUM($H151)=0,"",SUM($H151)-SUM($Q151))</f>
        <v>3</v>
      </c>
      <c r="T151" s="75" t="str">
        <f aca="false">IF(OR(SUM($S151)=0,$N151&gt;1,SUM($P151)&lt;=0),"",ROUND($S151/$P151,0)-$S151)</f>
        <v/>
      </c>
      <c r="U151" s="118" t="n">
        <f aca="false">IF(SUM($G151)&lt;=0,"",SUM($Q151,$S151)/$G151)</f>
        <v>0.6</v>
      </c>
      <c r="V151" s="118" t="str">
        <f aca="false">IF(OR(SUM($Q151)=0,SUM($G151)=0),"",SUM($Q151)/SUM($G151))</f>
        <v/>
      </c>
      <c r="W151" s="118" t="n">
        <f aca="false">IF(OR(SUM($S151)=0,SUM($G151)=0),"",SUM($S151)/SUM($G151))</f>
        <v>0.6</v>
      </c>
      <c r="X151" s="118" t="str">
        <f aca="false">IF(OR(SUM($G151)=0,SUM($I151)=0),"",SUM($I151)/SUM($G151))</f>
        <v/>
      </c>
      <c r="Y151" s="118" t="str">
        <f aca="false">IF(OR(SUM($G151)=0,SUM($J151)=0),"",SUM($J151)/SUM($G151))</f>
        <v/>
      </c>
      <c r="Z151" s="118" t="str">
        <f aca="false">IF(OR(SUM($G151)=0,SUM($K151)=0),"",SUM($K151)/SUM($G151))</f>
        <v/>
      </c>
      <c r="AA151" s="118" t="str">
        <f aca="false">IF(OR(SUM($G151)=0,SUM($L151)=0),"",SUM($L151)/SUM($G151))</f>
        <v/>
      </c>
      <c r="AB151" s="118" t="n">
        <v>40</v>
      </c>
      <c r="AC151" s="118"/>
      <c r="AD151" s="118"/>
      <c r="AE151" s="118" t="n">
        <v>2</v>
      </c>
      <c r="AF151" s="118" t="n">
        <v>20</v>
      </c>
      <c r="AG151" s="118" t="n">
        <v>45</v>
      </c>
      <c r="AH151" s="118" t="n">
        <v>18</v>
      </c>
      <c r="AI151" s="118" t="n">
        <v>3</v>
      </c>
      <c r="AJ151" s="118" t="n">
        <v>11</v>
      </c>
      <c r="AK151" s="118" t="n">
        <f aca="false">IF(SUM($G151)&lt;=0,"",SUM($V151:$AJ151))</f>
        <v>139.6</v>
      </c>
      <c r="AL151" s="118"/>
      <c r="AM151" s="75" t="n">
        <f aca="false">IF(OR(SUM($AB151)&lt;=0,SUM($G151)&lt;=0),"",ROUND($G151*$AB151,0))</f>
        <v>200</v>
      </c>
      <c r="AN151" s="75" t="str">
        <f aca="false">IF(SUM($AM151)&lt;=0,"",IF(SUM($AL151)&lt;=0,"ENTER VALID YIELD!",ROUND($AM151/$AL151,0)-$AM151))</f>
        <v>ENTER VALID YIELD!</v>
      </c>
      <c r="AO151" s="118"/>
      <c r="AP151" s="75" t="str">
        <f aca="false">IF(OR(SUM($AC151)&lt;=0,SUM($G151)&lt;=0),"",ROUND($G151*$AC151,0))</f>
        <v/>
      </c>
      <c r="AQ151" s="75" t="str">
        <f aca="false">IF(SUM($AP151)&lt;=0,"",IF(SUM($AO151)&lt;=0,"ENTER VALID YIELD!",ROUND($AP151/$AO151,0)-$AP151))</f>
        <v/>
      </c>
      <c r="AR151" s="118"/>
      <c r="AS151" s="75" t="str">
        <f aca="false">IF(OR(SUM($AD151)&lt;=0,SUM($G151)&lt;=0),"",ROUND($G151*$AD151,0))</f>
        <v/>
      </c>
      <c r="AT151" s="75" t="str">
        <f aca="false">IF(SUM($AS151)&lt;=0,"",IF(SUM($AR151)&lt;=0,"ENTER VALID YIELD!",ROUND($AS151/$AR151,0)-$AS151))</f>
        <v/>
      </c>
      <c r="AU151" s="118"/>
      <c r="AV151" s="75" t="n">
        <f aca="false">IF(OR(SUM($AE151)&lt;=0,SUM($G151)&lt;=0),"",ROUND($G151*$AE151,0))</f>
        <v>10</v>
      </c>
      <c r="AW151" s="75" t="str">
        <f aca="false">IF(SUM($AV151)&lt;=0,"",IF(SUM($AU151)&lt;=0,"ENTER VALID YIELD!",ROUND($AV151/$AU151,0)-$AV151))</f>
        <v>ENTER VALID YIELD!</v>
      </c>
      <c r="AX151" s="118"/>
      <c r="AY151" s="75" t="n">
        <f aca="false">IF(OR(SUM($AF151)&lt;=0,SUM($G151)&lt;=0),"",ROUND($G151*$AF151,0))</f>
        <v>100</v>
      </c>
      <c r="AZ151" s="75" t="str">
        <f aca="false">IF(SUM($AY151)&lt;=0,"",IF(SUM($AX151)&lt;=0,"ENTER VALID YIELD!",ROUND($AY151/$AX151,0)-$AY151))</f>
        <v>ENTER VALID YIELD!</v>
      </c>
      <c r="BA151" s="118" t="n">
        <v>29</v>
      </c>
      <c r="BB151" s="75" t="n">
        <f aca="false">IF(OR(SUM($AG151)&lt;=0,SUM($G151)&lt;=0),"",ROUND($G151*$AG151,0))</f>
        <v>225</v>
      </c>
      <c r="BC151" s="75" t="n">
        <f aca="false">IF(SUM($BB151)&lt;=0,"",IF(SUM($BA151)&lt;=0,"ENTER VALID YIELD!",ROUND($BB151/$BA151,0)-$BB151))</f>
        <v>-217</v>
      </c>
      <c r="BD151" s="118"/>
      <c r="BE151" s="75" t="n">
        <f aca="false">IF(OR(SUM($AH151)&lt;=0,SUM($G151)&lt;=0),"",ROUND($G151*$AH151,0))</f>
        <v>90</v>
      </c>
      <c r="BF151" s="75" t="str">
        <f aca="false">IF(SUM($BE151)&lt;=0,"",IF(SUM($BD151)&lt;=0,"ENTER VALID YIELD!",ROUND($BE151/$BD151,0)-$BE151))</f>
        <v>ENTER VALID YIELD!</v>
      </c>
      <c r="BG151" s="118"/>
      <c r="BH151" s="75" t="n">
        <f aca="false">IF(OR(SUM($AI151)&lt;=0,SUM($G151)&lt;=0),"",ROUND($G151*$AI151,0))</f>
        <v>15</v>
      </c>
      <c r="BI151" s="75" t="str">
        <f aca="false">IF(SUM($BH151)&lt;=0,"",IF(SUM($BG151)&lt;=0,"ENTER VALID YIELD!",ROUND($BH151/$BG151,0)-$BH151))</f>
        <v>ENTER VALID YIELD!</v>
      </c>
      <c r="BJ151" s="118"/>
      <c r="BK151" s="75" t="n">
        <f aca="false">IF(OR(SUM($AJ151)&lt;=0,SUM($G151)&lt;=0),"",ROUND($G151*$AJ151,0))</f>
        <v>55</v>
      </c>
      <c r="BL151" s="75" t="str">
        <f aca="false">IF(SUM($BK151)&lt;=0,"",IF(SUM($BJ151)&lt;=0,"ENTER VALID YIELD!",ROUND($BK151/$BJ151,0)-$BK151))</f>
        <v>ENTER VALID YIELD!</v>
      </c>
      <c r="BM151" s="73" t="n">
        <f aca="false">IF(SUM($G151)&lt;=0,"",$G151)</f>
        <v>5</v>
      </c>
      <c r="BN151" s="73" t="n">
        <f aca="false">IF(SUM($G151)&lt;=0,"",SUM($I151:$L151,$Q151,$S151,$AM151,$AP151,$AS151,$AV151,$AY151,$BB151,$BE151,$BH151,$BK151))</f>
        <v>698</v>
      </c>
      <c r="BO151" s="73" t="n">
        <f aca="false">IF(AND(SUM($BN151)&lt;=0,SUM($BM151)&lt;=0),"",SUM($BN151)-SUM($BM151))</f>
        <v>693</v>
      </c>
      <c r="BP151" s="73" t="n">
        <f aca="false">_xlfn.IFNA(INDEX(PMTCT!$AF:$AF,MATCH($E151,PMTCT!$E:$E,0)),"")</f>
        <v>-1632</v>
      </c>
      <c r="BQ151" s="73" t="str">
        <f aca="false">_xlfn.IFNA(INDEX(PMTCT!$AV:$AV,MATCH($E151,PMTCT!$E:$E,0)),"")</f>
        <v/>
      </c>
      <c r="BR151" s="73" t="n">
        <f aca="false">_xlfn.IFNA(INDEX(TB!$R:$R,MATCH($E151,TB!$E:$E,0)),"")</f>
        <v>17</v>
      </c>
      <c r="BS151" s="73" t="str">
        <f aca="false">_xlfn.IFNA(INDEX(VMMC!$AD:$AD,MATCH($E151,VMMC!$E:$E,0)),"")</f>
        <v/>
      </c>
      <c r="BT151" s="73" t="n">
        <f aca="false">IF(SUM($R151,$T151,$AN151,$AQ151,$AT151,$AW151,$AZ151,$BC151,$BF151,$BI151,$BL151,$BP151:$BS151)=0,"",SUM($R151,$T151,$AN151,$AQ151,$AT151,$AW151,$AZ151,$BC151,$BF151,$BI151,$BL151,$BP151:$BS151))</f>
        <v>-1832</v>
      </c>
      <c r="BU151" s="73" t="n">
        <f aca="false">IF(OR(SUM($BT151)=0,SUM($BN151)=0),"",SUM($BT151,$BN151))</f>
        <v>-1134</v>
      </c>
      <c r="BV151" s="118" t="n">
        <f aca="false">IF(SUM($BU151)=0,"",SUM($BN151)/$BU151)</f>
        <v>-0.615520282186949</v>
      </c>
      <c r="BW151" s="73" t="n">
        <v>38</v>
      </c>
      <c r="BX151" s="118" t="n">
        <f aca="false">IF(OR($C151="01-04",$C151="05-09"),"",0%)</f>
        <v>0</v>
      </c>
      <c r="BY151" s="75" t="n">
        <f aca="false">IF(OR($C151="01-04",$C151="05-09",SUM($BW151)=0),"",ROUND($BW151*(1+$BX151),0))</f>
        <v>38</v>
      </c>
    </row>
    <row r="152" customFormat="false" ht="15" hidden="false" customHeight="false" outlineLevel="0" collapsed="false">
      <c r="A152" s="0" t="s">
        <v>147</v>
      </c>
      <c r="B152" s="0" t="s">
        <v>105</v>
      </c>
      <c r="C152" s="0" t="s">
        <v>61</v>
      </c>
      <c r="D152" s="0" t="s">
        <v>58</v>
      </c>
      <c r="E152" s="0" t="str">
        <f aca="false">B152&amp;"|"&amp;C152&amp;"|"&amp;D152</f>
        <v>Mohale's Hoek [#SNU] [#DREAMS] [YGI7vISD2kJ]|10-14|Male</v>
      </c>
      <c r="F152" s="118" t="n">
        <f aca="false">_xlfn.IFNA(INDEX(Cascade!$Y:$Y,MATCH($E152,Cascade!$E:$E,0)),"")</f>
        <v>0.76425855513308</v>
      </c>
      <c r="G152" s="73" t="n">
        <f aca="false">_xlfn.IFNA(INDEX(Cascade!$BD:$BD,MATCH($E152,Cascade!$E:$E,0)),"")</f>
        <v>9</v>
      </c>
      <c r="H152" s="73" t="n">
        <f aca="false">_xlfn.IFNA(INDEX(Cascade!$BE:$BE,MATCH($E152,Cascade!$E:$E,0)),"")</f>
        <v>5</v>
      </c>
      <c r="I152" s="73" t="str">
        <f aca="false">_xlfn.IFNA(INDEX(Cascade!$BF:$BF,MATCH($E152,Cascade!$E:$E,0)),"")</f>
        <v/>
      </c>
      <c r="J152" s="73" t="str">
        <f aca="false">_xlfn.IFNA(INDEX(Cascade!$BG:$BG,MATCH($E152,Cascade!$E:$E,0)),"")</f>
        <v/>
      </c>
      <c r="K152" s="73" t="n">
        <f aca="false">_xlfn.IFNA(INDEX(Cascade!$BH:$BH,MATCH($E152,Cascade!$E:$E,0)),"")</f>
        <v>-0</v>
      </c>
      <c r="L152" s="73" t="str">
        <f aca="false">_xlfn.IFNA(INDEX(Cascade!$BI:$BI,MATCH($E152,Cascade!$E:$E,0)),"")</f>
        <v/>
      </c>
      <c r="M152" s="73" t="n">
        <f aca="false">_xlfn.IFNA(INDEX(Cascade!$BK:$BK,MATCH($E152,Cascade!$E:$E,0)),"")</f>
        <v>4</v>
      </c>
      <c r="N152" s="118" t="n">
        <v>46</v>
      </c>
      <c r="O152" s="118"/>
      <c r="P152" s="118" t="n">
        <v>45</v>
      </c>
      <c r="Q152" s="75" t="str">
        <f aca="false">IF(OR(SUM($H152)=0,SUM($N152)=0,SUM($O152)=0),"",ROUND($H152*$N152,0))</f>
        <v/>
      </c>
      <c r="R152" s="75" t="str">
        <f aca="false">IF(OR(SUM($Q152)=0,SUM($O152)=0),"",ROUND(SUM($Q152)/SUM($O152),0)-SUM($Q152))</f>
        <v/>
      </c>
      <c r="S152" s="75" t="n">
        <f aca="false">IF(SUM($H152)=0,"",SUM($H152)-SUM($Q152))</f>
        <v>5</v>
      </c>
      <c r="T152" s="75" t="str">
        <f aca="false">IF(OR(SUM($S152)=0,$N152&gt;1,SUM($P152)&lt;=0),"",ROUND($S152/$P152,0)-$S152)</f>
        <v/>
      </c>
      <c r="U152" s="118" t="n">
        <f aca="false">IF(SUM($G152)&lt;=0,"",SUM($Q152,$S152)/$G152)</f>
        <v>0.555555555555556</v>
      </c>
      <c r="V152" s="118" t="str">
        <f aca="false">IF(OR(SUM($Q152)=0,SUM($G152)=0),"",SUM($Q152)/SUM($G152))</f>
        <v/>
      </c>
      <c r="W152" s="118" t="n">
        <f aca="false">IF(OR(SUM($S152)=0,SUM($G152)=0),"",SUM($S152)/SUM($G152))</f>
        <v>0.555555555555556</v>
      </c>
      <c r="X152" s="118" t="str">
        <f aca="false">IF(OR(SUM($G152)=0,SUM($I152)=0),"",SUM($I152)/SUM($G152))</f>
        <v/>
      </c>
      <c r="Y152" s="118" t="str">
        <f aca="false">IF(OR(SUM($G152)=0,SUM($J152)=0),"",SUM($J152)/SUM($G152))</f>
        <v/>
      </c>
      <c r="Z152" s="118" t="str">
        <f aca="false">IF(OR(SUM($G152)=0,SUM($K152)=0),"",SUM($K152)/SUM($G152))</f>
        <v/>
      </c>
      <c r="AA152" s="118" t="str">
        <f aca="false">IF(OR(SUM($G152)=0,SUM($L152)=0),"",SUM($L152)/SUM($G152))</f>
        <v/>
      </c>
      <c r="AB152" s="118" t="n">
        <v>19</v>
      </c>
      <c r="AC152" s="118"/>
      <c r="AD152" s="118"/>
      <c r="AE152" s="118" t="n">
        <v>13</v>
      </c>
      <c r="AF152" s="118" t="n">
        <v>49</v>
      </c>
      <c r="AG152" s="118" t="n">
        <v>32</v>
      </c>
      <c r="AH152" s="118" t="n">
        <v>26</v>
      </c>
      <c r="AI152" s="118" t="n">
        <v>5</v>
      </c>
      <c r="AJ152" s="118" t="n">
        <v>43</v>
      </c>
      <c r="AK152" s="118" t="n">
        <f aca="false">IF(SUM($G152)&lt;=0,"",SUM($V152:$AJ152))</f>
        <v>187.555555555556</v>
      </c>
      <c r="AL152" s="118"/>
      <c r="AM152" s="75" t="n">
        <f aca="false">IF(OR(SUM($AB152)&lt;=0,SUM($G152)&lt;=0),"",ROUND($G152*$AB152,0))</f>
        <v>171</v>
      </c>
      <c r="AN152" s="75" t="str">
        <f aca="false">IF(SUM($AM152)&lt;=0,"",IF(SUM($AL152)&lt;=0,"ENTER VALID YIELD!",ROUND($AM152/$AL152,0)-$AM152))</f>
        <v>ENTER VALID YIELD!</v>
      </c>
      <c r="AO152" s="118"/>
      <c r="AP152" s="75" t="str">
        <f aca="false">IF(OR(SUM($AC152)&lt;=0,SUM($G152)&lt;=0),"",ROUND($G152*$AC152,0))</f>
        <v/>
      </c>
      <c r="AQ152" s="75" t="str">
        <f aca="false">IF(SUM($AP152)&lt;=0,"",IF(SUM($AO152)&lt;=0,"ENTER VALID YIELD!",ROUND($AP152/$AO152,0)-$AP152))</f>
        <v/>
      </c>
      <c r="AR152" s="118"/>
      <c r="AS152" s="75" t="str">
        <f aca="false">IF(OR(SUM($AD152)&lt;=0,SUM($G152)&lt;=0),"",ROUND($G152*$AD152,0))</f>
        <v/>
      </c>
      <c r="AT152" s="75" t="str">
        <f aca="false">IF(SUM($AS152)&lt;=0,"",IF(SUM($AR152)&lt;=0,"ENTER VALID YIELD!",ROUND($AS152/$AR152,0)-$AS152))</f>
        <v/>
      </c>
      <c r="AU152" s="118"/>
      <c r="AV152" s="75" t="n">
        <f aca="false">IF(OR(SUM($AE152)&lt;=0,SUM($G152)&lt;=0),"",ROUND($G152*$AE152,0))</f>
        <v>117</v>
      </c>
      <c r="AW152" s="75" t="str">
        <f aca="false">IF(SUM($AV152)&lt;=0,"",IF(SUM($AU152)&lt;=0,"ENTER VALID YIELD!",ROUND($AV152/$AU152,0)-$AV152))</f>
        <v>ENTER VALID YIELD!</v>
      </c>
      <c r="AX152" s="118"/>
      <c r="AY152" s="75" t="n">
        <f aca="false">IF(OR(SUM($AF152)&lt;=0,SUM($G152)&lt;=0),"",ROUND($G152*$AF152,0))</f>
        <v>441</v>
      </c>
      <c r="AZ152" s="75" t="str">
        <f aca="false">IF(SUM($AY152)&lt;=0,"",IF(SUM($AX152)&lt;=0,"ENTER VALID YIELD!",ROUND($AY152/$AX152,0)-$AY152))</f>
        <v>ENTER VALID YIELD!</v>
      </c>
      <c r="BA152" s="118" t="n">
        <v>34</v>
      </c>
      <c r="BB152" s="75" t="n">
        <f aca="false">IF(OR(SUM($AG152)&lt;=0,SUM($G152)&lt;=0),"",ROUND($G152*$AG152,0))</f>
        <v>288</v>
      </c>
      <c r="BC152" s="75" t="n">
        <f aca="false">IF(SUM($BB152)&lt;=0,"",IF(SUM($BA152)&lt;=0,"ENTER VALID YIELD!",ROUND($BB152/$BA152,0)-$BB152))</f>
        <v>-280</v>
      </c>
      <c r="BD152" s="118"/>
      <c r="BE152" s="75" t="n">
        <f aca="false">IF(OR(SUM($AH152)&lt;=0,SUM($G152)&lt;=0),"",ROUND($G152*$AH152,0))</f>
        <v>234</v>
      </c>
      <c r="BF152" s="75" t="str">
        <f aca="false">IF(SUM($BE152)&lt;=0,"",IF(SUM($BD152)&lt;=0,"ENTER VALID YIELD!",ROUND($BE152/$BD152,0)-$BE152))</f>
        <v>ENTER VALID YIELD!</v>
      </c>
      <c r="BG152" s="118"/>
      <c r="BH152" s="75" t="n">
        <f aca="false">IF(OR(SUM($AI152)&lt;=0,SUM($G152)&lt;=0),"",ROUND($G152*$AI152,0))</f>
        <v>45</v>
      </c>
      <c r="BI152" s="75" t="str">
        <f aca="false">IF(SUM($BH152)&lt;=0,"",IF(SUM($BG152)&lt;=0,"ENTER VALID YIELD!",ROUND($BH152/$BG152,0)-$BH152))</f>
        <v>ENTER VALID YIELD!</v>
      </c>
      <c r="BJ152" s="118"/>
      <c r="BK152" s="75" t="n">
        <f aca="false">IF(OR(SUM($AJ152)&lt;=0,SUM($G152)&lt;=0),"",ROUND($G152*$AJ152,0))</f>
        <v>387</v>
      </c>
      <c r="BL152" s="75" t="str">
        <f aca="false">IF(SUM($BK152)&lt;=0,"",IF(SUM($BJ152)&lt;=0,"ENTER VALID YIELD!",ROUND($BK152/$BJ152,0)-$BK152))</f>
        <v>ENTER VALID YIELD!</v>
      </c>
      <c r="BM152" s="73" t="n">
        <f aca="false">IF(SUM($G152)&lt;=0,"",$G152)</f>
        <v>9</v>
      </c>
      <c r="BN152" s="73" t="n">
        <f aca="false">IF(SUM($G152)&lt;=0,"",SUM($I152:$L152,$Q152,$S152,$AM152,$AP152,$AS152,$AV152,$AY152,$BB152,$BE152,$BH152,$BK152))</f>
        <v>1688</v>
      </c>
      <c r="BO152" s="73" t="n">
        <f aca="false">IF(AND(SUM($BN152)&lt;=0,SUM($BM152)&lt;=0),"",SUM($BN152)-SUM($BM152))</f>
        <v>1679</v>
      </c>
      <c r="BP152" s="73" t="str">
        <f aca="false">_xlfn.IFNA(INDEX(PMTCT!$AF:$AF,MATCH($E152,PMTCT!$E:$E,0)),"")</f>
        <v/>
      </c>
      <c r="BQ152" s="73" t="str">
        <f aca="false">_xlfn.IFNA(INDEX(PMTCT!$AV:$AV,MATCH($E152,PMTCT!$E:$E,0)),"")</f>
        <v/>
      </c>
      <c r="BR152" s="73" t="n">
        <f aca="false">_xlfn.IFNA(INDEX(TB!$R:$R,MATCH($E152,TB!$E:$E,0)),"")</f>
        <v>-54</v>
      </c>
      <c r="BS152" s="73" t="str">
        <f aca="false">_xlfn.IFNA(INDEX(VMMC!$AD:$AD,MATCH($E152,VMMC!$E:$E,0)),"")</f>
        <v/>
      </c>
      <c r="BT152" s="73" t="n">
        <f aca="false">IF(SUM($R152,$T152,$AN152,$AQ152,$AT152,$AW152,$AZ152,$BC152,$BF152,$BI152,$BL152,$BP152:$BS152)=0,"",SUM($R152,$T152,$AN152,$AQ152,$AT152,$AW152,$AZ152,$BC152,$BF152,$BI152,$BL152,$BP152:$BS152))</f>
        <v>-334</v>
      </c>
      <c r="BU152" s="73" t="n">
        <f aca="false">IF(OR(SUM($BT152)=0,SUM($BN152)=0),"",SUM($BT152,$BN152))</f>
        <v>1354</v>
      </c>
      <c r="BV152" s="118" t="n">
        <f aca="false">IF(SUM($BU152)=0,"",SUM($BN152)/$BU152)</f>
        <v>1.2466765140325</v>
      </c>
      <c r="BW152" s="73"/>
      <c r="BX152" s="118" t="n">
        <f aca="false">IF(OR($C152="01-04",$C152="05-09"),"",0%)</f>
        <v>0</v>
      </c>
      <c r="BY152" s="75" t="str">
        <f aca="false">IF(OR($C152="01-04",$C152="05-09",SUM($BW152)=0),"",ROUND($BW152*(1+$BX152),0))</f>
        <v/>
      </c>
    </row>
    <row r="153" customFormat="false" ht="15" hidden="false" customHeight="false" outlineLevel="0" collapsed="false">
      <c r="A153" s="0" t="s">
        <v>147</v>
      </c>
      <c r="B153" s="0" t="s">
        <v>105</v>
      </c>
      <c r="C153" s="0" t="s">
        <v>63</v>
      </c>
      <c r="D153" s="0" t="s">
        <v>56</v>
      </c>
      <c r="E153" s="0" t="str">
        <f aca="false">B153&amp;"|"&amp;C153&amp;"|"&amp;D153</f>
        <v>Mohale's Hoek [#SNU] [#DREAMS] [YGI7vISD2kJ]|15-19|Female</v>
      </c>
      <c r="F153" s="118" t="n">
        <f aca="false">_xlfn.IFNA(INDEX(Cascade!$Y:$Y,MATCH($E153,Cascade!$E:$E,0)),"")</f>
        <v>0.699757869249395</v>
      </c>
      <c r="G153" s="73" t="n">
        <f aca="false">_xlfn.IFNA(INDEX(Cascade!$BD:$BD,MATCH($E153,Cascade!$E:$E,0)),"")</f>
        <v>7</v>
      </c>
      <c r="H153" s="73" t="n">
        <f aca="false">_xlfn.IFNA(INDEX(Cascade!$BE:$BE,MATCH($E153,Cascade!$E:$E,0)),"")</f>
        <v>2</v>
      </c>
      <c r="I153" s="73" t="n">
        <f aca="false">_xlfn.IFNA(INDEX(Cascade!$BF:$BF,MATCH($E153,Cascade!$E:$E,0)),"")</f>
        <v>-3024</v>
      </c>
      <c r="J153" s="73" t="str">
        <f aca="false">_xlfn.IFNA(INDEX(Cascade!$BG:$BG,MATCH($E153,Cascade!$E:$E,0)),"")</f>
        <v/>
      </c>
      <c r="K153" s="73" t="n">
        <f aca="false">_xlfn.IFNA(INDEX(Cascade!$BH:$BH,MATCH($E153,Cascade!$E:$E,0)),"")</f>
        <v>-0</v>
      </c>
      <c r="L153" s="73" t="str">
        <f aca="false">_xlfn.IFNA(INDEX(Cascade!$BI:$BI,MATCH($E153,Cascade!$E:$E,0)),"")</f>
        <v/>
      </c>
      <c r="M153" s="73" t="n">
        <f aca="false">_xlfn.IFNA(INDEX(Cascade!$BK:$BK,MATCH($E153,Cascade!$E:$E,0)),"")</f>
        <v>3029</v>
      </c>
      <c r="N153" s="118" t="n">
        <v>14</v>
      </c>
      <c r="O153" s="118"/>
      <c r="P153" s="118" t="n">
        <v>43</v>
      </c>
      <c r="Q153" s="75" t="str">
        <f aca="false">IF(OR(SUM($H153)=0,SUM($N153)=0,SUM($O153)=0),"",ROUND($H153*$N153,0))</f>
        <v/>
      </c>
      <c r="R153" s="75" t="str">
        <f aca="false">IF(OR(SUM($Q153)=0,SUM($O153)=0),"",ROUND(SUM($Q153)/SUM($O153),0)-SUM($Q153))</f>
        <v/>
      </c>
      <c r="S153" s="75" t="n">
        <f aca="false">IF(SUM($H153)=0,"",SUM($H153)-SUM($Q153))</f>
        <v>2</v>
      </c>
      <c r="T153" s="75" t="str">
        <f aca="false">IF(OR(SUM($S153)=0,$N153&gt;1,SUM($P153)&lt;=0),"",ROUND($S153/$P153,0)-$S153)</f>
        <v/>
      </c>
      <c r="U153" s="118" t="n">
        <f aca="false">IF(SUM($G153)&lt;=0,"",SUM($Q153,$S153)/$G153)</f>
        <v>0.285714285714286</v>
      </c>
      <c r="V153" s="118" t="str">
        <f aca="false">IF(OR(SUM($Q153)=0,SUM($G153)=0),"",SUM($Q153)/SUM($G153))</f>
        <v/>
      </c>
      <c r="W153" s="118" t="n">
        <f aca="false">IF(OR(SUM($S153)=0,SUM($G153)=0),"",SUM($S153)/SUM($G153))</f>
        <v>0.285714285714286</v>
      </c>
      <c r="X153" s="118" t="n">
        <f aca="false">IF(OR(SUM($G153)=0,SUM($I153)=0),"",SUM($I153)/SUM($G153))</f>
        <v>-432</v>
      </c>
      <c r="Y153" s="118" t="str">
        <f aca="false">IF(OR(SUM($G153)=0,SUM($J153)=0),"",SUM($J153)/SUM($G153))</f>
        <v/>
      </c>
      <c r="Z153" s="118" t="str">
        <f aca="false">IF(OR(SUM($G153)=0,SUM($K153)=0),"",SUM($K153)/SUM($G153))</f>
        <v/>
      </c>
      <c r="AA153" s="118" t="str">
        <f aca="false">IF(OR(SUM($G153)=0,SUM($L153)=0),"",SUM($L153)/SUM($G153))</f>
        <v/>
      </c>
      <c r="AB153" s="118" t="n">
        <v>24</v>
      </c>
      <c r="AC153" s="118"/>
      <c r="AD153" s="118"/>
      <c r="AE153" s="118" t="n">
        <v>10</v>
      </c>
      <c r="AF153" s="118" t="n">
        <v>19</v>
      </c>
      <c r="AG153" s="118" t="n">
        <v>48</v>
      </c>
      <c r="AH153" s="118" t="n">
        <v>7</v>
      </c>
      <c r="AI153" s="118" t="n">
        <v>16</v>
      </c>
      <c r="AJ153" s="118" t="n">
        <v>49</v>
      </c>
      <c r="AK153" s="118" t="n">
        <f aca="false">IF(SUM($G153)&lt;=0,"",SUM($V153:$AJ153))</f>
        <v>-258.714285714286</v>
      </c>
      <c r="AL153" s="118"/>
      <c r="AM153" s="75" t="n">
        <f aca="false">IF(OR(SUM($AB153)&lt;=0,SUM($G153)&lt;=0),"",ROUND($G153*$AB153,0))</f>
        <v>168</v>
      </c>
      <c r="AN153" s="75" t="str">
        <f aca="false">IF(SUM($AM153)&lt;=0,"",IF(SUM($AL153)&lt;=0,"ENTER VALID YIELD!",ROUND($AM153/$AL153,0)-$AM153))</f>
        <v>ENTER VALID YIELD!</v>
      </c>
      <c r="AO153" s="118"/>
      <c r="AP153" s="75" t="str">
        <f aca="false">IF(OR(SUM($AC153)&lt;=0,SUM($G153)&lt;=0),"",ROUND($G153*$AC153,0))</f>
        <v/>
      </c>
      <c r="AQ153" s="75" t="str">
        <f aca="false">IF(SUM($AP153)&lt;=0,"",IF(SUM($AO153)&lt;=0,"ENTER VALID YIELD!",ROUND($AP153/$AO153,0)-$AP153))</f>
        <v/>
      </c>
      <c r="AR153" s="118"/>
      <c r="AS153" s="75" t="str">
        <f aca="false">IF(OR(SUM($AD153)&lt;=0,SUM($G153)&lt;=0),"",ROUND($G153*$AD153,0))</f>
        <v/>
      </c>
      <c r="AT153" s="75" t="str">
        <f aca="false">IF(SUM($AS153)&lt;=0,"",IF(SUM($AR153)&lt;=0,"ENTER VALID YIELD!",ROUND($AS153/$AR153,0)-$AS153))</f>
        <v/>
      </c>
      <c r="AU153" s="118"/>
      <c r="AV153" s="75" t="n">
        <f aca="false">IF(OR(SUM($AE153)&lt;=0,SUM($G153)&lt;=0),"",ROUND($G153*$AE153,0))</f>
        <v>70</v>
      </c>
      <c r="AW153" s="75" t="str">
        <f aca="false">IF(SUM($AV153)&lt;=0,"",IF(SUM($AU153)&lt;=0,"ENTER VALID YIELD!",ROUND($AV153/$AU153,0)-$AV153))</f>
        <v>ENTER VALID YIELD!</v>
      </c>
      <c r="AX153" s="118"/>
      <c r="AY153" s="75" t="n">
        <f aca="false">IF(OR(SUM($AF153)&lt;=0,SUM($G153)&lt;=0),"",ROUND($G153*$AF153,0))</f>
        <v>133</v>
      </c>
      <c r="AZ153" s="75" t="str">
        <f aca="false">IF(SUM($AY153)&lt;=0,"",IF(SUM($AX153)&lt;=0,"ENTER VALID YIELD!",ROUND($AY153/$AX153,0)-$AY153))</f>
        <v>ENTER VALID YIELD!</v>
      </c>
      <c r="BA153" s="118" t="n">
        <v>9</v>
      </c>
      <c r="BB153" s="75" t="n">
        <f aca="false">IF(OR(SUM($AG153)&lt;=0,SUM($G153)&lt;=0),"",ROUND($G153*$AG153,0))</f>
        <v>336</v>
      </c>
      <c r="BC153" s="75" t="n">
        <f aca="false">IF(SUM($BB153)&lt;=0,"",IF(SUM($BA153)&lt;=0,"ENTER VALID YIELD!",ROUND($BB153/$BA153,0)-$BB153))</f>
        <v>-299</v>
      </c>
      <c r="BD153" s="118"/>
      <c r="BE153" s="75" t="n">
        <f aca="false">IF(OR(SUM($AH153)&lt;=0,SUM($G153)&lt;=0),"",ROUND($G153*$AH153,0))</f>
        <v>49</v>
      </c>
      <c r="BF153" s="75" t="str">
        <f aca="false">IF(SUM($BE153)&lt;=0,"",IF(SUM($BD153)&lt;=0,"ENTER VALID YIELD!",ROUND($BE153/$BD153,0)-$BE153))</f>
        <v>ENTER VALID YIELD!</v>
      </c>
      <c r="BG153" s="118" t="n">
        <v>34</v>
      </c>
      <c r="BH153" s="75" t="n">
        <f aca="false">IF(OR(SUM($AI153)&lt;=0,SUM($G153)&lt;=0),"",ROUND($G153*$AI153,0))</f>
        <v>112</v>
      </c>
      <c r="BI153" s="75" t="n">
        <f aca="false">IF(SUM($BH153)&lt;=0,"",IF(SUM($BG153)&lt;=0,"ENTER VALID YIELD!",ROUND($BH153/$BG153,0)-$BH153))</f>
        <v>-109</v>
      </c>
      <c r="BJ153" s="118" t="n">
        <v>30</v>
      </c>
      <c r="BK153" s="75" t="n">
        <f aca="false">IF(OR(SUM($AJ153)&lt;=0,SUM($G153)&lt;=0),"",ROUND($G153*$AJ153,0))</f>
        <v>343</v>
      </c>
      <c r="BL153" s="75" t="n">
        <f aca="false">IF(SUM($BK153)&lt;=0,"",IF(SUM($BJ153)&lt;=0,"ENTER VALID YIELD!",ROUND($BK153/$BJ153,0)-$BK153))</f>
        <v>-332</v>
      </c>
      <c r="BM153" s="73" t="n">
        <f aca="false">IF(SUM($G153)&lt;=0,"",$G153)</f>
        <v>7</v>
      </c>
      <c r="BN153" s="73" t="n">
        <f aca="false">IF(SUM($G153)&lt;=0,"",SUM($I153:$L153,$Q153,$S153,$AM153,$AP153,$AS153,$AV153,$AY153,$BB153,$BE153,$BH153,$BK153))</f>
        <v>-1811</v>
      </c>
      <c r="BO153" s="73" t="n">
        <f aca="false">IF(AND(SUM($BN153)&lt;=0,SUM($BM153)&lt;=0),"",SUM($BN153)-SUM($BM153))</f>
        <v>-1818</v>
      </c>
      <c r="BP153" s="73" t="n">
        <f aca="false">_xlfn.IFNA(INDEX(PMTCT!$AF:$AF,MATCH($E153,PMTCT!$E:$E,0)),"")</f>
        <v>2880</v>
      </c>
      <c r="BQ153" s="73" t="str">
        <f aca="false">_xlfn.IFNA(INDEX(PMTCT!$AV:$AV,MATCH($E153,PMTCT!$E:$E,0)),"")</f>
        <v/>
      </c>
      <c r="BR153" s="73" t="n">
        <f aca="false">_xlfn.IFNA(INDEX(TB!$R:$R,MATCH($E153,TB!$E:$E,0)),"")</f>
        <v>-6</v>
      </c>
      <c r="BS153" s="73" t="str">
        <f aca="false">_xlfn.IFNA(INDEX(VMMC!$AD:$AD,MATCH($E153,VMMC!$E:$E,0)),"")</f>
        <v/>
      </c>
      <c r="BT153" s="73" t="n">
        <f aca="false">IF(SUM($R153,$T153,$AN153,$AQ153,$AT153,$AW153,$AZ153,$BC153,$BF153,$BI153,$BL153,$BP153:$BS153)=0,"",SUM($R153,$T153,$AN153,$AQ153,$AT153,$AW153,$AZ153,$BC153,$BF153,$BI153,$BL153,$BP153:$BS153))</f>
        <v>2134</v>
      </c>
      <c r="BU153" s="73" t="n">
        <f aca="false">IF(OR(SUM($BT153)=0,SUM($BN153)=0),"",SUM($BT153,$BN153))</f>
        <v>323</v>
      </c>
      <c r="BV153" s="118" t="n">
        <f aca="false">IF(SUM($BU153)=0,"",SUM($BN153)/$BU153)</f>
        <v>-5.60681114551084</v>
      </c>
      <c r="BW153" s="73" t="n">
        <v>13</v>
      </c>
      <c r="BX153" s="118" t="n">
        <f aca="false">IF(OR($C153="01-04",$C153="05-09"),"",0%)</f>
        <v>0</v>
      </c>
      <c r="BY153" s="75" t="n">
        <f aca="false">IF(OR($C153="01-04",$C153="05-09",SUM($BW153)=0),"",ROUND($BW153*(1+$BX153),0))</f>
        <v>13</v>
      </c>
    </row>
    <row r="154" customFormat="false" ht="15" hidden="false" customHeight="false" outlineLevel="0" collapsed="false">
      <c r="A154" s="0" t="s">
        <v>147</v>
      </c>
      <c r="B154" s="0" t="s">
        <v>105</v>
      </c>
      <c r="C154" s="0" t="s">
        <v>63</v>
      </c>
      <c r="D154" s="0" t="s">
        <v>58</v>
      </c>
      <c r="E154" s="0" t="str">
        <f aca="false">B154&amp;"|"&amp;C154&amp;"|"&amp;D154</f>
        <v>Mohale's Hoek [#SNU] [#DREAMS] [YGI7vISD2kJ]|15-19|Male</v>
      </c>
      <c r="F154" s="118" t="n">
        <f aca="false">_xlfn.IFNA(INDEX(Cascade!$Y:$Y,MATCH($E154,Cascade!$E:$E,0)),"")</f>
        <v>0.842105263157895</v>
      </c>
      <c r="G154" s="73" t="n">
        <f aca="false">_xlfn.IFNA(INDEX(Cascade!$BD:$BD,MATCH($E154,Cascade!$E:$E,0)),"")</f>
        <v>1</v>
      </c>
      <c r="H154" s="73" t="n">
        <f aca="false">_xlfn.IFNA(INDEX(Cascade!$BE:$BE,MATCH($E154,Cascade!$E:$E,0)),"")</f>
        <v>1</v>
      </c>
      <c r="I154" s="73" t="str">
        <f aca="false">_xlfn.IFNA(INDEX(Cascade!$BF:$BF,MATCH($E154,Cascade!$E:$E,0)),"")</f>
        <v/>
      </c>
      <c r="J154" s="73" t="str">
        <f aca="false">_xlfn.IFNA(INDEX(Cascade!$BG:$BG,MATCH($E154,Cascade!$E:$E,0)),"")</f>
        <v/>
      </c>
      <c r="K154" s="73" t="n">
        <f aca="false">_xlfn.IFNA(INDEX(Cascade!$BH:$BH,MATCH($E154,Cascade!$E:$E,0)),"")</f>
        <v>-0</v>
      </c>
      <c r="L154" s="73" t="str">
        <f aca="false">_xlfn.IFNA(INDEX(Cascade!$BI:$BI,MATCH($E154,Cascade!$E:$E,0)),"")</f>
        <v/>
      </c>
      <c r="M154" s="73" t="n">
        <f aca="false">_xlfn.IFNA(INDEX(Cascade!$BK:$BK,MATCH($E154,Cascade!$E:$E,0)),"")</f>
        <v>0</v>
      </c>
      <c r="N154" s="118" t="n">
        <v>1</v>
      </c>
      <c r="O154" s="118"/>
      <c r="P154" s="118" t="n">
        <v>14</v>
      </c>
      <c r="Q154" s="75" t="str">
        <f aca="false">IF(OR(SUM($H154)=0,SUM($N154)=0,SUM($O154)=0),"",ROUND($H154*$N154,0))</f>
        <v/>
      </c>
      <c r="R154" s="75" t="str">
        <f aca="false">IF(OR(SUM($Q154)=0,SUM($O154)=0),"",ROUND(SUM($Q154)/SUM($O154),0)-SUM($Q154))</f>
        <v/>
      </c>
      <c r="S154" s="75" t="n">
        <f aca="false">IF(SUM($H154)=0,"",SUM($H154)-SUM($Q154))</f>
        <v>1</v>
      </c>
      <c r="T154" s="75" t="n">
        <f aca="false">IF(OR(SUM($S154)=0,$N154&gt;1,SUM($P154)&lt;=0),"",ROUND($S154/$P154,0)-$S154)</f>
        <v>-1</v>
      </c>
      <c r="U154" s="118" t="n">
        <f aca="false">IF(SUM($G154)&lt;=0,"",SUM($Q154,$S154)/$G154)</f>
        <v>1</v>
      </c>
      <c r="V154" s="118" t="str">
        <f aca="false">IF(OR(SUM($Q154)=0,SUM($G154)=0),"",SUM($Q154)/SUM($G154))</f>
        <v/>
      </c>
      <c r="W154" s="118" t="n">
        <f aca="false">IF(OR(SUM($S154)=0,SUM($G154)=0),"",SUM($S154)/SUM($G154))</f>
        <v>1</v>
      </c>
      <c r="X154" s="118" t="str">
        <f aca="false">IF(OR(SUM($G154)=0,SUM($I154)=0),"",SUM($I154)/SUM($G154))</f>
        <v/>
      </c>
      <c r="Y154" s="118" t="str">
        <f aca="false">IF(OR(SUM($G154)=0,SUM($J154)=0),"",SUM($J154)/SUM($G154))</f>
        <v/>
      </c>
      <c r="Z154" s="118" t="str">
        <f aca="false">IF(OR(SUM($G154)=0,SUM($K154)=0),"",SUM($K154)/SUM($G154))</f>
        <v/>
      </c>
      <c r="AA154" s="118" t="str">
        <f aca="false">IF(OR(SUM($G154)=0,SUM($L154)=0),"",SUM($L154)/SUM($G154))</f>
        <v/>
      </c>
      <c r="AB154" s="118" t="n">
        <v>1</v>
      </c>
      <c r="AC154" s="118"/>
      <c r="AD154" s="118"/>
      <c r="AE154" s="118" t="n">
        <v>44</v>
      </c>
      <c r="AF154" s="118" t="n">
        <v>0</v>
      </c>
      <c r="AG154" s="118" t="n">
        <v>35</v>
      </c>
      <c r="AH154" s="118" t="n">
        <v>37</v>
      </c>
      <c r="AI154" s="118" t="n">
        <v>33</v>
      </c>
      <c r="AJ154" s="118" t="n">
        <v>36</v>
      </c>
      <c r="AK154" s="118" t="n">
        <f aca="false">IF(SUM($G154)&lt;=0,"",SUM($V154:$AJ154))</f>
        <v>187</v>
      </c>
      <c r="AL154" s="118"/>
      <c r="AM154" s="75" t="n">
        <f aca="false">IF(OR(SUM($AB154)&lt;=0,SUM($G154)&lt;=0),"",ROUND($G154*$AB154,0))</f>
        <v>1</v>
      </c>
      <c r="AN154" s="75" t="str">
        <f aca="false">IF(SUM($AM154)&lt;=0,"",IF(SUM($AL154)&lt;=0,"ENTER VALID YIELD!",ROUND($AM154/$AL154,0)-$AM154))</f>
        <v>ENTER VALID YIELD!</v>
      </c>
      <c r="AO154" s="118"/>
      <c r="AP154" s="75" t="str">
        <f aca="false">IF(OR(SUM($AC154)&lt;=0,SUM($G154)&lt;=0),"",ROUND($G154*$AC154,0))</f>
        <v/>
      </c>
      <c r="AQ154" s="75" t="str">
        <f aca="false">IF(SUM($AP154)&lt;=0,"",IF(SUM($AO154)&lt;=0,"ENTER VALID YIELD!",ROUND($AP154/$AO154,0)-$AP154))</f>
        <v/>
      </c>
      <c r="AR154" s="118"/>
      <c r="AS154" s="75" t="str">
        <f aca="false">IF(OR(SUM($AD154)&lt;=0,SUM($G154)&lt;=0),"",ROUND($G154*$AD154,0))</f>
        <v/>
      </c>
      <c r="AT154" s="75" t="str">
        <f aca="false">IF(SUM($AS154)&lt;=0,"",IF(SUM($AR154)&lt;=0,"ENTER VALID YIELD!",ROUND($AS154/$AR154,0)-$AS154))</f>
        <v/>
      </c>
      <c r="AU154" s="118"/>
      <c r="AV154" s="75" t="n">
        <f aca="false">IF(OR(SUM($AE154)&lt;=0,SUM($G154)&lt;=0),"",ROUND($G154*$AE154,0))</f>
        <v>44</v>
      </c>
      <c r="AW154" s="75" t="str">
        <f aca="false">IF(SUM($AV154)&lt;=0,"",IF(SUM($AU154)&lt;=0,"ENTER VALID YIELD!",ROUND($AV154/$AU154,0)-$AV154))</f>
        <v>ENTER VALID YIELD!</v>
      </c>
      <c r="AX154" s="118"/>
      <c r="AY154" s="75" t="str">
        <f aca="false">IF(OR(SUM($AF154)&lt;=0,SUM($G154)&lt;=0),"",ROUND($G154*$AF154,0))</f>
        <v/>
      </c>
      <c r="AZ154" s="75" t="str">
        <f aca="false">IF(SUM($AY154)&lt;=0,"",IF(SUM($AX154)&lt;=0,"ENTER VALID YIELD!",ROUND($AY154/$AX154,0)-$AY154))</f>
        <v/>
      </c>
      <c r="BA154" s="118" t="n">
        <v>49</v>
      </c>
      <c r="BB154" s="75" t="n">
        <f aca="false">IF(OR(SUM($AG154)&lt;=0,SUM($G154)&lt;=0),"",ROUND($G154*$AG154,0))</f>
        <v>35</v>
      </c>
      <c r="BC154" s="75" t="n">
        <f aca="false">IF(SUM($BB154)&lt;=0,"",IF(SUM($BA154)&lt;=0,"ENTER VALID YIELD!",ROUND($BB154/$BA154,0)-$BB154))</f>
        <v>-34</v>
      </c>
      <c r="BD154" s="118"/>
      <c r="BE154" s="75" t="n">
        <f aca="false">IF(OR(SUM($AH154)&lt;=0,SUM($G154)&lt;=0),"",ROUND($G154*$AH154,0))</f>
        <v>37</v>
      </c>
      <c r="BF154" s="75" t="str">
        <f aca="false">IF(SUM($BE154)&lt;=0,"",IF(SUM($BD154)&lt;=0,"ENTER VALID YIELD!",ROUND($BE154/$BD154,0)-$BE154))</f>
        <v>ENTER VALID YIELD!</v>
      </c>
      <c r="BG154" s="118"/>
      <c r="BH154" s="75" t="n">
        <f aca="false">IF(OR(SUM($AI154)&lt;=0,SUM($G154)&lt;=0),"",ROUND($G154*$AI154,0))</f>
        <v>33</v>
      </c>
      <c r="BI154" s="75" t="str">
        <f aca="false">IF(SUM($BH154)&lt;=0,"",IF(SUM($BG154)&lt;=0,"ENTER VALID YIELD!",ROUND($BH154/$BG154,0)-$BH154))</f>
        <v>ENTER VALID YIELD!</v>
      </c>
      <c r="BJ154" s="118"/>
      <c r="BK154" s="75" t="n">
        <f aca="false">IF(OR(SUM($AJ154)&lt;=0,SUM($G154)&lt;=0),"",ROUND($G154*$AJ154,0))</f>
        <v>36</v>
      </c>
      <c r="BL154" s="75" t="str">
        <f aca="false">IF(SUM($BK154)&lt;=0,"",IF(SUM($BJ154)&lt;=0,"ENTER VALID YIELD!",ROUND($BK154/$BJ154,0)-$BK154))</f>
        <v>ENTER VALID YIELD!</v>
      </c>
      <c r="BM154" s="73" t="n">
        <f aca="false">IF(SUM($G154)&lt;=0,"",$G154)</f>
        <v>1</v>
      </c>
      <c r="BN154" s="73" t="n">
        <f aca="false">IF(SUM($G154)&lt;=0,"",SUM($I154:$L154,$Q154,$S154,$AM154,$AP154,$AS154,$AV154,$AY154,$BB154,$BE154,$BH154,$BK154))</f>
        <v>187</v>
      </c>
      <c r="BO154" s="73" t="n">
        <f aca="false">IF(AND(SUM($BN154)&lt;=0,SUM($BM154)&lt;=0),"",SUM($BN154)-SUM($BM154))</f>
        <v>186</v>
      </c>
      <c r="BP154" s="73" t="str">
        <f aca="false">_xlfn.IFNA(INDEX(PMTCT!$AF:$AF,MATCH($E154,PMTCT!$E:$E,0)),"")</f>
        <v/>
      </c>
      <c r="BQ154" s="73" t="str">
        <f aca="false">_xlfn.IFNA(INDEX(PMTCT!$AV:$AV,MATCH($E154,PMTCT!$E:$E,0)),"")</f>
        <v/>
      </c>
      <c r="BR154" s="73" t="n">
        <f aca="false">_xlfn.IFNA(INDEX(TB!$R:$R,MATCH($E154,TB!$E:$E,0)),"")</f>
        <v>-780</v>
      </c>
      <c r="BS154" s="73" t="str">
        <f aca="false">_xlfn.IFNA(INDEX(VMMC!$AD:$AD,MATCH($E154,VMMC!$E:$E,0)),"")</f>
        <v/>
      </c>
      <c r="BT154" s="73" t="n">
        <f aca="false">IF(SUM($R154,$T154,$AN154,$AQ154,$AT154,$AW154,$AZ154,$BC154,$BF154,$BI154,$BL154,$BP154:$BS154)=0,"",SUM($R154,$T154,$AN154,$AQ154,$AT154,$AW154,$AZ154,$BC154,$BF154,$BI154,$BL154,$BP154:$BS154))</f>
        <v>-815</v>
      </c>
      <c r="BU154" s="73" t="n">
        <f aca="false">IF(OR(SUM($BT154)=0,SUM($BN154)=0),"",SUM($BT154,$BN154))</f>
        <v>-628</v>
      </c>
      <c r="BV154" s="118" t="n">
        <f aca="false">IF(SUM($BU154)=0,"",SUM($BN154)/$BU154)</f>
        <v>-0.297770700636943</v>
      </c>
      <c r="BW154" s="73" t="n">
        <v>24</v>
      </c>
      <c r="BX154" s="118" t="n">
        <f aca="false">IF(OR($C154="01-04",$C154="05-09"),"",0%)</f>
        <v>0</v>
      </c>
      <c r="BY154" s="75" t="n">
        <f aca="false">IF(OR($C154="01-04",$C154="05-09",SUM($BW154)=0),"",ROUND($BW154*(1+$BX154),0))</f>
        <v>24</v>
      </c>
    </row>
    <row r="155" customFormat="false" ht="15" hidden="false" customHeight="false" outlineLevel="0" collapsed="false">
      <c r="A155" s="0" t="s">
        <v>147</v>
      </c>
      <c r="B155" s="0" t="s">
        <v>105</v>
      </c>
      <c r="C155" s="0" t="s">
        <v>66</v>
      </c>
      <c r="D155" s="0" t="s">
        <v>56</v>
      </c>
      <c r="E155" s="0" t="str">
        <f aca="false">B155&amp;"|"&amp;C155&amp;"|"&amp;D155</f>
        <v>Mohale's Hoek [#SNU] [#DREAMS] [YGI7vISD2kJ]|20-24|Female</v>
      </c>
      <c r="F155" s="118" t="n">
        <f aca="false">_xlfn.IFNA(INDEX(Cascade!$Y:$Y,MATCH($E155,Cascade!$E:$E,0)),"")</f>
        <v>0.614135625596944</v>
      </c>
      <c r="G155" s="73" t="n">
        <f aca="false">_xlfn.IFNA(INDEX(Cascade!$BD:$BD,MATCH($E155,Cascade!$E:$E,0)),"")</f>
        <v>15</v>
      </c>
      <c r="H155" s="73" t="n">
        <f aca="false">_xlfn.IFNA(INDEX(Cascade!$BE:$BE,MATCH($E155,Cascade!$E:$E,0)),"")</f>
        <v>5</v>
      </c>
      <c r="I155" s="73" t="n">
        <f aca="false">_xlfn.IFNA(INDEX(Cascade!$BF:$BF,MATCH($E155,Cascade!$E:$E,0)),"")</f>
        <v>-5355</v>
      </c>
      <c r="J155" s="73" t="str">
        <f aca="false">_xlfn.IFNA(INDEX(Cascade!$BG:$BG,MATCH($E155,Cascade!$E:$E,0)),"")</f>
        <v/>
      </c>
      <c r="K155" s="73" t="n">
        <f aca="false">_xlfn.IFNA(INDEX(Cascade!$BH:$BH,MATCH($E155,Cascade!$E:$E,0)),"")</f>
        <v>-0</v>
      </c>
      <c r="L155" s="73" t="str">
        <f aca="false">_xlfn.IFNA(INDEX(Cascade!$BI:$BI,MATCH($E155,Cascade!$E:$E,0)),"")</f>
        <v/>
      </c>
      <c r="M155" s="73" t="n">
        <f aca="false">_xlfn.IFNA(INDEX(Cascade!$BK:$BK,MATCH($E155,Cascade!$E:$E,0)),"")</f>
        <v>5365</v>
      </c>
      <c r="N155" s="118" t="n">
        <v>39</v>
      </c>
      <c r="O155" s="118" t="n">
        <v>14</v>
      </c>
      <c r="P155" s="118" t="n">
        <v>10</v>
      </c>
      <c r="Q155" s="75" t="n">
        <f aca="false">IF(OR(SUM($H155)=0,SUM($N155)=0,SUM($O155)=0),"",ROUND($H155*$N155,0))</f>
        <v>195</v>
      </c>
      <c r="R155" s="75" t="n">
        <f aca="false">IF(OR(SUM($Q155)=0,SUM($O155)=0),"",ROUND(SUM($Q155)/SUM($O155),0)-SUM($Q155))</f>
        <v>-181</v>
      </c>
      <c r="S155" s="75" t="n">
        <f aca="false">IF(SUM($H155)=0,"",SUM($H155)-SUM($Q155))</f>
        <v>-190</v>
      </c>
      <c r="T155" s="75" t="str">
        <f aca="false">IF(OR(SUM($S155)=0,$N155&gt;1,SUM($P155)&lt;=0),"",ROUND($S155/$P155,0)-$S155)</f>
        <v/>
      </c>
      <c r="U155" s="118" t="n">
        <f aca="false">IF(SUM($G155)&lt;=0,"",SUM($Q155,$S155)/$G155)</f>
        <v>0.333333333333333</v>
      </c>
      <c r="V155" s="118" t="n">
        <f aca="false">IF(OR(SUM($Q155)=0,SUM($G155)=0),"",SUM($Q155)/SUM($G155))</f>
        <v>13</v>
      </c>
      <c r="W155" s="118" t="n">
        <f aca="false">IF(OR(SUM($S155)=0,SUM($G155)=0),"",SUM($S155)/SUM($G155))</f>
        <v>-12.6666666666667</v>
      </c>
      <c r="X155" s="118" t="n">
        <f aca="false">IF(OR(SUM($G155)=0,SUM($I155)=0),"",SUM($I155)/SUM($G155))</f>
        <v>-357</v>
      </c>
      <c r="Y155" s="118" t="str">
        <f aca="false">IF(OR(SUM($G155)=0,SUM($J155)=0),"",SUM($J155)/SUM($G155))</f>
        <v/>
      </c>
      <c r="Z155" s="118" t="str">
        <f aca="false">IF(OR(SUM($G155)=0,SUM($K155)=0),"",SUM($K155)/SUM($G155))</f>
        <v/>
      </c>
      <c r="AA155" s="118" t="str">
        <f aca="false">IF(OR(SUM($G155)=0,SUM($L155)=0),"",SUM($L155)/SUM($G155))</f>
        <v/>
      </c>
      <c r="AB155" s="118" t="n">
        <v>19</v>
      </c>
      <c r="AC155" s="118"/>
      <c r="AD155" s="118"/>
      <c r="AE155" s="118" t="n">
        <v>7</v>
      </c>
      <c r="AF155" s="118" t="n">
        <v>25</v>
      </c>
      <c r="AG155" s="118" t="n">
        <v>21</v>
      </c>
      <c r="AH155" s="118" t="n">
        <v>9</v>
      </c>
      <c r="AI155" s="118" t="n">
        <v>18</v>
      </c>
      <c r="AJ155" s="118" t="n">
        <v>29</v>
      </c>
      <c r="AK155" s="118" t="n">
        <f aca="false">IF(SUM($G155)&lt;=0,"",SUM($V155:$AJ155))</f>
        <v>-228.666666666667</v>
      </c>
      <c r="AL155" s="118" t="n">
        <v>48</v>
      </c>
      <c r="AM155" s="75" t="n">
        <f aca="false">IF(OR(SUM($AB155)&lt;=0,SUM($G155)&lt;=0),"",ROUND($G155*$AB155,0))</f>
        <v>285</v>
      </c>
      <c r="AN155" s="75" t="n">
        <f aca="false">IF(SUM($AM155)&lt;=0,"",IF(SUM($AL155)&lt;=0,"ENTER VALID YIELD!",ROUND($AM155/$AL155,0)-$AM155))</f>
        <v>-279</v>
      </c>
      <c r="AO155" s="118"/>
      <c r="AP155" s="75" t="str">
        <f aca="false">IF(OR(SUM($AC155)&lt;=0,SUM($G155)&lt;=0),"",ROUND($G155*$AC155,0))</f>
        <v/>
      </c>
      <c r="AQ155" s="75" t="str">
        <f aca="false">IF(SUM($AP155)&lt;=0,"",IF(SUM($AO155)&lt;=0,"ENTER VALID YIELD!",ROUND($AP155/$AO155,0)-$AP155))</f>
        <v/>
      </c>
      <c r="AR155" s="118"/>
      <c r="AS155" s="75" t="str">
        <f aca="false">IF(OR(SUM($AD155)&lt;=0,SUM($G155)&lt;=0),"",ROUND($G155*$AD155,0))</f>
        <v/>
      </c>
      <c r="AT155" s="75" t="str">
        <f aca="false">IF(SUM($AS155)&lt;=0,"",IF(SUM($AR155)&lt;=0,"ENTER VALID YIELD!",ROUND($AS155/$AR155,0)-$AS155))</f>
        <v/>
      </c>
      <c r="AU155" s="118"/>
      <c r="AV155" s="75" t="n">
        <f aca="false">IF(OR(SUM($AE155)&lt;=0,SUM($G155)&lt;=0),"",ROUND($G155*$AE155,0))</f>
        <v>105</v>
      </c>
      <c r="AW155" s="75" t="str">
        <f aca="false">IF(SUM($AV155)&lt;=0,"",IF(SUM($AU155)&lt;=0,"ENTER VALID YIELD!",ROUND($AV155/$AU155,0)-$AV155))</f>
        <v>ENTER VALID YIELD!</v>
      </c>
      <c r="AX155" s="118"/>
      <c r="AY155" s="75" t="n">
        <f aca="false">IF(OR(SUM($AF155)&lt;=0,SUM($G155)&lt;=0),"",ROUND($G155*$AF155,0))</f>
        <v>375</v>
      </c>
      <c r="AZ155" s="75" t="str">
        <f aca="false">IF(SUM($AY155)&lt;=0,"",IF(SUM($AX155)&lt;=0,"ENTER VALID YIELD!",ROUND($AY155/$AX155,0)-$AY155))</f>
        <v>ENTER VALID YIELD!</v>
      </c>
      <c r="BA155" s="118" t="n">
        <v>22</v>
      </c>
      <c r="BB155" s="75" t="n">
        <f aca="false">IF(OR(SUM($AG155)&lt;=0,SUM($G155)&lt;=0),"",ROUND($G155*$AG155,0))</f>
        <v>315</v>
      </c>
      <c r="BC155" s="75" t="n">
        <f aca="false">IF(SUM($BB155)&lt;=0,"",IF(SUM($BA155)&lt;=0,"ENTER VALID YIELD!",ROUND($BB155/$BA155,0)-$BB155))</f>
        <v>-301</v>
      </c>
      <c r="BD155" s="118"/>
      <c r="BE155" s="75" t="n">
        <f aca="false">IF(OR(SUM($AH155)&lt;=0,SUM($G155)&lt;=0),"",ROUND($G155*$AH155,0))</f>
        <v>135</v>
      </c>
      <c r="BF155" s="75" t="str">
        <f aca="false">IF(SUM($BE155)&lt;=0,"",IF(SUM($BD155)&lt;=0,"ENTER VALID YIELD!",ROUND($BE155/$BD155,0)-$BE155))</f>
        <v>ENTER VALID YIELD!</v>
      </c>
      <c r="BG155" s="118" t="n">
        <v>7</v>
      </c>
      <c r="BH155" s="75" t="n">
        <f aca="false">IF(OR(SUM($AI155)&lt;=0,SUM($G155)&lt;=0),"",ROUND($G155*$AI155,0))</f>
        <v>270</v>
      </c>
      <c r="BI155" s="75" t="n">
        <f aca="false">IF(SUM($BH155)&lt;=0,"",IF(SUM($BG155)&lt;=0,"ENTER VALID YIELD!",ROUND($BH155/$BG155,0)-$BH155))</f>
        <v>-231</v>
      </c>
      <c r="BJ155" s="118" t="n">
        <v>14</v>
      </c>
      <c r="BK155" s="75" t="n">
        <f aca="false">IF(OR(SUM($AJ155)&lt;=0,SUM($G155)&lt;=0),"",ROUND($G155*$AJ155,0))</f>
        <v>435</v>
      </c>
      <c r="BL155" s="75" t="n">
        <f aca="false">IF(SUM($BK155)&lt;=0,"",IF(SUM($BJ155)&lt;=0,"ENTER VALID YIELD!",ROUND($BK155/$BJ155,0)-$BK155))</f>
        <v>-404</v>
      </c>
      <c r="BM155" s="73" t="n">
        <f aca="false">IF(SUM($G155)&lt;=0,"",$G155)</f>
        <v>15</v>
      </c>
      <c r="BN155" s="73" t="n">
        <f aca="false">IF(SUM($G155)&lt;=0,"",SUM($I155:$L155,$Q155,$S155,$AM155,$AP155,$AS155,$AV155,$AY155,$BB155,$BE155,$BH155,$BK155))</f>
        <v>-3430</v>
      </c>
      <c r="BO155" s="73" t="n">
        <f aca="false">IF(AND(SUM($BN155)&lt;=0,SUM($BM155)&lt;=0),"",SUM($BN155)-SUM($BM155))</f>
        <v>-3445</v>
      </c>
      <c r="BP155" s="73" t="n">
        <f aca="false">_xlfn.IFNA(INDEX(PMTCT!$AF:$AF,MATCH($E155,PMTCT!$E:$E,0)),"")</f>
        <v>5040</v>
      </c>
      <c r="BQ155" s="73" t="str">
        <f aca="false">_xlfn.IFNA(INDEX(PMTCT!$AV:$AV,MATCH($E155,PMTCT!$E:$E,0)),"")</f>
        <v/>
      </c>
      <c r="BR155" s="73" t="n">
        <f aca="false">_xlfn.IFNA(INDEX(TB!$R:$R,MATCH($E155,TB!$E:$E,0)),"")</f>
        <v>-1421</v>
      </c>
      <c r="BS155" s="73" t="str">
        <f aca="false">_xlfn.IFNA(INDEX(VMMC!$AD:$AD,MATCH($E155,VMMC!$E:$E,0)),"")</f>
        <v/>
      </c>
      <c r="BT155" s="73" t="n">
        <f aca="false">IF(SUM($R155,$T155,$AN155,$AQ155,$AT155,$AW155,$AZ155,$BC155,$BF155,$BI155,$BL155,$BP155:$BS155)=0,"",SUM($R155,$T155,$AN155,$AQ155,$AT155,$AW155,$AZ155,$BC155,$BF155,$BI155,$BL155,$BP155:$BS155))</f>
        <v>2223</v>
      </c>
      <c r="BU155" s="73" t="n">
        <f aca="false">IF(OR(SUM($BT155)=0,SUM($BN155)=0),"",SUM($BT155,$BN155))</f>
        <v>-1207</v>
      </c>
      <c r="BV155" s="118" t="n">
        <f aca="false">IF(SUM($BU155)=0,"",SUM($BN155)/$BU155)</f>
        <v>2.84175642087821</v>
      </c>
      <c r="BW155" s="73" t="n">
        <v>48</v>
      </c>
      <c r="BX155" s="118" t="n">
        <f aca="false">IF(OR($C155="01-04",$C155="05-09"),"",0%)</f>
        <v>0</v>
      </c>
      <c r="BY155" s="75" t="n">
        <f aca="false">IF(OR($C155="01-04",$C155="05-09",SUM($BW155)=0),"",ROUND($BW155*(1+$BX155),0))</f>
        <v>48</v>
      </c>
    </row>
    <row r="156" customFormat="false" ht="15" hidden="false" customHeight="false" outlineLevel="0" collapsed="false">
      <c r="A156" s="0" t="s">
        <v>147</v>
      </c>
      <c r="B156" s="0" t="s">
        <v>105</v>
      </c>
      <c r="C156" s="0" t="s">
        <v>66</v>
      </c>
      <c r="D156" s="0" t="s">
        <v>58</v>
      </c>
      <c r="E156" s="0" t="str">
        <f aca="false">B156&amp;"|"&amp;C156&amp;"|"&amp;D156</f>
        <v>Mohale's Hoek [#SNU] [#DREAMS] [YGI7vISD2kJ]|20-24|Male</v>
      </c>
      <c r="F156" s="118" t="n">
        <f aca="false">_xlfn.IFNA(INDEX(Cascade!$Y:$Y,MATCH($E156,Cascade!$E:$E,0)),"")</f>
        <v>0.536057692307692</v>
      </c>
      <c r="G156" s="73" t="n">
        <f aca="false">_xlfn.IFNA(INDEX(Cascade!$BD:$BD,MATCH($E156,Cascade!$E:$E,0)),"")</f>
        <v>33</v>
      </c>
      <c r="H156" s="73" t="n">
        <f aca="false">_xlfn.IFNA(INDEX(Cascade!$BE:$BE,MATCH($E156,Cascade!$E:$E,0)),"")</f>
        <v>10</v>
      </c>
      <c r="I156" s="73" t="str">
        <f aca="false">_xlfn.IFNA(INDEX(Cascade!$BF:$BF,MATCH($E156,Cascade!$E:$E,0)),"")</f>
        <v/>
      </c>
      <c r="J156" s="73" t="str">
        <f aca="false">_xlfn.IFNA(INDEX(Cascade!$BG:$BG,MATCH($E156,Cascade!$E:$E,0)),"")</f>
        <v/>
      </c>
      <c r="K156" s="73" t="n">
        <f aca="false">_xlfn.IFNA(INDEX(Cascade!$BH:$BH,MATCH($E156,Cascade!$E:$E,0)),"")</f>
        <v>1000</v>
      </c>
      <c r="L156" s="73" t="str">
        <f aca="false">_xlfn.IFNA(INDEX(Cascade!$BI:$BI,MATCH($E156,Cascade!$E:$E,0)),"")</f>
        <v/>
      </c>
      <c r="M156" s="73" t="n">
        <f aca="false">_xlfn.IFNA(INDEX(Cascade!$BK:$BK,MATCH($E156,Cascade!$E:$E,0)),"")</f>
        <v>-977</v>
      </c>
      <c r="N156" s="118" t="n">
        <v>11</v>
      </c>
      <c r="O156" s="118" t="n">
        <v>19</v>
      </c>
      <c r="P156" s="118" t="n">
        <v>1</v>
      </c>
      <c r="Q156" s="75" t="n">
        <f aca="false">IF(OR(SUM($H156)=0,SUM($N156)=0,SUM($O156)=0),"",ROUND($H156*$N156,0))</f>
        <v>110</v>
      </c>
      <c r="R156" s="75" t="n">
        <f aca="false">IF(OR(SUM($Q156)=0,SUM($O156)=0),"",ROUND(SUM($Q156)/SUM($O156),0)-SUM($Q156))</f>
        <v>-104</v>
      </c>
      <c r="S156" s="75" t="n">
        <f aca="false">IF(SUM($H156)=0,"",SUM($H156)-SUM($Q156))</f>
        <v>-100</v>
      </c>
      <c r="T156" s="75" t="str">
        <f aca="false">IF(OR(SUM($S156)=0,$N156&gt;1,SUM($P156)&lt;=0),"",ROUND($S156/$P156,0)-$S156)</f>
        <v/>
      </c>
      <c r="U156" s="118" t="n">
        <f aca="false">IF(SUM($G156)&lt;=0,"",SUM($Q156,$S156)/$G156)</f>
        <v>0.303030303030303</v>
      </c>
      <c r="V156" s="118" t="n">
        <f aca="false">IF(OR(SUM($Q156)=0,SUM($G156)=0),"",SUM($Q156)/SUM($G156))</f>
        <v>3.33333333333333</v>
      </c>
      <c r="W156" s="118" t="n">
        <f aca="false">IF(OR(SUM($S156)=0,SUM($G156)=0),"",SUM($S156)/SUM($G156))</f>
        <v>-3.03030303030303</v>
      </c>
      <c r="X156" s="118" t="str">
        <f aca="false">IF(OR(SUM($G156)=0,SUM($I156)=0),"",SUM($I156)/SUM($G156))</f>
        <v/>
      </c>
      <c r="Y156" s="118" t="str">
        <f aca="false">IF(OR(SUM($G156)=0,SUM($J156)=0),"",SUM($J156)/SUM($G156))</f>
        <v/>
      </c>
      <c r="Z156" s="118" t="n">
        <f aca="false">IF(OR(SUM($G156)=0,SUM($K156)=0),"",SUM($K156)/SUM($G156))</f>
        <v>30.3030303030303</v>
      </c>
      <c r="AA156" s="118" t="str">
        <f aca="false">IF(OR(SUM($G156)=0,SUM($L156)=0),"",SUM($L156)/SUM($G156))</f>
        <v/>
      </c>
      <c r="AB156" s="118" t="n">
        <v>17</v>
      </c>
      <c r="AC156" s="118"/>
      <c r="AD156" s="118"/>
      <c r="AE156" s="118" t="n">
        <v>9</v>
      </c>
      <c r="AF156" s="118" t="n">
        <v>14</v>
      </c>
      <c r="AG156" s="118" t="n">
        <v>17</v>
      </c>
      <c r="AH156" s="118" t="n">
        <v>38</v>
      </c>
      <c r="AI156" s="118" t="n">
        <v>19</v>
      </c>
      <c r="AJ156" s="118" t="n">
        <v>40</v>
      </c>
      <c r="AK156" s="118" t="n">
        <f aca="false">IF(SUM($G156)&lt;=0,"",SUM($V156:$AJ156))</f>
        <v>184.606060606061</v>
      </c>
      <c r="AL156" s="118" t="n">
        <v>33</v>
      </c>
      <c r="AM156" s="75" t="n">
        <f aca="false">IF(OR(SUM($AB156)&lt;=0,SUM($G156)&lt;=0),"",ROUND($G156*$AB156,0))</f>
        <v>561</v>
      </c>
      <c r="AN156" s="75" t="n">
        <f aca="false">IF(SUM($AM156)&lt;=0,"",IF(SUM($AL156)&lt;=0,"ENTER VALID YIELD!",ROUND($AM156/$AL156,0)-$AM156))</f>
        <v>-544</v>
      </c>
      <c r="AO156" s="118"/>
      <c r="AP156" s="75" t="str">
        <f aca="false">IF(OR(SUM($AC156)&lt;=0,SUM($G156)&lt;=0),"",ROUND($G156*$AC156,0))</f>
        <v/>
      </c>
      <c r="AQ156" s="75" t="str">
        <f aca="false">IF(SUM($AP156)&lt;=0,"",IF(SUM($AO156)&lt;=0,"ENTER VALID YIELD!",ROUND($AP156/$AO156,0)-$AP156))</f>
        <v/>
      </c>
      <c r="AR156" s="118"/>
      <c r="AS156" s="75" t="str">
        <f aca="false">IF(OR(SUM($AD156)&lt;=0,SUM($G156)&lt;=0),"",ROUND($G156*$AD156,0))</f>
        <v/>
      </c>
      <c r="AT156" s="75" t="str">
        <f aca="false">IF(SUM($AS156)&lt;=0,"",IF(SUM($AR156)&lt;=0,"ENTER VALID YIELD!",ROUND($AS156/$AR156,0)-$AS156))</f>
        <v/>
      </c>
      <c r="AU156" s="118"/>
      <c r="AV156" s="75" t="n">
        <f aca="false">IF(OR(SUM($AE156)&lt;=0,SUM($G156)&lt;=0),"",ROUND($G156*$AE156,0))</f>
        <v>297</v>
      </c>
      <c r="AW156" s="75" t="str">
        <f aca="false">IF(SUM($AV156)&lt;=0,"",IF(SUM($AU156)&lt;=0,"ENTER VALID YIELD!",ROUND($AV156/$AU156,0)-$AV156))</f>
        <v>ENTER VALID YIELD!</v>
      </c>
      <c r="AX156" s="118"/>
      <c r="AY156" s="75" t="n">
        <f aca="false">IF(OR(SUM($AF156)&lt;=0,SUM($G156)&lt;=0),"",ROUND($G156*$AF156,0))</f>
        <v>462</v>
      </c>
      <c r="AZ156" s="75" t="str">
        <f aca="false">IF(SUM($AY156)&lt;=0,"",IF(SUM($AX156)&lt;=0,"ENTER VALID YIELD!",ROUND($AY156/$AX156,0)-$AY156))</f>
        <v>ENTER VALID YIELD!</v>
      </c>
      <c r="BA156" s="118" t="n">
        <v>15</v>
      </c>
      <c r="BB156" s="75" t="n">
        <f aca="false">IF(OR(SUM($AG156)&lt;=0,SUM($G156)&lt;=0),"",ROUND($G156*$AG156,0))</f>
        <v>561</v>
      </c>
      <c r="BC156" s="75" t="n">
        <f aca="false">IF(SUM($BB156)&lt;=0,"",IF(SUM($BA156)&lt;=0,"ENTER VALID YIELD!",ROUND($BB156/$BA156,0)-$BB156))</f>
        <v>-524</v>
      </c>
      <c r="BD156" s="118"/>
      <c r="BE156" s="75" t="n">
        <f aca="false">IF(OR(SUM($AH156)&lt;=0,SUM($G156)&lt;=0),"",ROUND($G156*$AH156,0))</f>
        <v>1254</v>
      </c>
      <c r="BF156" s="75" t="str">
        <f aca="false">IF(SUM($BE156)&lt;=0,"",IF(SUM($BD156)&lt;=0,"ENTER VALID YIELD!",ROUND($BE156/$BD156,0)-$BE156))</f>
        <v>ENTER VALID YIELD!</v>
      </c>
      <c r="BG156" s="118" t="n">
        <v>15</v>
      </c>
      <c r="BH156" s="75" t="n">
        <f aca="false">IF(OR(SUM($AI156)&lt;=0,SUM($G156)&lt;=0),"",ROUND($G156*$AI156,0))</f>
        <v>627</v>
      </c>
      <c r="BI156" s="75" t="n">
        <f aca="false">IF(SUM($BH156)&lt;=0,"",IF(SUM($BG156)&lt;=0,"ENTER VALID YIELD!",ROUND($BH156/$BG156,0)-$BH156))</f>
        <v>-585</v>
      </c>
      <c r="BJ156" s="118" t="n">
        <v>16</v>
      </c>
      <c r="BK156" s="75" t="n">
        <f aca="false">IF(OR(SUM($AJ156)&lt;=0,SUM($G156)&lt;=0),"",ROUND($G156*$AJ156,0))</f>
        <v>1320</v>
      </c>
      <c r="BL156" s="75" t="n">
        <f aca="false">IF(SUM($BK156)&lt;=0,"",IF(SUM($BJ156)&lt;=0,"ENTER VALID YIELD!",ROUND($BK156/$BJ156,0)-$BK156))</f>
        <v>-1237</v>
      </c>
      <c r="BM156" s="73" t="n">
        <f aca="false">IF(SUM($G156)&lt;=0,"",$G156)</f>
        <v>33</v>
      </c>
      <c r="BN156" s="73" t="n">
        <f aca="false">IF(SUM($G156)&lt;=0,"",SUM($I156:$L156,$Q156,$S156,$AM156,$AP156,$AS156,$AV156,$AY156,$BB156,$BE156,$BH156,$BK156))</f>
        <v>6092</v>
      </c>
      <c r="BO156" s="73" t="n">
        <f aca="false">IF(AND(SUM($BN156)&lt;=0,SUM($BM156)&lt;=0),"",SUM($BN156)-SUM($BM156))</f>
        <v>6059</v>
      </c>
      <c r="BP156" s="73" t="str">
        <f aca="false">_xlfn.IFNA(INDEX(PMTCT!$AF:$AF,MATCH($E156,PMTCT!$E:$E,0)),"")</f>
        <v/>
      </c>
      <c r="BQ156" s="73" t="str">
        <f aca="false">_xlfn.IFNA(INDEX(PMTCT!$AV:$AV,MATCH($E156,PMTCT!$E:$E,0)),"")</f>
        <v/>
      </c>
      <c r="BR156" s="73" t="n">
        <f aca="false">_xlfn.IFNA(INDEX(TB!$R:$R,MATCH($E156,TB!$E:$E,0)),"")</f>
        <v>-960</v>
      </c>
      <c r="BS156" s="73" t="str">
        <f aca="false">_xlfn.IFNA(INDEX(VMMC!$AD:$AD,MATCH($E156,VMMC!$E:$E,0)),"")</f>
        <v/>
      </c>
      <c r="BT156" s="73" t="n">
        <f aca="false">IF(SUM($R156,$T156,$AN156,$AQ156,$AT156,$AW156,$AZ156,$BC156,$BF156,$BI156,$BL156,$BP156:$BS156)=0,"",SUM($R156,$T156,$AN156,$AQ156,$AT156,$AW156,$AZ156,$BC156,$BF156,$BI156,$BL156,$BP156:$BS156))</f>
        <v>-3954</v>
      </c>
      <c r="BU156" s="73" t="n">
        <f aca="false">IF(OR(SUM($BT156)=0,SUM($BN156)=0),"",SUM($BT156,$BN156))</f>
        <v>2138</v>
      </c>
      <c r="BV156" s="118" t="n">
        <f aca="false">IF(SUM($BU156)=0,"",SUM($BN156)/$BU156)</f>
        <v>2.84939195509822</v>
      </c>
      <c r="BW156" s="73" t="n">
        <v>11</v>
      </c>
      <c r="BX156" s="118" t="n">
        <f aca="false">IF(OR($C156="01-04",$C156="05-09"),"",0%)</f>
        <v>0</v>
      </c>
      <c r="BY156" s="75" t="n">
        <f aca="false">IF(OR($C156="01-04",$C156="05-09",SUM($BW156)=0),"",ROUND($BW156*(1+$BX156),0))</f>
        <v>11</v>
      </c>
    </row>
    <row r="157" customFormat="false" ht="15" hidden="false" customHeight="false" outlineLevel="0" collapsed="false">
      <c r="A157" s="0" t="s">
        <v>147</v>
      </c>
      <c r="B157" s="0" t="s">
        <v>105</v>
      </c>
      <c r="C157" s="0" t="s">
        <v>69</v>
      </c>
      <c r="D157" s="0" t="s">
        <v>56</v>
      </c>
      <c r="E157" s="0" t="str">
        <f aca="false">B157&amp;"|"&amp;C157&amp;"|"&amp;D157</f>
        <v>Mohale's Hoek [#SNU] [#DREAMS] [YGI7vISD2kJ]|25-29|Female</v>
      </c>
      <c r="F157" s="118" t="n">
        <f aca="false">_xlfn.IFNA(INDEX(Cascade!$Y:$Y,MATCH($E157,Cascade!$E:$E,0)),"")</f>
        <v>0.595263157894737</v>
      </c>
      <c r="G157" s="73" t="n">
        <f aca="false">_xlfn.IFNA(INDEX(Cascade!$BD:$BD,MATCH($E157,Cascade!$E:$E,0)),"")</f>
        <v>1</v>
      </c>
      <c r="H157" s="73" t="n">
        <f aca="false">_xlfn.IFNA(INDEX(Cascade!$BE:$BE,MATCH($E157,Cascade!$E:$E,0)),"")</f>
        <v>0</v>
      </c>
      <c r="I157" s="73" t="n">
        <f aca="false">_xlfn.IFNA(INDEX(Cascade!$BF:$BF,MATCH($E157,Cascade!$E:$E,0)),"")</f>
        <v>-512</v>
      </c>
      <c r="J157" s="73" t="str">
        <f aca="false">_xlfn.IFNA(INDEX(Cascade!$BG:$BG,MATCH($E157,Cascade!$E:$E,0)),"")</f>
        <v/>
      </c>
      <c r="K157" s="73" t="n">
        <f aca="false">_xlfn.IFNA(INDEX(Cascade!$BH:$BH,MATCH($E157,Cascade!$E:$E,0)),"")</f>
        <v>-10584</v>
      </c>
      <c r="L157" s="73" t="str">
        <f aca="false">_xlfn.IFNA(INDEX(Cascade!$BI:$BI,MATCH($E157,Cascade!$E:$E,0)),"")</f>
        <v/>
      </c>
      <c r="M157" s="73" t="n">
        <f aca="false">_xlfn.IFNA(INDEX(Cascade!$BK:$BK,MATCH($E157,Cascade!$E:$E,0)),"")</f>
        <v>11097</v>
      </c>
      <c r="N157" s="118" t="n">
        <v>8</v>
      </c>
      <c r="O157" s="118" t="n">
        <v>2</v>
      </c>
      <c r="P157" s="118" t="n">
        <v>22</v>
      </c>
      <c r="Q157" s="75" t="str">
        <f aca="false">IF(OR(SUM($H157)=0,SUM($N157)=0,SUM($O157)=0),"",ROUND($H157*$N157,0))</f>
        <v/>
      </c>
      <c r="R157" s="75" t="str">
        <f aca="false">IF(OR(SUM($Q157)=0,SUM($O157)=0),"",ROUND(SUM($Q157)/SUM($O157),0)-SUM($Q157))</f>
        <v/>
      </c>
      <c r="S157" s="75" t="str">
        <f aca="false">IF(SUM($H157)=0,"",SUM($H157)-SUM($Q157))</f>
        <v/>
      </c>
      <c r="T157" s="75" t="str">
        <f aca="false">IF(OR(SUM($S157)=0,$N157&gt;1,SUM($P157)&lt;=0),"",ROUND($S157/$P157,0)-$S157)</f>
        <v/>
      </c>
      <c r="U157" s="118" t="n">
        <f aca="false">IF(SUM($G157)&lt;=0,"",SUM($Q157,$S157)/$G157)</f>
        <v>0</v>
      </c>
      <c r="V157" s="118" t="str">
        <f aca="false">IF(OR(SUM($Q157)=0,SUM($G157)=0),"",SUM($Q157)/SUM($G157))</f>
        <v/>
      </c>
      <c r="W157" s="118" t="str">
        <f aca="false">IF(OR(SUM($S157)=0,SUM($G157)=0),"",SUM($S157)/SUM($G157))</f>
        <v/>
      </c>
      <c r="X157" s="118" t="n">
        <f aca="false">IF(OR(SUM($G157)=0,SUM($I157)=0),"",SUM($I157)/SUM($G157))</f>
        <v>-512</v>
      </c>
      <c r="Y157" s="118" t="str">
        <f aca="false">IF(OR(SUM($G157)=0,SUM($J157)=0),"",SUM($J157)/SUM($G157))</f>
        <v/>
      </c>
      <c r="Z157" s="118" t="n">
        <f aca="false">IF(OR(SUM($G157)=0,SUM($K157)=0),"",SUM($K157)/SUM($G157))</f>
        <v>-10584</v>
      </c>
      <c r="AA157" s="118" t="str">
        <f aca="false">IF(OR(SUM($G157)=0,SUM($L157)=0),"",SUM($L157)/SUM($G157))</f>
        <v/>
      </c>
      <c r="AB157" s="118" t="n">
        <v>44</v>
      </c>
      <c r="AC157" s="118"/>
      <c r="AD157" s="118"/>
      <c r="AE157" s="118" t="n">
        <v>4</v>
      </c>
      <c r="AF157" s="118" t="n">
        <v>27</v>
      </c>
      <c r="AG157" s="118" t="n">
        <v>38</v>
      </c>
      <c r="AH157" s="118" t="n">
        <v>3</v>
      </c>
      <c r="AI157" s="118" t="n">
        <v>8</v>
      </c>
      <c r="AJ157" s="118" t="n">
        <v>16</v>
      </c>
      <c r="AK157" s="118" t="n">
        <f aca="false">IF(SUM($G157)&lt;=0,"",SUM($V157:$AJ157))</f>
        <v>-10956</v>
      </c>
      <c r="AL157" s="118" t="n">
        <v>9</v>
      </c>
      <c r="AM157" s="75" t="n">
        <f aca="false">IF(OR(SUM($AB157)&lt;=0,SUM($G157)&lt;=0),"",ROUND($G157*$AB157,0))</f>
        <v>44</v>
      </c>
      <c r="AN157" s="75" t="n">
        <f aca="false">IF(SUM($AM157)&lt;=0,"",IF(SUM($AL157)&lt;=0,"ENTER VALID YIELD!",ROUND($AM157/$AL157,0)-$AM157))</f>
        <v>-39</v>
      </c>
      <c r="AO157" s="118"/>
      <c r="AP157" s="75" t="str">
        <f aca="false">IF(OR(SUM($AC157)&lt;=0,SUM($G157)&lt;=0),"",ROUND($G157*$AC157,0))</f>
        <v/>
      </c>
      <c r="AQ157" s="75" t="str">
        <f aca="false">IF(SUM($AP157)&lt;=0,"",IF(SUM($AO157)&lt;=0,"ENTER VALID YIELD!",ROUND($AP157/$AO157,0)-$AP157))</f>
        <v/>
      </c>
      <c r="AR157" s="118"/>
      <c r="AS157" s="75" t="str">
        <f aca="false">IF(OR(SUM($AD157)&lt;=0,SUM($G157)&lt;=0),"",ROUND($G157*$AD157,0))</f>
        <v/>
      </c>
      <c r="AT157" s="75" t="str">
        <f aca="false">IF(SUM($AS157)&lt;=0,"",IF(SUM($AR157)&lt;=0,"ENTER VALID YIELD!",ROUND($AS157/$AR157,0)-$AS157))</f>
        <v/>
      </c>
      <c r="AU157" s="118"/>
      <c r="AV157" s="75" t="n">
        <f aca="false">IF(OR(SUM($AE157)&lt;=0,SUM($G157)&lt;=0),"",ROUND($G157*$AE157,0))</f>
        <v>4</v>
      </c>
      <c r="AW157" s="75" t="str">
        <f aca="false">IF(SUM($AV157)&lt;=0,"",IF(SUM($AU157)&lt;=0,"ENTER VALID YIELD!",ROUND($AV157/$AU157,0)-$AV157))</f>
        <v>ENTER VALID YIELD!</v>
      </c>
      <c r="AX157" s="118"/>
      <c r="AY157" s="75" t="n">
        <f aca="false">IF(OR(SUM($AF157)&lt;=0,SUM($G157)&lt;=0),"",ROUND($G157*$AF157,0))</f>
        <v>27</v>
      </c>
      <c r="AZ157" s="75" t="str">
        <f aca="false">IF(SUM($AY157)&lt;=0,"",IF(SUM($AX157)&lt;=0,"ENTER VALID YIELD!",ROUND($AY157/$AX157,0)-$AY157))</f>
        <v>ENTER VALID YIELD!</v>
      </c>
      <c r="BA157" s="118" t="n">
        <v>13</v>
      </c>
      <c r="BB157" s="75" t="n">
        <f aca="false">IF(OR(SUM($AG157)&lt;=0,SUM($G157)&lt;=0),"",ROUND($G157*$AG157,0))</f>
        <v>38</v>
      </c>
      <c r="BC157" s="75" t="n">
        <f aca="false">IF(SUM($BB157)&lt;=0,"",IF(SUM($BA157)&lt;=0,"ENTER VALID YIELD!",ROUND($BB157/$BA157,0)-$BB157))</f>
        <v>-35</v>
      </c>
      <c r="BD157" s="118"/>
      <c r="BE157" s="75" t="n">
        <f aca="false">IF(OR(SUM($AH157)&lt;=0,SUM($G157)&lt;=0),"",ROUND($G157*$AH157,0))</f>
        <v>3</v>
      </c>
      <c r="BF157" s="75" t="str">
        <f aca="false">IF(SUM($BE157)&lt;=0,"",IF(SUM($BD157)&lt;=0,"ENTER VALID YIELD!",ROUND($BE157/$BD157,0)-$BE157))</f>
        <v>ENTER VALID YIELD!</v>
      </c>
      <c r="BG157" s="118" t="n">
        <v>47</v>
      </c>
      <c r="BH157" s="75" t="n">
        <f aca="false">IF(OR(SUM($AI157)&lt;=0,SUM($G157)&lt;=0),"",ROUND($G157*$AI157,0))</f>
        <v>8</v>
      </c>
      <c r="BI157" s="75" t="n">
        <f aca="false">IF(SUM($BH157)&lt;=0,"",IF(SUM($BG157)&lt;=0,"ENTER VALID YIELD!",ROUND($BH157/$BG157,0)-$BH157))</f>
        <v>-8</v>
      </c>
      <c r="BJ157" s="118" t="n">
        <v>49</v>
      </c>
      <c r="BK157" s="75" t="n">
        <f aca="false">IF(OR(SUM($AJ157)&lt;=0,SUM($G157)&lt;=0),"",ROUND($G157*$AJ157,0))</f>
        <v>16</v>
      </c>
      <c r="BL157" s="75" t="n">
        <f aca="false">IF(SUM($BK157)&lt;=0,"",IF(SUM($BJ157)&lt;=0,"ENTER VALID YIELD!",ROUND($BK157/$BJ157,0)-$BK157))</f>
        <v>-16</v>
      </c>
      <c r="BM157" s="73" t="n">
        <f aca="false">IF(SUM($G157)&lt;=0,"",$G157)</f>
        <v>1</v>
      </c>
      <c r="BN157" s="73" t="n">
        <f aca="false">IF(SUM($G157)&lt;=0,"",SUM($I157:$L157,$Q157,$S157,$AM157,$AP157,$AS157,$AV157,$AY157,$BB157,$BE157,$BH157,$BK157))</f>
        <v>-10956</v>
      </c>
      <c r="BO157" s="73" t="n">
        <f aca="false">IF(AND(SUM($BN157)&lt;=0,SUM($BM157)&lt;=0),"",SUM($BN157)-SUM($BM157))</f>
        <v>-10957</v>
      </c>
      <c r="BP157" s="73" t="n">
        <f aca="false">_xlfn.IFNA(INDEX(PMTCT!$AF:$AF,MATCH($E157,PMTCT!$E:$E,0)),"")</f>
        <v>480</v>
      </c>
      <c r="BQ157" s="73" t="str">
        <f aca="false">_xlfn.IFNA(INDEX(PMTCT!$AV:$AV,MATCH($E157,PMTCT!$E:$E,0)),"")</f>
        <v/>
      </c>
      <c r="BR157" s="73" t="n">
        <f aca="false">_xlfn.IFNA(INDEX(TB!$R:$R,MATCH($E157,TB!$E:$E,0)),"")</f>
        <v>10290</v>
      </c>
      <c r="BS157" s="73" t="str">
        <f aca="false">_xlfn.IFNA(INDEX(VMMC!$AD:$AD,MATCH($E157,VMMC!$E:$E,0)),"")</f>
        <v/>
      </c>
      <c r="BT157" s="73" t="n">
        <f aca="false">IF(SUM($R157,$T157,$AN157,$AQ157,$AT157,$AW157,$AZ157,$BC157,$BF157,$BI157,$BL157,$BP157:$BS157)=0,"",SUM($R157,$T157,$AN157,$AQ157,$AT157,$AW157,$AZ157,$BC157,$BF157,$BI157,$BL157,$BP157:$BS157))</f>
        <v>10672</v>
      </c>
      <c r="BU157" s="73" t="n">
        <f aca="false">IF(OR(SUM($BT157)=0,SUM($BN157)=0),"",SUM($BT157,$BN157))</f>
        <v>-284</v>
      </c>
      <c r="BV157" s="118" t="n">
        <f aca="false">IF(SUM($BU157)=0,"",SUM($BN157)/$BU157)</f>
        <v>38.5774647887324</v>
      </c>
      <c r="BW157" s="73" t="n">
        <v>46</v>
      </c>
      <c r="BX157" s="118" t="n">
        <f aca="false">IF(OR($C157="01-04",$C157="05-09"),"",0%)</f>
        <v>0</v>
      </c>
      <c r="BY157" s="75" t="n">
        <f aca="false">IF(OR($C157="01-04",$C157="05-09",SUM($BW157)=0),"",ROUND($BW157*(1+$BX157),0))</f>
        <v>46</v>
      </c>
    </row>
    <row r="158" customFormat="false" ht="15" hidden="false" customHeight="false" outlineLevel="0" collapsed="false">
      <c r="A158" s="0" t="s">
        <v>147</v>
      </c>
      <c r="B158" s="0" t="s">
        <v>105</v>
      </c>
      <c r="C158" s="0" t="s">
        <v>69</v>
      </c>
      <c r="D158" s="0" t="s">
        <v>58</v>
      </c>
      <c r="E158" s="0" t="str">
        <f aca="false">B158&amp;"|"&amp;C158&amp;"|"&amp;D158</f>
        <v>Mohale's Hoek [#SNU] [#DREAMS] [YGI7vISD2kJ]|25-29|Male</v>
      </c>
      <c r="F158" s="118" t="n">
        <f aca="false">_xlfn.IFNA(INDEX(Cascade!$Y:$Y,MATCH($E158,Cascade!$E:$E,0)),"")</f>
        <v>0.4375</v>
      </c>
      <c r="G158" s="73" t="n">
        <f aca="false">_xlfn.IFNA(INDEX(Cascade!$BD:$BD,MATCH($E158,Cascade!$E:$E,0)),"")</f>
        <v>8</v>
      </c>
      <c r="H158" s="73" t="n">
        <f aca="false">_xlfn.IFNA(INDEX(Cascade!$BE:$BE,MATCH($E158,Cascade!$E:$E,0)),"")</f>
        <v>2</v>
      </c>
      <c r="I158" s="73" t="str">
        <f aca="false">_xlfn.IFNA(INDEX(Cascade!$BF:$BF,MATCH($E158,Cascade!$E:$E,0)),"")</f>
        <v/>
      </c>
      <c r="J158" s="73" t="str">
        <f aca="false">_xlfn.IFNA(INDEX(Cascade!$BG:$BG,MATCH($E158,Cascade!$E:$E,0)),"")</f>
        <v/>
      </c>
      <c r="K158" s="73" t="n">
        <f aca="false">_xlfn.IFNA(INDEX(Cascade!$BH:$BH,MATCH($E158,Cascade!$E:$E,0)),"")</f>
        <v>-8619</v>
      </c>
      <c r="L158" s="73" t="str">
        <f aca="false">_xlfn.IFNA(INDEX(Cascade!$BI:$BI,MATCH($E158,Cascade!$E:$E,0)),"")</f>
        <v/>
      </c>
      <c r="M158" s="73" t="n">
        <f aca="false">_xlfn.IFNA(INDEX(Cascade!$BK:$BK,MATCH($E158,Cascade!$E:$E,0)),"")</f>
        <v>8625</v>
      </c>
      <c r="N158" s="118" t="n">
        <v>42</v>
      </c>
      <c r="O158" s="118" t="n">
        <v>12</v>
      </c>
      <c r="P158" s="118" t="n">
        <v>19</v>
      </c>
      <c r="Q158" s="75" t="n">
        <f aca="false">IF(OR(SUM($H158)=0,SUM($N158)=0,SUM($O158)=0),"",ROUND($H158*$N158,0))</f>
        <v>84</v>
      </c>
      <c r="R158" s="75" t="n">
        <f aca="false">IF(OR(SUM($Q158)=0,SUM($O158)=0),"",ROUND(SUM($Q158)/SUM($O158),0)-SUM($Q158))</f>
        <v>-77</v>
      </c>
      <c r="S158" s="75" t="n">
        <f aca="false">IF(SUM($H158)=0,"",SUM($H158)-SUM($Q158))</f>
        <v>-82</v>
      </c>
      <c r="T158" s="75" t="str">
        <f aca="false">IF(OR(SUM($S158)=0,$N158&gt;1,SUM($P158)&lt;=0),"",ROUND($S158/$P158,0)-$S158)</f>
        <v/>
      </c>
      <c r="U158" s="118" t="n">
        <f aca="false">IF(SUM($G158)&lt;=0,"",SUM($Q158,$S158)/$G158)</f>
        <v>0.25</v>
      </c>
      <c r="V158" s="118" t="n">
        <f aca="false">IF(OR(SUM($Q158)=0,SUM($G158)=0),"",SUM($Q158)/SUM($G158))</f>
        <v>10.5</v>
      </c>
      <c r="W158" s="118" t="n">
        <f aca="false">IF(OR(SUM($S158)=0,SUM($G158)=0),"",SUM($S158)/SUM($G158))</f>
        <v>-10.25</v>
      </c>
      <c r="X158" s="118" t="str">
        <f aca="false">IF(OR(SUM($G158)=0,SUM($I158)=0),"",SUM($I158)/SUM($G158))</f>
        <v/>
      </c>
      <c r="Y158" s="118" t="str">
        <f aca="false">IF(OR(SUM($G158)=0,SUM($J158)=0),"",SUM($J158)/SUM($G158))</f>
        <v/>
      </c>
      <c r="Z158" s="118" t="n">
        <f aca="false">IF(OR(SUM($G158)=0,SUM($K158)=0),"",SUM($K158)/SUM($G158))</f>
        <v>-1077.375</v>
      </c>
      <c r="AA158" s="118" t="str">
        <f aca="false">IF(OR(SUM($G158)=0,SUM($L158)=0),"",SUM($L158)/SUM($G158))</f>
        <v/>
      </c>
      <c r="AB158" s="118" t="n">
        <v>43</v>
      </c>
      <c r="AC158" s="118"/>
      <c r="AD158" s="118"/>
      <c r="AE158" s="118" t="n">
        <v>46</v>
      </c>
      <c r="AF158" s="118" t="n">
        <v>46</v>
      </c>
      <c r="AG158" s="118" t="n">
        <v>44</v>
      </c>
      <c r="AH158" s="118" t="n">
        <v>6</v>
      </c>
      <c r="AI158" s="118" t="n">
        <v>41</v>
      </c>
      <c r="AJ158" s="118" t="n">
        <v>45</v>
      </c>
      <c r="AK158" s="118" t="n">
        <f aca="false">IF(SUM($G158)&lt;=0,"",SUM($V158:$AJ158))</f>
        <v>-806.125</v>
      </c>
      <c r="AL158" s="118"/>
      <c r="AM158" s="75" t="n">
        <f aca="false">IF(OR(SUM($AB158)&lt;=0,SUM($G158)&lt;=0),"",ROUND($G158*$AB158,0))</f>
        <v>344</v>
      </c>
      <c r="AN158" s="75" t="str">
        <f aca="false">IF(SUM($AM158)&lt;=0,"",IF(SUM($AL158)&lt;=0,"ENTER VALID YIELD!",ROUND($AM158/$AL158,0)-$AM158))</f>
        <v>ENTER VALID YIELD!</v>
      </c>
      <c r="AO158" s="118"/>
      <c r="AP158" s="75" t="str">
        <f aca="false">IF(OR(SUM($AC158)&lt;=0,SUM($G158)&lt;=0),"",ROUND($G158*$AC158,0))</f>
        <v/>
      </c>
      <c r="AQ158" s="75" t="str">
        <f aca="false">IF(SUM($AP158)&lt;=0,"",IF(SUM($AO158)&lt;=0,"ENTER VALID YIELD!",ROUND($AP158/$AO158,0)-$AP158))</f>
        <v/>
      </c>
      <c r="AR158" s="118"/>
      <c r="AS158" s="75" t="str">
        <f aca="false">IF(OR(SUM($AD158)&lt;=0,SUM($G158)&lt;=0),"",ROUND($G158*$AD158,0))</f>
        <v/>
      </c>
      <c r="AT158" s="75" t="str">
        <f aca="false">IF(SUM($AS158)&lt;=0,"",IF(SUM($AR158)&lt;=0,"ENTER VALID YIELD!",ROUND($AS158/$AR158,0)-$AS158))</f>
        <v/>
      </c>
      <c r="AU158" s="118"/>
      <c r="AV158" s="75" t="n">
        <f aca="false">IF(OR(SUM($AE158)&lt;=0,SUM($G158)&lt;=0),"",ROUND($G158*$AE158,0))</f>
        <v>368</v>
      </c>
      <c r="AW158" s="75" t="str">
        <f aca="false">IF(SUM($AV158)&lt;=0,"",IF(SUM($AU158)&lt;=0,"ENTER VALID YIELD!",ROUND($AV158/$AU158,0)-$AV158))</f>
        <v>ENTER VALID YIELD!</v>
      </c>
      <c r="AX158" s="118"/>
      <c r="AY158" s="75" t="n">
        <f aca="false">IF(OR(SUM($AF158)&lt;=0,SUM($G158)&lt;=0),"",ROUND($G158*$AF158,0))</f>
        <v>368</v>
      </c>
      <c r="AZ158" s="75" t="str">
        <f aca="false">IF(SUM($AY158)&lt;=0,"",IF(SUM($AX158)&lt;=0,"ENTER VALID YIELD!",ROUND($AY158/$AX158,0)-$AY158))</f>
        <v>ENTER VALID YIELD!</v>
      </c>
      <c r="BA158" s="118" t="n">
        <v>28</v>
      </c>
      <c r="BB158" s="75" t="n">
        <f aca="false">IF(OR(SUM($AG158)&lt;=0,SUM($G158)&lt;=0),"",ROUND($G158*$AG158,0))</f>
        <v>352</v>
      </c>
      <c r="BC158" s="75" t="n">
        <f aca="false">IF(SUM($BB158)&lt;=0,"",IF(SUM($BA158)&lt;=0,"ENTER VALID YIELD!",ROUND($BB158/$BA158,0)-$BB158))</f>
        <v>-339</v>
      </c>
      <c r="BD158" s="118"/>
      <c r="BE158" s="75" t="n">
        <f aca="false">IF(OR(SUM($AH158)&lt;=0,SUM($G158)&lt;=0),"",ROUND($G158*$AH158,0))</f>
        <v>48</v>
      </c>
      <c r="BF158" s="75" t="str">
        <f aca="false">IF(SUM($BE158)&lt;=0,"",IF(SUM($BD158)&lt;=0,"ENTER VALID YIELD!",ROUND($BE158/$BD158,0)-$BE158))</f>
        <v>ENTER VALID YIELD!</v>
      </c>
      <c r="BG158" s="118" t="n">
        <v>31</v>
      </c>
      <c r="BH158" s="75" t="n">
        <f aca="false">IF(OR(SUM($AI158)&lt;=0,SUM($G158)&lt;=0),"",ROUND($G158*$AI158,0))</f>
        <v>328</v>
      </c>
      <c r="BI158" s="75" t="n">
        <f aca="false">IF(SUM($BH158)&lt;=0,"",IF(SUM($BG158)&lt;=0,"ENTER VALID YIELD!",ROUND($BH158/$BG158,0)-$BH158))</f>
        <v>-317</v>
      </c>
      <c r="BJ158" s="118" t="n">
        <v>25</v>
      </c>
      <c r="BK158" s="75" t="n">
        <f aca="false">IF(OR(SUM($AJ158)&lt;=0,SUM($G158)&lt;=0),"",ROUND($G158*$AJ158,0))</f>
        <v>360</v>
      </c>
      <c r="BL158" s="75" t="n">
        <f aca="false">IF(SUM($BK158)&lt;=0,"",IF(SUM($BJ158)&lt;=0,"ENTER VALID YIELD!",ROUND($BK158/$BJ158,0)-$BK158))</f>
        <v>-346</v>
      </c>
      <c r="BM158" s="73" t="n">
        <f aca="false">IF(SUM($G158)&lt;=0,"",$G158)</f>
        <v>8</v>
      </c>
      <c r="BN158" s="73" t="n">
        <f aca="false">IF(SUM($G158)&lt;=0,"",SUM($I158:$L158,$Q158,$S158,$AM158,$AP158,$AS158,$AV158,$AY158,$BB158,$BE158,$BH158,$BK158))</f>
        <v>-6449</v>
      </c>
      <c r="BO158" s="73" t="n">
        <f aca="false">IF(AND(SUM($BN158)&lt;=0,SUM($BM158)&lt;=0),"",SUM($BN158)-SUM($BM158))</f>
        <v>-6457</v>
      </c>
      <c r="BP158" s="73" t="str">
        <f aca="false">_xlfn.IFNA(INDEX(PMTCT!$AF:$AF,MATCH($E158,PMTCT!$E:$E,0)),"")</f>
        <v/>
      </c>
      <c r="BQ158" s="73" t="str">
        <f aca="false">_xlfn.IFNA(INDEX(PMTCT!$AV:$AV,MATCH($E158,PMTCT!$E:$E,0)),"")</f>
        <v/>
      </c>
      <c r="BR158" s="73" t="n">
        <f aca="false">_xlfn.IFNA(INDEX(TB!$R:$R,MATCH($E158,TB!$E:$E,0)),"")</f>
        <v>8112</v>
      </c>
      <c r="BS158" s="73" t="str">
        <f aca="false">_xlfn.IFNA(INDEX(VMMC!$AD:$AD,MATCH($E158,VMMC!$E:$E,0)),"")</f>
        <v/>
      </c>
      <c r="BT158" s="73" t="n">
        <f aca="false">IF(SUM($R158,$T158,$AN158,$AQ158,$AT158,$AW158,$AZ158,$BC158,$BF158,$BI158,$BL158,$BP158:$BS158)=0,"",SUM($R158,$T158,$AN158,$AQ158,$AT158,$AW158,$AZ158,$BC158,$BF158,$BI158,$BL158,$BP158:$BS158))</f>
        <v>7033</v>
      </c>
      <c r="BU158" s="73" t="n">
        <f aca="false">IF(OR(SUM($BT158)=0,SUM($BN158)=0),"",SUM($BT158,$BN158))</f>
        <v>584</v>
      </c>
      <c r="BV158" s="118" t="n">
        <f aca="false">IF(SUM($BU158)=0,"",SUM($BN158)/$BU158)</f>
        <v>-11.0428082191781</v>
      </c>
      <c r="BW158" s="73" t="n">
        <v>16</v>
      </c>
      <c r="BX158" s="118" t="n">
        <f aca="false">IF(OR($C158="01-04",$C158="05-09"),"",0%)</f>
        <v>0</v>
      </c>
      <c r="BY158" s="75" t="n">
        <f aca="false">IF(OR($C158="01-04",$C158="05-09",SUM($BW158)=0),"",ROUND($BW158*(1+$BX158),0))</f>
        <v>16</v>
      </c>
    </row>
    <row r="159" customFormat="false" ht="15" hidden="false" customHeight="false" outlineLevel="0" collapsed="false">
      <c r="A159" s="0" t="s">
        <v>147</v>
      </c>
      <c r="B159" s="0" t="s">
        <v>105</v>
      </c>
      <c r="C159" s="0" t="s">
        <v>72</v>
      </c>
      <c r="D159" s="0" t="s">
        <v>56</v>
      </c>
      <c r="E159" s="0" t="str">
        <f aca="false">B159&amp;"|"&amp;C159&amp;"|"&amp;D159</f>
        <v>Mohale's Hoek [#SNU] [#DREAMS] [YGI7vISD2kJ]|30-34|Female</v>
      </c>
      <c r="F159" s="118" t="n">
        <f aca="false">_xlfn.IFNA(INDEX(Cascade!$Y:$Y,MATCH($E159,Cascade!$E:$E,0)),"")</f>
        <v>0.576516634050881</v>
      </c>
      <c r="G159" s="73" t="n">
        <f aca="false">_xlfn.IFNA(INDEX(Cascade!$BD:$BD,MATCH($E159,Cascade!$E:$E,0)),"")</f>
        <v>7</v>
      </c>
      <c r="H159" s="73" t="n">
        <f aca="false">_xlfn.IFNA(INDEX(Cascade!$BE:$BE,MATCH($E159,Cascade!$E:$E,0)),"")</f>
        <v>2</v>
      </c>
      <c r="I159" s="73" t="n">
        <f aca="false">_xlfn.IFNA(INDEX(Cascade!$BF:$BF,MATCH($E159,Cascade!$E:$E,0)),"")</f>
        <v>-23736</v>
      </c>
      <c r="J159" s="73" t="str">
        <f aca="false">_xlfn.IFNA(INDEX(Cascade!$BG:$BG,MATCH($E159,Cascade!$E:$E,0)),"")</f>
        <v/>
      </c>
      <c r="K159" s="73" t="n">
        <f aca="false">_xlfn.IFNA(INDEX(Cascade!$BH:$BH,MATCH($E159,Cascade!$E:$E,0)),"")</f>
        <v>-26013</v>
      </c>
      <c r="L159" s="73" t="str">
        <f aca="false">_xlfn.IFNA(INDEX(Cascade!$BI:$BI,MATCH($E159,Cascade!$E:$E,0)),"")</f>
        <v/>
      </c>
      <c r="M159" s="73" t="n">
        <f aca="false">_xlfn.IFNA(INDEX(Cascade!$BK:$BK,MATCH($E159,Cascade!$E:$E,0)),"")</f>
        <v>49754</v>
      </c>
      <c r="N159" s="118" t="n">
        <v>1</v>
      </c>
      <c r="O159" s="118" t="n">
        <v>43</v>
      </c>
      <c r="P159" s="118" t="n">
        <v>10</v>
      </c>
      <c r="Q159" s="75" t="n">
        <f aca="false">IF(OR(SUM($H159)=0,SUM($N159)=0,SUM($O159)=0),"",ROUND($H159*$N159,0))</f>
        <v>2</v>
      </c>
      <c r="R159" s="75" t="n">
        <f aca="false">IF(OR(SUM($Q159)=0,SUM($O159)=0),"",ROUND(SUM($Q159)/SUM($O159),0)-SUM($Q159))</f>
        <v>-2</v>
      </c>
      <c r="S159" s="75" t="n">
        <f aca="false">IF(SUM($H159)=0,"",SUM($H159)-SUM($Q159))</f>
        <v>0</v>
      </c>
      <c r="T159" s="75" t="str">
        <f aca="false">IF(OR(SUM($S159)=0,$N159&gt;1,SUM($P159)&lt;=0),"",ROUND($S159/$P159,0)-$S159)</f>
        <v/>
      </c>
      <c r="U159" s="118" t="n">
        <f aca="false">IF(SUM($G159)&lt;=0,"",SUM($Q159,$S159)/$G159)</f>
        <v>0.285714285714286</v>
      </c>
      <c r="V159" s="118" t="n">
        <f aca="false">IF(OR(SUM($Q159)=0,SUM($G159)=0),"",SUM($Q159)/SUM($G159))</f>
        <v>0.285714285714286</v>
      </c>
      <c r="W159" s="118" t="str">
        <f aca="false">IF(OR(SUM($S159)=0,SUM($G159)=0),"",SUM($S159)/SUM($G159))</f>
        <v/>
      </c>
      <c r="X159" s="118" t="n">
        <f aca="false">IF(OR(SUM($G159)=0,SUM($I159)=0),"",SUM($I159)/SUM($G159))</f>
        <v>-3390.85714285714</v>
      </c>
      <c r="Y159" s="118" t="str">
        <f aca="false">IF(OR(SUM($G159)=0,SUM($J159)=0),"",SUM($J159)/SUM($G159))</f>
        <v/>
      </c>
      <c r="Z159" s="118" t="n">
        <f aca="false">IF(OR(SUM($G159)=0,SUM($K159)=0),"",SUM($K159)/SUM($G159))</f>
        <v>-3716.14285714286</v>
      </c>
      <c r="AA159" s="118" t="str">
        <f aca="false">IF(OR(SUM($G159)=0,SUM($L159)=0),"",SUM($L159)/SUM($G159))</f>
        <v/>
      </c>
      <c r="AB159" s="118" t="n">
        <v>29</v>
      </c>
      <c r="AC159" s="118"/>
      <c r="AD159" s="118"/>
      <c r="AE159" s="118" t="n">
        <v>48</v>
      </c>
      <c r="AF159" s="118" t="n">
        <v>10</v>
      </c>
      <c r="AG159" s="118" t="n">
        <v>38</v>
      </c>
      <c r="AH159" s="118" t="n">
        <v>11</v>
      </c>
      <c r="AI159" s="118" t="n">
        <v>49</v>
      </c>
      <c r="AJ159" s="118" t="n">
        <v>10</v>
      </c>
      <c r="AK159" s="118" t="n">
        <f aca="false">IF(SUM($G159)&lt;=0,"",SUM($V159:$AJ159))</f>
        <v>-6911.71428571429</v>
      </c>
      <c r="AL159" s="118" t="n">
        <v>22</v>
      </c>
      <c r="AM159" s="75" t="n">
        <f aca="false">IF(OR(SUM($AB159)&lt;=0,SUM($G159)&lt;=0),"",ROUND($G159*$AB159,0))</f>
        <v>203</v>
      </c>
      <c r="AN159" s="75" t="n">
        <f aca="false">IF(SUM($AM159)&lt;=0,"",IF(SUM($AL159)&lt;=0,"ENTER VALID YIELD!",ROUND($AM159/$AL159,0)-$AM159))</f>
        <v>-194</v>
      </c>
      <c r="AO159" s="118"/>
      <c r="AP159" s="75" t="str">
        <f aca="false">IF(OR(SUM($AC159)&lt;=0,SUM($G159)&lt;=0),"",ROUND($G159*$AC159,0))</f>
        <v/>
      </c>
      <c r="AQ159" s="75" t="str">
        <f aca="false">IF(SUM($AP159)&lt;=0,"",IF(SUM($AO159)&lt;=0,"ENTER VALID YIELD!",ROUND($AP159/$AO159,0)-$AP159))</f>
        <v/>
      </c>
      <c r="AR159" s="118"/>
      <c r="AS159" s="75" t="str">
        <f aca="false">IF(OR(SUM($AD159)&lt;=0,SUM($G159)&lt;=0),"",ROUND($G159*$AD159,0))</f>
        <v/>
      </c>
      <c r="AT159" s="75" t="str">
        <f aca="false">IF(SUM($AS159)&lt;=0,"",IF(SUM($AR159)&lt;=0,"ENTER VALID YIELD!",ROUND($AS159/$AR159,0)-$AS159))</f>
        <v/>
      </c>
      <c r="AU159" s="118"/>
      <c r="AV159" s="75" t="n">
        <f aca="false">IF(OR(SUM($AE159)&lt;=0,SUM($G159)&lt;=0),"",ROUND($G159*$AE159,0))</f>
        <v>336</v>
      </c>
      <c r="AW159" s="75" t="str">
        <f aca="false">IF(SUM($AV159)&lt;=0,"",IF(SUM($AU159)&lt;=0,"ENTER VALID YIELD!",ROUND($AV159/$AU159,0)-$AV159))</f>
        <v>ENTER VALID YIELD!</v>
      </c>
      <c r="AX159" s="118"/>
      <c r="AY159" s="75" t="n">
        <f aca="false">IF(OR(SUM($AF159)&lt;=0,SUM($G159)&lt;=0),"",ROUND($G159*$AF159,0))</f>
        <v>70</v>
      </c>
      <c r="AZ159" s="75" t="str">
        <f aca="false">IF(SUM($AY159)&lt;=0,"",IF(SUM($AX159)&lt;=0,"ENTER VALID YIELD!",ROUND($AY159/$AX159,0)-$AY159))</f>
        <v>ENTER VALID YIELD!</v>
      </c>
      <c r="BA159" s="118" t="n">
        <v>20</v>
      </c>
      <c r="BB159" s="75" t="n">
        <f aca="false">IF(OR(SUM($AG159)&lt;=0,SUM($G159)&lt;=0),"",ROUND($G159*$AG159,0))</f>
        <v>266</v>
      </c>
      <c r="BC159" s="75" t="n">
        <f aca="false">IF(SUM($BB159)&lt;=0,"",IF(SUM($BA159)&lt;=0,"ENTER VALID YIELD!",ROUND($BB159/$BA159,0)-$BB159))</f>
        <v>-253</v>
      </c>
      <c r="BD159" s="118"/>
      <c r="BE159" s="75" t="n">
        <f aca="false">IF(OR(SUM($AH159)&lt;=0,SUM($G159)&lt;=0),"",ROUND($G159*$AH159,0))</f>
        <v>77</v>
      </c>
      <c r="BF159" s="75" t="str">
        <f aca="false">IF(SUM($BE159)&lt;=0,"",IF(SUM($BD159)&lt;=0,"ENTER VALID YIELD!",ROUND($BE159/$BD159,0)-$BE159))</f>
        <v>ENTER VALID YIELD!</v>
      </c>
      <c r="BG159" s="118" t="n">
        <v>48</v>
      </c>
      <c r="BH159" s="75" t="n">
        <f aca="false">IF(OR(SUM($AI159)&lt;=0,SUM($G159)&lt;=0),"",ROUND($G159*$AI159,0))</f>
        <v>343</v>
      </c>
      <c r="BI159" s="75" t="n">
        <f aca="false">IF(SUM($BH159)&lt;=0,"",IF(SUM($BG159)&lt;=0,"ENTER VALID YIELD!",ROUND($BH159/$BG159,0)-$BH159))</f>
        <v>-336</v>
      </c>
      <c r="BJ159" s="118" t="n">
        <v>14</v>
      </c>
      <c r="BK159" s="75" t="n">
        <f aca="false">IF(OR(SUM($AJ159)&lt;=0,SUM($G159)&lt;=0),"",ROUND($G159*$AJ159,0))</f>
        <v>70</v>
      </c>
      <c r="BL159" s="75" t="n">
        <f aca="false">IF(SUM($BK159)&lt;=0,"",IF(SUM($BJ159)&lt;=0,"ENTER VALID YIELD!",ROUND($BK159/$BJ159,0)-$BK159))</f>
        <v>-65</v>
      </c>
      <c r="BM159" s="73" t="n">
        <f aca="false">IF(SUM($G159)&lt;=0,"",$G159)</f>
        <v>7</v>
      </c>
      <c r="BN159" s="73" t="n">
        <f aca="false">IF(SUM($G159)&lt;=0,"",SUM($I159:$L159,$Q159,$S159,$AM159,$AP159,$AS159,$AV159,$AY159,$BB159,$BE159,$BH159,$BK159))</f>
        <v>-48382</v>
      </c>
      <c r="BO159" s="73" t="n">
        <f aca="false">IF(AND(SUM($BN159)&lt;=0,SUM($BM159)&lt;=0),"",SUM($BN159)-SUM($BM159))</f>
        <v>-48389</v>
      </c>
      <c r="BP159" s="73" t="n">
        <f aca="false">_xlfn.IFNA(INDEX(PMTCT!$AF:$AF,MATCH($E159,PMTCT!$E:$E,0)),"")</f>
        <v>23220</v>
      </c>
      <c r="BQ159" s="73" t="str">
        <f aca="false">_xlfn.IFNA(INDEX(PMTCT!$AV:$AV,MATCH($E159,PMTCT!$E:$E,0)),"")</f>
        <v/>
      </c>
      <c r="BR159" s="73" t="n">
        <f aca="false">_xlfn.IFNA(INDEX(TB!$R:$R,MATCH($E159,TB!$E:$E,0)),"")</f>
        <v>25116</v>
      </c>
      <c r="BS159" s="73" t="str">
        <f aca="false">_xlfn.IFNA(INDEX(VMMC!$AD:$AD,MATCH($E159,VMMC!$E:$E,0)),"")</f>
        <v/>
      </c>
      <c r="BT159" s="73" t="n">
        <f aca="false">IF(SUM($R159,$T159,$AN159,$AQ159,$AT159,$AW159,$AZ159,$BC159,$BF159,$BI159,$BL159,$BP159:$BS159)=0,"",SUM($R159,$T159,$AN159,$AQ159,$AT159,$AW159,$AZ159,$BC159,$BF159,$BI159,$BL159,$BP159:$BS159))</f>
        <v>47486</v>
      </c>
      <c r="BU159" s="73" t="n">
        <f aca="false">IF(OR(SUM($BT159)=0,SUM($BN159)=0),"",SUM($BT159,$BN159))</f>
        <v>-896</v>
      </c>
      <c r="BV159" s="118" t="n">
        <f aca="false">IF(SUM($BU159)=0,"",SUM($BN159)/$BU159)</f>
        <v>53.9977678571429</v>
      </c>
      <c r="BW159" s="73" t="n">
        <v>19</v>
      </c>
      <c r="BX159" s="118" t="n">
        <f aca="false">IF(OR($C159="01-04",$C159="05-09"),"",0%)</f>
        <v>0</v>
      </c>
      <c r="BY159" s="75" t="n">
        <f aca="false">IF(OR($C159="01-04",$C159="05-09",SUM($BW159)=0),"",ROUND($BW159*(1+$BX159),0))</f>
        <v>19</v>
      </c>
    </row>
    <row r="160" customFormat="false" ht="15" hidden="false" customHeight="false" outlineLevel="0" collapsed="false">
      <c r="A160" s="0" t="s">
        <v>147</v>
      </c>
      <c r="B160" s="0" t="s">
        <v>105</v>
      </c>
      <c r="C160" s="0" t="s">
        <v>72</v>
      </c>
      <c r="D160" s="0" t="s">
        <v>58</v>
      </c>
      <c r="E160" s="0" t="str">
        <f aca="false">B160&amp;"|"&amp;C160&amp;"|"&amp;D160</f>
        <v>Mohale's Hoek [#SNU] [#DREAMS] [YGI7vISD2kJ]|30-34|Male</v>
      </c>
      <c r="F160" s="118" t="n">
        <f aca="false">_xlfn.IFNA(INDEX(Cascade!$Y:$Y,MATCH($E160,Cascade!$E:$E,0)),"")</f>
        <v>0.428746177370031</v>
      </c>
      <c r="G160" s="73" t="n">
        <f aca="false">_xlfn.IFNA(INDEX(Cascade!$BD:$BD,MATCH($E160,Cascade!$E:$E,0)),"")</f>
        <v>16</v>
      </c>
      <c r="H160" s="73" t="n">
        <f aca="false">_xlfn.IFNA(INDEX(Cascade!$BE:$BE,MATCH($E160,Cascade!$E:$E,0)),"")</f>
        <v>5</v>
      </c>
      <c r="I160" s="73" t="str">
        <f aca="false">_xlfn.IFNA(INDEX(Cascade!$BF:$BF,MATCH($E160,Cascade!$E:$E,0)),"")</f>
        <v/>
      </c>
      <c r="J160" s="73" t="str">
        <f aca="false">_xlfn.IFNA(INDEX(Cascade!$BG:$BG,MATCH($E160,Cascade!$E:$E,0)),"")</f>
        <v/>
      </c>
      <c r="K160" s="73" t="n">
        <f aca="false">_xlfn.IFNA(INDEX(Cascade!$BH:$BH,MATCH($E160,Cascade!$E:$E,0)),"")</f>
        <v>-48510</v>
      </c>
      <c r="L160" s="73" t="str">
        <f aca="false">_xlfn.IFNA(INDEX(Cascade!$BI:$BI,MATCH($E160,Cascade!$E:$E,0)),"")</f>
        <v/>
      </c>
      <c r="M160" s="73" t="n">
        <f aca="false">_xlfn.IFNA(INDEX(Cascade!$BK:$BK,MATCH($E160,Cascade!$E:$E,0)),"")</f>
        <v>48521</v>
      </c>
      <c r="N160" s="118" t="n">
        <v>4</v>
      </c>
      <c r="O160" s="118" t="n">
        <v>48</v>
      </c>
      <c r="P160" s="118" t="n">
        <v>43</v>
      </c>
      <c r="Q160" s="75" t="n">
        <f aca="false">IF(OR(SUM($H160)=0,SUM($N160)=0,SUM($O160)=0),"",ROUND($H160*$N160,0))</f>
        <v>20</v>
      </c>
      <c r="R160" s="75" t="n">
        <f aca="false">IF(OR(SUM($Q160)=0,SUM($O160)=0),"",ROUND(SUM($Q160)/SUM($O160),0)-SUM($Q160))</f>
        <v>-20</v>
      </c>
      <c r="S160" s="75" t="n">
        <f aca="false">IF(SUM($H160)=0,"",SUM($H160)-SUM($Q160))</f>
        <v>-15</v>
      </c>
      <c r="T160" s="75" t="str">
        <f aca="false">IF(OR(SUM($S160)=0,$N160&gt;1,SUM($P160)&lt;=0),"",ROUND($S160/$P160,0)-$S160)</f>
        <v/>
      </c>
      <c r="U160" s="118" t="n">
        <f aca="false">IF(SUM($G160)&lt;=0,"",SUM($Q160,$S160)/$G160)</f>
        <v>0.3125</v>
      </c>
      <c r="V160" s="118" t="n">
        <f aca="false">IF(OR(SUM($Q160)=0,SUM($G160)=0),"",SUM($Q160)/SUM($G160))</f>
        <v>1.25</v>
      </c>
      <c r="W160" s="118" t="n">
        <f aca="false">IF(OR(SUM($S160)=0,SUM($G160)=0),"",SUM($S160)/SUM($G160))</f>
        <v>-0.9375</v>
      </c>
      <c r="X160" s="118" t="str">
        <f aca="false">IF(OR(SUM($G160)=0,SUM($I160)=0),"",SUM($I160)/SUM($G160))</f>
        <v/>
      </c>
      <c r="Y160" s="118" t="str">
        <f aca="false">IF(OR(SUM($G160)=0,SUM($J160)=0),"",SUM($J160)/SUM($G160))</f>
        <v/>
      </c>
      <c r="Z160" s="118" t="n">
        <f aca="false">IF(OR(SUM($G160)=0,SUM($K160)=0),"",SUM($K160)/SUM($G160))</f>
        <v>-3031.875</v>
      </c>
      <c r="AA160" s="118" t="str">
        <f aca="false">IF(OR(SUM($G160)=0,SUM($L160)=0),"",SUM($L160)/SUM($G160))</f>
        <v/>
      </c>
      <c r="AB160" s="118" t="n">
        <v>28</v>
      </c>
      <c r="AC160" s="118"/>
      <c r="AD160" s="118"/>
      <c r="AE160" s="118" t="n">
        <v>5</v>
      </c>
      <c r="AF160" s="118" t="n">
        <v>7</v>
      </c>
      <c r="AG160" s="118" t="n">
        <v>22</v>
      </c>
      <c r="AH160" s="118" t="n">
        <v>17</v>
      </c>
      <c r="AI160" s="118" t="n">
        <v>26</v>
      </c>
      <c r="AJ160" s="118" t="n">
        <v>44</v>
      </c>
      <c r="AK160" s="118" t="n">
        <f aca="false">IF(SUM($G160)&lt;=0,"",SUM($V160:$AJ160))</f>
        <v>-2882.5625</v>
      </c>
      <c r="AL160" s="118" t="n">
        <v>8</v>
      </c>
      <c r="AM160" s="75" t="n">
        <f aca="false">IF(OR(SUM($AB160)&lt;=0,SUM($G160)&lt;=0),"",ROUND($G160*$AB160,0))</f>
        <v>448</v>
      </c>
      <c r="AN160" s="75" t="n">
        <f aca="false">IF(SUM($AM160)&lt;=0,"",IF(SUM($AL160)&lt;=0,"ENTER VALID YIELD!",ROUND($AM160/$AL160,0)-$AM160))</f>
        <v>-392</v>
      </c>
      <c r="AO160" s="118"/>
      <c r="AP160" s="75" t="str">
        <f aca="false">IF(OR(SUM($AC160)&lt;=0,SUM($G160)&lt;=0),"",ROUND($G160*$AC160,0))</f>
        <v/>
      </c>
      <c r="AQ160" s="75" t="str">
        <f aca="false">IF(SUM($AP160)&lt;=0,"",IF(SUM($AO160)&lt;=0,"ENTER VALID YIELD!",ROUND($AP160/$AO160,0)-$AP160))</f>
        <v/>
      </c>
      <c r="AR160" s="118"/>
      <c r="AS160" s="75" t="str">
        <f aca="false">IF(OR(SUM($AD160)&lt;=0,SUM($G160)&lt;=0),"",ROUND($G160*$AD160,0))</f>
        <v/>
      </c>
      <c r="AT160" s="75" t="str">
        <f aca="false">IF(SUM($AS160)&lt;=0,"",IF(SUM($AR160)&lt;=0,"ENTER VALID YIELD!",ROUND($AS160/$AR160,0)-$AS160))</f>
        <v/>
      </c>
      <c r="AU160" s="118"/>
      <c r="AV160" s="75" t="n">
        <f aca="false">IF(OR(SUM($AE160)&lt;=0,SUM($G160)&lt;=0),"",ROUND($G160*$AE160,0))</f>
        <v>80</v>
      </c>
      <c r="AW160" s="75" t="str">
        <f aca="false">IF(SUM($AV160)&lt;=0,"",IF(SUM($AU160)&lt;=0,"ENTER VALID YIELD!",ROUND($AV160/$AU160,0)-$AV160))</f>
        <v>ENTER VALID YIELD!</v>
      </c>
      <c r="AX160" s="118"/>
      <c r="AY160" s="75" t="n">
        <f aca="false">IF(OR(SUM($AF160)&lt;=0,SUM($G160)&lt;=0),"",ROUND($G160*$AF160,0))</f>
        <v>112</v>
      </c>
      <c r="AZ160" s="75" t="str">
        <f aca="false">IF(SUM($AY160)&lt;=0,"",IF(SUM($AX160)&lt;=0,"ENTER VALID YIELD!",ROUND($AY160/$AX160,0)-$AY160))</f>
        <v>ENTER VALID YIELD!</v>
      </c>
      <c r="BA160" s="118" t="n">
        <v>20</v>
      </c>
      <c r="BB160" s="75" t="n">
        <f aca="false">IF(OR(SUM($AG160)&lt;=0,SUM($G160)&lt;=0),"",ROUND($G160*$AG160,0))</f>
        <v>352</v>
      </c>
      <c r="BC160" s="75" t="n">
        <f aca="false">IF(SUM($BB160)&lt;=0,"",IF(SUM($BA160)&lt;=0,"ENTER VALID YIELD!",ROUND($BB160/$BA160,0)-$BB160))</f>
        <v>-334</v>
      </c>
      <c r="BD160" s="118"/>
      <c r="BE160" s="75" t="n">
        <f aca="false">IF(OR(SUM($AH160)&lt;=0,SUM($G160)&lt;=0),"",ROUND($G160*$AH160,0))</f>
        <v>272</v>
      </c>
      <c r="BF160" s="75" t="str">
        <f aca="false">IF(SUM($BE160)&lt;=0,"",IF(SUM($BD160)&lt;=0,"ENTER VALID YIELD!",ROUND($BE160/$BD160,0)-$BE160))</f>
        <v>ENTER VALID YIELD!</v>
      </c>
      <c r="BG160" s="118" t="n">
        <v>19</v>
      </c>
      <c r="BH160" s="75" t="n">
        <f aca="false">IF(OR(SUM($AI160)&lt;=0,SUM($G160)&lt;=0),"",ROUND($G160*$AI160,0))</f>
        <v>416</v>
      </c>
      <c r="BI160" s="75" t="n">
        <f aca="false">IF(SUM($BH160)&lt;=0,"",IF(SUM($BG160)&lt;=0,"ENTER VALID YIELD!",ROUND($BH160/$BG160,0)-$BH160))</f>
        <v>-394</v>
      </c>
      <c r="BJ160" s="118" t="n">
        <v>32</v>
      </c>
      <c r="BK160" s="75" t="n">
        <f aca="false">IF(OR(SUM($AJ160)&lt;=0,SUM($G160)&lt;=0),"",ROUND($G160*$AJ160,0))</f>
        <v>704</v>
      </c>
      <c r="BL160" s="75" t="n">
        <f aca="false">IF(SUM($BK160)&lt;=0,"",IF(SUM($BJ160)&lt;=0,"ENTER VALID YIELD!",ROUND($BK160/$BJ160,0)-$BK160))</f>
        <v>-682</v>
      </c>
      <c r="BM160" s="73" t="n">
        <f aca="false">IF(SUM($G160)&lt;=0,"",$G160)</f>
        <v>16</v>
      </c>
      <c r="BN160" s="73" t="n">
        <f aca="false">IF(SUM($G160)&lt;=0,"",SUM($I160:$L160,$Q160,$S160,$AM160,$AP160,$AS160,$AV160,$AY160,$BB160,$BE160,$BH160,$BK160))</f>
        <v>-46121</v>
      </c>
      <c r="BO160" s="73" t="n">
        <f aca="false">IF(AND(SUM($BN160)&lt;=0,SUM($BM160)&lt;=0),"",SUM($BN160)-SUM($BM160))</f>
        <v>-46137</v>
      </c>
      <c r="BP160" s="73" t="str">
        <f aca="false">_xlfn.IFNA(INDEX(PMTCT!$AF:$AF,MATCH($E160,PMTCT!$E:$E,0)),"")</f>
        <v/>
      </c>
      <c r="BQ160" s="73" t="str">
        <f aca="false">_xlfn.IFNA(INDEX(PMTCT!$AV:$AV,MATCH($E160,PMTCT!$E:$E,0)),"")</f>
        <v/>
      </c>
      <c r="BR160" s="73" t="n">
        <f aca="false">_xlfn.IFNA(INDEX(TB!$R:$R,MATCH($E160,TB!$E:$E,0)),"")</f>
        <v>47040</v>
      </c>
      <c r="BS160" s="73" t="str">
        <f aca="false">_xlfn.IFNA(INDEX(VMMC!$AD:$AD,MATCH($E160,VMMC!$E:$E,0)),"")</f>
        <v/>
      </c>
      <c r="BT160" s="73" t="n">
        <f aca="false">IF(SUM($R160,$T160,$AN160,$AQ160,$AT160,$AW160,$AZ160,$BC160,$BF160,$BI160,$BL160,$BP160:$BS160)=0,"",SUM($R160,$T160,$AN160,$AQ160,$AT160,$AW160,$AZ160,$BC160,$BF160,$BI160,$BL160,$BP160:$BS160))</f>
        <v>45218</v>
      </c>
      <c r="BU160" s="73" t="n">
        <f aca="false">IF(OR(SUM($BT160)=0,SUM($BN160)=0),"",SUM($BT160,$BN160))</f>
        <v>-903</v>
      </c>
      <c r="BV160" s="118" t="n">
        <f aca="false">IF(SUM($BU160)=0,"",SUM($BN160)/$BU160)</f>
        <v>51.0753045404208</v>
      </c>
      <c r="BW160" s="73" t="n">
        <v>34</v>
      </c>
      <c r="BX160" s="118" t="n">
        <f aca="false">IF(OR($C160="01-04",$C160="05-09"),"",0%)</f>
        <v>0</v>
      </c>
      <c r="BY160" s="75" t="n">
        <f aca="false">IF(OR($C160="01-04",$C160="05-09",SUM($BW160)=0),"",ROUND($BW160*(1+$BX160),0))</f>
        <v>34</v>
      </c>
    </row>
    <row r="161" customFormat="false" ht="15" hidden="false" customHeight="false" outlineLevel="0" collapsed="false">
      <c r="A161" s="0" t="s">
        <v>147</v>
      </c>
      <c r="B161" s="0" t="s">
        <v>105</v>
      </c>
      <c r="C161" s="0" t="s">
        <v>75</v>
      </c>
      <c r="D161" s="0" t="s">
        <v>56</v>
      </c>
      <c r="E161" s="0" t="str">
        <f aca="false">B161&amp;"|"&amp;C161&amp;"|"&amp;D161</f>
        <v>Mohale's Hoek [#SNU] [#DREAMS] [YGI7vISD2kJ]|35-39|Female</v>
      </c>
      <c r="F161" s="118" t="n">
        <f aca="false">_xlfn.IFNA(INDEX(Cascade!$Y:$Y,MATCH($E161,Cascade!$E:$E,0)),"")</f>
        <v>0.700384122919334</v>
      </c>
      <c r="G161" s="73" t="n">
        <f aca="false">_xlfn.IFNA(INDEX(Cascade!$BD:$BD,MATCH($E161,Cascade!$E:$E,0)),"")</f>
        <v>4</v>
      </c>
      <c r="H161" s="73" t="n">
        <f aca="false">_xlfn.IFNA(INDEX(Cascade!$BE:$BE,MATCH($E161,Cascade!$E:$E,0)),"")</f>
        <v>2</v>
      </c>
      <c r="I161" s="73" t="n">
        <f aca="false">_xlfn.IFNA(INDEX(Cascade!$BF:$BF,MATCH($E161,Cascade!$E:$E,0)),"")</f>
        <v>-392</v>
      </c>
      <c r="J161" s="73" t="str">
        <f aca="false">_xlfn.IFNA(INDEX(Cascade!$BG:$BG,MATCH($E161,Cascade!$E:$E,0)),"")</f>
        <v/>
      </c>
      <c r="K161" s="73" t="n">
        <f aca="false">_xlfn.IFNA(INDEX(Cascade!$BH:$BH,MATCH($E161,Cascade!$E:$E,0)),"")</f>
        <v>-12375</v>
      </c>
      <c r="L161" s="73" t="str">
        <f aca="false">_xlfn.IFNA(INDEX(Cascade!$BI:$BI,MATCH($E161,Cascade!$E:$E,0)),"")</f>
        <v/>
      </c>
      <c r="M161" s="73" t="n">
        <f aca="false">_xlfn.IFNA(INDEX(Cascade!$BK:$BK,MATCH($E161,Cascade!$E:$E,0)),"")</f>
        <v>12769</v>
      </c>
      <c r="N161" s="118" t="n">
        <v>29</v>
      </c>
      <c r="O161" s="118" t="n">
        <v>47</v>
      </c>
      <c r="P161" s="118" t="n">
        <v>0</v>
      </c>
      <c r="Q161" s="75" t="n">
        <f aca="false">IF(OR(SUM($H161)=0,SUM($N161)=0,SUM($O161)=0),"",ROUND($H161*$N161,0))</f>
        <v>58</v>
      </c>
      <c r="R161" s="75" t="n">
        <f aca="false">IF(OR(SUM($Q161)=0,SUM($O161)=0),"",ROUND(SUM($Q161)/SUM($O161),0)-SUM($Q161))</f>
        <v>-57</v>
      </c>
      <c r="S161" s="75" t="n">
        <f aca="false">IF(SUM($H161)=0,"",SUM($H161)-SUM($Q161))</f>
        <v>-56</v>
      </c>
      <c r="T161" s="75" t="str">
        <f aca="false">IF(OR(SUM($S161)=0,$N161&gt;1,SUM($P161)&lt;=0),"",ROUND($S161/$P161,0)-$S161)</f>
        <v/>
      </c>
      <c r="U161" s="118" t="n">
        <f aca="false">IF(SUM($G161)&lt;=0,"",SUM($Q161,$S161)/$G161)</f>
        <v>0.5</v>
      </c>
      <c r="V161" s="118" t="n">
        <f aca="false">IF(OR(SUM($Q161)=0,SUM($G161)=0),"",SUM($Q161)/SUM($G161))</f>
        <v>14.5</v>
      </c>
      <c r="W161" s="118" t="n">
        <f aca="false">IF(OR(SUM($S161)=0,SUM($G161)=0),"",SUM($S161)/SUM($G161))</f>
        <v>-14</v>
      </c>
      <c r="X161" s="118" t="n">
        <f aca="false">IF(OR(SUM($G161)=0,SUM($I161)=0),"",SUM($I161)/SUM($G161))</f>
        <v>-98</v>
      </c>
      <c r="Y161" s="118" t="str">
        <f aca="false">IF(OR(SUM($G161)=0,SUM($J161)=0),"",SUM($J161)/SUM($G161))</f>
        <v/>
      </c>
      <c r="Z161" s="118" t="n">
        <f aca="false">IF(OR(SUM($G161)=0,SUM($K161)=0),"",SUM($K161)/SUM($G161))</f>
        <v>-3093.75</v>
      </c>
      <c r="AA161" s="118" t="str">
        <f aca="false">IF(OR(SUM($G161)=0,SUM($L161)=0),"",SUM($L161)/SUM($G161))</f>
        <v/>
      </c>
      <c r="AB161" s="118" t="n">
        <v>40</v>
      </c>
      <c r="AC161" s="118"/>
      <c r="AD161" s="118"/>
      <c r="AE161" s="118" t="n">
        <v>34</v>
      </c>
      <c r="AF161" s="118" t="n">
        <v>36</v>
      </c>
      <c r="AG161" s="118" t="n">
        <v>16</v>
      </c>
      <c r="AH161" s="118" t="n">
        <v>23</v>
      </c>
      <c r="AI161" s="118" t="n">
        <v>34</v>
      </c>
      <c r="AJ161" s="118" t="n">
        <v>36</v>
      </c>
      <c r="AK161" s="118" t="n">
        <f aca="false">IF(SUM($G161)&lt;=0,"",SUM($V161:$AJ161))</f>
        <v>-2972.25</v>
      </c>
      <c r="AL161" s="118"/>
      <c r="AM161" s="75" t="n">
        <f aca="false">IF(OR(SUM($AB161)&lt;=0,SUM($G161)&lt;=0),"",ROUND($G161*$AB161,0))</f>
        <v>160</v>
      </c>
      <c r="AN161" s="75" t="str">
        <f aca="false">IF(SUM($AM161)&lt;=0,"",IF(SUM($AL161)&lt;=0,"ENTER VALID YIELD!",ROUND($AM161/$AL161,0)-$AM161))</f>
        <v>ENTER VALID YIELD!</v>
      </c>
      <c r="AO161" s="118"/>
      <c r="AP161" s="75" t="str">
        <f aca="false">IF(OR(SUM($AC161)&lt;=0,SUM($G161)&lt;=0),"",ROUND($G161*$AC161,0))</f>
        <v/>
      </c>
      <c r="AQ161" s="75" t="str">
        <f aca="false">IF(SUM($AP161)&lt;=0,"",IF(SUM($AO161)&lt;=0,"ENTER VALID YIELD!",ROUND($AP161/$AO161,0)-$AP161))</f>
        <v/>
      </c>
      <c r="AR161" s="118"/>
      <c r="AS161" s="75" t="str">
        <f aca="false">IF(OR(SUM($AD161)&lt;=0,SUM($G161)&lt;=0),"",ROUND($G161*$AD161,0))</f>
        <v/>
      </c>
      <c r="AT161" s="75" t="str">
        <f aca="false">IF(SUM($AS161)&lt;=0,"",IF(SUM($AR161)&lt;=0,"ENTER VALID YIELD!",ROUND($AS161/$AR161,0)-$AS161))</f>
        <v/>
      </c>
      <c r="AU161" s="118"/>
      <c r="AV161" s="75" t="n">
        <f aca="false">IF(OR(SUM($AE161)&lt;=0,SUM($G161)&lt;=0),"",ROUND($G161*$AE161,0))</f>
        <v>136</v>
      </c>
      <c r="AW161" s="75" t="str">
        <f aca="false">IF(SUM($AV161)&lt;=0,"",IF(SUM($AU161)&lt;=0,"ENTER VALID YIELD!",ROUND($AV161/$AU161,0)-$AV161))</f>
        <v>ENTER VALID YIELD!</v>
      </c>
      <c r="AX161" s="118"/>
      <c r="AY161" s="75" t="n">
        <f aca="false">IF(OR(SUM($AF161)&lt;=0,SUM($G161)&lt;=0),"",ROUND($G161*$AF161,0))</f>
        <v>144</v>
      </c>
      <c r="AZ161" s="75" t="str">
        <f aca="false">IF(SUM($AY161)&lt;=0,"",IF(SUM($AX161)&lt;=0,"ENTER VALID YIELD!",ROUND($AY161/$AX161,0)-$AY161))</f>
        <v>ENTER VALID YIELD!</v>
      </c>
      <c r="BA161" s="118" t="n">
        <v>2</v>
      </c>
      <c r="BB161" s="75" t="n">
        <f aca="false">IF(OR(SUM($AG161)&lt;=0,SUM($G161)&lt;=0),"",ROUND($G161*$AG161,0))</f>
        <v>64</v>
      </c>
      <c r="BC161" s="75" t="n">
        <f aca="false">IF(SUM($BB161)&lt;=0,"",IF(SUM($BA161)&lt;=0,"ENTER VALID YIELD!",ROUND($BB161/$BA161,0)-$BB161))</f>
        <v>-32</v>
      </c>
      <c r="BD161" s="118"/>
      <c r="BE161" s="75" t="n">
        <f aca="false">IF(OR(SUM($AH161)&lt;=0,SUM($G161)&lt;=0),"",ROUND($G161*$AH161,0))</f>
        <v>92</v>
      </c>
      <c r="BF161" s="75" t="str">
        <f aca="false">IF(SUM($BE161)&lt;=0,"",IF(SUM($BD161)&lt;=0,"ENTER VALID YIELD!",ROUND($BE161/$BD161,0)-$BE161))</f>
        <v>ENTER VALID YIELD!</v>
      </c>
      <c r="BG161" s="118" t="n">
        <v>8</v>
      </c>
      <c r="BH161" s="75" t="n">
        <f aca="false">IF(OR(SUM($AI161)&lt;=0,SUM($G161)&lt;=0),"",ROUND($G161*$AI161,0))</f>
        <v>136</v>
      </c>
      <c r="BI161" s="75" t="n">
        <f aca="false">IF(SUM($BH161)&lt;=0,"",IF(SUM($BG161)&lt;=0,"ENTER VALID YIELD!",ROUND($BH161/$BG161,0)-$BH161))</f>
        <v>-119</v>
      </c>
      <c r="BJ161" s="118" t="n">
        <v>17</v>
      </c>
      <c r="BK161" s="75" t="n">
        <f aca="false">IF(OR(SUM($AJ161)&lt;=0,SUM($G161)&lt;=0),"",ROUND($G161*$AJ161,0))</f>
        <v>144</v>
      </c>
      <c r="BL161" s="75" t="n">
        <f aca="false">IF(SUM($BK161)&lt;=0,"",IF(SUM($BJ161)&lt;=0,"ENTER VALID YIELD!",ROUND($BK161/$BJ161,0)-$BK161))</f>
        <v>-136</v>
      </c>
      <c r="BM161" s="73" t="n">
        <f aca="false">IF(SUM($G161)&lt;=0,"",$G161)</f>
        <v>4</v>
      </c>
      <c r="BN161" s="73" t="n">
        <f aca="false">IF(SUM($G161)&lt;=0,"",SUM($I161:$L161,$Q161,$S161,$AM161,$AP161,$AS161,$AV161,$AY161,$BB161,$BE161,$BH161,$BK161))</f>
        <v>-11889</v>
      </c>
      <c r="BO161" s="73" t="n">
        <f aca="false">IF(AND(SUM($BN161)&lt;=0,SUM($BM161)&lt;=0),"",SUM($BN161)-SUM($BM161))</f>
        <v>-11893</v>
      </c>
      <c r="BP161" s="73" t="n">
        <f aca="false">_xlfn.IFNA(INDEX(PMTCT!$AF:$AF,MATCH($E161,PMTCT!$E:$E,0)),"")</f>
        <v>336</v>
      </c>
      <c r="BQ161" s="73" t="str">
        <f aca="false">_xlfn.IFNA(INDEX(PMTCT!$AV:$AV,MATCH($E161,PMTCT!$E:$E,0)),"")</f>
        <v/>
      </c>
      <c r="BR161" s="73" t="n">
        <f aca="false">_xlfn.IFNA(INDEX(TB!$R:$R,MATCH($E161,TB!$E:$E,0)),"")</f>
        <v>11250</v>
      </c>
      <c r="BS161" s="73" t="str">
        <f aca="false">_xlfn.IFNA(INDEX(VMMC!$AD:$AD,MATCH($E161,VMMC!$E:$E,0)),"")</f>
        <v/>
      </c>
      <c r="BT161" s="73" t="n">
        <f aca="false">IF(SUM($R161,$T161,$AN161,$AQ161,$AT161,$AW161,$AZ161,$BC161,$BF161,$BI161,$BL161,$BP161:$BS161)=0,"",SUM($R161,$T161,$AN161,$AQ161,$AT161,$AW161,$AZ161,$BC161,$BF161,$BI161,$BL161,$BP161:$BS161))</f>
        <v>11242</v>
      </c>
      <c r="BU161" s="73" t="n">
        <f aca="false">IF(OR(SUM($BT161)=0,SUM($BN161)=0),"",SUM($BT161,$BN161))</f>
        <v>-647</v>
      </c>
      <c r="BV161" s="118" t="n">
        <f aca="false">IF(SUM($BU161)=0,"",SUM($BN161)/$BU161)</f>
        <v>18.3755795981453</v>
      </c>
      <c r="BW161" s="73" t="n">
        <v>28</v>
      </c>
      <c r="BX161" s="118" t="n">
        <f aca="false">IF(OR($C161="01-04",$C161="05-09"),"",0%)</f>
        <v>0</v>
      </c>
      <c r="BY161" s="75" t="n">
        <f aca="false">IF(OR($C161="01-04",$C161="05-09",SUM($BW161)=0),"",ROUND($BW161*(1+$BX161),0))</f>
        <v>28</v>
      </c>
    </row>
    <row r="162" customFormat="false" ht="15" hidden="false" customHeight="false" outlineLevel="0" collapsed="false">
      <c r="A162" s="0" t="s">
        <v>147</v>
      </c>
      <c r="B162" s="0" t="s">
        <v>105</v>
      </c>
      <c r="C162" s="0" t="s">
        <v>75</v>
      </c>
      <c r="D162" s="0" t="s">
        <v>58</v>
      </c>
      <c r="E162" s="0" t="str">
        <f aca="false">B162&amp;"|"&amp;C162&amp;"|"&amp;D162</f>
        <v>Mohale's Hoek [#SNU] [#DREAMS] [YGI7vISD2kJ]|35-39|Male</v>
      </c>
      <c r="F162" s="118" t="n">
        <f aca="false">_xlfn.IFNA(INDEX(Cascade!$Y:$Y,MATCH($E162,Cascade!$E:$E,0)),"")</f>
        <v>0.518654755648975</v>
      </c>
      <c r="G162" s="73" t="n">
        <f aca="false">_xlfn.IFNA(INDEX(Cascade!$BD:$BD,MATCH($E162,Cascade!$E:$E,0)),"")</f>
        <v>24</v>
      </c>
      <c r="H162" s="73" t="n">
        <f aca="false">_xlfn.IFNA(INDEX(Cascade!$BE:$BE,MATCH($E162,Cascade!$E:$E,0)),"")</f>
        <v>7</v>
      </c>
      <c r="I162" s="73" t="str">
        <f aca="false">_xlfn.IFNA(INDEX(Cascade!$BF:$BF,MATCH($E162,Cascade!$E:$E,0)),"")</f>
        <v/>
      </c>
      <c r="J162" s="73" t="str">
        <f aca="false">_xlfn.IFNA(INDEX(Cascade!$BG:$BG,MATCH($E162,Cascade!$E:$E,0)),"")</f>
        <v/>
      </c>
      <c r="K162" s="73" t="n">
        <f aca="false">_xlfn.IFNA(INDEX(Cascade!$BH:$BH,MATCH($E162,Cascade!$E:$E,0)),"")</f>
        <v>-60</v>
      </c>
      <c r="L162" s="73" t="str">
        <f aca="false">_xlfn.IFNA(INDEX(Cascade!$BI:$BI,MATCH($E162,Cascade!$E:$E,0)),"")</f>
        <v/>
      </c>
      <c r="M162" s="73" t="n">
        <f aca="false">_xlfn.IFNA(INDEX(Cascade!$BK:$BK,MATCH($E162,Cascade!$E:$E,0)),"")</f>
        <v>77</v>
      </c>
      <c r="N162" s="118" t="n">
        <v>40</v>
      </c>
      <c r="O162" s="118" t="n">
        <v>48</v>
      </c>
      <c r="P162" s="118" t="n">
        <v>19</v>
      </c>
      <c r="Q162" s="75" t="n">
        <f aca="false">IF(OR(SUM($H162)=0,SUM($N162)=0,SUM($O162)=0),"",ROUND($H162*$N162,0))</f>
        <v>280</v>
      </c>
      <c r="R162" s="75" t="n">
        <f aca="false">IF(OR(SUM($Q162)=0,SUM($O162)=0),"",ROUND(SUM($Q162)/SUM($O162),0)-SUM($Q162))</f>
        <v>-274</v>
      </c>
      <c r="S162" s="75" t="n">
        <f aca="false">IF(SUM($H162)=0,"",SUM($H162)-SUM($Q162))</f>
        <v>-273</v>
      </c>
      <c r="T162" s="75" t="str">
        <f aca="false">IF(OR(SUM($S162)=0,$N162&gt;1,SUM($P162)&lt;=0),"",ROUND($S162/$P162,0)-$S162)</f>
        <v/>
      </c>
      <c r="U162" s="118" t="n">
        <f aca="false">IF(SUM($G162)&lt;=0,"",SUM($Q162,$S162)/$G162)</f>
        <v>0.291666666666667</v>
      </c>
      <c r="V162" s="118" t="n">
        <f aca="false">IF(OR(SUM($Q162)=0,SUM($G162)=0),"",SUM($Q162)/SUM($G162))</f>
        <v>11.6666666666667</v>
      </c>
      <c r="W162" s="118" t="n">
        <f aca="false">IF(OR(SUM($S162)=0,SUM($G162)=0),"",SUM($S162)/SUM($G162))</f>
        <v>-11.375</v>
      </c>
      <c r="X162" s="118" t="str">
        <f aca="false">IF(OR(SUM($G162)=0,SUM($I162)=0),"",SUM($I162)/SUM($G162))</f>
        <v/>
      </c>
      <c r="Y162" s="118" t="str">
        <f aca="false">IF(OR(SUM($G162)=0,SUM($J162)=0),"",SUM($J162)/SUM($G162))</f>
        <v/>
      </c>
      <c r="Z162" s="118" t="n">
        <f aca="false">IF(OR(SUM($G162)=0,SUM($K162)=0),"",SUM($K162)/SUM($G162))</f>
        <v>-2.5</v>
      </c>
      <c r="AA162" s="118" t="str">
        <f aca="false">IF(OR(SUM($G162)=0,SUM($L162)=0),"",SUM($L162)/SUM($G162))</f>
        <v/>
      </c>
      <c r="AB162" s="118" t="n">
        <v>18</v>
      </c>
      <c r="AC162" s="118"/>
      <c r="AD162" s="118"/>
      <c r="AE162" s="118" t="n">
        <v>23</v>
      </c>
      <c r="AF162" s="118" t="n">
        <v>14</v>
      </c>
      <c r="AG162" s="118" t="n">
        <v>35</v>
      </c>
      <c r="AH162" s="118" t="n">
        <v>4</v>
      </c>
      <c r="AI162" s="118" t="n">
        <v>42</v>
      </c>
      <c r="AJ162" s="118" t="n">
        <v>23</v>
      </c>
      <c r="AK162" s="118" t="n">
        <f aca="false">IF(SUM($G162)&lt;=0,"",SUM($V162:$AJ162))</f>
        <v>156.791666666667</v>
      </c>
      <c r="AL162" s="118" t="n">
        <v>23</v>
      </c>
      <c r="AM162" s="75" t="n">
        <f aca="false">IF(OR(SUM($AB162)&lt;=0,SUM($G162)&lt;=0),"",ROUND($G162*$AB162,0))</f>
        <v>432</v>
      </c>
      <c r="AN162" s="75" t="n">
        <f aca="false">IF(SUM($AM162)&lt;=0,"",IF(SUM($AL162)&lt;=0,"ENTER VALID YIELD!",ROUND($AM162/$AL162,0)-$AM162))</f>
        <v>-413</v>
      </c>
      <c r="AO162" s="118"/>
      <c r="AP162" s="75" t="str">
        <f aca="false">IF(OR(SUM($AC162)&lt;=0,SUM($G162)&lt;=0),"",ROUND($G162*$AC162,0))</f>
        <v/>
      </c>
      <c r="AQ162" s="75" t="str">
        <f aca="false">IF(SUM($AP162)&lt;=0,"",IF(SUM($AO162)&lt;=0,"ENTER VALID YIELD!",ROUND($AP162/$AO162,0)-$AP162))</f>
        <v/>
      </c>
      <c r="AR162" s="118"/>
      <c r="AS162" s="75" t="str">
        <f aca="false">IF(OR(SUM($AD162)&lt;=0,SUM($G162)&lt;=0),"",ROUND($G162*$AD162,0))</f>
        <v/>
      </c>
      <c r="AT162" s="75" t="str">
        <f aca="false">IF(SUM($AS162)&lt;=0,"",IF(SUM($AR162)&lt;=0,"ENTER VALID YIELD!",ROUND($AS162/$AR162,0)-$AS162))</f>
        <v/>
      </c>
      <c r="AU162" s="118"/>
      <c r="AV162" s="75" t="n">
        <f aca="false">IF(OR(SUM($AE162)&lt;=0,SUM($G162)&lt;=0),"",ROUND($G162*$AE162,0))</f>
        <v>552</v>
      </c>
      <c r="AW162" s="75" t="str">
        <f aca="false">IF(SUM($AV162)&lt;=0,"",IF(SUM($AU162)&lt;=0,"ENTER VALID YIELD!",ROUND($AV162/$AU162,0)-$AV162))</f>
        <v>ENTER VALID YIELD!</v>
      </c>
      <c r="AX162" s="118"/>
      <c r="AY162" s="75" t="n">
        <f aca="false">IF(OR(SUM($AF162)&lt;=0,SUM($G162)&lt;=0),"",ROUND($G162*$AF162,0))</f>
        <v>336</v>
      </c>
      <c r="AZ162" s="75" t="str">
        <f aca="false">IF(SUM($AY162)&lt;=0,"",IF(SUM($AX162)&lt;=0,"ENTER VALID YIELD!",ROUND($AY162/$AX162,0)-$AY162))</f>
        <v>ENTER VALID YIELD!</v>
      </c>
      <c r="BA162" s="118" t="n">
        <v>23</v>
      </c>
      <c r="BB162" s="75" t="n">
        <f aca="false">IF(OR(SUM($AG162)&lt;=0,SUM($G162)&lt;=0),"",ROUND($G162*$AG162,0))</f>
        <v>840</v>
      </c>
      <c r="BC162" s="75" t="n">
        <f aca="false">IF(SUM($BB162)&lt;=0,"",IF(SUM($BA162)&lt;=0,"ENTER VALID YIELD!",ROUND($BB162/$BA162,0)-$BB162))</f>
        <v>-803</v>
      </c>
      <c r="BD162" s="118"/>
      <c r="BE162" s="75" t="n">
        <f aca="false">IF(OR(SUM($AH162)&lt;=0,SUM($G162)&lt;=0),"",ROUND($G162*$AH162,0))</f>
        <v>96</v>
      </c>
      <c r="BF162" s="75" t="str">
        <f aca="false">IF(SUM($BE162)&lt;=0,"",IF(SUM($BD162)&lt;=0,"ENTER VALID YIELD!",ROUND($BE162/$BD162,0)-$BE162))</f>
        <v>ENTER VALID YIELD!</v>
      </c>
      <c r="BG162" s="118" t="n">
        <v>7</v>
      </c>
      <c r="BH162" s="75" t="n">
        <f aca="false">IF(OR(SUM($AI162)&lt;=0,SUM($G162)&lt;=0),"",ROUND($G162*$AI162,0))</f>
        <v>1008</v>
      </c>
      <c r="BI162" s="75" t="n">
        <f aca="false">IF(SUM($BH162)&lt;=0,"",IF(SUM($BG162)&lt;=0,"ENTER VALID YIELD!",ROUND($BH162/$BG162,0)-$BH162))</f>
        <v>-864</v>
      </c>
      <c r="BJ162" s="118" t="n">
        <v>9</v>
      </c>
      <c r="BK162" s="75" t="n">
        <f aca="false">IF(OR(SUM($AJ162)&lt;=0,SUM($G162)&lt;=0),"",ROUND($G162*$AJ162,0))</f>
        <v>552</v>
      </c>
      <c r="BL162" s="75" t="n">
        <f aca="false">IF(SUM($BK162)&lt;=0,"",IF(SUM($BJ162)&lt;=0,"ENTER VALID YIELD!",ROUND($BK162/$BJ162,0)-$BK162))</f>
        <v>-491</v>
      </c>
      <c r="BM162" s="73" t="n">
        <f aca="false">IF(SUM($G162)&lt;=0,"",$G162)</f>
        <v>24</v>
      </c>
      <c r="BN162" s="73" t="n">
        <f aca="false">IF(SUM($G162)&lt;=0,"",SUM($I162:$L162,$Q162,$S162,$AM162,$AP162,$AS162,$AV162,$AY162,$BB162,$BE162,$BH162,$BK162))</f>
        <v>3763</v>
      </c>
      <c r="BO162" s="73" t="n">
        <f aca="false">IF(AND(SUM($BN162)&lt;=0,SUM($BM162)&lt;=0),"",SUM($BN162)-SUM($BM162))</f>
        <v>3739</v>
      </c>
      <c r="BP162" s="73" t="str">
        <f aca="false">_xlfn.IFNA(INDEX(PMTCT!$AF:$AF,MATCH($E162,PMTCT!$E:$E,0)),"")</f>
        <v/>
      </c>
      <c r="BQ162" s="73" t="str">
        <f aca="false">_xlfn.IFNA(INDEX(PMTCT!$AV:$AV,MATCH($E162,PMTCT!$E:$E,0)),"")</f>
        <v/>
      </c>
      <c r="BR162" s="73" t="n">
        <f aca="false">_xlfn.IFNA(INDEX(TB!$R:$R,MATCH($E162,TB!$E:$E,0)),"")</f>
        <v>0</v>
      </c>
      <c r="BS162" s="73" t="str">
        <f aca="false">_xlfn.IFNA(INDEX(VMMC!$AD:$AD,MATCH($E162,VMMC!$E:$E,0)),"")</f>
        <v/>
      </c>
      <c r="BT162" s="73" t="n">
        <f aca="false">IF(SUM($R162,$T162,$AN162,$AQ162,$AT162,$AW162,$AZ162,$BC162,$BF162,$BI162,$BL162,$BP162:$BS162)=0,"",SUM($R162,$T162,$AN162,$AQ162,$AT162,$AW162,$AZ162,$BC162,$BF162,$BI162,$BL162,$BP162:$BS162))</f>
        <v>-2845</v>
      </c>
      <c r="BU162" s="73" t="n">
        <f aca="false">IF(OR(SUM($BT162)=0,SUM($BN162)=0),"",SUM($BT162,$BN162))</f>
        <v>918</v>
      </c>
      <c r="BV162" s="118" t="n">
        <f aca="false">IF(SUM($BU162)=0,"",SUM($BN162)/$BU162)</f>
        <v>4.09912854030501</v>
      </c>
      <c r="BW162" s="73" t="n">
        <v>47</v>
      </c>
      <c r="BX162" s="118" t="n">
        <f aca="false">IF(OR($C162="01-04",$C162="05-09"),"",0%)</f>
        <v>0</v>
      </c>
      <c r="BY162" s="75" t="n">
        <f aca="false">IF(OR($C162="01-04",$C162="05-09",SUM($BW162)=0),"",ROUND($BW162*(1+$BX162),0))</f>
        <v>47</v>
      </c>
    </row>
    <row r="163" customFormat="false" ht="15" hidden="false" customHeight="false" outlineLevel="0" collapsed="false">
      <c r="A163" s="0" t="s">
        <v>147</v>
      </c>
      <c r="B163" s="0" t="s">
        <v>105</v>
      </c>
      <c r="C163" s="0" t="s">
        <v>77</v>
      </c>
      <c r="D163" s="0" t="s">
        <v>56</v>
      </c>
      <c r="E163" s="0" t="str">
        <f aca="false">B163&amp;"|"&amp;C163&amp;"|"&amp;D163</f>
        <v>Mohale's Hoek [#SNU] [#DREAMS] [YGI7vISD2kJ]|40-44|Female</v>
      </c>
      <c r="F163" s="118" t="n">
        <f aca="false">_xlfn.IFNA(INDEX(Cascade!$Y:$Y,MATCH($E163,Cascade!$E:$E,0)),"")</f>
        <v>0.873723804406233</v>
      </c>
      <c r="G163" s="73" t="n">
        <f aca="false">_xlfn.IFNA(INDEX(Cascade!$BD:$BD,MATCH($E163,Cascade!$E:$E,0)),"")</f>
        <v>2</v>
      </c>
      <c r="H163" s="73" t="n">
        <f aca="false">_xlfn.IFNA(INDEX(Cascade!$BE:$BE,MATCH($E163,Cascade!$E:$E,0)),"")</f>
        <v>2</v>
      </c>
      <c r="I163" s="73" t="n">
        <f aca="false">_xlfn.IFNA(INDEX(Cascade!$BF:$BF,MATCH($E163,Cascade!$E:$E,0)),"")</f>
        <v>-28710</v>
      </c>
      <c r="J163" s="73" t="str">
        <f aca="false">_xlfn.IFNA(INDEX(Cascade!$BG:$BG,MATCH($E163,Cascade!$E:$E,0)),"")</f>
        <v/>
      </c>
      <c r="K163" s="73" t="n">
        <f aca="false">_xlfn.IFNA(INDEX(Cascade!$BH:$BH,MATCH($E163,Cascade!$E:$E,0)),"")</f>
        <v>-19140</v>
      </c>
      <c r="L163" s="73" t="str">
        <f aca="false">_xlfn.IFNA(INDEX(Cascade!$BI:$BI,MATCH($E163,Cascade!$E:$E,0)),"")</f>
        <v/>
      </c>
      <c r="M163" s="73" t="n">
        <f aca="false">_xlfn.IFNA(INDEX(Cascade!$BK:$BK,MATCH($E163,Cascade!$E:$E,0)),"")</f>
        <v>47850</v>
      </c>
      <c r="N163" s="118" t="n">
        <v>24</v>
      </c>
      <c r="O163" s="118" t="n">
        <v>30</v>
      </c>
      <c r="P163" s="118" t="n">
        <v>4</v>
      </c>
      <c r="Q163" s="75" t="n">
        <f aca="false">IF(OR(SUM($H163)=0,SUM($N163)=0,SUM($O163)=0),"",ROUND($H163*$N163,0))</f>
        <v>48</v>
      </c>
      <c r="R163" s="75" t="n">
        <f aca="false">IF(OR(SUM($Q163)=0,SUM($O163)=0),"",ROUND(SUM($Q163)/SUM($O163),0)-SUM($Q163))</f>
        <v>-46</v>
      </c>
      <c r="S163" s="75" t="n">
        <f aca="false">IF(SUM($H163)=0,"",SUM($H163)-SUM($Q163))</f>
        <v>-46</v>
      </c>
      <c r="T163" s="75" t="str">
        <f aca="false">IF(OR(SUM($S163)=0,$N163&gt;1,SUM($P163)&lt;=0),"",ROUND($S163/$P163,0)-$S163)</f>
        <v/>
      </c>
      <c r="U163" s="118" t="n">
        <f aca="false">IF(SUM($G163)&lt;=0,"",SUM($Q163,$S163)/$G163)</f>
        <v>1</v>
      </c>
      <c r="V163" s="118" t="n">
        <f aca="false">IF(OR(SUM($Q163)=0,SUM($G163)=0),"",SUM($Q163)/SUM($G163))</f>
        <v>24</v>
      </c>
      <c r="W163" s="118" t="n">
        <f aca="false">IF(OR(SUM($S163)=0,SUM($G163)=0),"",SUM($S163)/SUM($G163))</f>
        <v>-23</v>
      </c>
      <c r="X163" s="118" t="n">
        <f aca="false">IF(OR(SUM($G163)=0,SUM($I163)=0),"",SUM($I163)/SUM($G163))</f>
        <v>-14355</v>
      </c>
      <c r="Y163" s="118" t="str">
        <f aca="false">IF(OR(SUM($G163)=0,SUM($J163)=0),"",SUM($J163)/SUM($G163))</f>
        <v/>
      </c>
      <c r="Z163" s="118" t="n">
        <f aca="false">IF(OR(SUM($G163)=0,SUM($K163)=0),"",SUM($K163)/SUM($G163))</f>
        <v>-9570</v>
      </c>
      <c r="AA163" s="118" t="str">
        <f aca="false">IF(OR(SUM($G163)=0,SUM($L163)=0),"",SUM($L163)/SUM($G163))</f>
        <v/>
      </c>
      <c r="AB163" s="118" t="n">
        <v>35</v>
      </c>
      <c r="AC163" s="118"/>
      <c r="AD163" s="118"/>
      <c r="AE163" s="118" t="n">
        <v>8</v>
      </c>
      <c r="AF163" s="118" t="n">
        <v>1</v>
      </c>
      <c r="AG163" s="118" t="n">
        <v>26</v>
      </c>
      <c r="AH163" s="118" t="n">
        <v>6</v>
      </c>
      <c r="AI163" s="118" t="n">
        <v>15</v>
      </c>
      <c r="AJ163" s="118" t="n">
        <v>37</v>
      </c>
      <c r="AK163" s="118" t="n">
        <f aca="false">IF(SUM($G163)&lt;=0,"",SUM($V163:$AJ163))</f>
        <v>-23796</v>
      </c>
      <c r="AL163" s="118"/>
      <c r="AM163" s="75" t="n">
        <f aca="false">IF(OR(SUM($AB163)&lt;=0,SUM($G163)&lt;=0),"",ROUND($G163*$AB163,0))</f>
        <v>70</v>
      </c>
      <c r="AN163" s="75" t="str">
        <f aca="false">IF(SUM($AM163)&lt;=0,"",IF(SUM($AL163)&lt;=0,"ENTER VALID YIELD!",ROUND($AM163/$AL163,0)-$AM163))</f>
        <v>ENTER VALID YIELD!</v>
      </c>
      <c r="AO163" s="118"/>
      <c r="AP163" s="75" t="str">
        <f aca="false">IF(OR(SUM($AC163)&lt;=0,SUM($G163)&lt;=0),"",ROUND($G163*$AC163,0))</f>
        <v/>
      </c>
      <c r="AQ163" s="75" t="str">
        <f aca="false">IF(SUM($AP163)&lt;=0,"",IF(SUM($AO163)&lt;=0,"ENTER VALID YIELD!",ROUND($AP163/$AO163,0)-$AP163))</f>
        <v/>
      </c>
      <c r="AR163" s="118"/>
      <c r="AS163" s="75" t="str">
        <f aca="false">IF(OR(SUM($AD163)&lt;=0,SUM($G163)&lt;=0),"",ROUND($G163*$AD163,0))</f>
        <v/>
      </c>
      <c r="AT163" s="75" t="str">
        <f aca="false">IF(SUM($AS163)&lt;=0,"",IF(SUM($AR163)&lt;=0,"ENTER VALID YIELD!",ROUND($AS163/$AR163,0)-$AS163))</f>
        <v/>
      </c>
      <c r="AU163" s="118"/>
      <c r="AV163" s="75" t="n">
        <f aca="false">IF(OR(SUM($AE163)&lt;=0,SUM($G163)&lt;=0),"",ROUND($G163*$AE163,0))</f>
        <v>16</v>
      </c>
      <c r="AW163" s="75" t="str">
        <f aca="false">IF(SUM($AV163)&lt;=0,"",IF(SUM($AU163)&lt;=0,"ENTER VALID YIELD!",ROUND($AV163/$AU163,0)-$AV163))</f>
        <v>ENTER VALID YIELD!</v>
      </c>
      <c r="AX163" s="118"/>
      <c r="AY163" s="75" t="n">
        <f aca="false">IF(OR(SUM($AF163)&lt;=0,SUM($G163)&lt;=0),"",ROUND($G163*$AF163,0))</f>
        <v>2</v>
      </c>
      <c r="AZ163" s="75" t="str">
        <f aca="false">IF(SUM($AY163)&lt;=0,"",IF(SUM($AX163)&lt;=0,"ENTER VALID YIELD!",ROUND($AY163/$AX163,0)-$AY163))</f>
        <v>ENTER VALID YIELD!</v>
      </c>
      <c r="BA163" s="118" t="n">
        <v>26</v>
      </c>
      <c r="BB163" s="75" t="n">
        <f aca="false">IF(OR(SUM($AG163)&lt;=0,SUM($G163)&lt;=0),"",ROUND($G163*$AG163,0))</f>
        <v>52</v>
      </c>
      <c r="BC163" s="75" t="n">
        <f aca="false">IF(SUM($BB163)&lt;=0,"",IF(SUM($BA163)&lt;=0,"ENTER VALID YIELD!",ROUND($BB163/$BA163,0)-$BB163))</f>
        <v>-50</v>
      </c>
      <c r="BD163" s="118"/>
      <c r="BE163" s="75" t="n">
        <f aca="false">IF(OR(SUM($AH163)&lt;=0,SUM($G163)&lt;=0),"",ROUND($G163*$AH163,0))</f>
        <v>12</v>
      </c>
      <c r="BF163" s="75" t="str">
        <f aca="false">IF(SUM($BE163)&lt;=0,"",IF(SUM($BD163)&lt;=0,"ENTER VALID YIELD!",ROUND($BE163/$BD163,0)-$BE163))</f>
        <v>ENTER VALID YIELD!</v>
      </c>
      <c r="BG163" s="118" t="n">
        <v>11</v>
      </c>
      <c r="BH163" s="75" t="n">
        <f aca="false">IF(OR(SUM($AI163)&lt;=0,SUM($G163)&lt;=0),"",ROUND($G163*$AI163,0))</f>
        <v>30</v>
      </c>
      <c r="BI163" s="75" t="n">
        <f aca="false">IF(SUM($BH163)&lt;=0,"",IF(SUM($BG163)&lt;=0,"ENTER VALID YIELD!",ROUND($BH163/$BG163,0)-$BH163))</f>
        <v>-27</v>
      </c>
      <c r="BJ163" s="118" t="n">
        <v>25</v>
      </c>
      <c r="BK163" s="75" t="n">
        <f aca="false">IF(OR(SUM($AJ163)&lt;=0,SUM($G163)&lt;=0),"",ROUND($G163*$AJ163,0))</f>
        <v>74</v>
      </c>
      <c r="BL163" s="75" t="n">
        <f aca="false">IF(SUM($BK163)&lt;=0,"",IF(SUM($BJ163)&lt;=0,"ENTER VALID YIELD!",ROUND($BK163/$BJ163,0)-$BK163))</f>
        <v>-71</v>
      </c>
      <c r="BM163" s="73" t="n">
        <f aca="false">IF(SUM($G163)&lt;=0,"",$G163)</f>
        <v>2</v>
      </c>
      <c r="BN163" s="73" t="n">
        <f aca="false">IF(SUM($G163)&lt;=0,"",SUM($I163:$L163,$Q163,$S163,$AM163,$AP163,$AS163,$AV163,$AY163,$BB163,$BE163,$BH163,$BK163))</f>
        <v>-47592</v>
      </c>
      <c r="BO163" s="73" t="n">
        <f aca="false">IF(AND(SUM($BN163)&lt;=0,SUM($BM163)&lt;=0),"",SUM($BN163)-SUM($BM163))</f>
        <v>-47594</v>
      </c>
      <c r="BP163" s="73" t="n">
        <f aca="false">_xlfn.IFNA(INDEX(PMTCT!$AF:$AF,MATCH($E163,PMTCT!$E:$E,0)),"")</f>
        <v>27405</v>
      </c>
      <c r="BQ163" s="73" t="str">
        <f aca="false">_xlfn.IFNA(INDEX(PMTCT!$AV:$AV,MATCH($E163,PMTCT!$E:$E,0)),"")</f>
        <v/>
      </c>
      <c r="BR163" s="73" t="n">
        <f aca="false">_xlfn.IFNA(INDEX(TB!$R:$R,MATCH($E163,TB!$E:$E,0)),"")</f>
        <v>18480</v>
      </c>
      <c r="BS163" s="73" t="str">
        <f aca="false">_xlfn.IFNA(INDEX(VMMC!$AD:$AD,MATCH($E163,VMMC!$E:$E,0)),"")</f>
        <v/>
      </c>
      <c r="BT163" s="73" t="n">
        <f aca="false">IF(SUM($R163,$T163,$AN163,$AQ163,$AT163,$AW163,$AZ163,$BC163,$BF163,$BI163,$BL163,$BP163:$BS163)=0,"",SUM($R163,$T163,$AN163,$AQ163,$AT163,$AW163,$AZ163,$BC163,$BF163,$BI163,$BL163,$BP163:$BS163))</f>
        <v>45691</v>
      </c>
      <c r="BU163" s="73" t="n">
        <f aca="false">IF(OR(SUM($BT163)=0,SUM($BN163)=0),"",SUM($BT163,$BN163))</f>
        <v>-1901</v>
      </c>
      <c r="BV163" s="118" t="n">
        <f aca="false">IF(SUM($BU163)=0,"",SUM($BN163)/$BU163)</f>
        <v>25.035244608101</v>
      </c>
      <c r="BW163" s="73" t="n">
        <v>39</v>
      </c>
      <c r="BX163" s="118" t="n">
        <f aca="false">IF(OR($C163="01-04",$C163="05-09"),"",0%)</f>
        <v>0</v>
      </c>
      <c r="BY163" s="75" t="n">
        <f aca="false">IF(OR($C163="01-04",$C163="05-09",SUM($BW163)=0),"",ROUND($BW163*(1+$BX163),0))</f>
        <v>39</v>
      </c>
    </row>
    <row r="164" customFormat="false" ht="15" hidden="false" customHeight="false" outlineLevel="0" collapsed="false">
      <c r="A164" s="0" t="s">
        <v>147</v>
      </c>
      <c r="B164" s="0" t="s">
        <v>105</v>
      </c>
      <c r="C164" s="0" t="s">
        <v>77</v>
      </c>
      <c r="D164" s="0" t="s">
        <v>58</v>
      </c>
      <c r="E164" s="0" t="str">
        <f aca="false">B164&amp;"|"&amp;C164&amp;"|"&amp;D164</f>
        <v>Mohale's Hoek [#SNU] [#DREAMS] [YGI7vISD2kJ]|40-44|Male</v>
      </c>
      <c r="F164" s="118" t="n">
        <f aca="false">_xlfn.IFNA(INDEX(Cascade!$Y:$Y,MATCH($E164,Cascade!$E:$E,0)),"")</f>
        <v>0.633168927250308</v>
      </c>
      <c r="G164" s="73" t="n">
        <f aca="false">_xlfn.IFNA(INDEX(Cascade!$BD:$BD,MATCH($E164,Cascade!$E:$E,0)),"")</f>
        <v>21</v>
      </c>
      <c r="H164" s="73" t="n">
        <f aca="false">_xlfn.IFNA(INDEX(Cascade!$BE:$BE,MATCH($E164,Cascade!$E:$E,0)),"")</f>
        <v>6</v>
      </c>
      <c r="I164" s="73" t="str">
        <f aca="false">_xlfn.IFNA(INDEX(Cascade!$BF:$BF,MATCH($E164,Cascade!$E:$E,0)),"")</f>
        <v/>
      </c>
      <c r="J164" s="73" t="str">
        <f aca="false">_xlfn.IFNA(INDEX(Cascade!$BG:$BG,MATCH($E164,Cascade!$E:$E,0)),"")</f>
        <v/>
      </c>
      <c r="K164" s="73" t="n">
        <f aca="false">_xlfn.IFNA(INDEX(Cascade!$BH:$BH,MATCH($E164,Cascade!$E:$E,0)),"")</f>
        <v>-8742</v>
      </c>
      <c r="L164" s="73" t="str">
        <f aca="false">_xlfn.IFNA(INDEX(Cascade!$BI:$BI,MATCH($E164,Cascade!$E:$E,0)),"")</f>
        <v/>
      </c>
      <c r="M164" s="73" t="n">
        <f aca="false">_xlfn.IFNA(INDEX(Cascade!$BK:$BK,MATCH($E164,Cascade!$E:$E,0)),"")</f>
        <v>8757</v>
      </c>
      <c r="N164" s="118" t="n">
        <v>43</v>
      </c>
      <c r="O164" s="118" t="n">
        <v>10</v>
      </c>
      <c r="P164" s="118" t="n">
        <v>2</v>
      </c>
      <c r="Q164" s="75" t="n">
        <f aca="false">IF(OR(SUM($H164)=0,SUM($N164)=0,SUM($O164)=0),"",ROUND($H164*$N164,0))</f>
        <v>258</v>
      </c>
      <c r="R164" s="75" t="n">
        <f aca="false">IF(OR(SUM($Q164)=0,SUM($O164)=0),"",ROUND(SUM($Q164)/SUM($O164),0)-SUM($Q164))</f>
        <v>-232</v>
      </c>
      <c r="S164" s="75" t="n">
        <f aca="false">IF(SUM($H164)=0,"",SUM($H164)-SUM($Q164))</f>
        <v>-252</v>
      </c>
      <c r="T164" s="75" t="str">
        <f aca="false">IF(OR(SUM($S164)=0,$N164&gt;1,SUM($P164)&lt;=0),"",ROUND($S164/$P164,0)-$S164)</f>
        <v/>
      </c>
      <c r="U164" s="118" t="n">
        <f aca="false">IF(SUM($G164)&lt;=0,"",SUM($Q164,$S164)/$G164)</f>
        <v>0.285714285714286</v>
      </c>
      <c r="V164" s="118" t="n">
        <f aca="false">IF(OR(SUM($Q164)=0,SUM($G164)=0),"",SUM($Q164)/SUM($G164))</f>
        <v>12.2857142857143</v>
      </c>
      <c r="W164" s="118" t="n">
        <f aca="false">IF(OR(SUM($S164)=0,SUM($G164)=0),"",SUM($S164)/SUM($G164))</f>
        <v>-12</v>
      </c>
      <c r="X164" s="118" t="str">
        <f aca="false">IF(OR(SUM($G164)=0,SUM($I164)=0),"",SUM($I164)/SUM($G164))</f>
        <v/>
      </c>
      <c r="Y164" s="118" t="str">
        <f aca="false">IF(OR(SUM($G164)=0,SUM($J164)=0),"",SUM($J164)/SUM($G164))</f>
        <v/>
      </c>
      <c r="Z164" s="118" t="n">
        <f aca="false">IF(OR(SUM($G164)=0,SUM($K164)=0),"",SUM($K164)/SUM($G164))</f>
        <v>-416.285714285714</v>
      </c>
      <c r="AA164" s="118" t="str">
        <f aca="false">IF(OR(SUM($G164)=0,SUM($L164)=0),"",SUM($L164)/SUM($G164))</f>
        <v/>
      </c>
      <c r="AB164" s="118" t="n">
        <v>33</v>
      </c>
      <c r="AC164" s="118"/>
      <c r="AD164" s="118"/>
      <c r="AE164" s="118" t="n">
        <v>27</v>
      </c>
      <c r="AF164" s="118" t="n">
        <v>45</v>
      </c>
      <c r="AG164" s="118" t="n">
        <v>12</v>
      </c>
      <c r="AH164" s="118" t="n">
        <v>46</v>
      </c>
      <c r="AI164" s="118" t="n">
        <v>6</v>
      </c>
      <c r="AJ164" s="118" t="n">
        <v>27</v>
      </c>
      <c r="AK164" s="118" t="n">
        <f aca="false">IF(SUM($G164)&lt;=0,"",SUM($V164:$AJ164))</f>
        <v>-220</v>
      </c>
      <c r="AL164" s="118" t="n">
        <v>29</v>
      </c>
      <c r="AM164" s="75" t="n">
        <f aca="false">IF(OR(SUM($AB164)&lt;=0,SUM($G164)&lt;=0),"",ROUND($G164*$AB164,0))</f>
        <v>693</v>
      </c>
      <c r="AN164" s="75" t="n">
        <f aca="false">IF(SUM($AM164)&lt;=0,"",IF(SUM($AL164)&lt;=0,"ENTER VALID YIELD!",ROUND($AM164/$AL164,0)-$AM164))</f>
        <v>-669</v>
      </c>
      <c r="AO164" s="118"/>
      <c r="AP164" s="75" t="str">
        <f aca="false">IF(OR(SUM($AC164)&lt;=0,SUM($G164)&lt;=0),"",ROUND($G164*$AC164,0))</f>
        <v/>
      </c>
      <c r="AQ164" s="75" t="str">
        <f aca="false">IF(SUM($AP164)&lt;=0,"",IF(SUM($AO164)&lt;=0,"ENTER VALID YIELD!",ROUND($AP164/$AO164,0)-$AP164))</f>
        <v/>
      </c>
      <c r="AR164" s="118"/>
      <c r="AS164" s="75" t="str">
        <f aca="false">IF(OR(SUM($AD164)&lt;=0,SUM($G164)&lt;=0),"",ROUND($G164*$AD164,0))</f>
        <v/>
      </c>
      <c r="AT164" s="75" t="str">
        <f aca="false">IF(SUM($AS164)&lt;=0,"",IF(SUM($AR164)&lt;=0,"ENTER VALID YIELD!",ROUND($AS164/$AR164,0)-$AS164))</f>
        <v/>
      </c>
      <c r="AU164" s="118"/>
      <c r="AV164" s="75" t="n">
        <f aca="false">IF(OR(SUM($AE164)&lt;=0,SUM($G164)&lt;=0),"",ROUND($G164*$AE164,0))</f>
        <v>567</v>
      </c>
      <c r="AW164" s="75" t="str">
        <f aca="false">IF(SUM($AV164)&lt;=0,"",IF(SUM($AU164)&lt;=0,"ENTER VALID YIELD!",ROUND($AV164/$AU164,0)-$AV164))</f>
        <v>ENTER VALID YIELD!</v>
      </c>
      <c r="AX164" s="118"/>
      <c r="AY164" s="75" t="n">
        <f aca="false">IF(OR(SUM($AF164)&lt;=0,SUM($G164)&lt;=0),"",ROUND($G164*$AF164,0))</f>
        <v>945</v>
      </c>
      <c r="AZ164" s="75" t="str">
        <f aca="false">IF(SUM($AY164)&lt;=0,"",IF(SUM($AX164)&lt;=0,"ENTER VALID YIELD!",ROUND($AY164/$AX164,0)-$AY164))</f>
        <v>ENTER VALID YIELD!</v>
      </c>
      <c r="BA164" s="118" t="n">
        <v>34</v>
      </c>
      <c r="BB164" s="75" t="n">
        <f aca="false">IF(OR(SUM($AG164)&lt;=0,SUM($G164)&lt;=0),"",ROUND($G164*$AG164,0))</f>
        <v>252</v>
      </c>
      <c r="BC164" s="75" t="n">
        <f aca="false">IF(SUM($BB164)&lt;=0,"",IF(SUM($BA164)&lt;=0,"ENTER VALID YIELD!",ROUND($BB164/$BA164,0)-$BB164))</f>
        <v>-245</v>
      </c>
      <c r="BD164" s="118"/>
      <c r="BE164" s="75" t="n">
        <f aca="false">IF(OR(SUM($AH164)&lt;=0,SUM($G164)&lt;=0),"",ROUND($G164*$AH164,0))</f>
        <v>966</v>
      </c>
      <c r="BF164" s="75" t="str">
        <f aca="false">IF(SUM($BE164)&lt;=0,"",IF(SUM($BD164)&lt;=0,"ENTER VALID YIELD!",ROUND($BE164/$BD164,0)-$BE164))</f>
        <v>ENTER VALID YIELD!</v>
      </c>
      <c r="BG164" s="118"/>
      <c r="BH164" s="75" t="n">
        <f aca="false">IF(OR(SUM($AI164)&lt;=0,SUM($G164)&lt;=0),"",ROUND($G164*$AI164,0))</f>
        <v>126</v>
      </c>
      <c r="BI164" s="75" t="str">
        <f aca="false">IF(SUM($BH164)&lt;=0,"",IF(SUM($BG164)&lt;=0,"ENTER VALID YIELD!",ROUND($BH164/$BG164,0)-$BH164))</f>
        <v>ENTER VALID YIELD!</v>
      </c>
      <c r="BJ164" s="118" t="n">
        <v>10</v>
      </c>
      <c r="BK164" s="75" t="n">
        <f aca="false">IF(OR(SUM($AJ164)&lt;=0,SUM($G164)&lt;=0),"",ROUND($G164*$AJ164,0))</f>
        <v>567</v>
      </c>
      <c r="BL164" s="75" t="n">
        <f aca="false">IF(SUM($BK164)&lt;=0,"",IF(SUM($BJ164)&lt;=0,"ENTER VALID YIELD!",ROUND($BK164/$BJ164,0)-$BK164))</f>
        <v>-510</v>
      </c>
      <c r="BM164" s="73" t="n">
        <f aca="false">IF(SUM($G164)&lt;=0,"",$G164)</f>
        <v>21</v>
      </c>
      <c r="BN164" s="73" t="n">
        <f aca="false">IF(SUM($G164)&lt;=0,"",SUM($I164:$L164,$Q164,$S164,$AM164,$AP164,$AS164,$AV164,$AY164,$BB164,$BE164,$BH164,$BK164))</f>
        <v>-4620</v>
      </c>
      <c r="BO164" s="73" t="n">
        <f aca="false">IF(AND(SUM($BN164)&lt;=0,SUM($BM164)&lt;=0),"",SUM($BN164)-SUM($BM164))</f>
        <v>-4641</v>
      </c>
      <c r="BP164" s="73" t="str">
        <f aca="false">_xlfn.IFNA(INDEX(PMTCT!$AF:$AF,MATCH($E164,PMTCT!$E:$E,0)),"")</f>
        <v/>
      </c>
      <c r="BQ164" s="73" t="str">
        <f aca="false">_xlfn.IFNA(INDEX(PMTCT!$AV:$AV,MATCH($E164,PMTCT!$E:$E,0)),"")</f>
        <v/>
      </c>
      <c r="BR164" s="73" t="n">
        <f aca="false">_xlfn.IFNA(INDEX(TB!$R:$R,MATCH($E164,TB!$E:$E,0)),"")</f>
        <v>8460</v>
      </c>
      <c r="BS164" s="73" t="str">
        <f aca="false">_xlfn.IFNA(INDEX(VMMC!$AD:$AD,MATCH($E164,VMMC!$E:$E,0)),"")</f>
        <v/>
      </c>
      <c r="BT164" s="73" t="n">
        <f aca="false">IF(SUM($R164,$T164,$AN164,$AQ164,$AT164,$AW164,$AZ164,$BC164,$BF164,$BI164,$BL164,$BP164:$BS164)=0,"",SUM($R164,$T164,$AN164,$AQ164,$AT164,$AW164,$AZ164,$BC164,$BF164,$BI164,$BL164,$BP164:$BS164))</f>
        <v>6804</v>
      </c>
      <c r="BU164" s="73" t="n">
        <f aca="false">IF(OR(SUM($BT164)=0,SUM($BN164)=0),"",SUM($BT164,$BN164))</f>
        <v>2184</v>
      </c>
      <c r="BV164" s="118" t="n">
        <f aca="false">IF(SUM($BU164)=0,"",SUM($BN164)/$BU164)</f>
        <v>-2.11538461538462</v>
      </c>
      <c r="BW164" s="73" t="n">
        <v>21</v>
      </c>
      <c r="BX164" s="118" t="n">
        <f aca="false">IF(OR($C164="01-04",$C164="05-09"),"",0%)</f>
        <v>0</v>
      </c>
      <c r="BY164" s="75" t="n">
        <f aca="false">IF(OR($C164="01-04",$C164="05-09",SUM($BW164)=0),"",ROUND($BW164*(1+$BX164),0))</f>
        <v>21</v>
      </c>
    </row>
    <row r="165" customFormat="false" ht="15" hidden="false" customHeight="false" outlineLevel="0" collapsed="false">
      <c r="A165" s="0" t="s">
        <v>147</v>
      </c>
      <c r="B165" s="0" t="s">
        <v>105</v>
      </c>
      <c r="C165" s="0" t="s">
        <v>80</v>
      </c>
      <c r="D165" s="0" t="s">
        <v>56</v>
      </c>
      <c r="E165" s="0" t="str">
        <f aca="false">B165&amp;"|"&amp;C165&amp;"|"&amp;D165</f>
        <v>Mohale's Hoek [#SNU] [#DREAMS] [YGI7vISD2kJ]|45-49|Female</v>
      </c>
      <c r="F165" s="118" t="n">
        <f aca="false">_xlfn.IFNA(INDEX(Cascade!$Y:$Y,MATCH($E165,Cascade!$E:$E,0)),"")</f>
        <v>0.931664411366712</v>
      </c>
      <c r="G165" s="73" t="str">
        <f aca="false">_xlfn.IFNA(INDEX(Cascade!$BD:$BD,MATCH($E165,Cascade!$E:$E,0)),"")</f>
        <v/>
      </c>
      <c r="H165" s="73" t="str">
        <f aca="false">_xlfn.IFNA(INDEX(Cascade!$BE:$BE,MATCH($E165,Cascade!$E:$E,0)),"")</f>
        <v/>
      </c>
      <c r="I165" s="73" t="n">
        <f aca="false">_xlfn.IFNA(INDEX(Cascade!$BF:$BF,MATCH($E165,Cascade!$E:$E,0)),"")</f>
        <v>0</v>
      </c>
      <c r="J165" s="73" t="n">
        <f aca="false">_xlfn.IFNA(INDEX(Cascade!$BG:$BG,MATCH($E165,Cascade!$E:$E,0)),"")</f>
        <v>0</v>
      </c>
      <c r="K165" s="73" t="n">
        <f aca="false">_xlfn.IFNA(INDEX(Cascade!$BH:$BH,MATCH($E165,Cascade!$E:$E,0)),"")</f>
        <v>-0</v>
      </c>
      <c r="L165" s="73" t="str">
        <f aca="false">_xlfn.IFNA(INDEX(Cascade!$BI:$BI,MATCH($E165,Cascade!$E:$E,0)),"")</f>
        <v/>
      </c>
      <c r="M165" s="73" t="str">
        <f aca="false">_xlfn.IFNA(INDEX(Cascade!$BK:$BK,MATCH($E165,Cascade!$E:$E,0)),"")</f>
        <v/>
      </c>
      <c r="N165" s="118" t="n">
        <v>30</v>
      </c>
      <c r="O165" s="118" t="n">
        <v>37</v>
      </c>
      <c r="P165" s="118" t="n">
        <v>14</v>
      </c>
      <c r="Q165" s="75" t="str">
        <f aca="false">IF(OR(SUM($H165)=0,SUM($N165)=0,SUM($O165)=0),"",ROUND($H165*$N165,0))</f>
        <v/>
      </c>
      <c r="R165" s="75" t="str">
        <f aca="false">IF(OR(SUM($Q165)=0,SUM($O165)=0),"",ROUND(SUM($Q165)/SUM($O165),0)-SUM($Q165))</f>
        <v/>
      </c>
      <c r="S165" s="75" t="str">
        <f aca="false">IF(SUM($H165)=0,"",SUM($H165)-SUM($Q165))</f>
        <v/>
      </c>
      <c r="T165" s="75" t="str">
        <f aca="false">IF(OR(SUM($S165)=0,$N165&gt;1,SUM($P165)&lt;=0),"",ROUND($S165/$P165,0)-$S165)</f>
        <v/>
      </c>
      <c r="U165" s="118" t="str">
        <f aca="false">IF(SUM($G165)&lt;=0,"",SUM($Q165,$S165)/$G165)</f>
        <v/>
      </c>
      <c r="V165" s="118" t="str">
        <f aca="false">IF(OR(SUM($Q165)=0,SUM($G165)=0),"",SUM($Q165)/SUM($G165))</f>
        <v/>
      </c>
      <c r="W165" s="118" t="str">
        <f aca="false">IF(OR(SUM($S165)=0,SUM($G165)=0),"",SUM($S165)/SUM($G165))</f>
        <v/>
      </c>
      <c r="X165" s="118" t="str">
        <f aca="false">IF(OR(SUM($G165)=0,SUM($I165)=0),"",SUM($I165)/SUM($G165))</f>
        <v/>
      </c>
      <c r="Y165" s="118" t="str">
        <f aca="false">IF(OR(SUM($G165)=0,SUM($J165)=0),"",SUM($J165)/SUM($G165))</f>
        <v/>
      </c>
      <c r="Z165" s="118" t="str">
        <f aca="false">IF(OR(SUM($G165)=0,SUM($K165)=0),"",SUM($K165)/SUM($G165))</f>
        <v/>
      </c>
      <c r="AA165" s="118" t="str">
        <f aca="false">IF(OR(SUM($G165)=0,SUM($L165)=0),"",SUM($L165)/SUM($G165))</f>
        <v/>
      </c>
      <c r="AB165" s="118" t="n">
        <v>23</v>
      </c>
      <c r="AC165" s="118"/>
      <c r="AD165" s="118"/>
      <c r="AE165" s="118" t="n">
        <v>47</v>
      </c>
      <c r="AF165" s="118" t="n">
        <v>18</v>
      </c>
      <c r="AG165" s="118" t="n">
        <v>26</v>
      </c>
      <c r="AH165" s="118" t="n">
        <v>41</v>
      </c>
      <c r="AI165" s="118" t="n">
        <v>35</v>
      </c>
      <c r="AJ165" s="118" t="n">
        <v>18</v>
      </c>
      <c r="AK165" s="118" t="str">
        <f aca="false">IF(SUM($G165)&lt;=0,"",SUM($V165:$AJ165))</f>
        <v/>
      </c>
      <c r="AL165" s="118" t="n">
        <v>6</v>
      </c>
      <c r="AM165" s="75" t="str">
        <f aca="false">IF(OR(SUM($AB165)&lt;=0,SUM($G165)&lt;=0),"",ROUND($G165*$AB165,0))</f>
        <v/>
      </c>
      <c r="AN165" s="75" t="str">
        <f aca="false">IF(SUM($AM165)&lt;=0,"",IF(SUM($AL165)&lt;=0,"ENTER VALID YIELD!",ROUND($AM165/$AL165,0)-$AM165))</f>
        <v/>
      </c>
      <c r="AO165" s="118"/>
      <c r="AP165" s="75" t="str">
        <f aca="false">IF(OR(SUM($AC165)&lt;=0,SUM($G165)&lt;=0),"",ROUND($G165*$AC165,0))</f>
        <v/>
      </c>
      <c r="AQ165" s="75" t="str">
        <f aca="false">IF(SUM($AP165)&lt;=0,"",IF(SUM($AO165)&lt;=0,"ENTER VALID YIELD!",ROUND($AP165/$AO165,0)-$AP165))</f>
        <v/>
      </c>
      <c r="AR165" s="118"/>
      <c r="AS165" s="75" t="str">
        <f aca="false">IF(OR(SUM($AD165)&lt;=0,SUM($G165)&lt;=0),"",ROUND($G165*$AD165,0))</f>
        <v/>
      </c>
      <c r="AT165" s="75" t="str">
        <f aca="false">IF(SUM($AS165)&lt;=0,"",IF(SUM($AR165)&lt;=0,"ENTER VALID YIELD!",ROUND($AS165/$AR165,0)-$AS165))</f>
        <v/>
      </c>
      <c r="AU165" s="118"/>
      <c r="AV165" s="75" t="str">
        <f aca="false">IF(OR(SUM($AE165)&lt;=0,SUM($G165)&lt;=0),"",ROUND($G165*$AE165,0))</f>
        <v/>
      </c>
      <c r="AW165" s="75" t="str">
        <f aca="false">IF(SUM($AV165)&lt;=0,"",IF(SUM($AU165)&lt;=0,"ENTER VALID YIELD!",ROUND($AV165/$AU165,0)-$AV165))</f>
        <v/>
      </c>
      <c r="AX165" s="118"/>
      <c r="AY165" s="75" t="str">
        <f aca="false">IF(OR(SUM($AF165)&lt;=0,SUM($G165)&lt;=0),"",ROUND($G165*$AF165,0))</f>
        <v/>
      </c>
      <c r="AZ165" s="75" t="str">
        <f aca="false">IF(SUM($AY165)&lt;=0,"",IF(SUM($AX165)&lt;=0,"ENTER VALID YIELD!",ROUND($AY165/$AX165,0)-$AY165))</f>
        <v/>
      </c>
      <c r="BA165" s="118" t="n">
        <v>38</v>
      </c>
      <c r="BB165" s="75" t="str">
        <f aca="false">IF(OR(SUM($AG165)&lt;=0,SUM($G165)&lt;=0),"",ROUND($G165*$AG165,0))</f>
        <v/>
      </c>
      <c r="BC165" s="75" t="str">
        <f aca="false">IF(SUM($BB165)&lt;=0,"",IF(SUM($BA165)&lt;=0,"ENTER VALID YIELD!",ROUND($BB165/$BA165,0)-$BB165))</f>
        <v/>
      </c>
      <c r="BD165" s="118"/>
      <c r="BE165" s="75" t="str">
        <f aca="false">IF(OR(SUM($AH165)&lt;=0,SUM($G165)&lt;=0),"",ROUND($G165*$AH165,0))</f>
        <v/>
      </c>
      <c r="BF165" s="75" t="str">
        <f aca="false">IF(SUM($BE165)&lt;=0,"",IF(SUM($BD165)&lt;=0,"ENTER VALID YIELD!",ROUND($BE165/$BD165,0)-$BE165))</f>
        <v/>
      </c>
      <c r="BG165" s="118"/>
      <c r="BH165" s="75" t="str">
        <f aca="false">IF(OR(SUM($AI165)&lt;=0,SUM($G165)&lt;=0),"",ROUND($G165*$AI165,0))</f>
        <v/>
      </c>
      <c r="BI165" s="75" t="str">
        <f aca="false">IF(SUM($BH165)&lt;=0,"",IF(SUM($BG165)&lt;=0,"ENTER VALID YIELD!",ROUND($BH165/$BG165,0)-$BH165))</f>
        <v/>
      </c>
      <c r="BJ165" s="118" t="n">
        <v>10</v>
      </c>
      <c r="BK165" s="75" t="str">
        <f aca="false">IF(OR(SUM($AJ165)&lt;=0,SUM($G165)&lt;=0),"",ROUND($G165*$AJ165,0))</f>
        <v/>
      </c>
      <c r="BL165" s="75" t="str">
        <f aca="false">IF(SUM($BK165)&lt;=0,"",IF(SUM($BJ165)&lt;=0,"ENTER VALID YIELD!",ROUND($BK165/$BJ165,0)-$BK165))</f>
        <v/>
      </c>
      <c r="BM165" s="73" t="str">
        <f aca="false">IF(SUM($G165)&lt;=0,"",$G165)</f>
        <v/>
      </c>
      <c r="BN165" s="73" t="str">
        <f aca="false">IF(SUM($G165)&lt;=0,"",SUM($I165:$L165,$Q165,$S165,$AM165,$AP165,$AS165,$AV165,$AY165,$BB165,$BE165,$BH165,$BK165))</f>
        <v/>
      </c>
      <c r="BO165" s="73" t="str">
        <f aca="false">IF(AND(SUM($BN165)&lt;=0,SUM($BM165)&lt;=0),"",SUM($BN165)-SUM($BM165))</f>
        <v/>
      </c>
      <c r="BP165" s="73" t="n">
        <f aca="false">_xlfn.IFNA(INDEX(PMTCT!$AF:$AF,MATCH($E165,PMTCT!$E:$E,0)),"")</f>
        <v>36</v>
      </c>
      <c r="BQ165" s="73" t="n">
        <f aca="false">_xlfn.IFNA(INDEX(PMTCT!$AV:$AV,MATCH($E165,PMTCT!$E:$E,0)),"")</f>
        <v>36</v>
      </c>
      <c r="BR165" s="73" t="n">
        <f aca="false">_xlfn.IFNA(INDEX(TB!$R:$R,MATCH($E165,TB!$E:$E,0)),"")</f>
        <v>-540</v>
      </c>
      <c r="BS165" s="73" t="str">
        <f aca="false">_xlfn.IFNA(INDEX(VMMC!$AD:$AD,MATCH($E165,VMMC!$E:$E,0)),"")</f>
        <v/>
      </c>
      <c r="BT165" s="73" t="n">
        <f aca="false">IF(SUM($R165,$T165,$AN165,$AQ165,$AT165,$AW165,$AZ165,$BC165,$BF165,$BI165,$BL165,$BP165:$BS165)=0,"",SUM($R165,$T165,$AN165,$AQ165,$AT165,$AW165,$AZ165,$BC165,$BF165,$BI165,$BL165,$BP165:$BS165))</f>
        <v>-468</v>
      </c>
      <c r="BU165" s="73" t="str">
        <f aca="false">IF(OR(SUM($BT165)=0,SUM($BN165)=0),"",SUM($BT165,$BN165))</f>
        <v/>
      </c>
      <c r="BV165" s="118" t="str">
        <f aca="false">IF(SUM($BU165)=0,"",SUM($BN165)/$BU165)</f>
        <v/>
      </c>
      <c r="BW165" s="73" t="n">
        <v>25</v>
      </c>
      <c r="BX165" s="118" t="n">
        <f aca="false">IF(OR($C165="01-04",$C165="05-09"),"",0%)</f>
        <v>0</v>
      </c>
      <c r="BY165" s="75" t="n">
        <f aca="false">IF(OR($C165="01-04",$C165="05-09",SUM($BW165)=0),"",ROUND($BW165*(1+$BX165),0))</f>
        <v>25</v>
      </c>
    </row>
    <row r="166" customFormat="false" ht="15" hidden="false" customHeight="false" outlineLevel="0" collapsed="false">
      <c r="A166" s="0" t="s">
        <v>147</v>
      </c>
      <c r="B166" s="0" t="s">
        <v>105</v>
      </c>
      <c r="C166" s="0" t="s">
        <v>80</v>
      </c>
      <c r="D166" s="0" t="s">
        <v>58</v>
      </c>
      <c r="E166" s="0" t="str">
        <f aca="false">B166&amp;"|"&amp;C166&amp;"|"&amp;D166</f>
        <v>Mohale's Hoek [#SNU] [#DREAMS] [YGI7vISD2kJ]|45-49|Male</v>
      </c>
      <c r="F166" s="118" t="n">
        <f aca="false">_xlfn.IFNA(INDEX(Cascade!$Y:$Y,MATCH($E166,Cascade!$E:$E,0)),"")</f>
        <v>0.669415292353823</v>
      </c>
      <c r="G166" s="73" t="n">
        <f aca="false">_xlfn.IFNA(INDEX(Cascade!$BD:$BD,MATCH($E166,Cascade!$E:$E,0)),"")</f>
        <v>2</v>
      </c>
      <c r="H166" s="73" t="n">
        <f aca="false">_xlfn.IFNA(INDEX(Cascade!$BE:$BE,MATCH($E166,Cascade!$E:$E,0)),"")</f>
        <v>1</v>
      </c>
      <c r="I166" s="73" t="str">
        <f aca="false">_xlfn.IFNA(INDEX(Cascade!$BF:$BF,MATCH($E166,Cascade!$E:$E,0)),"")</f>
        <v/>
      </c>
      <c r="J166" s="73" t="str">
        <f aca="false">_xlfn.IFNA(INDEX(Cascade!$BG:$BG,MATCH($E166,Cascade!$E:$E,0)),"")</f>
        <v/>
      </c>
      <c r="K166" s="73" t="n">
        <f aca="false">_xlfn.IFNA(INDEX(Cascade!$BH:$BH,MATCH($E166,Cascade!$E:$E,0)),"")</f>
        <v>-27720</v>
      </c>
      <c r="L166" s="73" t="str">
        <f aca="false">_xlfn.IFNA(INDEX(Cascade!$BI:$BI,MATCH($E166,Cascade!$E:$E,0)),"")</f>
        <v/>
      </c>
      <c r="M166" s="73" t="n">
        <f aca="false">_xlfn.IFNA(INDEX(Cascade!$BK:$BK,MATCH($E166,Cascade!$E:$E,0)),"")</f>
        <v>27721</v>
      </c>
      <c r="N166" s="118" t="n">
        <v>5</v>
      </c>
      <c r="O166" s="118" t="n">
        <v>45</v>
      </c>
      <c r="P166" s="118" t="n">
        <v>48</v>
      </c>
      <c r="Q166" s="75" t="n">
        <f aca="false">IF(OR(SUM($H166)=0,SUM($N166)=0,SUM($O166)=0),"",ROUND($H166*$N166,0))</f>
        <v>5</v>
      </c>
      <c r="R166" s="75" t="n">
        <f aca="false">IF(OR(SUM($Q166)=0,SUM($O166)=0),"",ROUND(SUM($Q166)/SUM($O166),0)-SUM($Q166))</f>
        <v>-5</v>
      </c>
      <c r="S166" s="75" t="n">
        <f aca="false">IF(SUM($H166)=0,"",SUM($H166)-SUM($Q166))</f>
        <v>-4</v>
      </c>
      <c r="T166" s="75" t="str">
        <f aca="false">IF(OR(SUM($S166)=0,$N166&gt;1,SUM($P166)&lt;=0),"",ROUND($S166/$P166,0)-$S166)</f>
        <v/>
      </c>
      <c r="U166" s="118" t="n">
        <f aca="false">IF(SUM($G166)&lt;=0,"",SUM($Q166,$S166)/$G166)</f>
        <v>0.5</v>
      </c>
      <c r="V166" s="118" t="n">
        <f aca="false">IF(OR(SUM($Q166)=0,SUM($G166)=0),"",SUM($Q166)/SUM($G166))</f>
        <v>2.5</v>
      </c>
      <c r="W166" s="118" t="n">
        <f aca="false">IF(OR(SUM($S166)=0,SUM($G166)=0),"",SUM($S166)/SUM($G166))</f>
        <v>-2</v>
      </c>
      <c r="X166" s="118" t="str">
        <f aca="false">IF(OR(SUM($G166)=0,SUM($I166)=0),"",SUM($I166)/SUM($G166))</f>
        <v/>
      </c>
      <c r="Y166" s="118" t="str">
        <f aca="false">IF(OR(SUM($G166)=0,SUM($J166)=0),"",SUM($J166)/SUM($G166))</f>
        <v/>
      </c>
      <c r="Z166" s="118" t="n">
        <f aca="false">IF(OR(SUM($G166)=0,SUM($K166)=0),"",SUM($K166)/SUM($G166))</f>
        <v>-13860</v>
      </c>
      <c r="AA166" s="118" t="str">
        <f aca="false">IF(OR(SUM($G166)=0,SUM($L166)=0),"",SUM($L166)/SUM($G166))</f>
        <v/>
      </c>
      <c r="AB166" s="118" t="n">
        <v>46</v>
      </c>
      <c r="AC166" s="118"/>
      <c r="AD166" s="118"/>
      <c r="AE166" s="118" t="n">
        <v>41</v>
      </c>
      <c r="AF166" s="118" t="n">
        <v>42</v>
      </c>
      <c r="AG166" s="118" t="n">
        <v>4</v>
      </c>
      <c r="AH166" s="118" t="n">
        <v>44</v>
      </c>
      <c r="AI166" s="118" t="n">
        <v>2</v>
      </c>
      <c r="AJ166" s="118" t="n">
        <v>28</v>
      </c>
      <c r="AK166" s="118" t="n">
        <f aca="false">IF(SUM($G166)&lt;=0,"",SUM($V166:$AJ166))</f>
        <v>-13652.5</v>
      </c>
      <c r="AL166" s="118" t="n">
        <v>35</v>
      </c>
      <c r="AM166" s="75" t="n">
        <f aca="false">IF(OR(SUM($AB166)&lt;=0,SUM($G166)&lt;=0),"",ROUND($G166*$AB166,0))</f>
        <v>92</v>
      </c>
      <c r="AN166" s="75" t="n">
        <f aca="false">IF(SUM($AM166)&lt;=0,"",IF(SUM($AL166)&lt;=0,"ENTER VALID YIELD!",ROUND($AM166/$AL166,0)-$AM166))</f>
        <v>-89</v>
      </c>
      <c r="AO166" s="118"/>
      <c r="AP166" s="75" t="str">
        <f aca="false">IF(OR(SUM($AC166)&lt;=0,SUM($G166)&lt;=0),"",ROUND($G166*$AC166,0))</f>
        <v/>
      </c>
      <c r="AQ166" s="75" t="str">
        <f aca="false">IF(SUM($AP166)&lt;=0,"",IF(SUM($AO166)&lt;=0,"ENTER VALID YIELD!",ROUND($AP166/$AO166,0)-$AP166))</f>
        <v/>
      </c>
      <c r="AR166" s="118"/>
      <c r="AS166" s="75" t="str">
        <f aca="false">IF(OR(SUM($AD166)&lt;=0,SUM($G166)&lt;=0),"",ROUND($G166*$AD166,0))</f>
        <v/>
      </c>
      <c r="AT166" s="75" t="str">
        <f aca="false">IF(SUM($AS166)&lt;=0,"",IF(SUM($AR166)&lt;=0,"ENTER VALID YIELD!",ROUND($AS166/$AR166,0)-$AS166))</f>
        <v/>
      </c>
      <c r="AU166" s="118"/>
      <c r="AV166" s="75" t="n">
        <f aca="false">IF(OR(SUM($AE166)&lt;=0,SUM($G166)&lt;=0),"",ROUND($G166*$AE166,0))</f>
        <v>82</v>
      </c>
      <c r="AW166" s="75" t="str">
        <f aca="false">IF(SUM($AV166)&lt;=0,"",IF(SUM($AU166)&lt;=0,"ENTER VALID YIELD!",ROUND($AV166/$AU166,0)-$AV166))</f>
        <v>ENTER VALID YIELD!</v>
      </c>
      <c r="AX166" s="118"/>
      <c r="AY166" s="75" t="n">
        <f aca="false">IF(OR(SUM($AF166)&lt;=0,SUM($G166)&lt;=0),"",ROUND($G166*$AF166,0))</f>
        <v>84</v>
      </c>
      <c r="AZ166" s="75" t="str">
        <f aca="false">IF(SUM($AY166)&lt;=0,"",IF(SUM($AX166)&lt;=0,"ENTER VALID YIELD!",ROUND($AY166/$AX166,0)-$AY166))</f>
        <v>ENTER VALID YIELD!</v>
      </c>
      <c r="BA166" s="118" t="n">
        <v>37</v>
      </c>
      <c r="BB166" s="75" t="n">
        <f aca="false">IF(OR(SUM($AG166)&lt;=0,SUM($G166)&lt;=0),"",ROUND($G166*$AG166,0))</f>
        <v>8</v>
      </c>
      <c r="BC166" s="75" t="n">
        <f aca="false">IF(SUM($BB166)&lt;=0,"",IF(SUM($BA166)&lt;=0,"ENTER VALID YIELD!",ROUND($BB166/$BA166,0)-$BB166))</f>
        <v>-8</v>
      </c>
      <c r="BD166" s="118"/>
      <c r="BE166" s="75" t="n">
        <f aca="false">IF(OR(SUM($AH166)&lt;=0,SUM($G166)&lt;=0),"",ROUND($G166*$AH166,0))</f>
        <v>88</v>
      </c>
      <c r="BF166" s="75" t="str">
        <f aca="false">IF(SUM($BE166)&lt;=0,"",IF(SUM($BD166)&lt;=0,"ENTER VALID YIELD!",ROUND($BE166/$BD166,0)-$BE166))</f>
        <v>ENTER VALID YIELD!</v>
      </c>
      <c r="BG166" s="118"/>
      <c r="BH166" s="75" t="n">
        <f aca="false">IF(OR(SUM($AI166)&lt;=0,SUM($G166)&lt;=0),"",ROUND($G166*$AI166,0))</f>
        <v>4</v>
      </c>
      <c r="BI166" s="75" t="str">
        <f aca="false">IF(SUM($BH166)&lt;=0,"",IF(SUM($BG166)&lt;=0,"ENTER VALID YIELD!",ROUND($BH166/$BG166,0)-$BH166))</f>
        <v>ENTER VALID YIELD!</v>
      </c>
      <c r="BJ166" s="118"/>
      <c r="BK166" s="75" t="n">
        <f aca="false">IF(OR(SUM($AJ166)&lt;=0,SUM($G166)&lt;=0),"",ROUND($G166*$AJ166,0))</f>
        <v>56</v>
      </c>
      <c r="BL166" s="75" t="str">
        <f aca="false">IF(SUM($BK166)&lt;=0,"",IF(SUM($BJ166)&lt;=0,"ENTER VALID YIELD!",ROUND($BK166/$BJ166,0)-$BK166))</f>
        <v>ENTER VALID YIELD!</v>
      </c>
      <c r="BM166" s="73" t="n">
        <f aca="false">IF(SUM($G166)&lt;=0,"",$G166)</f>
        <v>2</v>
      </c>
      <c r="BN166" s="73" t="n">
        <f aca="false">IF(SUM($G166)&lt;=0,"",SUM($I166:$L166,$Q166,$S166,$AM166,$AP166,$AS166,$AV166,$AY166,$BB166,$BE166,$BH166,$BK166))</f>
        <v>-27305</v>
      </c>
      <c r="BO166" s="73" t="n">
        <f aca="false">IF(AND(SUM($BN166)&lt;=0,SUM($BM166)&lt;=0),"",SUM($BN166)-SUM($BM166))</f>
        <v>-27307</v>
      </c>
      <c r="BP166" s="73" t="str">
        <f aca="false">_xlfn.IFNA(INDEX(PMTCT!$AF:$AF,MATCH($E166,PMTCT!$E:$E,0)),"")</f>
        <v/>
      </c>
      <c r="BQ166" s="73" t="str">
        <f aca="false">_xlfn.IFNA(INDEX(PMTCT!$AV:$AV,MATCH($E166,PMTCT!$E:$E,0)),"")</f>
        <v/>
      </c>
      <c r="BR166" s="73" t="n">
        <f aca="false">_xlfn.IFNA(INDEX(TB!$R:$R,MATCH($E166,TB!$E:$E,0)),"")</f>
        <v>26928</v>
      </c>
      <c r="BS166" s="73" t="str">
        <f aca="false">_xlfn.IFNA(INDEX(VMMC!$AD:$AD,MATCH($E166,VMMC!$E:$E,0)),"")</f>
        <v/>
      </c>
      <c r="BT166" s="73" t="n">
        <f aca="false">IF(SUM($R166,$T166,$AN166,$AQ166,$AT166,$AW166,$AZ166,$BC166,$BF166,$BI166,$BL166,$BP166:$BS166)=0,"",SUM($R166,$T166,$AN166,$AQ166,$AT166,$AW166,$AZ166,$BC166,$BF166,$BI166,$BL166,$BP166:$BS166))</f>
        <v>26826</v>
      </c>
      <c r="BU166" s="73" t="n">
        <f aca="false">IF(OR(SUM($BT166)=0,SUM($BN166)=0),"",SUM($BT166,$BN166))</f>
        <v>-479</v>
      </c>
      <c r="BV166" s="118" t="n">
        <f aca="false">IF(SUM($BU166)=0,"",SUM($BN166)/$BU166)</f>
        <v>57.0041753653445</v>
      </c>
      <c r="BW166" s="73" t="n">
        <v>38</v>
      </c>
      <c r="BX166" s="118" t="n">
        <f aca="false">IF(OR($C166="01-04",$C166="05-09"),"",0%)</f>
        <v>0</v>
      </c>
      <c r="BY166" s="75" t="n">
        <f aca="false">IF(OR($C166="01-04",$C166="05-09",SUM($BW166)=0),"",ROUND($BW166*(1+$BX166),0))</f>
        <v>38</v>
      </c>
    </row>
    <row r="167" customFormat="false" ht="15" hidden="false" customHeight="false" outlineLevel="0" collapsed="false">
      <c r="A167" s="0" t="s">
        <v>147</v>
      </c>
      <c r="B167" s="0" t="s">
        <v>105</v>
      </c>
      <c r="C167" s="0" t="s">
        <v>86</v>
      </c>
      <c r="D167" s="0" t="s">
        <v>56</v>
      </c>
      <c r="E167" s="0" t="str">
        <f aca="false">B167&amp;"|"&amp;C167&amp;"|"&amp;D167</f>
        <v>Mohale's Hoek [#SNU] [#DREAMS] [YGI7vISD2kJ]|50+|Female</v>
      </c>
      <c r="F167" s="118" t="n">
        <f aca="false">_xlfn.IFNA(INDEX(Cascade!$Y:$Y,MATCH($E167,Cascade!$E:$E,0)),"")</f>
        <v>0.741988496302383</v>
      </c>
      <c r="G167" s="73" t="n">
        <f aca="false">_xlfn.IFNA(INDEX(Cascade!$BD:$BD,MATCH($E167,Cascade!$E:$E,0)),"")</f>
        <v>12</v>
      </c>
      <c r="H167" s="73" t="n">
        <f aca="false">_xlfn.IFNA(INDEX(Cascade!$BE:$BE,MATCH($E167,Cascade!$E:$E,0)),"")</f>
        <v>6</v>
      </c>
      <c r="I167" s="73" t="str">
        <f aca="false">_xlfn.IFNA(INDEX(Cascade!$BF:$BF,MATCH($E167,Cascade!$E:$E,0)),"")</f>
        <v/>
      </c>
      <c r="J167" s="73" t="str">
        <f aca="false">_xlfn.IFNA(INDEX(Cascade!$BG:$BG,MATCH($E167,Cascade!$E:$E,0)),"")</f>
        <v/>
      </c>
      <c r="K167" s="73" t="n">
        <f aca="false">_xlfn.IFNA(INDEX(Cascade!$BH:$BH,MATCH($E167,Cascade!$E:$E,0)),"")</f>
        <v>-19320</v>
      </c>
      <c r="L167" s="73" t="str">
        <f aca="false">_xlfn.IFNA(INDEX(Cascade!$BI:$BI,MATCH($E167,Cascade!$E:$E,0)),"")</f>
        <v/>
      </c>
      <c r="M167" s="73" t="n">
        <f aca="false">_xlfn.IFNA(INDEX(Cascade!$BK:$BK,MATCH($E167,Cascade!$E:$E,0)),"")</f>
        <v>19326</v>
      </c>
      <c r="N167" s="118" t="n">
        <v>45</v>
      </c>
      <c r="O167" s="118" t="n">
        <v>29</v>
      </c>
      <c r="P167" s="118" t="n">
        <v>34</v>
      </c>
      <c r="Q167" s="75" t="n">
        <f aca="false">IF(OR(SUM($H167)=0,SUM($N167)=0,SUM($O167)=0),"",ROUND($H167*$N167,0))</f>
        <v>270</v>
      </c>
      <c r="R167" s="75" t="n">
        <f aca="false">IF(OR(SUM($Q167)=0,SUM($O167)=0),"",ROUND(SUM($Q167)/SUM($O167),0)-SUM($Q167))</f>
        <v>-261</v>
      </c>
      <c r="S167" s="75" t="n">
        <f aca="false">IF(SUM($H167)=0,"",SUM($H167)-SUM($Q167))</f>
        <v>-264</v>
      </c>
      <c r="T167" s="75" t="str">
        <f aca="false">IF(OR(SUM($S167)=0,$N167&gt;1,SUM($P167)&lt;=0),"",ROUND($S167/$P167,0)-$S167)</f>
        <v/>
      </c>
      <c r="U167" s="118" t="n">
        <f aca="false">IF(SUM($G167)&lt;=0,"",SUM($Q167,$S167)/$G167)</f>
        <v>0.5</v>
      </c>
      <c r="V167" s="118" t="n">
        <f aca="false">IF(OR(SUM($Q167)=0,SUM($G167)=0),"",SUM($Q167)/SUM($G167))</f>
        <v>22.5</v>
      </c>
      <c r="W167" s="118" t="n">
        <f aca="false">IF(OR(SUM($S167)=0,SUM($G167)=0),"",SUM($S167)/SUM($G167))</f>
        <v>-22</v>
      </c>
      <c r="X167" s="118" t="str">
        <f aca="false">IF(OR(SUM($G167)=0,SUM($I167)=0),"",SUM($I167)/SUM($G167))</f>
        <v/>
      </c>
      <c r="Y167" s="118" t="str">
        <f aca="false">IF(OR(SUM($G167)=0,SUM($J167)=0),"",SUM($J167)/SUM($G167))</f>
        <v/>
      </c>
      <c r="Z167" s="118" t="n">
        <f aca="false">IF(OR(SUM($G167)=0,SUM($K167)=0),"",SUM($K167)/SUM($G167))</f>
        <v>-1610</v>
      </c>
      <c r="AA167" s="118" t="str">
        <f aca="false">IF(OR(SUM($G167)=0,SUM($L167)=0),"",SUM($L167)/SUM($G167))</f>
        <v/>
      </c>
      <c r="AB167" s="118" t="n">
        <v>4</v>
      </c>
      <c r="AC167" s="118"/>
      <c r="AD167" s="118"/>
      <c r="AE167" s="118" t="n">
        <v>13</v>
      </c>
      <c r="AF167" s="118" t="n">
        <v>42</v>
      </c>
      <c r="AG167" s="118" t="n">
        <v>3</v>
      </c>
      <c r="AH167" s="118" t="n">
        <v>3</v>
      </c>
      <c r="AI167" s="118" t="n">
        <v>32</v>
      </c>
      <c r="AJ167" s="118" t="n">
        <v>3</v>
      </c>
      <c r="AK167" s="118" t="n">
        <f aca="false">IF(SUM($G167)&lt;=0,"",SUM($V167:$AJ167))</f>
        <v>-1509.5</v>
      </c>
      <c r="AL167" s="118" t="n">
        <v>12</v>
      </c>
      <c r="AM167" s="75" t="n">
        <f aca="false">IF(OR(SUM($AB167)&lt;=0,SUM($G167)&lt;=0),"",ROUND($G167*$AB167,0))</f>
        <v>48</v>
      </c>
      <c r="AN167" s="75" t="n">
        <f aca="false">IF(SUM($AM167)&lt;=0,"",IF(SUM($AL167)&lt;=0,"ENTER VALID YIELD!",ROUND($AM167/$AL167,0)-$AM167))</f>
        <v>-44</v>
      </c>
      <c r="AO167" s="118"/>
      <c r="AP167" s="75" t="str">
        <f aca="false">IF(OR(SUM($AC167)&lt;=0,SUM($G167)&lt;=0),"",ROUND($G167*$AC167,0))</f>
        <v/>
      </c>
      <c r="AQ167" s="75" t="str">
        <f aca="false">IF(SUM($AP167)&lt;=0,"",IF(SUM($AO167)&lt;=0,"ENTER VALID YIELD!",ROUND($AP167/$AO167,0)-$AP167))</f>
        <v/>
      </c>
      <c r="AR167" s="118"/>
      <c r="AS167" s="75" t="str">
        <f aca="false">IF(OR(SUM($AD167)&lt;=0,SUM($G167)&lt;=0),"",ROUND($G167*$AD167,0))</f>
        <v/>
      </c>
      <c r="AT167" s="75" t="str">
        <f aca="false">IF(SUM($AS167)&lt;=0,"",IF(SUM($AR167)&lt;=0,"ENTER VALID YIELD!",ROUND($AS167/$AR167,0)-$AS167))</f>
        <v/>
      </c>
      <c r="AU167" s="118"/>
      <c r="AV167" s="75" t="n">
        <f aca="false">IF(OR(SUM($AE167)&lt;=0,SUM($G167)&lt;=0),"",ROUND($G167*$AE167,0))</f>
        <v>156</v>
      </c>
      <c r="AW167" s="75" t="str">
        <f aca="false">IF(SUM($AV167)&lt;=0,"",IF(SUM($AU167)&lt;=0,"ENTER VALID YIELD!",ROUND($AV167/$AU167,0)-$AV167))</f>
        <v>ENTER VALID YIELD!</v>
      </c>
      <c r="AX167" s="118"/>
      <c r="AY167" s="75" t="n">
        <f aca="false">IF(OR(SUM($AF167)&lt;=0,SUM($G167)&lt;=0),"",ROUND($G167*$AF167,0))</f>
        <v>504</v>
      </c>
      <c r="AZ167" s="75" t="str">
        <f aca="false">IF(SUM($AY167)&lt;=0,"",IF(SUM($AX167)&lt;=0,"ENTER VALID YIELD!",ROUND($AY167/$AX167,0)-$AY167))</f>
        <v>ENTER VALID YIELD!</v>
      </c>
      <c r="BA167" s="118" t="n">
        <v>5</v>
      </c>
      <c r="BB167" s="75" t="n">
        <f aca="false">IF(OR(SUM($AG167)&lt;=0,SUM($G167)&lt;=0),"",ROUND($G167*$AG167,0))</f>
        <v>36</v>
      </c>
      <c r="BC167" s="75" t="n">
        <f aca="false">IF(SUM($BB167)&lt;=0,"",IF(SUM($BA167)&lt;=0,"ENTER VALID YIELD!",ROUND($BB167/$BA167,0)-$BB167))</f>
        <v>-29</v>
      </c>
      <c r="BD167" s="118"/>
      <c r="BE167" s="75" t="n">
        <f aca="false">IF(OR(SUM($AH167)&lt;=0,SUM($G167)&lt;=0),"",ROUND($G167*$AH167,0))</f>
        <v>36</v>
      </c>
      <c r="BF167" s="75" t="str">
        <f aca="false">IF(SUM($BE167)&lt;=0,"",IF(SUM($BD167)&lt;=0,"ENTER VALID YIELD!",ROUND($BE167/$BD167,0)-$BE167))</f>
        <v>ENTER VALID YIELD!</v>
      </c>
      <c r="BG167" s="118" t="n">
        <v>10</v>
      </c>
      <c r="BH167" s="75" t="n">
        <f aca="false">IF(OR(SUM($AI167)&lt;=0,SUM($G167)&lt;=0),"",ROUND($G167*$AI167,0))</f>
        <v>384</v>
      </c>
      <c r="BI167" s="75" t="n">
        <f aca="false">IF(SUM($BH167)&lt;=0,"",IF(SUM($BG167)&lt;=0,"ENTER VALID YIELD!",ROUND($BH167/$BG167,0)-$BH167))</f>
        <v>-346</v>
      </c>
      <c r="BJ167" s="118" t="n">
        <v>34</v>
      </c>
      <c r="BK167" s="75" t="n">
        <f aca="false">IF(OR(SUM($AJ167)&lt;=0,SUM($G167)&lt;=0),"",ROUND($G167*$AJ167,0))</f>
        <v>36</v>
      </c>
      <c r="BL167" s="75" t="n">
        <f aca="false">IF(SUM($BK167)&lt;=0,"",IF(SUM($BJ167)&lt;=0,"ENTER VALID YIELD!",ROUND($BK167/$BJ167,0)-$BK167))</f>
        <v>-35</v>
      </c>
      <c r="BM167" s="73" t="n">
        <f aca="false">IF(SUM($G167)&lt;=0,"",$G167)</f>
        <v>12</v>
      </c>
      <c r="BN167" s="73" t="n">
        <f aca="false">IF(SUM($G167)&lt;=0,"",SUM($I167:$L167,$Q167,$S167,$AM167,$AP167,$AS167,$AV167,$AY167,$BB167,$BE167,$BH167,$BK167))</f>
        <v>-18114</v>
      </c>
      <c r="BO167" s="73" t="n">
        <f aca="false">IF(AND(SUM($BN167)&lt;=0,SUM($BM167)&lt;=0),"",SUM($BN167)-SUM($BM167))</f>
        <v>-18126</v>
      </c>
      <c r="BP167" s="73" t="str">
        <f aca="false">_xlfn.IFNA(INDEX(PMTCT!$AF:$AF,MATCH($E167,PMTCT!$E:$E,0)),"")</f>
        <v/>
      </c>
      <c r="BQ167" s="73" t="str">
        <f aca="false">_xlfn.IFNA(INDEX(PMTCT!$AV:$AV,MATCH($E167,PMTCT!$E:$E,0)),"")</f>
        <v/>
      </c>
      <c r="BR167" s="73" t="n">
        <f aca="false">_xlfn.IFNA(INDEX(TB!$R:$R,MATCH($E167,TB!$E:$E,0)),"")</f>
        <v>18900</v>
      </c>
      <c r="BS167" s="73" t="str">
        <f aca="false">_xlfn.IFNA(INDEX(VMMC!$AD:$AD,MATCH($E167,VMMC!$E:$E,0)),"")</f>
        <v/>
      </c>
      <c r="BT167" s="73" t="n">
        <f aca="false">IF(SUM($R167,$T167,$AN167,$AQ167,$AT167,$AW167,$AZ167,$BC167,$BF167,$BI167,$BL167,$BP167:$BS167)=0,"",SUM($R167,$T167,$AN167,$AQ167,$AT167,$AW167,$AZ167,$BC167,$BF167,$BI167,$BL167,$BP167:$BS167))</f>
        <v>18185</v>
      </c>
      <c r="BU167" s="73" t="n">
        <f aca="false">IF(OR(SUM($BT167)=0,SUM($BN167)=0),"",SUM($BT167,$BN167))</f>
        <v>71</v>
      </c>
      <c r="BV167" s="118" t="n">
        <f aca="false">IF(SUM($BU167)=0,"",SUM($BN167)/$BU167)</f>
        <v>-255.12676056338</v>
      </c>
      <c r="BW167" s="73" t="n">
        <v>21</v>
      </c>
      <c r="BX167" s="118" t="n">
        <f aca="false">IF(OR($C167="01-04",$C167="05-09"),"",0%)</f>
        <v>0</v>
      </c>
      <c r="BY167" s="75" t="n">
        <f aca="false">IF(OR($C167="01-04",$C167="05-09",SUM($BW167)=0),"",ROUND($BW167*(1+$BX167),0))</f>
        <v>21</v>
      </c>
    </row>
    <row r="168" customFormat="false" ht="15" hidden="false" customHeight="false" outlineLevel="0" collapsed="false">
      <c r="A168" s="0" t="s">
        <v>147</v>
      </c>
      <c r="B168" s="0" t="s">
        <v>105</v>
      </c>
      <c r="C168" s="0" t="s">
        <v>86</v>
      </c>
      <c r="D168" s="0" t="s">
        <v>58</v>
      </c>
      <c r="E168" s="0" t="str">
        <f aca="false">B168&amp;"|"&amp;C168&amp;"|"&amp;D168</f>
        <v>Mohale's Hoek [#SNU] [#DREAMS] [YGI7vISD2kJ]|50+|Male</v>
      </c>
      <c r="F168" s="118" t="n">
        <f aca="false">_xlfn.IFNA(INDEX(Cascade!$Y:$Y,MATCH($E168,Cascade!$E:$E,0)),"")</f>
        <v>0.654029766919405</v>
      </c>
      <c r="G168" s="73" t="n">
        <f aca="false">_xlfn.IFNA(INDEX(Cascade!$BD:$BD,MATCH($E168,Cascade!$E:$E,0)),"")</f>
        <v>8</v>
      </c>
      <c r="H168" s="73" t="n">
        <f aca="false">_xlfn.IFNA(INDEX(Cascade!$BE:$BE,MATCH($E168,Cascade!$E:$E,0)),"")</f>
        <v>2</v>
      </c>
      <c r="I168" s="73" t="str">
        <f aca="false">_xlfn.IFNA(INDEX(Cascade!$BF:$BF,MATCH($E168,Cascade!$E:$E,0)),"")</f>
        <v/>
      </c>
      <c r="J168" s="73" t="str">
        <f aca="false">_xlfn.IFNA(INDEX(Cascade!$BG:$BG,MATCH($E168,Cascade!$E:$E,0)),"")</f>
        <v/>
      </c>
      <c r="K168" s="73" t="n">
        <f aca="false">_xlfn.IFNA(INDEX(Cascade!$BH:$BH,MATCH($E168,Cascade!$E:$E,0)),"")</f>
        <v>0</v>
      </c>
      <c r="L168" s="73" t="str">
        <f aca="false">_xlfn.IFNA(INDEX(Cascade!$BI:$BI,MATCH($E168,Cascade!$E:$E,0)),"")</f>
        <v/>
      </c>
      <c r="M168" s="73" t="n">
        <f aca="false">_xlfn.IFNA(INDEX(Cascade!$BK:$BK,MATCH($E168,Cascade!$E:$E,0)),"")</f>
        <v>6</v>
      </c>
      <c r="N168" s="118" t="n">
        <v>1</v>
      </c>
      <c r="O168" s="118" t="n">
        <v>32</v>
      </c>
      <c r="P168" s="118" t="n">
        <v>7</v>
      </c>
      <c r="Q168" s="75" t="n">
        <f aca="false">IF(OR(SUM($H168)=0,SUM($N168)=0,SUM($O168)=0),"",ROUND($H168*$N168,0))</f>
        <v>2</v>
      </c>
      <c r="R168" s="75" t="n">
        <f aca="false">IF(OR(SUM($Q168)=0,SUM($O168)=0),"",ROUND(SUM($Q168)/SUM($O168),0)-SUM($Q168))</f>
        <v>-2</v>
      </c>
      <c r="S168" s="75" t="n">
        <f aca="false">IF(SUM($H168)=0,"",SUM($H168)-SUM($Q168))</f>
        <v>0</v>
      </c>
      <c r="T168" s="75" t="str">
        <f aca="false">IF(OR(SUM($S168)=0,$N168&gt;1,SUM($P168)&lt;=0),"",ROUND($S168/$P168,0)-$S168)</f>
        <v/>
      </c>
      <c r="U168" s="118" t="n">
        <f aca="false">IF(SUM($G168)&lt;=0,"",SUM($Q168,$S168)/$G168)</f>
        <v>0.25</v>
      </c>
      <c r="V168" s="118" t="n">
        <f aca="false">IF(OR(SUM($Q168)=0,SUM($G168)=0),"",SUM($Q168)/SUM($G168))</f>
        <v>0.25</v>
      </c>
      <c r="W168" s="118" t="str">
        <f aca="false">IF(OR(SUM($S168)=0,SUM($G168)=0),"",SUM($S168)/SUM($G168))</f>
        <v/>
      </c>
      <c r="X168" s="118" t="str">
        <f aca="false">IF(OR(SUM($G168)=0,SUM($I168)=0),"",SUM($I168)/SUM($G168))</f>
        <v/>
      </c>
      <c r="Y168" s="118" t="str">
        <f aca="false">IF(OR(SUM($G168)=0,SUM($J168)=0),"",SUM($J168)/SUM($G168))</f>
        <v/>
      </c>
      <c r="Z168" s="118" t="str">
        <f aca="false">IF(OR(SUM($G168)=0,SUM($K168)=0),"",SUM($K168)/SUM($G168))</f>
        <v/>
      </c>
      <c r="AA168" s="118" t="str">
        <f aca="false">IF(OR(SUM($G168)=0,SUM($L168)=0),"",SUM($L168)/SUM($G168))</f>
        <v/>
      </c>
      <c r="AB168" s="118" t="n">
        <v>39</v>
      </c>
      <c r="AC168" s="118"/>
      <c r="AD168" s="118"/>
      <c r="AE168" s="118" t="n">
        <v>20</v>
      </c>
      <c r="AF168" s="118" t="n">
        <v>31</v>
      </c>
      <c r="AG168" s="118" t="n">
        <v>47</v>
      </c>
      <c r="AH168" s="118" t="n">
        <v>50</v>
      </c>
      <c r="AI168" s="118" t="n">
        <v>18</v>
      </c>
      <c r="AJ168" s="118" t="n">
        <v>39</v>
      </c>
      <c r="AK168" s="118" t="n">
        <f aca="false">IF(SUM($G168)&lt;=0,"",SUM($V168:$AJ168))</f>
        <v>244.25</v>
      </c>
      <c r="AL168" s="118" t="n">
        <v>3</v>
      </c>
      <c r="AM168" s="75" t="n">
        <f aca="false">IF(OR(SUM($AB168)&lt;=0,SUM($G168)&lt;=0),"",ROUND($G168*$AB168,0))</f>
        <v>312</v>
      </c>
      <c r="AN168" s="75" t="n">
        <f aca="false">IF(SUM($AM168)&lt;=0,"",IF(SUM($AL168)&lt;=0,"ENTER VALID YIELD!",ROUND($AM168/$AL168,0)-$AM168))</f>
        <v>-208</v>
      </c>
      <c r="AO168" s="118"/>
      <c r="AP168" s="75" t="str">
        <f aca="false">IF(OR(SUM($AC168)&lt;=0,SUM($G168)&lt;=0),"",ROUND($G168*$AC168,0))</f>
        <v/>
      </c>
      <c r="AQ168" s="75" t="str">
        <f aca="false">IF(SUM($AP168)&lt;=0,"",IF(SUM($AO168)&lt;=0,"ENTER VALID YIELD!",ROUND($AP168/$AO168,0)-$AP168))</f>
        <v/>
      </c>
      <c r="AR168" s="118"/>
      <c r="AS168" s="75" t="str">
        <f aca="false">IF(OR(SUM($AD168)&lt;=0,SUM($G168)&lt;=0),"",ROUND($G168*$AD168,0))</f>
        <v/>
      </c>
      <c r="AT168" s="75" t="str">
        <f aca="false">IF(SUM($AS168)&lt;=0,"",IF(SUM($AR168)&lt;=0,"ENTER VALID YIELD!",ROUND($AS168/$AR168,0)-$AS168))</f>
        <v/>
      </c>
      <c r="AU168" s="118"/>
      <c r="AV168" s="75" t="n">
        <f aca="false">IF(OR(SUM($AE168)&lt;=0,SUM($G168)&lt;=0),"",ROUND($G168*$AE168,0))</f>
        <v>160</v>
      </c>
      <c r="AW168" s="75" t="str">
        <f aca="false">IF(SUM($AV168)&lt;=0,"",IF(SUM($AU168)&lt;=0,"ENTER VALID YIELD!",ROUND($AV168/$AU168,0)-$AV168))</f>
        <v>ENTER VALID YIELD!</v>
      </c>
      <c r="AX168" s="118"/>
      <c r="AY168" s="75" t="n">
        <f aca="false">IF(OR(SUM($AF168)&lt;=0,SUM($G168)&lt;=0),"",ROUND($G168*$AF168,0))</f>
        <v>248</v>
      </c>
      <c r="AZ168" s="75" t="str">
        <f aca="false">IF(SUM($AY168)&lt;=0,"",IF(SUM($AX168)&lt;=0,"ENTER VALID YIELD!",ROUND($AY168/$AX168,0)-$AY168))</f>
        <v>ENTER VALID YIELD!</v>
      </c>
      <c r="BA168" s="118" t="n">
        <v>31</v>
      </c>
      <c r="BB168" s="75" t="n">
        <f aca="false">IF(OR(SUM($AG168)&lt;=0,SUM($G168)&lt;=0),"",ROUND($G168*$AG168,0))</f>
        <v>376</v>
      </c>
      <c r="BC168" s="75" t="n">
        <f aca="false">IF(SUM($BB168)&lt;=0,"",IF(SUM($BA168)&lt;=0,"ENTER VALID YIELD!",ROUND($BB168/$BA168,0)-$BB168))</f>
        <v>-364</v>
      </c>
      <c r="BD168" s="118"/>
      <c r="BE168" s="75" t="n">
        <f aca="false">IF(OR(SUM($AH168)&lt;=0,SUM($G168)&lt;=0),"",ROUND($G168*$AH168,0))</f>
        <v>400</v>
      </c>
      <c r="BF168" s="75" t="str">
        <f aca="false">IF(SUM($BE168)&lt;=0,"",IF(SUM($BD168)&lt;=0,"ENTER VALID YIELD!",ROUND($BE168/$BD168,0)-$BE168))</f>
        <v>ENTER VALID YIELD!</v>
      </c>
      <c r="BG168" s="118" t="n">
        <v>39</v>
      </c>
      <c r="BH168" s="75" t="n">
        <f aca="false">IF(OR(SUM($AI168)&lt;=0,SUM($G168)&lt;=0),"",ROUND($G168*$AI168,0))</f>
        <v>144</v>
      </c>
      <c r="BI168" s="75" t="n">
        <f aca="false">IF(SUM($BH168)&lt;=0,"",IF(SUM($BG168)&lt;=0,"ENTER VALID YIELD!",ROUND($BH168/$BG168,0)-$BH168))</f>
        <v>-140</v>
      </c>
      <c r="BJ168" s="118" t="n">
        <v>34</v>
      </c>
      <c r="BK168" s="75" t="n">
        <f aca="false">IF(OR(SUM($AJ168)&lt;=0,SUM($G168)&lt;=0),"",ROUND($G168*$AJ168,0))</f>
        <v>312</v>
      </c>
      <c r="BL168" s="75" t="n">
        <f aca="false">IF(SUM($BK168)&lt;=0,"",IF(SUM($BJ168)&lt;=0,"ENTER VALID YIELD!",ROUND($BK168/$BJ168,0)-$BK168))</f>
        <v>-303</v>
      </c>
      <c r="BM168" s="73" t="n">
        <f aca="false">IF(SUM($G168)&lt;=0,"",$G168)</f>
        <v>8</v>
      </c>
      <c r="BN168" s="73" t="n">
        <f aca="false">IF(SUM($G168)&lt;=0,"",SUM($I168:$L168,$Q168,$S168,$AM168,$AP168,$AS168,$AV168,$AY168,$BB168,$BE168,$BH168,$BK168))</f>
        <v>1954</v>
      </c>
      <c r="BO168" s="73" t="n">
        <f aca="false">IF(AND(SUM($BN168)&lt;=0,SUM($BM168)&lt;=0),"",SUM($BN168)-SUM($BM168))</f>
        <v>1946</v>
      </c>
      <c r="BP168" s="73" t="str">
        <f aca="false">_xlfn.IFNA(INDEX(PMTCT!$AF:$AF,MATCH($E168,PMTCT!$E:$E,0)),"")</f>
        <v/>
      </c>
      <c r="BQ168" s="73" t="str">
        <f aca="false">_xlfn.IFNA(INDEX(PMTCT!$AV:$AV,MATCH($E168,PMTCT!$E:$E,0)),"")</f>
        <v/>
      </c>
      <c r="BR168" s="73" t="n">
        <f aca="false">_xlfn.IFNA(INDEX(TB!$R:$R,MATCH($E168,TB!$E:$E,0)),"")</f>
        <v>0</v>
      </c>
      <c r="BS168" s="73" t="str">
        <f aca="false">_xlfn.IFNA(INDEX(VMMC!$AD:$AD,MATCH($E168,VMMC!$E:$E,0)),"")</f>
        <v/>
      </c>
      <c r="BT168" s="73" t="n">
        <f aca="false">IF(SUM($R168,$T168,$AN168,$AQ168,$AT168,$AW168,$AZ168,$BC168,$BF168,$BI168,$BL168,$BP168:$BS168)=0,"",SUM($R168,$T168,$AN168,$AQ168,$AT168,$AW168,$AZ168,$BC168,$BF168,$BI168,$BL168,$BP168:$BS168))</f>
        <v>-1017</v>
      </c>
      <c r="BU168" s="73" t="n">
        <f aca="false">IF(OR(SUM($BT168)=0,SUM($BN168)=0),"",SUM($BT168,$BN168))</f>
        <v>937</v>
      </c>
      <c r="BV168" s="118" t="n">
        <f aca="false">IF(SUM($BU168)=0,"",SUM($BN168)/$BU168)</f>
        <v>2.08537886872999</v>
      </c>
      <c r="BW168" s="73" t="n">
        <v>31</v>
      </c>
      <c r="BX168" s="118" t="n">
        <f aca="false">IF(OR($C168="01-04",$C168="05-09"),"",0%)</f>
        <v>0</v>
      </c>
      <c r="BY168" s="75" t="n">
        <f aca="false">IF(OR($C168="01-04",$C168="05-09",SUM($BW168)=0),"",ROUND($BW168*(1+$BX168),0))</f>
        <v>31</v>
      </c>
    </row>
    <row r="169" customFormat="false" ht="15" hidden="false" customHeight="false" outlineLevel="0" collapsed="false">
      <c r="A169" s="0" t="s">
        <v>148</v>
      </c>
      <c r="B169" s="0" t="s">
        <v>113</v>
      </c>
      <c r="C169" s="0" t="s">
        <v>54</v>
      </c>
      <c r="D169" s="0" t="s">
        <v>56</v>
      </c>
      <c r="E169" s="0" t="str">
        <f aca="false">B169&amp;"|"&amp;C169&amp;"|"&amp;D169</f>
        <v>Mokhotlong [#SNU] [tjhYqc1MlVo]|01-04|Female</v>
      </c>
      <c r="F169" s="118" t="n">
        <f aca="false">_xlfn.IFNA(INDEX(Cascade!$Y:$Y,MATCH($E169,Cascade!$E:$E,0)),"")</f>
        <v>0.4375</v>
      </c>
      <c r="G169" s="73" t="n">
        <f aca="false">_xlfn.IFNA(INDEX(Cascade!$BD:$BD,MATCH($E169,Cascade!$E:$E,0)),"")</f>
        <v>13</v>
      </c>
      <c r="H169" s="73" t="n">
        <f aca="false">_xlfn.IFNA(INDEX(Cascade!$BE:$BE,MATCH($E169,Cascade!$E:$E,0)),"")</f>
        <v>4</v>
      </c>
      <c r="I169" s="73" t="str">
        <f aca="false">_xlfn.IFNA(INDEX(Cascade!$BF:$BF,MATCH($E169,Cascade!$E:$E,0)),"")</f>
        <v/>
      </c>
      <c r="J169" s="73" t="str">
        <f aca="false">_xlfn.IFNA(INDEX(Cascade!$BG:$BG,MATCH($E169,Cascade!$E:$E,0)),"")</f>
        <v/>
      </c>
      <c r="K169" s="73" t="n">
        <f aca="false">_xlfn.IFNA(INDEX(Cascade!$BH:$BH,MATCH($E169,Cascade!$E:$E,0)),"")</f>
        <v>0</v>
      </c>
      <c r="L169" s="73" t="str">
        <f aca="false">_xlfn.IFNA(INDEX(Cascade!$BI:$BI,MATCH($E169,Cascade!$E:$E,0)),"")</f>
        <v/>
      </c>
      <c r="M169" s="73" t="n">
        <f aca="false">_xlfn.IFNA(INDEX(Cascade!$BK:$BK,MATCH($E169,Cascade!$E:$E,0)),"")</f>
        <v>9</v>
      </c>
      <c r="N169" s="118"/>
      <c r="O169" s="118"/>
      <c r="P169" s="118"/>
      <c r="Q169" s="75" t="str">
        <f aca="false">IF(OR(SUM($H169)=0,SUM($N169)=0,SUM($O169)=0),"",ROUND($H169*$N169,0))</f>
        <v/>
      </c>
      <c r="R169" s="75" t="str">
        <f aca="false">IF(OR(SUM($Q169)=0,SUM($O169)=0),"",ROUND(SUM($Q169)/SUM($O169),0)-SUM($Q169))</f>
        <v/>
      </c>
      <c r="S169" s="75" t="n">
        <f aca="false">IF(SUM($H169)=0,"",SUM($H169)-SUM($Q169))</f>
        <v>4</v>
      </c>
      <c r="T169" s="75" t="str">
        <f aca="false">IF(OR(SUM($S169)=0,$N169&gt;1,SUM($P169)&lt;=0),"",ROUND($S169/$P169,0)-$S169)</f>
        <v/>
      </c>
      <c r="U169" s="118" t="n">
        <f aca="false">IF(SUM($G169)&lt;=0,"",SUM($Q169,$S169)/$G169)</f>
        <v>0.307692307692308</v>
      </c>
      <c r="V169" s="118" t="str">
        <f aca="false">IF(OR(SUM($Q169)=0,SUM($G169)=0),"",SUM($Q169)/SUM($G169))</f>
        <v/>
      </c>
      <c r="W169" s="118" t="n">
        <f aca="false">IF(OR(SUM($S169)=0,SUM($G169)=0),"",SUM($S169)/SUM($G169))</f>
        <v>0.307692307692308</v>
      </c>
      <c r="X169" s="118" t="str">
        <f aca="false">IF(OR(SUM($G169)=0,SUM($I169)=0),"",SUM($I169)/SUM($G169))</f>
        <v/>
      </c>
      <c r="Y169" s="118" t="str">
        <f aca="false">IF(OR(SUM($G169)=0,SUM($J169)=0),"",SUM($J169)/SUM($G169))</f>
        <v/>
      </c>
      <c r="Z169" s="118" t="str">
        <f aca="false">IF(OR(SUM($G169)=0,SUM($K169)=0),"",SUM($K169)/SUM($G169))</f>
        <v/>
      </c>
      <c r="AA169" s="118" t="str">
        <f aca="false">IF(OR(SUM($G169)=0,SUM($L169)=0),"",SUM($L169)/SUM($G169))</f>
        <v/>
      </c>
      <c r="AB169" s="118" t="n">
        <v>11</v>
      </c>
      <c r="AC169" s="118" t="n">
        <v>6</v>
      </c>
      <c r="AD169" s="118" t="n">
        <v>32</v>
      </c>
      <c r="AE169" s="118" t="n">
        <v>24</v>
      </c>
      <c r="AF169" s="118" t="n">
        <v>49</v>
      </c>
      <c r="AG169" s="118" t="n">
        <v>47</v>
      </c>
      <c r="AH169" s="118" t="n">
        <v>22</v>
      </c>
      <c r="AI169" s="118" t="n">
        <v>8</v>
      </c>
      <c r="AJ169" s="118" t="n">
        <v>27</v>
      </c>
      <c r="AK169" s="118" t="n">
        <f aca="false">IF(SUM($G169)&lt;=0,"",SUM($V169:$AJ169))</f>
        <v>226.307692307692</v>
      </c>
      <c r="AL169" s="118"/>
      <c r="AM169" s="75" t="n">
        <f aca="false">IF(OR(SUM($AB169)&lt;=0,SUM($G169)&lt;=0),"",ROUND($G169*$AB169,0))</f>
        <v>143</v>
      </c>
      <c r="AN169" s="75" t="str">
        <f aca="false">IF(SUM($AM169)&lt;=0,"",IF(SUM($AL169)&lt;=0,"ENTER VALID YIELD!",ROUND($AM169/$AL169,0)-$AM169))</f>
        <v>ENTER VALID YIELD!</v>
      </c>
      <c r="AO169" s="118"/>
      <c r="AP169" s="75" t="n">
        <f aca="false">IF(OR(SUM($AC169)&lt;=0,SUM($G169)&lt;=0),"",ROUND($G169*$AC169,0))</f>
        <v>78</v>
      </c>
      <c r="AQ169" s="75" t="str">
        <f aca="false">IF(SUM($AP169)&lt;=0,"",IF(SUM($AO169)&lt;=0,"ENTER VALID YIELD!",ROUND($AP169/$AO169,0)-$AP169))</f>
        <v>ENTER VALID YIELD!</v>
      </c>
      <c r="AR169" s="118"/>
      <c r="AS169" s="75" t="n">
        <f aca="false">IF(OR(SUM($AD169)&lt;=0,SUM($G169)&lt;=0),"",ROUND($G169*$AD169,0))</f>
        <v>416</v>
      </c>
      <c r="AT169" s="75" t="str">
        <f aca="false">IF(SUM($AS169)&lt;=0,"",IF(SUM($AR169)&lt;=0,"ENTER VALID YIELD!",ROUND($AS169/$AR169,0)-$AS169))</f>
        <v>ENTER VALID YIELD!</v>
      </c>
      <c r="AU169" s="118"/>
      <c r="AV169" s="75" t="n">
        <f aca="false">IF(OR(SUM($AE169)&lt;=0,SUM($G169)&lt;=0),"",ROUND($G169*$AE169,0))</f>
        <v>312</v>
      </c>
      <c r="AW169" s="75" t="str">
        <f aca="false">IF(SUM($AV169)&lt;=0,"",IF(SUM($AU169)&lt;=0,"ENTER VALID YIELD!",ROUND($AV169/$AU169,0)-$AV169))</f>
        <v>ENTER VALID YIELD!</v>
      </c>
      <c r="AX169" s="118"/>
      <c r="AY169" s="75" t="n">
        <f aca="false">IF(OR(SUM($AF169)&lt;=0,SUM($G169)&lt;=0),"",ROUND($G169*$AF169,0))</f>
        <v>637</v>
      </c>
      <c r="AZ169" s="75" t="str">
        <f aca="false">IF(SUM($AY169)&lt;=0,"",IF(SUM($AX169)&lt;=0,"ENTER VALID YIELD!",ROUND($AY169/$AX169,0)-$AY169))</f>
        <v>ENTER VALID YIELD!</v>
      </c>
      <c r="BA169" s="118" t="n">
        <v>31</v>
      </c>
      <c r="BB169" s="75" t="n">
        <f aca="false">IF(OR(SUM($AG169)&lt;=0,SUM($G169)&lt;=0),"",ROUND($G169*$AG169,0))</f>
        <v>611</v>
      </c>
      <c r="BC169" s="75" t="n">
        <f aca="false">IF(SUM($BB169)&lt;=0,"",IF(SUM($BA169)&lt;=0,"ENTER VALID YIELD!",ROUND($BB169/$BA169,0)-$BB169))</f>
        <v>-591</v>
      </c>
      <c r="BD169" s="118"/>
      <c r="BE169" s="75" t="n">
        <f aca="false">IF(OR(SUM($AH169)&lt;=0,SUM($G169)&lt;=0),"",ROUND($G169*$AH169,0))</f>
        <v>286</v>
      </c>
      <c r="BF169" s="75" t="str">
        <f aca="false">IF(SUM($BE169)&lt;=0,"",IF(SUM($BD169)&lt;=0,"ENTER VALID YIELD!",ROUND($BE169/$BD169,0)-$BE169))</f>
        <v>ENTER VALID YIELD!</v>
      </c>
      <c r="BG169" s="118"/>
      <c r="BH169" s="75" t="n">
        <f aca="false">IF(OR(SUM($AI169)&lt;=0,SUM($G169)&lt;=0),"",ROUND($G169*$AI169,0))</f>
        <v>104</v>
      </c>
      <c r="BI169" s="75" t="str">
        <f aca="false">IF(SUM($BH169)&lt;=0,"",IF(SUM($BG169)&lt;=0,"ENTER VALID YIELD!",ROUND($BH169/$BG169,0)-$BH169))</f>
        <v>ENTER VALID YIELD!</v>
      </c>
      <c r="BJ169" s="118"/>
      <c r="BK169" s="75" t="n">
        <f aca="false">IF(OR(SUM($AJ169)&lt;=0,SUM($G169)&lt;=0),"",ROUND($G169*$AJ169,0))</f>
        <v>351</v>
      </c>
      <c r="BL169" s="75" t="str">
        <f aca="false">IF(SUM($BK169)&lt;=0,"",IF(SUM($BJ169)&lt;=0,"ENTER VALID YIELD!",ROUND($BK169/$BJ169,0)-$BK169))</f>
        <v>ENTER VALID YIELD!</v>
      </c>
      <c r="BM169" s="73" t="n">
        <f aca="false">IF(SUM($G169)&lt;=0,"",$G169)</f>
        <v>13</v>
      </c>
      <c r="BN169" s="73" t="n">
        <f aca="false">IF(SUM($G169)&lt;=0,"",SUM($I169:$L169,$Q169,$S169,$AM169,$AP169,$AS169,$AV169,$AY169,$BB169,$BE169,$BH169,$BK169))</f>
        <v>2942</v>
      </c>
      <c r="BO169" s="73" t="n">
        <f aca="false">IF(AND(SUM($BN169)&lt;=0,SUM($BM169)&lt;=0),"",SUM($BN169)-SUM($BM169))</f>
        <v>2929</v>
      </c>
      <c r="BP169" s="73" t="str">
        <f aca="false">_xlfn.IFNA(INDEX(PMTCT!$AF:$AF,MATCH($E169,PMTCT!$E:$E,0)),"")</f>
        <v/>
      </c>
      <c r="BQ169" s="73" t="str">
        <f aca="false">_xlfn.IFNA(INDEX(PMTCT!$AV:$AV,MATCH($E169,PMTCT!$E:$E,0)),"")</f>
        <v/>
      </c>
      <c r="BR169" s="73" t="n">
        <f aca="false">_xlfn.IFNA(INDEX(TB!$R:$R,MATCH($E169,TB!$E:$E,0)),"")</f>
        <v>26</v>
      </c>
      <c r="BS169" s="73" t="str">
        <f aca="false">_xlfn.IFNA(INDEX(VMMC!$AD:$AD,MATCH($E169,VMMC!$E:$E,0)),"")</f>
        <v/>
      </c>
      <c r="BT169" s="73" t="n">
        <f aca="false">IF(SUM($R169,$T169,$AN169,$AQ169,$AT169,$AW169,$AZ169,$BC169,$BF169,$BI169,$BL169,$BP169:$BS169)=0,"",SUM($R169,$T169,$AN169,$AQ169,$AT169,$AW169,$AZ169,$BC169,$BF169,$BI169,$BL169,$BP169:$BS169))</f>
        <v>-565</v>
      </c>
      <c r="BU169" s="73" t="n">
        <f aca="false">IF(OR(SUM($BT169)=0,SUM($BN169)=0),"",SUM($BT169,$BN169))</f>
        <v>2377</v>
      </c>
      <c r="BV169" s="118" t="n">
        <f aca="false">IF(SUM($BU169)=0,"",SUM($BN169)/$BU169)</f>
        <v>1.23769457299117</v>
      </c>
      <c r="BW169" s="73"/>
      <c r="BX169" s="118" t="str">
        <f aca="false">IF(OR($C169="01-04",$C169="05-09"),"",0%)</f>
        <v/>
      </c>
      <c r="BY169" s="75" t="str">
        <f aca="false">IF(OR($C169="01-04",$C169="05-09",SUM($BW169)=0),"",ROUND($BW169*(1+$BX169),0))</f>
        <v/>
      </c>
    </row>
    <row r="170" customFormat="false" ht="15" hidden="false" customHeight="false" outlineLevel="0" collapsed="false">
      <c r="A170" s="0" t="s">
        <v>148</v>
      </c>
      <c r="B170" s="0" t="s">
        <v>113</v>
      </c>
      <c r="C170" s="0" t="s">
        <v>54</v>
      </c>
      <c r="D170" s="0" t="s">
        <v>58</v>
      </c>
      <c r="E170" s="0" t="str">
        <f aca="false">B170&amp;"|"&amp;C170&amp;"|"&amp;D170</f>
        <v>Mokhotlong [#SNU] [tjhYqc1MlVo]|01-04|Male</v>
      </c>
      <c r="F170" s="118" t="n">
        <f aca="false">_xlfn.IFNA(INDEX(Cascade!$Y:$Y,MATCH($E170,Cascade!$E:$E,0)),"")</f>
        <v>0.78125</v>
      </c>
      <c r="G170" s="73" t="n">
        <f aca="false">_xlfn.IFNA(INDEX(Cascade!$BD:$BD,MATCH($E170,Cascade!$E:$E,0)),"")</f>
        <v>4</v>
      </c>
      <c r="H170" s="73" t="n">
        <f aca="false">_xlfn.IFNA(INDEX(Cascade!$BE:$BE,MATCH($E170,Cascade!$E:$E,0)),"")</f>
        <v>2</v>
      </c>
      <c r="I170" s="73" t="str">
        <f aca="false">_xlfn.IFNA(INDEX(Cascade!$BF:$BF,MATCH($E170,Cascade!$E:$E,0)),"")</f>
        <v/>
      </c>
      <c r="J170" s="73" t="str">
        <f aca="false">_xlfn.IFNA(INDEX(Cascade!$BG:$BG,MATCH($E170,Cascade!$E:$E,0)),"")</f>
        <v/>
      </c>
      <c r="K170" s="73" t="n">
        <f aca="false">_xlfn.IFNA(INDEX(Cascade!$BH:$BH,MATCH($E170,Cascade!$E:$E,0)),"")</f>
        <v>0</v>
      </c>
      <c r="L170" s="73" t="str">
        <f aca="false">_xlfn.IFNA(INDEX(Cascade!$BI:$BI,MATCH($E170,Cascade!$E:$E,0)),"")</f>
        <v/>
      </c>
      <c r="M170" s="73" t="n">
        <f aca="false">_xlfn.IFNA(INDEX(Cascade!$BK:$BK,MATCH($E170,Cascade!$E:$E,0)),"")</f>
        <v>2</v>
      </c>
      <c r="N170" s="118"/>
      <c r="O170" s="118"/>
      <c r="P170" s="118"/>
      <c r="Q170" s="75" t="str">
        <f aca="false">IF(OR(SUM($H170)=0,SUM($N170)=0,SUM($O170)=0),"",ROUND($H170*$N170,0))</f>
        <v/>
      </c>
      <c r="R170" s="75" t="str">
        <f aca="false">IF(OR(SUM($Q170)=0,SUM($O170)=0),"",ROUND(SUM($Q170)/SUM($O170),0)-SUM($Q170))</f>
        <v/>
      </c>
      <c r="S170" s="75" t="n">
        <f aca="false">IF(SUM($H170)=0,"",SUM($H170)-SUM($Q170))</f>
        <v>2</v>
      </c>
      <c r="T170" s="75" t="str">
        <f aca="false">IF(OR(SUM($S170)=0,$N170&gt;1,SUM($P170)&lt;=0),"",ROUND($S170/$P170,0)-$S170)</f>
        <v/>
      </c>
      <c r="U170" s="118" t="n">
        <f aca="false">IF(SUM($G170)&lt;=0,"",SUM($Q170,$S170)/$G170)</f>
        <v>0.5</v>
      </c>
      <c r="V170" s="118" t="str">
        <f aca="false">IF(OR(SUM($Q170)=0,SUM($G170)=0),"",SUM($Q170)/SUM($G170))</f>
        <v/>
      </c>
      <c r="W170" s="118" t="n">
        <f aca="false">IF(OR(SUM($S170)=0,SUM($G170)=0),"",SUM($S170)/SUM($G170))</f>
        <v>0.5</v>
      </c>
      <c r="X170" s="118" t="str">
        <f aca="false">IF(OR(SUM($G170)=0,SUM($I170)=0),"",SUM($I170)/SUM($G170))</f>
        <v/>
      </c>
      <c r="Y170" s="118" t="str">
        <f aca="false">IF(OR(SUM($G170)=0,SUM($J170)=0),"",SUM($J170)/SUM($G170))</f>
        <v/>
      </c>
      <c r="Z170" s="118" t="str">
        <f aca="false">IF(OR(SUM($G170)=0,SUM($K170)=0),"",SUM($K170)/SUM($G170))</f>
        <v/>
      </c>
      <c r="AA170" s="118" t="str">
        <f aca="false">IF(OR(SUM($G170)=0,SUM($L170)=0),"",SUM($L170)/SUM($G170))</f>
        <v/>
      </c>
      <c r="AB170" s="118" t="n">
        <v>26</v>
      </c>
      <c r="AC170" s="118" t="n">
        <v>49</v>
      </c>
      <c r="AD170" s="118" t="n">
        <v>49</v>
      </c>
      <c r="AE170" s="118" t="n">
        <v>7</v>
      </c>
      <c r="AF170" s="118" t="n">
        <v>44</v>
      </c>
      <c r="AG170" s="118" t="n">
        <v>8</v>
      </c>
      <c r="AH170" s="118" t="n">
        <v>18</v>
      </c>
      <c r="AI170" s="118" t="n">
        <v>32</v>
      </c>
      <c r="AJ170" s="118" t="n">
        <v>1</v>
      </c>
      <c r="AK170" s="118" t="n">
        <f aca="false">IF(SUM($G170)&lt;=0,"",SUM($V170:$AJ170))</f>
        <v>234.5</v>
      </c>
      <c r="AL170" s="118"/>
      <c r="AM170" s="75" t="n">
        <f aca="false">IF(OR(SUM($AB170)&lt;=0,SUM($G170)&lt;=0),"",ROUND($G170*$AB170,0))</f>
        <v>104</v>
      </c>
      <c r="AN170" s="75" t="str">
        <f aca="false">IF(SUM($AM170)&lt;=0,"",IF(SUM($AL170)&lt;=0,"ENTER VALID YIELD!",ROUND($AM170/$AL170,0)-$AM170))</f>
        <v>ENTER VALID YIELD!</v>
      </c>
      <c r="AO170" s="118"/>
      <c r="AP170" s="75" t="n">
        <f aca="false">IF(OR(SUM($AC170)&lt;=0,SUM($G170)&lt;=0),"",ROUND($G170*$AC170,0))</f>
        <v>196</v>
      </c>
      <c r="AQ170" s="75" t="str">
        <f aca="false">IF(SUM($AP170)&lt;=0,"",IF(SUM($AO170)&lt;=0,"ENTER VALID YIELD!",ROUND($AP170/$AO170,0)-$AP170))</f>
        <v>ENTER VALID YIELD!</v>
      </c>
      <c r="AR170" s="118"/>
      <c r="AS170" s="75" t="n">
        <f aca="false">IF(OR(SUM($AD170)&lt;=0,SUM($G170)&lt;=0),"",ROUND($G170*$AD170,0))</f>
        <v>196</v>
      </c>
      <c r="AT170" s="75" t="str">
        <f aca="false">IF(SUM($AS170)&lt;=0,"",IF(SUM($AR170)&lt;=0,"ENTER VALID YIELD!",ROUND($AS170/$AR170,0)-$AS170))</f>
        <v>ENTER VALID YIELD!</v>
      </c>
      <c r="AU170" s="118"/>
      <c r="AV170" s="75" t="n">
        <f aca="false">IF(OR(SUM($AE170)&lt;=0,SUM($G170)&lt;=0),"",ROUND($G170*$AE170,0))</f>
        <v>28</v>
      </c>
      <c r="AW170" s="75" t="str">
        <f aca="false">IF(SUM($AV170)&lt;=0,"",IF(SUM($AU170)&lt;=0,"ENTER VALID YIELD!",ROUND($AV170/$AU170,0)-$AV170))</f>
        <v>ENTER VALID YIELD!</v>
      </c>
      <c r="AX170" s="118"/>
      <c r="AY170" s="75" t="n">
        <f aca="false">IF(OR(SUM($AF170)&lt;=0,SUM($G170)&lt;=0),"",ROUND($G170*$AF170,0))</f>
        <v>176</v>
      </c>
      <c r="AZ170" s="75" t="str">
        <f aca="false">IF(SUM($AY170)&lt;=0,"",IF(SUM($AX170)&lt;=0,"ENTER VALID YIELD!",ROUND($AY170/$AX170,0)-$AY170))</f>
        <v>ENTER VALID YIELD!</v>
      </c>
      <c r="BA170" s="118" t="n">
        <v>18</v>
      </c>
      <c r="BB170" s="75" t="n">
        <f aca="false">IF(OR(SUM($AG170)&lt;=0,SUM($G170)&lt;=0),"",ROUND($G170*$AG170,0))</f>
        <v>32</v>
      </c>
      <c r="BC170" s="75" t="n">
        <f aca="false">IF(SUM($BB170)&lt;=0,"",IF(SUM($BA170)&lt;=0,"ENTER VALID YIELD!",ROUND($BB170/$BA170,0)-$BB170))</f>
        <v>-30</v>
      </c>
      <c r="BD170" s="118"/>
      <c r="BE170" s="75" t="n">
        <f aca="false">IF(OR(SUM($AH170)&lt;=0,SUM($G170)&lt;=0),"",ROUND($G170*$AH170,0))</f>
        <v>72</v>
      </c>
      <c r="BF170" s="75" t="str">
        <f aca="false">IF(SUM($BE170)&lt;=0,"",IF(SUM($BD170)&lt;=0,"ENTER VALID YIELD!",ROUND($BE170/$BD170,0)-$BE170))</f>
        <v>ENTER VALID YIELD!</v>
      </c>
      <c r="BG170" s="118"/>
      <c r="BH170" s="75" t="n">
        <f aca="false">IF(OR(SUM($AI170)&lt;=0,SUM($G170)&lt;=0),"",ROUND($G170*$AI170,0))</f>
        <v>128</v>
      </c>
      <c r="BI170" s="75" t="str">
        <f aca="false">IF(SUM($BH170)&lt;=0,"",IF(SUM($BG170)&lt;=0,"ENTER VALID YIELD!",ROUND($BH170/$BG170,0)-$BH170))</f>
        <v>ENTER VALID YIELD!</v>
      </c>
      <c r="BJ170" s="118"/>
      <c r="BK170" s="75" t="n">
        <f aca="false">IF(OR(SUM($AJ170)&lt;=0,SUM($G170)&lt;=0),"",ROUND($G170*$AJ170,0))</f>
        <v>4</v>
      </c>
      <c r="BL170" s="75" t="str">
        <f aca="false">IF(SUM($BK170)&lt;=0,"",IF(SUM($BJ170)&lt;=0,"ENTER VALID YIELD!",ROUND($BK170/$BJ170,0)-$BK170))</f>
        <v>ENTER VALID YIELD!</v>
      </c>
      <c r="BM170" s="73" t="n">
        <f aca="false">IF(SUM($G170)&lt;=0,"",$G170)</f>
        <v>4</v>
      </c>
      <c r="BN170" s="73" t="n">
        <f aca="false">IF(SUM($G170)&lt;=0,"",SUM($I170:$L170,$Q170,$S170,$AM170,$AP170,$AS170,$AV170,$AY170,$BB170,$BE170,$BH170,$BK170))</f>
        <v>938</v>
      </c>
      <c r="BO170" s="73" t="n">
        <f aca="false">IF(AND(SUM($BN170)&lt;=0,SUM($BM170)&lt;=0),"",SUM($BN170)-SUM($BM170))</f>
        <v>934</v>
      </c>
      <c r="BP170" s="73" t="str">
        <f aca="false">_xlfn.IFNA(INDEX(PMTCT!$AF:$AF,MATCH($E170,PMTCT!$E:$E,0)),"")</f>
        <v/>
      </c>
      <c r="BQ170" s="73" t="str">
        <f aca="false">_xlfn.IFNA(INDEX(PMTCT!$AV:$AV,MATCH($E170,PMTCT!$E:$E,0)),"")</f>
        <v/>
      </c>
      <c r="BR170" s="73" t="n">
        <f aca="false">_xlfn.IFNA(INDEX(TB!$R:$R,MATCH($E170,TB!$E:$E,0)),"")</f>
        <v>30</v>
      </c>
      <c r="BS170" s="73" t="str">
        <f aca="false">_xlfn.IFNA(INDEX(VMMC!$AD:$AD,MATCH($E170,VMMC!$E:$E,0)),"")</f>
        <v/>
      </c>
      <c r="BT170" s="73" t="str">
        <f aca="false">IF(SUM($R170,$T170,$AN170,$AQ170,$AT170,$AW170,$AZ170,$BC170,$BF170,$BI170,$BL170,$BP170:$BS170)=0,"",SUM($R170,$T170,$AN170,$AQ170,$AT170,$AW170,$AZ170,$BC170,$BF170,$BI170,$BL170,$BP170:$BS170))</f>
        <v/>
      </c>
      <c r="BU170" s="73" t="str">
        <f aca="false">IF(OR(SUM($BT170)=0,SUM($BN170)=0),"",SUM($BT170,$BN170))</f>
        <v/>
      </c>
      <c r="BV170" s="118" t="str">
        <f aca="false">IF(SUM($BU170)=0,"",SUM($BN170)/$BU170)</f>
        <v/>
      </c>
      <c r="BW170" s="73"/>
      <c r="BX170" s="118" t="str">
        <f aca="false">IF(OR($C170="01-04",$C170="05-09"),"",0%)</f>
        <v/>
      </c>
      <c r="BY170" s="75" t="str">
        <f aca="false">IF(OR($C170="01-04",$C170="05-09",SUM($BW170)=0),"",ROUND($BW170*(1+$BX170),0))</f>
        <v/>
      </c>
    </row>
    <row r="171" customFormat="false" ht="15" hidden="false" customHeight="false" outlineLevel="0" collapsed="false">
      <c r="A171" s="0" t="s">
        <v>148</v>
      </c>
      <c r="B171" s="0" t="s">
        <v>113</v>
      </c>
      <c r="C171" s="0" t="s">
        <v>83</v>
      </c>
      <c r="D171" s="0" t="s">
        <v>56</v>
      </c>
      <c r="E171" s="0" t="str">
        <f aca="false">B171&amp;"|"&amp;C171&amp;"|"&amp;D171</f>
        <v>Mokhotlong [#SNU] [tjhYqc1MlVo]|05-09|Female</v>
      </c>
      <c r="F171" s="118" t="n">
        <f aca="false">_xlfn.IFNA(INDEX(Cascade!$Y:$Y,MATCH($E171,Cascade!$E:$E,0)),"")</f>
        <v>0.565656565656566</v>
      </c>
      <c r="G171" s="73" t="n">
        <f aca="false">_xlfn.IFNA(INDEX(Cascade!$BD:$BD,MATCH($E171,Cascade!$E:$E,0)),"")</f>
        <v>12</v>
      </c>
      <c r="H171" s="73" t="n">
        <f aca="false">_xlfn.IFNA(INDEX(Cascade!$BE:$BE,MATCH($E171,Cascade!$E:$E,0)),"")</f>
        <v>4</v>
      </c>
      <c r="I171" s="73" t="str">
        <f aca="false">_xlfn.IFNA(INDEX(Cascade!$BF:$BF,MATCH($E171,Cascade!$E:$E,0)),"")</f>
        <v/>
      </c>
      <c r="J171" s="73" t="str">
        <f aca="false">_xlfn.IFNA(INDEX(Cascade!$BG:$BG,MATCH($E171,Cascade!$E:$E,0)),"")</f>
        <v/>
      </c>
      <c r="K171" s="73" t="n">
        <f aca="false">_xlfn.IFNA(INDEX(Cascade!$BH:$BH,MATCH($E171,Cascade!$E:$E,0)),"")</f>
        <v>0</v>
      </c>
      <c r="L171" s="73" t="str">
        <f aca="false">_xlfn.IFNA(INDEX(Cascade!$BI:$BI,MATCH($E171,Cascade!$E:$E,0)),"")</f>
        <v/>
      </c>
      <c r="M171" s="73" t="n">
        <f aca="false">_xlfn.IFNA(INDEX(Cascade!$BK:$BK,MATCH($E171,Cascade!$E:$E,0)),"")</f>
        <v>8</v>
      </c>
      <c r="N171" s="118"/>
      <c r="O171" s="118"/>
      <c r="P171" s="118"/>
      <c r="Q171" s="75" t="str">
        <f aca="false">IF(OR(SUM($H171)=0,SUM($N171)=0,SUM($O171)=0),"",ROUND($H171*$N171,0))</f>
        <v/>
      </c>
      <c r="R171" s="75" t="str">
        <f aca="false">IF(OR(SUM($Q171)=0,SUM($O171)=0),"",ROUND(SUM($Q171)/SUM($O171),0)-SUM($Q171))</f>
        <v/>
      </c>
      <c r="S171" s="75" t="n">
        <f aca="false">IF(SUM($H171)=0,"",SUM($H171)-SUM($Q171))</f>
        <v>4</v>
      </c>
      <c r="T171" s="75" t="str">
        <f aca="false">IF(OR(SUM($S171)=0,$N171&gt;1,SUM($P171)&lt;=0),"",ROUND($S171/$P171,0)-$S171)</f>
        <v/>
      </c>
      <c r="U171" s="118" t="n">
        <f aca="false">IF(SUM($G171)&lt;=0,"",SUM($Q171,$S171)/$G171)</f>
        <v>0.333333333333333</v>
      </c>
      <c r="V171" s="118" t="str">
        <f aca="false">IF(OR(SUM($Q171)=0,SUM($G171)=0),"",SUM($Q171)/SUM($G171))</f>
        <v/>
      </c>
      <c r="W171" s="118" t="n">
        <f aca="false">IF(OR(SUM($S171)=0,SUM($G171)=0),"",SUM($S171)/SUM($G171))</f>
        <v>0.333333333333333</v>
      </c>
      <c r="X171" s="118" t="str">
        <f aca="false">IF(OR(SUM($G171)=0,SUM($I171)=0),"",SUM($I171)/SUM($G171))</f>
        <v/>
      </c>
      <c r="Y171" s="118" t="str">
        <f aca="false">IF(OR(SUM($G171)=0,SUM($J171)=0),"",SUM($J171)/SUM($G171))</f>
        <v/>
      </c>
      <c r="Z171" s="118" t="str">
        <f aca="false">IF(OR(SUM($G171)=0,SUM($K171)=0),"",SUM($K171)/SUM($G171))</f>
        <v/>
      </c>
      <c r="AA171" s="118" t="str">
        <f aca="false">IF(OR(SUM($G171)=0,SUM($L171)=0),"",SUM($L171)/SUM($G171))</f>
        <v/>
      </c>
      <c r="AB171" s="118" t="n">
        <v>6</v>
      </c>
      <c r="AC171" s="118"/>
      <c r="AD171" s="118"/>
      <c r="AE171" s="118" t="n">
        <v>9</v>
      </c>
      <c r="AF171" s="118" t="n">
        <v>45</v>
      </c>
      <c r="AG171" s="118" t="n">
        <v>10</v>
      </c>
      <c r="AH171" s="118" t="n">
        <v>26</v>
      </c>
      <c r="AI171" s="118" t="n">
        <v>30</v>
      </c>
      <c r="AJ171" s="118" t="n">
        <v>14</v>
      </c>
      <c r="AK171" s="118" t="n">
        <f aca="false">IF(SUM($G171)&lt;=0,"",SUM($V171:$AJ171))</f>
        <v>140.333333333333</v>
      </c>
      <c r="AL171" s="118"/>
      <c r="AM171" s="75" t="n">
        <f aca="false">IF(OR(SUM($AB171)&lt;=0,SUM($G171)&lt;=0),"",ROUND($G171*$AB171,0))</f>
        <v>72</v>
      </c>
      <c r="AN171" s="75" t="str">
        <f aca="false">IF(SUM($AM171)&lt;=0,"",IF(SUM($AL171)&lt;=0,"ENTER VALID YIELD!",ROUND($AM171/$AL171,0)-$AM171))</f>
        <v>ENTER VALID YIELD!</v>
      </c>
      <c r="AO171" s="118"/>
      <c r="AP171" s="75" t="str">
        <f aca="false">IF(OR(SUM($AC171)&lt;=0,SUM($G171)&lt;=0),"",ROUND($G171*$AC171,0))</f>
        <v/>
      </c>
      <c r="AQ171" s="75" t="str">
        <f aca="false">IF(SUM($AP171)&lt;=0,"",IF(SUM($AO171)&lt;=0,"ENTER VALID YIELD!",ROUND($AP171/$AO171,0)-$AP171))</f>
        <v/>
      </c>
      <c r="AR171" s="118"/>
      <c r="AS171" s="75" t="str">
        <f aca="false">IF(OR(SUM($AD171)&lt;=0,SUM($G171)&lt;=0),"",ROUND($G171*$AD171,0))</f>
        <v/>
      </c>
      <c r="AT171" s="75" t="str">
        <f aca="false">IF(SUM($AS171)&lt;=0,"",IF(SUM($AR171)&lt;=0,"ENTER VALID YIELD!",ROUND($AS171/$AR171,0)-$AS171))</f>
        <v/>
      </c>
      <c r="AU171" s="118"/>
      <c r="AV171" s="75" t="n">
        <f aca="false">IF(OR(SUM($AE171)&lt;=0,SUM($G171)&lt;=0),"",ROUND($G171*$AE171,0))</f>
        <v>108</v>
      </c>
      <c r="AW171" s="75" t="str">
        <f aca="false">IF(SUM($AV171)&lt;=0,"",IF(SUM($AU171)&lt;=0,"ENTER VALID YIELD!",ROUND($AV171/$AU171,0)-$AV171))</f>
        <v>ENTER VALID YIELD!</v>
      </c>
      <c r="AX171" s="118"/>
      <c r="AY171" s="75" t="n">
        <f aca="false">IF(OR(SUM($AF171)&lt;=0,SUM($G171)&lt;=0),"",ROUND($G171*$AF171,0))</f>
        <v>540</v>
      </c>
      <c r="AZ171" s="75" t="str">
        <f aca="false">IF(SUM($AY171)&lt;=0,"",IF(SUM($AX171)&lt;=0,"ENTER VALID YIELD!",ROUND($AY171/$AX171,0)-$AY171))</f>
        <v>ENTER VALID YIELD!</v>
      </c>
      <c r="BA171" s="118" t="n">
        <v>20</v>
      </c>
      <c r="BB171" s="75" t="n">
        <f aca="false">IF(OR(SUM($AG171)&lt;=0,SUM($G171)&lt;=0),"",ROUND($G171*$AG171,0))</f>
        <v>120</v>
      </c>
      <c r="BC171" s="75" t="n">
        <f aca="false">IF(SUM($BB171)&lt;=0,"",IF(SUM($BA171)&lt;=0,"ENTER VALID YIELD!",ROUND($BB171/$BA171,0)-$BB171))</f>
        <v>-114</v>
      </c>
      <c r="BD171" s="118"/>
      <c r="BE171" s="75" t="n">
        <f aca="false">IF(OR(SUM($AH171)&lt;=0,SUM($G171)&lt;=0),"",ROUND($G171*$AH171,0))</f>
        <v>312</v>
      </c>
      <c r="BF171" s="75" t="str">
        <f aca="false">IF(SUM($BE171)&lt;=0,"",IF(SUM($BD171)&lt;=0,"ENTER VALID YIELD!",ROUND($BE171/$BD171,0)-$BE171))</f>
        <v>ENTER VALID YIELD!</v>
      </c>
      <c r="BG171" s="118"/>
      <c r="BH171" s="75" t="n">
        <f aca="false">IF(OR(SUM($AI171)&lt;=0,SUM($G171)&lt;=0),"",ROUND($G171*$AI171,0))</f>
        <v>360</v>
      </c>
      <c r="BI171" s="75" t="str">
        <f aca="false">IF(SUM($BH171)&lt;=0,"",IF(SUM($BG171)&lt;=0,"ENTER VALID YIELD!",ROUND($BH171/$BG171,0)-$BH171))</f>
        <v>ENTER VALID YIELD!</v>
      </c>
      <c r="BJ171" s="118"/>
      <c r="BK171" s="75" t="n">
        <f aca="false">IF(OR(SUM($AJ171)&lt;=0,SUM($G171)&lt;=0),"",ROUND($G171*$AJ171,0))</f>
        <v>168</v>
      </c>
      <c r="BL171" s="75" t="str">
        <f aca="false">IF(SUM($BK171)&lt;=0,"",IF(SUM($BJ171)&lt;=0,"ENTER VALID YIELD!",ROUND($BK171/$BJ171,0)-$BK171))</f>
        <v>ENTER VALID YIELD!</v>
      </c>
      <c r="BM171" s="73" t="n">
        <f aca="false">IF(SUM($G171)&lt;=0,"",$G171)</f>
        <v>12</v>
      </c>
      <c r="BN171" s="73" t="n">
        <f aca="false">IF(SUM($G171)&lt;=0,"",SUM($I171:$L171,$Q171,$S171,$AM171,$AP171,$AS171,$AV171,$AY171,$BB171,$BE171,$BH171,$BK171))</f>
        <v>1684</v>
      </c>
      <c r="BO171" s="73" t="n">
        <f aca="false">IF(AND(SUM($BN171)&lt;=0,SUM($BM171)&lt;=0),"",SUM($BN171)-SUM($BM171))</f>
        <v>1672</v>
      </c>
      <c r="BP171" s="73" t="str">
        <f aca="false">_xlfn.IFNA(INDEX(PMTCT!$AF:$AF,MATCH($E171,PMTCT!$E:$E,0)),"")</f>
        <v/>
      </c>
      <c r="BQ171" s="73" t="str">
        <f aca="false">_xlfn.IFNA(INDEX(PMTCT!$AV:$AV,MATCH($E171,PMTCT!$E:$E,0)),"")</f>
        <v/>
      </c>
      <c r="BR171" s="73" t="n">
        <f aca="false">_xlfn.IFNA(INDEX(TB!$R:$R,MATCH($E171,TB!$E:$E,0)),"")</f>
        <v>43</v>
      </c>
      <c r="BS171" s="73" t="str">
        <f aca="false">_xlfn.IFNA(INDEX(VMMC!$AD:$AD,MATCH($E171,VMMC!$E:$E,0)),"")</f>
        <v/>
      </c>
      <c r="BT171" s="73" t="n">
        <f aca="false">IF(SUM($R171,$T171,$AN171,$AQ171,$AT171,$AW171,$AZ171,$BC171,$BF171,$BI171,$BL171,$BP171:$BS171)=0,"",SUM($R171,$T171,$AN171,$AQ171,$AT171,$AW171,$AZ171,$BC171,$BF171,$BI171,$BL171,$BP171:$BS171))</f>
        <v>-71</v>
      </c>
      <c r="BU171" s="73" t="n">
        <f aca="false">IF(OR(SUM($BT171)=0,SUM($BN171)=0),"",SUM($BT171,$BN171))</f>
        <v>1613</v>
      </c>
      <c r="BV171" s="118" t="n">
        <f aca="false">IF(SUM($BU171)=0,"",SUM($BN171)/$BU171)</f>
        <v>1.04401735895846</v>
      </c>
      <c r="BW171" s="73"/>
      <c r="BX171" s="118" t="str">
        <f aca="false">IF(OR($C171="01-04",$C171="05-09"),"",0%)</f>
        <v/>
      </c>
      <c r="BY171" s="75" t="str">
        <f aca="false">IF(OR($C171="01-04",$C171="05-09",SUM($BW171)=0),"",ROUND($BW171*(1+$BX171),0))</f>
        <v/>
      </c>
    </row>
    <row r="172" customFormat="false" ht="15" hidden="false" customHeight="false" outlineLevel="0" collapsed="false">
      <c r="A172" s="0" t="s">
        <v>148</v>
      </c>
      <c r="B172" s="0" t="s">
        <v>113</v>
      </c>
      <c r="C172" s="0" t="s">
        <v>83</v>
      </c>
      <c r="D172" s="0" t="s">
        <v>58</v>
      </c>
      <c r="E172" s="0" t="str">
        <f aca="false">B172&amp;"|"&amp;C172&amp;"|"&amp;D172</f>
        <v>Mokhotlong [#SNU] [tjhYqc1MlVo]|05-09|Male</v>
      </c>
      <c r="F172" s="118" t="n">
        <f aca="false">_xlfn.IFNA(INDEX(Cascade!$Y:$Y,MATCH($E172,Cascade!$E:$E,0)),"")</f>
        <v>0.591836734693878</v>
      </c>
      <c r="G172" s="73" t="n">
        <f aca="false">_xlfn.IFNA(INDEX(Cascade!$BD:$BD,MATCH($E172,Cascade!$E:$E,0)),"")</f>
        <v>18</v>
      </c>
      <c r="H172" s="73" t="n">
        <f aca="false">_xlfn.IFNA(INDEX(Cascade!$BE:$BE,MATCH($E172,Cascade!$E:$E,0)),"")</f>
        <v>5</v>
      </c>
      <c r="I172" s="73" t="str">
        <f aca="false">_xlfn.IFNA(INDEX(Cascade!$BF:$BF,MATCH($E172,Cascade!$E:$E,0)),"")</f>
        <v/>
      </c>
      <c r="J172" s="73" t="str">
        <f aca="false">_xlfn.IFNA(INDEX(Cascade!$BG:$BG,MATCH($E172,Cascade!$E:$E,0)),"")</f>
        <v/>
      </c>
      <c r="K172" s="73" t="n">
        <f aca="false">_xlfn.IFNA(INDEX(Cascade!$BH:$BH,MATCH($E172,Cascade!$E:$E,0)),"")</f>
        <v>0</v>
      </c>
      <c r="L172" s="73" t="str">
        <f aca="false">_xlfn.IFNA(INDEX(Cascade!$BI:$BI,MATCH($E172,Cascade!$E:$E,0)),"")</f>
        <v/>
      </c>
      <c r="M172" s="73" t="n">
        <f aca="false">_xlfn.IFNA(INDEX(Cascade!$BK:$BK,MATCH($E172,Cascade!$E:$E,0)),"")</f>
        <v>13</v>
      </c>
      <c r="N172" s="118"/>
      <c r="O172" s="118"/>
      <c r="P172" s="118"/>
      <c r="Q172" s="75" t="str">
        <f aca="false">IF(OR(SUM($H172)=0,SUM($N172)=0,SUM($O172)=0),"",ROUND($H172*$N172,0))</f>
        <v/>
      </c>
      <c r="R172" s="75" t="str">
        <f aca="false">IF(OR(SUM($Q172)=0,SUM($O172)=0),"",ROUND(SUM($Q172)/SUM($O172),0)-SUM($Q172))</f>
        <v/>
      </c>
      <c r="S172" s="75" t="n">
        <f aca="false">IF(SUM($H172)=0,"",SUM($H172)-SUM($Q172))</f>
        <v>5</v>
      </c>
      <c r="T172" s="75" t="str">
        <f aca="false">IF(OR(SUM($S172)=0,$N172&gt;1,SUM($P172)&lt;=0),"",ROUND($S172/$P172,0)-$S172)</f>
        <v/>
      </c>
      <c r="U172" s="118" t="n">
        <f aca="false">IF(SUM($G172)&lt;=0,"",SUM($Q172,$S172)/$G172)</f>
        <v>0.277777777777778</v>
      </c>
      <c r="V172" s="118" t="str">
        <f aca="false">IF(OR(SUM($Q172)=0,SUM($G172)=0),"",SUM($Q172)/SUM($G172))</f>
        <v/>
      </c>
      <c r="W172" s="118" t="n">
        <f aca="false">IF(OR(SUM($S172)=0,SUM($G172)=0),"",SUM($S172)/SUM($G172))</f>
        <v>0.277777777777778</v>
      </c>
      <c r="X172" s="118" t="str">
        <f aca="false">IF(OR(SUM($G172)=0,SUM($I172)=0),"",SUM($I172)/SUM($G172))</f>
        <v/>
      </c>
      <c r="Y172" s="118" t="str">
        <f aca="false">IF(OR(SUM($G172)=0,SUM($J172)=0),"",SUM($J172)/SUM($G172))</f>
        <v/>
      </c>
      <c r="Z172" s="118" t="str">
        <f aca="false">IF(OR(SUM($G172)=0,SUM($K172)=0),"",SUM($K172)/SUM($G172))</f>
        <v/>
      </c>
      <c r="AA172" s="118" t="str">
        <f aca="false">IF(OR(SUM($G172)=0,SUM($L172)=0),"",SUM($L172)/SUM($G172))</f>
        <v/>
      </c>
      <c r="AB172" s="118" t="n">
        <v>6</v>
      </c>
      <c r="AC172" s="118"/>
      <c r="AD172" s="118"/>
      <c r="AE172" s="118" t="n">
        <v>34</v>
      </c>
      <c r="AF172" s="118" t="n">
        <v>36</v>
      </c>
      <c r="AG172" s="118" t="n">
        <v>24</v>
      </c>
      <c r="AH172" s="118" t="n">
        <v>14</v>
      </c>
      <c r="AI172" s="118" t="n">
        <v>42</v>
      </c>
      <c r="AJ172" s="118" t="n">
        <v>7</v>
      </c>
      <c r="AK172" s="118" t="n">
        <f aca="false">IF(SUM($G172)&lt;=0,"",SUM($V172:$AJ172))</f>
        <v>163.277777777778</v>
      </c>
      <c r="AL172" s="118"/>
      <c r="AM172" s="75" t="n">
        <f aca="false">IF(OR(SUM($AB172)&lt;=0,SUM($G172)&lt;=0),"",ROUND($G172*$AB172,0))</f>
        <v>108</v>
      </c>
      <c r="AN172" s="75" t="str">
        <f aca="false">IF(SUM($AM172)&lt;=0,"",IF(SUM($AL172)&lt;=0,"ENTER VALID YIELD!",ROUND($AM172/$AL172,0)-$AM172))</f>
        <v>ENTER VALID YIELD!</v>
      </c>
      <c r="AO172" s="118"/>
      <c r="AP172" s="75" t="str">
        <f aca="false">IF(OR(SUM($AC172)&lt;=0,SUM($G172)&lt;=0),"",ROUND($G172*$AC172,0))</f>
        <v/>
      </c>
      <c r="AQ172" s="75" t="str">
        <f aca="false">IF(SUM($AP172)&lt;=0,"",IF(SUM($AO172)&lt;=0,"ENTER VALID YIELD!",ROUND($AP172/$AO172,0)-$AP172))</f>
        <v/>
      </c>
      <c r="AR172" s="118"/>
      <c r="AS172" s="75" t="str">
        <f aca="false">IF(OR(SUM($AD172)&lt;=0,SUM($G172)&lt;=0),"",ROUND($G172*$AD172,0))</f>
        <v/>
      </c>
      <c r="AT172" s="75" t="str">
        <f aca="false">IF(SUM($AS172)&lt;=0,"",IF(SUM($AR172)&lt;=0,"ENTER VALID YIELD!",ROUND($AS172/$AR172,0)-$AS172))</f>
        <v/>
      </c>
      <c r="AU172" s="118"/>
      <c r="AV172" s="75" t="n">
        <f aca="false">IF(OR(SUM($AE172)&lt;=0,SUM($G172)&lt;=0),"",ROUND($G172*$AE172,0))</f>
        <v>612</v>
      </c>
      <c r="AW172" s="75" t="str">
        <f aca="false">IF(SUM($AV172)&lt;=0,"",IF(SUM($AU172)&lt;=0,"ENTER VALID YIELD!",ROUND($AV172/$AU172,0)-$AV172))</f>
        <v>ENTER VALID YIELD!</v>
      </c>
      <c r="AX172" s="118"/>
      <c r="AY172" s="75" t="n">
        <f aca="false">IF(OR(SUM($AF172)&lt;=0,SUM($G172)&lt;=0),"",ROUND($G172*$AF172,0))</f>
        <v>648</v>
      </c>
      <c r="AZ172" s="75" t="str">
        <f aca="false">IF(SUM($AY172)&lt;=0,"",IF(SUM($AX172)&lt;=0,"ENTER VALID YIELD!",ROUND($AY172/$AX172,0)-$AY172))</f>
        <v>ENTER VALID YIELD!</v>
      </c>
      <c r="BA172" s="118" t="n">
        <v>1</v>
      </c>
      <c r="BB172" s="75" t="n">
        <f aca="false">IF(OR(SUM($AG172)&lt;=0,SUM($G172)&lt;=0),"",ROUND($G172*$AG172,0))</f>
        <v>432</v>
      </c>
      <c r="BC172" s="75" t="n">
        <f aca="false">IF(SUM($BB172)&lt;=0,"",IF(SUM($BA172)&lt;=0,"ENTER VALID YIELD!",ROUND($BB172/$BA172,0)-$BB172))</f>
        <v>0</v>
      </c>
      <c r="BD172" s="118"/>
      <c r="BE172" s="75" t="n">
        <f aca="false">IF(OR(SUM($AH172)&lt;=0,SUM($G172)&lt;=0),"",ROUND($G172*$AH172,0))</f>
        <v>252</v>
      </c>
      <c r="BF172" s="75" t="str">
        <f aca="false">IF(SUM($BE172)&lt;=0,"",IF(SUM($BD172)&lt;=0,"ENTER VALID YIELD!",ROUND($BE172/$BD172,0)-$BE172))</f>
        <v>ENTER VALID YIELD!</v>
      </c>
      <c r="BG172" s="118"/>
      <c r="BH172" s="75" t="n">
        <f aca="false">IF(OR(SUM($AI172)&lt;=0,SUM($G172)&lt;=0),"",ROUND($G172*$AI172,0))</f>
        <v>756</v>
      </c>
      <c r="BI172" s="75" t="str">
        <f aca="false">IF(SUM($BH172)&lt;=0,"",IF(SUM($BG172)&lt;=0,"ENTER VALID YIELD!",ROUND($BH172/$BG172,0)-$BH172))</f>
        <v>ENTER VALID YIELD!</v>
      </c>
      <c r="BJ172" s="118"/>
      <c r="BK172" s="75" t="n">
        <f aca="false">IF(OR(SUM($AJ172)&lt;=0,SUM($G172)&lt;=0),"",ROUND($G172*$AJ172,0))</f>
        <v>126</v>
      </c>
      <c r="BL172" s="75" t="str">
        <f aca="false">IF(SUM($BK172)&lt;=0,"",IF(SUM($BJ172)&lt;=0,"ENTER VALID YIELD!",ROUND($BK172/$BJ172,0)-$BK172))</f>
        <v>ENTER VALID YIELD!</v>
      </c>
      <c r="BM172" s="73" t="n">
        <f aca="false">IF(SUM($G172)&lt;=0,"",$G172)</f>
        <v>18</v>
      </c>
      <c r="BN172" s="73" t="n">
        <f aca="false">IF(SUM($G172)&lt;=0,"",SUM($I172:$L172,$Q172,$S172,$AM172,$AP172,$AS172,$AV172,$AY172,$BB172,$BE172,$BH172,$BK172))</f>
        <v>2939</v>
      </c>
      <c r="BO172" s="73" t="n">
        <f aca="false">IF(AND(SUM($BN172)&lt;=0,SUM($BM172)&lt;=0),"",SUM($BN172)-SUM($BM172))</f>
        <v>2921</v>
      </c>
      <c r="BP172" s="73" t="str">
        <f aca="false">_xlfn.IFNA(INDEX(PMTCT!$AF:$AF,MATCH($E172,PMTCT!$E:$E,0)),"")</f>
        <v/>
      </c>
      <c r="BQ172" s="73" t="str">
        <f aca="false">_xlfn.IFNA(INDEX(PMTCT!$AV:$AV,MATCH($E172,PMTCT!$E:$E,0)),"")</f>
        <v/>
      </c>
      <c r="BR172" s="73" t="n">
        <f aca="false">_xlfn.IFNA(INDEX(TB!$R:$R,MATCH($E172,TB!$E:$E,0)),"")</f>
        <v>16</v>
      </c>
      <c r="BS172" s="73" t="str">
        <f aca="false">_xlfn.IFNA(INDEX(VMMC!$AD:$AD,MATCH($E172,VMMC!$E:$E,0)),"")</f>
        <v/>
      </c>
      <c r="BT172" s="73" t="n">
        <f aca="false">IF(SUM($R172,$T172,$AN172,$AQ172,$AT172,$AW172,$AZ172,$BC172,$BF172,$BI172,$BL172,$BP172:$BS172)=0,"",SUM($R172,$T172,$AN172,$AQ172,$AT172,$AW172,$AZ172,$BC172,$BF172,$BI172,$BL172,$BP172:$BS172))</f>
        <v>16</v>
      </c>
      <c r="BU172" s="73" t="n">
        <f aca="false">IF(OR(SUM($BT172)=0,SUM($BN172)=0),"",SUM($BT172,$BN172))</f>
        <v>2955</v>
      </c>
      <c r="BV172" s="118" t="n">
        <f aca="false">IF(SUM($BU172)=0,"",SUM($BN172)/$BU172)</f>
        <v>0.994585448392555</v>
      </c>
      <c r="BW172" s="73"/>
      <c r="BX172" s="118" t="str">
        <f aca="false">IF(OR($C172="01-04",$C172="05-09"),"",0%)</f>
        <v/>
      </c>
      <c r="BY172" s="75" t="str">
        <f aca="false">IF(OR($C172="01-04",$C172="05-09",SUM($BW172)=0),"",ROUND($BW172*(1+$BX172),0))</f>
        <v/>
      </c>
    </row>
    <row r="173" customFormat="false" ht="15" hidden="false" customHeight="false" outlineLevel="0" collapsed="false">
      <c r="A173" s="0" t="s">
        <v>148</v>
      </c>
      <c r="B173" s="0" t="s">
        <v>113</v>
      </c>
      <c r="C173" s="0" t="s">
        <v>61</v>
      </c>
      <c r="D173" s="0" t="s">
        <v>56</v>
      </c>
      <c r="E173" s="0" t="str">
        <f aca="false">B173&amp;"|"&amp;C173&amp;"|"&amp;D173</f>
        <v>Mokhotlong [#SNU] [tjhYqc1MlVo]|10-14|Female</v>
      </c>
      <c r="F173" s="118" t="n">
        <f aca="false">_xlfn.IFNA(INDEX(Cascade!$Y:$Y,MATCH($E173,Cascade!$E:$E,0)),"")</f>
        <v>0.724550898203593</v>
      </c>
      <c r="G173" s="73" t="n">
        <f aca="false">_xlfn.IFNA(INDEX(Cascade!$BD:$BD,MATCH($E173,Cascade!$E:$E,0)),"")</f>
        <v>6</v>
      </c>
      <c r="H173" s="73" t="n">
        <f aca="false">_xlfn.IFNA(INDEX(Cascade!$BE:$BE,MATCH($E173,Cascade!$E:$E,0)),"")</f>
        <v>3</v>
      </c>
      <c r="I173" s="73" t="str">
        <f aca="false">_xlfn.IFNA(INDEX(Cascade!$BF:$BF,MATCH($E173,Cascade!$E:$E,0)),"")</f>
        <v/>
      </c>
      <c r="J173" s="73" t="str">
        <f aca="false">_xlfn.IFNA(INDEX(Cascade!$BG:$BG,MATCH($E173,Cascade!$E:$E,0)),"")</f>
        <v/>
      </c>
      <c r="K173" s="73" t="n">
        <f aca="false">_xlfn.IFNA(INDEX(Cascade!$BH:$BH,MATCH($E173,Cascade!$E:$E,0)),"")</f>
        <v>0</v>
      </c>
      <c r="L173" s="73" t="str">
        <f aca="false">_xlfn.IFNA(INDEX(Cascade!$BI:$BI,MATCH($E173,Cascade!$E:$E,0)),"")</f>
        <v/>
      </c>
      <c r="M173" s="73" t="n">
        <f aca="false">_xlfn.IFNA(INDEX(Cascade!$BK:$BK,MATCH($E173,Cascade!$E:$E,0)),"")</f>
        <v>3</v>
      </c>
      <c r="N173" s="118" t="n">
        <v>2</v>
      </c>
      <c r="O173" s="118"/>
      <c r="P173" s="118" t="n">
        <v>3</v>
      </c>
      <c r="Q173" s="75" t="str">
        <f aca="false">IF(OR(SUM($H173)=0,SUM($N173)=0,SUM($O173)=0),"",ROUND($H173*$N173,0))</f>
        <v/>
      </c>
      <c r="R173" s="75" t="str">
        <f aca="false">IF(OR(SUM($Q173)=0,SUM($O173)=0),"",ROUND(SUM($Q173)/SUM($O173),0)-SUM($Q173))</f>
        <v/>
      </c>
      <c r="S173" s="75" t="n">
        <f aca="false">IF(SUM($H173)=0,"",SUM($H173)-SUM($Q173))</f>
        <v>3</v>
      </c>
      <c r="T173" s="75" t="str">
        <f aca="false">IF(OR(SUM($S173)=0,$N173&gt;1,SUM($P173)&lt;=0),"",ROUND($S173/$P173,0)-$S173)</f>
        <v/>
      </c>
      <c r="U173" s="118" t="n">
        <f aca="false">IF(SUM($G173)&lt;=0,"",SUM($Q173,$S173)/$G173)</f>
        <v>0.5</v>
      </c>
      <c r="V173" s="118" t="str">
        <f aca="false">IF(OR(SUM($Q173)=0,SUM($G173)=0),"",SUM($Q173)/SUM($G173))</f>
        <v/>
      </c>
      <c r="W173" s="118" t="n">
        <f aca="false">IF(OR(SUM($S173)=0,SUM($G173)=0),"",SUM($S173)/SUM($G173))</f>
        <v>0.5</v>
      </c>
      <c r="X173" s="118" t="str">
        <f aca="false">IF(OR(SUM($G173)=0,SUM($I173)=0),"",SUM($I173)/SUM($G173))</f>
        <v/>
      </c>
      <c r="Y173" s="118" t="str">
        <f aca="false">IF(OR(SUM($G173)=0,SUM($J173)=0),"",SUM($J173)/SUM($G173))</f>
        <v/>
      </c>
      <c r="Z173" s="118" t="str">
        <f aca="false">IF(OR(SUM($G173)=0,SUM($K173)=0),"",SUM($K173)/SUM($G173))</f>
        <v/>
      </c>
      <c r="AA173" s="118" t="str">
        <f aca="false">IF(OR(SUM($G173)=0,SUM($L173)=0),"",SUM($L173)/SUM($G173))</f>
        <v/>
      </c>
      <c r="AB173" s="118" t="n">
        <v>47</v>
      </c>
      <c r="AC173" s="118"/>
      <c r="AD173" s="118"/>
      <c r="AE173" s="118" t="n">
        <v>9</v>
      </c>
      <c r="AF173" s="118" t="n">
        <v>25</v>
      </c>
      <c r="AG173" s="118" t="n">
        <v>28</v>
      </c>
      <c r="AH173" s="118" t="n">
        <v>32</v>
      </c>
      <c r="AI173" s="118" t="n">
        <v>6</v>
      </c>
      <c r="AJ173" s="118" t="n">
        <v>7</v>
      </c>
      <c r="AK173" s="118" t="n">
        <f aca="false">IF(SUM($G173)&lt;=0,"",SUM($V173:$AJ173))</f>
        <v>154.5</v>
      </c>
      <c r="AL173" s="118"/>
      <c r="AM173" s="75" t="n">
        <f aca="false">IF(OR(SUM($AB173)&lt;=0,SUM($G173)&lt;=0),"",ROUND($G173*$AB173,0))</f>
        <v>282</v>
      </c>
      <c r="AN173" s="75" t="str">
        <f aca="false">IF(SUM($AM173)&lt;=0,"",IF(SUM($AL173)&lt;=0,"ENTER VALID YIELD!",ROUND($AM173/$AL173,0)-$AM173))</f>
        <v>ENTER VALID YIELD!</v>
      </c>
      <c r="AO173" s="118"/>
      <c r="AP173" s="75" t="str">
        <f aca="false">IF(OR(SUM($AC173)&lt;=0,SUM($G173)&lt;=0),"",ROUND($G173*$AC173,0))</f>
        <v/>
      </c>
      <c r="AQ173" s="75" t="str">
        <f aca="false">IF(SUM($AP173)&lt;=0,"",IF(SUM($AO173)&lt;=0,"ENTER VALID YIELD!",ROUND($AP173/$AO173,0)-$AP173))</f>
        <v/>
      </c>
      <c r="AR173" s="118"/>
      <c r="AS173" s="75" t="str">
        <f aca="false">IF(OR(SUM($AD173)&lt;=0,SUM($G173)&lt;=0),"",ROUND($G173*$AD173,0))</f>
        <v/>
      </c>
      <c r="AT173" s="75" t="str">
        <f aca="false">IF(SUM($AS173)&lt;=0,"",IF(SUM($AR173)&lt;=0,"ENTER VALID YIELD!",ROUND($AS173/$AR173,0)-$AS173))</f>
        <v/>
      </c>
      <c r="AU173" s="118"/>
      <c r="AV173" s="75" t="n">
        <f aca="false">IF(OR(SUM($AE173)&lt;=0,SUM($G173)&lt;=0),"",ROUND($G173*$AE173,0))</f>
        <v>54</v>
      </c>
      <c r="AW173" s="75" t="str">
        <f aca="false">IF(SUM($AV173)&lt;=0,"",IF(SUM($AU173)&lt;=0,"ENTER VALID YIELD!",ROUND($AV173/$AU173,0)-$AV173))</f>
        <v>ENTER VALID YIELD!</v>
      </c>
      <c r="AX173" s="118"/>
      <c r="AY173" s="75" t="n">
        <f aca="false">IF(OR(SUM($AF173)&lt;=0,SUM($G173)&lt;=0),"",ROUND($G173*$AF173,0))</f>
        <v>150</v>
      </c>
      <c r="AZ173" s="75" t="str">
        <f aca="false">IF(SUM($AY173)&lt;=0,"",IF(SUM($AX173)&lt;=0,"ENTER VALID YIELD!",ROUND($AY173/$AX173,0)-$AY173))</f>
        <v>ENTER VALID YIELD!</v>
      </c>
      <c r="BA173" s="118"/>
      <c r="BB173" s="75" t="n">
        <f aca="false">IF(OR(SUM($AG173)&lt;=0,SUM($G173)&lt;=0),"",ROUND($G173*$AG173,0))</f>
        <v>168</v>
      </c>
      <c r="BC173" s="75" t="str">
        <f aca="false">IF(SUM($BB173)&lt;=0,"",IF(SUM($BA173)&lt;=0,"ENTER VALID YIELD!",ROUND($BB173/$BA173,0)-$BB173))</f>
        <v>ENTER VALID YIELD!</v>
      </c>
      <c r="BD173" s="118"/>
      <c r="BE173" s="75" t="n">
        <f aca="false">IF(OR(SUM($AH173)&lt;=0,SUM($G173)&lt;=0),"",ROUND($G173*$AH173,0))</f>
        <v>192</v>
      </c>
      <c r="BF173" s="75" t="str">
        <f aca="false">IF(SUM($BE173)&lt;=0,"",IF(SUM($BD173)&lt;=0,"ENTER VALID YIELD!",ROUND($BE173/$BD173,0)-$BE173))</f>
        <v>ENTER VALID YIELD!</v>
      </c>
      <c r="BG173" s="118"/>
      <c r="BH173" s="75" t="n">
        <f aca="false">IF(OR(SUM($AI173)&lt;=0,SUM($G173)&lt;=0),"",ROUND($G173*$AI173,0))</f>
        <v>36</v>
      </c>
      <c r="BI173" s="75" t="str">
        <f aca="false">IF(SUM($BH173)&lt;=0,"",IF(SUM($BG173)&lt;=0,"ENTER VALID YIELD!",ROUND($BH173/$BG173,0)-$BH173))</f>
        <v>ENTER VALID YIELD!</v>
      </c>
      <c r="BJ173" s="118"/>
      <c r="BK173" s="75" t="n">
        <f aca="false">IF(OR(SUM($AJ173)&lt;=0,SUM($G173)&lt;=0),"",ROUND($G173*$AJ173,0))</f>
        <v>42</v>
      </c>
      <c r="BL173" s="75" t="str">
        <f aca="false">IF(SUM($BK173)&lt;=0,"",IF(SUM($BJ173)&lt;=0,"ENTER VALID YIELD!",ROUND($BK173/$BJ173,0)-$BK173))</f>
        <v>ENTER VALID YIELD!</v>
      </c>
      <c r="BM173" s="73" t="n">
        <f aca="false">IF(SUM($G173)&lt;=0,"",$G173)</f>
        <v>6</v>
      </c>
      <c r="BN173" s="73" t="n">
        <f aca="false">IF(SUM($G173)&lt;=0,"",SUM($I173:$L173,$Q173,$S173,$AM173,$AP173,$AS173,$AV173,$AY173,$BB173,$BE173,$BH173,$BK173))</f>
        <v>927</v>
      </c>
      <c r="BO173" s="73" t="n">
        <f aca="false">IF(AND(SUM($BN173)&lt;=0,SUM($BM173)&lt;=0),"",SUM($BN173)-SUM($BM173))</f>
        <v>921</v>
      </c>
      <c r="BP173" s="73" t="str">
        <f aca="false">_xlfn.IFNA(INDEX(PMTCT!$AF:$AF,MATCH($E173,PMTCT!$E:$E,0)),"")</f>
        <v/>
      </c>
      <c r="BQ173" s="73" t="str">
        <f aca="false">_xlfn.IFNA(INDEX(PMTCT!$AV:$AV,MATCH($E173,PMTCT!$E:$E,0)),"")</f>
        <v/>
      </c>
      <c r="BR173" s="73" t="n">
        <f aca="false">_xlfn.IFNA(INDEX(TB!$R:$R,MATCH($E173,TB!$E:$E,0)),"")</f>
        <v>37</v>
      </c>
      <c r="BS173" s="73" t="str">
        <f aca="false">_xlfn.IFNA(INDEX(VMMC!$AD:$AD,MATCH($E173,VMMC!$E:$E,0)),"")</f>
        <v/>
      </c>
      <c r="BT173" s="73" t="n">
        <f aca="false">IF(SUM($R173,$T173,$AN173,$AQ173,$AT173,$AW173,$AZ173,$BC173,$BF173,$BI173,$BL173,$BP173:$BS173)=0,"",SUM($R173,$T173,$AN173,$AQ173,$AT173,$AW173,$AZ173,$BC173,$BF173,$BI173,$BL173,$BP173:$BS173))</f>
        <v>37</v>
      </c>
      <c r="BU173" s="73" t="n">
        <f aca="false">IF(OR(SUM($BT173)=0,SUM($BN173)=0),"",SUM($BT173,$BN173))</f>
        <v>964</v>
      </c>
      <c r="BV173" s="118" t="n">
        <f aca="false">IF(SUM($BU173)=0,"",SUM($BN173)/$BU173)</f>
        <v>0.961618257261411</v>
      </c>
      <c r="BW173" s="73"/>
      <c r="BX173" s="118" t="n">
        <f aca="false">IF(OR($C173="01-04",$C173="05-09"),"",0%)</f>
        <v>0</v>
      </c>
      <c r="BY173" s="75" t="str">
        <f aca="false">IF(OR($C173="01-04",$C173="05-09",SUM($BW173)=0),"",ROUND($BW173*(1+$BX173),0))</f>
        <v/>
      </c>
    </row>
    <row r="174" customFormat="false" ht="15" hidden="false" customHeight="false" outlineLevel="0" collapsed="false">
      <c r="A174" s="0" t="s">
        <v>148</v>
      </c>
      <c r="B174" s="0" t="s">
        <v>113</v>
      </c>
      <c r="C174" s="0" t="s">
        <v>61</v>
      </c>
      <c r="D174" s="0" t="s">
        <v>58</v>
      </c>
      <c r="E174" s="0" t="str">
        <f aca="false">B174&amp;"|"&amp;C174&amp;"|"&amp;D174</f>
        <v>Mokhotlong [#SNU] [tjhYqc1MlVo]|10-14|Male</v>
      </c>
      <c r="F174" s="118" t="n">
        <f aca="false">_xlfn.IFNA(INDEX(Cascade!$Y:$Y,MATCH($E174,Cascade!$E:$E,0)),"")</f>
        <v>0.730994152046784</v>
      </c>
      <c r="G174" s="73" t="n">
        <f aca="false">_xlfn.IFNA(INDEX(Cascade!$BD:$BD,MATCH($E174,Cascade!$E:$E,0)),"")</f>
        <v>1</v>
      </c>
      <c r="H174" s="73" t="n">
        <f aca="false">_xlfn.IFNA(INDEX(Cascade!$BE:$BE,MATCH($E174,Cascade!$E:$E,0)),"")</f>
        <v>1</v>
      </c>
      <c r="I174" s="73" t="str">
        <f aca="false">_xlfn.IFNA(INDEX(Cascade!$BF:$BF,MATCH($E174,Cascade!$E:$E,0)),"")</f>
        <v/>
      </c>
      <c r="J174" s="73" t="str">
        <f aca="false">_xlfn.IFNA(INDEX(Cascade!$BG:$BG,MATCH($E174,Cascade!$E:$E,0)),"")</f>
        <v/>
      </c>
      <c r="K174" s="73" t="n">
        <f aca="false">_xlfn.IFNA(INDEX(Cascade!$BH:$BH,MATCH($E174,Cascade!$E:$E,0)),"")</f>
        <v>1080</v>
      </c>
      <c r="L174" s="73" t="str">
        <f aca="false">_xlfn.IFNA(INDEX(Cascade!$BI:$BI,MATCH($E174,Cascade!$E:$E,0)),"")</f>
        <v/>
      </c>
      <c r="M174" s="73" t="n">
        <f aca="false">_xlfn.IFNA(INDEX(Cascade!$BK:$BK,MATCH($E174,Cascade!$E:$E,0)),"")</f>
        <v>-1080</v>
      </c>
      <c r="N174" s="118" t="n">
        <v>49</v>
      </c>
      <c r="O174" s="118"/>
      <c r="P174" s="118" t="n">
        <v>18</v>
      </c>
      <c r="Q174" s="75" t="str">
        <f aca="false">IF(OR(SUM($H174)=0,SUM($N174)=0,SUM($O174)=0),"",ROUND($H174*$N174,0))</f>
        <v/>
      </c>
      <c r="R174" s="75" t="str">
        <f aca="false">IF(OR(SUM($Q174)=0,SUM($O174)=0),"",ROUND(SUM($Q174)/SUM($O174),0)-SUM($Q174))</f>
        <v/>
      </c>
      <c r="S174" s="75" t="n">
        <f aca="false">IF(SUM($H174)=0,"",SUM($H174)-SUM($Q174))</f>
        <v>1</v>
      </c>
      <c r="T174" s="75" t="str">
        <f aca="false">IF(OR(SUM($S174)=0,$N174&gt;1,SUM($P174)&lt;=0),"",ROUND($S174/$P174,0)-$S174)</f>
        <v/>
      </c>
      <c r="U174" s="118" t="n">
        <f aca="false">IF(SUM($G174)&lt;=0,"",SUM($Q174,$S174)/$G174)</f>
        <v>1</v>
      </c>
      <c r="V174" s="118" t="str">
        <f aca="false">IF(OR(SUM($Q174)=0,SUM($G174)=0),"",SUM($Q174)/SUM($G174))</f>
        <v/>
      </c>
      <c r="W174" s="118" t="n">
        <f aca="false">IF(OR(SUM($S174)=0,SUM($G174)=0),"",SUM($S174)/SUM($G174))</f>
        <v>1</v>
      </c>
      <c r="X174" s="118" t="str">
        <f aca="false">IF(OR(SUM($G174)=0,SUM($I174)=0),"",SUM($I174)/SUM($G174))</f>
        <v/>
      </c>
      <c r="Y174" s="118" t="str">
        <f aca="false">IF(OR(SUM($G174)=0,SUM($J174)=0),"",SUM($J174)/SUM($G174))</f>
        <v/>
      </c>
      <c r="Z174" s="118" t="n">
        <f aca="false">IF(OR(SUM($G174)=0,SUM($K174)=0),"",SUM($K174)/SUM($G174))</f>
        <v>1080</v>
      </c>
      <c r="AA174" s="118" t="str">
        <f aca="false">IF(OR(SUM($G174)=0,SUM($L174)=0),"",SUM($L174)/SUM($G174))</f>
        <v/>
      </c>
      <c r="AB174" s="118" t="n">
        <v>34</v>
      </c>
      <c r="AC174" s="118"/>
      <c r="AD174" s="118"/>
      <c r="AE174" s="118" t="n">
        <v>42</v>
      </c>
      <c r="AF174" s="118" t="n">
        <v>5</v>
      </c>
      <c r="AG174" s="118" t="n">
        <v>22</v>
      </c>
      <c r="AH174" s="118" t="n">
        <v>45</v>
      </c>
      <c r="AI174" s="118" t="n">
        <v>40</v>
      </c>
      <c r="AJ174" s="118" t="n">
        <v>44</v>
      </c>
      <c r="AK174" s="118" t="n">
        <f aca="false">IF(SUM($G174)&lt;=0,"",SUM($V174:$AJ174))</f>
        <v>1313</v>
      </c>
      <c r="AL174" s="118"/>
      <c r="AM174" s="75" t="n">
        <f aca="false">IF(OR(SUM($AB174)&lt;=0,SUM($G174)&lt;=0),"",ROUND($G174*$AB174,0))</f>
        <v>34</v>
      </c>
      <c r="AN174" s="75" t="str">
        <f aca="false">IF(SUM($AM174)&lt;=0,"",IF(SUM($AL174)&lt;=0,"ENTER VALID YIELD!",ROUND($AM174/$AL174,0)-$AM174))</f>
        <v>ENTER VALID YIELD!</v>
      </c>
      <c r="AO174" s="118"/>
      <c r="AP174" s="75" t="str">
        <f aca="false">IF(OR(SUM($AC174)&lt;=0,SUM($G174)&lt;=0),"",ROUND($G174*$AC174,0))</f>
        <v/>
      </c>
      <c r="AQ174" s="75" t="str">
        <f aca="false">IF(SUM($AP174)&lt;=0,"",IF(SUM($AO174)&lt;=0,"ENTER VALID YIELD!",ROUND($AP174/$AO174,0)-$AP174))</f>
        <v/>
      </c>
      <c r="AR174" s="118"/>
      <c r="AS174" s="75" t="str">
        <f aca="false">IF(OR(SUM($AD174)&lt;=0,SUM($G174)&lt;=0),"",ROUND($G174*$AD174,0))</f>
        <v/>
      </c>
      <c r="AT174" s="75" t="str">
        <f aca="false">IF(SUM($AS174)&lt;=0,"",IF(SUM($AR174)&lt;=0,"ENTER VALID YIELD!",ROUND($AS174/$AR174,0)-$AS174))</f>
        <v/>
      </c>
      <c r="AU174" s="118"/>
      <c r="AV174" s="75" t="n">
        <f aca="false">IF(OR(SUM($AE174)&lt;=0,SUM($G174)&lt;=0),"",ROUND($G174*$AE174,0))</f>
        <v>42</v>
      </c>
      <c r="AW174" s="75" t="str">
        <f aca="false">IF(SUM($AV174)&lt;=0,"",IF(SUM($AU174)&lt;=0,"ENTER VALID YIELD!",ROUND($AV174/$AU174,0)-$AV174))</f>
        <v>ENTER VALID YIELD!</v>
      </c>
      <c r="AX174" s="118"/>
      <c r="AY174" s="75" t="n">
        <f aca="false">IF(OR(SUM($AF174)&lt;=0,SUM($G174)&lt;=0),"",ROUND($G174*$AF174,0))</f>
        <v>5</v>
      </c>
      <c r="AZ174" s="75" t="str">
        <f aca="false">IF(SUM($AY174)&lt;=0,"",IF(SUM($AX174)&lt;=0,"ENTER VALID YIELD!",ROUND($AY174/$AX174,0)-$AY174))</f>
        <v>ENTER VALID YIELD!</v>
      </c>
      <c r="BA174" s="118" t="n">
        <v>14</v>
      </c>
      <c r="BB174" s="75" t="n">
        <f aca="false">IF(OR(SUM($AG174)&lt;=0,SUM($G174)&lt;=0),"",ROUND($G174*$AG174,0))</f>
        <v>22</v>
      </c>
      <c r="BC174" s="75" t="n">
        <f aca="false">IF(SUM($BB174)&lt;=0,"",IF(SUM($BA174)&lt;=0,"ENTER VALID YIELD!",ROUND($BB174/$BA174,0)-$BB174))</f>
        <v>-20</v>
      </c>
      <c r="BD174" s="118"/>
      <c r="BE174" s="75" t="n">
        <f aca="false">IF(OR(SUM($AH174)&lt;=0,SUM($G174)&lt;=0),"",ROUND($G174*$AH174,0))</f>
        <v>45</v>
      </c>
      <c r="BF174" s="75" t="str">
        <f aca="false">IF(SUM($BE174)&lt;=0,"",IF(SUM($BD174)&lt;=0,"ENTER VALID YIELD!",ROUND($BE174/$BD174,0)-$BE174))</f>
        <v>ENTER VALID YIELD!</v>
      </c>
      <c r="BG174" s="118"/>
      <c r="BH174" s="75" t="n">
        <f aca="false">IF(OR(SUM($AI174)&lt;=0,SUM($G174)&lt;=0),"",ROUND($G174*$AI174,0))</f>
        <v>40</v>
      </c>
      <c r="BI174" s="75" t="str">
        <f aca="false">IF(SUM($BH174)&lt;=0,"",IF(SUM($BG174)&lt;=0,"ENTER VALID YIELD!",ROUND($BH174/$BG174,0)-$BH174))</f>
        <v>ENTER VALID YIELD!</v>
      </c>
      <c r="BJ174" s="118"/>
      <c r="BK174" s="75" t="n">
        <f aca="false">IF(OR(SUM($AJ174)&lt;=0,SUM($G174)&lt;=0),"",ROUND($G174*$AJ174,0))</f>
        <v>44</v>
      </c>
      <c r="BL174" s="75" t="str">
        <f aca="false">IF(SUM($BK174)&lt;=0,"",IF(SUM($BJ174)&lt;=0,"ENTER VALID YIELD!",ROUND($BK174/$BJ174,0)-$BK174))</f>
        <v>ENTER VALID YIELD!</v>
      </c>
      <c r="BM174" s="73" t="n">
        <f aca="false">IF(SUM($G174)&lt;=0,"",$G174)</f>
        <v>1</v>
      </c>
      <c r="BN174" s="73" t="n">
        <f aca="false">IF(SUM($G174)&lt;=0,"",SUM($I174:$L174,$Q174,$S174,$AM174,$AP174,$AS174,$AV174,$AY174,$BB174,$BE174,$BH174,$BK174))</f>
        <v>1313</v>
      </c>
      <c r="BO174" s="73" t="n">
        <f aca="false">IF(AND(SUM($BN174)&lt;=0,SUM($BM174)&lt;=0),"",SUM($BN174)-SUM($BM174))</f>
        <v>1312</v>
      </c>
      <c r="BP174" s="73" t="str">
        <f aca="false">_xlfn.IFNA(INDEX(PMTCT!$AF:$AF,MATCH($E174,PMTCT!$E:$E,0)),"")</f>
        <v/>
      </c>
      <c r="BQ174" s="73" t="str">
        <f aca="false">_xlfn.IFNA(INDEX(PMTCT!$AV:$AV,MATCH($E174,PMTCT!$E:$E,0)),"")</f>
        <v/>
      </c>
      <c r="BR174" s="73" t="n">
        <f aca="false">_xlfn.IFNA(INDEX(TB!$R:$R,MATCH($E174,TB!$E:$E,0)),"")</f>
        <v>-1040</v>
      </c>
      <c r="BS174" s="73" t="str">
        <f aca="false">_xlfn.IFNA(INDEX(VMMC!$AD:$AD,MATCH($E174,VMMC!$E:$E,0)),"")</f>
        <v/>
      </c>
      <c r="BT174" s="73" t="n">
        <f aca="false">IF(SUM($R174,$T174,$AN174,$AQ174,$AT174,$AW174,$AZ174,$BC174,$BF174,$BI174,$BL174,$BP174:$BS174)=0,"",SUM($R174,$T174,$AN174,$AQ174,$AT174,$AW174,$AZ174,$BC174,$BF174,$BI174,$BL174,$BP174:$BS174))</f>
        <v>-1060</v>
      </c>
      <c r="BU174" s="73" t="n">
        <f aca="false">IF(OR(SUM($BT174)=0,SUM($BN174)=0),"",SUM($BT174,$BN174))</f>
        <v>253</v>
      </c>
      <c r="BV174" s="118" t="n">
        <f aca="false">IF(SUM($BU174)=0,"",SUM($BN174)/$BU174)</f>
        <v>5.1897233201581</v>
      </c>
      <c r="BW174" s="73"/>
      <c r="BX174" s="118" t="n">
        <f aca="false">IF(OR($C174="01-04",$C174="05-09"),"",0%)</f>
        <v>0</v>
      </c>
      <c r="BY174" s="75" t="str">
        <f aca="false">IF(OR($C174="01-04",$C174="05-09",SUM($BW174)=0),"",ROUND($BW174*(1+$BX174),0))</f>
        <v/>
      </c>
    </row>
    <row r="175" customFormat="false" ht="15" hidden="false" customHeight="false" outlineLevel="0" collapsed="false">
      <c r="A175" s="0" t="s">
        <v>148</v>
      </c>
      <c r="B175" s="0" t="s">
        <v>113</v>
      </c>
      <c r="C175" s="0" t="s">
        <v>63</v>
      </c>
      <c r="D175" s="0" t="s">
        <v>56</v>
      </c>
      <c r="E175" s="0" t="str">
        <f aca="false">B175&amp;"|"&amp;C175&amp;"|"&amp;D175</f>
        <v>Mokhotlong [#SNU] [tjhYqc1MlVo]|15-19|Female</v>
      </c>
      <c r="F175" s="118" t="n">
        <f aca="false">_xlfn.IFNA(INDEX(Cascade!$Y:$Y,MATCH($E175,Cascade!$E:$E,0)),"")</f>
        <v>0.655677655677656</v>
      </c>
      <c r="G175" s="73" t="n">
        <f aca="false">_xlfn.IFNA(INDEX(Cascade!$BD:$BD,MATCH($E175,Cascade!$E:$E,0)),"")</f>
        <v>20</v>
      </c>
      <c r="H175" s="73" t="n">
        <f aca="false">_xlfn.IFNA(INDEX(Cascade!$BE:$BE,MATCH($E175,Cascade!$E:$E,0)),"")</f>
        <v>6</v>
      </c>
      <c r="I175" s="73" t="n">
        <f aca="false">_xlfn.IFNA(INDEX(Cascade!$BF:$BF,MATCH($E175,Cascade!$E:$E,0)),"")</f>
        <v>-1296</v>
      </c>
      <c r="J175" s="73" t="str">
        <f aca="false">_xlfn.IFNA(INDEX(Cascade!$BG:$BG,MATCH($E175,Cascade!$E:$E,0)),"")</f>
        <v/>
      </c>
      <c r="K175" s="73" t="n">
        <f aca="false">_xlfn.IFNA(INDEX(Cascade!$BH:$BH,MATCH($E175,Cascade!$E:$E,0)),"")</f>
        <v>-0</v>
      </c>
      <c r="L175" s="73" t="str">
        <f aca="false">_xlfn.IFNA(INDEX(Cascade!$BI:$BI,MATCH($E175,Cascade!$E:$E,0)),"")</f>
        <v/>
      </c>
      <c r="M175" s="73" t="n">
        <f aca="false">_xlfn.IFNA(INDEX(Cascade!$BK:$BK,MATCH($E175,Cascade!$E:$E,0)),"")</f>
        <v>1310</v>
      </c>
      <c r="N175" s="118" t="n">
        <v>22</v>
      </c>
      <c r="O175" s="118"/>
      <c r="P175" s="118" t="n">
        <v>14</v>
      </c>
      <c r="Q175" s="75" t="str">
        <f aca="false">IF(OR(SUM($H175)=0,SUM($N175)=0,SUM($O175)=0),"",ROUND($H175*$N175,0))</f>
        <v/>
      </c>
      <c r="R175" s="75" t="str">
        <f aca="false">IF(OR(SUM($Q175)=0,SUM($O175)=0),"",ROUND(SUM($Q175)/SUM($O175),0)-SUM($Q175))</f>
        <v/>
      </c>
      <c r="S175" s="75" t="n">
        <f aca="false">IF(SUM($H175)=0,"",SUM($H175)-SUM($Q175))</f>
        <v>6</v>
      </c>
      <c r="T175" s="75" t="str">
        <f aca="false">IF(OR(SUM($S175)=0,$N175&gt;1,SUM($P175)&lt;=0),"",ROUND($S175/$P175,0)-$S175)</f>
        <v/>
      </c>
      <c r="U175" s="118" t="n">
        <f aca="false">IF(SUM($G175)&lt;=0,"",SUM($Q175,$S175)/$G175)</f>
        <v>0.3</v>
      </c>
      <c r="V175" s="118" t="str">
        <f aca="false">IF(OR(SUM($Q175)=0,SUM($G175)=0),"",SUM($Q175)/SUM($G175))</f>
        <v/>
      </c>
      <c r="W175" s="118" t="n">
        <f aca="false">IF(OR(SUM($S175)=0,SUM($G175)=0),"",SUM($S175)/SUM($G175))</f>
        <v>0.3</v>
      </c>
      <c r="X175" s="118" t="n">
        <f aca="false">IF(OR(SUM($G175)=0,SUM($I175)=0),"",SUM($I175)/SUM($G175))</f>
        <v>-64.8</v>
      </c>
      <c r="Y175" s="118" t="str">
        <f aca="false">IF(OR(SUM($G175)=0,SUM($J175)=0),"",SUM($J175)/SUM($G175))</f>
        <v/>
      </c>
      <c r="Z175" s="118" t="str">
        <f aca="false">IF(OR(SUM($G175)=0,SUM($K175)=0),"",SUM($K175)/SUM($G175))</f>
        <v/>
      </c>
      <c r="AA175" s="118" t="str">
        <f aca="false">IF(OR(SUM($G175)=0,SUM($L175)=0),"",SUM($L175)/SUM($G175))</f>
        <v/>
      </c>
      <c r="AB175" s="118" t="n">
        <v>11</v>
      </c>
      <c r="AC175" s="118"/>
      <c r="AD175" s="118"/>
      <c r="AE175" s="118" t="n">
        <v>35</v>
      </c>
      <c r="AF175" s="118" t="n">
        <v>4</v>
      </c>
      <c r="AG175" s="118" t="n">
        <v>26</v>
      </c>
      <c r="AH175" s="118" t="n">
        <v>36</v>
      </c>
      <c r="AI175" s="118" t="n">
        <v>35</v>
      </c>
      <c r="AJ175" s="118" t="n">
        <v>43</v>
      </c>
      <c r="AK175" s="118" t="n">
        <f aca="false">IF(SUM($G175)&lt;=0,"",SUM($V175:$AJ175))</f>
        <v>125.5</v>
      </c>
      <c r="AL175" s="118"/>
      <c r="AM175" s="75" t="n">
        <f aca="false">IF(OR(SUM($AB175)&lt;=0,SUM($G175)&lt;=0),"",ROUND($G175*$AB175,0))</f>
        <v>220</v>
      </c>
      <c r="AN175" s="75" t="str">
        <f aca="false">IF(SUM($AM175)&lt;=0,"",IF(SUM($AL175)&lt;=0,"ENTER VALID YIELD!",ROUND($AM175/$AL175,0)-$AM175))</f>
        <v>ENTER VALID YIELD!</v>
      </c>
      <c r="AO175" s="118"/>
      <c r="AP175" s="75" t="str">
        <f aca="false">IF(OR(SUM($AC175)&lt;=0,SUM($G175)&lt;=0),"",ROUND($G175*$AC175,0))</f>
        <v/>
      </c>
      <c r="AQ175" s="75" t="str">
        <f aca="false">IF(SUM($AP175)&lt;=0,"",IF(SUM($AO175)&lt;=0,"ENTER VALID YIELD!",ROUND($AP175/$AO175,0)-$AP175))</f>
        <v/>
      </c>
      <c r="AR175" s="118"/>
      <c r="AS175" s="75" t="str">
        <f aca="false">IF(OR(SUM($AD175)&lt;=0,SUM($G175)&lt;=0),"",ROUND($G175*$AD175,0))</f>
        <v/>
      </c>
      <c r="AT175" s="75" t="str">
        <f aca="false">IF(SUM($AS175)&lt;=0,"",IF(SUM($AR175)&lt;=0,"ENTER VALID YIELD!",ROUND($AS175/$AR175,0)-$AS175))</f>
        <v/>
      </c>
      <c r="AU175" s="118"/>
      <c r="AV175" s="75" t="n">
        <f aca="false">IF(OR(SUM($AE175)&lt;=0,SUM($G175)&lt;=0),"",ROUND($G175*$AE175,0))</f>
        <v>700</v>
      </c>
      <c r="AW175" s="75" t="str">
        <f aca="false">IF(SUM($AV175)&lt;=0,"",IF(SUM($AU175)&lt;=0,"ENTER VALID YIELD!",ROUND($AV175/$AU175,0)-$AV175))</f>
        <v>ENTER VALID YIELD!</v>
      </c>
      <c r="AX175" s="118"/>
      <c r="AY175" s="75" t="n">
        <f aca="false">IF(OR(SUM($AF175)&lt;=0,SUM($G175)&lt;=0),"",ROUND($G175*$AF175,0))</f>
        <v>80</v>
      </c>
      <c r="AZ175" s="75" t="str">
        <f aca="false">IF(SUM($AY175)&lt;=0,"",IF(SUM($AX175)&lt;=0,"ENTER VALID YIELD!",ROUND($AY175/$AX175,0)-$AY175))</f>
        <v>ENTER VALID YIELD!</v>
      </c>
      <c r="BA175" s="118" t="n">
        <v>28</v>
      </c>
      <c r="BB175" s="75" t="n">
        <f aca="false">IF(OR(SUM($AG175)&lt;=0,SUM($G175)&lt;=0),"",ROUND($G175*$AG175,0))</f>
        <v>520</v>
      </c>
      <c r="BC175" s="75" t="n">
        <f aca="false">IF(SUM($BB175)&lt;=0,"",IF(SUM($BA175)&lt;=0,"ENTER VALID YIELD!",ROUND($BB175/$BA175,0)-$BB175))</f>
        <v>-501</v>
      </c>
      <c r="BD175" s="118"/>
      <c r="BE175" s="75" t="n">
        <f aca="false">IF(OR(SUM($AH175)&lt;=0,SUM($G175)&lt;=0),"",ROUND($G175*$AH175,0))</f>
        <v>720</v>
      </c>
      <c r="BF175" s="75" t="str">
        <f aca="false">IF(SUM($BE175)&lt;=0,"",IF(SUM($BD175)&lt;=0,"ENTER VALID YIELD!",ROUND($BE175/$BD175,0)-$BE175))</f>
        <v>ENTER VALID YIELD!</v>
      </c>
      <c r="BG175" s="118"/>
      <c r="BH175" s="75" t="n">
        <f aca="false">IF(OR(SUM($AI175)&lt;=0,SUM($G175)&lt;=0),"",ROUND($G175*$AI175,0))</f>
        <v>700</v>
      </c>
      <c r="BI175" s="75" t="str">
        <f aca="false">IF(SUM($BH175)&lt;=0,"",IF(SUM($BG175)&lt;=0,"ENTER VALID YIELD!",ROUND($BH175/$BG175,0)-$BH175))</f>
        <v>ENTER VALID YIELD!</v>
      </c>
      <c r="BJ175" s="118"/>
      <c r="BK175" s="75" t="n">
        <f aca="false">IF(OR(SUM($AJ175)&lt;=0,SUM($G175)&lt;=0),"",ROUND($G175*$AJ175,0))</f>
        <v>860</v>
      </c>
      <c r="BL175" s="75" t="str">
        <f aca="false">IF(SUM($BK175)&lt;=0,"",IF(SUM($BJ175)&lt;=0,"ENTER VALID YIELD!",ROUND($BK175/$BJ175,0)-$BK175))</f>
        <v>ENTER VALID YIELD!</v>
      </c>
      <c r="BM175" s="73" t="n">
        <f aca="false">IF(SUM($G175)&lt;=0,"",$G175)</f>
        <v>20</v>
      </c>
      <c r="BN175" s="73" t="n">
        <f aca="false">IF(SUM($G175)&lt;=0,"",SUM($I175:$L175,$Q175,$S175,$AM175,$AP175,$AS175,$AV175,$AY175,$BB175,$BE175,$BH175,$BK175))</f>
        <v>2510</v>
      </c>
      <c r="BO175" s="73" t="n">
        <f aca="false">IF(AND(SUM($BN175)&lt;=0,SUM($BM175)&lt;=0),"",SUM($BN175)-SUM($BM175))</f>
        <v>2490</v>
      </c>
      <c r="BP175" s="73" t="n">
        <f aca="false">_xlfn.IFNA(INDEX(PMTCT!$AF:$AF,MATCH($E175,PMTCT!$E:$E,0)),"")</f>
        <v>972</v>
      </c>
      <c r="BQ175" s="73" t="str">
        <f aca="false">_xlfn.IFNA(INDEX(PMTCT!$AV:$AV,MATCH($E175,PMTCT!$E:$E,0)),"")</f>
        <v/>
      </c>
      <c r="BR175" s="73" t="n">
        <f aca="false">_xlfn.IFNA(INDEX(TB!$R:$R,MATCH($E175,TB!$E:$E,0)),"")</f>
        <v>-450</v>
      </c>
      <c r="BS175" s="73" t="str">
        <f aca="false">_xlfn.IFNA(INDEX(VMMC!$AD:$AD,MATCH($E175,VMMC!$E:$E,0)),"")</f>
        <v/>
      </c>
      <c r="BT175" s="73" t="n">
        <f aca="false">IF(SUM($R175,$T175,$AN175,$AQ175,$AT175,$AW175,$AZ175,$BC175,$BF175,$BI175,$BL175,$BP175:$BS175)=0,"",SUM($R175,$T175,$AN175,$AQ175,$AT175,$AW175,$AZ175,$BC175,$BF175,$BI175,$BL175,$BP175:$BS175))</f>
        <v>21</v>
      </c>
      <c r="BU175" s="73" t="n">
        <f aca="false">IF(OR(SUM($BT175)=0,SUM($BN175)=0),"",SUM($BT175,$BN175))</f>
        <v>2531</v>
      </c>
      <c r="BV175" s="118" t="n">
        <f aca="false">IF(SUM($BU175)=0,"",SUM($BN175)/$BU175)</f>
        <v>0.99170288423548</v>
      </c>
      <c r="BW175" s="73"/>
      <c r="BX175" s="118" t="n">
        <f aca="false">IF(OR($C175="01-04",$C175="05-09"),"",0%)</f>
        <v>0</v>
      </c>
      <c r="BY175" s="75" t="str">
        <f aca="false">IF(OR($C175="01-04",$C175="05-09",SUM($BW175)=0),"",ROUND($BW175*(1+$BX175),0))</f>
        <v/>
      </c>
    </row>
    <row r="176" customFormat="false" ht="15" hidden="false" customHeight="false" outlineLevel="0" collapsed="false">
      <c r="A176" s="0" t="s">
        <v>148</v>
      </c>
      <c r="B176" s="0" t="s">
        <v>113</v>
      </c>
      <c r="C176" s="0" t="s">
        <v>63</v>
      </c>
      <c r="D176" s="0" t="s">
        <v>58</v>
      </c>
      <c r="E176" s="0" t="str">
        <f aca="false">B176&amp;"|"&amp;C176&amp;"|"&amp;D176</f>
        <v>Mokhotlong [#SNU] [tjhYqc1MlVo]|15-19|Male</v>
      </c>
      <c r="F176" s="118" t="n">
        <f aca="false">_xlfn.IFNA(INDEX(Cascade!$Y:$Y,MATCH($E176,Cascade!$E:$E,0)),"")</f>
        <v>0.803571428571429</v>
      </c>
      <c r="G176" s="73" t="n">
        <f aca="false">_xlfn.IFNA(INDEX(Cascade!$BD:$BD,MATCH($E176,Cascade!$E:$E,0)),"")</f>
        <v>2</v>
      </c>
      <c r="H176" s="73" t="n">
        <f aca="false">_xlfn.IFNA(INDEX(Cascade!$BE:$BE,MATCH($E176,Cascade!$E:$E,0)),"")</f>
        <v>2</v>
      </c>
      <c r="I176" s="73" t="str">
        <f aca="false">_xlfn.IFNA(INDEX(Cascade!$BF:$BF,MATCH($E176,Cascade!$E:$E,0)),"")</f>
        <v/>
      </c>
      <c r="J176" s="73" t="str">
        <f aca="false">_xlfn.IFNA(INDEX(Cascade!$BG:$BG,MATCH($E176,Cascade!$E:$E,0)),"")</f>
        <v/>
      </c>
      <c r="K176" s="73" t="n">
        <f aca="false">_xlfn.IFNA(INDEX(Cascade!$BH:$BH,MATCH($E176,Cascade!$E:$E,0)),"")</f>
        <v>0</v>
      </c>
      <c r="L176" s="73" t="str">
        <f aca="false">_xlfn.IFNA(INDEX(Cascade!$BI:$BI,MATCH($E176,Cascade!$E:$E,0)),"")</f>
        <v/>
      </c>
      <c r="M176" s="73" t="n">
        <f aca="false">_xlfn.IFNA(INDEX(Cascade!$BK:$BK,MATCH($E176,Cascade!$E:$E,0)),"")</f>
        <v>0</v>
      </c>
      <c r="N176" s="118" t="n">
        <v>46</v>
      </c>
      <c r="O176" s="118"/>
      <c r="P176" s="118" t="n">
        <v>3</v>
      </c>
      <c r="Q176" s="75" t="str">
        <f aca="false">IF(OR(SUM($H176)=0,SUM($N176)=0,SUM($O176)=0),"",ROUND($H176*$N176,0))</f>
        <v/>
      </c>
      <c r="R176" s="75" t="str">
        <f aca="false">IF(OR(SUM($Q176)=0,SUM($O176)=0),"",ROUND(SUM($Q176)/SUM($O176),0)-SUM($Q176))</f>
        <v/>
      </c>
      <c r="S176" s="75" t="n">
        <f aca="false">IF(SUM($H176)=0,"",SUM($H176)-SUM($Q176))</f>
        <v>2</v>
      </c>
      <c r="T176" s="75" t="str">
        <f aca="false">IF(OR(SUM($S176)=0,$N176&gt;1,SUM($P176)&lt;=0),"",ROUND($S176/$P176,0)-$S176)</f>
        <v/>
      </c>
      <c r="U176" s="118" t="n">
        <f aca="false">IF(SUM($G176)&lt;=0,"",SUM($Q176,$S176)/$G176)</f>
        <v>1</v>
      </c>
      <c r="V176" s="118" t="str">
        <f aca="false">IF(OR(SUM($Q176)=0,SUM($G176)=0),"",SUM($Q176)/SUM($G176))</f>
        <v/>
      </c>
      <c r="W176" s="118" t="n">
        <f aca="false">IF(OR(SUM($S176)=0,SUM($G176)=0),"",SUM($S176)/SUM($G176))</f>
        <v>1</v>
      </c>
      <c r="X176" s="118" t="str">
        <f aca="false">IF(OR(SUM($G176)=0,SUM($I176)=0),"",SUM($I176)/SUM($G176))</f>
        <v/>
      </c>
      <c r="Y176" s="118" t="str">
        <f aca="false">IF(OR(SUM($G176)=0,SUM($J176)=0),"",SUM($J176)/SUM($G176))</f>
        <v/>
      </c>
      <c r="Z176" s="118" t="str">
        <f aca="false">IF(OR(SUM($G176)=0,SUM($K176)=0),"",SUM($K176)/SUM($G176))</f>
        <v/>
      </c>
      <c r="AA176" s="118" t="str">
        <f aca="false">IF(OR(SUM($G176)=0,SUM($L176)=0),"",SUM($L176)/SUM($G176))</f>
        <v/>
      </c>
      <c r="AB176" s="118" t="n">
        <v>37</v>
      </c>
      <c r="AC176" s="118"/>
      <c r="AD176" s="118"/>
      <c r="AE176" s="118" t="n">
        <v>2</v>
      </c>
      <c r="AF176" s="118" t="n">
        <v>3</v>
      </c>
      <c r="AG176" s="118" t="n">
        <v>23</v>
      </c>
      <c r="AH176" s="118" t="n">
        <v>47</v>
      </c>
      <c r="AI176" s="118" t="n">
        <v>40</v>
      </c>
      <c r="AJ176" s="118" t="n">
        <v>39</v>
      </c>
      <c r="AK176" s="118" t="n">
        <f aca="false">IF(SUM($G176)&lt;=0,"",SUM($V176:$AJ176))</f>
        <v>192</v>
      </c>
      <c r="AL176" s="118"/>
      <c r="AM176" s="75" t="n">
        <f aca="false">IF(OR(SUM($AB176)&lt;=0,SUM($G176)&lt;=0),"",ROUND($G176*$AB176,0))</f>
        <v>74</v>
      </c>
      <c r="AN176" s="75" t="str">
        <f aca="false">IF(SUM($AM176)&lt;=0,"",IF(SUM($AL176)&lt;=0,"ENTER VALID YIELD!",ROUND($AM176/$AL176,0)-$AM176))</f>
        <v>ENTER VALID YIELD!</v>
      </c>
      <c r="AO176" s="118"/>
      <c r="AP176" s="75" t="str">
        <f aca="false">IF(OR(SUM($AC176)&lt;=0,SUM($G176)&lt;=0),"",ROUND($G176*$AC176,0))</f>
        <v/>
      </c>
      <c r="AQ176" s="75" t="str">
        <f aca="false">IF(SUM($AP176)&lt;=0,"",IF(SUM($AO176)&lt;=0,"ENTER VALID YIELD!",ROUND($AP176/$AO176,0)-$AP176))</f>
        <v/>
      </c>
      <c r="AR176" s="118"/>
      <c r="AS176" s="75" t="str">
        <f aca="false">IF(OR(SUM($AD176)&lt;=0,SUM($G176)&lt;=0),"",ROUND($G176*$AD176,0))</f>
        <v/>
      </c>
      <c r="AT176" s="75" t="str">
        <f aca="false">IF(SUM($AS176)&lt;=0,"",IF(SUM($AR176)&lt;=0,"ENTER VALID YIELD!",ROUND($AS176/$AR176,0)-$AS176))</f>
        <v/>
      </c>
      <c r="AU176" s="118"/>
      <c r="AV176" s="75" t="n">
        <f aca="false">IF(OR(SUM($AE176)&lt;=0,SUM($G176)&lt;=0),"",ROUND($G176*$AE176,0))</f>
        <v>4</v>
      </c>
      <c r="AW176" s="75" t="str">
        <f aca="false">IF(SUM($AV176)&lt;=0,"",IF(SUM($AU176)&lt;=0,"ENTER VALID YIELD!",ROUND($AV176/$AU176,0)-$AV176))</f>
        <v>ENTER VALID YIELD!</v>
      </c>
      <c r="AX176" s="118"/>
      <c r="AY176" s="75" t="n">
        <f aca="false">IF(OR(SUM($AF176)&lt;=0,SUM($G176)&lt;=0),"",ROUND($G176*$AF176,0))</f>
        <v>6</v>
      </c>
      <c r="AZ176" s="75" t="str">
        <f aca="false">IF(SUM($AY176)&lt;=0,"",IF(SUM($AX176)&lt;=0,"ENTER VALID YIELD!",ROUND($AY176/$AX176,0)-$AY176))</f>
        <v>ENTER VALID YIELD!</v>
      </c>
      <c r="BA176" s="118" t="n">
        <v>39</v>
      </c>
      <c r="BB176" s="75" t="n">
        <f aca="false">IF(OR(SUM($AG176)&lt;=0,SUM($G176)&lt;=0),"",ROUND($G176*$AG176,0))</f>
        <v>46</v>
      </c>
      <c r="BC176" s="75" t="n">
        <f aca="false">IF(SUM($BB176)&lt;=0,"",IF(SUM($BA176)&lt;=0,"ENTER VALID YIELD!",ROUND($BB176/$BA176,0)-$BB176))</f>
        <v>-45</v>
      </c>
      <c r="BD176" s="118"/>
      <c r="BE176" s="75" t="n">
        <f aca="false">IF(OR(SUM($AH176)&lt;=0,SUM($G176)&lt;=0),"",ROUND($G176*$AH176,0))</f>
        <v>94</v>
      </c>
      <c r="BF176" s="75" t="str">
        <f aca="false">IF(SUM($BE176)&lt;=0,"",IF(SUM($BD176)&lt;=0,"ENTER VALID YIELD!",ROUND($BE176/$BD176,0)-$BE176))</f>
        <v>ENTER VALID YIELD!</v>
      </c>
      <c r="BG176" s="118"/>
      <c r="BH176" s="75" t="n">
        <f aca="false">IF(OR(SUM($AI176)&lt;=0,SUM($G176)&lt;=0),"",ROUND($G176*$AI176,0))</f>
        <v>80</v>
      </c>
      <c r="BI176" s="75" t="str">
        <f aca="false">IF(SUM($BH176)&lt;=0,"",IF(SUM($BG176)&lt;=0,"ENTER VALID YIELD!",ROUND($BH176/$BG176,0)-$BH176))</f>
        <v>ENTER VALID YIELD!</v>
      </c>
      <c r="BJ176" s="118"/>
      <c r="BK176" s="75" t="n">
        <f aca="false">IF(OR(SUM($AJ176)&lt;=0,SUM($G176)&lt;=0),"",ROUND($G176*$AJ176,0))</f>
        <v>78</v>
      </c>
      <c r="BL176" s="75" t="str">
        <f aca="false">IF(SUM($BK176)&lt;=0,"",IF(SUM($BJ176)&lt;=0,"ENTER VALID YIELD!",ROUND($BK176/$BJ176,0)-$BK176))</f>
        <v>ENTER VALID YIELD!</v>
      </c>
      <c r="BM176" s="73" t="n">
        <f aca="false">IF(SUM($G176)&lt;=0,"",$G176)</f>
        <v>2</v>
      </c>
      <c r="BN176" s="73" t="n">
        <f aca="false">IF(SUM($G176)&lt;=0,"",SUM($I176:$L176,$Q176,$S176,$AM176,$AP176,$AS176,$AV176,$AY176,$BB176,$BE176,$BH176,$BK176))</f>
        <v>384</v>
      </c>
      <c r="BO176" s="73" t="n">
        <f aca="false">IF(AND(SUM($BN176)&lt;=0,SUM($BM176)&lt;=0),"",SUM($BN176)-SUM($BM176))</f>
        <v>382</v>
      </c>
      <c r="BP176" s="73" t="str">
        <f aca="false">_xlfn.IFNA(INDEX(PMTCT!$AF:$AF,MATCH($E176,PMTCT!$E:$E,0)),"")</f>
        <v/>
      </c>
      <c r="BQ176" s="73" t="str">
        <f aca="false">_xlfn.IFNA(INDEX(PMTCT!$AV:$AV,MATCH($E176,PMTCT!$E:$E,0)),"")</f>
        <v/>
      </c>
      <c r="BR176" s="73" t="n">
        <f aca="false">_xlfn.IFNA(INDEX(TB!$R:$R,MATCH($E176,TB!$E:$E,0)),"")</f>
        <v>33</v>
      </c>
      <c r="BS176" s="73" t="str">
        <f aca="false">_xlfn.IFNA(INDEX(VMMC!$AD:$AD,MATCH($E176,VMMC!$E:$E,0)),"")</f>
        <v/>
      </c>
      <c r="BT176" s="73" t="n">
        <f aca="false">IF(SUM($R176,$T176,$AN176,$AQ176,$AT176,$AW176,$AZ176,$BC176,$BF176,$BI176,$BL176,$BP176:$BS176)=0,"",SUM($R176,$T176,$AN176,$AQ176,$AT176,$AW176,$AZ176,$BC176,$BF176,$BI176,$BL176,$BP176:$BS176))</f>
        <v>-12</v>
      </c>
      <c r="BU176" s="73" t="n">
        <f aca="false">IF(OR(SUM($BT176)=0,SUM($BN176)=0),"",SUM($BT176,$BN176))</f>
        <v>372</v>
      </c>
      <c r="BV176" s="118" t="n">
        <f aca="false">IF(SUM($BU176)=0,"",SUM($BN176)/$BU176)</f>
        <v>1.03225806451613</v>
      </c>
      <c r="BW176" s="73"/>
      <c r="BX176" s="118" t="n">
        <f aca="false">IF(OR($C176="01-04",$C176="05-09"),"",0%)</f>
        <v>0</v>
      </c>
      <c r="BY176" s="75" t="str">
        <f aca="false">IF(OR($C176="01-04",$C176="05-09",SUM($BW176)=0),"",ROUND($BW176*(1+$BX176),0))</f>
        <v/>
      </c>
    </row>
    <row r="177" customFormat="false" ht="15" hidden="false" customHeight="false" outlineLevel="0" collapsed="false">
      <c r="A177" s="0" t="s">
        <v>148</v>
      </c>
      <c r="B177" s="0" t="s">
        <v>113</v>
      </c>
      <c r="C177" s="0" t="s">
        <v>66</v>
      </c>
      <c r="D177" s="0" t="s">
        <v>56</v>
      </c>
      <c r="E177" s="0" t="str">
        <f aca="false">B177&amp;"|"&amp;C177&amp;"|"&amp;D177</f>
        <v>Mokhotlong [#SNU] [tjhYqc1MlVo]|20-24|Female</v>
      </c>
      <c r="F177" s="118" t="n">
        <f aca="false">_xlfn.IFNA(INDEX(Cascade!$Y:$Y,MATCH($E177,Cascade!$E:$E,0)),"")</f>
        <v>0.589622641509434</v>
      </c>
      <c r="G177" s="73" t="n">
        <f aca="false">_xlfn.IFNA(INDEX(Cascade!$BD:$BD,MATCH($E177,Cascade!$E:$E,0)),"")</f>
        <v>2</v>
      </c>
      <c r="H177" s="73" t="n">
        <f aca="false">_xlfn.IFNA(INDEX(Cascade!$BE:$BE,MATCH($E177,Cascade!$E:$E,0)),"")</f>
        <v>1</v>
      </c>
      <c r="I177" s="73" t="n">
        <f aca="false">_xlfn.IFNA(INDEX(Cascade!$BF:$BF,MATCH($E177,Cascade!$E:$E,0)),"")</f>
        <v>-15120</v>
      </c>
      <c r="J177" s="73" t="str">
        <f aca="false">_xlfn.IFNA(INDEX(Cascade!$BG:$BG,MATCH($E177,Cascade!$E:$E,0)),"")</f>
        <v/>
      </c>
      <c r="K177" s="73" t="n">
        <f aca="false">_xlfn.IFNA(INDEX(Cascade!$BH:$BH,MATCH($E177,Cascade!$E:$E,0)),"")</f>
        <v>-44640</v>
      </c>
      <c r="L177" s="73" t="str">
        <f aca="false">_xlfn.IFNA(INDEX(Cascade!$BI:$BI,MATCH($E177,Cascade!$E:$E,0)),"")</f>
        <v/>
      </c>
      <c r="M177" s="73" t="n">
        <f aca="false">_xlfn.IFNA(INDEX(Cascade!$BK:$BK,MATCH($E177,Cascade!$E:$E,0)),"")</f>
        <v>59761</v>
      </c>
      <c r="N177" s="118" t="n">
        <v>22</v>
      </c>
      <c r="O177" s="118"/>
      <c r="P177" s="118" t="n">
        <v>19</v>
      </c>
      <c r="Q177" s="75" t="str">
        <f aca="false">IF(OR(SUM($H177)=0,SUM($N177)=0,SUM($O177)=0),"",ROUND($H177*$N177,0))</f>
        <v/>
      </c>
      <c r="R177" s="75" t="str">
        <f aca="false">IF(OR(SUM($Q177)=0,SUM($O177)=0),"",ROUND(SUM($Q177)/SUM($O177),0)-SUM($Q177))</f>
        <v/>
      </c>
      <c r="S177" s="75" t="n">
        <f aca="false">IF(SUM($H177)=0,"",SUM($H177)-SUM($Q177))</f>
        <v>1</v>
      </c>
      <c r="T177" s="75" t="str">
        <f aca="false">IF(OR(SUM($S177)=0,$N177&gt;1,SUM($P177)&lt;=0),"",ROUND($S177/$P177,0)-$S177)</f>
        <v/>
      </c>
      <c r="U177" s="118" t="n">
        <f aca="false">IF(SUM($G177)&lt;=0,"",SUM($Q177,$S177)/$G177)</f>
        <v>0.5</v>
      </c>
      <c r="V177" s="118" t="str">
        <f aca="false">IF(OR(SUM($Q177)=0,SUM($G177)=0),"",SUM($Q177)/SUM($G177))</f>
        <v/>
      </c>
      <c r="W177" s="118" t="n">
        <f aca="false">IF(OR(SUM($S177)=0,SUM($G177)=0),"",SUM($S177)/SUM($G177))</f>
        <v>0.5</v>
      </c>
      <c r="X177" s="118" t="n">
        <f aca="false">IF(OR(SUM($G177)=0,SUM($I177)=0),"",SUM($I177)/SUM($G177))</f>
        <v>-7560</v>
      </c>
      <c r="Y177" s="118" t="str">
        <f aca="false">IF(OR(SUM($G177)=0,SUM($J177)=0),"",SUM($J177)/SUM($G177))</f>
        <v/>
      </c>
      <c r="Z177" s="118" t="n">
        <f aca="false">IF(OR(SUM($G177)=0,SUM($K177)=0),"",SUM($K177)/SUM($G177))</f>
        <v>-22320</v>
      </c>
      <c r="AA177" s="118" t="str">
        <f aca="false">IF(OR(SUM($G177)=0,SUM($L177)=0),"",SUM($L177)/SUM($G177))</f>
        <v/>
      </c>
      <c r="AB177" s="118" t="n">
        <v>12</v>
      </c>
      <c r="AC177" s="118"/>
      <c r="AD177" s="118"/>
      <c r="AE177" s="118" t="n">
        <v>37</v>
      </c>
      <c r="AF177" s="118" t="n">
        <v>19</v>
      </c>
      <c r="AG177" s="118" t="n">
        <v>28</v>
      </c>
      <c r="AH177" s="118" t="n">
        <v>21</v>
      </c>
      <c r="AI177" s="118" t="n">
        <v>3</v>
      </c>
      <c r="AJ177" s="118" t="n">
        <v>32</v>
      </c>
      <c r="AK177" s="118" t="n">
        <f aca="false">IF(SUM($G177)&lt;=0,"",SUM($V177:$AJ177))</f>
        <v>-29727.5</v>
      </c>
      <c r="AL177" s="118"/>
      <c r="AM177" s="75" t="n">
        <f aca="false">IF(OR(SUM($AB177)&lt;=0,SUM($G177)&lt;=0),"",ROUND($G177*$AB177,0))</f>
        <v>24</v>
      </c>
      <c r="AN177" s="75" t="str">
        <f aca="false">IF(SUM($AM177)&lt;=0,"",IF(SUM($AL177)&lt;=0,"ENTER VALID YIELD!",ROUND($AM177/$AL177,0)-$AM177))</f>
        <v>ENTER VALID YIELD!</v>
      </c>
      <c r="AO177" s="118"/>
      <c r="AP177" s="75" t="str">
        <f aca="false">IF(OR(SUM($AC177)&lt;=0,SUM($G177)&lt;=0),"",ROUND($G177*$AC177,0))</f>
        <v/>
      </c>
      <c r="AQ177" s="75" t="str">
        <f aca="false">IF(SUM($AP177)&lt;=0,"",IF(SUM($AO177)&lt;=0,"ENTER VALID YIELD!",ROUND($AP177/$AO177,0)-$AP177))</f>
        <v/>
      </c>
      <c r="AR177" s="118"/>
      <c r="AS177" s="75" t="str">
        <f aca="false">IF(OR(SUM($AD177)&lt;=0,SUM($G177)&lt;=0),"",ROUND($G177*$AD177,0))</f>
        <v/>
      </c>
      <c r="AT177" s="75" t="str">
        <f aca="false">IF(SUM($AS177)&lt;=0,"",IF(SUM($AR177)&lt;=0,"ENTER VALID YIELD!",ROUND($AS177/$AR177,0)-$AS177))</f>
        <v/>
      </c>
      <c r="AU177" s="118"/>
      <c r="AV177" s="75" t="n">
        <f aca="false">IF(OR(SUM($AE177)&lt;=0,SUM($G177)&lt;=0),"",ROUND($G177*$AE177,0))</f>
        <v>74</v>
      </c>
      <c r="AW177" s="75" t="str">
        <f aca="false">IF(SUM($AV177)&lt;=0,"",IF(SUM($AU177)&lt;=0,"ENTER VALID YIELD!",ROUND($AV177/$AU177,0)-$AV177))</f>
        <v>ENTER VALID YIELD!</v>
      </c>
      <c r="AX177" s="118"/>
      <c r="AY177" s="75" t="n">
        <f aca="false">IF(OR(SUM($AF177)&lt;=0,SUM($G177)&lt;=0),"",ROUND($G177*$AF177,0))</f>
        <v>38</v>
      </c>
      <c r="AZ177" s="75" t="str">
        <f aca="false">IF(SUM($AY177)&lt;=0,"",IF(SUM($AX177)&lt;=0,"ENTER VALID YIELD!",ROUND($AY177/$AX177,0)-$AY177))</f>
        <v>ENTER VALID YIELD!</v>
      </c>
      <c r="BA177" s="118" t="n">
        <v>47</v>
      </c>
      <c r="BB177" s="75" t="n">
        <f aca="false">IF(OR(SUM($AG177)&lt;=0,SUM($G177)&lt;=0),"",ROUND($G177*$AG177,0))</f>
        <v>56</v>
      </c>
      <c r="BC177" s="75" t="n">
        <f aca="false">IF(SUM($BB177)&lt;=0,"",IF(SUM($BA177)&lt;=0,"ENTER VALID YIELD!",ROUND($BB177/$BA177,0)-$BB177))</f>
        <v>-55</v>
      </c>
      <c r="BD177" s="118"/>
      <c r="BE177" s="75" t="n">
        <f aca="false">IF(OR(SUM($AH177)&lt;=0,SUM($G177)&lt;=0),"",ROUND($G177*$AH177,0))</f>
        <v>42</v>
      </c>
      <c r="BF177" s="75" t="str">
        <f aca="false">IF(SUM($BE177)&lt;=0,"",IF(SUM($BD177)&lt;=0,"ENTER VALID YIELD!",ROUND($BE177/$BD177,0)-$BE177))</f>
        <v>ENTER VALID YIELD!</v>
      </c>
      <c r="BG177" s="118"/>
      <c r="BH177" s="75" t="n">
        <f aca="false">IF(OR(SUM($AI177)&lt;=0,SUM($G177)&lt;=0),"",ROUND($G177*$AI177,0))</f>
        <v>6</v>
      </c>
      <c r="BI177" s="75" t="str">
        <f aca="false">IF(SUM($BH177)&lt;=0,"",IF(SUM($BG177)&lt;=0,"ENTER VALID YIELD!",ROUND($BH177/$BG177,0)-$BH177))</f>
        <v>ENTER VALID YIELD!</v>
      </c>
      <c r="BJ177" s="118"/>
      <c r="BK177" s="75" t="n">
        <f aca="false">IF(OR(SUM($AJ177)&lt;=0,SUM($G177)&lt;=0),"",ROUND($G177*$AJ177,0))</f>
        <v>64</v>
      </c>
      <c r="BL177" s="75" t="str">
        <f aca="false">IF(SUM($BK177)&lt;=0,"",IF(SUM($BJ177)&lt;=0,"ENTER VALID YIELD!",ROUND($BK177/$BJ177,0)-$BK177))</f>
        <v>ENTER VALID YIELD!</v>
      </c>
      <c r="BM177" s="73" t="n">
        <f aca="false">IF(SUM($G177)&lt;=0,"",$G177)</f>
        <v>2</v>
      </c>
      <c r="BN177" s="73" t="n">
        <f aca="false">IF(SUM($G177)&lt;=0,"",SUM($I177:$L177,$Q177,$S177,$AM177,$AP177,$AS177,$AV177,$AY177,$BB177,$BE177,$BH177,$BK177))</f>
        <v>-59455</v>
      </c>
      <c r="BO177" s="73" t="n">
        <f aca="false">IF(AND(SUM($BN177)&lt;=0,SUM($BM177)&lt;=0),"",SUM($BN177)-SUM($BM177))</f>
        <v>-59457</v>
      </c>
      <c r="BP177" s="73" t="n">
        <f aca="false">_xlfn.IFNA(INDEX(PMTCT!$AF:$AF,MATCH($E177,PMTCT!$E:$E,0)),"")</f>
        <v>14616</v>
      </c>
      <c r="BQ177" s="73" t="str">
        <f aca="false">_xlfn.IFNA(INDEX(PMTCT!$AV:$AV,MATCH($E177,PMTCT!$E:$E,0)),"")</f>
        <v/>
      </c>
      <c r="BR177" s="73" t="n">
        <f aca="false">_xlfn.IFNA(INDEX(TB!$R:$R,MATCH($E177,TB!$E:$E,0)),"")</f>
        <v>43710</v>
      </c>
      <c r="BS177" s="73" t="str">
        <f aca="false">_xlfn.IFNA(INDEX(VMMC!$AD:$AD,MATCH($E177,VMMC!$E:$E,0)),"")</f>
        <v/>
      </c>
      <c r="BT177" s="73" t="n">
        <f aca="false">IF(SUM($R177,$T177,$AN177,$AQ177,$AT177,$AW177,$AZ177,$BC177,$BF177,$BI177,$BL177,$BP177:$BS177)=0,"",SUM($R177,$T177,$AN177,$AQ177,$AT177,$AW177,$AZ177,$BC177,$BF177,$BI177,$BL177,$BP177:$BS177))</f>
        <v>58271</v>
      </c>
      <c r="BU177" s="73" t="n">
        <f aca="false">IF(OR(SUM($BT177)=0,SUM($BN177)=0),"",SUM($BT177,$BN177))</f>
        <v>-1184</v>
      </c>
      <c r="BV177" s="118" t="n">
        <f aca="false">IF(SUM($BU177)=0,"",SUM($BN177)/$BU177)</f>
        <v>50.2153716216216</v>
      </c>
      <c r="BW177" s="73"/>
      <c r="BX177" s="118" t="n">
        <f aca="false">IF(OR($C177="01-04",$C177="05-09"),"",0%)</f>
        <v>0</v>
      </c>
      <c r="BY177" s="75" t="str">
        <f aca="false">IF(OR($C177="01-04",$C177="05-09",SUM($BW177)=0),"",ROUND($BW177*(1+$BX177),0))</f>
        <v/>
      </c>
    </row>
    <row r="178" customFormat="false" ht="15" hidden="false" customHeight="false" outlineLevel="0" collapsed="false">
      <c r="A178" s="0" t="s">
        <v>148</v>
      </c>
      <c r="B178" s="0" t="s">
        <v>113</v>
      </c>
      <c r="C178" s="0" t="s">
        <v>66</v>
      </c>
      <c r="D178" s="0" t="s">
        <v>58</v>
      </c>
      <c r="E178" s="0" t="str">
        <f aca="false">B178&amp;"|"&amp;C178&amp;"|"&amp;D178</f>
        <v>Mokhotlong [#SNU] [tjhYqc1MlVo]|20-24|Male</v>
      </c>
      <c r="F178" s="118" t="n">
        <f aca="false">_xlfn.IFNA(INDEX(Cascade!$Y:$Y,MATCH($E178,Cascade!$E:$E,0)),"")</f>
        <v>0.530864197530864</v>
      </c>
      <c r="G178" s="73" t="n">
        <f aca="false">_xlfn.IFNA(INDEX(Cascade!$BD:$BD,MATCH($E178,Cascade!$E:$E,0)),"")</f>
        <v>24</v>
      </c>
      <c r="H178" s="73" t="n">
        <f aca="false">_xlfn.IFNA(INDEX(Cascade!$BE:$BE,MATCH($E178,Cascade!$E:$E,0)),"")</f>
        <v>7</v>
      </c>
      <c r="I178" s="73" t="str">
        <f aca="false">_xlfn.IFNA(INDEX(Cascade!$BF:$BF,MATCH($E178,Cascade!$E:$E,0)),"")</f>
        <v/>
      </c>
      <c r="J178" s="73" t="str">
        <f aca="false">_xlfn.IFNA(INDEX(Cascade!$BG:$BG,MATCH($E178,Cascade!$E:$E,0)),"")</f>
        <v/>
      </c>
      <c r="K178" s="73" t="n">
        <f aca="false">_xlfn.IFNA(INDEX(Cascade!$BH:$BH,MATCH($E178,Cascade!$E:$E,0)),"")</f>
        <v>0</v>
      </c>
      <c r="L178" s="73" t="str">
        <f aca="false">_xlfn.IFNA(INDEX(Cascade!$BI:$BI,MATCH($E178,Cascade!$E:$E,0)),"")</f>
        <v/>
      </c>
      <c r="M178" s="73" t="n">
        <f aca="false">_xlfn.IFNA(INDEX(Cascade!$BK:$BK,MATCH($E178,Cascade!$E:$E,0)),"")</f>
        <v>17</v>
      </c>
      <c r="N178" s="118"/>
      <c r="O178" s="118"/>
      <c r="P178" s="118"/>
      <c r="Q178" s="75" t="str">
        <f aca="false">IF(OR(SUM($H178)=0,SUM($N178)=0,SUM($O178)=0),"",ROUND($H178*$N178,0))</f>
        <v/>
      </c>
      <c r="R178" s="75" t="str">
        <f aca="false">IF(OR(SUM($Q178)=0,SUM($O178)=0),"",ROUND(SUM($Q178)/SUM($O178),0)-SUM($Q178))</f>
        <v/>
      </c>
      <c r="S178" s="75" t="n">
        <f aca="false">IF(SUM($H178)=0,"",SUM($H178)-SUM($Q178))</f>
        <v>7</v>
      </c>
      <c r="T178" s="75" t="str">
        <f aca="false">IF(OR(SUM($S178)=0,$N178&gt;1,SUM($P178)&lt;=0),"",ROUND($S178/$P178,0)-$S178)</f>
        <v/>
      </c>
      <c r="U178" s="118" t="n">
        <f aca="false">IF(SUM($G178)&lt;=0,"",SUM($Q178,$S178)/$G178)</f>
        <v>0.291666666666667</v>
      </c>
      <c r="V178" s="118" t="str">
        <f aca="false">IF(OR(SUM($Q178)=0,SUM($G178)=0),"",SUM($Q178)/SUM($G178))</f>
        <v/>
      </c>
      <c r="W178" s="118" t="n">
        <f aca="false">IF(OR(SUM($S178)=0,SUM($G178)=0),"",SUM($S178)/SUM($G178))</f>
        <v>0.291666666666667</v>
      </c>
      <c r="X178" s="118" t="str">
        <f aca="false">IF(OR(SUM($G178)=0,SUM($I178)=0),"",SUM($I178)/SUM($G178))</f>
        <v/>
      </c>
      <c r="Y178" s="118" t="str">
        <f aca="false">IF(OR(SUM($G178)=0,SUM($J178)=0),"",SUM($J178)/SUM($G178))</f>
        <v/>
      </c>
      <c r="Z178" s="118" t="str">
        <f aca="false">IF(OR(SUM($G178)=0,SUM($K178)=0),"",SUM($K178)/SUM($G178))</f>
        <v/>
      </c>
      <c r="AA178" s="118" t="str">
        <f aca="false">IF(OR(SUM($G178)=0,SUM($L178)=0),"",SUM($L178)/SUM($G178))</f>
        <v/>
      </c>
      <c r="AB178" s="118" t="n">
        <v>41</v>
      </c>
      <c r="AC178" s="118"/>
      <c r="AD178" s="118"/>
      <c r="AE178" s="118" t="n">
        <v>7</v>
      </c>
      <c r="AF178" s="118" t="n">
        <v>35</v>
      </c>
      <c r="AG178" s="118" t="n">
        <v>45</v>
      </c>
      <c r="AH178" s="118" t="n">
        <v>41</v>
      </c>
      <c r="AI178" s="118" t="n">
        <v>23</v>
      </c>
      <c r="AJ178" s="118" t="n">
        <v>29</v>
      </c>
      <c r="AK178" s="118" t="n">
        <f aca="false">IF(SUM($G178)&lt;=0,"",SUM($V178:$AJ178))</f>
        <v>221.291666666667</v>
      </c>
      <c r="AL178" s="118"/>
      <c r="AM178" s="75" t="n">
        <f aca="false">IF(OR(SUM($AB178)&lt;=0,SUM($G178)&lt;=0),"",ROUND($G178*$AB178,0))</f>
        <v>984</v>
      </c>
      <c r="AN178" s="75" t="str">
        <f aca="false">IF(SUM($AM178)&lt;=0,"",IF(SUM($AL178)&lt;=0,"ENTER VALID YIELD!",ROUND($AM178/$AL178,0)-$AM178))</f>
        <v>ENTER VALID YIELD!</v>
      </c>
      <c r="AO178" s="118"/>
      <c r="AP178" s="75" t="str">
        <f aca="false">IF(OR(SUM($AC178)&lt;=0,SUM($G178)&lt;=0),"",ROUND($G178*$AC178,0))</f>
        <v/>
      </c>
      <c r="AQ178" s="75" t="str">
        <f aca="false">IF(SUM($AP178)&lt;=0,"",IF(SUM($AO178)&lt;=0,"ENTER VALID YIELD!",ROUND($AP178/$AO178,0)-$AP178))</f>
        <v/>
      </c>
      <c r="AR178" s="118"/>
      <c r="AS178" s="75" t="str">
        <f aca="false">IF(OR(SUM($AD178)&lt;=0,SUM($G178)&lt;=0),"",ROUND($G178*$AD178,0))</f>
        <v/>
      </c>
      <c r="AT178" s="75" t="str">
        <f aca="false">IF(SUM($AS178)&lt;=0,"",IF(SUM($AR178)&lt;=0,"ENTER VALID YIELD!",ROUND($AS178/$AR178,0)-$AS178))</f>
        <v/>
      </c>
      <c r="AU178" s="118"/>
      <c r="AV178" s="75" t="n">
        <f aca="false">IF(OR(SUM($AE178)&lt;=0,SUM($G178)&lt;=0),"",ROUND($G178*$AE178,0))</f>
        <v>168</v>
      </c>
      <c r="AW178" s="75" t="str">
        <f aca="false">IF(SUM($AV178)&lt;=0,"",IF(SUM($AU178)&lt;=0,"ENTER VALID YIELD!",ROUND($AV178/$AU178,0)-$AV178))</f>
        <v>ENTER VALID YIELD!</v>
      </c>
      <c r="AX178" s="118"/>
      <c r="AY178" s="75" t="n">
        <f aca="false">IF(OR(SUM($AF178)&lt;=0,SUM($G178)&lt;=0),"",ROUND($G178*$AF178,0))</f>
        <v>840</v>
      </c>
      <c r="AZ178" s="75" t="str">
        <f aca="false">IF(SUM($AY178)&lt;=0,"",IF(SUM($AX178)&lt;=0,"ENTER VALID YIELD!",ROUND($AY178/$AX178,0)-$AY178))</f>
        <v>ENTER VALID YIELD!</v>
      </c>
      <c r="BA178" s="118" t="n">
        <v>23</v>
      </c>
      <c r="BB178" s="75" t="n">
        <f aca="false">IF(OR(SUM($AG178)&lt;=0,SUM($G178)&lt;=0),"",ROUND($G178*$AG178,0))</f>
        <v>1080</v>
      </c>
      <c r="BC178" s="75" t="n">
        <f aca="false">IF(SUM($BB178)&lt;=0,"",IF(SUM($BA178)&lt;=0,"ENTER VALID YIELD!",ROUND($BB178/$BA178,0)-$BB178))</f>
        <v>-1033</v>
      </c>
      <c r="BD178" s="118"/>
      <c r="BE178" s="75" t="n">
        <f aca="false">IF(OR(SUM($AH178)&lt;=0,SUM($G178)&lt;=0),"",ROUND($G178*$AH178,0))</f>
        <v>984</v>
      </c>
      <c r="BF178" s="75" t="str">
        <f aca="false">IF(SUM($BE178)&lt;=0,"",IF(SUM($BD178)&lt;=0,"ENTER VALID YIELD!",ROUND($BE178/$BD178,0)-$BE178))</f>
        <v>ENTER VALID YIELD!</v>
      </c>
      <c r="BG178" s="118"/>
      <c r="BH178" s="75" t="n">
        <f aca="false">IF(OR(SUM($AI178)&lt;=0,SUM($G178)&lt;=0),"",ROUND($G178*$AI178,0))</f>
        <v>552</v>
      </c>
      <c r="BI178" s="75" t="str">
        <f aca="false">IF(SUM($BH178)&lt;=0,"",IF(SUM($BG178)&lt;=0,"ENTER VALID YIELD!",ROUND($BH178/$BG178,0)-$BH178))</f>
        <v>ENTER VALID YIELD!</v>
      </c>
      <c r="BJ178" s="118"/>
      <c r="BK178" s="75" t="n">
        <f aca="false">IF(OR(SUM($AJ178)&lt;=0,SUM($G178)&lt;=0),"",ROUND($G178*$AJ178,0))</f>
        <v>696</v>
      </c>
      <c r="BL178" s="75" t="str">
        <f aca="false">IF(SUM($BK178)&lt;=0,"",IF(SUM($BJ178)&lt;=0,"ENTER VALID YIELD!",ROUND($BK178/$BJ178,0)-$BK178))</f>
        <v>ENTER VALID YIELD!</v>
      </c>
      <c r="BM178" s="73" t="n">
        <f aca="false">IF(SUM($G178)&lt;=0,"",$G178)</f>
        <v>24</v>
      </c>
      <c r="BN178" s="73" t="n">
        <f aca="false">IF(SUM($G178)&lt;=0,"",SUM($I178:$L178,$Q178,$S178,$AM178,$AP178,$AS178,$AV178,$AY178,$BB178,$BE178,$BH178,$BK178))</f>
        <v>5311</v>
      </c>
      <c r="BO178" s="73" t="n">
        <f aca="false">IF(AND(SUM($BN178)&lt;=0,SUM($BM178)&lt;=0),"",SUM($BN178)-SUM($BM178))</f>
        <v>5287</v>
      </c>
      <c r="BP178" s="73" t="str">
        <f aca="false">_xlfn.IFNA(INDEX(PMTCT!$AF:$AF,MATCH($E178,PMTCT!$E:$E,0)),"")</f>
        <v/>
      </c>
      <c r="BQ178" s="73" t="str">
        <f aca="false">_xlfn.IFNA(INDEX(PMTCT!$AV:$AV,MATCH($E178,PMTCT!$E:$E,0)),"")</f>
        <v/>
      </c>
      <c r="BR178" s="73" t="n">
        <f aca="false">_xlfn.IFNA(INDEX(TB!$R:$R,MATCH($E178,TB!$E:$E,0)),"")</f>
        <v>35</v>
      </c>
      <c r="BS178" s="73" t="str">
        <f aca="false">_xlfn.IFNA(INDEX(VMMC!$AD:$AD,MATCH($E178,VMMC!$E:$E,0)),"")</f>
        <v/>
      </c>
      <c r="BT178" s="73" t="n">
        <f aca="false">IF(SUM($R178,$T178,$AN178,$AQ178,$AT178,$AW178,$AZ178,$BC178,$BF178,$BI178,$BL178,$BP178:$BS178)=0,"",SUM($R178,$T178,$AN178,$AQ178,$AT178,$AW178,$AZ178,$BC178,$BF178,$BI178,$BL178,$BP178:$BS178))</f>
        <v>-998</v>
      </c>
      <c r="BU178" s="73" t="n">
        <f aca="false">IF(OR(SUM($BT178)=0,SUM($BN178)=0),"",SUM($BT178,$BN178))</f>
        <v>4313</v>
      </c>
      <c r="BV178" s="118" t="n">
        <f aca="false">IF(SUM($BU178)=0,"",SUM($BN178)/$BU178)</f>
        <v>1.23139346162764</v>
      </c>
      <c r="BW178" s="73"/>
      <c r="BX178" s="118" t="n">
        <f aca="false">IF(OR($C178="01-04",$C178="05-09"),"",0%)</f>
        <v>0</v>
      </c>
      <c r="BY178" s="75" t="str">
        <f aca="false">IF(OR($C178="01-04",$C178="05-09",SUM($BW178)=0),"",ROUND($BW178*(1+$BX178),0))</f>
        <v/>
      </c>
    </row>
    <row r="179" customFormat="false" ht="15" hidden="false" customHeight="false" outlineLevel="0" collapsed="false">
      <c r="A179" s="0" t="s">
        <v>148</v>
      </c>
      <c r="B179" s="0" t="s">
        <v>113</v>
      </c>
      <c r="C179" s="0" t="s">
        <v>69</v>
      </c>
      <c r="D179" s="0" t="s">
        <v>56</v>
      </c>
      <c r="E179" s="0" t="str">
        <f aca="false">B179&amp;"|"&amp;C179&amp;"|"&amp;D179</f>
        <v>Mokhotlong [#SNU] [tjhYqc1MlVo]|25-29|Female</v>
      </c>
      <c r="F179" s="118" t="n">
        <f aca="false">_xlfn.IFNA(INDEX(Cascade!$Y:$Y,MATCH($E179,Cascade!$E:$E,0)),"")</f>
        <v>0.603281853281853</v>
      </c>
      <c r="G179" s="73" t="n">
        <f aca="false">_xlfn.IFNA(INDEX(Cascade!$BD:$BD,MATCH($E179,Cascade!$E:$E,0)),"")</f>
        <v>20</v>
      </c>
      <c r="H179" s="73" t="n">
        <f aca="false">_xlfn.IFNA(INDEX(Cascade!$BE:$BE,MATCH($E179,Cascade!$E:$E,0)),"")</f>
        <v>6</v>
      </c>
      <c r="I179" s="73" t="n">
        <f aca="false">_xlfn.IFNA(INDEX(Cascade!$BF:$BF,MATCH($E179,Cascade!$E:$E,0)),"")</f>
        <v>-12580</v>
      </c>
      <c r="J179" s="73" t="str">
        <f aca="false">_xlfn.IFNA(INDEX(Cascade!$BG:$BG,MATCH($E179,Cascade!$E:$E,0)),"")</f>
        <v/>
      </c>
      <c r="K179" s="73" t="n">
        <f aca="false">_xlfn.IFNA(INDEX(Cascade!$BH:$BH,MATCH($E179,Cascade!$E:$E,0)),"")</f>
        <v>-210</v>
      </c>
      <c r="L179" s="73" t="str">
        <f aca="false">_xlfn.IFNA(INDEX(Cascade!$BI:$BI,MATCH($E179,Cascade!$E:$E,0)),"")</f>
        <v/>
      </c>
      <c r="M179" s="73" t="n">
        <f aca="false">_xlfn.IFNA(INDEX(Cascade!$BK:$BK,MATCH($E179,Cascade!$E:$E,0)),"")</f>
        <v>12804</v>
      </c>
      <c r="N179" s="118" t="n">
        <v>19</v>
      </c>
      <c r="O179" s="118"/>
      <c r="P179" s="118" t="n">
        <v>42</v>
      </c>
      <c r="Q179" s="75" t="str">
        <f aca="false">IF(OR(SUM($H179)=0,SUM($N179)=0,SUM($O179)=0),"",ROUND($H179*$N179,0))</f>
        <v/>
      </c>
      <c r="R179" s="75" t="str">
        <f aca="false">IF(OR(SUM($Q179)=0,SUM($O179)=0),"",ROUND(SUM($Q179)/SUM($O179),0)-SUM($Q179))</f>
        <v/>
      </c>
      <c r="S179" s="75" t="n">
        <f aca="false">IF(SUM($H179)=0,"",SUM($H179)-SUM($Q179))</f>
        <v>6</v>
      </c>
      <c r="T179" s="75" t="str">
        <f aca="false">IF(OR(SUM($S179)=0,$N179&gt;1,SUM($P179)&lt;=0),"",ROUND($S179/$P179,0)-$S179)</f>
        <v/>
      </c>
      <c r="U179" s="118" t="n">
        <f aca="false">IF(SUM($G179)&lt;=0,"",SUM($Q179,$S179)/$G179)</f>
        <v>0.3</v>
      </c>
      <c r="V179" s="118" t="str">
        <f aca="false">IF(OR(SUM($Q179)=0,SUM($G179)=0),"",SUM($Q179)/SUM($G179))</f>
        <v/>
      </c>
      <c r="W179" s="118" t="n">
        <f aca="false">IF(OR(SUM($S179)=0,SUM($G179)=0),"",SUM($S179)/SUM($G179))</f>
        <v>0.3</v>
      </c>
      <c r="X179" s="118" t="n">
        <f aca="false">IF(OR(SUM($G179)=0,SUM($I179)=0),"",SUM($I179)/SUM($G179))</f>
        <v>-629</v>
      </c>
      <c r="Y179" s="118" t="str">
        <f aca="false">IF(OR(SUM($G179)=0,SUM($J179)=0),"",SUM($J179)/SUM($G179))</f>
        <v/>
      </c>
      <c r="Z179" s="118" t="n">
        <f aca="false">IF(OR(SUM($G179)=0,SUM($K179)=0),"",SUM($K179)/SUM($G179))</f>
        <v>-10.5</v>
      </c>
      <c r="AA179" s="118" t="str">
        <f aca="false">IF(OR(SUM($G179)=0,SUM($L179)=0),"",SUM($L179)/SUM($G179))</f>
        <v/>
      </c>
      <c r="AB179" s="118" t="n">
        <v>12</v>
      </c>
      <c r="AC179" s="118"/>
      <c r="AD179" s="118"/>
      <c r="AE179" s="118" t="n">
        <v>46</v>
      </c>
      <c r="AF179" s="118" t="n">
        <v>20</v>
      </c>
      <c r="AG179" s="118" t="n">
        <v>16</v>
      </c>
      <c r="AH179" s="118" t="n">
        <v>39</v>
      </c>
      <c r="AI179" s="118" t="n">
        <v>19</v>
      </c>
      <c r="AJ179" s="118" t="n">
        <v>12</v>
      </c>
      <c r="AK179" s="118" t="n">
        <f aca="false">IF(SUM($G179)&lt;=0,"",SUM($V179:$AJ179))</f>
        <v>-475.2</v>
      </c>
      <c r="AL179" s="118" t="n">
        <v>45</v>
      </c>
      <c r="AM179" s="75" t="n">
        <f aca="false">IF(OR(SUM($AB179)&lt;=0,SUM($G179)&lt;=0),"",ROUND($G179*$AB179,0))</f>
        <v>240</v>
      </c>
      <c r="AN179" s="75" t="n">
        <f aca="false">IF(SUM($AM179)&lt;=0,"",IF(SUM($AL179)&lt;=0,"ENTER VALID YIELD!",ROUND($AM179/$AL179,0)-$AM179))</f>
        <v>-235</v>
      </c>
      <c r="AO179" s="118"/>
      <c r="AP179" s="75" t="str">
        <f aca="false">IF(OR(SUM($AC179)&lt;=0,SUM($G179)&lt;=0),"",ROUND($G179*$AC179,0))</f>
        <v/>
      </c>
      <c r="AQ179" s="75" t="str">
        <f aca="false">IF(SUM($AP179)&lt;=0,"",IF(SUM($AO179)&lt;=0,"ENTER VALID YIELD!",ROUND($AP179/$AO179,0)-$AP179))</f>
        <v/>
      </c>
      <c r="AR179" s="118"/>
      <c r="AS179" s="75" t="str">
        <f aca="false">IF(OR(SUM($AD179)&lt;=0,SUM($G179)&lt;=0),"",ROUND($G179*$AD179,0))</f>
        <v/>
      </c>
      <c r="AT179" s="75" t="str">
        <f aca="false">IF(SUM($AS179)&lt;=0,"",IF(SUM($AR179)&lt;=0,"ENTER VALID YIELD!",ROUND($AS179/$AR179,0)-$AS179))</f>
        <v/>
      </c>
      <c r="AU179" s="118"/>
      <c r="AV179" s="75" t="n">
        <f aca="false">IF(OR(SUM($AE179)&lt;=0,SUM($G179)&lt;=0),"",ROUND($G179*$AE179,0))</f>
        <v>920</v>
      </c>
      <c r="AW179" s="75" t="str">
        <f aca="false">IF(SUM($AV179)&lt;=0,"",IF(SUM($AU179)&lt;=0,"ENTER VALID YIELD!",ROUND($AV179/$AU179,0)-$AV179))</f>
        <v>ENTER VALID YIELD!</v>
      </c>
      <c r="AX179" s="118"/>
      <c r="AY179" s="75" t="n">
        <f aca="false">IF(OR(SUM($AF179)&lt;=0,SUM($G179)&lt;=0),"",ROUND($G179*$AF179,0))</f>
        <v>400</v>
      </c>
      <c r="AZ179" s="75" t="str">
        <f aca="false">IF(SUM($AY179)&lt;=0,"",IF(SUM($AX179)&lt;=0,"ENTER VALID YIELD!",ROUND($AY179/$AX179,0)-$AY179))</f>
        <v>ENTER VALID YIELD!</v>
      </c>
      <c r="BA179" s="118" t="n">
        <v>25</v>
      </c>
      <c r="BB179" s="75" t="n">
        <f aca="false">IF(OR(SUM($AG179)&lt;=0,SUM($G179)&lt;=0),"",ROUND($G179*$AG179,0))</f>
        <v>320</v>
      </c>
      <c r="BC179" s="75" t="n">
        <f aca="false">IF(SUM($BB179)&lt;=0,"",IF(SUM($BA179)&lt;=0,"ENTER VALID YIELD!",ROUND($BB179/$BA179,0)-$BB179))</f>
        <v>-307</v>
      </c>
      <c r="BD179" s="118"/>
      <c r="BE179" s="75" t="n">
        <f aca="false">IF(OR(SUM($AH179)&lt;=0,SUM($G179)&lt;=0),"",ROUND($G179*$AH179,0))</f>
        <v>780</v>
      </c>
      <c r="BF179" s="75" t="str">
        <f aca="false">IF(SUM($BE179)&lt;=0,"",IF(SUM($BD179)&lt;=0,"ENTER VALID YIELD!",ROUND($BE179/$BD179,0)-$BE179))</f>
        <v>ENTER VALID YIELD!</v>
      </c>
      <c r="BG179" s="118"/>
      <c r="BH179" s="75" t="n">
        <f aca="false">IF(OR(SUM($AI179)&lt;=0,SUM($G179)&lt;=0),"",ROUND($G179*$AI179,0))</f>
        <v>380</v>
      </c>
      <c r="BI179" s="75" t="str">
        <f aca="false">IF(SUM($BH179)&lt;=0,"",IF(SUM($BG179)&lt;=0,"ENTER VALID YIELD!",ROUND($BH179/$BG179,0)-$BH179))</f>
        <v>ENTER VALID YIELD!</v>
      </c>
      <c r="BJ179" s="118"/>
      <c r="BK179" s="75" t="n">
        <f aca="false">IF(OR(SUM($AJ179)&lt;=0,SUM($G179)&lt;=0),"",ROUND($G179*$AJ179,0))</f>
        <v>240</v>
      </c>
      <c r="BL179" s="75" t="str">
        <f aca="false">IF(SUM($BK179)&lt;=0,"",IF(SUM($BJ179)&lt;=0,"ENTER VALID YIELD!",ROUND($BK179/$BJ179,0)-$BK179))</f>
        <v>ENTER VALID YIELD!</v>
      </c>
      <c r="BM179" s="73" t="n">
        <f aca="false">IF(SUM($G179)&lt;=0,"",$G179)</f>
        <v>20</v>
      </c>
      <c r="BN179" s="73" t="n">
        <f aca="false">IF(SUM($G179)&lt;=0,"",SUM($I179:$L179,$Q179,$S179,$AM179,$AP179,$AS179,$AV179,$AY179,$BB179,$BE179,$BH179,$BK179))</f>
        <v>-9504</v>
      </c>
      <c r="BO179" s="73" t="n">
        <f aca="false">IF(AND(SUM($BN179)&lt;=0,SUM($BM179)&lt;=0),"",SUM($BN179)-SUM($BM179))</f>
        <v>-9524</v>
      </c>
      <c r="BP179" s="73" t="n">
        <f aca="false">_xlfn.IFNA(INDEX(PMTCT!$AF:$AF,MATCH($E179,PMTCT!$E:$E,0)),"")</f>
        <v>12240</v>
      </c>
      <c r="BQ179" s="73" t="str">
        <f aca="false">_xlfn.IFNA(INDEX(PMTCT!$AV:$AV,MATCH($E179,PMTCT!$E:$E,0)),"")</f>
        <v/>
      </c>
      <c r="BR179" s="73" t="n">
        <f aca="false">_xlfn.IFNA(INDEX(TB!$R:$R,MATCH($E179,TB!$E:$E,0)),"")</f>
        <v>140</v>
      </c>
      <c r="BS179" s="73" t="str">
        <f aca="false">_xlfn.IFNA(INDEX(VMMC!$AD:$AD,MATCH($E179,VMMC!$E:$E,0)),"")</f>
        <v/>
      </c>
      <c r="BT179" s="73" t="n">
        <f aca="false">IF(SUM($R179,$T179,$AN179,$AQ179,$AT179,$AW179,$AZ179,$BC179,$BF179,$BI179,$BL179,$BP179:$BS179)=0,"",SUM($R179,$T179,$AN179,$AQ179,$AT179,$AW179,$AZ179,$BC179,$BF179,$BI179,$BL179,$BP179:$BS179))</f>
        <v>11838</v>
      </c>
      <c r="BU179" s="73" t="n">
        <f aca="false">IF(OR(SUM($BT179)=0,SUM($BN179)=0),"",SUM($BT179,$BN179))</f>
        <v>2334</v>
      </c>
      <c r="BV179" s="118" t="n">
        <f aca="false">IF(SUM($BU179)=0,"",SUM($BN179)/$BU179)</f>
        <v>-4.0719794344473</v>
      </c>
      <c r="BW179" s="73"/>
      <c r="BX179" s="118" t="n">
        <f aca="false">IF(OR($C179="01-04",$C179="05-09"),"",0%)</f>
        <v>0</v>
      </c>
      <c r="BY179" s="75" t="str">
        <f aca="false">IF(OR($C179="01-04",$C179="05-09",SUM($BW179)=0),"",ROUND($BW179*(1+$BX179),0))</f>
        <v/>
      </c>
    </row>
    <row r="180" customFormat="false" ht="15" hidden="false" customHeight="false" outlineLevel="0" collapsed="false">
      <c r="A180" s="0" t="s">
        <v>148</v>
      </c>
      <c r="B180" s="0" t="s">
        <v>113</v>
      </c>
      <c r="C180" s="0" t="s">
        <v>69</v>
      </c>
      <c r="D180" s="0" t="s">
        <v>58</v>
      </c>
      <c r="E180" s="0" t="str">
        <f aca="false">B180&amp;"|"&amp;C180&amp;"|"&amp;D180</f>
        <v>Mokhotlong [#SNU] [tjhYqc1MlVo]|25-29|Male</v>
      </c>
      <c r="F180" s="118" t="n">
        <f aca="false">_xlfn.IFNA(INDEX(Cascade!$Y:$Y,MATCH($E180,Cascade!$E:$E,0)),"")</f>
        <v>0.472</v>
      </c>
      <c r="G180" s="73" t="n">
        <f aca="false">_xlfn.IFNA(INDEX(Cascade!$BD:$BD,MATCH($E180,Cascade!$E:$E,0)),"")</f>
        <v>46</v>
      </c>
      <c r="H180" s="73" t="n">
        <f aca="false">_xlfn.IFNA(INDEX(Cascade!$BE:$BE,MATCH($E180,Cascade!$E:$E,0)),"")</f>
        <v>14</v>
      </c>
      <c r="I180" s="73" t="str">
        <f aca="false">_xlfn.IFNA(INDEX(Cascade!$BF:$BF,MATCH($E180,Cascade!$E:$E,0)),"")</f>
        <v/>
      </c>
      <c r="J180" s="73" t="str">
        <f aca="false">_xlfn.IFNA(INDEX(Cascade!$BG:$BG,MATCH($E180,Cascade!$E:$E,0)),"")</f>
        <v/>
      </c>
      <c r="K180" s="73" t="n">
        <f aca="false">_xlfn.IFNA(INDEX(Cascade!$BH:$BH,MATCH($E180,Cascade!$E:$E,0)),"")</f>
        <v>-29716</v>
      </c>
      <c r="L180" s="73" t="str">
        <f aca="false">_xlfn.IFNA(INDEX(Cascade!$BI:$BI,MATCH($E180,Cascade!$E:$E,0)),"")</f>
        <v/>
      </c>
      <c r="M180" s="73" t="n">
        <f aca="false">_xlfn.IFNA(INDEX(Cascade!$BK:$BK,MATCH($E180,Cascade!$E:$E,0)),"")</f>
        <v>29748</v>
      </c>
      <c r="N180" s="118" t="n">
        <v>46</v>
      </c>
      <c r="O180" s="118"/>
      <c r="P180" s="118" t="n">
        <v>26</v>
      </c>
      <c r="Q180" s="75" t="str">
        <f aca="false">IF(OR(SUM($H180)=0,SUM($N180)=0,SUM($O180)=0),"",ROUND($H180*$N180,0))</f>
        <v/>
      </c>
      <c r="R180" s="75" t="str">
        <f aca="false">IF(OR(SUM($Q180)=0,SUM($O180)=0),"",ROUND(SUM($Q180)/SUM($O180),0)-SUM($Q180))</f>
        <v/>
      </c>
      <c r="S180" s="75" t="n">
        <f aca="false">IF(SUM($H180)=0,"",SUM($H180)-SUM($Q180))</f>
        <v>14</v>
      </c>
      <c r="T180" s="75" t="str">
        <f aca="false">IF(OR(SUM($S180)=0,$N180&gt;1,SUM($P180)&lt;=0),"",ROUND($S180/$P180,0)-$S180)</f>
        <v/>
      </c>
      <c r="U180" s="118" t="n">
        <f aca="false">IF(SUM($G180)&lt;=0,"",SUM($Q180,$S180)/$G180)</f>
        <v>0.304347826086957</v>
      </c>
      <c r="V180" s="118" t="str">
        <f aca="false">IF(OR(SUM($Q180)=0,SUM($G180)=0),"",SUM($Q180)/SUM($G180))</f>
        <v/>
      </c>
      <c r="W180" s="118" t="n">
        <f aca="false">IF(OR(SUM($S180)=0,SUM($G180)=0),"",SUM($S180)/SUM($G180))</f>
        <v>0.304347826086957</v>
      </c>
      <c r="X180" s="118" t="str">
        <f aca="false">IF(OR(SUM($G180)=0,SUM($I180)=0),"",SUM($I180)/SUM($G180))</f>
        <v/>
      </c>
      <c r="Y180" s="118" t="str">
        <f aca="false">IF(OR(SUM($G180)=0,SUM($J180)=0),"",SUM($J180)/SUM($G180))</f>
        <v/>
      </c>
      <c r="Z180" s="118" t="n">
        <f aca="false">IF(OR(SUM($G180)=0,SUM($K180)=0),"",SUM($K180)/SUM($G180))</f>
        <v>-646</v>
      </c>
      <c r="AA180" s="118" t="str">
        <f aca="false">IF(OR(SUM($G180)=0,SUM($L180)=0),"",SUM($L180)/SUM($G180))</f>
        <v/>
      </c>
      <c r="AB180" s="118" t="n">
        <v>42</v>
      </c>
      <c r="AC180" s="118"/>
      <c r="AD180" s="118"/>
      <c r="AE180" s="118" t="n">
        <v>28</v>
      </c>
      <c r="AF180" s="118" t="n">
        <v>34</v>
      </c>
      <c r="AG180" s="118" t="n">
        <v>12</v>
      </c>
      <c r="AH180" s="118" t="n">
        <v>50</v>
      </c>
      <c r="AI180" s="118" t="n">
        <v>19</v>
      </c>
      <c r="AJ180" s="118" t="n">
        <v>26</v>
      </c>
      <c r="AK180" s="118" t="n">
        <f aca="false">IF(SUM($G180)&lt;=0,"",SUM($V180:$AJ180))</f>
        <v>-434.695652173913</v>
      </c>
      <c r="AL180" s="118"/>
      <c r="AM180" s="75" t="n">
        <f aca="false">IF(OR(SUM($AB180)&lt;=0,SUM($G180)&lt;=0),"",ROUND($G180*$AB180,0))</f>
        <v>1932</v>
      </c>
      <c r="AN180" s="75" t="str">
        <f aca="false">IF(SUM($AM180)&lt;=0,"",IF(SUM($AL180)&lt;=0,"ENTER VALID YIELD!",ROUND($AM180/$AL180,0)-$AM180))</f>
        <v>ENTER VALID YIELD!</v>
      </c>
      <c r="AO180" s="118"/>
      <c r="AP180" s="75" t="str">
        <f aca="false">IF(OR(SUM($AC180)&lt;=0,SUM($G180)&lt;=0),"",ROUND($G180*$AC180,0))</f>
        <v/>
      </c>
      <c r="AQ180" s="75" t="str">
        <f aca="false">IF(SUM($AP180)&lt;=0,"",IF(SUM($AO180)&lt;=0,"ENTER VALID YIELD!",ROUND($AP180/$AO180,0)-$AP180))</f>
        <v/>
      </c>
      <c r="AR180" s="118"/>
      <c r="AS180" s="75" t="str">
        <f aca="false">IF(OR(SUM($AD180)&lt;=0,SUM($G180)&lt;=0),"",ROUND($G180*$AD180,0))</f>
        <v/>
      </c>
      <c r="AT180" s="75" t="str">
        <f aca="false">IF(SUM($AS180)&lt;=0,"",IF(SUM($AR180)&lt;=0,"ENTER VALID YIELD!",ROUND($AS180/$AR180,0)-$AS180))</f>
        <v/>
      </c>
      <c r="AU180" s="118"/>
      <c r="AV180" s="75" t="n">
        <f aca="false">IF(OR(SUM($AE180)&lt;=0,SUM($G180)&lt;=0),"",ROUND($G180*$AE180,0))</f>
        <v>1288</v>
      </c>
      <c r="AW180" s="75" t="str">
        <f aca="false">IF(SUM($AV180)&lt;=0,"",IF(SUM($AU180)&lt;=0,"ENTER VALID YIELD!",ROUND($AV180/$AU180,0)-$AV180))</f>
        <v>ENTER VALID YIELD!</v>
      </c>
      <c r="AX180" s="118"/>
      <c r="AY180" s="75" t="n">
        <f aca="false">IF(OR(SUM($AF180)&lt;=0,SUM($G180)&lt;=0),"",ROUND($G180*$AF180,0))</f>
        <v>1564</v>
      </c>
      <c r="AZ180" s="75" t="str">
        <f aca="false">IF(SUM($AY180)&lt;=0,"",IF(SUM($AX180)&lt;=0,"ENTER VALID YIELD!",ROUND($AY180/$AX180,0)-$AY180))</f>
        <v>ENTER VALID YIELD!</v>
      </c>
      <c r="BA180" s="118" t="n">
        <v>7</v>
      </c>
      <c r="BB180" s="75" t="n">
        <f aca="false">IF(OR(SUM($AG180)&lt;=0,SUM($G180)&lt;=0),"",ROUND($G180*$AG180,0))</f>
        <v>552</v>
      </c>
      <c r="BC180" s="75" t="n">
        <f aca="false">IF(SUM($BB180)&lt;=0,"",IF(SUM($BA180)&lt;=0,"ENTER VALID YIELD!",ROUND($BB180/$BA180,0)-$BB180))</f>
        <v>-473</v>
      </c>
      <c r="BD180" s="118"/>
      <c r="BE180" s="75" t="n">
        <f aca="false">IF(OR(SUM($AH180)&lt;=0,SUM($G180)&lt;=0),"",ROUND($G180*$AH180,0))</f>
        <v>2300</v>
      </c>
      <c r="BF180" s="75" t="str">
        <f aca="false">IF(SUM($BE180)&lt;=0,"",IF(SUM($BD180)&lt;=0,"ENTER VALID YIELD!",ROUND($BE180/$BD180,0)-$BE180))</f>
        <v>ENTER VALID YIELD!</v>
      </c>
      <c r="BG180" s="118"/>
      <c r="BH180" s="75" t="n">
        <f aca="false">IF(OR(SUM($AI180)&lt;=0,SUM($G180)&lt;=0),"",ROUND($G180*$AI180,0))</f>
        <v>874</v>
      </c>
      <c r="BI180" s="75" t="str">
        <f aca="false">IF(SUM($BH180)&lt;=0,"",IF(SUM($BG180)&lt;=0,"ENTER VALID YIELD!",ROUND($BH180/$BG180,0)-$BH180))</f>
        <v>ENTER VALID YIELD!</v>
      </c>
      <c r="BJ180" s="118"/>
      <c r="BK180" s="75" t="n">
        <f aca="false">IF(OR(SUM($AJ180)&lt;=0,SUM($G180)&lt;=0),"",ROUND($G180*$AJ180,0))</f>
        <v>1196</v>
      </c>
      <c r="BL180" s="75" t="str">
        <f aca="false">IF(SUM($BK180)&lt;=0,"",IF(SUM($BJ180)&lt;=0,"ENTER VALID YIELD!",ROUND($BK180/$BJ180,0)-$BK180))</f>
        <v>ENTER VALID YIELD!</v>
      </c>
      <c r="BM180" s="73" t="n">
        <f aca="false">IF(SUM($G180)&lt;=0,"",$G180)</f>
        <v>46</v>
      </c>
      <c r="BN180" s="73" t="n">
        <f aca="false">IF(SUM($G180)&lt;=0,"",SUM($I180:$L180,$Q180,$S180,$AM180,$AP180,$AS180,$AV180,$AY180,$BB180,$BE180,$BH180,$BK180))</f>
        <v>-19996</v>
      </c>
      <c r="BO180" s="73" t="n">
        <f aca="false">IF(AND(SUM($BN180)&lt;=0,SUM($BM180)&lt;=0),"",SUM($BN180)-SUM($BM180))</f>
        <v>-20042</v>
      </c>
      <c r="BP180" s="73" t="str">
        <f aca="false">_xlfn.IFNA(INDEX(PMTCT!$AF:$AF,MATCH($E180,PMTCT!$E:$E,0)),"")</f>
        <v/>
      </c>
      <c r="BQ180" s="73" t="str">
        <f aca="false">_xlfn.IFNA(INDEX(PMTCT!$AV:$AV,MATCH($E180,PMTCT!$E:$E,0)),"")</f>
        <v/>
      </c>
      <c r="BR180" s="73" t="n">
        <f aca="false">_xlfn.IFNA(INDEX(TB!$R:$R,MATCH($E180,TB!$E:$E,0)),"")</f>
        <v>29070</v>
      </c>
      <c r="BS180" s="73" t="str">
        <f aca="false">_xlfn.IFNA(INDEX(VMMC!$AD:$AD,MATCH($E180,VMMC!$E:$E,0)),"")</f>
        <v/>
      </c>
      <c r="BT180" s="73" t="n">
        <f aca="false">IF(SUM($R180,$T180,$AN180,$AQ180,$AT180,$AW180,$AZ180,$BC180,$BF180,$BI180,$BL180,$BP180:$BS180)=0,"",SUM($R180,$T180,$AN180,$AQ180,$AT180,$AW180,$AZ180,$BC180,$BF180,$BI180,$BL180,$BP180:$BS180))</f>
        <v>28597</v>
      </c>
      <c r="BU180" s="73" t="n">
        <f aca="false">IF(OR(SUM($BT180)=0,SUM($BN180)=0),"",SUM($BT180,$BN180))</f>
        <v>8601</v>
      </c>
      <c r="BV180" s="118" t="n">
        <f aca="false">IF(SUM($BU180)=0,"",SUM($BN180)/$BU180)</f>
        <v>-2.32484594814556</v>
      </c>
      <c r="BW180" s="73"/>
      <c r="BX180" s="118" t="n">
        <f aca="false">IF(OR($C180="01-04",$C180="05-09"),"",0%)</f>
        <v>0</v>
      </c>
      <c r="BY180" s="75" t="str">
        <f aca="false">IF(OR($C180="01-04",$C180="05-09",SUM($BW180)=0),"",ROUND($BW180*(1+$BX180),0))</f>
        <v/>
      </c>
    </row>
    <row r="181" customFormat="false" ht="15" hidden="false" customHeight="false" outlineLevel="0" collapsed="false">
      <c r="A181" s="0" t="s">
        <v>148</v>
      </c>
      <c r="B181" s="0" t="s">
        <v>113</v>
      </c>
      <c r="C181" s="0" t="s">
        <v>72</v>
      </c>
      <c r="D181" s="0" t="s">
        <v>56</v>
      </c>
      <c r="E181" s="0" t="str">
        <f aca="false">B181&amp;"|"&amp;C181&amp;"|"&amp;D181</f>
        <v>Mokhotlong [#SNU] [tjhYqc1MlVo]|30-34|Female</v>
      </c>
      <c r="F181" s="118" t="n">
        <f aca="false">_xlfn.IFNA(INDEX(Cascade!$Y:$Y,MATCH($E181,Cascade!$E:$E,0)),"")</f>
        <v>0.597325408618128</v>
      </c>
      <c r="G181" s="73" t="n">
        <f aca="false">_xlfn.IFNA(INDEX(Cascade!$BD:$BD,MATCH($E181,Cascade!$E:$E,0)),"")</f>
        <v>22</v>
      </c>
      <c r="H181" s="73" t="n">
        <f aca="false">_xlfn.IFNA(INDEX(Cascade!$BE:$BE,MATCH($E181,Cascade!$E:$E,0)),"")</f>
        <v>7</v>
      </c>
      <c r="I181" s="73" t="n">
        <f aca="false">_xlfn.IFNA(INDEX(Cascade!$BF:$BF,MATCH($E181,Cascade!$E:$E,0)),"")</f>
        <v>-5236</v>
      </c>
      <c r="J181" s="73" t="str">
        <f aca="false">_xlfn.IFNA(INDEX(Cascade!$BG:$BG,MATCH($E181,Cascade!$E:$E,0)),"")</f>
        <v/>
      </c>
      <c r="K181" s="73" t="n">
        <f aca="false">_xlfn.IFNA(INDEX(Cascade!$BH:$BH,MATCH($E181,Cascade!$E:$E,0)),"")</f>
        <v>-0</v>
      </c>
      <c r="L181" s="73" t="str">
        <f aca="false">_xlfn.IFNA(INDEX(Cascade!$BI:$BI,MATCH($E181,Cascade!$E:$E,0)),"")</f>
        <v/>
      </c>
      <c r="M181" s="73" t="n">
        <f aca="false">_xlfn.IFNA(INDEX(Cascade!$BK:$BK,MATCH($E181,Cascade!$E:$E,0)),"")</f>
        <v>5251</v>
      </c>
      <c r="N181" s="118" t="n">
        <v>6</v>
      </c>
      <c r="O181" s="118"/>
      <c r="P181" s="118" t="n">
        <v>43</v>
      </c>
      <c r="Q181" s="75" t="str">
        <f aca="false">IF(OR(SUM($H181)=0,SUM($N181)=0,SUM($O181)=0),"",ROUND($H181*$N181,0))</f>
        <v/>
      </c>
      <c r="R181" s="75" t="str">
        <f aca="false">IF(OR(SUM($Q181)=0,SUM($O181)=0),"",ROUND(SUM($Q181)/SUM($O181),0)-SUM($Q181))</f>
        <v/>
      </c>
      <c r="S181" s="75" t="n">
        <f aca="false">IF(SUM($H181)=0,"",SUM($H181)-SUM($Q181))</f>
        <v>7</v>
      </c>
      <c r="T181" s="75" t="str">
        <f aca="false">IF(OR(SUM($S181)=0,$N181&gt;1,SUM($P181)&lt;=0),"",ROUND($S181/$P181,0)-$S181)</f>
        <v/>
      </c>
      <c r="U181" s="118" t="n">
        <f aca="false">IF(SUM($G181)&lt;=0,"",SUM($Q181,$S181)/$G181)</f>
        <v>0.318181818181818</v>
      </c>
      <c r="V181" s="118" t="str">
        <f aca="false">IF(OR(SUM($Q181)=0,SUM($G181)=0),"",SUM($Q181)/SUM($G181))</f>
        <v/>
      </c>
      <c r="W181" s="118" t="n">
        <f aca="false">IF(OR(SUM($S181)=0,SUM($G181)=0),"",SUM($S181)/SUM($G181))</f>
        <v>0.318181818181818</v>
      </c>
      <c r="X181" s="118" t="n">
        <f aca="false">IF(OR(SUM($G181)=0,SUM($I181)=0),"",SUM($I181)/SUM($G181))</f>
        <v>-238</v>
      </c>
      <c r="Y181" s="118" t="str">
        <f aca="false">IF(OR(SUM($G181)=0,SUM($J181)=0),"",SUM($J181)/SUM($G181))</f>
        <v/>
      </c>
      <c r="Z181" s="118" t="str">
        <f aca="false">IF(OR(SUM($G181)=0,SUM($K181)=0),"",SUM($K181)/SUM($G181))</f>
        <v/>
      </c>
      <c r="AA181" s="118" t="str">
        <f aca="false">IF(OR(SUM($G181)=0,SUM($L181)=0),"",SUM($L181)/SUM($G181))</f>
        <v/>
      </c>
      <c r="AB181" s="118" t="n">
        <v>9</v>
      </c>
      <c r="AC181" s="118"/>
      <c r="AD181" s="118"/>
      <c r="AE181" s="118" t="n">
        <v>22</v>
      </c>
      <c r="AF181" s="118" t="n">
        <v>48</v>
      </c>
      <c r="AG181" s="118" t="n">
        <v>45</v>
      </c>
      <c r="AH181" s="118" t="n">
        <v>44</v>
      </c>
      <c r="AI181" s="118" t="n">
        <v>13</v>
      </c>
      <c r="AJ181" s="118" t="n">
        <v>50</v>
      </c>
      <c r="AK181" s="118" t="n">
        <f aca="false">IF(SUM($G181)&lt;=0,"",SUM($V181:$AJ181))</f>
        <v>-6.68181818181818</v>
      </c>
      <c r="AL181" s="118"/>
      <c r="AM181" s="75" t="n">
        <f aca="false">IF(OR(SUM($AB181)&lt;=0,SUM($G181)&lt;=0),"",ROUND($G181*$AB181,0))</f>
        <v>198</v>
      </c>
      <c r="AN181" s="75" t="str">
        <f aca="false">IF(SUM($AM181)&lt;=0,"",IF(SUM($AL181)&lt;=0,"ENTER VALID YIELD!",ROUND($AM181/$AL181,0)-$AM181))</f>
        <v>ENTER VALID YIELD!</v>
      </c>
      <c r="AO181" s="118"/>
      <c r="AP181" s="75" t="str">
        <f aca="false">IF(OR(SUM($AC181)&lt;=0,SUM($G181)&lt;=0),"",ROUND($G181*$AC181,0))</f>
        <v/>
      </c>
      <c r="AQ181" s="75" t="str">
        <f aca="false">IF(SUM($AP181)&lt;=0,"",IF(SUM($AO181)&lt;=0,"ENTER VALID YIELD!",ROUND($AP181/$AO181,0)-$AP181))</f>
        <v/>
      </c>
      <c r="AR181" s="118"/>
      <c r="AS181" s="75" t="str">
        <f aca="false">IF(OR(SUM($AD181)&lt;=0,SUM($G181)&lt;=0),"",ROUND($G181*$AD181,0))</f>
        <v/>
      </c>
      <c r="AT181" s="75" t="str">
        <f aca="false">IF(SUM($AS181)&lt;=0,"",IF(SUM($AR181)&lt;=0,"ENTER VALID YIELD!",ROUND($AS181/$AR181,0)-$AS181))</f>
        <v/>
      </c>
      <c r="AU181" s="118"/>
      <c r="AV181" s="75" t="n">
        <f aca="false">IF(OR(SUM($AE181)&lt;=0,SUM($G181)&lt;=0),"",ROUND($G181*$AE181,0))</f>
        <v>484</v>
      </c>
      <c r="AW181" s="75" t="str">
        <f aca="false">IF(SUM($AV181)&lt;=0,"",IF(SUM($AU181)&lt;=0,"ENTER VALID YIELD!",ROUND($AV181/$AU181,0)-$AV181))</f>
        <v>ENTER VALID YIELD!</v>
      </c>
      <c r="AX181" s="118"/>
      <c r="AY181" s="75" t="n">
        <f aca="false">IF(OR(SUM($AF181)&lt;=0,SUM($G181)&lt;=0),"",ROUND($G181*$AF181,0))</f>
        <v>1056</v>
      </c>
      <c r="AZ181" s="75" t="str">
        <f aca="false">IF(SUM($AY181)&lt;=0,"",IF(SUM($AX181)&lt;=0,"ENTER VALID YIELD!",ROUND($AY181/$AX181,0)-$AY181))</f>
        <v>ENTER VALID YIELD!</v>
      </c>
      <c r="BA181" s="118" t="n">
        <v>42</v>
      </c>
      <c r="BB181" s="75" t="n">
        <f aca="false">IF(OR(SUM($AG181)&lt;=0,SUM($G181)&lt;=0),"",ROUND($G181*$AG181,0))</f>
        <v>990</v>
      </c>
      <c r="BC181" s="75" t="n">
        <f aca="false">IF(SUM($BB181)&lt;=0,"",IF(SUM($BA181)&lt;=0,"ENTER VALID YIELD!",ROUND($BB181/$BA181,0)-$BB181))</f>
        <v>-966</v>
      </c>
      <c r="BD181" s="118"/>
      <c r="BE181" s="75" t="n">
        <f aca="false">IF(OR(SUM($AH181)&lt;=0,SUM($G181)&lt;=0),"",ROUND($G181*$AH181,0))</f>
        <v>968</v>
      </c>
      <c r="BF181" s="75" t="str">
        <f aca="false">IF(SUM($BE181)&lt;=0,"",IF(SUM($BD181)&lt;=0,"ENTER VALID YIELD!",ROUND($BE181/$BD181,0)-$BE181))</f>
        <v>ENTER VALID YIELD!</v>
      </c>
      <c r="BG181" s="118"/>
      <c r="BH181" s="75" t="n">
        <f aca="false">IF(OR(SUM($AI181)&lt;=0,SUM($G181)&lt;=0),"",ROUND($G181*$AI181,0))</f>
        <v>286</v>
      </c>
      <c r="BI181" s="75" t="str">
        <f aca="false">IF(SUM($BH181)&lt;=0,"",IF(SUM($BG181)&lt;=0,"ENTER VALID YIELD!",ROUND($BH181/$BG181,0)-$BH181))</f>
        <v>ENTER VALID YIELD!</v>
      </c>
      <c r="BJ181" s="118"/>
      <c r="BK181" s="75" t="n">
        <f aca="false">IF(OR(SUM($AJ181)&lt;=0,SUM($G181)&lt;=0),"",ROUND($G181*$AJ181,0))</f>
        <v>1100</v>
      </c>
      <c r="BL181" s="75" t="str">
        <f aca="false">IF(SUM($BK181)&lt;=0,"",IF(SUM($BJ181)&lt;=0,"ENTER VALID YIELD!",ROUND($BK181/$BJ181,0)-$BK181))</f>
        <v>ENTER VALID YIELD!</v>
      </c>
      <c r="BM181" s="73" t="n">
        <f aca="false">IF(SUM($G181)&lt;=0,"",$G181)</f>
        <v>22</v>
      </c>
      <c r="BN181" s="73" t="n">
        <f aca="false">IF(SUM($G181)&lt;=0,"",SUM($I181:$L181,$Q181,$S181,$AM181,$AP181,$AS181,$AV181,$AY181,$BB181,$BE181,$BH181,$BK181))</f>
        <v>-147</v>
      </c>
      <c r="BO181" s="73" t="n">
        <f aca="false">IF(AND(SUM($BN181)&lt;=0,SUM($BM181)&lt;=0),"",SUM($BN181)-SUM($BM181))</f>
        <v>-169</v>
      </c>
      <c r="BP181" s="73" t="n">
        <f aca="false">_xlfn.IFNA(INDEX(PMTCT!$AF:$AF,MATCH($E181,PMTCT!$E:$E,0)),"")</f>
        <v>4760</v>
      </c>
      <c r="BQ181" s="73" t="str">
        <f aca="false">_xlfn.IFNA(INDEX(PMTCT!$AV:$AV,MATCH($E181,PMTCT!$E:$E,0)),"")</f>
        <v/>
      </c>
      <c r="BR181" s="73" t="n">
        <f aca="false">_xlfn.IFNA(INDEX(TB!$R:$R,MATCH($E181,TB!$E:$E,0)),"")</f>
        <v>-288</v>
      </c>
      <c r="BS181" s="73" t="str">
        <f aca="false">_xlfn.IFNA(INDEX(VMMC!$AD:$AD,MATCH($E181,VMMC!$E:$E,0)),"")</f>
        <v/>
      </c>
      <c r="BT181" s="73" t="n">
        <f aca="false">IF(SUM($R181,$T181,$AN181,$AQ181,$AT181,$AW181,$AZ181,$BC181,$BF181,$BI181,$BL181,$BP181:$BS181)=0,"",SUM($R181,$T181,$AN181,$AQ181,$AT181,$AW181,$AZ181,$BC181,$BF181,$BI181,$BL181,$BP181:$BS181))</f>
        <v>3506</v>
      </c>
      <c r="BU181" s="73" t="n">
        <f aca="false">IF(OR(SUM($BT181)=0,SUM($BN181)=0),"",SUM($BT181,$BN181))</f>
        <v>3359</v>
      </c>
      <c r="BV181" s="118" t="n">
        <f aca="false">IF(SUM($BU181)=0,"",SUM($BN181)/$BU181)</f>
        <v>-0.043763024709735</v>
      </c>
      <c r="BW181" s="73"/>
      <c r="BX181" s="118" t="n">
        <f aca="false">IF(OR($C181="01-04",$C181="05-09"),"",0%)</f>
        <v>0</v>
      </c>
      <c r="BY181" s="75" t="str">
        <f aca="false">IF(OR($C181="01-04",$C181="05-09",SUM($BW181)=0),"",ROUND($BW181*(1+$BX181),0))</f>
        <v/>
      </c>
    </row>
    <row r="182" customFormat="false" ht="15" hidden="false" customHeight="false" outlineLevel="0" collapsed="false">
      <c r="A182" s="0" t="s">
        <v>148</v>
      </c>
      <c r="B182" s="0" t="s">
        <v>113</v>
      </c>
      <c r="C182" s="0" t="s">
        <v>72</v>
      </c>
      <c r="D182" s="0" t="s">
        <v>58</v>
      </c>
      <c r="E182" s="0" t="str">
        <f aca="false">B182&amp;"|"&amp;C182&amp;"|"&amp;D182</f>
        <v>Mokhotlong [#SNU] [tjhYqc1MlVo]|30-34|Male</v>
      </c>
      <c r="F182" s="118" t="n">
        <f aca="false">_xlfn.IFNA(INDEX(Cascade!$Y:$Y,MATCH($E182,Cascade!$E:$E,0)),"")</f>
        <v>0.482798165137615</v>
      </c>
      <c r="G182" s="73" t="n">
        <f aca="false">_xlfn.IFNA(INDEX(Cascade!$BD:$BD,MATCH($E182,Cascade!$E:$E,0)),"")</f>
        <v>4</v>
      </c>
      <c r="H182" s="73" t="n">
        <f aca="false">_xlfn.IFNA(INDEX(Cascade!$BE:$BE,MATCH($E182,Cascade!$E:$E,0)),"")</f>
        <v>1</v>
      </c>
      <c r="I182" s="73" t="str">
        <f aca="false">_xlfn.IFNA(INDEX(Cascade!$BF:$BF,MATCH($E182,Cascade!$E:$E,0)),"")</f>
        <v/>
      </c>
      <c r="J182" s="73" t="str">
        <f aca="false">_xlfn.IFNA(INDEX(Cascade!$BG:$BG,MATCH($E182,Cascade!$E:$E,0)),"")</f>
        <v/>
      </c>
      <c r="K182" s="73" t="n">
        <f aca="false">_xlfn.IFNA(INDEX(Cascade!$BH:$BH,MATCH($E182,Cascade!$E:$E,0)),"")</f>
        <v>-0</v>
      </c>
      <c r="L182" s="73" t="str">
        <f aca="false">_xlfn.IFNA(INDEX(Cascade!$BI:$BI,MATCH($E182,Cascade!$E:$E,0)),"")</f>
        <v/>
      </c>
      <c r="M182" s="73" t="n">
        <f aca="false">_xlfn.IFNA(INDEX(Cascade!$BK:$BK,MATCH($E182,Cascade!$E:$E,0)),"")</f>
        <v>3</v>
      </c>
      <c r="N182" s="118" t="n">
        <v>12</v>
      </c>
      <c r="O182" s="118"/>
      <c r="P182" s="118" t="n">
        <v>15</v>
      </c>
      <c r="Q182" s="75" t="str">
        <f aca="false">IF(OR(SUM($H182)=0,SUM($N182)=0,SUM($O182)=0),"",ROUND($H182*$N182,0))</f>
        <v/>
      </c>
      <c r="R182" s="75" t="str">
        <f aca="false">IF(OR(SUM($Q182)=0,SUM($O182)=0),"",ROUND(SUM($Q182)/SUM($O182),0)-SUM($Q182))</f>
        <v/>
      </c>
      <c r="S182" s="75" t="n">
        <f aca="false">IF(SUM($H182)=0,"",SUM($H182)-SUM($Q182))</f>
        <v>1</v>
      </c>
      <c r="T182" s="75" t="str">
        <f aca="false">IF(OR(SUM($S182)=0,$N182&gt;1,SUM($P182)&lt;=0),"",ROUND($S182/$P182,0)-$S182)</f>
        <v/>
      </c>
      <c r="U182" s="118" t="n">
        <f aca="false">IF(SUM($G182)&lt;=0,"",SUM($Q182,$S182)/$G182)</f>
        <v>0.25</v>
      </c>
      <c r="V182" s="118" t="str">
        <f aca="false">IF(OR(SUM($Q182)=0,SUM($G182)=0),"",SUM($Q182)/SUM($G182))</f>
        <v/>
      </c>
      <c r="W182" s="118" t="n">
        <f aca="false">IF(OR(SUM($S182)=0,SUM($G182)=0),"",SUM($S182)/SUM($G182))</f>
        <v>0.25</v>
      </c>
      <c r="X182" s="118" t="str">
        <f aca="false">IF(OR(SUM($G182)=0,SUM($I182)=0),"",SUM($I182)/SUM($G182))</f>
        <v/>
      </c>
      <c r="Y182" s="118" t="str">
        <f aca="false">IF(OR(SUM($G182)=0,SUM($J182)=0),"",SUM($J182)/SUM($G182))</f>
        <v/>
      </c>
      <c r="Z182" s="118" t="str">
        <f aca="false">IF(OR(SUM($G182)=0,SUM($K182)=0),"",SUM($K182)/SUM($G182))</f>
        <v/>
      </c>
      <c r="AA182" s="118" t="str">
        <f aca="false">IF(OR(SUM($G182)=0,SUM($L182)=0),"",SUM($L182)/SUM($G182))</f>
        <v/>
      </c>
      <c r="AB182" s="118" t="n">
        <v>11</v>
      </c>
      <c r="AC182" s="118"/>
      <c r="AD182" s="118"/>
      <c r="AE182" s="118" t="n">
        <v>36</v>
      </c>
      <c r="AF182" s="118" t="n">
        <v>29</v>
      </c>
      <c r="AG182" s="118" t="n">
        <v>20</v>
      </c>
      <c r="AH182" s="118" t="n">
        <v>16</v>
      </c>
      <c r="AI182" s="118" t="n">
        <v>10</v>
      </c>
      <c r="AJ182" s="118" t="n">
        <v>34</v>
      </c>
      <c r="AK182" s="118" t="n">
        <f aca="false">IF(SUM($G182)&lt;=0,"",SUM($V182:$AJ182))</f>
        <v>156.25</v>
      </c>
      <c r="AL182" s="118"/>
      <c r="AM182" s="75" t="n">
        <f aca="false">IF(OR(SUM($AB182)&lt;=0,SUM($G182)&lt;=0),"",ROUND($G182*$AB182,0))</f>
        <v>44</v>
      </c>
      <c r="AN182" s="75" t="str">
        <f aca="false">IF(SUM($AM182)&lt;=0,"",IF(SUM($AL182)&lt;=0,"ENTER VALID YIELD!",ROUND($AM182/$AL182,0)-$AM182))</f>
        <v>ENTER VALID YIELD!</v>
      </c>
      <c r="AO182" s="118"/>
      <c r="AP182" s="75" t="str">
        <f aca="false">IF(OR(SUM($AC182)&lt;=0,SUM($G182)&lt;=0),"",ROUND($G182*$AC182,0))</f>
        <v/>
      </c>
      <c r="AQ182" s="75" t="str">
        <f aca="false">IF(SUM($AP182)&lt;=0,"",IF(SUM($AO182)&lt;=0,"ENTER VALID YIELD!",ROUND($AP182/$AO182,0)-$AP182))</f>
        <v/>
      </c>
      <c r="AR182" s="118"/>
      <c r="AS182" s="75" t="str">
        <f aca="false">IF(OR(SUM($AD182)&lt;=0,SUM($G182)&lt;=0),"",ROUND($G182*$AD182,0))</f>
        <v/>
      </c>
      <c r="AT182" s="75" t="str">
        <f aca="false">IF(SUM($AS182)&lt;=0,"",IF(SUM($AR182)&lt;=0,"ENTER VALID YIELD!",ROUND($AS182/$AR182,0)-$AS182))</f>
        <v/>
      </c>
      <c r="AU182" s="118"/>
      <c r="AV182" s="75" t="n">
        <f aca="false">IF(OR(SUM($AE182)&lt;=0,SUM($G182)&lt;=0),"",ROUND($G182*$AE182,0))</f>
        <v>144</v>
      </c>
      <c r="AW182" s="75" t="str">
        <f aca="false">IF(SUM($AV182)&lt;=0,"",IF(SUM($AU182)&lt;=0,"ENTER VALID YIELD!",ROUND($AV182/$AU182,0)-$AV182))</f>
        <v>ENTER VALID YIELD!</v>
      </c>
      <c r="AX182" s="118"/>
      <c r="AY182" s="75" t="n">
        <f aca="false">IF(OR(SUM($AF182)&lt;=0,SUM($G182)&lt;=0),"",ROUND($G182*$AF182,0))</f>
        <v>116</v>
      </c>
      <c r="AZ182" s="75" t="str">
        <f aca="false">IF(SUM($AY182)&lt;=0,"",IF(SUM($AX182)&lt;=0,"ENTER VALID YIELD!",ROUND($AY182/$AX182,0)-$AY182))</f>
        <v>ENTER VALID YIELD!</v>
      </c>
      <c r="BA182" s="118" t="n">
        <v>13</v>
      </c>
      <c r="BB182" s="75" t="n">
        <f aca="false">IF(OR(SUM($AG182)&lt;=0,SUM($G182)&lt;=0),"",ROUND($G182*$AG182,0))</f>
        <v>80</v>
      </c>
      <c r="BC182" s="75" t="n">
        <f aca="false">IF(SUM($BB182)&lt;=0,"",IF(SUM($BA182)&lt;=0,"ENTER VALID YIELD!",ROUND($BB182/$BA182,0)-$BB182))</f>
        <v>-74</v>
      </c>
      <c r="BD182" s="118"/>
      <c r="BE182" s="75" t="n">
        <f aca="false">IF(OR(SUM($AH182)&lt;=0,SUM($G182)&lt;=0),"",ROUND($G182*$AH182,0))</f>
        <v>64</v>
      </c>
      <c r="BF182" s="75" t="str">
        <f aca="false">IF(SUM($BE182)&lt;=0,"",IF(SUM($BD182)&lt;=0,"ENTER VALID YIELD!",ROUND($BE182/$BD182,0)-$BE182))</f>
        <v>ENTER VALID YIELD!</v>
      </c>
      <c r="BG182" s="118"/>
      <c r="BH182" s="75" t="n">
        <f aca="false">IF(OR(SUM($AI182)&lt;=0,SUM($G182)&lt;=0),"",ROUND($G182*$AI182,0))</f>
        <v>40</v>
      </c>
      <c r="BI182" s="75" t="str">
        <f aca="false">IF(SUM($BH182)&lt;=0,"",IF(SUM($BG182)&lt;=0,"ENTER VALID YIELD!",ROUND($BH182/$BG182,0)-$BH182))</f>
        <v>ENTER VALID YIELD!</v>
      </c>
      <c r="BJ182" s="118"/>
      <c r="BK182" s="75" t="n">
        <f aca="false">IF(OR(SUM($AJ182)&lt;=0,SUM($G182)&lt;=0),"",ROUND($G182*$AJ182,0))</f>
        <v>136</v>
      </c>
      <c r="BL182" s="75" t="str">
        <f aca="false">IF(SUM($BK182)&lt;=0,"",IF(SUM($BJ182)&lt;=0,"ENTER VALID YIELD!",ROUND($BK182/$BJ182,0)-$BK182))</f>
        <v>ENTER VALID YIELD!</v>
      </c>
      <c r="BM182" s="73" t="n">
        <f aca="false">IF(SUM($G182)&lt;=0,"",$G182)</f>
        <v>4</v>
      </c>
      <c r="BN182" s="73" t="n">
        <f aca="false">IF(SUM($G182)&lt;=0,"",SUM($I182:$L182,$Q182,$S182,$AM182,$AP182,$AS182,$AV182,$AY182,$BB182,$BE182,$BH182,$BK182))</f>
        <v>625</v>
      </c>
      <c r="BO182" s="73" t="n">
        <f aca="false">IF(AND(SUM($BN182)&lt;=0,SUM($BM182)&lt;=0),"",SUM($BN182)-SUM($BM182))</f>
        <v>621</v>
      </c>
      <c r="BP182" s="73" t="str">
        <f aca="false">_xlfn.IFNA(INDEX(PMTCT!$AF:$AF,MATCH($E182,PMTCT!$E:$E,0)),"")</f>
        <v/>
      </c>
      <c r="BQ182" s="73" t="str">
        <f aca="false">_xlfn.IFNA(INDEX(PMTCT!$AV:$AV,MATCH($E182,PMTCT!$E:$E,0)),"")</f>
        <v/>
      </c>
      <c r="BR182" s="73" t="n">
        <f aca="false">_xlfn.IFNA(INDEX(TB!$R:$R,MATCH($E182,TB!$E:$E,0)),"")</f>
        <v>-1488</v>
      </c>
      <c r="BS182" s="73" t="str">
        <f aca="false">_xlfn.IFNA(INDEX(VMMC!$AD:$AD,MATCH($E182,VMMC!$E:$E,0)),"")</f>
        <v/>
      </c>
      <c r="BT182" s="73" t="n">
        <f aca="false">IF(SUM($R182,$T182,$AN182,$AQ182,$AT182,$AW182,$AZ182,$BC182,$BF182,$BI182,$BL182,$BP182:$BS182)=0,"",SUM($R182,$T182,$AN182,$AQ182,$AT182,$AW182,$AZ182,$BC182,$BF182,$BI182,$BL182,$BP182:$BS182))</f>
        <v>-1562</v>
      </c>
      <c r="BU182" s="73" t="n">
        <f aca="false">IF(OR(SUM($BT182)=0,SUM($BN182)=0),"",SUM($BT182,$BN182))</f>
        <v>-937</v>
      </c>
      <c r="BV182" s="118" t="n">
        <f aca="false">IF(SUM($BU182)=0,"",SUM($BN182)/$BU182)</f>
        <v>-0.667022411953042</v>
      </c>
      <c r="BW182" s="73"/>
      <c r="BX182" s="118" t="n">
        <f aca="false">IF(OR($C182="01-04",$C182="05-09"),"",0%)</f>
        <v>0</v>
      </c>
      <c r="BY182" s="75" t="str">
        <f aca="false">IF(OR($C182="01-04",$C182="05-09",SUM($BW182)=0),"",ROUND($BW182*(1+$BX182),0))</f>
        <v/>
      </c>
    </row>
    <row r="183" customFormat="false" ht="15" hidden="false" customHeight="false" outlineLevel="0" collapsed="false">
      <c r="A183" s="0" t="s">
        <v>148</v>
      </c>
      <c r="B183" s="0" t="s">
        <v>113</v>
      </c>
      <c r="C183" s="0" t="s">
        <v>75</v>
      </c>
      <c r="D183" s="0" t="s">
        <v>56</v>
      </c>
      <c r="E183" s="0" t="str">
        <f aca="false">B183&amp;"|"&amp;C183&amp;"|"&amp;D183</f>
        <v>Mokhotlong [#SNU] [tjhYqc1MlVo]|35-39|Female</v>
      </c>
      <c r="F183" s="118" t="n">
        <f aca="false">_xlfn.IFNA(INDEX(Cascade!$Y:$Y,MATCH($E183,Cascade!$E:$E,0)),"")</f>
        <v>0.719655442443226</v>
      </c>
      <c r="G183" s="73" t="n">
        <f aca="false">_xlfn.IFNA(INDEX(Cascade!$BD:$BD,MATCH($E183,Cascade!$E:$E,0)),"")</f>
        <v>3</v>
      </c>
      <c r="H183" s="73" t="n">
        <f aca="false">_xlfn.IFNA(INDEX(Cascade!$BE:$BE,MATCH($E183,Cascade!$E:$E,0)),"")</f>
        <v>2</v>
      </c>
      <c r="I183" s="73" t="n">
        <f aca="false">_xlfn.IFNA(INDEX(Cascade!$BF:$BF,MATCH($E183,Cascade!$E:$E,0)),"")</f>
        <v>-792</v>
      </c>
      <c r="J183" s="73" t="str">
        <f aca="false">_xlfn.IFNA(INDEX(Cascade!$BG:$BG,MATCH($E183,Cascade!$E:$E,0)),"")</f>
        <v/>
      </c>
      <c r="K183" s="73" t="n">
        <f aca="false">_xlfn.IFNA(INDEX(Cascade!$BH:$BH,MATCH($E183,Cascade!$E:$E,0)),"")</f>
        <v>-0</v>
      </c>
      <c r="L183" s="73" t="str">
        <f aca="false">_xlfn.IFNA(INDEX(Cascade!$BI:$BI,MATCH($E183,Cascade!$E:$E,0)),"")</f>
        <v/>
      </c>
      <c r="M183" s="73" t="n">
        <f aca="false">_xlfn.IFNA(INDEX(Cascade!$BK:$BK,MATCH($E183,Cascade!$E:$E,0)),"")</f>
        <v>793</v>
      </c>
      <c r="N183" s="118" t="n">
        <v>4</v>
      </c>
      <c r="O183" s="118"/>
      <c r="P183" s="118" t="n">
        <v>38</v>
      </c>
      <c r="Q183" s="75" t="str">
        <f aca="false">IF(OR(SUM($H183)=0,SUM($N183)=0,SUM($O183)=0),"",ROUND($H183*$N183,0))</f>
        <v/>
      </c>
      <c r="R183" s="75" t="str">
        <f aca="false">IF(OR(SUM($Q183)=0,SUM($O183)=0),"",ROUND(SUM($Q183)/SUM($O183),0)-SUM($Q183))</f>
        <v/>
      </c>
      <c r="S183" s="75" t="n">
        <f aca="false">IF(SUM($H183)=0,"",SUM($H183)-SUM($Q183))</f>
        <v>2</v>
      </c>
      <c r="T183" s="75" t="str">
        <f aca="false">IF(OR(SUM($S183)=0,$N183&gt;1,SUM($P183)&lt;=0),"",ROUND($S183/$P183,0)-$S183)</f>
        <v/>
      </c>
      <c r="U183" s="118" t="n">
        <f aca="false">IF(SUM($G183)&lt;=0,"",SUM($Q183,$S183)/$G183)</f>
        <v>0.666666666666667</v>
      </c>
      <c r="V183" s="118" t="str">
        <f aca="false">IF(OR(SUM($Q183)=0,SUM($G183)=0),"",SUM($Q183)/SUM($G183))</f>
        <v/>
      </c>
      <c r="W183" s="118" t="n">
        <f aca="false">IF(OR(SUM($S183)=0,SUM($G183)=0),"",SUM($S183)/SUM($G183))</f>
        <v>0.666666666666667</v>
      </c>
      <c r="X183" s="118" t="n">
        <f aca="false">IF(OR(SUM($G183)=0,SUM($I183)=0),"",SUM($I183)/SUM($G183))</f>
        <v>-264</v>
      </c>
      <c r="Y183" s="118" t="str">
        <f aca="false">IF(OR(SUM($G183)=0,SUM($J183)=0),"",SUM($J183)/SUM($G183))</f>
        <v/>
      </c>
      <c r="Z183" s="118" t="str">
        <f aca="false">IF(OR(SUM($G183)=0,SUM($K183)=0),"",SUM($K183)/SUM($G183))</f>
        <v/>
      </c>
      <c r="AA183" s="118" t="str">
        <f aca="false">IF(OR(SUM($G183)=0,SUM($L183)=0),"",SUM($L183)/SUM($G183))</f>
        <v/>
      </c>
      <c r="AB183" s="118" t="n">
        <v>26</v>
      </c>
      <c r="AC183" s="118"/>
      <c r="AD183" s="118"/>
      <c r="AE183" s="118" t="n">
        <v>11</v>
      </c>
      <c r="AF183" s="118" t="n">
        <v>13</v>
      </c>
      <c r="AG183" s="118" t="n">
        <v>29</v>
      </c>
      <c r="AH183" s="118" t="n">
        <v>46</v>
      </c>
      <c r="AI183" s="118" t="n">
        <v>32</v>
      </c>
      <c r="AJ183" s="118" t="n">
        <v>13</v>
      </c>
      <c r="AK183" s="118" t="n">
        <f aca="false">IF(SUM($G183)&lt;=0,"",SUM($V183:$AJ183))</f>
        <v>-93.3333333333333</v>
      </c>
      <c r="AL183" s="118"/>
      <c r="AM183" s="75" t="n">
        <f aca="false">IF(OR(SUM($AB183)&lt;=0,SUM($G183)&lt;=0),"",ROUND($G183*$AB183,0))</f>
        <v>78</v>
      </c>
      <c r="AN183" s="75" t="str">
        <f aca="false">IF(SUM($AM183)&lt;=0,"",IF(SUM($AL183)&lt;=0,"ENTER VALID YIELD!",ROUND($AM183/$AL183,0)-$AM183))</f>
        <v>ENTER VALID YIELD!</v>
      </c>
      <c r="AO183" s="118"/>
      <c r="AP183" s="75" t="str">
        <f aca="false">IF(OR(SUM($AC183)&lt;=0,SUM($G183)&lt;=0),"",ROUND($G183*$AC183,0))</f>
        <v/>
      </c>
      <c r="AQ183" s="75" t="str">
        <f aca="false">IF(SUM($AP183)&lt;=0,"",IF(SUM($AO183)&lt;=0,"ENTER VALID YIELD!",ROUND($AP183/$AO183,0)-$AP183))</f>
        <v/>
      </c>
      <c r="AR183" s="118"/>
      <c r="AS183" s="75" t="str">
        <f aca="false">IF(OR(SUM($AD183)&lt;=0,SUM($G183)&lt;=0),"",ROUND($G183*$AD183,0))</f>
        <v/>
      </c>
      <c r="AT183" s="75" t="str">
        <f aca="false">IF(SUM($AS183)&lt;=0,"",IF(SUM($AR183)&lt;=0,"ENTER VALID YIELD!",ROUND($AS183/$AR183,0)-$AS183))</f>
        <v/>
      </c>
      <c r="AU183" s="118"/>
      <c r="AV183" s="75" t="n">
        <f aca="false">IF(OR(SUM($AE183)&lt;=0,SUM($G183)&lt;=0),"",ROUND($G183*$AE183,0))</f>
        <v>33</v>
      </c>
      <c r="AW183" s="75" t="str">
        <f aca="false">IF(SUM($AV183)&lt;=0,"",IF(SUM($AU183)&lt;=0,"ENTER VALID YIELD!",ROUND($AV183/$AU183,0)-$AV183))</f>
        <v>ENTER VALID YIELD!</v>
      </c>
      <c r="AX183" s="118"/>
      <c r="AY183" s="75" t="n">
        <f aca="false">IF(OR(SUM($AF183)&lt;=0,SUM($G183)&lt;=0),"",ROUND($G183*$AF183,0))</f>
        <v>39</v>
      </c>
      <c r="AZ183" s="75" t="str">
        <f aca="false">IF(SUM($AY183)&lt;=0,"",IF(SUM($AX183)&lt;=0,"ENTER VALID YIELD!",ROUND($AY183/$AX183,0)-$AY183))</f>
        <v>ENTER VALID YIELD!</v>
      </c>
      <c r="BA183" s="118" t="n">
        <v>20</v>
      </c>
      <c r="BB183" s="75" t="n">
        <f aca="false">IF(OR(SUM($AG183)&lt;=0,SUM($G183)&lt;=0),"",ROUND($G183*$AG183,0))</f>
        <v>87</v>
      </c>
      <c r="BC183" s="75" t="n">
        <f aca="false">IF(SUM($BB183)&lt;=0,"",IF(SUM($BA183)&lt;=0,"ENTER VALID YIELD!",ROUND($BB183/$BA183,0)-$BB183))</f>
        <v>-83</v>
      </c>
      <c r="BD183" s="118"/>
      <c r="BE183" s="75" t="n">
        <f aca="false">IF(OR(SUM($AH183)&lt;=0,SUM($G183)&lt;=0),"",ROUND($G183*$AH183,0))</f>
        <v>138</v>
      </c>
      <c r="BF183" s="75" t="str">
        <f aca="false">IF(SUM($BE183)&lt;=0,"",IF(SUM($BD183)&lt;=0,"ENTER VALID YIELD!",ROUND($BE183/$BD183,0)-$BE183))</f>
        <v>ENTER VALID YIELD!</v>
      </c>
      <c r="BG183" s="118"/>
      <c r="BH183" s="75" t="n">
        <f aca="false">IF(OR(SUM($AI183)&lt;=0,SUM($G183)&lt;=0),"",ROUND($G183*$AI183,0))</f>
        <v>96</v>
      </c>
      <c r="BI183" s="75" t="str">
        <f aca="false">IF(SUM($BH183)&lt;=0,"",IF(SUM($BG183)&lt;=0,"ENTER VALID YIELD!",ROUND($BH183/$BG183,0)-$BH183))</f>
        <v>ENTER VALID YIELD!</v>
      </c>
      <c r="BJ183" s="118"/>
      <c r="BK183" s="75" t="n">
        <f aca="false">IF(OR(SUM($AJ183)&lt;=0,SUM($G183)&lt;=0),"",ROUND($G183*$AJ183,0))</f>
        <v>39</v>
      </c>
      <c r="BL183" s="75" t="str">
        <f aca="false">IF(SUM($BK183)&lt;=0,"",IF(SUM($BJ183)&lt;=0,"ENTER VALID YIELD!",ROUND($BK183/$BJ183,0)-$BK183))</f>
        <v>ENTER VALID YIELD!</v>
      </c>
      <c r="BM183" s="73" t="n">
        <f aca="false">IF(SUM($G183)&lt;=0,"",$G183)</f>
        <v>3</v>
      </c>
      <c r="BN183" s="73" t="n">
        <f aca="false">IF(SUM($G183)&lt;=0,"",SUM($I183:$L183,$Q183,$S183,$AM183,$AP183,$AS183,$AV183,$AY183,$BB183,$BE183,$BH183,$BK183))</f>
        <v>-280</v>
      </c>
      <c r="BO183" s="73" t="n">
        <f aca="false">IF(AND(SUM($BN183)&lt;=0,SUM($BM183)&lt;=0),"",SUM($BN183)-SUM($BM183))</f>
        <v>-283</v>
      </c>
      <c r="BP183" s="73" t="n">
        <f aca="false">_xlfn.IFNA(INDEX(PMTCT!$AF:$AF,MATCH($E183,PMTCT!$E:$E,0)),"")</f>
        <v>693</v>
      </c>
      <c r="BQ183" s="73" t="str">
        <f aca="false">_xlfn.IFNA(INDEX(PMTCT!$AV:$AV,MATCH($E183,PMTCT!$E:$E,0)),"")</f>
        <v/>
      </c>
      <c r="BR183" s="73" t="n">
        <f aca="false">_xlfn.IFNA(INDEX(TB!$R:$R,MATCH($E183,TB!$E:$E,0)),"")</f>
        <v>-1296</v>
      </c>
      <c r="BS183" s="73" t="str">
        <f aca="false">_xlfn.IFNA(INDEX(VMMC!$AD:$AD,MATCH($E183,VMMC!$E:$E,0)),"")</f>
        <v/>
      </c>
      <c r="BT183" s="73" t="n">
        <f aca="false">IF(SUM($R183,$T183,$AN183,$AQ183,$AT183,$AW183,$AZ183,$BC183,$BF183,$BI183,$BL183,$BP183:$BS183)=0,"",SUM($R183,$T183,$AN183,$AQ183,$AT183,$AW183,$AZ183,$BC183,$BF183,$BI183,$BL183,$BP183:$BS183))</f>
        <v>-686</v>
      </c>
      <c r="BU183" s="73" t="n">
        <f aca="false">IF(OR(SUM($BT183)=0,SUM($BN183)=0),"",SUM($BT183,$BN183))</f>
        <v>-966</v>
      </c>
      <c r="BV183" s="118" t="n">
        <f aca="false">IF(SUM($BU183)=0,"",SUM($BN183)/$BU183)</f>
        <v>0.289855072463768</v>
      </c>
      <c r="BW183" s="73"/>
      <c r="BX183" s="118" t="n">
        <f aca="false">IF(OR($C183="01-04",$C183="05-09"),"",0%)</f>
        <v>0</v>
      </c>
      <c r="BY183" s="75" t="str">
        <f aca="false">IF(OR($C183="01-04",$C183="05-09",SUM($BW183)=0),"",ROUND($BW183*(1+$BX183),0))</f>
        <v/>
      </c>
    </row>
    <row r="184" customFormat="false" ht="15" hidden="false" customHeight="false" outlineLevel="0" collapsed="false">
      <c r="A184" s="0" t="s">
        <v>148</v>
      </c>
      <c r="B184" s="0" t="s">
        <v>113</v>
      </c>
      <c r="C184" s="0" t="s">
        <v>75</v>
      </c>
      <c r="D184" s="0" t="s">
        <v>58</v>
      </c>
      <c r="E184" s="0" t="str">
        <f aca="false">B184&amp;"|"&amp;C184&amp;"|"&amp;D184</f>
        <v>Mokhotlong [#SNU] [tjhYqc1MlVo]|35-39|Male</v>
      </c>
      <c r="F184" s="118" t="n">
        <f aca="false">_xlfn.IFNA(INDEX(Cascade!$Y:$Y,MATCH($E184,Cascade!$E:$E,0)),"")</f>
        <v>0.58</v>
      </c>
      <c r="G184" s="73" t="n">
        <f aca="false">_xlfn.IFNA(INDEX(Cascade!$BD:$BD,MATCH($E184,Cascade!$E:$E,0)),"")</f>
        <v>21</v>
      </c>
      <c r="H184" s="73" t="n">
        <f aca="false">_xlfn.IFNA(INDEX(Cascade!$BE:$BE,MATCH($E184,Cascade!$E:$E,0)),"")</f>
        <v>6</v>
      </c>
      <c r="I184" s="73" t="str">
        <f aca="false">_xlfn.IFNA(INDEX(Cascade!$BF:$BF,MATCH($E184,Cascade!$E:$E,0)),"")</f>
        <v/>
      </c>
      <c r="J184" s="73" t="str">
        <f aca="false">_xlfn.IFNA(INDEX(Cascade!$BG:$BG,MATCH($E184,Cascade!$E:$E,0)),"")</f>
        <v/>
      </c>
      <c r="K184" s="73" t="n">
        <f aca="false">_xlfn.IFNA(INDEX(Cascade!$BH:$BH,MATCH($E184,Cascade!$E:$E,0)),"")</f>
        <v>-19656</v>
      </c>
      <c r="L184" s="73" t="str">
        <f aca="false">_xlfn.IFNA(INDEX(Cascade!$BI:$BI,MATCH($E184,Cascade!$E:$E,0)),"")</f>
        <v/>
      </c>
      <c r="M184" s="73" t="n">
        <f aca="false">_xlfn.IFNA(INDEX(Cascade!$BK:$BK,MATCH($E184,Cascade!$E:$E,0)),"")</f>
        <v>19671</v>
      </c>
      <c r="N184" s="118" t="n">
        <v>4</v>
      </c>
      <c r="O184" s="118"/>
      <c r="P184" s="118" t="n">
        <v>15</v>
      </c>
      <c r="Q184" s="75" t="str">
        <f aca="false">IF(OR(SUM($H184)=0,SUM($N184)=0,SUM($O184)=0),"",ROUND($H184*$N184,0))</f>
        <v/>
      </c>
      <c r="R184" s="75" t="str">
        <f aca="false">IF(OR(SUM($Q184)=0,SUM($O184)=0),"",ROUND(SUM($Q184)/SUM($O184),0)-SUM($Q184))</f>
        <v/>
      </c>
      <c r="S184" s="75" t="n">
        <f aca="false">IF(SUM($H184)=0,"",SUM($H184)-SUM($Q184))</f>
        <v>6</v>
      </c>
      <c r="T184" s="75" t="str">
        <f aca="false">IF(OR(SUM($S184)=0,$N184&gt;1,SUM($P184)&lt;=0),"",ROUND($S184/$P184,0)-$S184)</f>
        <v/>
      </c>
      <c r="U184" s="118" t="n">
        <f aca="false">IF(SUM($G184)&lt;=0,"",SUM($Q184,$S184)/$G184)</f>
        <v>0.285714285714286</v>
      </c>
      <c r="V184" s="118" t="str">
        <f aca="false">IF(OR(SUM($Q184)=0,SUM($G184)=0),"",SUM($Q184)/SUM($G184))</f>
        <v/>
      </c>
      <c r="W184" s="118" t="n">
        <f aca="false">IF(OR(SUM($S184)=0,SUM($G184)=0),"",SUM($S184)/SUM($G184))</f>
        <v>0.285714285714286</v>
      </c>
      <c r="X184" s="118" t="str">
        <f aca="false">IF(OR(SUM($G184)=0,SUM($I184)=0),"",SUM($I184)/SUM($G184))</f>
        <v/>
      </c>
      <c r="Y184" s="118" t="str">
        <f aca="false">IF(OR(SUM($G184)=0,SUM($J184)=0),"",SUM($J184)/SUM($G184))</f>
        <v/>
      </c>
      <c r="Z184" s="118" t="n">
        <f aca="false">IF(OR(SUM($G184)=0,SUM($K184)=0),"",SUM($K184)/SUM($G184))</f>
        <v>-936</v>
      </c>
      <c r="AA184" s="118" t="str">
        <f aca="false">IF(OR(SUM($G184)=0,SUM($L184)=0),"",SUM($L184)/SUM($G184))</f>
        <v/>
      </c>
      <c r="AB184" s="118" t="n">
        <v>28</v>
      </c>
      <c r="AC184" s="118"/>
      <c r="AD184" s="118"/>
      <c r="AE184" s="118" t="n">
        <v>50</v>
      </c>
      <c r="AF184" s="118" t="n">
        <v>27</v>
      </c>
      <c r="AG184" s="118" t="n">
        <v>2</v>
      </c>
      <c r="AH184" s="118" t="n">
        <v>30</v>
      </c>
      <c r="AI184" s="118" t="n">
        <v>6</v>
      </c>
      <c r="AJ184" s="118" t="n">
        <v>32</v>
      </c>
      <c r="AK184" s="118" t="n">
        <f aca="false">IF(SUM($G184)&lt;=0,"",SUM($V184:$AJ184))</f>
        <v>-760.714285714286</v>
      </c>
      <c r="AL184" s="118"/>
      <c r="AM184" s="75" t="n">
        <f aca="false">IF(OR(SUM($AB184)&lt;=0,SUM($G184)&lt;=0),"",ROUND($G184*$AB184,0))</f>
        <v>588</v>
      </c>
      <c r="AN184" s="75" t="str">
        <f aca="false">IF(SUM($AM184)&lt;=0,"",IF(SUM($AL184)&lt;=0,"ENTER VALID YIELD!",ROUND($AM184/$AL184,0)-$AM184))</f>
        <v>ENTER VALID YIELD!</v>
      </c>
      <c r="AO184" s="118"/>
      <c r="AP184" s="75" t="str">
        <f aca="false">IF(OR(SUM($AC184)&lt;=0,SUM($G184)&lt;=0),"",ROUND($G184*$AC184,0))</f>
        <v/>
      </c>
      <c r="AQ184" s="75" t="str">
        <f aca="false">IF(SUM($AP184)&lt;=0,"",IF(SUM($AO184)&lt;=0,"ENTER VALID YIELD!",ROUND($AP184/$AO184,0)-$AP184))</f>
        <v/>
      </c>
      <c r="AR184" s="118"/>
      <c r="AS184" s="75" t="str">
        <f aca="false">IF(OR(SUM($AD184)&lt;=0,SUM($G184)&lt;=0),"",ROUND($G184*$AD184,0))</f>
        <v/>
      </c>
      <c r="AT184" s="75" t="str">
        <f aca="false">IF(SUM($AS184)&lt;=0,"",IF(SUM($AR184)&lt;=0,"ENTER VALID YIELD!",ROUND($AS184/$AR184,0)-$AS184))</f>
        <v/>
      </c>
      <c r="AU184" s="118"/>
      <c r="AV184" s="75" t="n">
        <f aca="false">IF(OR(SUM($AE184)&lt;=0,SUM($G184)&lt;=0),"",ROUND($G184*$AE184,0))</f>
        <v>1050</v>
      </c>
      <c r="AW184" s="75" t="str">
        <f aca="false">IF(SUM($AV184)&lt;=0,"",IF(SUM($AU184)&lt;=0,"ENTER VALID YIELD!",ROUND($AV184/$AU184,0)-$AV184))</f>
        <v>ENTER VALID YIELD!</v>
      </c>
      <c r="AX184" s="118"/>
      <c r="AY184" s="75" t="n">
        <f aca="false">IF(OR(SUM($AF184)&lt;=0,SUM($G184)&lt;=0),"",ROUND($G184*$AF184,0))</f>
        <v>567</v>
      </c>
      <c r="AZ184" s="75" t="str">
        <f aca="false">IF(SUM($AY184)&lt;=0,"",IF(SUM($AX184)&lt;=0,"ENTER VALID YIELD!",ROUND($AY184/$AX184,0)-$AY184))</f>
        <v>ENTER VALID YIELD!</v>
      </c>
      <c r="BA184" s="118" t="n">
        <v>8</v>
      </c>
      <c r="BB184" s="75" t="n">
        <f aca="false">IF(OR(SUM($AG184)&lt;=0,SUM($G184)&lt;=0),"",ROUND($G184*$AG184,0))</f>
        <v>42</v>
      </c>
      <c r="BC184" s="75" t="n">
        <f aca="false">IF(SUM($BB184)&lt;=0,"",IF(SUM($BA184)&lt;=0,"ENTER VALID YIELD!",ROUND($BB184/$BA184,0)-$BB184))</f>
        <v>-37</v>
      </c>
      <c r="BD184" s="118"/>
      <c r="BE184" s="75" t="n">
        <f aca="false">IF(OR(SUM($AH184)&lt;=0,SUM($G184)&lt;=0),"",ROUND($G184*$AH184,0))</f>
        <v>630</v>
      </c>
      <c r="BF184" s="75" t="str">
        <f aca="false">IF(SUM($BE184)&lt;=0,"",IF(SUM($BD184)&lt;=0,"ENTER VALID YIELD!",ROUND($BE184/$BD184,0)-$BE184))</f>
        <v>ENTER VALID YIELD!</v>
      </c>
      <c r="BG184" s="118"/>
      <c r="BH184" s="75" t="n">
        <f aca="false">IF(OR(SUM($AI184)&lt;=0,SUM($G184)&lt;=0),"",ROUND($G184*$AI184,0))</f>
        <v>126</v>
      </c>
      <c r="BI184" s="75" t="str">
        <f aca="false">IF(SUM($BH184)&lt;=0,"",IF(SUM($BG184)&lt;=0,"ENTER VALID YIELD!",ROUND($BH184/$BG184,0)-$BH184))</f>
        <v>ENTER VALID YIELD!</v>
      </c>
      <c r="BJ184" s="118"/>
      <c r="BK184" s="75" t="n">
        <f aca="false">IF(OR(SUM($AJ184)&lt;=0,SUM($G184)&lt;=0),"",ROUND($G184*$AJ184,0))</f>
        <v>672</v>
      </c>
      <c r="BL184" s="75" t="str">
        <f aca="false">IF(SUM($BK184)&lt;=0,"",IF(SUM($BJ184)&lt;=0,"ENTER VALID YIELD!",ROUND($BK184/$BJ184,0)-$BK184))</f>
        <v>ENTER VALID YIELD!</v>
      </c>
      <c r="BM184" s="73" t="n">
        <f aca="false">IF(SUM($G184)&lt;=0,"",$G184)</f>
        <v>21</v>
      </c>
      <c r="BN184" s="73" t="n">
        <f aca="false">IF(SUM($G184)&lt;=0,"",SUM($I184:$L184,$Q184,$S184,$AM184,$AP184,$AS184,$AV184,$AY184,$BB184,$BE184,$BH184,$BK184))</f>
        <v>-15975</v>
      </c>
      <c r="BO184" s="73" t="n">
        <f aca="false">IF(AND(SUM($BN184)&lt;=0,SUM($BM184)&lt;=0),"",SUM($BN184)-SUM($BM184))</f>
        <v>-15996</v>
      </c>
      <c r="BP184" s="73" t="str">
        <f aca="false">_xlfn.IFNA(INDEX(PMTCT!$AF:$AF,MATCH($E184,PMTCT!$E:$E,0)),"")</f>
        <v/>
      </c>
      <c r="BQ184" s="73" t="str">
        <f aca="false">_xlfn.IFNA(INDEX(PMTCT!$AV:$AV,MATCH($E184,PMTCT!$E:$E,0)),"")</f>
        <v/>
      </c>
      <c r="BR184" s="73" t="n">
        <f aca="false">_xlfn.IFNA(INDEX(TB!$R:$R,MATCH($E184,TB!$E:$E,0)),"")</f>
        <v>19152</v>
      </c>
      <c r="BS184" s="73" t="str">
        <f aca="false">_xlfn.IFNA(INDEX(VMMC!$AD:$AD,MATCH($E184,VMMC!$E:$E,0)),"")</f>
        <v/>
      </c>
      <c r="BT184" s="73" t="n">
        <f aca="false">IF(SUM($R184,$T184,$AN184,$AQ184,$AT184,$AW184,$AZ184,$BC184,$BF184,$BI184,$BL184,$BP184:$BS184)=0,"",SUM($R184,$T184,$AN184,$AQ184,$AT184,$AW184,$AZ184,$BC184,$BF184,$BI184,$BL184,$BP184:$BS184))</f>
        <v>19115</v>
      </c>
      <c r="BU184" s="73" t="n">
        <f aca="false">IF(OR(SUM($BT184)=0,SUM($BN184)=0),"",SUM($BT184,$BN184))</f>
        <v>3140</v>
      </c>
      <c r="BV184" s="118" t="n">
        <f aca="false">IF(SUM($BU184)=0,"",SUM($BN184)/$BU184)</f>
        <v>-5.0875796178344</v>
      </c>
      <c r="BW184" s="73"/>
      <c r="BX184" s="118" t="n">
        <f aca="false">IF(OR($C184="01-04",$C184="05-09"),"",0%)</f>
        <v>0</v>
      </c>
      <c r="BY184" s="75" t="str">
        <f aca="false">IF(OR($C184="01-04",$C184="05-09",SUM($BW184)=0),"",ROUND($BW184*(1+$BX184),0))</f>
        <v/>
      </c>
    </row>
    <row r="185" customFormat="false" ht="15" hidden="false" customHeight="false" outlineLevel="0" collapsed="false">
      <c r="A185" s="0" t="s">
        <v>148</v>
      </c>
      <c r="B185" s="0" t="s">
        <v>113</v>
      </c>
      <c r="C185" s="0" t="s">
        <v>77</v>
      </c>
      <c r="D185" s="0" t="s">
        <v>56</v>
      </c>
      <c r="E185" s="0" t="str">
        <f aca="false">B185&amp;"|"&amp;C185&amp;"|"&amp;D185</f>
        <v>Mokhotlong [#SNU] [tjhYqc1MlVo]|40-44|Female</v>
      </c>
      <c r="F185" s="118" t="n">
        <f aca="false">_xlfn.IFNA(INDEX(Cascade!$Y:$Y,MATCH($E185,Cascade!$E:$E,0)),"")</f>
        <v>0.877376425855513</v>
      </c>
      <c r="G185" s="73" t="str">
        <f aca="false">_xlfn.IFNA(INDEX(Cascade!$BD:$BD,MATCH($E185,Cascade!$E:$E,0)),"")</f>
        <v/>
      </c>
      <c r="H185" s="73" t="str">
        <f aca="false">_xlfn.IFNA(INDEX(Cascade!$BE:$BE,MATCH($E185,Cascade!$E:$E,0)),"")</f>
        <v/>
      </c>
      <c r="I185" s="73" t="n">
        <f aca="false">_xlfn.IFNA(INDEX(Cascade!$BF:$BF,MATCH($E185,Cascade!$E:$E,0)),"")</f>
        <v>-9500</v>
      </c>
      <c r="J185" s="73" t="str">
        <f aca="false">_xlfn.IFNA(INDEX(Cascade!$BG:$BG,MATCH($E185,Cascade!$E:$E,0)),"")</f>
        <v/>
      </c>
      <c r="K185" s="73" t="n">
        <f aca="false">_xlfn.IFNA(INDEX(Cascade!$BH:$BH,MATCH($E185,Cascade!$E:$E,0)),"")</f>
        <v>-0</v>
      </c>
      <c r="L185" s="73" t="str">
        <f aca="false">_xlfn.IFNA(INDEX(Cascade!$BI:$BI,MATCH($E185,Cascade!$E:$E,0)),"")</f>
        <v/>
      </c>
      <c r="M185" s="73" t="str">
        <f aca="false">_xlfn.IFNA(INDEX(Cascade!$BK:$BK,MATCH($E185,Cascade!$E:$E,0)),"")</f>
        <v/>
      </c>
      <c r="N185" s="118" t="n">
        <v>25</v>
      </c>
      <c r="O185" s="118"/>
      <c r="P185" s="118" t="n">
        <v>26</v>
      </c>
      <c r="Q185" s="75" t="str">
        <f aca="false">IF(OR(SUM($H185)=0,SUM($N185)=0,SUM($O185)=0),"",ROUND($H185*$N185,0))</f>
        <v/>
      </c>
      <c r="R185" s="75" t="str">
        <f aca="false">IF(OR(SUM($Q185)=0,SUM($O185)=0),"",ROUND(SUM($Q185)/SUM($O185),0)-SUM($Q185))</f>
        <v/>
      </c>
      <c r="S185" s="75" t="str">
        <f aca="false">IF(SUM($H185)=0,"",SUM($H185)-SUM($Q185))</f>
        <v/>
      </c>
      <c r="T185" s="75" t="str">
        <f aca="false">IF(OR(SUM($S185)=0,$N185&gt;1,SUM($P185)&lt;=0),"",ROUND($S185/$P185,0)-$S185)</f>
        <v/>
      </c>
      <c r="U185" s="118" t="str">
        <f aca="false">IF(SUM($G185)&lt;=0,"",SUM($Q185,$S185)/$G185)</f>
        <v/>
      </c>
      <c r="V185" s="118" t="str">
        <f aca="false">IF(OR(SUM($Q185)=0,SUM($G185)=0),"",SUM($Q185)/SUM($G185))</f>
        <v/>
      </c>
      <c r="W185" s="118" t="str">
        <f aca="false">IF(OR(SUM($S185)=0,SUM($G185)=0),"",SUM($S185)/SUM($G185))</f>
        <v/>
      </c>
      <c r="X185" s="118" t="str">
        <f aca="false">IF(OR(SUM($G185)=0,SUM($I185)=0),"",SUM($I185)/SUM($G185))</f>
        <v/>
      </c>
      <c r="Y185" s="118" t="str">
        <f aca="false">IF(OR(SUM($G185)=0,SUM($J185)=0),"",SUM($J185)/SUM($G185))</f>
        <v/>
      </c>
      <c r="Z185" s="118" t="str">
        <f aca="false">IF(OR(SUM($G185)=0,SUM($K185)=0),"",SUM($K185)/SUM($G185))</f>
        <v/>
      </c>
      <c r="AA185" s="118" t="str">
        <f aca="false">IF(OR(SUM($G185)=0,SUM($L185)=0),"",SUM($L185)/SUM($G185))</f>
        <v/>
      </c>
      <c r="AB185" s="118" t="n">
        <v>40</v>
      </c>
      <c r="AC185" s="118"/>
      <c r="AD185" s="118"/>
      <c r="AE185" s="118" t="n">
        <v>20</v>
      </c>
      <c r="AF185" s="118" t="n">
        <v>28</v>
      </c>
      <c r="AG185" s="118" t="n">
        <v>13</v>
      </c>
      <c r="AH185" s="118" t="n">
        <v>13</v>
      </c>
      <c r="AI185" s="118" t="n">
        <v>40</v>
      </c>
      <c r="AJ185" s="118" t="n">
        <v>41</v>
      </c>
      <c r="AK185" s="118" t="str">
        <f aca="false">IF(SUM($G185)&lt;=0,"",SUM($V185:$AJ185))</f>
        <v/>
      </c>
      <c r="AL185" s="118" t="n">
        <v>29</v>
      </c>
      <c r="AM185" s="75" t="str">
        <f aca="false">IF(OR(SUM($AB185)&lt;=0,SUM($G185)&lt;=0),"",ROUND($G185*$AB185,0))</f>
        <v/>
      </c>
      <c r="AN185" s="75" t="str">
        <f aca="false">IF(SUM($AM185)&lt;=0,"",IF(SUM($AL185)&lt;=0,"ENTER VALID YIELD!",ROUND($AM185/$AL185,0)-$AM185))</f>
        <v/>
      </c>
      <c r="AO185" s="118"/>
      <c r="AP185" s="75" t="str">
        <f aca="false">IF(OR(SUM($AC185)&lt;=0,SUM($G185)&lt;=0),"",ROUND($G185*$AC185,0))</f>
        <v/>
      </c>
      <c r="AQ185" s="75" t="str">
        <f aca="false">IF(SUM($AP185)&lt;=0,"",IF(SUM($AO185)&lt;=0,"ENTER VALID YIELD!",ROUND($AP185/$AO185,0)-$AP185))</f>
        <v/>
      </c>
      <c r="AR185" s="118"/>
      <c r="AS185" s="75" t="str">
        <f aca="false">IF(OR(SUM($AD185)&lt;=0,SUM($G185)&lt;=0),"",ROUND($G185*$AD185,0))</f>
        <v/>
      </c>
      <c r="AT185" s="75" t="str">
        <f aca="false">IF(SUM($AS185)&lt;=0,"",IF(SUM($AR185)&lt;=0,"ENTER VALID YIELD!",ROUND($AS185/$AR185,0)-$AS185))</f>
        <v/>
      </c>
      <c r="AU185" s="118"/>
      <c r="AV185" s="75" t="str">
        <f aca="false">IF(OR(SUM($AE185)&lt;=0,SUM($G185)&lt;=0),"",ROUND($G185*$AE185,0))</f>
        <v/>
      </c>
      <c r="AW185" s="75" t="str">
        <f aca="false">IF(SUM($AV185)&lt;=0,"",IF(SUM($AU185)&lt;=0,"ENTER VALID YIELD!",ROUND($AV185/$AU185,0)-$AV185))</f>
        <v/>
      </c>
      <c r="AX185" s="118"/>
      <c r="AY185" s="75" t="str">
        <f aca="false">IF(OR(SUM($AF185)&lt;=0,SUM($G185)&lt;=0),"",ROUND($G185*$AF185,0))</f>
        <v/>
      </c>
      <c r="AZ185" s="75" t="str">
        <f aca="false">IF(SUM($AY185)&lt;=0,"",IF(SUM($AX185)&lt;=0,"ENTER VALID YIELD!",ROUND($AY185/$AX185,0)-$AY185))</f>
        <v/>
      </c>
      <c r="BA185" s="118" t="n">
        <v>47</v>
      </c>
      <c r="BB185" s="75" t="str">
        <f aca="false">IF(OR(SUM($AG185)&lt;=0,SUM($G185)&lt;=0),"",ROUND($G185*$AG185,0))</f>
        <v/>
      </c>
      <c r="BC185" s="75" t="str">
        <f aca="false">IF(SUM($BB185)&lt;=0,"",IF(SUM($BA185)&lt;=0,"ENTER VALID YIELD!",ROUND($BB185/$BA185,0)-$BB185))</f>
        <v/>
      </c>
      <c r="BD185" s="118"/>
      <c r="BE185" s="75" t="str">
        <f aca="false">IF(OR(SUM($AH185)&lt;=0,SUM($G185)&lt;=0),"",ROUND($G185*$AH185,0))</f>
        <v/>
      </c>
      <c r="BF185" s="75" t="str">
        <f aca="false">IF(SUM($BE185)&lt;=0,"",IF(SUM($BD185)&lt;=0,"ENTER VALID YIELD!",ROUND($BE185/$BD185,0)-$BE185))</f>
        <v/>
      </c>
      <c r="BG185" s="118"/>
      <c r="BH185" s="75" t="str">
        <f aca="false">IF(OR(SUM($AI185)&lt;=0,SUM($G185)&lt;=0),"",ROUND($G185*$AI185,0))</f>
        <v/>
      </c>
      <c r="BI185" s="75" t="str">
        <f aca="false">IF(SUM($BH185)&lt;=0,"",IF(SUM($BG185)&lt;=0,"ENTER VALID YIELD!",ROUND($BH185/$BG185,0)-$BH185))</f>
        <v/>
      </c>
      <c r="BJ185" s="118"/>
      <c r="BK185" s="75" t="str">
        <f aca="false">IF(OR(SUM($AJ185)&lt;=0,SUM($G185)&lt;=0),"",ROUND($G185*$AJ185,0))</f>
        <v/>
      </c>
      <c r="BL185" s="75" t="str">
        <f aca="false">IF(SUM($BK185)&lt;=0,"",IF(SUM($BJ185)&lt;=0,"ENTER VALID YIELD!",ROUND($BK185/$BJ185,0)-$BK185))</f>
        <v/>
      </c>
      <c r="BM185" s="73" t="str">
        <f aca="false">IF(SUM($G185)&lt;=0,"",$G185)</f>
        <v/>
      </c>
      <c r="BN185" s="73" t="str">
        <f aca="false">IF(SUM($G185)&lt;=0,"",SUM($I185:$L185,$Q185,$S185,$AM185,$AP185,$AS185,$AV185,$AY185,$BB185,$BE185,$BH185,$BK185))</f>
        <v/>
      </c>
      <c r="BO185" s="73" t="str">
        <f aca="false">IF(AND(SUM($BN185)&lt;=0,SUM($BM185)&lt;=0),"",SUM($BN185)-SUM($BM185))</f>
        <v/>
      </c>
      <c r="BP185" s="73" t="n">
        <f aca="false">_xlfn.IFNA(INDEX(PMTCT!$AF:$AF,MATCH($E185,PMTCT!$E:$E,0)),"")</f>
        <v>9310</v>
      </c>
      <c r="BQ185" s="73" t="str">
        <f aca="false">_xlfn.IFNA(INDEX(PMTCT!$AV:$AV,MATCH($E185,PMTCT!$E:$E,0)),"")</f>
        <v/>
      </c>
      <c r="BR185" s="73" t="n">
        <f aca="false">_xlfn.IFNA(INDEX(TB!$R:$R,MATCH($E185,TB!$E:$E,0)),"")</f>
        <v>-1222</v>
      </c>
      <c r="BS185" s="73" t="str">
        <f aca="false">_xlfn.IFNA(INDEX(VMMC!$AD:$AD,MATCH($E185,VMMC!$E:$E,0)),"")</f>
        <v/>
      </c>
      <c r="BT185" s="73" t="n">
        <f aca="false">IF(SUM($R185,$T185,$AN185,$AQ185,$AT185,$AW185,$AZ185,$BC185,$BF185,$BI185,$BL185,$BP185:$BS185)=0,"",SUM($R185,$T185,$AN185,$AQ185,$AT185,$AW185,$AZ185,$BC185,$BF185,$BI185,$BL185,$BP185:$BS185))</f>
        <v>8088</v>
      </c>
      <c r="BU185" s="73" t="str">
        <f aca="false">IF(OR(SUM($BT185)=0,SUM($BN185)=0),"",SUM($BT185,$BN185))</f>
        <v/>
      </c>
      <c r="BV185" s="118" t="str">
        <f aca="false">IF(SUM($BU185)=0,"",SUM($BN185)/$BU185)</f>
        <v/>
      </c>
      <c r="BW185" s="73"/>
      <c r="BX185" s="118" t="n">
        <f aca="false">IF(OR($C185="01-04",$C185="05-09"),"",0%)</f>
        <v>0</v>
      </c>
      <c r="BY185" s="75" t="str">
        <f aca="false">IF(OR($C185="01-04",$C185="05-09",SUM($BW185)=0),"",ROUND($BW185*(1+$BX185),0))</f>
        <v/>
      </c>
    </row>
    <row r="186" customFormat="false" ht="15" hidden="false" customHeight="false" outlineLevel="0" collapsed="false">
      <c r="A186" s="0" t="s">
        <v>148</v>
      </c>
      <c r="B186" s="0" t="s">
        <v>113</v>
      </c>
      <c r="C186" s="0" t="s">
        <v>77</v>
      </c>
      <c r="D186" s="0" t="s">
        <v>58</v>
      </c>
      <c r="E186" s="0" t="str">
        <f aca="false">B186&amp;"|"&amp;C186&amp;"|"&amp;D186</f>
        <v>Mokhotlong [#SNU] [tjhYqc1MlVo]|40-44|Male</v>
      </c>
      <c r="F186" s="118" t="n">
        <f aca="false">_xlfn.IFNA(INDEX(Cascade!$Y:$Y,MATCH($E186,Cascade!$E:$E,0)),"")</f>
        <v>0.70926517571885</v>
      </c>
      <c r="G186" s="73" t="str">
        <f aca="false">_xlfn.IFNA(INDEX(Cascade!$BD:$BD,MATCH($E186,Cascade!$E:$E,0)),"")</f>
        <v/>
      </c>
      <c r="H186" s="73" t="str">
        <f aca="false">_xlfn.IFNA(INDEX(Cascade!$BE:$BE,MATCH($E186,Cascade!$E:$E,0)),"")</f>
        <v/>
      </c>
      <c r="I186" s="73" t="str">
        <f aca="false">_xlfn.IFNA(INDEX(Cascade!$BF:$BF,MATCH($E186,Cascade!$E:$E,0)),"")</f>
        <v/>
      </c>
      <c r="J186" s="73" t="str">
        <f aca="false">_xlfn.IFNA(INDEX(Cascade!$BG:$BG,MATCH($E186,Cascade!$E:$E,0)),"")</f>
        <v/>
      </c>
      <c r="K186" s="73" t="n">
        <f aca="false">_xlfn.IFNA(INDEX(Cascade!$BH:$BH,MATCH($E186,Cascade!$E:$E,0)),"")</f>
        <v>-0</v>
      </c>
      <c r="L186" s="73" t="str">
        <f aca="false">_xlfn.IFNA(INDEX(Cascade!$BI:$BI,MATCH($E186,Cascade!$E:$E,0)),"")</f>
        <v/>
      </c>
      <c r="M186" s="73" t="str">
        <f aca="false">_xlfn.IFNA(INDEX(Cascade!$BK:$BK,MATCH($E186,Cascade!$E:$E,0)),"")</f>
        <v/>
      </c>
      <c r="N186" s="118" t="n">
        <v>46</v>
      </c>
      <c r="O186" s="118"/>
      <c r="P186" s="118" t="n">
        <v>12</v>
      </c>
      <c r="Q186" s="75" t="str">
        <f aca="false">IF(OR(SUM($H186)=0,SUM($N186)=0,SUM($O186)=0),"",ROUND($H186*$N186,0))</f>
        <v/>
      </c>
      <c r="R186" s="75" t="str">
        <f aca="false">IF(OR(SUM($Q186)=0,SUM($O186)=0),"",ROUND(SUM($Q186)/SUM($O186),0)-SUM($Q186))</f>
        <v/>
      </c>
      <c r="S186" s="75" t="str">
        <f aca="false">IF(SUM($H186)=0,"",SUM($H186)-SUM($Q186))</f>
        <v/>
      </c>
      <c r="T186" s="75" t="str">
        <f aca="false">IF(OR(SUM($S186)=0,$N186&gt;1,SUM($P186)&lt;=0),"",ROUND($S186/$P186,0)-$S186)</f>
        <v/>
      </c>
      <c r="U186" s="118" t="str">
        <f aca="false">IF(SUM($G186)&lt;=0,"",SUM($Q186,$S186)/$G186)</f>
        <v/>
      </c>
      <c r="V186" s="118" t="str">
        <f aca="false">IF(OR(SUM($Q186)=0,SUM($G186)=0),"",SUM($Q186)/SUM($G186))</f>
        <v/>
      </c>
      <c r="W186" s="118" t="str">
        <f aca="false">IF(OR(SUM($S186)=0,SUM($G186)=0),"",SUM($S186)/SUM($G186))</f>
        <v/>
      </c>
      <c r="X186" s="118" t="str">
        <f aca="false">IF(OR(SUM($G186)=0,SUM($I186)=0),"",SUM($I186)/SUM($G186))</f>
        <v/>
      </c>
      <c r="Y186" s="118" t="str">
        <f aca="false">IF(OR(SUM($G186)=0,SUM($J186)=0),"",SUM($J186)/SUM($G186))</f>
        <v/>
      </c>
      <c r="Z186" s="118" t="str">
        <f aca="false">IF(OR(SUM($G186)=0,SUM($K186)=0),"",SUM($K186)/SUM($G186))</f>
        <v/>
      </c>
      <c r="AA186" s="118" t="str">
        <f aca="false">IF(OR(SUM($G186)=0,SUM($L186)=0),"",SUM($L186)/SUM($G186))</f>
        <v/>
      </c>
      <c r="AB186" s="118" t="n">
        <v>13</v>
      </c>
      <c r="AC186" s="118"/>
      <c r="AD186" s="118"/>
      <c r="AE186" s="118" t="n">
        <v>13</v>
      </c>
      <c r="AF186" s="118" t="n">
        <v>15</v>
      </c>
      <c r="AG186" s="118" t="n">
        <v>27</v>
      </c>
      <c r="AH186" s="118" t="n">
        <v>18</v>
      </c>
      <c r="AI186" s="118" t="n">
        <v>37</v>
      </c>
      <c r="AJ186" s="118" t="n">
        <v>14</v>
      </c>
      <c r="AK186" s="118" t="str">
        <f aca="false">IF(SUM($G186)&lt;=0,"",SUM($V186:$AJ186))</f>
        <v/>
      </c>
      <c r="AL186" s="118"/>
      <c r="AM186" s="75" t="str">
        <f aca="false">IF(OR(SUM($AB186)&lt;=0,SUM($G186)&lt;=0),"",ROUND($G186*$AB186,0))</f>
        <v/>
      </c>
      <c r="AN186" s="75" t="str">
        <f aca="false">IF(SUM($AM186)&lt;=0,"",IF(SUM($AL186)&lt;=0,"ENTER VALID YIELD!",ROUND($AM186/$AL186,0)-$AM186))</f>
        <v/>
      </c>
      <c r="AO186" s="118"/>
      <c r="AP186" s="75" t="str">
        <f aca="false">IF(OR(SUM($AC186)&lt;=0,SUM($G186)&lt;=0),"",ROUND($G186*$AC186,0))</f>
        <v/>
      </c>
      <c r="AQ186" s="75" t="str">
        <f aca="false">IF(SUM($AP186)&lt;=0,"",IF(SUM($AO186)&lt;=0,"ENTER VALID YIELD!",ROUND($AP186/$AO186,0)-$AP186))</f>
        <v/>
      </c>
      <c r="AR186" s="118"/>
      <c r="AS186" s="75" t="str">
        <f aca="false">IF(OR(SUM($AD186)&lt;=0,SUM($G186)&lt;=0),"",ROUND($G186*$AD186,0))</f>
        <v/>
      </c>
      <c r="AT186" s="75" t="str">
        <f aca="false">IF(SUM($AS186)&lt;=0,"",IF(SUM($AR186)&lt;=0,"ENTER VALID YIELD!",ROUND($AS186/$AR186,0)-$AS186))</f>
        <v/>
      </c>
      <c r="AU186" s="118"/>
      <c r="AV186" s="75" t="str">
        <f aca="false">IF(OR(SUM($AE186)&lt;=0,SUM($G186)&lt;=0),"",ROUND($G186*$AE186,0))</f>
        <v/>
      </c>
      <c r="AW186" s="75" t="str">
        <f aca="false">IF(SUM($AV186)&lt;=0,"",IF(SUM($AU186)&lt;=0,"ENTER VALID YIELD!",ROUND($AV186/$AU186,0)-$AV186))</f>
        <v/>
      </c>
      <c r="AX186" s="118"/>
      <c r="AY186" s="75" t="str">
        <f aca="false">IF(OR(SUM($AF186)&lt;=0,SUM($G186)&lt;=0),"",ROUND($G186*$AF186,0))</f>
        <v/>
      </c>
      <c r="AZ186" s="75" t="str">
        <f aca="false">IF(SUM($AY186)&lt;=0,"",IF(SUM($AX186)&lt;=0,"ENTER VALID YIELD!",ROUND($AY186/$AX186,0)-$AY186))</f>
        <v/>
      </c>
      <c r="BA186" s="118" t="n">
        <v>12</v>
      </c>
      <c r="BB186" s="75" t="str">
        <f aca="false">IF(OR(SUM($AG186)&lt;=0,SUM($G186)&lt;=0),"",ROUND($G186*$AG186,0))</f>
        <v/>
      </c>
      <c r="BC186" s="75" t="str">
        <f aca="false">IF(SUM($BB186)&lt;=0,"",IF(SUM($BA186)&lt;=0,"ENTER VALID YIELD!",ROUND($BB186/$BA186,0)-$BB186))</f>
        <v/>
      </c>
      <c r="BD186" s="118"/>
      <c r="BE186" s="75" t="str">
        <f aca="false">IF(OR(SUM($AH186)&lt;=0,SUM($G186)&lt;=0),"",ROUND($G186*$AH186,0))</f>
        <v/>
      </c>
      <c r="BF186" s="75" t="str">
        <f aca="false">IF(SUM($BE186)&lt;=0,"",IF(SUM($BD186)&lt;=0,"ENTER VALID YIELD!",ROUND($BE186/$BD186,0)-$BE186))</f>
        <v/>
      </c>
      <c r="BG186" s="118"/>
      <c r="BH186" s="75" t="str">
        <f aca="false">IF(OR(SUM($AI186)&lt;=0,SUM($G186)&lt;=0),"",ROUND($G186*$AI186,0))</f>
        <v/>
      </c>
      <c r="BI186" s="75" t="str">
        <f aca="false">IF(SUM($BH186)&lt;=0,"",IF(SUM($BG186)&lt;=0,"ENTER VALID YIELD!",ROUND($BH186/$BG186,0)-$BH186))</f>
        <v/>
      </c>
      <c r="BJ186" s="118"/>
      <c r="BK186" s="75" t="str">
        <f aca="false">IF(OR(SUM($AJ186)&lt;=0,SUM($G186)&lt;=0),"",ROUND($G186*$AJ186,0))</f>
        <v/>
      </c>
      <c r="BL186" s="75" t="str">
        <f aca="false">IF(SUM($BK186)&lt;=0,"",IF(SUM($BJ186)&lt;=0,"ENTER VALID YIELD!",ROUND($BK186/$BJ186,0)-$BK186))</f>
        <v/>
      </c>
      <c r="BM186" s="73" t="str">
        <f aca="false">IF(SUM($G186)&lt;=0,"",$G186)</f>
        <v/>
      </c>
      <c r="BN186" s="73" t="str">
        <f aca="false">IF(SUM($G186)&lt;=0,"",SUM($I186:$L186,$Q186,$S186,$AM186,$AP186,$AS186,$AV186,$AY186,$BB186,$BE186,$BH186,$BK186))</f>
        <v/>
      </c>
      <c r="BO186" s="73" t="str">
        <f aca="false">IF(AND(SUM($BN186)&lt;=0,SUM($BM186)&lt;=0),"",SUM($BN186)-SUM($BM186))</f>
        <v/>
      </c>
      <c r="BP186" s="73" t="str">
        <f aca="false">_xlfn.IFNA(INDEX(PMTCT!$AF:$AF,MATCH($E186,PMTCT!$E:$E,0)),"")</f>
        <v/>
      </c>
      <c r="BQ186" s="73" t="str">
        <f aca="false">_xlfn.IFNA(INDEX(PMTCT!$AV:$AV,MATCH($E186,PMTCT!$E:$E,0)),"")</f>
        <v/>
      </c>
      <c r="BR186" s="73" t="n">
        <f aca="false">_xlfn.IFNA(INDEX(TB!$R:$R,MATCH($E186,TB!$E:$E,0)),"")</f>
        <v>-1680</v>
      </c>
      <c r="BS186" s="73" t="str">
        <f aca="false">_xlfn.IFNA(INDEX(VMMC!$AD:$AD,MATCH($E186,VMMC!$E:$E,0)),"")</f>
        <v/>
      </c>
      <c r="BT186" s="73" t="n">
        <f aca="false">IF(SUM($R186,$T186,$AN186,$AQ186,$AT186,$AW186,$AZ186,$BC186,$BF186,$BI186,$BL186,$BP186:$BS186)=0,"",SUM($R186,$T186,$AN186,$AQ186,$AT186,$AW186,$AZ186,$BC186,$BF186,$BI186,$BL186,$BP186:$BS186))</f>
        <v>-1680</v>
      </c>
      <c r="BU186" s="73" t="str">
        <f aca="false">IF(OR(SUM($BT186)=0,SUM($BN186)=0),"",SUM($BT186,$BN186))</f>
        <v/>
      </c>
      <c r="BV186" s="118" t="str">
        <f aca="false">IF(SUM($BU186)=0,"",SUM($BN186)/$BU186)</f>
        <v/>
      </c>
      <c r="BW186" s="73"/>
      <c r="BX186" s="118" t="n">
        <f aca="false">IF(OR($C186="01-04",$C186="05-09"),"",0%)</f>
        <v>0</v>
      </c>
      <c r="BY186" s="75" t="str">
        <f aca="false">IF(OR($C186="01-04",$C186="05-09",SUM($BW186)=0),"",ROUND($BW186*(1+$BX186),0))</f>
        <v/>
      </c>
    </row>
    <row r="187" customFormat="false" ht="15" hidden="false" customHeight="false" outlineLevel="0" collapsed="false">
      <c r="A187" s="0" t="s">
        <v>148</v>
      </c>
      <c r="B187" s="0" t="s">
        <v>113</v>
      </c>
      <c r="C187" s="0" t="s">
        <v>80</v>
      </c>
      <c r="D187" s="0" t="s">
        <v>56</v>
      </c>
      <c r="E187" s="0" t="str">
        <f aca="false">B187&amp;"|"&amp;C187&amp;"|"&amp;D187</f>
        <v>Mokhotlong [#SNU] [tjhYqc1MlVo]|45-49|Female</v>
      </c>
      <c r="F187" s="118" t="n">
        <f aca="false">_xlfn.IFNA(INDEX(Cascade!$Y:$Y,MATCH($E187,Cascade!$E:$E,0)),"")</f>
        <v>0.928843710292249</v>
      </c>
      <c r="G187" s="73" t="str">
        <f aca="false">_xlfn.IFNA(INDEX(Cascade!$BD:$BD,MATCH($E187,Cascade!$E:$E,0)),"")</f>
        <v/>
      </c>
      <c r="H187" s="73" t="str">
        <f aca="false">_xlfn.IFNA(INDEX(Cascade!$BE:$BE,MATCH($E187,Cascade!$E:$E,0)),"")</f>
        <v/>
      </c>
      <c r="I187" s="73" t="n">
        <f aca="false">_xlfn.IFNA(INDEX(Cascade!$BF:$BF,MATCH($E187,Cascade!$E:$E,0)),"")</f>
        <v>-0</v>
      </c>
      <c r="J187" s="73" t="str">
        <f aca="false">_xlfn.IFNA(INDEX(Cascade!$BG:$BG,MATCH($E187,Cascade!$E:$E,0)),"")</f>
        <v/>
      </c>
      <c r="K187" s="73" t="n">
        <f aca="false">_xlfn.IFNA(INDEX(Cascade!$BH:$BH,MATCH($E187,Cascade!$E:$E,0)),"")</f>
        <v>-6721</v>
      </c>
      <c r="L187" s="73" t="str">
        <f aca="false">_xlfn.IFNA(INDEX(Cascade!$BI:$BI,MATCH($E187,Cascade!$E:$E,0)),"")</f>
        <v/>
      </c>
      <c r="M187" s="73" t="str">
        <f aca="false">_xlfn.IFNA(INDEX(Cascade!$BK:$BK,MATCH($E187,Cascade!$E:$E,0)),"")</f>
        <v/>
      </c>
      <c r="N187" s="118"/>
      <c r="O187" s="118"/>
      <c r="P187" s="118"/>
      <c r="Q187" s="75" t="str">
        <f aca="false">IF(OR(SUM($H187)=0,SUM($N187)=0,SUM($O187)=0),"",ROUND($H187*$N187,0))</f>
        <v/>
      </c>
      <c r="R187" s="75" t="str">
        <f aca="false">IF(OR(SUM($Q187)=0,SUM($O187)=0),"",ROUND(SUM($Q187)/SUM($O187),0)-SUM($Q187))</f>
        <v/>
      </c>
      <c r="S187" s="75" t="str">
        <f aca="false">IF(SUM($H187)=0,"",SUM($H187)-SUM($Q187))</f>
        <v/>
      </c>
      <c r="T187" s="75" t="str">
        <f aca="false">IF(OR(SUM($S187)=0,$N187&gt;1,SUM($P187)&lt;=0),"",ROUND($S187/$P187,0)-$S187)</f>
        <v/>
      </c>
      <c r="U187" s="118" t="str">
        <f aca="false">IF(SUM($G187)&lt;=0,"",SUM($Q187,$S187)/$G187)</f>
        <v/>
      </c>
      <c r="V187" s="118" t="str">
        <f aca="false">IF(OR(SUM($Q187)=0,SUM($G187)=0),"",SUM($Q187)/SUM($G187))</f>
        <v/>
      </c>
      <c r="W187" s="118" t="str">
        <f aca="false">IF(OR(SUM($S187)=0,SUM($G187)=0),"",SUM($S187)/SUM($G187))</f>
        <v/>
      </c>
      <c r="X187" s="118" t="str">
        <f aca="false">IF(OR(SUM($G187)=0,SUM($I187)=0),"",SUM($I187)/SUM($G187))</f>
        <v/>
      </c>
      <c r="Y187" s="118" t="str">
        <f aca="false">IF(OR(SUM($G187)=0,SUM($J187)=0),"",SUM($J187)/SUM($G187))</f>
        <v/>
      </c>
      <c r="Z187" s="118" t="str">
        <f aca="false">IF(OR(SUM($G187)=0,SUM($K187)=0),"",SUM($K187)/SUM($G187))</f>
        <v/>
      </c>
      <c r="AA187" s="118" t="str">
        <f aca="false">IF(OR(SUM($G187)=0,SUM($L187)=0),"",SUM($L187)/SUM($G187))</f>
        <v/>
      </c>
      <c r="AB187" s="118" t="n">
        <v>35</v>
      </c>
      <c r="AC187" s="118"/>
      <c r="AD187" s="118"/>
      <c r="AE187" s="118" t="n">
        <v>12</v>
      </c>
      <c r="AF187" s="118" t="n">
        <v>5</v>
      </c>
      <c r="AG187" s="118" t="n">
        <v>39</v>
      </c>
      <c r="AH187" s="118" t="n">
        <v>27</v>
      </c>
      <c r="AI187" s="118" t="n">
        <v>9</v>
      </c>
      <c r="AJ187" s="118" t="n">
        <v>16</v>
      </c>
      <c r="AK187" s="118" t="str">
        <f aca="false">IF(SUM($G187)&lt;=0,"",SUM($V187:$AJ187))</f>
        <v/>
      </c>
      <c r="AL187" s="118"/>
      <c r="AM187" s="75" t="str">
        <f aca="false">IF(OR(SUM($AB187)&lt;=0,SUM($G187)&lt;=0),"",ROUND($G187*$AB187,0))</f>
        <v/>
      </c>
      <c r="AN187" s="75" t="str">
        <f aca="false">IF(SUM($AM187)&lt;=0,"",IF(SUM($AL187)&lt;=0,"ENTER VALID YIELD!",ROUND($AM187/$AL187,0)-$AM187))</f>
        <v/>
      </c>
      <c r="AO187" s="118"/>
      <c r="AP187" s="75" t="str">
        <f aca="false">IF(OR(SUM($AC187)&lt;=0,SUM($G187)&lt;=0),"",ROUND($G187*$AC187,0))</f>
        <v/>
      </c>
      <c r="AQ187" s="75" t="str">
        <f aca="false">IF(SUM($AP187)&lt;=0,"",IF(SUM($AO187)&lt;=0,"ENTER VALID YIELD!",ROUND($AP187/$AO187,0)-$AP187))</f>
        <v/>
      </c>
      <c r="AR187" s="118"/>
      <c r="AS187" s="75" t="str">
        <f aca="false">IF(OR(SUM($AD187)&lt;=0,SUM($G187)&lt;=0),"",ROUND($G187*$AD187,0))</f>
        <v/>
      </c>
      <c r="AT187" s="75" t="str">
        <f aca="false">IF(SUM($AS187)&lt;=0,"",IF(SUM($AR187)&lt;=0,"ENTER VALID YIELD!",ROUND($AS187/$AR187,0)-$AS187))</f>
        <v/>
      </c>
      <c r="AU187" s="118"/>
      <c r="AV187" s="75" t="str">
        <f aca="false">IF(OR(SUM($AE187)&lt;=0,SUM($G187)&lt;=0),"",ROUND($G187*$AE187,0))</f>
        <v/>
      </c>
      <c r="AW187" s="75" t="str">
        <f aca="false">IF(SUM($AV187)&lt;=0,"",IF(SUM($AU187)&lt;=0,"ENTER VALID YIELD!",ROUND($AV187/$AU187,0)-$AV187))</f>
        <v/>
      </c>
      <c r="AX187" s="118"/>
      <c r="AY187" s="75" t="str">
        <f aca="false">IF(OR(SUM($AF187)&lt;=0,SUM($G187)&lt;=0),"",ROUND($G187*$AF187,0))</f>
        <v/>
      </c>
      <c r="AZ187" s="75" t="str">
        <f aca="false">IF(SUM($AY187)&lt;=0,"",IF(SUM($AX187)&lt;=0,"ENTER VALID YIELD!",ROUND($AY187/$AX187,0)-$AY187))</f>
        <v/>
      </c>
      <c r="BA187" s="118" t="n">
        <v>34</v>
      </c>
      <c r="BB187" s="75" t="str">
        <f aca="false">IF(OR(SUM($AG187)&lt;=0,SUM($G187)&lt;=0),"",ROUND($G187*$AG187,0))</f>
        <v/>
      </c>
      <c r="BC187" s="75" t="str">
        <f aca="false">IF(SUM($BB187)&lt;=0,"",IF(SUM($BA187)&lt;=0,"ENTER VALID YIELD!",ROUND($BB187/$BA187,0)-$BB187))</f>
        <v/>
      </c>
      <c r="BD187" s="118"/>
      <c r="BE187" s="75" t="str">
        <f aca="false">IF(OR(SUM($AH187)&lt;=0,SUM($G187)&lt;=0),"",ROUND($G187*$AH187,0))</f>
        <v/>
      </c>
      <c r="BF187" s="75" t="str">
        <f aca="false">IF(SUM($BE187)&lt;=0,"",IF(SUM($BD187)&lt;=0,"ENTER VALID YIELD!",ROUND($BE187/$BD187,0)-$BE187))</f>
        <v/>
      </c>
      <c r="BG187" s="118"/>
      <c r="BH187" s="75" t="str">
        <f aca="false">IF(OR(SUM($AI187)&lt;=0,SUM($G187)&lt;=0),"",ROUND($G187*$AI187,0))</f>
        <v/>
      </c>
      <c r="BI187" s="75" t="str">
        <f aca="false">IF(SUM($BH187)&lt;=0,"",IF(SUM($BG187)&lt;=0,"ENTER VALID YIELD!",ROUND($BH187/$BG187,0)-$BH187))</f>
        <v/>
      </c>
      <c r="BJ187" s="118"/>
      <c r="BK187" s="75" t="str">
        <f aca="false">IF(OR(SUM($AJ187)&lt;=0,SUM($G187)&lt;=0),"",ROUND($G187*$AJ187,0))</f>
        <v/>
      </c>
      <c r="BL187" s="75" t="str">
        <f aca="false">IF(SUM($BK187)&lt;=0,"",IF(SUM($BJ187)&lt;=0,"ENTER VALID YIELD!",ROUND($BK187/$BJ187,0)-$BK187))</f>
        <v/>
      </c>
      <c r="BM187" s="73" t="str">
        <f aca="false">IF(SUM($G187)&lt;=0,"",$G187)</f>
        <v/>
      </c>
      <c r="BN187" s="73" t="str">
        <f aca="false">IF(SUM($G187)&lt;=0,"",SUM($I187:$L187,$Q187,$S187,$AM187,$AP187,$AS187,$AV187,$AY187,$BB187,$BE187,$BH187,$BK187))</f>
        <v/>
      </c>
      <c r="BO187" s="73" t="str">
        <f aca="false">IF(AND(SUM($BN187)&lt;=0,SUM($BM187)&lt;=0),"",SUM($BN187)-SUM($BM187))</f>
        <v/>
      </c>
      <c r="BP187" s="73" t="n">
        <f aca="false">_xlfn.IFNA(INDEX(PMTCT!$AF:$AF,MATCH($E187,PMTCT!$E:$E,0)),"")</f>
        <v>-600</v>
      </c>
      <c r="BQ187" s="73" t="str">
        <f aca="false">_xlfn.IFNA(INDEX(PMTCT!$AV:$AV,MATCH($E187,PMTCT!$E:$E,0)),"")</f>
        <v/>
      </c>
      <c r="BR187" s="73" t="n">
        <f aca="false">_xlfn.IFNA(INDEX(TB!$R:$R,MATCH($E187,TB!$E:$E,0)),"")</f>
        <v>6110</v>
      </c>
      <c r="BS187" s="73" t="str">
        <f aca="false">_xlfn.IFNA(INDEX(VMMC!$AD:$AD,MATCH($E187,VMMC!$E:$E,0)),"")</f>
        <v/>
      </c>
      <c r="BT187" s="73" t="n">
        <f aca="false">IF(SUM($R187,$T187,$AN187,$AQ187,$AT187,$AW187,$AZ187,$BC187,$BF187,$BI187,$BL187,$BP187:$BS187)=0,"",SUM($R187,$T187,$AN187,$AQ187,$AT187,$AW187,$AZ187,$BC187,$BF187,$BI187,$BL187,$BP187:$BS187))</f>
        <v>5510</v>
      </c>
      <c r="BU187" s="73" t="str">
        <f aca="false">IF(OR(SUM($BT187)=0,SUM($BN187)=0),"",SUM($BT187,$BN187))</f>
        <v/>
      </c>
      <c r="BV187" s="118" t="str">
        <f aca="false">IF(SUM($BU187)=0,"",SUM($BN187)/$BU187)</f>
        <v/>
      </c>
      <c r="BW187" s="73"/>
      <c r="BX187" s="118" t="n">
        <f aca="false">IF(OR($C187="01-04",$C187="05-09"),"",0%)</f>
        <v>0</v>
      </c>
      <c r="BY187" s="75" t="str">
        <f aca="false">IF(OR($C187="01-04",$C187="05-09",SUM($BW187)=0),"",ROUND($BW187*(1+$BX187),0))</f>
        <v/>
      </c>
    </row>
    <row r="188" customFormat="false" ht="15" hidden="false" customHeight="false" outlineLevel="0" collapsed="false">
      <c r="A188" s="0" t="s">
        <v>148</v>
      </c>
      <c r="B188" s="0" t="s">
        <v>113</v>
      </c>
      <c r="C188" s="0" t="s">
        <v>80</v>
      </c>
      <c r="D188" s="0" t="s">
        <v>58</v>
      </c>
      <c r="E188" s="0" t="str">
        <f aca="false">B188&amp;"|"&amp;C188&amp;"|"&amp;D188</f>
        <v>Mokhotlong [#SNU] [tjhYqc1MlVo]|45-49|Male</v>
      </c>
      <c r="F188" s="118" t="n">
        <f aca="false">_xlfn.IFNA(INDEX(Cascade!$Y:$Y,MATCH($E188,Cascade!$E:$E,0)),"")</f>
        <v>0.743691899070385</v>
      </c>
      <c r="G188" s="73" t="n">
        <f aca="false">_xlfn.IFNA(INDEX(Cascade!$BD:$BD,MATCH($E188,Cascade!$E:$E,0)),"")</f>
        <v>9</v>
      </c>
      <c r="H188" s="73" t="n">
        <f aca="false">_xlfn.IFNA(INDEX(Cascade!$BE:$BE,MATCH($E188,Cascade!$E:$E,0)),"")</f>
        <v>5</v>
      </c>
      <c r="I188" s="73" t="str">
        <f aca="false">_xlfn.IFNA(INDEX(Cascade!$BF:$BF,MATCH($E188,Cascade!$E:$E,0)),"")</f>
        <v/>
      </c>
      <c r="J188" s="73" t="str">
        <f aca="false">_xlfn.IFNA(INDEX(Cascade!$BG:$BG,MATCH($E188,Cascade!$E:$E,0)),"")</f>
        <v/>
      </c>
      <c r="K188" s="73" t="n">
        <f aca="false">_xlfn.IFNA(INDEX(Cascade!$BH:$BH,MATCH($E188,Cascade!$E:$E,0)),"")</f>
        <v>-7200</v>
      </c>
      <c r="L188" s="73" t="str">
        <f aca="false">_xlfn.IFNA(INDEX(Cascade!$BI:$BI,MATCH($E188,Cascade!$E:$E,0)),"")</f>
        <v/>
      </c>
      <c r="M188" s="73" t="n">
        <f aca="false">_xlfn.IFNA(INDEX(Cascade!$BK:$BK,MATCH($E188,Cascade!$E:$E,0)),"")</f>
        <v>7204</v>
      </c>
      <c r="N188" s="118" t="n">
        <v>40</v>
      </c>
      <c r="O188" s="118"/>
      <c r="P188" s="118" t="n">
        <v>42</v>
      </c>
      <c r="Q188" s="75" t="str">
        <f aca="false">IF(OR(SUM($H188)=0,SUM($N188)=0,SUM($O188)=0),"",ROUND($H188*$N188,0))</f>
        <v/>
      </c>
      <c r="R188" s="75" t="str">
        <f aca="false">IF(OR(SUM($Q188)=0,SUM($O188)=0),"",ROUND(SUM($Q188)/SUM($O188),0)-SUM($Q188))</f>
        <v/>
      </c>
      <c r="S188" s="75" t="n">
        <f aca="false">IF(SUM($H188)=0,"",SUM($H188)-SUM($Q188))</f>
        <v>5</v>
      </c>
      <c r="T188" s="75" t="str">
        <f aca="false">IF(OR(SUM($S188)=0,$N188&gt;1,SUM($P188)&lt;=0),"",ROUND($S188/$P188,0)-$S188)</f>
        <v/>
      </c>
      <c r="U188" s="118" t="n">
        <f aca="false">IF(SUM($G188)&lt;=0,"",SUM($Q188,$S188)/$G188)</f>
        <v>0.555555555555556</v>
      </c>
      <c r="V188" s="118" t="str">
        <f aca="false">IF(OR(SUM($Q188)=0,SUM($G188)=0),"",SUM($Q188)/SUM($G188))</f>
        <v/>
      </c>
      <c r="W188" s="118" t="n">
        <f aca="false">IF(OR(SUM($S188)=0,SUM($G188)=0),"",SUM($S188)/SUM($G188))</f>
        <v>0.555555555555556</v>
      </c>
      <c r="X188" s="118" t="str">
        <f aca="false">IF(OR(SUM($G188)=0,SUM($I188)=0),"",SUM($I188)/SUM($G188))</f>
        <v/>
      </c>
      <c r="Y188" s="118" t="str">
        <f aca="false">IF(OR(SUM($G188)=0,SUM($J188)=0),"",SUM($J188)/SUM($G188))</f>
        <v/>
      </c>
      <c r="Z188" s="118" t="n">
        <f aca="false">IF(OR(SUM($G188)=0,SUM($K188)=0),"",SUM($K188)/SUM($G188))</f>
        <v>-800</v>
      </c>
      <c r="AA188" s="118" t="str">
        <f aca="false">IF(OR(SUM($G188)=0,SUM($L188)=0),"",SUM($L188)/SUM($G188))</f>
        <v/>
      </c>
      <c r="AB188" s="118" t="n">
        <v>38</v>
      </c>
      <c r="AC188" s="118"/>
      <c r="AD188" s="118"/>
      <c r="AE188" s="118" t="n">
        <v>29</v>
      </c>
      <c r="AF188" s="118" t="n">
        <v>13</v>
      </c>
      <c r="AG188" s="118" t="n">
        <v>30</v>
      </c>
      <c r="AH188" s="118" t="n">
        <v>9</v>
      </c>
      <c r="AI188" s="118" t="n">
        <v>37</v>
      </c>
      <c r="AJ188" s="118" t="n">
        <v>40</v>
      </c>
      <c r="AK188" s="118" t="n">
        <f aca="false">IF(SUM($G188)&lt;=0,"",SUM($V188:$AJ188))</f>
        <v>-603.444444444444</v>
      </c>
      <c r="AL188" s="118"/>
      <c r="AM188" s="75" t="n">
        <f aca="false">IF(OR(SUM($AB188)&lt;=0,SUM($G188)&lt;=0),"",ROUND($G188*$AB188,0))</f>
        <v>342</v>
      </c>
      <c r="AN188" s="75" t="str">
        <f aca="false">IF(SUM($AM188)&lt;=0,"",IF(SUM($AL188)&lt;=0,"ENTER VALID YIELD!",ROUND($AM188/$AL188,0)-$AM188))</f>
        <v>ENTER VALID YIELD!</v>
      </c>
      <c r="AO188" s="118"/>
      <c r="AP188" s="75" t="str">
        <f aca="false">IF(OR(SUM($AC188)&lt;=0,SUM($G188)&lt;=0),"",ROUND($G188*$AC188,0))</f>
        <v/>
      </c>
      <c r="AQ188" s="75" t="str">
        <f aca="false">IF(SUM($AP188)&lt;=0,"",IF(SUM($AO188)&lt;=0,"ENTER VALID YIELD!",ROUND($AP188/$AO188,0)-$AP188))</f>
        <v/>
      </c>
      <c r="AR188" s="118"/>
      <c r="AS188" s="75" t="str">
        <f aca="false">IF(OR(SUM($AD188)&lt;=0,SUM($G188)&lt;=0),"",ROUND($G188*$AD188,0))</f>
        <v/>
      </c>
      <c r="AT188" s="75" t="str">
        <f aca="false">IF(SUM($AS188)&lt;=0,"",IF(SUM($AR188)&lt;=0,"ENTER VALID YIELD!",ROUND($AS188/$AR188,0)-$AS188))</f>
        <v/>
      </c>
      <c r="AU188" s="118"/>
      <c r="AV188" s="75" t="n">
        <f aca="false">IF(OR(SUM($AE188)&lt;=0,SUM($G188)&lt;=0),"",ROUND($G188*$AE188,0))</f>
        <v>261</v>
      </c>
      <c r="AW188" s="75" t="str">
        <f aca="false">IF(SUM($AV188)&lt;=0,"",IF(SUM($AU188)&lt;=0,"ENTER VALID YIELD!",ROUND($AV188/$AU188,0)-$AV188))</f>
        <v>ENTER VALID YIELD!</v>
      </c>
      <c r="AX188" s="118"/>
      <c r="AY188" s="75" t="n">
        <f aca="false">IF(OR(SUM($AF188)&lt;=0,SUM($G188)&lt;=0),"",ROUND($G188*$AF188,0))</f>
        <v>117</v>
      </c>
      <c r="AZ188" s="75" t="str">
        <f aca="false">IF(SUM($AY188)&lt;=0,"",IF(SUM($AX188)&lt;=0,"ENTER VALID YIELD!",ROUND($AY188/$AX188,0)-$AY188))</f>
        <v>ENTER VALID YIELD!</v>
      </c>
      <c r="BA188" s="118" t="n">
        <v>19</v>
      </c>
      <c r="BB188" s="75" t="n">
        <f aca="false">IF(OR(SUM($AG188)&lt;=0,SUM($G188)&lt;=0),"",ROUND($G188*$AG188,0))</f>
        <v>270</v>
      </c>
      <c r="BC188" s="75" t="n">
        <f aca="false">IF(SUM($BB188)&lt;=0,"",IF(SUM($BA188)&lt;=0,"ENTER VALID YIELD!",ROUND($BB188/$BA188,0)-$BB188))</f>
        <v>-256</v>
      </c>
      <c r="BD188" s="118"/>
      <c r="BE188" s="75" t="n">
        <f aca="false">IF(OR(SUM($AH188)&lt;=0,SUM($G188)&lt;=0),"",ROUND($G188*$AH188,0))</f>
        <v>81</v>
      </c>
      <c r="BF188" s="75" t="str">
        <f aca="false">IF(SUM($BE188)&lt;=0,"",IF(SUM($BD188)&lt;=0,"ENTER VALID YIELD!",ROUND($BE188/$BD188,0)-$BE188))</f>
        <v>ENTER VALID YIELD!</v>
      </c>
      <c r="BG188" s="118"/>
      <c r="BH188" s="75" t="n">
        <f aca="false">IF(OR(SUM($AI188)&lt;=0,SUM($G188)&lt;=0),"",ROUND($G188*$AI188,0))</f>
        <v>333</v>
      </c>
      <c r="BI188" s="75" t="str">
        <f aca="false">IF(SUM($BH188)&lt;=0,"",IF(SUM($BG188)&lt;=0,"ENTER VALID YIELD!",ROUND($BH188/$BG188,0)-$BH188))</f>
        <v>ENTER VALID YIELD!</v>
      </c>
      <c r="BJ188" s="118"/>
      <c r="BK188" s="75" t="n">
        <f aca="false">IF(OR(SUM($AJ188)&lt;=0,SUM($G188)&lt;=0),"",ROUND($G188*$AJ188,0))</f>
        <v>360</v>
      </c>
      <c r="BL188" s="75" t="str">
        <f aca="false">IF(SUM($BK188)&lt;=0,"",IF(SUM($BJ188)&lt;=0,"ENTER VALID YIELD!",ROUND($BK188/$BJ188,0)-$BK188))</f>
        <v>ENTER VALID YIELD!</v>
      </c>
      <c r="BM188" s="73" t="n">
        <f aca="false">IF(SUM($G188)&lt;=0,"",$G188)</f>
        <v>9</v>
      </c>
      <c r="BN188" s="73" t="n">
        <f aca="false">IF(SUM($G188)&lt;=0,"",SUM($I188:$L188,$Q188,$S188,$AM188,$AP188,$AS188,$AV188,$AY188,$BB188,$BE188,$BH188,$BK188))</f>
        <v>-5431</v>
      </c>
      <c r="BO188" s="73" t="n">
        <f aca="false">IF(AND(SUM($BN188)&lt;=0,SUM($BM188)&lt;=0),"",SUM($BN188)-SUM($BM188))</f>
        <v>-5440</v>
      </c>
      <c r="BP188" s="73" t="str">
        <f aca="false">_xlfn.IFNA(INDEX(PMTCT!$AF:$AF,MATCH($E188,PMTCT!$E:$E,0)),"")</f>
        <v/>
      </c>
      <c r="BQ188" s="73" t="str">
        <f aca="false">_xlfn.IFNA(INDEX(PMTCT!$AV:$AV,MATCH($E188,PMTCT!$E:$E,0)),"")</f>
        <v/>
      </c>
      <c r="BR188" s="73" t="n">
        <f aca="false">_xlfn.IFNA(INDEX(TB!$R:$R,MATCH($E188,TB!$E:$E,0)),"")</f>
        <v>6480</v>
      </c>
      <c r="BS188" s="73" t="str">
        <f aca="false">_xlfn.IFNA(INDEX(VMMC!$AD:$AD,MATCH($E188,VMMC!$E:$E,0)),"")</f>
        <v/>
      </c>
      <c r="BT188" s="73" t="n">
        <f aca="false">IF(SUM($R188,$T188,$AN188,$AQ188,$AT188,$AW188,$AZ188,$BC188,$BF188,$BI188,$BL188,$BP188:$BS188)=0,"",SUM($R188,$T188,$AN188,$AQ188,$AT188,$AW188,$AZ188,$BC188,$BF188,$BI188,$BL188,$BP188:$BS188))</f>
        <v>6224</v>
      </c>
      <c r="BU188" s="73" t="n">
        <f aca="false">IF(OR(SUM($BT188)=0,SUM($BN188)=0),"",SUM($BT188,$BN188))</f>
        <v>793</v>
      </c>
      <c r="BV188" s="118" t="n">
        <f aca="false">IF(SUM($BU188)=0,"",SUM($BN188)/$BU188)</f>
        <v>-6.84867591424969</v>
      </c>
      <c r="BW188" s="73"/>
      <c r="BX188" s="118" t="n">
        <f aca="false">IF(OR($C188="01-04",$C188="05-09"),"",0%)</f>
        <v>0</v>
      </c>
      <c r="BY188" s="75" t="str">
        <f aca="false">IF(OR($C188="01-04",$C188="05-09",SUM($BW188)=0),"",ROUND($BW188*(1+$BX188),0))</f>
        <v/>
      </c>
    </row>
    <row r="189" customFormat="false" ht="15" hidden="false" customHeight="false" outlineLevel="0" collapsed="false">
      <c r="A189" s="0" t="s">
        <v>148</v>
      </c>
      <c r="B189" s="0" t="s">
        <v>113</v>
      </c>
      <c r="C189" s="0" t="s">
        <v>86</v>
      </c>
      <c r="D189" s="0" t="s">
        <v>56</v>
      </c>
      <c r="E189" s="0" t="str">
        <f aca="false">B189&amp;"|"&amp;C189&amp;"|"&amp;D189</f>
        <v>Mokhotlong [#SNU] [tjhYqc1MlVo]|50+|Female</v>
      </c>
      <c r="F189" s="118" t="n">
        <f aca="false">_xlfn.IFNA(INDEX(Cascade!$Y:$Y,MATCH($E189,Cascade!$E:$E,0)),"")</f>
        <v>0.723953695458593</v>
      </c>
      <c r="G189" s="73" t="n">
        <f aca="false">_xlfn.IFNA(INDEX(Cascade!$BD:$BD,MATCH($E189,Cascade!$E:$E,0)),"")</f>
        <v>9</v>
      </c>
      <c r="H189" s="73" t="n">
        <f aca="false">_xlfn.IFNA(INDEX(Cascade!$BE:$BE,MATCH($E189,Cascade!$E:$E,0)),"")</f>
        <v>5</v>
      </c>
      <c r="I189" s="73" t="str">
        <f aca="false">_xlfn.IFNA(INDEX(Cascade!$BF:$BF,MATCH($E189,Cascade!$E:$E,0)),"")</f>
        <v/>
      </c>
      <c r="J189" s="73" t="str">
        <f aca="false">_xlfn.IFNA(INDEX(Cascade!$BG:$BG,MATCH($E189,Cascade!$E:$E,0)),"")</f>
        <v/>
      </c>
      <c r="K189" s="73" t="n">
        <f aca="false">_xlfn.IFNA(INDEX(Cascade!$BH:$BH,MATCH($E189,Cascade!$E:$E,0)),"")</f>
        <v>-0</v>
      </c>
      <c r="L189" s="73" t="str">
        <f aca="false">_xlfn.IFNA(INDEX(Cascade!$BI:$BI,MATCH($E189,Cascade!$E:$E,0)),"")</f>
        <v/>
      </c>
      <c r="M189" s="73" t="n">
        <f aca="false">_xlfn.IFNA(INDEX(Cascade!$BK:$BK,MATCH($E189,Cascade!$E:$E,0)),"")</f>
        <v>4</v>
      </c>
      <c r="N189" s="118" t="n">
        <v>7</v>
      </c>
      <c r="O189" s="118"/>
      <c r="P189" s="118" t="n">
        <v>3</v>
      </c>
      <c r="Q189" s="75" t="str">
        <f aca="false">IF(OR(SUM($H189)=0,SUM($N189)=0,SUM($O189)=0),"",ROUND($H189*$N189,0))</f>
        <v/>
      </c>
      <c r="R189" s="75" t="str">
        <f aca="false">IF(OR(SUM($Q189)=0,SUM($O189)=0),"",ROUND(SUM($Q189)/SUM($O189),0)-SUM($Q189))</f>
        <v/>
      </c>
      <c r="S189" s="75" t="n">
        <f aca="false">IF(SUM($H189)=0,"",SUM($H189)-SUM($Q189))</f>
        <v>5</v>
      </c>
      <c r="T189" s="75" t="str">
        <f aca="false">IF(OR(SUM($S189)=0,$N189&gt;1,SUM($P189)&lt;=0),"",ROUND($S189/$P189,0)-$S189)</f>
        <v/>
      </c>
      <c r="U189" s="118" t="n">
        <f aca="false">IF(SUM($G189)&lt;=0,"",SUM($Q189,$S189)/$G189)</f>
        <v>0.555555555555556</v>
      </c>
      <c r="V189" s="118" t="str">
        <f aca="false">IF(OR(SUM($Q189)=0,SUM($G189)=0),"",SUM($Q189)/SUM($G189))</f>
        <v/>
      </c>
      <c r="W189" s="118" t="n">
        <f aca="false">IF(OR(SUM($S189)=0,SUM($G189)=0),"",SUM($S189)/SUM($G189))</f>
        <v>0.555555555555556</v>
      </c>
      <c r="X189" s="118" t="str">
        <f aca="false">IF(OR(SUM($G189)=0,SUM($I189)=0),"",SUM($I189)/SUM($G189))</f>
        <v/>
      </c>
      <c r="Y189" s="118" t="str">
        <f aca="false">IF(OR(SUM($G189)=0,SUM($J189)=0),"",SUM($J189)/SUM($G189))</f>
        <v/>
      </c>
      <c r="Z189" s="118" t="str">
        <f aca="false">IF(OR(SUM($G189)=0,SUM($K189)=0),"",SUM($K189)/SUM($G189))</f>
        <v/>
      </c>
      <c r="AA189" s="118" t="str">
        <f aca="false">IF(OR(SUM($G189)=0,SUM($L189)=0),"",SUM($L189)/SUM($G189))</f>
        <v/>
      </c>
      <c r="AB189" s="118" t="n">
        <v>33</v>
      </c>
      <c r="AC189" s="118"/>
      <c r="AD189" s="118"/>
      <c r="AE189" s="118" t="n">
        <v>33</v>
      </c>
      <c r="AF189" s="118" t="n">
        <v>29</v>
      </c>
      <c r="AG189" s="118" t="n">
        <v>16</v>
      </c>
      <c r="AH189" s="118" t="n">
        <v>22</v>
      </c>
      <c r="AI189" s="118" t="n">
        <v>30</v>
      </c>
      <c r="AJ189" s="118" t="n">
        <v>27</v>
      </c>
      <c r="AK189" s="118" t="n">
        <f aca="false">IF(SUM($G189)&lt;=0,"",SUM($V189:$AJ189))</f>
        <v>190.555555555556</v>
      </c>
      <c r="AL189" s="118"/>
      <c r="AM189" s="75" t="n">
        <f aca="false">IF(OR(SUM($AB189)&lt;=0,SUM($G189)&lt;=0),"",ROUND($G189*$AB189,0))</f>
        <v>297</v>
      </c>
      <c r="AN189" s="75" t="str">
        <f aca="false">IF(SUM($AM189)&lt;=0,"",IF(SUM($AL189)&lt;=0,"ENTER VALID YIELD!",ROUND($AM189/$AL189,0)-$AM189))</f>
        <v>ENTER VALID YIELD!</v>
      </c>
      <c r="AO189" s="118"/>
      <c r="AP189" s="75" t="str">
        <f aca="false">IF(OR(SUM($AC189)&lt;=0,SUM($G189)&lt;=0),"",ROUND($G189*$AC189,0))</f>
        <v/>
      </c>
      <c r="AQ189" s="75" t="str">
        <f aca="false">IF(SUM($AP189)&lt;=0,"",IF(SUM($AO189)&lt;=0,"ENTER VALID YIELD!",ROUND($AP189/$AO189,0)-$AP189))</f>
        <v/>
      </c>
      <c r="AR189" s="118"/>
      <c r="AS189" s="75" t="str">
        <f aca="false">IF(OR(SUM($AD189)&lt;=0,SUM($G189)&lt;=0),"",ROUND($G189*$AD189,0))</f>
        <v/>
      </c>
      <c r="AT189" s="75" t="str">
        <f aca="false">IF(SUM($AS189)&lt;=0,"",IF(SUM($AR189)&lt;=0,"ENTER VALID YIELD!",ROUND($AS189/$AR189,0)-$AS189))</f>
        <v/>
      </c>
      <c r="AU189" s="118"/>
      <c r="AV189" s="75" t="n">
        <f aca="false">IF(OR(SUM($AE189)&lt;=0,SUM($G189)&lt;=0),"",ROUND($G189*$AE189,0))</f>
        <v>297</v>
      </c>
      <c r="AW189" s="75" t="str">
        <f aca="false">IF(SUM($AV189)&lt;=0,"",IF(SUM($AU189)&lt;=0,"ENTER VALID YIELD!",ROUND($AV189/$AU189,0)-$AV189))</f>
        <v>ENTER VALID YIELD!</v>
      </c>
      <c r="AX189" s="118"/>
      <c r="AY189" s="75" t="n">
        <f aca="false">IF(OR(SUM($AF189)&lt;=0,SUM($G189)&lt;=0),"",ROUND($G189*$AF189,0))</f>
        <v>261</v>
      </c>
      <c r="AZ189" s="75" t="str">
        <f aca="false">IF(SUM($AY189)&lt;=0,"",IF(SUM($AX189)&lt;=0,"ENTER VALID YIELD!",ROUND($AY189/$AX189,0)-$AY189))</f>
        <v>ENTER VALID YIELD!</v>
      </c>
      <c r="BA189" s="118" t="n">
        <v>19</v>
      </c>
      <c r="BB189" s="75" t="n">
        <f aca="false">IF(OR(SUM($AG189)&lt;=0,SUM($G189)&lt;=0),"",ROUND($G189*$AG189,0))</f>
        <v>144</v>
      </c>
      <c r="BC189" s="75" t="n">
        <f aca="false">IF(SUM($BB189)&lt;=0,"",IF(SUM($BA189)&lt;=0,"ENTER VALID YIELD!",ROUND($BB189/$BA189,0)-$BB189))</f>
        <v>-136</v>
      </c>
      <c r="BD189" s="118"/>
      <c r="BE189" s="75" t="n">
        <f aca="false">IF(OR(SUM($AH189)&lt;=0,SUM($G189)&lt;=0),"",ROUND($G189*$AH189,0))</f>
        <v>198</v>
      </c>
      <c r="BF189" s="75" t="str">
        <f aca="false">IF(SUM($BE189)&lt;=0,"",IF(SUM($BD189)&lt;=0,"ENTER VALID YIELD!",ROUND($BE189/$BD189,0)-$BE189))</f>
        <v>ENTER VALID YIELD!</v>
      </c>
      <c r="BG189" s="118"/>
      <c r="BH189" s="75" t="n">
        <f aca="false">IF(OR(SUM($AI189)&lt;=0,SUM($G189)&lt;=0),"",ROUND($G189*$AI189,0))</f>
        <v>270</v>
      </c>
      <c r="BI189" s="75" t="str">
        <f aca="false">IF(SUM($BH189)&lt;=0,"",IF(SUM($BG189)&lt;=0,"ENTER VALID YIELD!",ROUND($BH189/$BG189,0)-$BH189))</f>
        <v>ENTER VALID YIELD!</v>
      </c>
      <c r="BJ189" s="118"/>
      <c r="BK189" s="75" t="n">
        <f aca="false">IF(OR(SUM($AJ189)&lt;=0,SUM($G189)&lt;=0),"",ROUND($G189*$AJ189,0))</f>
        <v>243</v>
      </c>
      <c r="BL189" s="75" t="str">
        <f aca="false">IF(SUM($BK189)&lt;=0,"",IF(SUM($BJ189)&lt;=0,"ENTER VALID YIELD!",ROUND($BK189/$BJ189,0)-$BK189))</f>
        <v>ENTER VALID YIELD!</v>
      </c>
      <c r="BM189" s="73" t="n">
        <f aca="false">IF(SUM($G189)&lt;=0,"",$G189)</f>
        <v>9</v>
      </c>
      <c r="BN189" s="73" t="n">
        <f aca="false">IF(SUM($G189)&lt;=0,"",SUM($I189:$L189,$Q189,$S189,$AM189,$AP189,$AS189,$AV189,$AY189,$BB189,$BE189,$BH189,$BK189))</f>
        <v>1715</v>
      </c>
      <c r="BO189" s="73" t="n">
        <f aca="false">IF(AND(SUM($BN189)&lt;=0,SUM($BM189)&lt;=0),"",SUM($BN189)-SUM($BM189))</f>
        <v>1706</v>
      </c>
      <c r="BP189" s="73" t="str">
        <f aca="false">_xlfn.IFNA(INDEX(PMTCT!$AF:$AF,MATCH($E189,PMTCT!$E:$E,0)),"")</f>
        <v/>
      </c>
      <c r="BQ189" s="73" t="str">
        <f aca="false">_xlfn.IFNA(INDEX(PMTCT!$AV:$AV,MATCH($E189,PMTCT!$E:$E,0)),"")</f>
        <v/>
      </c>
      <c r="BR189" s="73" t="n">
        <f aca="false">_xlfn.IFNA(INDEX(TB!$R:$R,MATCH($E189,TB!$E:$E,0)),"")</f>
        <v>-176</v>
      </c>
      <c r="BS189" s="73" t="str">
        <f aca="false">_xlfn.IFNA(INDEX(VMMC!$AD:$AD,MATCH($E189,VMMC!$E:$E,0)),"")</f>
        <v/>
      </c>
      <c r="BT189" s="73" t="n">
        <f aca="false">IF(SUM($R189,$T189,$AN189,$AQ189,$AT189,$AW189,$AZ189,$BC189,$BF189,$BI189,$BL189,$BP189:$BS189)=0,"",SUM($R189,$T189,$AN189,$AQ189,$AT189,$AW189,$AZ189,$BC189,$BF189,$BI189,$BL189,$BP189:$BS189))</f>
        <v>-312</v>
      </c>
      <c r="BU189" s="73" t="n">
        <f aca="false">IF(OR(SUM($BT189)=0,SUM($BN189)=0),"",SUM($BT189,$BN189))</f>
        <v>1403</v>
      </c>
      <c r="BV189" s="118" t="n">
        <f aca="false">IF(SUM($BU189)=0,"",SUM($BN189)/$BU189)</f>
        <v>1.2223806129722</v>
      </c>
      <c r="BW189" s="73"/>
      <c r="BX189" s="118" t="n">
        <f aca="false">IF(OR($C189="01-04",$C189="05-09"),"",0%)</f>
        <v>0</v>
      </c>
      <c r="BY189" s="75" t="str">
        <f aca="false">IF(OR($C189="01-04",$C189="05-09",SUM($BW189)=0),"",ROUND($BW189*(1+$BX189),0))</f>
        <v/>
      </c>
    </row>
    <row r="190" customFormat="false" ht="15" hidden="false" customHeight="false" outlineLevel="0" collapsed="false">
      <c r="A190" s="0" t="s">
        <v>148</v>
      </c>
      <c r="B190" s="0" t="s">
        <v>113</v>
      </c>
      <c r="C190" s="0" t="s">
        <v>86</v>
      </c>
      <c r="D190" s="0" t="s">
        <v>58</v>
      </c>
      <c r="E190" s="0" t="str">
        <f aca="false">B190&amp;"|"&amp;C190&amp;"|"&amp;D190</f>
        <v>Mokhotlong [#SNU] [tjhYqc1MlVo]|50+|Male</v>
      </c>
      <c r="F190" s="118" t="n">
        <f aca="false">_xlfn.IFNA(INDEX(Cascade!$Y:$Y,MATCH($E190,Cascade!$E:$E,0)),"")</f>
        <v>0.678759508484494</v>
      </c>
      <c r="G190" s="73" t="n">
        <f aca="false">_xlfn.IFNA(INDEX(Cascade!$BD:$BD,MATCH($E190,Cascade!$E:$E,0)),"")</f>
        <v>2</v>
      </c>
      <c r="H190" s="73" t="n">
        <f aca="false">_xlfn.IFNA(INDEX(Cascade!$BE:$BE,MATCH($E190,Cascade!$E:$E,0)),"")</f>
        <v>1</v>
      </c>
      <c r="I190" s="73" t="str">
        <f aca="false">_xlfn.IFNA(INDEX(Cascade!$BF:$BF,MATCH($E190,Cascade!$E:$E,0)),"")</f>
        <v/>
      </c>
      <c r="J190" s="73" t="str">
        <f aca="false">_xlfn.IFNA(INDEX(Cascade!$BG:$BG,MATCH($E190,Cascade!$E:$E,0)),"")</f>
        <v/>
      </c>
      <c r="K190" s="73" t="n">
        <f aca="false">_xlfn.IFNA(INDEX(Cascade!$BH:$BH,MATCH($E190,Cascade!$E:$E,0)),"")</f>
        <v>-0</v>
      </c>
      <c r="L190" s="73" t="str">
        <f aca="false">_xlfn.IFNA(INDEX(Cascade!$BI:$BI,MATCH($E190,Cascade!$E:$E,0)),"")</f>
        <v/>
      </c>
      <c r="M190" s="73" t="n">
        <f aca="false">_xlfn.IFNA(INDEX(Cascade!$BK:$BK,MATCH($E190,Cascade!$E:$E,0)),"")</f>
        <v>1</v>
      </c>
      <c r="N190" s="118"/>
      <c r="O190" s="118"/>
      <c r="P190" s="118"/>
      <c r="Q190" s="75" t="str">
        <f aca="false">IF(OR(SUM($H190)=0,SUM($N190)=0,SUM($O190)=0),"",ROUND($H190*$N190,0))</f>
        <v/>
      </c>
      <c r="R190" s="75" t="str">
        <f aca="false">IF(OR(SUM($Q190)=0,SUM($O190)=0),"",ROUND(SUM($Q190)/SUM($O190),0)-SUM($Q190))</f>
        <v/>
      </c>
      <c r="S190" s="75" t="n">
        <f aca="false">IF(SUM($H190)=0,"",SUM($H190)-SUM($Q190))</f>
        <v>1</v>
      </c>
      <c r="T190" s="75" t="str">
        <f aca="false">IF(OR(SUM($S190)=0,$N190&gt;1,SUM($P190)&lt;=0),"",ROUND($S190/$P190,0)-$S190)</f>
        <v/>
      </c>
      <c r="U190" s="118" t="n">
        <f aca="false">IF(SUM($G190)&lt;=0,"",SUM($Q190,$S190)/$G190)</f>
        <v>0.5</v>
      </c>
      <c r="V190" s="118" t="str">
        <f aca="false">IF(OR(SUM($Q190)=0,SUM($G190)=0),"",SUM($Q190)/SUM($G190))</f>
        <v/>
      </c>
      <c r="W190" s="118" t="n">
        <f aca="false">IF(OR(SUM($S190)=0,SUM($G190)=0),"",SUM($S190)/SUM($G190))</f>
        <v>0.5</v>
      </c>
      <c r="X190" s="118" t="str">
        <f aca="false">IF(OR(SUM($G190)=0,SUM($I190)=0),"",SUM($I190)/SUM($G190))</f>
        <v/>
      </c>
      <c r="Y190" s="118" t="str">
        <f aca="false">IF(OR(SUM($G190)=0,SUM($J190)=0),"",SUM($J190)/SUM($G190))</f>
        <v/>
      </c>
      <c r="Z190" s="118" t="str">
        <f aca="false">IF(OR(SUM($G190)=0,SUM($K190)=0),"",SUM($K190)/SUM($G190))</f>
        <v/>
      </c>
      <c r="AA190" s="118" t="str">
        <f aca="false">IF(OR(SUM($G190)=0,SUM($L190)=0),"",SUM($L190)/SUM($G190))</f>
        <v/>
      </c>
      <c r="AB190" s="118" t="n">
        <v>31</v>
      </c>
      <c r="AC190" s="118"/>
      <c r="AD190" s="118"/>
      <c r="AE190" s="118" t="n">
        <v>11</v>
      </c>
      <c r="AF190" s="118" t="n">
        <v>45</v>
      </c>
      <c r="AG190" s="118" t="n">
        <v>18</v>
      </c>
      <c r="AH190" s="118" t="n">
        <v>33</v>
      </c>
      <c r="AI190" s="118" t="n">
        <v>27</v>
      </c>
      <c r="AJ190" s="118" t="n">
        <v>21</v>
      </c>
      <c r="AK190" s="118" t="n">
        <f aca="false">IF(SUM($G190)&lt;=0,"",SUM($V190:$AJ190))</f>
        <v>186.5</v>
      </c>
      <c r="AL190" s="118"/>
      <c r="AM190" s="75" t="n">
        <f aca="false">IF(OR(SUM($AB190)&lt;=0,SUM($G190)&lt;=0),"",ROUND($G190*$AB190,0))</f>
        <v>62</v>
      </c>
      <c r="AN190" s="75" t="str">
        <f aca="false">IF(SUM($AM190)&lt;=0,"",IF(SUM($AL190)&lt;=0,"ENTER VALID YIELD!",ROUND($AM190/$AL190,0)-$AM190))</f>
        <v>ENTER VALID YIELD!</v>
      </c>
      <c r="AO190" s="118"/>
      <c r="AP190" s="75" t="str">
        <f aca="false">IF(OR(SUM($AC190)&lt;=0,SUM($G190)&lt;=0),"",ROUND($G190*$AC190,0))</f>
        <v/>
      </c>
      <c r="AQ190" s="75" t="str">
        <f aca="false">IF(SUM($AP190)&lt;=0,"",IF(SUM($AO190)&lt;=0,"ENTER VALID YIELD!",ROUND($AP190/$AO190,0)-$AP190))</f>
        <v/>
      </c>
      <c r="AR190" s="118"/>
      <c r="AS190" s="75" t="str">
        <f aca="false">IF(OR(SUM($AD190)&lt;=0,SUM($G190)&lt;=0),"",ROUND($G190*$AD190,0))</f>
        <v/>
      </c>
      <c r="AT190" s="75" t="str">
        <f aca="false">IF(SUM($AS190)&lt;=0,"",IF(SUM($AR190)&lt;=0,"ENTER VALID YIELD!",ROUND($AS190/$AR190,0)-$AS190))</f>
        <v/>
      </c>
      <c r="AU190" s="118"/>
      <c r="AV190" s="75" t="n">
        <f aca="false">IF(OR(SUM($AE190)&lt;=0,SUM($G190)&lt;=0),"",ROUND($G190*$AE190,0))</f>
        <v>22</v>
      </c>
      <c r="AW190" s="75" t="str">
        <f aca="false">IF(SUM($AV190)&lt;=0,"",IF(SUM($AU190)&lt;=0,"ENTER VALID YIELD!",ROUND($AV190/$AU190,0)-$AV190))</f>
        <v>ENTER VALID YIELD!</v>
      </c>
      <c r="AX190" s="118"/>
      <c r="AY190" s="75" t="n">
        <f aca="false">IF(OR(SUM($AF190)&lt;=0,SUM($G190)&lt;=0),"",ROUND($G190*$AF190,0))</f>
        <v>90</v>
      </c>
      <c r="AZ190" s="75" t="str">
        <f aca="false">IF(SUM($AY190)&lt;=0,"",IF(SUM($AX190)&lt;=0,"ENTER VALID YIELD!",ROUND($AY190/$AX190,0)-$AY190))</f>
        <v>ENTER VALID YIELD!</v>
      </c>
      <c r="BA190" s="118" t="n">
        <v>17</v>
      </c>
      <c r="BB190" s="75" t="n">
        <f aca="false">IF(OR(SUM($AG190)&lt;=0,SUM($G190)&lt;=0),"",ROUND($G190*$AG190,0))</f>
        <v>36</v>
      </c>
      <c r="BC190" s="75" t="n">
        <f aca="false">IF(SUM($BB190)&lt;=0,"",IF(SUM($BA190)&lt;=0,"ENTER VALID YIELD!",ROUND($BB190/$BA190,0)-$BB190))</f>
        <v>-34</v>
      </c>
      <c r="BD190" s="118"/>
      <c r="BE190" s="75" t="n">
        <f aca="false">IF(OR(SUM($AH190)&lt;=0,SUM($G190)&lt;=0),"",ROUND($G190*$AH190,0))</f>
        <v>66</v>
      </c>
      <c r="BF190" s="75" t="str">
        <f aca="false">IF(SUM($BE190)&lt;=0,"",IF(SUM($BD190)&lt;=0,"ENTER VALID YIELD!",ROUND($BE190/$BD190,0)-$BE190))</f>
        <v>ENTER VALID YIELD!</v>
      </c>
      <c r="BG190" s="118"/>
      <c r="BH190" s="75" t="n">
        <f aca="false">IF(OR(SUM($AI190)&lt;=0,SUM($G190)&lt;=0),"",ROUND($G190*$AI190,0))</f>
        <v>54</v>
      </c>
      <c r="BI190" s="75" t="str">
        <f aca="false">IF(SUM($BH190)&lt;=0,"",IF(SUM($BG190)&lt;=0,"ENTER VALID YIELD!",ROUND($BH190/$BG190,0)-$BH190))</f>
        <v>ENTER VALID YIELD!</v>
      </c>
      <c r="BJ190" s="118"/>
      <c r="BK190" s="75" t="n">
        <f aca="false">IF(OR(SUM($AJ190)&lt;=0,SUM($G190)&lt;=0),"",ROUND($G190*$AJ190,0))</f>
        <v>42</v>
      </c>
      <c r="BL190" s="75" t="str">
        <f aca="false">IF(SUM($BK190)&lt;=0,"",IF(SUM($BJ190)&lt;=0,"ENTER VALID YIELD!",ROUND($BK190/$BJ190,0)-$BK190))</f>
        <v>ENTER VALID YIELD!</v>
      </c>
      <c r="BM190" s="73" t="n">
        <f aca="false">IF(SUM($G190)&lt;=0,"",$G190)</f>
        <v>2</v>
      </c>
      <c r="BN190" s="73" t="n">
        <f aca="false">IF(SUM($G190)&lt;=0,"",SUM($I190:$L190,$Q190,$S190,$AM190,$AP190,$AS190,$AV190,$AY190,$BB190,$BE190,$BH190,$BK190))</f>
        <v>373</v>
      </c>
      <c r="BO190" s="73" t="n">
        <f aca="false">IF(AND(SUM($BN190)&lt;=0,SUM($BM190)&lt;=0),"",SUM($BN190)-SUM($BM190))</f>
        <v>371</v>
      </c>
      <c r="BP190" s="73" t="str">
        <f aca="false">_xlfn.IFNA(INDEX(PMTCT!$AF:$AF,MATCH($E190,PMTCT!$E:$E,0)),"")</f>
        <v/>
      </c>
      <c r="BQ190" s="73" t="str">
        <f aca="false">_xlfn.IFNA(INDEX(PMTCT!$AV:$AV,MATCH($E190,PMTCT!$E:$E,0)),"")</f>
        <v/>
      </c>
      <c r="BR190" s="73" t="n">
        <f aca="false">_xlfn.IFNA(INDEX(TB!$R:$R,MATCH($E190,TB!$E:$E,0)),"")</f>
        <v>-378</v>
      </c>
      <c r="BS190" s="73" t="str">
        <f aca="false">_xlfn.IFNA(INDEX(VMMC!$AD:$AD,MATCH($E190,VMMC!$E:$E,0)),"")</f>
        <v/>
      </c>
      <c r="BT190" s="73" t="n">
        <f aca="false">IF(SUM($R190,$T190,$AN190,$AQ190,$AT190,$AW190,$AZ190,$BC190,$BF190,$BI190,$BL190,$BP190:$BS190)=0,"",SUM($R190,$T190,$AN190,$AQ190,$AT190,$AW190,$AZ190,$BC190,$BF190,$BI190,$BL190,$BP190:$BS190))</f>
        <v>-412</v>
      </c>
      <c r="BU190" s="73" t="n">
        <f aca="false">IF(OR(SUM($BT190)=0,SUM($BN190)=0),"",SUM($BT190,$BN190))</f>
        <v>-39</v>
      </c>
      <c r="BV190" s="118" t="n">
        <f aca="false">IF(SUM($BU190)=0,"",SUM($BN190)/$BU190)</f>
        <v>-9.56410256410256</v>
      </c>
      <c r="BW190" s="73"/>
      <c r="BX190" s="118" t="n">
        <f aca="false">IF(OR($C190="01-04",$C190="05-09"),"",0%)</f>
        <v>0</v>
      </c>
      <c r="BY190" s="75" t="str">
        <f aca="false">IF(OR($C190="01-04",$C190="05-09",SUM($BW190)=0),"",ROUND($BW190*(1+$BX190),0))</f>
        <v/>
      </c>
    </row>
    <row r="191" customFormat="false" ht="15" hidden="false" customHeight="false" outlineLevel="0" collapsed="false">
      <c r="A191" s="0" t="s">
        <v>149</v>
      </c>
      <c r="B191" s="0" t="s">
        <v>111</v>
      </c>
      <c r="C191" s="0" t="s">
        <v>54</v>
      </c>
      <c r="D191" s="0" t="s">
        <v>56</v>
      </c>
      <c r="E191" s="0" t="str">
        <f aca="false">B191&amp;"|"&amp;C191&amp;"|"&amp;D191</f>
        <v>Qacha's Nek [#SNU] [zTaMbxvQtJ6]|01-04|Female</v>
      </c>
      <c r="F191" s="118" t="n">
        <f aca="false">_xlfn.IFNA(INDEX(Cascade!$Y:$Y,MATCH($E191,Cascade!$E:$E,0)),"")</f>
        <v>2.22727272727273</v>
      </c>
      <c r="G191" s="73" t="n">
        <f aca="false">_xlfn.IFNA(INDEX(Cascade!$BD:$BD,MATCH($E191,Cascade!$E:$E,0)),"")</f>
        <v>1</v>
      </c>
      <c r="H191" s="73" t="n">
        <f aca="false">_xlfn.IFNA(INDEX(Cascade!$BE:$BE,MATCH($E191,Cascade!$E:$E,0)),"")</f>
        <v>1</v>
      </c>
      <c r="I191" s="73" t="str">
        <f aca="false">_xlfn.IFNA(INDEX(Cascade!$BF:$BF,MATCH($E191,Cascade!$E:$E,0)),"")</f>
        <v/>
      </c>
      <c r="J191" s="73" t="str">
        <f aca="false">_xlfn.IFNA(INDEX(Cascade!$BG:$BG,MATCH($E191,Cascade!$E:$E,0)),"")</f>
        <v/>
      </c>
      <c r="K191" s="73" t="n">
        <f aca="false">_xlfn.IFNA(INDEX(Cascade!$BH:$BH,MATCH($E191,Cascade!$E:$E,0)),"")</f>
        <v>0</v>
      </c>
      <c r="L191" s="73" t="str">
        <f aca="false">_xlfn.IFNA(INDEX(Cascade!$BI:$BI,MATCH($E191,Cascade!$E:$E,0)),"")</f>
        <v/>
      </c>
      <c r="M191" s="73" t="n">
        <f aca="false">_xlfn.IFNA(INDEX(Cascade!$BK:$BK,MATCH($E191,Cascade!$E:$E,0)),"")</f>
        <v>0</v>
      </c>
      <c r="N191" s="118" t="n">
        <v>16</v>
      </c>
      <c r="O191" s="118"/>
      <c r="P191" s="118" t="n">
        <v>41</v>
      </c>
      <c r="Q191" s="75" t="str">
        <f aca="false">IF(OR(SUM($H191)=0,SUM($N191)=0,SUM($O191)=0),"",ROUND($H191*$N191,0))</f>
        <v/>
      </c>
      <c r="R191" s="75" t="str">
        <f aca="false">IF(OR(SUM($Q191)=0,SUM($O191)=0),"",ROUND(SUM($Q191)/SUM($O191),0)-SUM($Q191))</f>
        <v/>
      </c>
      <c r="S191" s="75" t="n">
        <f aca="false">IF(SUM($H191)=0,"",SUM($H191)-SUM($Q191))</f>
        <v>1</v>
      </c>
      <c r="T191" s="75" t="str">
        <f aca="false">IF(OR(SUM($S191)=0,$N191&gt;1,SUM($P191)&lt;=0),"",ROUND($S191/$P191,0)-$S191)</f>
        <v/>
      </c>
      <c r="U191" s="118" t="n">
        <f aca="false">IF(SUM($G191)&lt;=0,"",SUM($Q191,$S191)/$G191)</f>
        <v>1</v>
      </c>
      <c r="V191" s="118" t="str">
        <f aca="false">IF(OR(SUM($Q191)=0,SUM($G191)=0),"",SUM($Q191)/SUM($G191))</f>
        <v/>
      </c>
      <c r="W191" s="118" t="n">
        <f aca="false">IF(OR(SUM($S191)=0,SUM($G191)=0),"",SUM($S191)/SUM($G191))</f>
        <v>1</v>
      </c>
      <c r="X191" s="118" t="str">
        <f aca="false">IF(OR(SUM($G191)=0,SUM($I191)=0),"",SUM($I191)/SUM($G191))</f>
        <v/>
      </c>
      <c r="Y191" s="118" t="str">
        <f aca="false">IF(OR(SUM($G191)=0,SUM($J191)=0),"",SUM($J191)/SUM($G191))</f>
        <v/>
      </c>
      <c r="Z191" s="118" t="str">
        <f aca="false">IF(OR(SUM($G191)=0,SUM($K191)=0),"",SUM($K191)/SUM($G191))</f>
        <v/>
      </c>
      <c r="AA191" s="118" t="str">
        <f aca="false">IF(OR(SUM($G191)=0,SUM($L191)=0),"",SUM($L191)/SUM($G191))</f>
        <v/>
      </c>
      <c r="AB191" s="118" t="n">
        <v>41</v>
      </c>
      <c r="AC191" s="118" t="n">
        <v>16</v>
      </c>
      <c r="AD191" s="118" t="n">
        <v>50</v>
      </c>
      <c r="AE191" s="118" t="n">
        <v>4</v>
      </c>
      <c r="AF191" s="118" t="n">
        <v>10</v>
      </c>
      <c r="AG191" s="118" t="n">
        <v>13</v>
      </c>
      <c r="AH191" s="118" t="n">
        <v>7</v>
      </c>
      <c r="AI191" s="118" t="n">
        <v>42</v>
      </c>
      <c r="AJ191" s="118" t="n">
        <v>15</v>
      </c>
      <c r="AK191" s="118" t="n">
        <f aca="false">IF(SUM($G191)&lt;=0,"",SUM($V191:$AJ191))</f>
        <v>199</v>
      </c>
      <c r="AL191" s="118"/>
      <c r="AM191" s="75" t="n">
        <f aca="false">IF(OR(SUM($AB191)&lt;=0,SUM($G191)&lt;=0),"",ROUND($G191*$AB191,0))</f>
        <v>41</v>
      </c>
      <c r="AN191" s="75" t="str">
        <f aca="false">IF(SUM($AM191)&lt;=0,"",IF(SUM($AL191)&lt;=0,"ENTER VALID YIELD!",ROUND($AM191/$AL191,0)-$AM191))</f>
        <v>ENTER VALID YIELD!</v>
      </c>
      <c r="AO191" s="118"/>
      <c r="AP191" s="75" t="n">
        <f aca="false">IF(OR(SUM($AC191)&lt;=0,SUM($G191)&lt;=0),"",ROUND($G191*$AC191,0))</f>
        <v>16</v>
      </c>
      <c r="AQ191" s="75" t="str">
        <f aca="false">IF(SUM($AP191)&lt;=0,"",IF(SUM($AO191)&lt;=0,"ENTER VALID YIELD!",ROUND($AP191/$AO191,0)-$AP191))</f>
        <v>ENTER VALID YIELD!</v>
      </c>
      <c r="AR191" s="118"/>
      <c r="AS191" s="75" t="n">
        <f aca="false">IF(OR(SUM($AD191)&lt;=0,SUM($G191)&lt;=0),"",ROUND($G191*$AD191,0))</f>
        <v>50</v>
      </c>
      <c r="AT191" s="75" t="str">
        <f aca="false">IF(SUM($AS191)&lt;=0,"",IF(SUM($AR191)&lt;=0,"ENTER VALID YIELD!",ROUND($AS191/$AR191,0)-$AS191))</f>
        <v>ENTER VALID YIELD!</v>
      </c>
      <c r="AU191" s="118"/>
      <c r="AV191" s="75" t="n">
        <f aca="false">IF(OR(SUM($AE191)&lt;=0,SUM($G191)&lt;=0),"",ROUND($G191*$AE191,0))</f>
        <v>4</v>
      </c>
      <c r="AW191" s="75" t="str">
        <f aca="false">IF(SUM($AV191)&lt;=0,"",IF(SUM($AU191)&lt;=0,"ENTER VALID YIELD!",ROUND($AV191/$AU191,0)-$AV191))</f>
        <v>ENTER VALID YIELD!</v>
      </c>
      <c r="AX191" s="118"/>
      <c r="AY191" s="75" t="n">
        <f aca="false">IF(OR(SUM($AF191)&lt;=0,SUM($G191)&lt;=0),"",ROUND($G191*$AF191,0))</f>
        <v>10</v>
      </c>
      <c r="AZ191" s="75" t="str">
        <f aca="false">IF(SUM($AY191)&lt;=0,"",IF(SUM($AX191)&lt;=0,"ENTER VALID YIELD!",ROUND($AY191/$AX191,0)-$AY191))</f>
        <v>ENTER VALID YIELD!</v>
      </c>
      <c r="BA191" s="118" t="n">
        <v>32</v>
      </c>
      <c r="BB191" s="75" t="n">
        <f aca="false">IF(OR(SUM($AG191)&lt;=0,SUM($G191)&lt;=0),"",ROUND($G191*$AG191,0))</f>
        <v>13</v>
      </c>
      <c r="BC191" s="75" t="n">
        <f aca="false">IF(SUM($BB191)&lt;=0,"",IF(SUM($BA191)&lt;=0,"ENTER VALID YIELD!",ROUND($BB191/$BA191,0)-$BB191))</f>
        <v>-13</v>
      </c>
      <c r="BD191" s="118"/>
      <c r="BE191" s="75" t="n">
        <f aca="false">IF(OR(SUM($AH191)&lt;=0,SUM($G191)&lt;=0),"",ROUND($G191*$AH191,0))</f>
        <v>7</v>
      </c>
      <c r="BF191" s="75" t="str">
        <f aca="false">IF(SUM($BE191)&lt;=0,"",IF(SUM($BD191)&lt;=0,"ENTER VALID YIELD!",ROUND($BE191/$BD191,0)-$BE191))</f>
        <v>ENTER VALID YIELD!</v>
      </c>
      <c r="BG191" s="118"/>
      <c r="BH191" s="75" t="n">
        <f aca="false">IF(OR(SUM($AI191)&lt;=0,SUM($G191)&lt;=0),"",ROUND($G191*$AI191,0))</f>
        <v>42</v>
      </c>
      <c r="BI191" s="75" t="str">
        <f aca="false">IF(SUM($BH191)&lt;=0,"",IF(SUM($BG191)&lt;=0,"ENTER VALID YIELD!",ROUND($BH191/$BG191,0)-$BH191))</f>
        <v>ENTER VALID YIELD!</v>
      </c>
      <c r="BJ191" s="118"/>
      <c r="BK191" s="75" t="n">
        <f aca="false">IF(OR(SUM($AJ191)&lt;=0,SUM($G191)&lt;=0),"",ROUND($G191*$AJ191,0))</f>
        <v>15</v>
      </c>
      <c r="BL191" s="75" t="str">
        <f aca="false">IF(SUM($BK191)&lt;=0,"",IF(SUM($BJ191)&lt;=0,"ENTER VALID YIELD!",ROUND($BK191/$BJ191,0)-$BK191))</f>
        <v>ENTER VALID YIELD!</v>
      </c>
      <c r="BM191" s="73" t="n">
        <f aca="false">IF(SUM($G191)&lt;=0,"",$G191)</f>
        <v>1</v>
      </c>
      <c r="BN191" s="73" t="n">
        <f aca="false">IF(SUM($G191)&lt;=0,"",SUM($I191:$L191,$Q191,$S191,$AM191,$AP191,$AS191,$AV191,$AY191,$BB191,$BE191,$BH191,$BK191))</f>
        <v>199</v>
      </c>
      <c r="BO191" s="73" t="n">
        <f aca="false">IF(AND(SUM($BN191)&lt;=0,SUM($BM191)&lt;=0),"",SUM($BN191)-SUM($BM191))</f>
        <v>198</v>
      </c>
      <c r="BP191" s="73" t="str">
        <f aca="false">_xlfn.IFNA(INDEX(PMTCT!$AF:$AF,MATCH($E191,PMTCT!$E:$E,0)),"")</f>
        <v/>
      </c>
      <c r="BQ191" s="73" t="str">
        <f aca="false">_xlfn.IFNA(INDEX(PMTCT!$AV:$AV,MATCH($E191,PMTCT!$E:$E,0)),"")</f>
        <v/>
      </c>
      <c r="BR191" s="73" t="n">
        <f aca="false">_xlfn.IFNA(INDEX(TB!$R:$R,MATCH($E191,TB!$E:$E,0)),"")</f>
        <v>49</v>
      </c>
      <c r="BS191" s="73" t="str">
        <f aca="false">_xlfn.IFNA(INDEX(VMMC!$AD:$AD,MATCH($E191,VMMC!$E:$E,0)),"")</f>
        <v/>
      </c>
      <c r="BT191" s="73" t="n">
        <f aca="false">IF(SUM($R191,$T191,$AN191,$AQ191,$AT191,$AW191,$AZ191,$BC191,$BF191,$BI191,$BL191,$BP191:$BS191)=0,"",SUM($R191,$T191,$AN191,$AQ191,$AT191,$AW191,$AZ191,$BC191,$BF191,$BI191,$BL191,$BP191:$BS191))</f>
        <v>36</v>
      </c>
      <c r="BU191" s="73" t="n">
        <f aca="false">IF(OR(SUM($BT191)=0,SUM($BN191)=0),"",SUM($BT191,$BN191))</f>
        <v>235</v>
      </c>
      <c r="BV191" s="118" t="n">
        <f aca="false">IF(SUM($BU191)=0,"",SUM($BN191)/$BU191)</f>
        <v>0.846808510638298</v>
      </c>
      <c r="BW191" s="73"/>
      <c r="BX191" s="118" t="str">
        <f aca="false">IF(OR($C191="01-04",$C191="05-09"),"",0%)</f>
        <v/>
      </c>
      <c r="BY191" s="75" t="str">
        <f aca="false">IF(OR($C191="01-04",$C191="05-09",SUM($BW191)=0),"",ROUND($BW191*(1+$BX191),0))</f>
        <v/>
      </c>
    </row>
    <row r="192" customFormat="false" ht="15" hidden="false" customHeight="false" outlineLevel="0" collapsed="false">
      <c r="A192" s="0" t="s">
        <v>149</v>
      </c>
      <c r="B192" s="0" t="s">
        <v>111</v>
      </c>
      <c r="C192" s="0" t="s">
        <v>54</v>
      </c>
      <c r="D192" s="0" t="s">
        <v>58</v>
      </c>
      <c r="E192" s="0" t="str">
        <f aca="false">B192&amp;"|"&amp;C192&amp;"|"&amp;D192</f>
        <v>Qacha's Nek [#SNU] [zTaMbxvQtJ6]|01-04|Male</v>
      </c>
      <c r="F192" s="118" t="n">
        <f aca="false">_xlfn.IFNA(INDEX(Cascade!$Y:$Y,MATCH($E192,Cascade!$E:$E,0)),"")</f>
        <v>0.454545454545455</v>
      </c>
      <c r="G192" s="73" t="n">
        <f aca="false">_xlfn.IFNA(INDEX(Cascade!$BD:$BD,MATCH($E192,Cascade!$E:$E,0)),"")</f>
        <v>9</v>
      </c>
      <c r="H192" s="73" t="n">
        <f aca="false">_xlfn.IFNA(INDEX(Cascade!$BE:$BE,MATCH($E192,Cascade!$E:$E,0)),"")</f>
        <v>3</v>
      </c>
      <c r="I192" s="73" t="str">
        <f aca="false">_xlfn.IFNA(INDEX(Cascade!$BF:$BF,MATCH($E192,Cascade!$E:$E,0)),"")</f>
        <v/>
      </c>
      <c r="J192" s="73" t="str">
        <f aca="false">_xlfn.IFNA(INDEX(Cascade!$BG:$BG,MATCH($E192,Cascade!$E:$E,0)),"")</f>
        <v/>
      </c>
      <c r="K192" s="73" t="n">
        <f aca="false">_xlfn.IFNA(INDEX(Cascade!$BH:$BH,MATCH($E192,Cascade!$E:$E,0)),"")</f>
        <v>0</v>
      </c>
      <c r="L192" s="73" t="str">
        <f aca="false">_xlfn.IFNA(INDEX(Cascade!$BI:$BI,MATCH($E192,Cascade!$E:$E,0)),"")</f>
        <v/>
      </c>
      <c r="M192" s="73" t="n">
        <f aca="false">_xlfn.IFNA(INDEX(Cascade!$BK:$BK,MATCH($E192,Cascade!$E:$E,0)),"")</f>
        <v>6</v>
      </c>
      <c r="N192" s="118"/>
      <c r="O192" s="118"/>
      <c r="P192" s="118"/>
      <c r="Q192" s="75" t="str">
        <f aca="false">IF(OR(SUM($H192)=0,SUM($N192)=0,SUM($O192)=0),"",ROUND($H192*$N192,0))</f>
        <v/>
      </c>
      <c r="R192" s="75" t="str">
        <f aca="false">IF(OR(SUM($Q192)=0,SUM($O192)=0),"",ROUND(SUM($Q192)/SUM($O192),0)-SUM($Q192))</f>
        <v/>
      </c>
      <c r="S192" s="75" t="n">
        <f aca="false">IF(SUM($H192)=0,"",SUM($H192)-SUM($Q192))</f>
        <v>3</v>
      </c>
      <c r="T192" s="75" t="str">
        <f aca="false">IF(OR(SUM($S192)=0,$N192&gt;1,SUM($P192)&lt;=0),"",ROUND($S192/$P192,0)-$S192)</f>
        <v/>
      </c>
      <c r="U192" s="118" t="n">
        <f aca="false">IF(SUM($G192)&lt;=0,"",SUM($Q192,$S192)/$G192)</f>
        <v>0.333333333333333</v>
      </c>
      <c r="V192" s="118" t="str">
        <f aca="false">IF(OR(SUM($Q192)=0,SUM($G192)=0),"",SUM($Q192)/SUM($G192))</f>
        <v/>
      </c>
      <c r="W192" s="118" t="n">
        <f aca="false">IF(OR(SUM($S192)=0,SUM($G192)=0),"",SUM($S192)/SUM($G192))</f>
        <v>0.333333333333333</v>
      </c>
      <c r="X192" s="118" t="str">
        <f aca="false">IF(OR(SUM($G192)=0,SUM($I192)=0),"",SUM($I192)/SUM($G192))</f>
        <v/>
      </c>
      <c r="Y192" s="118" t="str">
        <f aca="false">IF(OR(SUM($G192)=0,SUM($J192)=0),"",SUM($J192)/SUM($G192))</f>
        <v/>
      </c>
      <c r="Z192" s="118" t="str">
        <f aca="false">IF(OR(SUM($G192)=0,SUM($K192)=0),"",SUM($K192)/SUM($G192))</f>
        <v/>
      </c>
      <c r="AA192" s="118" t="str">
        <f aca="false">IF(OR(SUM($G192)=0,SUM($L192)=0),"",SUM($L192)/SUM($G192))</f>
        <v/>
      </c>
      <c r="AB192" s="118" t="n">
        <v>45</v>
      </c>
      <c r="AC192" s="118" t="n">
        <v>6</v>
      </c>
      <c r="AD192" s="118" t="n">
        <v>26</v>
      </c>
      <c r="AE192" s="118" t="n">
        <v>36</v>
      </c>
      <c r="AF192" s="118" t="n">
        <v>35</v>
      </c>
      <c r="AG192" s="118" t="n">
        <v>32</v>
      </c>
      <c r="AH192" s="118" t="n">
        <v>34</v>
      </c>
      <c r="AI192" s="118" t="n">
        <v>31</v>
      </c>
      <c r="AJ192" s="118" t="n">
        <v>32</v>
      </c>
      <c r="AK192" s="118" t="n">
        <f aca="false">IF(SUM($G192)&lt;=0,"",SUM($V192:$AJ192))</f>
        <v>277.333333333333</v>
      </c>
      <c r="AL192" s="118"/>
      <c r="AM192" s="75" t="n">
        <f aca="false">IF(OR(SUM($AB192)&lt;=0,SUM($G192)&lt;=0),"",ROUND($G192*$AB192,0))</f>
        <v>405</v>
      </c>
      <c r="AN192" s="75" t="str">
        <f aca="false">IF(SUM($AM192)&lt;=0,"",IF(SUM($AL192)&lt;=0,"ENTER VALID YIELD!",ROUND($AM192/$AL192,0)-$AM192))</f>
        <v>ENTER VALID YIELD!</v>
      </c>
      <c r="AO192" s="118"/>
      <c r="AP192" s="75" t="n">
        <f aca="false">IF(OR(SUM($AC192)&lt;=0,SUM($G192)&lt;=0),"",ROUND($G192*$AC192,0))</f>
        <v>54</v>
      </c>
      <c r="AQ192" s="75" t="str">
        <f aca="false">IF(SUM($AP192)&lt;=0,"",IF(SUM($AO192)&lt;=0,"ENTER VALID YIELD!",ROUND($AP192/$AO192,0)-$AP192))</f>
        <v>ENTER VALID YIELD!</v>
      </c>
      <c r="AR192" s="118"/>
      <c r="AS192" s="75" t="n">
        <f aca="false">IF(OR(SUM($AD192)&lt;=0,SUM($G192)&lt;=0),"",ROUND($G192*$AD192,0))</f>
        <v>234</v>
      </c>
      <c r="AT192" s="75" t="str">
        <f aca="false">IF(SUM($AS192)&lt;=0,"",IF(SUM($AR192)&lt;=0,"ENTER VALID YIELD!",ROUND($AS192/$AR192,0)-$AS192))</f>
        <v>ENTER VALID YIELD!</v>
      </c>
      <c r="AU192" s="118"/>
      <c r="AV192" s="75" t="n">
        <f aca="false">IF(OR(SUM($AE192)&lt;=0,SUM($G192)&lt;=0),"",ROUND($G192*$AE192,0))</f>
        <v>324</v>
      </c>
      <c r="AW192" s="75" t="str">
        <f aca="false">IF(SUM($AV192)&lt;=0,"",IF(SUM($AU192)&lt;=0,"ENTER VALID YIELD!",ROUND($AV192/$AU192,0)-$AV192))</f>
        <v>ENTER VALID YIELD!</v>
      </c>
      <c r="AX192" s="118"/>
      <c r="AY192" s="75" t="n">
        <f aca="false">IF(OR(SUM($AF192)&lt;=0,SUM($G192)&lt;=0),"",ROUND($G192*$AF192,0))</f>
        <v>315</v>
      </c>
      <c r="AZ192" s="75" t="str">
        <f aca="false">IF(SUM($AY192)&lt;=0,"",IF(SUM($AX192)&lt;=0,"ENTER VALID YIELD!",ROUND($AY192/$AX192,0)-$AY192))</f>
        <v>ENTER VALID YIELD!</v>
      </c>
      <c r="BA192" s="118" t="n">
        <v>26</v>
      </c>
      <c r="BB192" s="75" t="n">
        <f aca="false">IF(OR(SUM($AG192)&lt;=0,SUM($G192)&lt;=0),"",ROUND($G192*$AG192,0))</f>
        <v>288</v>
      </c>
      <c r="BC192" s="75" t="n">
        <f aca="false">IF(SUM($BB192)&lt;=0,"",IF(SUM($BA192)&lt;=0,"ENTER VALID YIELD!",ROUND($BB192/$BA192,0)-$BB192))</f>
        <v>-277</v>
      </c>
      <c r="BD192" s="118"/>
      <c r="BE192" s="75" t="n">
        <f aca="false">IF(OR(SUM($AH192)&lt;=0,SUM($G192)&lt;=0),"",ROUND($G192*$AH192,0))</f>
        <v>306</v>
      </c>
      <c r="BF192" s="75" t="str">
        <f aca="false">IF(SUM($BE192)&lt;=0,"",IF(SUM($BD192)&lt;=0,"ENTER VALID YIELD!",ROUND($BE192/$BD192,0)-$BE192))</f>
        <v>ENTER VALID YIELD!</v>
      </c>
      <c r="BG192" s="118"/>
      <c r="BH192" s="75" t="n">
        <f aca="false">IF(OR(SUM($AI192)&lt;=0,SUM($G192)&lt;=0),"",ROUND($G192*$AI192,0))</f>
        <v>279</v>
      </c>
      <c r="BI192" s="75" t="str">
        <f aca="false">IF(SUM($BH192)&lt;=0,"",IF(SUM($BG192)&lt;=0,"ENTER VALID YIELD!",ROUND($BH192/$BG192,0)-$BH192))</f>
        <v>ENTER VALID YIELD!</v>
      </c>
      <c r="BJ192" s="118"/>
      <c r="BK192" s="75" t="n">
        <f aca="false">IF(OR(SUM($AJ192)&lt;=0,SUM($G192)&lt;=0),"",ROUND($G192*$AJ192,0))</f>
        <v>288</v>
      </c>
      <c r="BL192" s="75" t="str">
        <f aca="false">IF(SUM($BK192)&lt;=0,"",IF(SUM($BJ192)&lt;=0,"ENTER VALID YIELD!",ROUND($BK192/$BJ192,0)-$BK192))</f>
        <v>ENTER VALID YIELD!</v>
      </c>
      <c r="BM192" s="73" t="n">
        <f aca="false">IF(SUM($G192)&lt;=0,"",$G192)</f>
        <v>9</v>
      </c>
      <c r="BN192" s="73" t="n">
        <f aca="false">IF(SUM($G192)&lt;=0,"",SUM($I192:$L192,$Q192,$S192,$AM192,$AP192,$AS192,$AV192,$AY192,$BB192,$BE192,$BH192,$BK192))</f>
        <v>2496</v>
      </c>
      <c r="BO192" s="73" t="n">
        <f aca="false">IF(AND(SUM($BN192)&lt;=0,SUM($BM192)&lt;=0),"",SUM($BN192)-SUM($BM192))</f>
        <v>2487</v>
      </c>
      <c r="BP192" s="73" t="str">
        <f aca="false">_xlfn.IFNA(INDEX(PMTCT!$AF:$AF,MATCH($E192,PMTCT!$E:$E,0)),"")</f>
        <v/>
      </c>
      <c r="BQ192" s="73" t="str">
        <f aca="false">_xlfn.IFNA(INDEX(PMTCT!$AV:$AV,MATCH($E192,PMTCT!$E:$E,0)),"")</f>
        <v/>
      </c>
      <c r="BR192" s="73" t="n">
        <f aca="false">_xlfn.IFNA(INDEX(TB!$R:$R,MATCH($E192,TB!$E:$E,0)),"")</f>
        <v>12</v>
      </c>
      <c r="BS192" s="73" t="str">
        <f aca="false">_xlfn.IFNA(INDEX(VMMC!$AD:$AD,MATCH($E192,VMMC!$E:$E,0)),"")</f>
        <v/>
      </c>
      <c r="BT192" s="73" t="n">
        <f aca="false">IF(SUM($R192,$T192,$AN192,$AQ192,$AT192,$AW192,$AZ192,$BC192,$BF192,$BI192,$BL192,$BP192:$BS192)=0,"",SUM($R192,$T192,$AN192,$AQ192,$AT192,$AW192,$AZ192,$BC192,$BF192,$BI192,$BL192,$BP192:$BS192))</f>
        <v>-265</v>
      </c>
      <c r="BU192" s="73" t="n">
        <f aca="false">IF(OR(SUM($BT192)=0,SUM($BN192)=0),"",SUM($BT192,$BN192))</f>
        <v>2231</v>
      </c>
      <c r="BV192" s="118" t="n">
        <f aca="false">IF(SUM($BU192)=0,"",SUM($BN192)/$BU192)</f>
        <v>1.11878081577768</v>
      </c>
      <c r="BW192" s="73"/>
      <c r="BX192" s="118" t="str">
        <f aca="false">IF(OR($C192="01-04",$C192="05-09"),"",0%)</f>
        <v/>
      </c>
      <c r="BY192" s="75" t="str">
        <f aca="false">IF(OR($C192="01-04",$C192="05-09",SUM($BW192)=0),"",ROUND($BW192*(1+$BX192),0))</f>
        <v/>
      </c>
    </row>
    <row r="193" customFormat="false" ht="15" hidden="false" customHeight="false" outlineLevel="0" collapsed="false">
      <c r="A193" s="0" t="s">
        <v>149</v>
      </c>
      <c r="B193" s="0" t="s">
        <v>111</v>
      </c>
      <c r="C193" s="0" t="s">
        <v>83</v>
      </c>
      <c r="D193" s="0" t="s">
        <v>56</v>
      </c>
      <c r="E193" s="0" t="str">
        <f aca="false">B193&amp;"|"&amp;C193&amp;"|"&amp;D193</f>
        <v>Qacha's Nek [#SNU] [zTaMbxvQtJ6]|05-09|Female</v>
      </c>
      <c r="F193" s="118" t="n">
        <f aca="false">_xlfn.IFNA(INDEX(Cascade!$Y:$Y,MATCH($E193,Cascade!$E:$E,0)),"")</f>
        <v>0.634920634920635</v>
      </c>
      <c r="G193" s="73" t="n">
        <f aca="false">_xlfn.IFNA(INDEX(Cascade!$BD:$BD,MATCH($E193,Cascade!$E:$E,0)),"")</f>
        <v>12</v>
      </c>
      <c r="H193" s="73" t="n">
        <f aca="false">_xlfn.IFNA(INDEX(Cascade!$BE:$BE,MATCH($E193,Cascade!$E:$E,0)),"")</f>
        <v>4</v>
      </c>
      <c r="I193" s="73" t="str">
        <f aca="false">_xlfn.IFNA(INDEX(Cascade!$BF:$BF,MATCH($E193,Cascade!$E:$E,0)),"")</f>
        <v/>
      </c>
      <c r="J193" s="73" t="str">
        <f aca="false">_xlfn.IFNA(INDEX(Cascade!$BG:$BG,MATCH($E193,Cascade!$E:$E,0)),"")</f>
        <v/>
      </c>
      <c r="K193" s="73" t="n">
        <f aca="false">_xlfn.IFNA(INDEX(Cascade!$BH:$BH,MATCH($E193,Cascade!$E:$E,0)),"")</f>
        <v>0</v>
      </c>
      <c r="L193" s="73" t="str">
        <f aca="false">_xlfn.IFNA(INDEX(Cascade!$BI:$BI,MATCH($E193,Cascade!$E:$E,0)),"")</f>
        <v/>
      </c>
      <c r="M193" s="73" t="n">
        <f aca="false">_xlfn.IFNA(INDEX(Cascade!$BK:$BK,MATCH($E193,Cascade!$E:$E,0)),"")</f>
        <v>8</v>
      </c>
      <c r="N193" s="118" t="n">
        <v>1</v>
      </c>
      <c r="O193" s="118"/>
      <c r="P193" s="118" t="n">
        <v>31</v>
      </c>
      <c r="Q193" s="75" t="str">
        <f aca="false">IF(OR(SUM($H193)=0,SUM($N193)=0,SUM($O193)=0),"",ROUND($H193*$N193,0))</f>
        <v/>
      </c>
      <c r="R193" s="75" t="str">
        <f aca="false">IF(OR(SUM($Q193)=0,SUM($O193)=0),"",ROUND(SUM($Q193)/SUM($O193),0)-SUM($Q193))</f>
        <v/>
      </c>
      <c r="S193" s="75" t="n">
        <f aca="false">IF(SUM($H193)=0,"",SUM($H193)-SUM($Q193))</f>
        <v>4</v>
      </c>
      <c r="T193" s="75" t="n">
        <f aca="false">IF(OR(SUM($S193)=0,$N193&gt;1,SUM($P193)&lt;=0),"",ROUND($S193/$P193,0)-$S193)</f>
        <v>-4</v>
      </c>
      <c r="U193" s="118" t="n">
        <f aca="false">IF(SUM($G193)&lt;=0,"",SUM($Q193,$S193)/$G193)</f>
        <v>0.333333333333333</v>
      </c>
      <c r="V193" s="118" t="str">
        <f aca="false">IF(OR(SUM($Q193)=0,SUM($G193)=0),"",SUM($Q193)/SUM($G193))</f>
        <v/>
      </c>
      <c r="W193" s="118" t="n">
        <f aca="false">IF(OR(SUM($S193)=0,SUM($G193)=0),"",SUM($S193)/SUM($G193))</f>
        <v>0.333333333333333</v>
      </c>
      <c r="X193" s="118" t="str">
        <f aca="false">IF(OR(SUM($G193)=0,SUM($I193)=0),"",SUM($I193)/SUM($G193))</f>
        <v/>
      </c>
      <c r="Y193" s="118" t="str">
        <f aca="false">IF(OR(SUM($G193)=0,SUM($J193)=0),"",SUM($J193)/SUM($G193))</f>
        <v/>
      </c>
      <c r="Z193" s="118" t="str">
        <f aca="false">IF(OR(SUM($G193)=0,SUM($K193)=0),"",SUM($K193)/SUM($G193))</f>
        <v/>
      </c>
      <c r="AA193" s="118" t="str">
        <f aca="false">IF(OR(SUM($G193)=0,SUM($L193)=0),"",SUM($L193)/SUM($G193))</f>
        <v/>
      </c>
      <c r="AB193" s="118" t="n">
        <v>13</v>
      </c>
      <c r="AC193" s="118"/>
      <c r="AD193" s="118"/>
      <c r="AE193" s="118" t="n">
        <v>4</v>
      </c>
      <c r="AF193" s="118" t="n">
        <v>26</v>
      </c>
      <c r="AG193" s="118" t="n">
        <v>26</v>
      </c>
      <c r="AH193" s="118" t="n">
        <v>11</v>
      </c>
      <c r="AI193" s="118" t="n">
        <v>6</v>
      </c>
      <c r="AJ193" s="118" t="n">
        <v>34</v>
      </c>
      <c r="AK193" s="118" t="n">
        <f aca="false">IF(SUM($G193)&lt;=0,"",SUM($V193:$AJ193))</f>
        <v>120.333333333333</v>
      </c>
      <c r="AL193" s="118"/>
      <c r="AM193" s="75" t="n">
        <f aca="false">IF(OR(SUM($AB193)&lt;=0,SUM($G193)&lt;=0),"",ROUND($G193*$AB193,0))</f>
        <v>156</v>
      </c>
      <c r="AN193" s="75" t="str">
        <f aca="false">IF(SUM($AM193)&lt;=0,"",IF(SUM($AL193)&lt;=0,"ENTER VALID YIELD!",ROUND($AM193/$AL193,0)-$AM193))</f>
        <v>ENTER VALID YIELD!</v>
      </c>
      <c r="AO193" s="118"/>
      <c r="AP193" s="75" t="str">
        <f aca="false">IF(OR(SUM($AC193)&lt;=0,SUM($G193)&lt;=0),"",ROUND($G193*$AC193,0))</f>
        <v/>
      </c>
      <c r="AQ193" s="75" t="str">
        <f aca="false">IF(SUM($AP193)&lt;=0,"",IF(SUM($AO193)&lt;=0,"ENTER VALID YIELD!",ROUND($AP193/$AO193,0)-$AP193))</f>
        <v/>
      </c>
      <c r="AR193" s="118"/>
      <c r="AS193" s="75" t="str">
        <f aca="false">IF(OR(SUM($AD193)&lt;=0,SUM($G193)&lt;=0),"",ROUND($G193*$AD193,0))</f>
        <v/>
      </c>
      <c r="AT193" s="75" t="str">
        <f aca="false">IF(SUM($AS193)&lt;=0,"",IF(SUM($AR193)&lt;=0,"ENTER VALID YIELD!",ROUND($AS193/$AR193,0)-$AS193))</f>
        <v/>
      </c>
      <c r="AU193" s="118"/>
      <c r="AV193" s="75" t="n">
        <f aca="false">IF(OR(SUM($AE193)&lt;=0,SUM($G193)&lt;=0),"",ROUND($G193*$AE193,0))</f>
        <v>48</v>
      </c>
      <c r="AW193" s="75" t="str">
        <f aca="false">IF(SUM($AV193)&lt;=0,"",IF(SUM($AU193)&lt;=0,"ENTER VALID YIELD!",ROUND($AV193/$AU193,0)-$AV193))</f>
        <v>ENTER VALID YIELD!</v>
      </c>
      <c r="AX193" s="118"/>
      <c r="AY193" s="75" t="n">
        <f aca="false">IF(OR(SUM($AF193)&lt;=0,SUM($G193)&lt;=0),"",ROUND($G193*$AF193,0))</f>
        <v>312</v>
      </c>
      <c r="AZ193" s="75" t="str">
        <f aca="false">IF(SUM($AY193)&lt;=0,"",IF(SUM($AX193)&lt;=0,"ENTER VALID YIELD!",ROUND($AY193/$AX193,0)-$AY193))</f>
        <v>ENTER VALID YIELD!</v>
      </c>
      <c r="BA193" s="118"/>
      <c r="BB193" s="75" t="n">
        <f aca="false">IF(OR(SUM($AG193)&lt;=0,SUM($G193)&lt;=0),"",ROUND($G193*$AG193,0))</f>
        <v>312</v>
      </c>
      <c r="BC193" s="75" t="str">
        <f aca="false">IF(SUM($BB193)&lt;=0,"",IF(SUM($BA193)&lt;=0,"ENTER VALID YIELD!",ROUND($BB193/$BA193,0)-$BB193))</f>
        <v>ENTER VALID YIELD!</v>
      </c>
      <c r="BD193" s="118"/>
      <c r="BE193" s="75" t="n">
        <f aca="false">IF(OR(SUM($AH193)&lt;=0,SUM($G193)&lt;=0),"",ROUND($G193*$AH193,0))</f>
        <v>132</v>
      </c>
      <c r="BF193" s="75" t="str">
        <f aca="false">IF(SUM($BE193)&lt;=0,"",IF(SUM($BD193)&lt;=0,"ENTER VALID YIELD!",ROUND($BE193/$BD193,0)-$BE193))</f>
        <v>ENTER VALID YIELD!</v>
      </c>
      <c r="BG193" s="118"/>
      <c r="BH193" s="75" t="n">
        <f aca="false">IF(OR(SUM($AI193)&lt;=0,SUM($G193)&lt;=0),"",ROUND($G193*$AI193,0))</f>
        <v>72</v>
      </c>
      <c r="BI193" s="75" t="str">
        <f aca="false">IF(SUM($BH193)&lt;=0,"",IF(SUM($BG193)&lt;=0,"ENTER VALID YIELD!",ROUND($BH193/$BG193,0)-$BH193))</f>
        <v>ENTER VALID YIELD!</v>
      </c>
      <c r="BJ193" s="118"/>
      <c r="BK193" s="75" t="n">
        <f aca="false">IF(OR(SUM($AJ193)&lt;=0,SUM($G193)&lt;=0),"",ROUND($G193*$AJ193,0))</f>
        <v>408</v>
      </c>
      <c r="BL193" s="75" t="str">
        <f aca="false">IF(SUM($BK193)&lt;=0,"",IF(SUM($BJ193)&lt;=0,"ENTER VALID YIELD!",ROUND($BK193/$BJ193,0)-$BK193))</f>
        <v>ENTER VALID YIELD!</v>
      </c>
      <c r="BM193" s="73" t="n">
        <f aca="false">IF(SUM($G193)&lt;=0,"",$G193)</f>
        <v>12</v>
      </c>
      <c r="BN193" s="73" t="n">
        <f aca="false">IF(SUM($G193)&lt;=0,"",SUM($I193:$L193,$Q193,$S193,$AM193,$AP193,$AS193,$AV193,$AY193,$BB193,$BE193,$BH193,$BK193))</f>
        <v>1444</v>
      </c>
      <c r="BO193" s="73" t="n">
        <f aca="false">IF(AND(SUM($BN193)&lt;=0,SUM($BM193)&lt;=0),"",SUM($BN193)-SUM($BM193))</f>
        <v>1432</v>
      </c>
      <c r="BP193" s="73" t="str">
        <f aca="false">_xlfn.IFNA(INDEX(PMTCT!$AF:$AF,MATCH($E193,PMTCT!$E:$E,0)),"")</f>
        <v/>
      </c>
      <c r="BQ193" s="73" t="str">
        <f aca="false">_xlfn.IFNA(INDEX(PMTCT!$AV:$AV,MATCH($E193,PMTCT!$E:$E,0)),"")</f>
        <v/>
      </c>
      <c r="BR193" s="73" t="n">
        <f aca="false">_xlfn.IFNA(INDEX(TB!$R:$R,MATCH($E193,TB!$E:$E,0)),"")</f>
        <v>7</v>
      </c>
      <c r="BS193" s="73" t="str">
        <f aca="false">_xlfn.IFNA(INDEX(VMMC!$AD:$AD,MATCH($E193,VMMC!$E:$E,0)),"")</f>
        <v/>
      </c>
      <c r="BT193" s="73" t="n">
        <f aca="false">IF(SUM($R193,$T193,$AN193,$AQ193,$AT193,$AW193,$AZ193,$BC193,$BF193,$BI193,$BL193,$BP193:$BS193)=0,"",SUM($R193,$T193,$AN193,$AQ193,$AT193,$AW193,$AZ193,$BC193,$BF193,$BI193,$BL193,$BP193:$BS193))</f>
        <v>3</v>
      </c>
      <c r="BU193" s="73" t="n">
        <f aca="false">IF(OR(SUM($BT193)=0,SUM($BN193)=0),"",SUM($BT193,$BN193))</f>
        <v>1447</v>
      </c>
      <c r="BV193" s="118" t="n">
        <f aca="false">IF(SUM($BU193)=0,"",SUM($BN193)/$BU193)</f>
        <v>0.997926744989634</v>
      </c>
      <c r="BW193" s="73"/>
      <c r="BX193" s="118" t="str">
        <f aca="false">IF(OR($C193="01-04",$C193="05-09"),"",0%)</f>
        <v/>
      </c>
      <c r="BY193" s="75" t="str">
        <f aca="false">IF(OR($C193="01-04",$C193="05-09",SUM($BW193)=0),"",ROUND($BW193*(1+$BX193),0))</f>
        <v/>
      </c>
    </row>
    <row r="194" customFormat="false" ht="15" hidden="false" customHeight="false" outlineLevel="0" collapsed="false">
      <c r="A194" s="0" t="s">
        <v>149</v>
      </c>
      <c r="B194" s="0" t="s">
        <v>111</v>
      </c>
      <c r="C194" s="0" t="s">
        <v>83</v>
      </c>
      <c r="D194" s="0" t="s">
        <v>58</v>
      </c>
      <c r="E194" s="0" t="str">
        <f aca="false">B194&amp;"|"&amp;C194&amp;"|"&amp;D194</f>
        <v>Qacha's Nek [#SNU] [zTaMbxvQtJ6]|05-09|Male</v>
      </c>
      <c r="F194" s="118" t="n">
        <f aca="false">_xlfn.IFNA(INDEX(Cascade!$Y:$Y,MATCH($E194,Cascade!$E:$E,0)),"")</f>
        <v>0.754098360655738</v>
      </c>
      <c r="G194" s="73" t="n">
        <f aca="false">_xlfn.IFNA(INDEX(Cascade!$BD:$BD,MATCH($E194,Cascade!$E:$E,0)),"")</f>
        <v>11</v>
      </c>
      <c r="H194" s="73" t="n">
        <f aca="false">_xlfn.IFNA(INDEX(Cascade!$BE:$BE,MATCH($E194,Cascade!$E:$E,0)),"")</f>
        <v>6</v>
      </c>
      <c r="I194" s="73" t="str">
        <f aca="false">_xlfn.IFNA(INDEX(Cascade!$BF:$BF,MATCH($E194,Cascade!$E:$E,0)),"")</f>
        <v/>
      </c>
      <c r="J194" s="73" t="str">
        <f aca="false">_xlfn.IFNA(INDEX(Cascade!$BG:$BG,MATCH($E194,Cascade!$E:$E,0)),"")</f>
        <v/>
      </c>
      <c r="K194" s="73" t="n">
        <f aca="false">_xlfn.IFNA(INDEX(Cascade!$BH:$BH,MATCH($E194,Cascade!$E:$E,0)),"")</f>
        <v>-0</v>
      </c>
      <c r="L194" s="73" t="str">
        <f aca="false">_xlfn.IFNA(INDEX(Cascade!$BI:$BI,MATCH($E194,Cascade!$E:$E,0)),"")</f>
        <v/>
      </c>
      <c r="M194" s="73" t="n">
        <f aca="false">_xlfn.IFNA(INDEX(Cascade!$BK:$BK,MATCH($E194,Cascade!$E:$E,0)),"")</f>
        <v>5</v>
      </c>
      <c r="N194" s="118" t="n">
        <v>32</v>
      </c>
      <c r="O194" s="118"/>
      <c r="P194" s="118" t="n">
        <v>32</v>
      </c>
      <c r="Q194" s="75" t="str">
        <f aca="false">IF(OR(SUM($H194)=0,SUM($N194)=0,SUM($O194)=0),"",ROUND($H194*$N194,0))</f>
        <v/>
      </c>
      <c r="R194" s="75" t="str">
        <f aca="false">IF(OR(SUM($Q194)=0,SUM($O194)=0),"",ROUND(SUM($Q194)/SUM($O194),0)-SUM($Q194))</f>
        <v/>
      </c>
      <c r="S194" s="75" t="n">
        <f aca="false">IF(SUM($H194)=0,"",SUM($H194)-SUM($Q194))</f>
        <v>6</v>
      </c>
      <c r="T194" s="75" t="str">
        <f aca="false">IF(OR(SUM($S194)=0,$N194&gt;1,SUM($P194)&lt;=0),"",ROUND($S194/$P194,0)-$S194)</f>
        <v/>
      </c>
      <c r="U194" s="118" t="n">
        <f aca="false">IF(SUM($G194)&lt;=0,"",SUM($Q194,$S194)/$G194)</f>
        <v>0.545454545454545</v>
      </c>
      <c r="V194" s="118" t="str">
        <f aca="false">IF(OR(SUM($Q194)=0,SUM($G194)=0),"",SUM($Q194)/SUM($G194))</f>
        <v/>
      </c>
      <c r="W194" s="118" t="n">
        <f aca="false">IF(OR(SUM($S194)=0,SUM($G194)=0),"",SUM($S194)/SUM($G194))</f>
        <v>0.545454545454545</v>
      </c>
      <c r="X194" s="118" t="str">
        <f aca="false">IF(OR(SUM($G194)=0,SUM($I194)=0),"",SUM($I194)/SUM($G194))</f>
        <v/>
      </c>
      <c r="Y194" s="118" t="str">
        <f aca="false">IF(OR(SUM($G194)=0,SUM($J194)=0),"",SUM($J194)/SUM($G194))</f>
        <v/>
      </c>
      <c r="Z194" s="118" t="str">
        <f aca="false">IF(OR(SUM($G194)=0,SUM($K194)=0),"",SUM($K194)/SUM($G194))</f>
        <v/>
      </c>
      <c r="AA194" s="118" t="str">
        <f aca="false">IF(OR(SUM($G194)=0,SUM($L194)=0),"",SUM($L194)/SUM($G194))</f>
        <v/>
      </c>
      <c r="AB194" s="118" t="n">
        <v>0</v>
      </c>
      <c r="AC194" s="118"/>
      <c r="AD194" s="118"/>
      <c r="AE194" s="118" t="n">
        <v>14</v>
      </c>
      <c r="AF194" s="118" t="n">
        <v>8</v>
      </c>
      <c r="AG194" s="118" t="n">
        <v>35</v>
      </c>
      <c r="AH194" s="118" t="n">
        <v>3</v>
      </c>
      <c r="AI194" s="118" t="n">
        <v>5</v>
      </c>
      <c r="AJ194" s="118" t="n">
        <v>25</v>
      </c>
      <c r="AK194" s="118" t="n">
        <f aca="false">IF(SUM($G194)&lt;=0,"",SUM($V194:$AJ194))</f>
        <v>90.5454545454546</v>
      </c>
      <c r="AL194" s="118"/>
      <c r="AM194" s="75" t="str">
        <f aca="false">IF(OR(SUM($AB194)&lt;=0,SUM($G194)&lt;=0),"",ROUND($G194*$AB194,0))</f>
        <v/>
      </c>
      <c r="AN194" s="75" t="str">
        <f aca="false">IF(SUM($AM194)&lt;=0,"",IF(SUM($AL194)&lt;=0,"ENTER VALID YIELD!",ROUND($AM194/$AL194,0)-$AM194))</f>
        <v/>
      </c>
      <c r="AO194" s="118"/>
      <c r="AP194" s="75" t="str">
        <f aca="false">IF(OR(SUM($AC194)&lt;=0,SUM($G194)&lt;=0),"",ROUND($G194*$AC194,0))</f>
        <v/>
      </c>
      <c r="AQ194" s="75" t="str">
        <f aca="false">IF(SUM($AP194)&lt;=0,"",IF(SUM($AO194)&lt;=0,"ENTER VALID YIELD!",ROUND($AP194/$AO194,0)-$AP194))</f>
        <v/>
      </c>
      <c r="AR194" s="118"/>
      <c r="AS194" s="75" t="str">
        <f aca="false">IF(OR(SUM($AD194)&lt;=0,SUM($G194)&lt;=0),"",ROUND($G194*$AD194,0))</f>
        <v/>
      </c>
      <c r="AT194" s="75" t="str">
        <f aca="false">IF(SUM($AS194)&lt;=0,"",IF(SUM($AR194)&lt;=0,"ENTER VALID YIELD!",ROUND($AS194/$AR194,0)-$AS194))</f>
        <v/>
      </c>
      <c r="AU194" s="118"/>
      <c r="AV194" s="75" t="n">
        <f aca="false">IF(OR(SUM($AE194)&lt;=0,SUM($G194)&lt;=0),"",ROUND($G194*$AE194,0))</f>
        <v>154</v>
      </c>
      <c r="AW194" s="75" t="str">
        <f aca="false">IF(SUM($AV194)&lt;=0,"",IF(SUM($AU194)&lt;=0,"ENTER VALID YIELD!",ROUND($AV194/$AU194,0)-$AV194))</f>
        <v>ENTER VALID YIELD!</v>
      </c>
      <c r="AX194" s="118"/>
      <c r="AY194" s="75" t="n">
        <f aca="false">IF(OR(SUM($AF194)&lt;=0,SUM($G194)&lt;=0),"",ROUND($G194*$AF194,0))</f>
        <v>88</v>
      </c>
      <c r="AZ194" s="75" t="str">
        <f aca="false">IF(SUM($AY194)&lt;=0,"",IF(SUM($AX194)&lt;=0,"ENTER VALID YIELD!",ROUND($AY194/$AX194,0)-$AY194))</f>
        <v>ENTER VALID YIELD!</v>
      </c>
      <c r="BA194" s="118"/>
      <c r="BB194" s="75" t="n">
        <f aca="false">IF(OR(SUM($AG194)&lt;=0,SUM($G194)&lt;=0),"",ROUND($G194*$AG194,0))</f>
        <v>385</v>
      </c>
      <c r="BC194" s="75" t="str">
        <f aca="false">IF(SUM($BB194)&lt;=0,"",IF(SUM($BA194)&lt;=0,"ENTER VALID YIELD!",ROUND($BB194/$BA194,0)-$BB194))</f>
        <v>ENTER VALID YIELD!</v>
      </c>
      <c r="BD194" s="118"/>
      <c r="BE194" s="75" t="n">
        <f aca="false">IF(OR(SUM($AH194)&lt;=0,SUM($G194)&lt;=0),"",ROUND($G194*$AH194,0))</f>
        <v>33</v>
      </c>
      <c r="BF194" s="75" t="str">
        <f aca="false">IF(SUM($BE194)&lt;=0,"",IF(SUM($BD194)&lt;=0,"ENTER VALID YIELD!",ROUND($BE194/$BD194,0)-$BE194))</f>
        <v>ENTER VALID YIELD!</v>
      </c>
      <c r="BG194" s="118"/>
      <c r="BH194" s="75" t="n">
        <f aca="false">IF(OR(SUM($AI194)&lt;=0,SUM($G194)&lt;=0),"",ROUND($G194*$AI194,0))</f>
        <v>55</v>
      </c>
      <c r="BI194" s="75" t="str">
        <f aca="false">IF(SUM($BH194)&lt;=0,"",IF(SUM($BG194)&lt;=0,"ENTER VALID YIELD!",ROUND($BH194/$BG194,0)-$BH194))</f>
        <v>ENTER VALID YIELD!</v>
      </c>
      <c r="BJ194" s="118"/>
      <c r="BK194" s="75" t="n">
        <f aca="false">IF(OR(SUM($AJ194)&lt;=0,SUM($G194)&lt;=0),"",ROUND($G194*$AJ194,0))</f>
        <v>275</v>
      </c>
      <c r="BL194" s="75" t="str">
        <f aca="false">IF(SUM($BK194)&lt;=0,"",IF(SUM($BJ194)&lt;=0,"ENTER VALID YIELD!",ROUND($BK194/$BJ194,0)-$BK194))</f>
        <v>ENTER VALID YIELD!</v>
      </c>
      <c r="BM194" s="73" t="n">
        <f aca="false">IF(SUM($G194)&lt;=0,"",$G194)</f>
        <v>11</v>
      </c>
      <c r="BN194" s="73" t="n">
        <f aca="false">IF(SUM($G194)&lt;=0,"",SUM($I194:$L194,$Q194,$S194,$AM194,$AP194,$AS194,$AV194,$AY194,$BB194,$BE194,$BH194,$BK194))</f>
        <v>996</v>
      </c>
      <c r="BO194" s="73" t="n">
        <f aca="false">IF(AND(SUM($BN194)&lt;=0,SUM($BM194)&lt;=0),"",SUM($BN194)-SUM($BM194))</f>
        <v>985</v>
      </c>
      <c r="BP194" s="73" t="str">
        <f aca="false">_xlfn.IFNA(INDEX(PMTCT!$AF:$AF,MATCH($E194,PMTCT!$E:$E,0)),"")</f>
        <v/>
      </c>
      <c r="BQ194" s="73" t="str">
        <f aca="false">_xlfn.IFNA(INDEX(PMTCT!$AV:$AV,MATCH($E194,PMTCT!$E:$E,0)),"")</f>
        <v/>
      </c>
      <c r="BR194" s="73" t="n">
        <f aca="false">_xlfn.IFNA(INDEX(TB!$R:$R,MATCH($E194,TB!$E:$E,0)),"")</f>
        <v>-33</v>
      </c>
      <c r="BS194" s="73" t="str">
        <f aca="false">_xlfn.IFNA(INDEX(VMMC!$AD:$AD,MATCH($E194,VMMC!$E:$E,0)),"")</f>
        <v/>
      </c>
      <c r="BT194" s="73" t="n">
        <f aca="false">IF(SUM($R194,$T194,$AN194,$AQ194,$AT194,$AW194,$AZ194,$BC194,$BF194,$BI194,$BL194,$BP194:$BS194)=0,"",SUM($R194,$T194,$AN194,$AQ194,$AT194,$AW194,$AZ194,$BC194,$BF194,$BI194,$BL194,$BP194:$BS194))</f>
        <v>-33</v>
      </c>
      <c r="BU194" s="73" t="n">
        <f aca="false">IF(OR(SUM($BT194)=0,SUM($BN194)=0),"",SUM($BT194,$BN194))</f>
        <v>963</v>
      </c>
      <c r="BV194" s="118" t="n">
        <f aca="false">IF(SUM($BU194)=0,"",SUM($BN194)/$BU194)</f>
        <v>1.03426791277259</v>
      </c>
      <c r="BW194" s="73"/>
      <c r="BX194" s="118" t="str">
        <f aca="false">IF(OR($C194="01-04",$C194="05-09"),"",0%)</f>
        <v/>
      </c>
      <c r="BY194" s="75" t="str">
        <f aca="false">IF(OR($C194="01-04",$C194="05-09",SUM($BW194)=0),"",ROUND($BW194*(1+$BX194),0))</f>
        <v/>
      </c>
    </row>
    <row r="195" customFormat="false" ht="15" hidden="false" customHeight="false" outlineLevel="0" collapsed="false">
      <c r="A195" s="0" t="s">
        <v>149</v>
      </c>
      <c r="B195" s="0" t="s">
        <v>111</v>
      </c>
      <c r="C195" s="0" t="s">
        <v>61</v>
      </c>
      <c r="D195" s="0" t="s">
        <v>56</v>
      </c>
      <c r="E195" s="0" t="str">
        <f aca="false">B195&amp;"|"&amp;C195&amp;"|"&amp;D195</f>
        <v>Qacha's Nek [#SNU] [zTaMbxvQtJ6]|10-14|Female</v>
      </c>
      <c r="F195" s="118" t="n">
        <f aca="false">_xlfn.IFNA(INDEX(Cascade!$Y:$Y,MATCH($E195,Cascade!$E:$E,0)),"")</f>
        <v>0.833333333333333</v>
      </c>
      <c r="G195" s="73" t="n">
        <f aca="false">_xlfn.IFNA(INDEX(Cascade!$BD:$BD,MATCH($E195,Cascade!$E:$E,0)),"")</f>
        <v>4</v>
      </c>
      <c r="H195" s="73" t="n">
        <f aca="false">_xlfn.IFNA(INDEX(Cascade!$BE:$BE,MATCH($E195,Cascade!$E:$E,0)),"")</f>
        <v>3</v>
      </c>
      <c r="I195" s="73" t="str">
        <f aca="false">_xlfn.IFNA(INDEX(Cascade!$BF:$BF,MATCH($E195,Cascade!$E:$E,0)),"")</f>
        <v/>
      </c>
      <c r="J195" s="73" t="str">
        <f aca="false">_xlfn.IFNA(INDEX(Cascade!$BG:$BG,MATCH($E195,Cascade!$E:$E,0)),"")</f>
        <v/>
      </c>
      <c r="K195" s="73" t="n">
        <f aca="false">_xlfn.IFNA(INDEX(Cascade!$BH:$BH,MATCH($E195,Cascade!$E:$E,0)),"")</f>
        <v>-0</v>
      </c>
      <c r="L195" s="73" t="str">
        <f aca="false">_xlfn.IFNA(INDEX(Cascade!$BI:$BI,MATCH($E195,Cascade!$E:$E,0)),"")</f>
        <v/>
      </c>
      <c r="M195" s="73" t="n">
        <f aca="false">_xlfn.IFNA(INDEX(Cascade!$BK:$BK,MATCH($E195,Cascade!$E:$E,0)),"")</f>
        <v>1</v>
      </c>
      <c r="N195" s="118"/>
      <c r="O195" s="118"/>
      <c r="P195" s="118"/>
      <c r="Q195" s="75" t="str">
        <f aca="false">IF(OR(SUM($H195)=0,SUM($N195)=0,SUM($O195)=0),"",ROUND($H195*$N195,0))</f>
        <v/>
      </c>
      <c r="R195" s="75" t="str">
        <f aca="false">IF(OR(SUM($Q195)=0,SUM($O195)=0),"",ROUND(SUM($Q195)/SUM($O195),0)-SUM($Q195))</f>
        <v/>
      </c>
      <c r="S195" s="75" t="n">
        <f aca="false">IF(SUM($H195)=0,"",SUM($H195)-SUM($Q195))</f>
        <v>3</v>
      </c>
      <c r="T195" s="75" t="str">
        <f aca="false">IF(OR(SUM($S195)=0,$N195&gt;1,SUM($P195)&lt;=0),"",ROUND($S195/$P195,0)-$S195)</f>
        <v/>
      </c>
      <c r="U195" s="118" t="n">
        <f aca="false">IF(SUM($G195)&lt;=0,"",SUM($Q195,$S195)/$G195)</f>
        <v>0.75</v>
      </c>
      <c r="V195" s="118" t="str">
        <f aca="false">IF(OR(SUM($Q195)=0,SUM($G195)=0),"",SUM($Q195)/SUM($G195))</f>
        <v/>
      </c>
      <c r="W195" s="118" t="n">
        <f aca="false">IF(OR(SUM($S195)=0,SUM($G195)=0),"",SUM($S195)/SUM($G195))</f>
        <v>0.75</v>
      </c>
      <c r="X195" s="118" t="str">
        <f aca="false">IF(OR(SUM($G195)=0,SUM($I195)=0),"",SUM($I195)/SUM($G195))</f>
        <v/>
      </c>
      <c r="Y195" s="118" t="str">
        <f aca="false">IF(OR(SUM($G195)=0,SUM($J195)=0),"",SUM($J195)/SUM($G195))</f>
        <v/>
      </c>
      <c r="Z195" s="118" t="str">
        <f aca="false">IF(OR(SUM($G195)=0,SUM($K195)=0),"",SUM($K195)/SUM($G195))</f>
        <v/>
      </c>
      <c r="AA195" s="118" t="str">
        <f aca="false">IF(OR(SUM($G195)=0,SUM($L195)=0),"",SUM($L195)/SUM($G195))</f>
        <v/>
      </c>
      <c r="AB195" s="118" t="n">
        <v>46</v>
      </c>
      <c r="AC195" s="118"/>
      <c r="AD195" s="118"/>
      <c r="AE195" s="118" t="n">
        <v>44</v>
      </c>
      <c r="AF195" s="118" t="n">
        <v>3</v>
      </c>
      <c r="AG195" s="118" t="n">
        <v>28</v>
      </c>
      <c r="AH195" s="118" t="n">
        <v>50</v>
      </c>
      <c r="AI195" s="118" t="n">
        <v>6</v>
      </c>
      <c r="AJ195" s="118" t="n">
        <v>42</v>
      </c>
      <c r="AK195" s="118" t="n">
        <f aca="false">IF(SUM($G195)&lt;=0,"",SUM($V195:$AJ195))</f>
        <v>219.75</v>
      </c>
      <c r="AL195" s="118"/>
      <c r="AM195" s="75" t="n">
        <f aca="false">IF(OR(SUM($AB195)&lt;=0,SUM($G195)&lt;=0),"",ROUND($G195*$AB195,0))</f>
        <v>184</v>
      </c>
      <c r="AN195" s="75" t="str">
        <f aca="false">IF(SUM($AM195)&lt;=0,"",IF(SUM($AL195)&lt;=0,"ENTER VALID YIELD!",ROUND($AM195/$AL195,0)-$AM195))</f>
        <v>ENTER VALID YIELD!</v>
      </c>
      <c r="AO195" s="118"/>
      <c r="AP195" s="75" t="str">
        <f aca="false">IF(OR(SUM($AC195)&lt;=0,SUM($G195)&lt;=0),"",ROUND($G195*$AC195,0))</f>
        <v/>
      </c>
      <c r="AQ195" s="75" t="str">
        <f aca="false">IF(SUM($AP195)&lt;=0,"",IF(SUM($AO195)&lt;=0,"ENTER VALID YIELD!",ROUND($AP195/$AO195,0)-$AP195))</f>
        <v/>
      </c>
      <c r="AR195" s="118"/>
      <c r="AS195" s="75" t="str">
        <f aca="false">IF(OR(SUM($AD195)&lt;=0,SUM($G195)&lt;=0),"",ROUND($G195*$AD195,0))</f>
        <v/>
      </c>
      <c r="AT195" s="75" t="str">
        <f aca="false">IF(SUM($AS195)&lt;=0,"",IF(SUM($AR195)&lt;=0,"ENTER VALID YIELD!",ROUND($AS195/$AR195,0)-$AS195))</f>
        <v/>
      </c>
      <c r="AU195" s="118"/>
      <c r="AV195" s="75" t="n">
        <f aca="false">IF(OR(SUM($AE195)&lt;=0,SUM($G195)&lt;=0),"",ROUND($G195*$AE195,0))</f>
        <v>176</v>
      </c>
      <c r="AW195" s="75" t="str">
        <f aca="false">IF(SUM($AV195)&lt;=0,"",IF(SUM($AU195)&lt;=0,"ENTER VALID YIELD!",ROUND($AV195/$AU195,0)-$AV195))</f>
        <v>ENTER VALID YIELD!</v>
      </c>
      <c r="AX195" s="118"/>
      <c r="AY195" s="75" t="n">
        <f aca="false">IF(OR(SUM($AF195)&lt;=0,SUM($G195)&lt;=0),"",ROUND($G195*$AF195,0))</f>
        <v>12</v>
      </c>
      <c r="AZ195" s="75" t="str">
        <f aca="false">IF(SUM($AY195)&lt;=0,"",IF(SUM($AX195)&lt;=0,"ENTER VALID YIELD!",ROUND($AY195/$AX195,0)-$AY195))</f>
        <v>ENTER VALID YIELD!</v>
      </c>
      <c r="BA195" s="118" t="n">
        <v>41</v>
      </c>
      <c r="BB195" s="75" t="n">
        <f aca="false">IF(OR(SUM($AG195)&lt;=0,SUM($G195)&lt;=0),"",ROUND($G195*$AG195,0))</f>
        <v>112</v>
      </c>
      <c r="BC195" s="75" t="n">
        <f aca="false">IF(SUM($BB195)&lt;=0,"",IF(SUM($BA195)&lt;=0,"ENTER VALID YIELD!",ROUND($BB195/$BA195,0)-$BB195))</f>
        <v>-109</v>
      </c>
      <c r="BD195" s="118"/>
      <c r="BE195" s="75" t="n">
        <f aca="false">IF(OR(SUM($AH195)&lt;=0,SUM($G195)&lt;=0),"",ROUND($G195*$AH195,0))</f>
        <v>200</v>
      </c>
      <c r="BF195" s="75" t="str">
        <f aca="false">IF(SUM($BE195)&lt;=0,"",IF(SUM($BD195)&lt;=0,"ENTER VALID YIELD!",ROUND($BE195/$BD195,0)-$BE195))</f>
        <v>ENTER VALID YIELD!</v>
      </c>
      <c r="BG195" s="118"/>
      <c r="BH195" s="75" t="n">
        <f aca="false">IF(OR(SUM($AI195)&lt;=0,SUM($G195)&lt;=0),"",ROUND($G195*$AI195,0))</f>
        <v>24</v>
      </c>
      <c r="BI195" s="75" t="str">
        <f aca="false">IF(SUM($BH195)&lt;=0,"",IF(SUM($BG195)&lt;=0,"ENTER VALID YIELD!",ROUND($BH195/$BG195,0)-$BH195))</f>
        <v>ENTER VALID YIELD!</v>
      </c>
      <c r="BJ195" s="118"/>
      <c r="BK195" s="75" t="n">
        <f aca="false">IF(OR(SUM($AJ195)&lt;=0,SUM($G195)&lt;=0),"",ROUND($G195*$AJ195,0))</f>
        <v>168</v>
      </c>
      <c r="BL195" s="75" t="str">
        <f aca="false">IF(SUM($BK195)&lt;=0,"",IF(SUM($BJ195)&lt;=0,"ENTER VALID YIELD!",ROUND($BK195/$BJ195,0)-$BK195))</f>
        <v>ENTER VALID YIELD!</v>
      </c>
      <c r="BM195" s="73" t="n">
        <f aca="false">IF(SUM($G195)&lt;=0,"",$G195)</f>
        <v>4</v>
      </c>
      <c r="BN195" s="73" t="n">
        <f aca="false">IF(SUM($G195)&lt;=0,"",SUM($I195:$L195,$Q195,$S195,$AM195,$AP195,$AS195,$AV195,$AY195,$BB195,$BE195,$BH195,$BK195))</f>
        <v>879</v>
      </c>
      <c r="BO195" s="73" t="n">
        <f aca="false">IF(AND(SUM($BN195)&lt;=0,SUM($BM195)&lt;=0),"",SUM($BN195)-SUM($BM195))</f>
        <v>875</v>
      </c>
      <c r="BP195" s="73" t="str">
        <f aca="false">_xlfn.IFNA(INDEX(PMTCT!$AF:$AF,MATCH($E195,PMTCT!$E:$E,0)),"")</f>
        <v/>
      </c>
      <c r="BQ195" s="73" t="str">
        <f aca="false">_xlfn.IFNA(INDEX(PMTCT!$AV:$AV,MATCH($E195,PMTCT!$E:$E,0)),"")</f>
        <v/>
      </c>
      <c r="BR195" s="73" t="n">
        <f aca="false">_xlfn.IFNA(INDEX(TB!$R:$R,MATCH($E195,TB!$E:$E,0)),"")</f>
        <v>-648</v>
      </c>
      <c r="BS195" s="73" t="str">
        <f aca="false">_xlfn.IFNA(INDEX(VMMC!$AD:$AD,MATCH($E195,VMMC!$E:$E,0)),"")</f>
        <v/>
      </c>
      <c r="BT195" s="73" t="n">
        <f aca="false">IF(SUM($R195,$T195,$AN195,$AQ195,$AT195,$AW195,$AZ195,$BC195,$BF195,$BI195,$BL195,$BP195:$BS195)=0,"",SUM($R195,$T195,$AN195,$AQ195,$AT195,$AW195,$AZ195,$BC195,$BF195,$BI195,$BL195,$BP195:$BS195))</f>
        <v>-757</v>
      </c>
      <c r="BU195" s="73" t="n">
        <f aca="false">IF(OR(SUM($BT195)=0,SUM($BN195)=0),"",SUM($BT195,$BN195))</f>
        <v>122</v>
      </c>
      <c r="BV195" s="118" t="n">
        <f aca="false">IF(SUM($BU195)=0,"",SUM($BN195)/$BU195)</f>
        <v>7.20491803278689</v>
      </c>
      <c r="BW195" s="73"/>
      <c r="BX195" s="118" t="n">
        <f aca="false">IF(OR($C195="01-04",$C195="05-09"),"",0%)</f>
        <v>0</v>
      </c>
      <c r="BY195" s="75" t="str">
        <f aca="false">IF(OR($C195="01-04",$C195="05-09",SUM($BW195)=0),"",ROUND($BW195*(1+$BX195),0))</f>
        <v/>
      </c>
    </row>
    <row r="196" customFormat="false" ht="15" hidden="false" customHeight="false" outlineLevel="0" collapsed="false">
      <c r="A196" s="0" t="s">
        <v>149</v>
      </c>
      <c r="B196" s="0" t="s">
        <v>111</v>
      </c>
      <c r="C196" s="0" t="s">
        <v>61</v>
      </c>
      <c r="D196" s="0" t="s">
        <v>58</v>
      </c>
      <c r="E196" s="0" t="str">
        <f aca="false">B196&amp;"|"&amp;C196&amp;"|"&amp;D196</f>
        <v>Qacha's Nek [#SNU] [zTaMbxvQtJ6]|10-14|Male</v>
      </c>
      <c r="F196" s="118" t="n">
        <f aca="false">_xlfn.IFNA(INDEX(Cascade!$Y:$Y,MATCH($E196,Cascade!$E:$E,0)),"")</f>
        <v>0.836538461538462</v>
      </c>
      <c r="G196" s="73" t="n">
        <f aca="false">_xlfn.IFNA(INDEX(Cascade!$BD:$BD,MATCH($E196,Cascade!$E:$E,0)),"")</f>
        <v>2</v>
      </c>
      <c r="H196" s="73" t="n">
        <f aca="false">_xlfn.IFNA(INDEX(Cascade!$BE:$BE,MATCH($E196,Cascade!$E:$E,0)),"")</f>
        <v>2</v>
      </c>
      <c r="I196" s="73" t="str">
        <f aca="false">_xlfn.IFNA(INDEX(Cascade!$BF:$BF,MATCH($E196,Cascade!$E:$E,0)),"")</f>
        <v/>
      </c>
      <c r="J196" s="73" t="str">
        <f aca="false">_xlfn.IFNA(INDEX(Cascade!$BG:$BG,MATCH($E196,Cascade!$E:$E,0)),"")</f>
        <v/>
      </c>
      <c r="K196" s="73" t="n">
        <f aca="false">_xlfn.IFNA(INDEX(Cascade!$BH:$BH,MATCH($E196,Cascade!$E:$E,0)),"")</f>
        <v>-38700</v>
      </c>
      <c r="L196" s="73" t="str">
        <f aca="false">_xlfn.IFNA(INDEX(Cascade!$BI:$BI,MATCH($E196,Cascade!$E:$E,0)),"")</f>
        <v/>
      </c>
      <c r="M196" s="73" t="n">
        <f aca="false">_xlfn.IFNA(INDEX(Cascade!$BK:$BK,MATCH($E196,Cascade!$E:$E,0)),"")</f>
        <v>38700</v>
      </c>
      <c r="N196" s="118"/>
      <c r="O196" s="118"/>
      <c r="P196" s="118"/>
      <c r="Q196" s="75" t="str">
        <f aca="false">IF(OR(SUM($H196)=0,SUM($N196)=0,SUM($O196)=0),"",ROUND($H196*$N196,0))</f>
        <v/>
      </c>
      <c r="R196" s="75" t="str">
        <f aca="false">IF(OR(SUM($Q196)=0,SUM($O196)=0),"",ROUND(SUM($Q196)/SUM($O196),0)-SUM($Q196))</f>
        <v/>
      </c>
      <c r="S196" s="75" t="n">
        <f aca="false">IF(SUM($H196)=0,"",SUM($H196)-SUM($Q196))</f>
        <v>2</v>
      </c>
      <c r="T196" s="75" t="str">
        <f aca="false">IF(OR(SUM($S196)=0,$N196&gt;1,SUM($P196)&lt;=0),"",ROUND($S196/$P196,0)-$S196)</f>
        <v/>
      </c>
      <c r="U196" s="118" t="n">
        <f aca="false">IF(SUM($G196)&lt;=0,"",SUM($Q196,$S196)/$G196)</f>
        <v>1</v>
      </c>
      <c r="V196" s="118" t="str">
        <f aca="false">IF(OR(SUM($Q196)=0,SUM($G196)=0),"",SUM($Q196)/SUM($G196))</f>
        <v/>
      </c>
      <c r="W196" s="118" t="n">
        <f aca="false">IF(OR(SUM($S196)=0,SUM($G196)=0),"",SUM($S196)/SUM($G196))</f>
        <v>1</v>
      </c>
      <c r="X196" s="118" t="str">
        <f aca="false">IF(OR(SUM($G196)=0,SUM($I196)=0),"",SUM($I196)/SUM($G196))</f>
        <v/>
      </c>
      <c r="Y196" s="118" t="str">
        <f aca="false">IF(OR(SUM($G196)=0,SUM($J196)=0),"",SUM($J196)/SUM($G196))</f>
        <v/>
      </c>
      <c r="Z196" s="118" t="n">
        <f aca="false">IF(OR(SUM($G196)=0,SUM($K196)=0),"",SUM($K196)/SUM($G196))</f>
        <v>-19350</v>
      </c>
      <c r="AA196" s="118" t="str">
        <f aca="false">IF(OR(SUM($G196)=0,SUM($L196)=0),"",SUM($L196)/SUM($G196))</f>
        <v/>
      </c>
      <c r="AB196" s="118" t="n">
        <v>5</v>
      </c>
      <c r="AC196" s="118"/>
      <c r="AD196" s="118"/>
      <c r="AE196" s="118" t="n">
        <v>42</v>
      </c>
      <c r="AF196" s="118" t="n">
        <v>8</v>
      </c>
      <c r="AG196" s="118" t="n">
        <v>0</v>
      </c>
      <c r="AH196" s="118" t="n">
        <v>1</v>
      </c>
      <c r="AI196" s="118" t="n">
        <v>21</v>
      </c>
      <c r="AJ196" s="118" t="n">
        <v>32</v>
      </c>
      <c r="AK196" s="118" t="n">
        <f aca="false">IF(SUM($G196)&lt;=0,"",SUM($V196:$AJ196))</f>
        <v>-19240</v>
      </c>
      <c r="AL196" s="118"/>
      <c r="AM196" s="75" t="n">
        <f aca="false">IF(OR(SUM($AB196)&lt;=0,SUM($G196)&lt;=0),"",ROUND($G196*$AB196,0))</f>
        <v>10</v>
      </c>
      <c r="AN196" s="75" t="str">
        <f aca="false">IF(SUM($AM196)&lt;=0,"",IF(SUM($AL196)&lt;=0,"ENTER VALID YIELD!",ROUND($AM196/$AL196,0)-$AM196))</f>
        <v>ENTER VALID YIELD!</v>
      </c>
      <c r="AO196" s="118"/>
      <c r="AP196" s="75" t="str">
        <f aca="false">IF(OR(SUM($AC196)&lt;=0,SUM($G196)&lt;=0),"",ROUND($G196*$AC196,0))</f>
        <v/>
      </c>
      <c r="AQ196" s="75" t="str">
        <f aca="false">IF(SUM($AP196)&lt;=0,"",IF(SUM($AO196)&lt;=0,"ENTER VALID YIELD!",ROUND($AP196/$AO196,0)-$AP196))</f>
        <v/>
      </c>
      <c r="AR196" s="118"/>
      <c r="AS196" s="75" t="str">
        <f aca="false">IF(OR(SUM($AD196)&lt;=0,SUM($G196)&lt;=0),"",ROUND($G196*$AD196,0))</f>
        <v/>
      </c>
      <c r="AT196" s="75" t="str">
        <f aca="false">IF(SUM($AS196)&lt;=0,"",IF(SUM($AR196)&lt;=0,"ENTER VALID YIELD!",ROUND($AS196/$AR196,0)-$AS196))</f>
        <v/>
      </c>
      <c r="AU196" s="118"/>
      <c r="AV196" s="75" t="n">
        <f aca="false">IF(OR(SUM($AE196)&lt;=0,SUM($G196)&lt;=0),"",ROUND($G196*$AE196,0))</f>
        <v>84</v>
      </c>
      <c r="AW196" s="75" t="str">
        <f aca="false">IF(SUM($AV196)&lt;=0,"",IF(SUM($AU196)&lt;=0,"ENTER VALID YIELD!",ROUND($AV196/$AU196,0)-$AV196))</f>
        <v>ENTER VALID YIELD!</v>
      </c>
      <c r="AX196" s="118"/>
      <c r="AY196" s="75" t="n">
        <f aca="false">IF(OR(SUM($AF196)&lt;=0,SUM($G196)&lt;=0),"",ROUND($G196*$AF196,0))</f>
        <v>16</v>
      </c>
      <c r="AZ196" s="75" t="str">
        <f aca="false">IF(SUM($AY196)&lt;=0,"",IF(SUM($AX196)&lt;=0,"ENTER VALID YIELD!",ROUND($AY196/$AX196,0)-$AY196))</f>
        <v>ENTER VALID YIELD!</v>
      </c>
      <c r="BA196" s="118" t="n">
        <v>9</v>
      </c>
      <c r="BB196" s="75" t="str">
        <f aca="false">IF(OR(SUM($AG196)&lt;=0,SUM($G196)&lt;=0),"",ROUND($G196*$AG196,0))</f>
        <v/>
      </c>
      <c r="BC196" s="75" t="str">
        <f aca="false">IF(SUM($BB196)&lt;=0,"",IF(SUM($BA196)&lt;=0,"ENTER VALID YIELD!",ROUND($BB196/$BA196,0)-$BB196))</f>
        <v/>
      </c>
      <c r="BD196" s="118"/>
      <c r="BE196" s="75" t="n">
        <f aca="false">IF(OR(SUM($AH196)&lt;=0,SUM($G196)&lt;=0),"",ROUND($G196*$AH196,0))</f>
        <v>2</v>
      </c>
      <c r="BF196" s="75" t="str">
        <f aca="false">IF(SUM($BE196)&lt;=0,"",IF(SUM($BD196)&lt;=0,"ENTER VALID YIELD!",ROUND($BE196/$BD196,0)-$BE196))</f>
        <v>ENTER VALID YIELD!</v>
      </c>
      <c r="BG196" s="118"/>
      <c r="BH196" s="75" t="n">
        <f aca="false">IF(OR(SUM($AI196)&lt;=0,SUM($G196)&lt;=0),"",ROUND($G196*$AI196,0))</f>
        <v>42</v>
      </c>
      <c r="BI196" s="75" t="str">
        <f aca="false">IF(SUM($BH196)&lt;=0,"",IF(SUM($BG196)&lt;=0,"ENTER VALID YIELD!",ROUND($BH196/$BG196,0)-$BH196))</f>
        <v>ENTER VALID YIELD!</v>
      </c>
      <c r="BJ196" s="118"/>
      <c r="BK196" s="75" t="n">
        <f aca="false">IF(OR(SUM($AJ196)&lt;=0,SUM($G196)&lt;=0),"",ROUND($G196*$AJ196,0))</f>
        <v>64</v>
      </c>
      <c r="BL196" s="75" t="str">
        <f aca="false">IF(SUM($BK196)&lt;=0,"",IF(SUM($BJ196)&lt;=0,"ENTER VALID YIELD!",ROUND($BK196/$BJ196,0)-$BK196))</f>
        <v>ENTER VALID YIELD!</v>
      </c>
      <c r="BM196" s="73" t="n">
        <f aca="false">IF(SUM($G196)&lt;=0,"",$G196)</f>
        <v>2</v>
      </c>
      <c r="BN196" s="73" t="n">
        <f aca="false">IF(SUM($G196)&lt;=0,"",SUM($I196:$L196,$Q196,$S196,$AM196,$AP196,$AS196,$AV196,$AY196,$BB196,$BE196,$BH196,$BK196))</f>
        <v>-38480</v>
      </c>
      <c r="BO196" s="73" t="n">
        <f aca="false">IF(AND(SUM($BN196)&lt;=0,SUM($BM196)&lt;=0),"",SUM($BN196)-SUM($BM196))</f>
        <v>-38482</v>
      </c>
      <c r="BP196" s="73" t="str">
        <f aca="false">_xlfn.IFNA(INDEX(PMTCT!$AF:$AF,MATCH($E196,PMTCT!$E:$E,0)),"")</f>
        <v/>
      </c>
      <c r="BQ196" s="73" t="str">
        <f aca="false">_xlfn.IFNA(INDEX(PMTCT!$AV:$AV,MATCH($E196,PMTCT!$E:$E,0)),"")</f>
        <v/>
      </c>
      <c r="BR196" s="73" t="n">
        <f aca="false">_xlfn.IFNA(INDEX(TB!$R:$R,MATCH($E196,TB!$E:$E,0)),"")</f>
        <v>36765</v>
      </c>
      <c r="BS196" s="73" t="str">
        <f aca="false">_xlfn.IFNA(INDEX(VMMC!$AD:$AD,MATCH($E196,VMMC!$E:$E,0)),"")</f>
        <v/>
      </c>
      <c r="BT196" s="73" t="n">
        <f aca="false">IF(SUM($R196,$T196,$AN196,$AQ196,$AT196,$AW196,$AZ196,$BC196,$BF196,$BI196,$BL196,$BP196:$BS196)=0,"",SUM($R196,$T196,$AN196,$AQ196,$AT196,$AW196,$AZ196,$BC196,$BF196,$BI196,$BL196,$BP196:$BS196))</f>
        <v>36765</v>
      </c>
      <c r="BU196" s="73" t="n">
        <f aca="false">IF(OR(SUM($BT196)=0,SUM($BN196)=0),"",SUM($BT196,$BN196))</f>
        <v>-1715</v>
      </c>
      <c r="BV196" s="118" t="n">
        <f aca="false">IF(SUM($BU196)=0,"",SUM($BN196)/$BU196)</f>
        <v>22.4373177842566</v>
      </c>
      <c r="BW196" s="73"/>
      <c r="BX196" s="118" t="n">
        <f aca="false">IF(OR($C196="01-04",$C196="05-09"),"",0%)</f>
        <v>0</v>
      </c>
      <c r="BY196" s="75" t="str">
        <f aca="false">IF(OR($C196="01-04",$C196="05-09",SUM($BW196)=0),"",ROUND($BW196*(1+$BX196),0))</f>
        <v/>
      </c>
    </row>
    <row r="197" customFormat="false" ht="15" hidden="false" customHeight="false" outlineLevel="0" collapsed="false">
      <c r="A197" s="0" t="s">
        <v>149</v>
      </c>
      <c r="B197" s="0" t="s">
        <v>111</v>
      </c>
      <c r="C197" s="0" t="s">
        <v>63</v>
      </c>
      <c r="D197" s="0" t="s">
        <v>56</v>
      </c>
      <c r="E197" s="0" t="str">
        <f aca="false">B197&amp;"|"&amp;C197&amp;"|"&amp;D197</f>
        <v>Qacha's Nek [#SNU] [zTaMbxvQtJ6]|15-19|Female</v>
      </c>
      <c r="F197" s="118" t="n">
        <f aca="false">_xlfn.IFNA(INDEX(Cascade!$Y:$Y,MATCH($E197,Cascade!$E:$E,0)),"")</f>
        <v>0.72093023255814</v>
      </c>
      <c r="G197" s="73" t="n">
        <f aca="false">_xlfn.IFNA(INDEX(Cascade!$BD:$BD,MATCH($E197,Cascade!$E:$E,0)),"")</f>
        <v>9</v>
      </c>
      <c r="H197" s="73" t="n">
        <f aca="false">_xlfn.IFNA(INDEX(Cascade!$BE:$BE,MATCH($E197,Cascade!$E:$E,0)),"")</f>
        <v>5</v>
      </c>
      <c r="I197" s="73" t="n">
        <f aca="false">_xlfn.IFNA(INDEX(Cascade!$BF:$BF,MATCH($E197,Cascade!$E:$E,0)),"")</f>
        <v>-14040</v>
      </c>
      <c r="J197" s="73" t="str">
        <f aca="false">_xlfn.IFNA(INDEX(Cascade!$BG:$BG,MATCH($E197,Cascade!$E:$E,0)),"")</f>
        <v/>
      </c>
      <c r="K197" s="73" t="n">
        <f aca="false">_xlfn.IFNA(INDEX(Cascade!$BH:$BH,MATCH($E197,Cascade!$E:$E,0)),"")</f>
        <v>-0</v>
      </c>
      <c r="L197" s="73" t="str">
        <f aca="false">_xlfn.IFNA(INDEX(Cascade!$BI:$BI,MATCH($E197,Cascade!$E:$E,0)),"")</f>
        <v/>
      </c>
      <c r="M197" s="73" t="n">
        <f aca="false">_xlfn.IFNA(INDEX(Cascade!$BK:$BK,MATCH($E197,Cascade!$E:$E,0)),"")</f>
        <v>14044</v>
      </c>
      <c r="N197" s="118" t="n">
        <v>12</v>
      </c>
      <c r="O197" s="118"/>
      <c r="P197" s="118" t="n">
        <v>13</v>
      </c>
      <c r="Q197" s="75" t="str">
        <f aca="false">IF(OR(SUM($H197)=0,SUM($N197)=0,SUM($O197)=0),"",ROUND($H197*$N197,0))</f>
        <v/>
      </c>
      <c r="R197" s="75" t="str">
        <f aca="false">IF(OR(SUM($Q197)=0,SUM($O197)=0),"",ROUND(SUM($Q197)/SUM($O197),0)-SUM($Q197))</f>
        <v/>
      </c>
      <c r="S197" s="75" t="n">
        <f aca="false">IF(SUM($H197)=0,"",SUM($H197)-SUM($Q197))</f>
        <v>5</v>
      </c>
      <c r="T197" s="75" t="str">
        <f aca="false">IF(OR(SUM($S197)=0,$N197&gt;1,SUM($P197)&lt;=0),"",ROUND($S197/$P197,0)-$S197)</f>
        <v/>
      </c>
      <c r="U197" s="118" t="n">
        <f aca="false">IF(SUM($G197)&lt;=0,"",SUM($Q197,$S197)/$G197)</f>
        <v>0.555555555555556</v>
      </c>
      <c r="V197" s="118" t="str">
        <f aca="false">IF(OR(SUM($Q197)=0,SUM($G197)=0),"",SUM($Q197)/SUM($G197))</f>
        <v/>
      </c>
      <c r="W197" s="118" t="n">
        <f aca="false">IF(OR(SUM($S197)=0,SUM($G197)=0),"",SUM($S197)/SUM($G197))</f>
        <v>0.555555555555556</v>
      </c>
      <c r="X197" s="118" t="n">
        <f aca="false">IF(OR(SUM($G197)=0,SUM($I197)=0),"",SUM($I197)/SUM($G197))</f>
        <v>-1560</v>
      </c>
      <c r="Y197" s="118" t="str">
        <f aca="false">IF(OR(SUM($G197)=0,SUM($J197)=0),"",SUM($J197)/SUM($G197))</f>
        <v/>
      </c>
      <c r="Z197" s="118" t="str">
        <f aca="false">IF(OR(SUM($G197)=0,SUM($K197)=0),"",SUM($K197)/SUM($G197))</f>
        <v/>
      </c>
      <c r="AA197" s="118" t="str">
        <f aca="false">IF(OR(SUM($G197)=0,SUM($L197)=0),"",SUM($L197)/SUM($G197))</f>
        <v/>
      </c>
      <c r="AB197" s="118" t="n">
        <v>0</v>
      </c>
      <c r="AC197" s="118"/>
      <c r="AD197" s="118"/>
      <c r="AE197" s="118" t="n">
        <v>17</v>
      </c>
      <c r="AF197" s="118" t="n">
        <v>28</v>
      </c>
      <c r="AG197" s="118" t="n">
        <v>5</v>
      </c>
      <c r="AH197" s="118" t="n">
        <v>5</v>
      </c>
      <c r="AI197" s="118" t="n">
        <v>2</v>
      </c>
      <c r="AJ197" s="118" t="n">
        <v>27</v>
      </c>
      <c r="AK197" s="118" t="n">
        <f aca="false">IF(SUM($G197)&lt;=0,"",SUM($V197:$AJ197))</f>
        <v>-1475.44444444444</v>
      </c>
      <c r="AL197" s="118"/>
      <c r="AM197" s="75" t="str">
        <f aca="false">IF(OR(SUM($AB197)&lt;=0,SUM($G197)&lt;=0),"",ROUND($G197*$AB197,0))</f>
        <v/>
      </c>
      <c r="AN197" s="75" t="str">
        <f aca="false">IF(SUM($AM197)&lt;=0,"",IF(SUM($AL197)&lt;=0,"ENTER VALID YIELD!",ROUND($AM197/$AL197,0)-$AM197))</f>
        <v/>
      </c>
      <c r="AO197" s="118"/>
      <c r="AP197" s="75" t="str">
        <f aca="false">IF(OR(SUM($AC197)&lt;=0,SUM($G197)&lt;=0),"",ROUND($G197*$AC197,0))</f>
        <v/>
      </c>
      <c r="AQ197" s="75" t="str">
        <f aca="false">IF(SUM($AP197)&lt;=0,"",IF(SUM($AO197)&lt;=0,"ENTER VALID YIELD!",ROUND($AP197/$AO197,0)-$AP197))</f>
        <v/>
      </c>
      <c r="AR197" s="118"/>
      <c r="AS197" s="75" t="str">
        <f aca="false">IF(OR(SUM($AD197)&lt;=0,SUM($G197)&lt;=0),"",ROUND($G197*$AD197,0))</f>
        <v/>
      </c>
      <c r="AT197" s="75" t="str">
        <f aca="false">IF(SUM($AS197)&lt;=0,"",IF(SUM($AR197)&lt;=0,"ENTER VALID YIELD!",ROUND($AS197/$AR197,0)-$AS197))</f>
        <v/>
      </c>
      <c r="AU197" s="118"/>
      <c r="AV197" s="75" t="n">
        <f aca="false">IF(OR(SUM($AE197)&lt;=0,SUM($G197)&lt;=0),"",ROUND($G197*$AE197,0))</f>
        <v>153</v>
      </c>
      <c r="AW197" s="75" t="str">
        <f aca="false">IF(SUM($AV197)&lt;=0,"",IF(SUM($AU197)&lt;=0,"ENTER VALID YIELD!",ROUND($AV197/$AU197,0)-$AV197))</f>
        <v>ENTER VALID YIELD!</v>
      </c>
      <c r="AX197" s="118"/>
      <c r="AY197" s="75" t="n">
        <f aca="false">IF(OR(SUM($AF197)&lt;=0,SUM($G197)&lt;=0),"",ROUND($G197*$AF197,0))</f>
        <v>252</v>
      </c>
      <c r="AZ197" s="75" t="str">
        <f aca="false">IF(SUM($AY197)&lt;=0,"",IF(SUM($AX197)&lt;=0,"ENTER VALID YIELD!",ROUND($AY197/$AX197,0)-$AY197))</f>
        <v>ENTER VALID YIELD!</v>
      </c>
      <c r="BA197" s="118" t="n">
        <v>43</v>
      </c>
      <c r="BB197" s="75" t="n">
        <f aca="false">IF(OR(SUM($AG197)&lt;=0,SUM($G197)&lt;=0),"",ROUND($G197*$AG197,0))</f>
        <v>45</v>
      </c>
      <c r="BC197" s="75" t="n">
        <f aca="false">IF(SUM($BB197)&lt;=0,"",IF(SUM($BA197)&lt;=0,"ENTER VALID YIELD!",ROUND($BB197/$BA197,0)-$BB197))</f>
        <v>-44</v>
      </c>
      <c r="BD197" s="118"/>
      <c r="BE197" s="75" t="n">
        <f aca="false">IF(OR(SUM($AH197)&lt;=0,SUM($G197)&lt;=0),"",ROUND($G197*$AH197,0))</f>
        <v>45</v>
      </c>
      <c r="BF197" s="75" t="str">
        <f aca="false">IF(SUM($BE197)&lt;=0,"",IF(SUM($BD197)&lt;=0,"ENTER VALID YIELD!",ROUND($BE197/$BD197,0)-$BE197))</f>
        <v>ENTER VALID YIELD!</v>
      </c>
      <c r="BG197" s="118"/>
      <c r="BH197" s="75" t="n">
        <f aca="false">IF(OR(SUM($AI197)&lt;=0,SUM($G197)&lt;=0),"",ROUND($G197*$AI197,0))</f>
        <v>18</v>
      </c>
      <c r="BI197" s="75" t="str">
        <f aca="false">IF(SUM($BH197)&lt;=0,"",IF(SUM($BG197)&lt;=0,"ENTER VALID YIELD!",ROUND($BH197/$BG197,0)-$BH197))</f>
        <v>ENTER VALID YIELD!</v>
      </c>
      <c r="BJ197" s="118"/>
      <c r="BK197" s="75" t="n">
        <f aca="false">IF(OR(SUM($AJ197)&lt;=0,SUM($G197)&lt;=0),"",ROUND($G197*$AJ197,0))</f>
        <v>243</v>
      </c>
      <c r="BL197" s="75" t="str">
        <f aca="false">IF(SUM($BK197)&lt;=0,"",IF(SUM($BJ197)&lt;=0,"ENTER VALID YIELD!",ROUND($BK197/$BJ197,0)-$BK197))</f>
        <v>ENTER VALID YIELD!</v>
      </c>
      <c r="BM197" s="73" t="n">
        <f aca="false">IF(SUM($G197)&lt;=0,"",$G197)</f>
        <v>9</v>
      </c>
      <c r="BN197" s="73" t="n">
        <f aca="false">IF(SUM($G197)&lt;=0,"",SUM($I197:$L197,$Q197,$S197,$AM197,$AP197,$AS197,$AV197,$AY197,$BB197,$BE197,$BH197,$BK197))</f>
        <v>-13279</v>
      </c>
      <c r="BO197" s="73" t="n">
        <f aca="false">IF(AND(SUM($BN197)&lt;=0,SUM($BM197)&lt;=0),"",SUM($BN197)-SUM($BM197))</f>
        <v>-13288</v>
      </c>
      <c r="BP197" s="73" t="n">
        <f aca="false">_xlfn.IFNA(INDEX(PMTCT!$AF:$AF,MATCH($E197,PMTCT!$E:$E,0)),"")</f>
        <v>13680</v>
      </c>
      <c r="BQ197" s="73" t="str">
        <f aca="false">_xlfn.IFNA(INDEX(PMTCT!$AV:$AV,MATCH($E197,PMTCT!$E:$E,0)),"")</f>
        <v/>
      </c>
      <c r="BR197" s="73" t="n">
        <f aca="false">_xlfn.IFNA(INDEX(TB!$R:$R,MATCH($E197,TB!$E:$E,0)),"")</f>
        <v>-144</v>
      </c>
      <c r="BS197" s="73" t="str">
        <f aca="false">_xlfn.IFNA(INDEX(VMMC!$AD:$AD,MATCH($E197,VMMC!$E:$E,0)),"")</f>
        <v/>
      </c>
      <c r="BT197" s="73" t="n">
        <f aca="false">IF(SUM($R197,$T197,$AN197,$AQ197,$AT197,$AW197,$AZ197,$BC197,$BF197,$BI197,$BL197,$BP197:$BS197)=0,"",SUM($R197,$T197,$AN197,$AQ197,$AT197,$AW197,$AZ197,$BC197,$BF197,$BI197,$BL197,$BP197:$BS197))</f>
        <v>13492</v>
      </c>
      <c r="BU197" s="73" t="n">
        <f aca="false">IF(OR(SUM($BT197)=0,SUM($BN197)=0),"",SUM($BT197,$BN197))</f>
        <v>213</v>
      </c>
      <c r="BV197" s="118" t="n">
        <f aca="false">IF(SUM($BU197)=0,"",SUM($BN197)/$BU197)</f>
        <v>-62.3427230046948</v>
      </c>
      <c r="BW197" s="73"/>
      <c r="BX197" s="118" t="n">
        <f aca="false">IF(OR($C197="01-04",$C197="05-09"),"",0%)</f>
        <v>0</v>
      </c>
      <c r="BY197" s="75" t="str">
        <f aca="false">IF(OR($C197="01-04",$C197="05-09",SUM($BW197)=0),"",ROUND($BW197*(1+$BX197),0))</f>
        <v/>
      </c>
    </row>
    <row r="198" customFormat="false" ht="15" hidden="false" customHeight="false" outlineLevel="0" collapsed="false">
      <c r="A198" s="0" t="s">
        <v>149</v>
      </c>
      <c r="B198" s="0" t="s">
        <v>111</v>
      </c>
      <c r="C198" s="0" t="s">
        <v>63</v>
      </c>
      <c r="D198" s="0" t="s">
        <v>58</v>
      </c>
      <c r="E198" s="0" t="str">
        <f aca="false">B198&amp;"|"&amp;C198&amp;"|"&amp;D198</f>
        <v>Qacha's Nek [#SNU] [zTaMbxvQtJ6]|15-19|Male</v>
      </c>
      <c r="F198" s="118" t="n">
        <f aca="false">_xlfn.IFNA(INDEX(Cascade!$Y:$Y,MATCH($E198,Cascade!$E:$E,0)),"")</f>
        <v>0.897196261682243</v>
      </c>
      <c r="G198" s="73" t="n">
        <f aca="false">_xlfn.IFNA(INDEX(Cascade!$BD:$BD,MATCH($E198,Cascade!$E:$E,0)),"")</f>
        <v>1</v>
      </c>
      <c r="H198" s="73" t="n">
        <f aca="false">_xlfn.IFNA(INDEX(Cascade!$BE:$BE,MATCH($E198,Cascade!$E:$E,0)),"")</f>
        <v>1</v>
      </c>
      <c r="I198" s="73" t="str">
        <f aca="false">_xlfn.IFNA(INDEX(Cascade!$BF:$BF,MATCH($E198,Cascade!$E:$E,0)),"")</f>
        <v/>
      </c>
      <c r="J198" s="73" t="str">
        <f aca="false">_xlfn.IFNA(INDEX(Cascade!$BG:$BG,MATCH($E198,Cascade!$E:$E,0)),"")</f>
        <v/>
      </c>
      <c r="K198" s="73" t="n">
        <f aca="false">_xlfn.IFNA(INDEX(Cascade!$BH:$BH,MATCH($E198,Cascade!$E:$E,0)),"")</f>
        <v>0</v>
      </c>
      <c r="L198" s="73" t="str">
        <f aca="false">_xlfn.IFNA(INDEX(Cascade!$BI:$BI,MATCH($E198,Cascade!$E:$E,0)),"")</f>
        <v/>
      </c>
      <c r="M198" s="73" t="n">
        <f aca="false">_xlfn.IFNA(INDEX(Cascade!$BK:$BK,MATCH($E198,Cascade!$E:$E,0)),"")</f>
        <v>0</v>
      </c>
      <c r="N198" s="118"/>
      <c r="O198" s="118"/>
      <c r="P198" s="118"/>
      <c r="Q198" s="75" t="str">
        <f aca="false">IF(OR(SUM($H198)=0,SUM($N198)=0,SUM($O198)=0),"",ROUND($H198*$N198,0))</f>
        <v/>
      </c>
      <c r="R198" s="75" t="str">
        <f aca="false">IF(OR(SUM($Q198)=0,SUM($O198)=0),"",ROUND(SUM($Q198)/SUM($O198),0)-SUM($Q198))</f>
        <v/>
      </c>
      <c r="S198" s="75" t="n">
        <f aca="false">IF(SUM($H198)=0,"",SUM($H198)-SUM($Q198))</f>
        <v>1</v>
      </c>
      <c r="T198" s="75" t="str">
        <f aca="false">IF(OR(SUM($S198)=0,$N198&gt;1,SUM($P198)&lt;=0),"",ROUND($S198/$P198,0)-$S198)</f>
        <v/>
      </c>
      <c r="U198" s="118" t="n">
        <f aca="false">IF(SUM($G198)&lt;=0,"",SUM($Q198,$S198)/$G198)</f>
        <v>1</v>
      </c>
      <c r="V198" s="118" t="str">
        <f aca="false">IF(OR(SUM($Q198)=0,SUM($G198)=0),"",SUM($Q198)/SUM($G198))</f>
        <v/>
      </c>
      <c r="W198" s="118" t="n">
        <f aca="false">IF(OR(SUM($S198)=0,SUM($G198)=0),"",SUM($S198)/SUM($G198))</f>
        <v>1</v>
      </c>
      <c r="X198" s="118" t="str">
        <f aca="false">IF(OR(SUM($G198)=0,SUM($I198)=0),"",SUM($I198)/SUM($G198))</f>
        <v/>
      </c>
      <c r="Y198" s="118" t="str">
        <f aca="false">IF(OR(SUM($G198)=0,SUM($J198)=0),"",SUM($J198)/SUM($G198))</f>
        <v/>
      </c>
      <c r="Z198" s="118" t="str">
        <f aca="false">IF(OR(SUM($G198)=0,SUM($K198)=0),"",SUM($K198)/SUM($G198))</f>
        <v/>
      </c>
      <c r="AA198" s="118" t="str">
        <f aca="false">IF(OR(SUM($G198)=0,SUM($L198)=0),"",SUM($L198)/SUM($G198))</f>
        <v/>
      </c>
      <c r="AB198" s="118" t="n">
        <v>24</v>
      </c>
      <c r="AC198" s="118"/>
      <c r="AD198" s="118"/>
      <c r="AE198" s="118" t="n">
        <v>0</v>
      </c>
      <c r="AF198" s="118" t="n">
        <v>27</v>
      </c>
      <c r="AG198" s="118" t="n">
        <v>44</v>
      </c>
      <c r="AH198" s="118" t="n">
        <v>47</v>
      </c>
      <c r="AI198" s="118" t="n">
        <v>18</v>
      </c>
      <c r="AJ198" s="118" t="n">
        <v>38</v>
      </c>
      <c r="AK198" s="118" t="n">
        <f aca="false">IF(SUM($G198)&lt;=0,"",SUM($V198:$AJ198))</f>
        <v>199</v>
      </c>
      <c r="AL198" s="118"/>
      <c r="AM198" s="75" t="n">
        <f aca="false">IF(OR(SUM($AB198)&lt;=0,SUM($G198)&lt;=0),"",ROUND($G198*$AB198,0))</f>
        <v>24</v>
      </c>
      <c r="AN198" s="75" t="str">
        <f aca="false">IF(SUM($AM198)&lt;=0,"",IF(SUM($AL198)&lt;=0,"ENTER VALID YIELD!",ROUND($AM198/$AL198,0)-$AM198))</f>
        <v>ENTER VALID YIELD!</v>
      </c>
      <c r="AO198" s="118"/>
      <c r="AP198" s="75" t="str">
        <f aca="false">IF(OR(SUM($AC198)&lt;=0,SUM($G198)&lt;=0),"",ROUND($G198*$AC198,0))</f>
        <v/>
      </c>
      <c r="AQ198" s="75" t="str">
        <f aca="false">IF(SUM($AP198)&lt;=0,"",IF(SUM($AO198)&lt;=0,"ENTER VALID YIELD!",ROUND($AP198/$AO198,0)-$AP198))</f>
        <v/>
      </c>
      <c r="AR198" s="118"/>
      <c r="AS198" s="75" t="str">
        <f aca="false">IF(OR(SUM($AD198)&lt;=0,SUM($G198)&lt;=0),"",ROUND($G198*$AD198,0))</f>
        <v/>
      </c>
      <c r="AT198" s="75" t="str">
        <f aca="false">IF(SUM($AS198)&lt;=0,"",IF(SUM($AR198)&lt;=0,"ENTER VALID YIELD!",ROUND($AS198/$AR198,0)-$AS198))</f>
        <v/>
      </c>
      <c r="AU198" s="118"/>
      <c r="AV198" s="75" t="str">
        <f aca="false">IF(OR(SUM($AE198)&lt;=0,SUM($G198)&lt;=0),"",ROUND($G198*$AE198,0))</f>
        <v/>
      </c>
      <c r="AW198" s="75" t="str">
        <f aca="false">IF(SUM($AV198)&lt;=0,"",IF(SUM($AU198)&lt;=0,"ENTER VALID YIELD!",ROUND($AV198/$AU198,0)-$AV198))</f>
        <v/>
      </c>
      <c r="AX198" s="118"/>
      <c r="AY198" s="75" t="n">
        <f aca="false">IF(OR(SUM($AF198)&lt;=0,SUM($G198)&lt;=0),"",ROUND($G198*$AF198,0))</f>
        <v>27</v>
      </c>
      <c r="AZ198" s="75" t="str">
        <f aca="false">IF(SUM($AY198)&lt;=0,"",IF(SUM($AX198)&lt;=0,"ENTER VALID YIELD!",ROUND($AY198/$AX198,0)-$AY198))</f>
        <v>ENTER VALID YIELD!</v>
      </c>
      <c r="BA198" s="118" t="n">
        <v>21</v>
      </c>
      <c r="BB198" s="75" t="n">
        <f aca="false">IF(OR(SUM($AG198)&lt;=0,SUM($G198)&lt;=0),"",ROUND($G198*$AG198,0))</f>
        <v>44</v>
      </c>
      <c r="BC198" s="75" t="n">
        <f aca="false">IF(SUM($BB198)&lt;=0,"",IF(SUM($BA198)&lt;=0,"ENTER VALID YIELD!",ROUND($BB198/$BA198,0)-$BB198))</f>
        <v>-42</v>
      </c>
      <c r="BD198" s="118"/>
      <c r="BE198" s="75" t="n">
        <f aca="false">IF(OR(SUM($AH198)&lt;=0,SUM($G198)&lt;=0),"",ROUND($G198*$AH198,0))</f>
        <v>47</v>
      </c>
      <c r="BF198" s="75" t="str">
        <f aca="false">IF(SUM($BE198)&lt;=0,"",IF(SUM($BD198)&lt;=0,"ENTER VALID YIELD!",ROUND($BE198/$BD198,0)-$BE198))</f>
        <v>ENTER VALID YIELD!</v>
      </c>
      <c r="BG198" s="118"/>
      <c r="BH198" s="75" t="n">
        <f aca="false">IF(OR(SUM($AI198)&lt;=0,SUM($G198)&lt;=0),"",ROUND($G198*$AI198,0))</f>
        <v>18</v>
      </c>
      <c r="BI198" s="75" t="str">
        <f aca="false">IF(SUM($BH198)&lt;=0,"",IF(SUM($BG198)&lt;=0,"ENTER VALID YIELD!",ROUND($BH198/$BG198,0)-$BH198))</f>
        <v>ENTER VALID YIELD!</v>
      </c>
      <c r="BJ198" s="118"/>
      <c r="BK198" s="75" t="n">
        <f aca="false">IF(OR(SUM($AJ198)&lt;=0,SUM($G198)&lt;=0),"",ROUND($G198*$AJ198,0))</f>
        <v>38</v>
      </c>
      <c r="BL198" s="75" t="str">
        <f aca="false">IF(SUM($BK198)&lt;=0,"",IF(SUM($BJ198)&lt;=0,"ENTER VALID YIELD!",ROUND($BK198/$BJ198,0)-$BK198))</f>
        <v>ENTER VALID YIELD!</v>
      </c>
      <c r="BM198" s="73" t="n">
        <f aca="false">IF(SUM($G198)&lt;=0,"",$G198)</f>
        <v>1</v>
      </c>
      <c r="BN198" s="73" t="n">
        <f aca="false">IF(SUM($G198)&lt;=0,"",SUM($I198:$L198,$Q198,$S198,$AM198,$AP198,$AS198,$AV198,$AY198,$BB198,$BE198,$BH198,$BK198))</f>
        <v>199</v>
      </c>
      <c r="BO198" s="73" t="n">
        <f aca="false">IF(AND(SUM($BN198)&lt;=0,SUM($BM198)&lt;=0),"",SUM($BN198)-SUM($BM198))</f>
        <v>198</v>
      </c>
      <c r="BP198" s="73" t="str">
        <f aca="false">_xlfn.IFNA(INDEX(PMTCT!$AF:$AF,MATCH($E198,PMTCT!$E:$E,0)),"")</f>
        <v/>
      </c>
      <c r="BQ198" s="73" t="str">
        <f aca="false">_xlfn.IFNA(INDEX(PMTCT!$AV:$AV,MATCH($E198,PMTCT!$E:$E,0)),"")</f>
        <v/>
      </c>
      <c r="BR198" s="73" t="n">
        <f aca="false">_xlfn.IFNA(INDEX(TB!$R:$R,MATCH($E198,TB!$E:$E,0)),"")</f>
        <v>20</v>
      </c>
      <c r="BS198" s="73" t="str">
        <f aca="false">_xlfn.IFNA(INDEX(VMMC!$AD:$AD,MATCH($E198,VMMC!$E:$E,0)),"")</f>
        <v/>
      </c>
      <c r="BT198" s="73" t="n">
        <f aca="false">IF(SUM($R198,$T198,$AN198,$AQ198,$AT198,$AW198,$AZ198,$BC198,$BF198,$BI198,$BL198,$BP198:$BS198)=0,"",SUM($R198,$T198,$AN198,$AQ198,$AT198,$AW198,$AZ198,$BC198,$BF198,$BI198,$BL198,$BP198:$BS198))</f>
        <v>-22</v>
      </c>
      <c r="BU198" s="73" t="n">
        <f aca="false">IF(OR(SUM($BT198)=0,SUM($BN198)=0),"",SUM($BT198,$BN198))</f>
        <v>177</v>
      </c>
      <c r="BV198" s="118" t="n">
        <f aca="false">IF(SUM($BU198)=0,"",SUM($BN198)/$BU198)</f>
        <v>1.12429378531073</v>
      </c>
      <c r="BW198" s="73"/>
      <c r="BX198" s="118" t="n">
        <f aca="false">IF(OR($C198="01-04",$C198="05-09"),"",0%)</f>
        <v>0</v>
      </c>
      <c r="BY198" s="75" t="str">
        <f aca="false">IF(OR($C198="01-04",$C198="05-09",SUM($BW198)=0),"",ROUND($BW198*(1+$BX198),0))</f>
        <v/>
      </c>
    </row>
    <row r="199" customFormat="false" ht="15" hidden="false" customHeight="false" outlineLevel="0" collapsed="false">
      <c r="A199" s="0" t="s">
        <v>149</v>
      </c>
      <c r="B199" s="0" t="s">
        <v>111</v>
      </c>
      <c r="C199" s="0" t="s">
        <v>66</v>
      </c>
      <c r="D199" s="0" t="s">
        <v>56</v>
      </c>
      <c r="E199" s="0" t="str">
        <f aca="false">B199&amp;"|"&amp;C199&amp;"|"&amp;D199</f>
        <v>Qacha's Nek [#SNU] [zTaMbxvQtJ6]|20-24|Female</v>
      </c>
      <c r="F199" s="118" t="n">
        <f aca="false">_xlfn.IFNA(INDEX(Cascade!$Y:$Y,MATCH($E199,Cascade!$E:$E,0)),"")</f>
        <v>0.58628841607565</v>
      </c>
      <c r="G199" s="73" t="n">
        <f aca="false">_xlfn.IFNA(INDEX(Cascade!$BD:$BD,MATCH($E199,Cascade!$E:$E,0)),"")</f>
        <v>5</v>
      </c>
      <c r="H199" s="73" t="n">
        <f aca="false">_xlfn.IFNA(INDEX(Cascade!$BE:$BE,MATCH($E199,Cascade!$E:$E,0)),"")</f>
        <v>2</v>
      </c>
      <c r="I199" s="73" t="n">
        <f aca="false">_xlfn.IFNA(INDEX(Cascade!$BF:$BF,MATCH($E199,Cascade!$E:$E,0)),"")</f>
        <v>-5805</v>
      </c>
      <c r="J199" s="73" t="str">
        <f aca="false">_xlfn.IFNA(INDEX(Cascade!$BG:$BG,MATCH($E199,Cascade!$E:$E,0)),"")</f>
        <v/>
      </c>
      <c r="K199" s="73" t="n">
        <f aca="false">_xlfn.IFNA(INDEX(Cascade!$BH:$BH,MATCH($E199,Cascade!$E:$E,0)),"")</f>
        <v>-174</v>
      </c>
      <c r="L199" s="73" t="str">
        <f aca="false">_xlfn.IFNA(INDEX(Cascade!$BI:$BI,MATCH($E199,Cascade!$E:$E,0)),"")</f>
        <v/>
      </c>
      <c r="M199" s="73" t="n">
        <f aca="false">_xlfn.IFNA(INDEX(Cascade!$BK:$BK,MATCH($E199,Cascade!$E:$E,0)),"")</f>
        <v>5982</v>
      </c>
      <c r="N199" s="118" t="n">
        <v>16</v>
      </c>
      <c r="O199" s="118"/>
      <c r="P199" s="118" t="n">
        <v>42</v>
      </c>
      <c r="Q199" s="75" t="str">
        <f aca="false">IF(OR(SUM($H199)=0,SUM($N199)=0,SUM($O199)=0),"",ROUND($H199*$N199,0))</f>
        <v/>
      </c>
      <c r="R199" s="75" t="str">
        <f aca="false">IF(OR(SUM($Q199)=0,SUM($O199)=0),"",ROUND(SUM($Q199)/SUM($O199),0)-SUM($Q199))</f>
        <v/>
      </c>
      <c r="S199" s="75" t="n">
        <f aca="false">IF(SUM($H199)=0,"",SUM($H199)-SUM($Q199))</f>
        <v>2</v>
      </c>
      <c r="T199" s="75" t="str">
        <f aca="false">IF(OR(SUM($S199)=0,$N199&gt;1,SUM($P199)&lt;=0),"",ROUND($S199/$P199,0)-$S199)</f>
        <v/>
      </c>
      <c r="U199" s="118" t="n">
        <f aca="false">IF(SUM($G199)&lt;=0,"",SUM($Q199,$S199)/$G199)</f>
        <v>0.4</v>
      </c>
      <c r="V199" s="118" t="str">
        <f aca="false">IF(OR(SUM($Q199)=0,SUM($G199)=0),"",SUM($Q199)/SUM($G199))</f>
        <v/>
      </c>
      <c r="W199" s="118" t="n">
        <f aca="false">IF(OR(SUM($S199)=0,SUM($G199)=0),"",SUM($S199)/SUM($G199))</f>
        <v>0.4</v>
      </c>
      <c r="X199" s="118" t="n">
        <f aca="false">IF(OR(SUM($G199)=0,SUM($I199)=0),"",SUM($I199)/SUM($G199))</f>
        <v>-1161</v>
      </c>
      <c r="Y199" s="118" t="str">
        <f aca="false">IF(OR(SUM($G199)=0,SUM($J199)=0),"",SUM($J199)/SUM($G199))</f>
        <v/>
      </c>
      <c r="Z199" s="118" t="n">
        <f aca="false">IF(OR(SUM($G199)=0,SUM($K199)=0),"",SUM($K199)/SUM($G199))</f>
        <v>-34.8</v>
      </c>
      <c r="AA199" s="118" t="str">
        <f aca="false">IF(OR(SUM($G199)=0,SUM($L199)=0),"",SUM($L199)/SUM($G199))</f>
        <v/>
      </c>
      <c r="AB199" s="118" t="n">
        <v>24</v>
      </c>
      <c r="AC199" s="118"/>
      <c r="AD199" s="118"/>
      <c r="AE199" s="118" t="n">
        <v>18</v>
      </c>
      <c r="AF199" s="118" t="n">
        <v>4</v>
      </c>
      <c r="AG199" s="118" t="n">
        <v>9</v>
      </c>
      <c r="AH199" s="118" t="n">
        <v>49</v>
      </c>
      <c r="AI199" s="118" t="n">
        <v>40</v>
      </c>
      <c r="AJ199" s="118" t="n">
        <v>48</v>
      </c>
      <c r="AK199" s="118" t="n">
        <f aca="false">IF(SUM($G199)&lt;=0,"",SUM($V199:$AJ199))</f>
        <v>-1003.4</v>
      </c>
      <c r="AL199" s="118" t="n">
        <v>16</v>
      </c>
      <c r="AM199" s="75" t="n">
        <f aca="false">IF(OR(SUM($AB199)&lt;=0,SUM($G199)&lt;=0),"",ROUND($G199*$AB199,0))</f>
        <v>120</v>
      </c>
      <c r="AN199" s="75" t="n">
        <f aca="false">IF(SUM($AM199)&lt;=0,"",IF(SUM($AL199)&lt;=0,"ENTER VALID YIELD!",ROUND($AM199/$AL199,0)-$AM199))</f>
        <v>-112</v>
      </c>
      <c r="AO199" s="118"/>
      <c r="AP199" s="75" t="str">
        <f aca="false">IF(OR(SUM($AC199)&lt;=0,SUM($G199)&lt;=0),"",ROUND($G199*$AC199,0))</f>
        <v/>
      </c>
      <c r="AQ199" s="75" t="str">
        <f aca="false">IF(SUM($AP199)&lt;=0,"",IF(SUM($AO199)&lt;=0,"ENTER VALID YIELD!",ROUND($AP199/$AO199,0)-$AP199))</f>
        <v/>
      </c>
      <c r="AR199" s="118"/>
      <c r="AS199" s="75" t="str">
        <f aca="false">IF(OR(SUM($AD199)&lt;=0,SUM($G199)&lt;=0),"",ROUND($G199*$AD199,0))</f>
        <v/>
      </c>
      <c r="AT199" s="75" t="str">
        <f aca="false">IF(SUM($AS199)&lt;=0,"",IF(SUM($AR199)&lt;=0,"ENTER VALID YIELD!",ROUND($AS199/$AR199,0)-$AS199))</f>
        <v/>
      </c>
      <c r="AU199" s="118"/>
      <c r="AV199" s="75" t="n">
        <f aca="false">IF(OR(SUM($AE199)&lt;=0,SUM($G199)&lt;=0),"",ROUND($G199*$AE199,0))</f>
        <v>90</v>
      </c>
      <c r="AW199" s="75" t="str">
        <f aca="false">IF(SUM($AV199)&lt;=0,"",IF(SUM($AU199)&lt;=0,"ENTER VALID YIELD!",ROUND($AV199/$AU199,0)-$AV199))</f>
        <v>ENTER VALID YIELD!</v>
      </c>
      <c r="AX199" s="118"/>
      <c r="AY199" s="75" t="n">
        <f aca="false">IF(OR(SUM($AF199)&lt;=0,SUM($G199)&lt;=0),"",ROUND($G199*$AF199,0))</f>
        <v>20</v>
      </c>
      <c r="AZ199" s="75" t="str">
        <f aca="false">IF(SUM($AY199)&lt;=0,"",IF(SUM($AX199)&lt;=0,"ENTER VALID YIELD!",ROUND($AY199/$AX199,0)-$AY199))</f>
        <v>ENTER VALID YIELD!</v>
      </c>
      <c r="BA199" s="118" t="n">
        <v>27</v>
      </c>
      <c r="BB199" s="75" t="n">
        <f aca="false">IF(OR(SUM($AG199)&lt;=0,SUM($G199)&lt;=0),"",ROUND($G199*$AG199,0))</f>
        <v>45</v>
      </c>
      <c r="BC199" s="75" t="n">
        <f aca="false">IF(SUM($BB199)&lt;=0,"",IF(SUM($BA199)&lt;=0,"ENTER VALID YIELD!",ROUND($BB199/$BA199,0)-$BB199))</f>
        <v>-43</v>
      </c>
      <c r="BD199" s="118"/>
      <c r="BE199" s="75" t="n">
        <f aca="false">IF(OR(SUM($AH199)&lt;=0,SUM($G199)&lt;=0),"",ROUND($G199*$AH199,0))</f>
        <v>245</v>
      </c>
      <c r="BF199" s="75" t="str">
        <f aca="false">IF(SUM($BE199)&lt;=0,"",IF(SUM($BD199)&lt;=0,"ENTER VALID YIELD!",ROUND($BE199/$BD199,0)-$BE199))</f>
        <v>ENTER VALID YIELD!</v>
      </c>
      <c r="BG199" s="118"/>
      <c r="BH199" s="75" t="n">
        <f aca="false">IF(OR(SUM($AI199)&lt;=0,SUM($G199)&lt;=0),"",ROUND($G199*$AI199,0))</f>
        <v>200</v>
      </c>
      <c r="BI199" s="75" t="str">
        <f aca="false">IF(SUM($BH199)&lt;=0,"",IF(SUM($BG199)&lt;=0,"ENTER VALID YIELD!",ROUND($BH199/$BG199,0)-$BH199))</f>
        <v>ENTER VALID YIELD!</v>
      </c>
      <c r="BJ199" s="118"/>
      <c r="BK199" s="75" t="n">
        <f aca="false">IF(OR(SUM($AJ199)&lt;=0,SUM($G199)&lt;=0),"",ROUND($G199*$AJ199,0))</f>
        <v>240</v>
      </c>
      <c r="BL199" s="75" t="str">
        <f aca="false">IF(SUM($BK199)&lt;=0,"",IF(SUM($BJ199)&lt;=0,"ENTER VALID YIELD!",ROUND($BK199/$BJ199,0)-$BK199))</f>
        <v>ENTER VALID YIELD!</v>
      </c>
      <c r="BM199" s="73" t="n">
        <f aca="false">IF(SUM($G199)&lt;=0,"",$G199)</f>
        <v>5</v>
      </c>
      <c r="BN199" s="73" t="n">
        <f aca="false">IF(SUM($G199)&lt;=0,"",SUM($I199:$L199,$Q199,$S199,$AM199,$AP199,$AS199,$AV199,$AY199,$BB199,$BE199,$BH199,$BK199))</f>
        <v>-5017</v>
      </c>
      <c r="BO199" s="73" t="n">
        <f aca="false">IF(AND(SUM($BN199)&lt;=0,SUM($BM199)&lt;=0),"",SUM($BN199)-SUM($BM199))</f>
        <v>-5022</v>
      </c>
      <c r="BP199" s="73" t="n">
        <f aca="false">_xlfn.IFNA(INDEX(PMTCT!$AF:$AF,MATCH($E199,PMTCT!$E:$E,0)),"")</f>
        <v>5670</v>
      </c>
      <c r="BQ199" s="73" t="str">
        <f aca="false">_xlfn.IFNA(INDEX(PMTCT!$AV:$AV,MATCH($E199,PMTCT!$E:$E,0)),"")</f>
        <v/>
      </c>
      <c r="BR199" s="73" t="n">
        <f aca="false">_xlfn.IFNA(INDEX(TB!$R:$R,MATCH($E199,TB!$E:$E,0)),"")</f>
        <v>168</v>
      </c>
      <c r="BS199" s="73" t="str">
        <f aca="false">_xlfn.IFNA(INDEX(VMMC!$AD:$AD,MATCH($E199,VMMC!$E:$E,0)),"")</f>
        <v/>
      </c>
      <c r="BT199" s="73" t="n">
        <f aca="false">IF(SUM($R199,$T199,$AN199,$AQ199,$AT199,$AW199,$AZ199,$BC199,$BF199,$BI199,$BL199,$BP199:$BS199)=0,"",SUM($R199,$T199,$AN199,$AQ199,$AT199,$AW199,$AZ199,$BC199,$BF199,$BI199,$BL199,$BP199:$BS199))</f>
        <v>5683</v>
      </c>
      <c r="BU199" s="73" t="n">
        <f aca="false">IF(OR(SUM($BT199)=0,SUM($BN199)=0),"",SUM($BT199,$BN199))</f>
        <v>666</v>
      </c>
      <c r="BV199" s="118" t="n">
        <f aca="false">IF(SUM($BU199)=0,"",SUM($BN199)/$BU199)</f>
        <v>-7.53303303303303</v>
      </c>
      <c r="BW199" s="73"/>
      <c r="BX199" s="118" t="n">
        <f aca="false">IF(OR($C199="01-04",$C199="05-09"),"",0%)</f>
        <v>0</v>
      </c>
      <c r="BY199" s="75" t="str">
        <f aca="false">IF(OR($C199="01-04",$C199="05-09",SUM($BW199)=0),"",ROUND($BW199*(1+$BX199),0))</f>
        <v/>
      </c>
    </row>
    <row r="200" customFormat="false" ht="15" hidden="false" customHeight="false" outlineLevel="0" collapsed="false">
      <c r="A200" s="0" t="s">
        <v>149</v>
      </c>
      <c r="B200" s="0" t="s">
        <v>111</v>
      </c>
      <c r="C200" s="0" t="s">
        <v>66</v>
      </c>
      <c r="D200" s="0" t="s">
        <v>58</v>
      </c>
      <c r="E200" s="0" t="str">
        <f aca="false">B200&amp;"|"&amp;C200&amp;"|"&amp;D200</f>
        <v>Qacha's Nek [#SNU] [zTaMbxvQtJ6]|20-24|Male</v>
      </c>
      <c r="F200" s="118" t="n">
        <f aca="false">_xlfn.IFNA(INDEX(Cascade!$Y:$Y,MATCH($E200,Cascade!$E:$E,0)),"")</f>
        <v>0.515151515151515</v>
      </c>
      <c r="G200" s="73" t="n">
        <f aca="false">_xlfn.IFNA(INDEX(Cascade!$BD:$BD,MATCH($E200,Cascade!$E:$E,0)),"")</f>
        <v>29</v>
      </c>
      <c r="H200" s="73" t="n">
        <f aca="false">_xlfn.IFNA(INDEX(Cascade!$BE:$BE,MATCH($E200,Cascade!$E:$E,0)),"")</f>
        <v>9</v>
      </c>
      <c r="I200" s="73" t="str">
        <f aca="false">_xlfn.IFNA(INDEX(Cascade!$BF:$BF,MATCH($E200,Cascade!$E:$E,0)),"")</f>
        <v/>
      </c>
      <c r="J200" s="73" t="str">
        <f aca="false">_xlfn.IFNA(INDEX(Cascade!$BG:$BG,MATCH($E200,Cascade!$E:$E,0)),"")</f>
        <v/>
      </c>
      <c r="K200" s="73" t="n">
        <f aca="false">_xlfn.IFNA(INDEX(Cascade!$BH:$BH,MATCH($E200,Cascade!$E:$E,0)),"")</f>
        <v>-0</v>
      </c>
      <c r="L200" s="73" t="str">
        <f aca="false">_xlfn.IFNA(INDEX(Cascade!$BI:$BI,MATCH($E200,Cascade!$E:$E,0)),"")</f>
        <v/>
      </c>
      <c r="M200" s="73" t="n">
        <f aca="false">_xlfn.IFNA(INDEX(Cascade!$BK:$BK,MATCH($E200,Cascade!$E:$E,0)),"")</f>
        <v>20</v>
      </c>
      <c r="N200" s="118" t="n">
        <v>8</v>
      </c>
      <c r="O200" s="118"/>
      <c r="P200" s="118" t="n">
        <v>1</v>
      </c>
      <c r="Q200" s="75" t="str">
        <f aca="false">IF(OR(SUM($H200)=0,SUM($N200)=0,SUM($O200)=0),"",ROUND($H200*$N200,0))</f>
        <v/>
      </c>
      <c r="R200" s="75" t="str">
        <f aca="false">IF(OR(SUM($Q200)=0,SUM($O200)=0),"",ROUND(SUM($Q200)/SUM($O200),0)-SUM($Q200))</f>
        <v/>
      </c>
      <c r="S200" s="75" t="n">
        <f aca="false">IF(SUM($H200)=0,"",SUM($H200)-SUM($Q200))</f>
        <v>9</v>
      </c>
      <c r="T200" s="75" t="str">
        <f aca="false">IF(OR(SUM($S200)=0,$N200&gt;1,SUM($P200)&lt;=0),"",ROUND($S200/$P200,0)-$S200)</f>
        <v/>
      </c>
      <c r="U200" s="118" t="n">
        <f aca="false">IF(SUM($G200)&lt;=0,"",SUM($Q200,$S200)/$G200)</f>
        <v>0.310344827586207</v>
      </c>
      <c r="V200" s="118" t="str">
        <f aca="false">IF(OR(SUM($Q200)=0,SUM($G200)=0),"",SUM($Q200)/SUM($G200))</f>
        <v/>
      </c>
      <c r="W200" s="118" t="n">
        <f aca="false">IF(OR(SUM($S200)=0,SUM($G200)=0),"",SUM($S200)/SUM($G200))</f>
        <v>0.310344827586207</v>
      </c>
      <c r="X200" s="118" t="str">
        <f aca="false">IF(OR(SUM($G200)=0,SUM($I200)=0),"",SUM($I200)/SUM($G200))</f>
        <v/>
      </c>
      <c r="Y200" s="118" t="str">
        <f aca="false">IF(OR(SUM($G200)=0,SUM($J200)=0),"",SUM($J200)/SUM($G200))</f>
        <v/>
      </c>
      <c r="Z200" s="118" t="str">
        <f aca="false">IF(OR(SUM($G200)=0,SUM($K200)=0),"",SUM($K200)/SUM($G200))</f>
        <v/>
      </c>
      <c r="AA200" s="118" t="str">
        <f aca="false">IF(OR(SUM($G200)=0,SUM($L200)=0),"",SUM($L200)/SUM($G200))</f>
        <v/>
      </c>
      <c r="AB200" s="118" t="n">
        <v>32</v>
      </c>
      <c r="AC200" s="118"/>
      <c r="AD200" s="118"/>
      <c r="AE200" s="118" t="n">
        <v>42</v>
      </c>
      <c r="AF200" s="118" t="n">
        <v>12</v>
      </c>
      <c r="AG200" s="118" t="n">
        <v>12</v>
      </c>
      <c r="AH200" s="118" t="n">
        <v>30</v>
      </c>
      <c r="AI200" s="118" t="n">
        <v>36</v>
      </c>
      <c r="AJ200" s="118" t="n">
        <v>49</v>
      </c>
      <c r="AK200" s="118" t="n">
        <f aca="false">IF(SUM($G200)&lt;=0,"",SUM($V200:$AJ200))</f>
        <v>213.310344827586</v>
      </c>
      <c r="AL200" s="118"/>
      <c r="AM200" s="75" t="n">
        <f aca="false">IF(OR(SUM($AB200)&lt;=0,SUM($G200)&lt;=0),"",ROUND($G200*$AB200,0))</f>
        <v>928</v>
      </c>
      <c r="AN200" s="75" t="str">
        <f aca="false">IF(SUM($AM200)&lt;=0,"",IF(SUM($AL200)&lt;=0,"ENTER VALID YIELD!",ROUND($AM200/$AL200,0)-$AM200))</f>
        <v>ENTER VALID YIELD!</v>
      </c>
      <c r="AO200" s="118"/>
      <c r="AP200" s="75" t="str">
        <f aca="false">IF(OR(SUM($AC200)&lt;=0,SUM($G200)&lt;=0),"",ROUND($G200*$AC200,0))</f>
        <v/>
      </c>
      <c r="AQ200" s="75" t="str">
        <f aca="false">IF(SUM($AP200)&lt;=0,"",IF(SUM($AO200)&lt;=0,"ENTER VALID YIELD!",ROUND($AP200/$AO200,0)-$AP200))</f>
        <v/>
      </c>
      <c r="AR200" s="118"/>
      <c r="AS200" s="75" t="str">
        <f aca="false">IF(OR(SUM($AD200)&lt;=0,SUM($G200)&lt;=0),"",ROUND($G200*$AD200,0))</f>
        <v/>
      </c>
      <c r="AT200" s="75" t="str">
        <f aca="false">IF(SUM($AS200)&lt;=0,"",IF(SUM($AR200)&lt;=0,"ENTER VALID YIELD!",ROUND($AS200/$AR200,0)-$AS200))</f>
        <v/>
      </c>
      <c r="AU200" s="118"/>
      <c r="AV200" s="75" t="n">
        <f aca="false">IF(OR(SUM($AE200)&lt;=0,SUM($G200)&lt;=0),"",ROUND($G200*$AE200,0))</f>
        <v>1218</v>
      </c>
      <c r="AW200" s="75" t="str">
        <f aca="false">IF(SUM($AV200)&lt;=0,"",IF(SUM($AU200)&lt;=0,"ENTER VALID YIELD!",ROUND($AV200/$AU200,0)-$AV200))</f>
        <v>ENTER VALID YIELD!</v>
      </c>
      <c r="AX200" s="118"/>
      <c r="AY200" s="75" t="n">
        <f aca="false">IF(OR(SUM($AF200)&lt;=0,SUM($G200)&lt;=0),"",ROUND($G200*$AF200,0))</f>
        <v>348</v>
      </c>
      <c r="AZ200" s="75" t="str">
        <f aca="false">IF(SUM($AY200)&lt;=0,"",IF(SUM($AX200)&lt;=0,"ENTER VALID YIELD!",ROUND($AY200/$AX200,0)-$AY200))</f>
        <v>ENTER VALID YIELD!</v>
      </c>
      <c r="BA200" s="118" t="n">
        <v>30</v>
      </c>
      <c r="BB200" s="75" t="n">
        <f aca="false">IF(OR(SUM($AG200)&lt;=0,SUM($G200)&lt;=0),"",ROUND($G200*$AG200,0))</f>
        <v>348</v>
      </c>
      <c r="BC200" s="75" t="n">
        <f aca="false">IF(SUM($BB200)&lt;=0,"",IF(SUM($BA200)&lt;=0,"ENTER VALID YIELD!",ROUND($BB200/$BA200,0)-$BB200))</f>
        <v>-336</v>
      </c>
      <c r="BD200" s="118"/>
      <c r="BE200" s="75" t="n">
        <f aca="false">IF(OR(SUM($AH200)&lt;=0,SUM($G200)&lt;=0),"",ROUND($G200*$AH200,0))</f>
        <v>870</v>
      </c>
      <c r="BF200" s="75" t="str">
        <f aca="false">IF(SUM($BE200)&lt;=0,"",IF(SUM($BD200)&lt;=0,"ENTER VALID YIELD!",ROUND($BE200/$BD200,0)-$BE200))</f>
        <v>ENTER VALID YIELD!</v>
      </c>
      <c r="BG200" s="118"/>
      <c r="BH200" s="75" t="n">
        <f aca="false">IF(OR(SUM($AI200)&lt;=0,SUM($G200)&lt;=0),"",ROUND($G200*$AI200,0))</f>
        <v>1044</v>
      </c>
      <c r="BI200" s="75" t="str">
        <f aca="false">IF(SUM($BH200)&lt;=0,"",IF(SUM($BG200)&lt;=0,"ENTER VALID YIELD!",ROUND($BH200/$BG200,0)-$BH200))</f>
        <v>ENTER VALID YIELD!</v>
      </c>
      <c r="BJ200" s="118"/>
      <c r="BK200" s="75" t="n">
        <f aca="false">IF(OR(SUM($AJ200)&lt;=0,SUM($G200)&lt;=0),"",ROUND($G200*$AJ200,0))</f>
        <v>1421</v>
      </c>
      <c r="BL200" s="75" t="str">
        <f aca="false">IF(SUM($BK200)&lt;=0,"",IF(SUM($BJ200)&lt;=0,"ENTER VALID YIELD!",ROUND($BK200/$BJ200,0)-$BK200))</f>
        <v>ENTER VALID YIELD!</v>
      </c>
      <c r="BM200" s="73" t="n">
        <f aca="false">IF(SUM($G200)&lt;=0,"",$G200)</f>
        <v>29</v>
      </c>
      <c r="BN200" s="73" t="n">
        <f aca="false">IF(SUM($G200)&lt;=0,"",SUM($I200:$L200,$Q200,$S200,$AM200,$AP200,$AS200,$AV200,$AY200,$BB200,$BE200,$BH200,$BK200))</f>
        <v>6186</v>
      </c>
      <c r="BO200" s="73" t="n">
        <f aca="false">IF(AND(SUM($BN200)&lt;=0,SUM($BM200)&lt;=0),"",SUM($BN200)-SUM($BM200))</f>
        <v>6157</v>
      </c>
      <c r="BP200" s="73" t="str">
        <f aca="false">_xlfn.IFNA(INDEX(PMTCT!$AF:$AF,MATCH($E200,PMTCT!$E:$E,0)),"")</f>
        <v/>
      </c>
      <c r="BQ200" s="73" t="str">
        <f aca="false">_xlfn.IFNA(INDEX(PMTCT!$AV:$AV,MATCH($E200,PMTCT!$E:$E,0)),"")</f>
        <v/>
      </c>
      <c r="BR200" s="73" t="n">
        <f aca="false">_xlfn.IFNA(INDEX(TB!$R:$R,MATCH($E200,TB!$E:$E,0)),"")</f>
        <v>-957</v>
      </c>
      <c r="BS200" s="73" t="str">
        <f aca="false">_xlfn.IFNA(INDEX(VMMC!$AD:$AD,MATCH($E200,VMMC!$E:$E,0)),"")</f>
        <v/>
      </c>
      <c r="BT200" s="73" t="n">
        <f aca="false">IF(SUM($R200,$T200,$AN200,$AQ200,$AT200,$AW200,$AZ200,$BC200,$BF200,$BI200,$BL200,$BP200:$BS200)=0,"",SUM($R200,$T200,$AN200,$AQ200,$AT200,$AW200,$AZ200,$BC200,$BF200,$BI200,$BL200,$BP200:$BS200))</f>
        <v>-1293</v>
      </c>
      <c r="BU200" s="73" t="n">
        <f aca="false">IF(OR(SUM($BT200)=0,SUM($BN200)=0),"",SUM($BT200,$BN200))</f>
        <v>4893</v>
      </c>
      <c r="BV200" s="118" t="n">
        <f aca="false">IF(SUM($BU200)=0,"",SUM($BN200)/$BU200)</f>
        <v>1.26425505824647</v>
      </c>
      <c r="BW200" s="73"/>
      <c r="BX200" s="118" t="n">
        <f aca="false">IF(OR($C200="01-04",$C200="05-09"),"",0%)</f>
        <v>0</v>
      </c>
      <c r="BY200" s="75" t="str">
        <f aca="false">IF(OR($C200="01-04",$C200="05-09",SUM($BW200)=0),"",ROUND($BW200*(1+$BX200),0))</f>
        <v/>
      </c>
    </row>
    <row r="201" customFormat="false" ht="15" hidden="false" customHeight="false" outlineLevel="0" collapsed="false">
      <c r="A201" s="0" t="s">
        <v>149</v>
      </c>
      <c r="B201" s="0" t="s">
        <v>111</v>
      </c>
      <c r="C201" s="0" t="s">
        <v>69</v>
      </c>
      <c r="D201" s="0" t="s">
        <v>56</v>
      </c>
      <c r="E201" s="0" t="str">
        <f aca="false">B201&amp;"|"&amp;C201&amp;"|"&amp;D201</f>
        <v>Qacha's Nek [#SNU] [zTaMbxvQtJ6]|25-29|Female</v>
      </c>
      <c r="F201" s="118" t="n">
        <f aca="false">_xlfn.IFNA(INDEX(Cascade!$Y:$Y,MATCH($E201,Cascade!$E:$E,0)),"")</f>
        <v>0.557161629434954</v>
      </c>
      <c r="G201" s="73" t="n">
        <f aca="false">_xlfn.IFNA(INDEX(Cascade!$BD:$BD,MATCH($E201,Cascade!$E:$E,0)),"")</f>
        <v>32</v>
      </c>
      <c r="H201" s="73" t="n">
        <f aca="false">_xlfn.IFNA(INDEX(Cascade!$BE:$BE,MATCH($E201,Cascade!$E:$E,0)),"")</f>
        <v>10</v>
      </c>
      <c r="I201" s="73" t="n">
        <f aca="false">_xlfn.IFNA(INDEX(Cascade!$BF:$BF,MATCH($E201,Cascade!$E:$E,0)),"")</f>
        <v>-1681</v>
      </c>
      <c r="J201" s="73" t="str">
        <f aca="false">_xlfn.IFNA(INDEX(Cascade!$BG:$BG,MATCH($E201,Cascade!$E:$E,0)),"")</f>
        <v/>
      </c>
      <c r="K201" s="73" t="n">
        <f aca="false">_xlfn.IFNA(INDEX(Cascade!$BH:$BH,MATCH($E201,Cascade!$E:$E,0)),"")</f>
        <v>-16770</v>
      </c>
      <c r="L201" s="73" t="str">
        <f aca="false">_xlfn.IFNA(INDEX(Cascade!$BI:$BI,MATCH($E201,Cascade!$E:$E,0)),"")</f>
        <v/>
      </c>
      <c r="M201" s="73" t="n">
        <f aca="false">_xlfn.IFNA(INDEX(Cascade!$BK:$BK,MATCH($E201,Cascade!$E:$E,0)),"")</f>
        <v>18473</v>
      </c>
      <c r="N201" s="118" t="n">
        <v>49</v>
      </c>
      <c r="O201" s="118"/>
      <c r="P201" s="118" t="n">
        <v>47</v>
      </c>
      <c r="Q201" s="75" t="str">
        <f aca="false">IF(OR(SUM($H201)=0,SUM($N201)=0,SUM($O201)=0),"",ROUND($H201*$N201,0))</f>
        <v/>
      </c>
      <c r="R201" s="75" t="str">
        <f aca="false">IF(OR(SUM($Q201)=0,SUM($O201)=0),"",ROUND(SUM($Q201)/SUM($O201),0)-SUM($Q201))</f>
        <v/>
      </c>
      <c r="S201" s="75" t="n">
        <f aca="false">IF(SUM($H201)=0,"",SUM($H201)-SUM($Q201))</f>
        <v>10</v>
      </c>
      <c r="T201" s="75" t="str">
        <f aca="false">IF(OR(SUM($S201)=0,$N201&gt;1,SUM($P201)&lt;=0),"",ROUND($S201/$P201,0)-$S201)</f>
        <v/>
      </c>
      <c r="U201" s="118" t="n">
        <f aca="false">IF(SUM($G201)&lt;=0,"",SUM($Q201,$S201)/$G201)</f>
        <v>0.3125</v>
      </c>
      <c r="V201" s="118" t="str">
        <f aca="false">IF(OR(SUM($Q201)=0,SUM($G201)=0),"",SUM($Q201)/SUM($G201))</f>
        <v/>
      </c>
      <c r="W201" s="118" t="n">
        <f aca="false">IF(OR(SUM($S201)=0,SUM($G201)=0),"",SUM($S201)/SUM($G201))</f>
        <v>0.3125</v>
      </c>
      <c r="X201" s="118" t="n">
        <f aca="false">IF(OR(SUM($G201)=0,SUM($I201)=0),"",SUM($I201)/SUM($G201))</f>
        <v>-52.53125</v>
      </c>
      <c r="Y201" s="118" t="str">
        <f aca="false">IF(OR(SUM($G201)=0,SUM($J201)=0),"",SUM($J201)/SUM($G201))</f>
        <v/>
      </c>
      <c r="Z201" s="118" t="n">
        <f aca="false">IF(OR(SUM($G201)=0,SUM($K201)=0),"",SUM($K201)/SUM($G201))</f>
        <v>-524.0625</v>
      </c>
      <c r="AA201" s="118" t="str">
        <f aca="false">IF(OR(SUM($G201)=0,SUM($L201)=0),"",SUM($L201)/SUM($G201))</f>
        <v/>
      </c>
      <c r="AB201" s="118" t="n">
        <v>2</v>
      </c>
      <c r="AC201" s="118"/>
      <c r="AD201" s="118"/>
      <c r="AE201" s="118" t="n">
        <v>17</v>
      </c>
      <c r="AF201" s="118" t="n">
        <v>32</v>
      </c>
      <c r="AG201" s="118" t="n">
        <v>24</v>
      </c>
      <c r="AH201" s="118" t="n">
        <v>5</v>
      </c>
      <c r="AI201" s="118" t="n">
        <v>42</v>
      </c>
      <c r="AJ201" s="118" t="n">
        <v>40</v>
      </c>
      <c r="AK201" s="118" t="n">
        <f aca="false">IF(SUM($G201)&lt;=0,"",SUM($V201:$AJ201))</f>
        <v>-414.28125</v>
      </c>
      <c r="AL201" s="118"/>
      <c r="AM201" s="75" t="n">
        <f aca="false">IF(OR(SUM($AB201)&lt;=0,SUM($G201)&lt;=0),"",ROUND($G201*$AB201,0))</f>
        <v>64</v>
      </c>
      <c r="AN201" s="75" t="str">
        <f aca="false">IF(SUM($AM201)&lt;=0,"",IF(SUM($AL201)&lt;=0,"ENTER VALID YIELD!",ROUND($AM201/$AL201,0)-$AM201))</f>
        <v>ENTER VALID YIELD!</v>
      </c>
      <c r="AO201" s="118"/>
      <c r="AP201" s="75" t="str">
        <f aca="false">IF(OR(SUM($AC201)&lt;=0,SUM($G201)&lt;=0),"",ROUND($G201*$AC201,0))</f>
        <v/>
      </c>
      <c r="AQ201" s="75" t="str">
        <f aca="false">IF(SUM($AP201)&lt;=0,"",IF(SUM($AO201)&lt;=0,"ENTER VALID YIELD!",ROUND($AP201/$AO201,0)-$AP201))</f>
        <v/>
      </c>
      <c r="AR201" s="118"/>
      <c r="AS201" s="75" t="str">
        <f aca="false">IF(OR(SUM($AD201)&lt;=0,SUM($G201)&lt;=0),"",ROUND($G201*$AD201,0))</f>
        <v/>
      </c>
      <c r="AT201" s="75" t="str">
        <f aca="false">IF(SUM($AS201)&lt;=0,"",IF(SUM($AR201)&lt;=0,"ENTER VALID YIELD!",ROUND($AS201/$AR201,0)-$AS201))</f>
        <v/>
      </c>
      <c r="AU201" s="118"/>
      <c r="AV201" s="75" t="n">
        <f aca="false">IF(OR(SUM($AE201)&lt;=0,SUM($G201)&lt;=0),"",ROUND($G201*$AE201,0))</f>
        <v>544</v>
      </c>
      <c r="AW201" s="75" t="str">
        <f aca="false">IF(SUM($AV201)&lt;=0,"",IF(SUM($AU201)&lt;=0,"ENTER VALID YIELD!",ROUND($AV201/$AU201,0)-$AV201))</f>
        <v>ENTER VALID YIELD!</v>
      </c>
      <c r="AX201" s="118"/>
      <c r="AY201" s="75" t="n">
        <f aca="false">IF(OR(SUM($AF201)&lt;=0,SUM($G201)&lt;=0),"",ROUND($G201*$AF201,0))</f>
        <v>1024</v>
      </c>
      <c r="AZ201" s="75" t="str">
        <f aca="false">IF(SUM($AY201)&lt;=0,"",IF(SUM($AX201)&lt;=0,"ENTER VALID YIELD!",ROUND($AY201/$AX201,0)-$AY201))</f>
        <v>ENTER VALID YIELD!</v>
      </c>
      <c r="BA201" s="118" t="n">
        <v>37</v>
      </c>
      <c r="BB201" s="75" t="n">
        <f aca="false">IF(OR(SUM($AG201)&lt;=0,SUM($G201)&lt;=0),"",ROUND($G201*$AG201,0))</f>
        <v>768</v>
      </c>
      <c r="BC201" s="75" t="n">
        <f aca="false">IF(SUM($BB201)&lt;=0,"",IF(SUM($BA201)&lt;=0,"ENTER VALID YIELD!",ROUND($BB201/$BA201,0)-$BB201))</f>
        <v>-747</v>
      </c>
      <c r="BD201" s="118"/>
      <c r="BE201" s="75" t="n">
        <f aca="false">IF(OR(SUM($AH201)&lt;=0,SUM($G201)&lt;=0),"",ROUND($G201*$AH201,0))</f>
        <v>160</v>
      </c>
      <c r="BF201" s="75" t="str">
        <f aca="false">IF(SUM($BE201)&lt;=0,"",IF(SUM($BD201)&lt;=0,"ENTER VALID YIELD!",ROUND($BE201/$BD201,0)-$BE201))</f>
        <v>ENTER VALID YIELD!</v>
      </c>
      <c r="BG201" s="118"/>
      <c r="BH201" s="75" t="n">
        <f aca="false">IF(OR(SUM($AI201)&lt;=0,SUM($G201)&lt;=0),"",ROUND($G201*$AI201,0))</f>
        <v>1344</v>
      </c>
      <c r="BI201" s="75" t="str">
        <f aca="false">IF(SUM($BH201)&lt;=0,"",IF(SUM($BG201)&lt;=0,"ENTER VALID YIELD!",ROUND($BH201/$BG201,0)-$BH201))</f>
        <v>ENTER VALID YIELD!</v>
      </c>
      <c r="BJ201" s="118"/>
      <c r="BK201" s="75" t="n">
        <f aca="false">IF(OR(SUM($AJ201)&lt;=0,SUM($G201)&lt;=0),"",ROUND($G201*$AJ201,0))</f>
        <v>1280</v>
      </c>
      <c r="BL201" s="75" t="str">
        <f aca="false">IF(SUM($BK201)&lt;=0,"",IF(SUM($BJ201)&lt;=0,"ENTER VALID YIELD!",ROUND($BK201/$BJ201,0)-$BK201))</f>
        <v>ENTER VALID YIELD!</v>
      </c>
      <c r="BM201" s="73" t="n">
        <f aca="false">IF(SUM($G201)&lt;=0,"",$G201)</f>
        <v>32</v>
      </c>
      <c r="BN201" s="73" t="n">
        <f aca="false">IF(SUM($G201)&lt;=0,"",SUM($I201:$L201,$Q201,$S201,$AM201,$AP201,$AS201,$AV201,$AY201,$BB201,$BE201,$BH201,$BK201))</f>
        <v>-13257</v>
      </c>
      <c r="BO201" s="73" t="n">
        <f aca="false">IF(AND(SUM($BN201)&lt;=0,SUM($BM201)&lt;=0),"",SUM($BN201)-SUM($BM201))</f>
        <v>-13289</v>
      </c>
      <c r="BP201" s="73" t="n">
        <f aca="false">_xlfn.IFNA(INDEX(PMTCT!$AF:$AF,MATCH($E201,PMTCT!$E:$E,0)),"")</f>
        <v>1640</v>
      </c>
      <c r="BQ201" s="73" t="str">
        <f aca="false">_xlfn.IFNA(INDEX(PMTCT!$AV:$AV,MATCH($E201,PMTCT!$E:$E,0)),"")</f>
        <v/>
      </c>
      <c r="BR201" s="73" t="n">
        <f aca="false">_xlfn.IFNA(INDEX(TB!$R:$R,MATCH($E201,TB!$E:$E,0)),"")</f>
        <v>16125</v>
      </c>
      <c r="BS201" s="73" t="str">
        <f aca="false">_xlfn.IFNA(INDEX(VMMC!$AD:$AD,MATCH($E201,VMMC!$E:$E,0)),"")</f>
        <v/>
      </c>
      <c r="BT201" s="73" t="n">
        <f aca="false">IF(SUM($R201,$T201,$AN201,$AQ201,$AT201,$AW201,$AZ201,$BC201,$BF201,$BI201,$BL201,$BP201:$BS201)=0,"",SUM($R201,$T201,$AN201,$AQ201,$AT201,$AW201,$AZ201,$BC201,$BF201,$BI201,$BL201,$BP201:$BS201))</f>
        <v>17018</v>
      </c>
      <c r="BU201" s="73" t="n">
        <f aca="false">IF(OR(SUM($BT201)=0,SUM($BN201)=0),"",SUM($BT201,$BN201))</f>
        <v>3761</v>
      </c>
      <c r="BV201" s="118" t="n">
        <f aca="false">IF(SUM($BU201)=0,"",SUM($BN201)/$BU201)</f>
        <v>-3.52486040946557</v>
      </c>
      <c r="BW201" s="73"/>
      <c r="BX201" s="118" t="n">
        <f aca="false">IF(OR($C201="01-04",$C201="05-09"),"",0%)</f>
        <v>0</v>
      </c>
      <c r="BY201" s="75" t="str">
        <f aca="false">IF(OR($C201="01-04",$C201="05-09",SUM($BW201)=0),"",ROUND($BW201*(1+$BX201),0))</f>
        <v/>
      </c>
    </row>
    <row r="202" customFormat="false" ht="15" hidden="false" customHeight="false" outlineLevel="0" collapsed="false">
      <c r="A202" s="0" t="s">
        <v>149</v>
      </c>
      <c r="B202" s="0" t="s">
        <v>111</v>
      </c>
      <c r="C202" s="0" t="s">
        <v>69</v>
      </c>
      <c r="D202" s="0" t="s">
        <v>58</v>
      </c>
      <c r="E202" s="0" t="str">
        <f aca="false">B202&amp;"|"&amp;C202&amp;"|"&amp;D202</f>
        <v>Qacha's Nek [#SNU] [zTaMbxvQtJ6]|25-29|Male</v>
      </c>
      <c r="F202" s="118" t="n">
        <f aca="false">_xlfn.IFNA(INDEX(Cascade!$Y:$Y,MATCH($E202,Cascade!$E:$E,0)),"")</f>
        <v>0.409883720930233</v>
      </c>
      <c r="G202" s="73" t="n">
        <f aca="false">_xlfn.IFNA(INDEX(Cascade!$BD:$BD,MATCH($E202,Cascade!$E:$E,0)),"")</f>
        <v>63</v>
      </c>
      <c r="H202" s="73" t="n">
        <f aca="false">_xlfn.IFNA(INDEX(Cascade!$BE:$BE,MATCH($E202,Cascade!$E:$E,0)),"")</f>
        <v>19</v>
      </c>
      <c r="I202" s="73" t="str">
        <f aca="false">_xlfn.IFNA(INDEX(Cascade!$BF:$BF,MATCH($E202,Cascade!$E:$E,0)),"")</f>
        <v/>
      </c>
      <c r="J202" s="73" t="str">
        <f aca="false">_xlfn.IFNA(INDEX(Cascade!$BG:$BG,MATCH($E202,Cascade!$E:$E,0)),"")</f>
        <v/>
      </c>
      <c r="K202" s="73" t="n">
        <f aca="false">_xlfn.IFNA(INDEX(Cascade!$BH:$BH,MATCH($E202,Cascade!$E:$E,0)),"")</f>
        <v>-10810</v>
      </c>
      <c r="L202" s="73" t="str">
        <f aca="false">_xlfn.IFNA(INDEX(Cascade!$BI:$BI,MATCH($E202,Cascade!$E:$E,0)),"")</f>
        <v/>
      </c>
      <c r="M202" s="73" t="n">
        <f aca="false">_xlfn.IFNA(INDEX(Cascade!$BK:$BK,MATCH($E202,Cascade!$E:$E,0)),"")</f>
        <v>10854</v>
      </c>
      <c r="N202" s="118" t="n">
        <v>47</v>
      </c>
      <c r="O202" s="118"/>
      <c r="P202" s="118" t="n">
        <v>46</v>
      </c>
      <c r="Q202" s="75" t="str">
        <f aca="false">IF(OR(SUM($H202)=0,SUM($N202)=0,SUM($O202)=0),"",ROUND($H202*$N202,0))</f>
        <v/>
      </c>
      <c r="R202" s="75" t="str">
        <f aca="false">IF(OR(SUM($Q202)=0,SUM($O202)=0),"",ROUND(SUM($Q202)/SUM($O202),0)-SUM($Q202))</f>
        <v/>
      </c>
      <c r="S202" s="75" t="n">
        <f aca="false">IF(SUM($H202)=0,"",SUM($H202)-SUM($Q202))</f>
        <v>19</v>
      </c>
      <c r="T202" s="75" t="str">
        <f aca="false">IF(OR(SUM($S202)=0,$N202&gt;1,SUM($P202)&lt;=0),"",ROUND($S202/$P202,0)-$S202)</f>
        <v/>
      </c>
      <c r="U202" s="118" t="n">
        <f aca="false">IF(SUM($G202)&lt;=0,"",SUM($Q202,$S202)/$G202)</f>
        <v>0.301587301587302</v>
      </c>
      <c r="V202" s="118" t="str">
        <f aca="false">IF(OR(SUM($Q202)=0,SUM($G202)=0),"",SUM($Q202)/SUM($G202))</f>
        <v/>
      </c>
      <c r="W202" s="118" t="n">
        <f aca="false">IF(OR(SUM($S202)=0,SUM($G202)=0),"",SUM($S202)/SUM($G202))</f>
        <v>0.301587301587302</v>
      </c>
      <c r="X202" s="118" t="str">
        <f aca="false">IF(OR(SUM($G202)=0,SUM($I202)=0),"",SUM($I202)/SUM($G202))</f>
        <v/>
      </c>
      <c r="Y202" s="118" t="str">
        <f aca="false">IF(OR(SUM($G202)=0,SUM($J202)=0),"",SUM($J202)/SUM($G202))</f>
        <v/>
      </c>
      <c r="Z202" s="118" t="n">
        <f aca="false">IF(OR(SUM($G202)=0,SUM($K202)=0),"",SUM($K202)/SUM($G202))</f>
        <v>-171.587301587302</v>
      </c>
      <c r="AA202" s="118" t="str">
        <f aca="false">IF(OR(SUM($G202)=0,SUM($L202)=0),"",SUM($L202)/SUM($G202))</f>
        <v/>
      </c>
      <c r="AB202" s="118" t="n">
        <v>23</v>
      </c>
      <c r="AC202" s="118"/>
      <c r="AD202" s="118"/>
      <c r="AE202" s="118" t="n">
        <v>45</v>
      </c>
      <c r="AF202" s="118" t="n">
        <v>1</v>
      </c>
      <c r="AG202" s="118" t="n">
        <v>18</v>
      </c>
      <c r="AH202" s="118" t="n">
        <v>42</v>
      </c>
      <c r="AI202" s="118" t="n">
        <v>45</v>
      </c>
      <c r="AJ202" s="118" t="n">
        <v>35</v>
      </c>
      <c r="AK202" s="118" t="n">
        <f aca="false">IF(SUM($G202)&lt;=0,"",SUM($V202:$AJ202))</f>
        <v>37.7142857142857</v>
      </c>
      <c r="AL202" s="118"/>
      <c r="AM202" s="75" t="n">
        <f aca="false">IF(OR(SUM($AB202)&lt;=0,SUM($G202)&lt;=0),"",ROUND($G202*$AB202,0))</f>
        <v>1449</v>
      </c>
      <c r="AN202" s="75" t="str">
        <f aca="false">IF(SUM($AM202)&lt;=0,"",IF(SUM($AL202)&lt;=0,"ENTER VALID YIELD!",ROUND($AM202/$AL202,0)-$AM202))</f>
        <v>ENTER VALID YIELD!</v>
      </c>
      <c r="AO202" s="118"/>
      <c r="AP202" s="75" t="str">
        <f aca="false">IF(OR(SUM($AC202)&lt;=0,SUM($G202)&lt;=0),"",ROUND($G202*$AC202,0))</f>
        <v/>
      </c>
      <c r="AQ202" s="75" t="str">
        <f aca="false">IF(SUM($AP202)&lt;=0,"",IF(SUM($AO202)&lt;=0,"ENTER VALID YIELD!",ROUND($AP202/$AO202,0)-$AP202))</f>
        <v/>
      </c>
      <c r="AR202" s="118"/>
      <c r="AS202" s="75" t="str">
        <f aca="false">IF(OR(SUM($AD202)&lt;=0,SUM($G202)&lt;=0),"",ROUND($G202*$AD202,0))</f>
        <v/>
      </c>
      <c r="AT202" s="75" t="str">
        <f aca="false">IF(SUM($AS202)&lt;=0,"",IF(SUM($AR202)&lt;=0,"ENTER VALID YIELD!",ROUND($AS202/$AR202,0)-$AS202))</f>
        <v/>
      </c>
      <c r="AU202" s="118"/>
      <c r="AV202" s="75" t="n">
        <f aca="false">IF(OR(SUM($AE202)&lt;=0,SUM($G202)&lt;=0),"",ROUND($G202*$AE202,0))</f>
        <v>2835</v>
      </c>
      <c r="AW202" s="75" t="str">
        <f aca="false">IF(SUM($AV202)&lt;=0,"",IF(SUM($AU202)&lt;=0,"ENTER VALID YIELD!",ROUND($AV202/$AU202,0)-$AV202))</f>
        <v>ENTER VALID YIELD!</v>
      </c>
      <c r="AX202" s="118"/>
      <c r="AY202" s="75" t="n">
        <f aca="false">IF(OR(SUM($AF202)&lt;=0,SUM($G202)&lt;=0),"",ROUND($G202*$AF202,0))</f>
        <v>63</v>
      </c>
      <c r="AZ202" s="75" t="str">
        <f aca="false">IF(SUM($AY202)&lt;=0,"",IF(SUM($AX202)&lt;=0,"ENTER VALID YIELD!",ROUND($AY202/$AX202,0)-$AY202))</f>
        <v>ENTER VALID YIELD!</v>
      </c>
      <c r="BA202" s="118" t="n">
        <v>22</v>
      </c>
      <c r="BB202" s="75" t="n">
        <f aca="false">IF(OR(SUM($AG202)&lt;=0,SUM($G202)&lt;=0),"",ROUND($G202*$AG202,0))</f>
        <v>1134</v>
      </c>
      <c r="BC202" s="75" t="n">
        <f aca="false">IF(SUM($BB202)&lt;=0,"",IF(SUM($BA202)&lt;=0,"ENTER VALID YIELD!",ROUND($BB202/$BA202,0)-$BB202))</f>
        <v>-1082</v>
      </c>
      <c r="BD202" s="118"/>
      <c r="BE202" s="75" t="n">
        <f aca="false">IF(OR(SUM($AH202)&lt;=0,SUM($G202)&lt;=0),"",ROUND($G202*$AH202,0))</f>
        <v>2646</v>
      </c>
      <c r="BF202" s="75" t="str">
        <f aca="false">IF(SUM($BE202)&lt;=0,"",IF(SUM($BD202)&lt;=0,"ENTER VALID YIELD!",ROUND($BE202/$BD202,0)-$BE202))</f>
        <v>ENTER VALID YIELD!</v>
      </c>
      <c r="BG202" s="118"/>
      <c r="BH202" s="75" t="n">
        <f aca="false">IF(OR(SUM($AI202)&lt;=0,SUM($G202)&lt;=0),"",ROUND($G202*$AI202,0))</f>
        <v>2835</v>
      </c>
      <c r="BI202" s="75" t="str">
        <f aca="false">IF(SUM($BH202)&lt;=0,"",IF(SUM($BG202)&lt;=0,"ENTER VALID YIELD!",ROUND($BH202/$BG202,0)-$BH202))</f>
        <v>ENTER VALID YIELD!</v>
      </c>
      <c r="BJ202" s="118"/>
      <c r="BK202" s="75" t="n">
        <f aca="false">IF(OR(SUM($AJ202)&lt;=0,SUM($G202)&lt;=0),"",ROUND($G202*$AJ202,0))</f>
        <v>2205</v>
      </c>
      <c r="BL202" s="75" t="str">
        <f aca="false">IF(SUM($BK202)&lt;=0,"",IF(SUM($BJ202)&lt;=0,"ENTER VALID YIELD!",ROUND($BK202/$BJ202,0)-$BK202))</f>
        <v>ENTER VALID YIELD!</v>
      </c>
      <c r="BM202" s="73" t="n">
        <f aca="false">IF(SUM($G202)&lt;=0,"",$G202)</f>
        <v>63</v>
      </c>
      <c r="BN202" s="73" t="n">
        <f aca="false">IF(SUM($G202)&lt;=0,"",SUM($I202:$L202,$Q202,$S202,$AM202,$AP202,$AS202,$AV202,$AY202,$BB202,$BE202,$BH202,$BK202))</f>
        <v>2376</v>
      </c>
      <c r="BO202" s="73" t="n">
        <f aca="false">IF(AND(SUM($BN202)&lt;=0,SUM($BM202)&lt;=0),"",SUM($BN202)-SUM($BM202))</f>
        <v>2313</v>
      </c>
      <c r="BP202" s="73" t="str">
        <f aca="false">_xlfn.IFNA(INDEX(PMTCT!$AF:$AF,MATCH($E202,PMTCT!$E:$E,0)),"")</f>
        <v/>
      </c>
      <c r="BQ202" s="73" t="str">
        <f aca="false">_xlfn.IFNA(INDEX(PMTCT!$AV:$AV,MATCH($E202,PMTCT!$E:$E,0)),"")</f>
        <v/>
      </c>
      <c r="BR202" s="73" t="n">
        <f aca="false">_xlfn.IFNA(INDEX(TB!$R:$R,MATCH($E202,TB!$E:$E,0)),"")</f>
        <v>9729</v>
      </c>
      <c r="BS202" s="73" t="str">
        <f aca="false">_xlfn.IFNA(INDEX(VMMC!$AD:$AD,MATCH($E202,VMMC!$E:$E,0)),"")</f>
        <v/>
      </c>
      <c r="BT202" s="73" t="n">
        <f aca="false">IF(SUM($R202,$T202,$AN202,$AQ202,$AT202,$AW202,$AZ202,$BC202,$BF202,$BI202,$BL202,$BP202:$BS202)=0,"",SUM($R202,$T202,$AN202,$AQ202,$AT202,$AW202,$AZ202,$BC202,$BF202,$BI202,$BL202,$BP202:$BS202))</f>
        <v>8647</v>
      </c>
      <c r="BU202" s="73" t="n">
        <f aca="false">IF(OR(SUM($BT202)=0,SUM($BN202)=0),"",SUM($BT202,$BN202))</f>
        <v>11023</v>
      </c>
      <c r="BV202" s="118" t="n">
        <f aca="false">IF(SUM($BU202)=0,"",SUM($BN202)/$BU202)</f>
        <v>0.215549305996553</v>
      </c>
      <c r="BW202" s="73"/>
      <c r="BX202" s="118" t="n">
        <f aca="false">IF(OR($C202="01-04",$C202="05-09"),"",0%)</f>
        <v>0</v>
      </c>
      <c r="BY202" s="75" t="str">
        <f aca="false">IF(OR($C202="01-04",$C202="05-09",SUM($BW202)=0),"",ROUND($BW202*(1+$BX202),0))</f>
        <v/>
      </c>
    </row>
    <row r="203" customFormat="false" ht="15" hidden="false" customHeight="false" outlineLevel="0" collapsed="false">
      <c r="A203" s="0" t="s">
        <v>149</v>
      </c>
      <c r="B203" s="0" t="s">
        <v>111</v>
      </c>
      <c r="C203" s="0" t="s">
        <v>72</v>
      </c>
      <c r="D203" s="0" t="s">
        <v>56</v>
      </c>
      <c r="E203" s="0" t="str">
        <f aca="false">B203&amp;"|"&amp;C203&amp;"|"&amp;D203</f>
        <v>Qacha's Nek [#SNU] [zTaMbxvQtJ6]|30-34|Female</v>
      </c>
      <c r="F203" s="118" t="n">
        <f aca="false">_xlfn.IFNA(INDEX(Cascade!$Y:$Y,MATCH($E203,Cascade!$E:$E,0)),"")</f>
        <v>0.542372881355932</v>
      </c>
      <c r="G203" s="73" t="n">
        <f aca="false">_xlfn.IFNA(INDEX(Cascade!$BD:$BD,MATCH($E203,Cascade!$E:$E,0)),"")</f>
        <v>16</v>
      </c>
      <c r="H203" s="73" t="n">
        <f aca="false">_xlfn.IFNA(INDEX(Cascade!$BE:$BE,MATCH($E203,Cascade!$E:$E,0)),"")</f>
        <v>5</v>
      </c>
      <c r="I203" s="73" t="n">
        <f aca="false">_xlfn.IFNA(INDEX(Cascade!$BF:$BF,MATCH($E203,Cascade!$E:$E,0)),"")</f>
        <v>-24960</v>
      </c>
      <c r="J203" s="73" t="str">
        <f aca="false">_xlfn.IFNA(INDEX(Cascade!$BG:$BG,MATCH($E203,Cascade!$E:$E,0)),"")</f>
        <v/>
      </c>
      <c r="K203" s="73" t="n">
        <f aca="false">_xlfn.IFNA(INDEX(Cascade!$BH:$BH,MATCH($E203,Cascade!$E:$E,0)),"")</f>
        <v>-459</v>
      </c>
      <c r="L203" s="73" t="str">
        <f aca="false">_xlfn.IFNA(INDEX(Cascade!$BI:$BI,MATCH($E203,Cascade!$E:$E,0)),"")</f>
        <v/>
      </c>
      <c r="M203" s="73" t="n">
        <f aca="false">_xlfn.IFNA(INDEX(Cascade!$BK:$BK,MATCH($E203,Cascade!$E:$E,0)),"")</f>
        <v>25430</v>
      </c>
      <c r="N203" s="118" t="n">
        <v>18</v>
      </c>
      <c r="O203" s="118"/>
      <c r="P203" s="118" t="n">
        <v>32</v>
      </c>
      <c r="Q203" s="75" t="str">
        <f aca="false">IF(OR(SUM($H203)=0,SUM($N203)=0,SUM($O203)=0),"",ROUND($H203*$N203,0))</f>
        <v/>
      </c>
      <c r="R203" s="75" t="str">
        <f aca="false">IF(OR(SUM($Q203)=0,SUM($O203)=0),"",ROUND(SUM($Q203)/SUM($O203),0)-SUM($Q203))</f>
        <v/>
      </c>
      <c r="S203" s="75" t="n">
        <f aca="false">IF(SUM($H203)=0,"",SUM($H203)-SUM($Q203))</f>
        <v>5</v>
      </c>
      <c r="T203" s="75" t="str">
        <f aca="false">IF(OR(SUM($S203)=0,$N203&gt;1,SUM($P203)&lt;=0),"",ROUND($S203/$P203,0)-$S203)</f>
        <v/>
      </c>
      <c r="U203" s="118" t="n">
        <f aca="false">IF(SUM($G203)&lt;=0,"",SUM($Q203,$S203)/$G203)</f>
        <v>0.3125</v>
      </c>
      <c r="V203" s="118" t="str">
        <f aca="false">IF(OR(SUM($Q203)=0,SUM($G203)=0),"",SUM($Q203)/SUM($G203))</f>
        <v/>
      </c>
      <c r="W203" s="118" t="n">
        <f aca="false">IF(OR(SUM($S203)=0,SUM($G203)=0),"",SUM($S203)/SUM($G203))</f>
        <v>0.3125</v>
      </c>
      <c r="X203" s="118" t="n">
        <f aca="false">IF(OR(SUM($G203)=0,SUM($I203)=0),"",SUM($I203)/SUM($G203))</f>
        <v>-1560</v>
      </c>
      <c r="Y203" s="118" t="str">
        <f aca="false">IF(OR(SUM($G203)=0,SUM($J203)=0),"",SUM($J203)/SUM($G203))</f>
        <v/>
      </c>
      <c r="Z203" s="118" t="n">
        <f aca="false">IF(OR(SUM($G203)=0,SUM($K203)=0),"",SUM($K203)/SUM($G203))</f>
        <v>-28.6875</v>
      </c>
      <c r="AA203" s="118" t="str">
        <f aca="false">IF(OR(SUM($G203)=0,SUM($L203)=0),"",SUM($L203)/SUM($G203))</f>
        <v/>
      </c>
      <c r="AB203" s="118" t="n">
        <v>17</v>
      </c>
      <c r="AC203" s="118"/>
      <c r="AD203" s="118"/>
      <c r="AE203" s="118" t="n">
        <v>41</v>
      </c>
      <c r="AF203" s="118" t="n">
        <v>33</v>
      </c>
      <c r="AG203" s="118" t="n">
        <v>3</v>
      </c>
      <c r="AH203" s="118" t="n">
        <v>47</v>
      </c>
      <c r="AI203" s="118" t="n">
        <v>3</v>
      </c>
      <c r="AJ203" s="118" t="n">
        <v>46</v>
      </c>
      <c r="AK203" s="118" t="n">
        <f aca="false">IF(SUM($G203)&lt;=0,"",SUM($V203:$AJ203))</f>
        <v>-1398.375</v>
      </c>
      <c r="AL203" s="118"/>
      <c r="AM203" s="75" t="n">
        <f aca="false">IF(OR(SUM($AB203)&lt;=0,SUM($G203)&lt;=0),"",ROUND($G203*$AB203,0))</f>
        <v>272</v>
      </c>
      <c r="AN203" s="75" t="str">
        <f aca="false">IF(SUM($AM203)&lt;=0,"",IF(SUM($AL203)&lt;=0,"ENTER VALID YIELD!",ROUND($AM203/$AL203,0)-$AM203))</f>
        <v>ENTER VALID YIELD!</v>
      </c>
      <c r="AO203" s="118"/>
      <c r="AP203" s="75" t="str">
        <f aca="false">IF(OR(SUM($AC203)&lt;=0,SUM($G203)&lt;=0),"",ROUND($G203*$AC203,0))</f>
        <v/>
      </c>
      <c r="AQ203" s="75" t="str">
        <f aca="false">IF(SUM($AP203)&lt;=0,"",IF(SUM($AO203)&lt;=0,"ENTER VALID YIELD!",ROUND($AP203/$AO203,0)-$AP203))</f>
        <v/>
      </c>
      <c r="AR203" s="118"/>
      <c r="AS203" s="75" t="str">
        <f aca="false">IF(OR(SUM($AD203)&lt;=0,SUM($G203)&lt;=0),"",ROUND($G203*$AD203,0))</f>
        <v/>
      </c>
      <c r="AT203" s="75" t="str">
        <f aca="false">IF(SUM($AS203)&lt;=0,"",IF(SUM($AR203)&lt;=0,"ENTER VALID YIELD!",ROUND($AS203/$AR203,0)-$AS203))</f>
        <v/>
      </c>
      <c r="AU203" s="118"/>
      <c r="AV203" s="75" t="n">
        <f aca="false">IF(OR(SUM($AE203)&lt;=0,SUM($G203)&lt;=0),"",ROUND($G203*$AE203,0))</f>
        <v>656</v>
      </c>
      <c r="AW203" s="75" t="str">
        <f aca="false">IF(SUM($AV203)&lt;=0,"",IF(SUM($AU203)&lt;=0,"ENTER VALID YIELD!",ROUND($AV203/$AU203,0)-$AV203))</f>
        <v>ENTER VALID YIELD!</v>
      </c>
      <c r="AX203" s="118"/>
      <c r="AY203" s="75" t="n">
        <f aca="false">IF(OR(SUM($AF203)&lt;=0,SUM($G203)&lt;=0),"",ROUND($G203*$AF203,0))</f>
        <v>528</v>
      </c>
      <c r="AZ203" s="75" t="str">
        <f aca="false">IF(SUM($AY203)&lt;=0,"",IF(SUM($AX203)&lt;=0,"ENTER VALID YIELD!",ROUND($AY203/$AX203,0)-$AY203))</f>
        <v>ENTER VALID YIELD!</v>
      </c>
      <c r="BA203" s="118" t="n">
        <v>35</v>
      </c>
      <c r="BB203" s="75" t="n">
        <f aca="false">IF(OR(SUM($AG203)&lt;=0,SUM($G203)&lt;=0),"",ROUND($G203*$AG203,0))</f>
        <v>48</v>
      </c>
      <c r="BC203" s="75" t="n">
        <f aca="false">IF(SUM($BB203)&lt;=0,"",IF(SUM($BA203)&lt;=0,"ENTER VALID YIELD!",ROUND($BB203/$BA203,0)-$BB203))</f>
        <v>-47</v>
      </c>
      <c r="BD203" s="118"/>
      <c r="BE203" s="75" t="n">
        <f aca="false">IF(OR(SUM($AH203)&lt;=0,SUM($G203)&lt;=0),"",ROUND($G203*$AH203,0))</f>
        <v>752</v>
      </c>
      <c r="BF203" s="75" t="str">
        <f aca="false">IF(SUM($BE203)&lt;=0,"",IF(SUM($BD203)&lt;=0,"ENTER VALID YIELD!",ROUND($BE203/$BD203,0)-$BE203))</f>
        <v>ENTER VALID YIELD!</v>
      </c>
      <c r="BG203" s="118"/>
      <c r="BH203" s="75" t="n">
        <f aca="false">IF(OR(SUM($AI203)&lt;=0,SUM($G203)&lt;=0),"",ROUND($G203*$AI203,0))</f>
        <v>48</v>
      </c>
      <c r="BI203" s="75" t="str">
        <f aca="false">IF(SUM($BH203)&lt;=0,"",IF(SUM($BG203)&lt;=0,"ENTER VALID YIELD!",ROUND($BH203/$BG203,0)-$BH203))</f>
        <v>ENTER VALID YIELD!</v>
      </c>
      <c r="BJ203" s="118"/>
      <c r="BK203" s="75" t="n">
        <f aca="false">IF(OR(SUM($AJ203)&lt;=0,SUM($G203)&lt;=0),"",ROUND($G203*$AJ203,0))</f>
        <v>736</v>
      </c>
      <c r="BL203" s="75" t="str">
        <f aca="false">IF(SUM($BK203)&lt;=0,"",IF(SUM($BJ203)&lt;=0,"ENTER VALID YIELD!",ROUND($BK203/$BJ203,0)-$BK203))</f>
        <v>ENTER VALID YIELD!</v>
      </c>
      <c r="BM203" s="73" t="n">
        <f aca="false">IF(SUM($G203)&lt;=0,"",$G203)</f>
        <v>16</v>
      </c>
      <c r="BN203" s="73" t="n">
        <f aca="false">IF(SUM($G203)&lt;=0,"",SUM($I203:$L203,$Q203,$S203,$AM203,$AP203,$AS203,$AV203,$AY203,$BB203,$BE203,$BH203,$BK203))</f>
        <v>-22374</v>
      </c>
      <c r="BO203" s="73" t="n">
        <f aca="false">IF(AND(SUM($BN203)&lt;=0,SUM($BM203)&lt;=0),"",SUM($BN203)-SUM($BM203))</f>
        <v>-22390</v>
      </c>
      <c r="BP203" s="73" t="n">
        <f aca="false">_xlfn.IFNA(INDEX(PMTCT!$AF:$AF,MATCH($E203,PMTCT!$E:$E,0)),"")</f>
        <v>24128</v>
      </c>
      <c r="BQ203" s="73" t="str">
        <f aca="false">_xlfn.IFNA(INDEX(PMTCT!$AV:$AV,MATCH($E203,PMTCT!$E:$E,0)),"")</f>
        <v/>
      </c>
      <c r="BR203" s="73" t="n">
        <f aca="false">_xlfn.IFNA(INDEX(TB!$R:$R,MATCH($E203,TB!$E:$E,0)),"")</f>
        <v>432</v>
      </c>
      <c r="BS203" s="73" t="str">
        <f aca="false">_xlfn.IFNA(INDEX(VMMC!$AD:$AD,MATCH($E203,VMMC!$E:$E,0)),"")</f>
        <v/>
      </c>
      <c r="BT203" s="73" t="n">
        <f aca="false">IF(SUM($R203,$T203,$AN203,$AQ203,$AT203,$AW203,$AZ203,$BC203,$BF203,$BI203,$BL203,$BP203:$BS203)=0,"",SUM($R203,$T203,$AN203,$AQ203,$AT203,$AW203,$AZ203,$BC203,$BF203,$BI203,$BL203,$BP203:$BS203))</f>
        <v>24513</v>
      </c>
      <c r="BU203" s="73" t="n">
        <f aca="false">IF(OR(SUM($BT203)=0,SUM($BN203)=0),"",SUM($BT203,$BN203))</f>
        <v>2139</v>
      </c>
      <c r="BV203" s="118" t="n">
        <f aca="false">IF(SUM($BU203)=0,"",SUM($BN203)/$BU203)</f>
        <v>-10.4600280504909</v>
      </c>
      <c r="BW203" s="73"/>
      <c r="BX203" s="118" t="n">
        <f aca="false">IF(OR($C203="01-04",$C203="05-09"),"",0%)</f>
        <v>0</v>
      </c>
      <c r="BY203" s="75" t="str">
        <f aca="false">IF(OR($C203="01-04",$C203="05-09",SUM($BW203)=0),"",ROUND($BW203*(1+$BX203),0))</f>
        <v/>
      </c>
    </row>
    <row r="204" customFormat="false" ht="15" hidden="false" customHeight="false" outlineLevel="0" collapsed="false">
      <c r="A204" s="0" t="s">
        <v>149</v>
      </c>
      <c r="B204" s="0" t="s">
        <v>111</v>
      </c>
      <c r="C204" s="0" t="s">
        <v>72</v>
      </c>
      <c r="D204" s="0" t="s">
        <v>58</v>
      </c>
      <c r="E204" s="0" t="str">
        <f aca="false">B204&amp;"|"&amp;C204&amp;"|"&amp;D204</f>
        <v>Qacha's Nek [#SNU] [zTaMbxvQtJ6]|30-34|Male</v>
      </c>
      <c r="F204" s="118" t="n">
        <f aca="false">_xlfn.IFNA(INDEX(Cascade!$Y:$Y,MATCH($E204,Cascade!$E:$E,0)),"")</f>
        <v>0.407766990291262</v>
      </c>
      <c r="G204" s="73" t="n">
        <f aca="false">_xlfn.IFNA(INDEX(Cascade!$BD:$BD,MATCH($E204,Cascade!$E:$E,0)),"")</f>
        <v>57</v>
      </c>
      <c r="H204" s="73" t="n">
        <f aca="false">_xlfn.IFNA(INDEX(Cascade!$BE:$BE,MATCH($E204,Cascade!$E:$E,0)),"")</f>
        <v>17</v>
      </c>
      <c r="I204" s="73" t="str">
        <f aca="false">_xlfn.IFNA(INDEX(Cascade!$BF:$BF,MATCH($E204,Cascade!$E:$E,0)),"")</f>
        <v/>
      </c>
      <c r="J204" s="73" t="str">
        <f aca="false">_xlfn.IFNA(INDEX(Cascade!$BG:$BG,MATCH($E204,Cascade!$E:$E,0)),"")</f>
        <v/>
      </c>
      <c r="K204" s="73" t="n">
        <f aca="false">_xlfn.IFNA(INDEX(Cascade!$BH:$BH,MATCH($E204,Cascade!$E:$E,0)),"")</f>
        <v>-0</v>
      </c>
      <c r="L204" s="73" t="str">
        <f aca="false">_xlfn.IFNA(INDEX(Cascade!$BI:$BI,MATCH($E204,Cascade!$E:$E,0)),"")</f>
        <v/>
      </c>
      <c r="M204" s="73" t="n">
        <f aca="false">_xlfn.IFNA(INDEX(Cascade!$BK:$BK,MATCH($E204,Cascade!$E:$E,0)),"")</f>
        <v>40</v>
      </c>
      <c r="N204" s="118" t="n">
        <v>41</v>
      </c>
      <c r="O204" s="118"/>
      <c r="P204" s="118" t="n">
        <v>22</v>
      </c>
      <c r="Q204" s="75" t="str">
        <f aca="false">IF(OR(SUM($H204)=0,SUM($N204)=0,SUM($O204)=0),"",ROUND($H204*$N204,0))</f>
        <v/>
      </c>
      <c r="R204" s="75" t="str">
        <f aca="false">IF(OR(SUM($Q204)=0,SUM($O204)=0),"",ROUND(SUM($Q204)/SUM($O204),0)-SUM($Q204))</f>
        <v/>
      </c>
      <c r="S204" s="75" t="n">
        <f aca="false">IF(SUM($H204)=0,"",SUM($H204)-SUM($Q204))</f>
        <v>17</v>
      </c>
      <c r="T204" s="75" t="str">
        <f aca="false">IF(OR(SUM($S204)=0,$N204&gt;1,SUM($P204)&lt;=0),"",ROUND($S204/$P204,0)-$S204)</f>
        <v/>
      </c>
      <c r="U204" s="118" t="n">
        <f aca="false">IF(SUM($G204)&lt;=0,"",SUM($Q204,$S204)/$G204)</f>
        <v>0.298245614035088</v>
      </c>
      <c r="V204" s="118" t="str">
        <f aca="false">IF(OR(SUM($Q204)=0,SUM($G204)=0),"",SUM($Q204)/SUM($G204))</f>
        <v/>
      </c>
      <c r="W204" s="118" t="n">
        <f aca="false">IF(OR(SUM($S204)=0,SUM($G204)=0),"",SUM($S204)/SUM($G204))</f>
        <v>0.298245614035088</v>
      </c>
      <c r="X204" s="118" t="str">
        <f aca="false">IF(OR(SUM($G204)=0,SUM($I204)=0),"",SUM($I204)/SUM($G204))</f>
        <v/>
      </c>
      <c r="Y204" s="118" t="str">
        <f aca="false">IF(OR(SUM($G204)=0,SUM($J204)=0),"",SUM($J204)/SUM($G204))</f>
        <v/>
      </c>
      <c r="Z204" s="118" t="str">
        <f aca="false">IF(OR(SUM($G204)=0,SUM($K204)=0),"",SUM($K204)/SUM($G204))</f>
        <v/>
      </c>
      <c r="AA204" s="118" t="str">
        <f aca="false">IF(OR(SUM($G204)=0,SUM($L204)=0),"",SUM($L204)/SUM($G204))</f>
        <v/>
      </c>
      <c r="AB204" s="118" t="n">
        <v>25</v>
      </c>
      <c r="AC204" s="118"/>
      <c r="AD204" s="118"/>
      <c r="AE204" s="118" t="n">
        <v>41</v>
      </c>
      <c r="AF204" s="118" t="n">
        <v>35</v>
      </c>
      <c r="AG204" s="118" t="n">
        <v>26</v>
      </c>
      <c r="AH204" s="118" t="n">
        <v>46</v>
      </c>
      <c r="AI204" s="118" t="n">
        <v>18</v>
      </c>
      <c r="AJ204" s="118" t="n">
        <v>45</v>
      </c>
      <c r="AK204" s="118" t="n">
        <f aca="false">IF(SUM($G204)&lt;=0,"",SUM($V204:$AJ204))</f>
        <v>236.298245614035</v>
      </c>
      <c r="AL204" s="118"/>
      <c r="AM204" s="75" t="n">
        <f aca="false">IF(OR(SUM($AB204)&lt;=0,SUM($G204)&lt;=0),"",ROUND($G204*$AB204,0))</f>
        <v>1425</v>
      </c>
      <c r="AN204" s="75" t="str">
        <f aca="false">IF(SUM($AM204)&lt;=0,"",IF(SUM($AL204)&lt;=0,"ENTER VALID YIELD!",ROUND($AM204/$AL204,0)-$AM204))</f>
        <v>ENTER VALID YIELD!</v>
      </c>
      <c r="AO204" s="118"/>
      <c r="AP204" s="75" t="str">
        <f aca="false">IF(OR(SUM($AC204)&lt;=0,SUM($G204)&lt;=0),"",ROUND($G204*$AC204,0))</f>
        <v/>
      </c>
      <c r="AQ204" s="75" t="str">
        <f aca="false">IF(SUM($AP204)&lt;=0,"",IF(SUM($AO204)&lt;=0,"ENTER VALID YIELD!",ROUND($AP204/$AO204,0)-$AP204))</f>
        <v/>
      </c>
      <c r="AR204" s="118"/>
      <c r="AS204" s="75" t="str">
        <f aca="false">IF(OR(SUM($AD204)&lt;=0,SUM($G204)&lt;=0),"",ROUND($G204*$AD204,0))</f>
        <v/>
      </c>
      <c r="AT204" s="75" t="str">
        <f aca="false">IF(SUM($AS204)&lt;=0,"",IF(SUM($AR204)&lt;=0,"ENTER VALID YIELD!",ROUND($AS204/$AR204,0)-$AS204))</f>
        <v/>
      </c>
      <c r="AU204" s="118"/>
      <c r="AV204" s="75" t="n">
        <f aca="false">IF(OR(SUM($AE204)&lt;=0,SUM($G204)&lt;=0),"",ROUND($G204*$AE204,0))</f>
        <v>2337</v>
      </c>
      <c r="AW204" s="75" t="str">
        <f aca="false">IF(SUM($AV204)&lt;=0,"",IF(SUM($AU204)&lt;=0,"ENTER VALID YIELD!",ROUND($AV204/$AU204,0)-$AV204))</f>
        <v>ENTER VALID YIELD!</v>
      </c>
      <c r="AX204" s="118"/>
      <c r="AY204" s="75" t="n">
        <f aca="false">IF(OR(SUM($AF204)&lt;=0,SUM($G204)&lt;=0),"",ROUND($G204*$AF204,0))</f>
        <v>1995</v>
      </c>
      <c r="AZ204" s="75" t="str">
        <f aca="false">IF(SUM($AY204)&lt;=0,"",IF(SUM($AX204)&lt;=0,"ENTER VALID YIELD!",ROUND($AY204/$AX204,0)-$AY204))</f>
        <v>ENTER VALID YIELD!</v>
      </c>
      <c r="BA204" s="118" t="n">
        <v>5</v>
      </c>
      <c r="BB204" s="75" t="n">
        <f aca="false">IF(OR(SUM($AG204)&lt;=0,SUM($G204)&lt;=0),"",ROUND($G204*$AG204,0))</f>
        <v>1482</v>
      </c>
      <c r="BC204" s="75" t="n">
        <f aca="false">IF(SUM($BB204)&lt;=0,"",IF(SUM($BA204)&lt;=0,"ENTER VALID YIELD!",ROUND($BB204/$BA204,0)-$BB204))</f>
        <v>-1186</v>
      </c>
      <c r="BD204" s="118"/>
      <c r="BE204" s="75" t="n">
        <f aca="false">IF(OR(SUM($AH204)&lt;=0,SUM($G204)&lt;=0),"",ROUND($G204*$AH204,0))</f>
        <v>2622</v>
      </c>
      <c r="BF204" s="75" t="str">
        <f aca="false">IF(SUM($BE204)&lt;=0,"",IF(SUM($BD204)&lt;=0,"ENTER VALID YIELD!",ROUND($BE204/$BD204,0)-$BE204))</f>
        <v>ENTER VALID YIELD!</v>
      </c>
      <c r="BG204" s="118"/>
      <c r="BH204" s="75" t="n">
        <f aca="false">IF(OR(SUM($AI204)&lt;=0,SUM($G204)&lt;=0),"",ROUND($G204*$AI204,0))</f>
        <v>1026</v>
      </c>
      <c r="BI204" s="75" t="str">
        <f aca="false">IF(SUM($BH204)&lt;=0,"",IF(SUM($BG204)&lt;=0,"ENTER VALID YIELD!",ROUND($BH204/$BG204,0)-$BH204))</f>
        <v>ENTER VALID YIELD!</v>
      </c>
      <c r="BJ204" s="118"/>
      <c r="BK204" s="75" t="n">
        <f aca="false">IF(OR(SUM($AJ204)&lt;=0,SUM($G204)&lt;=0),"",ROUND($G204*$AJ204,0))</f>
        <v>2565</v>
      </c>
      <c r="BL204" s="75" t="str">
        <f aca="false">IF(SUM($BK204)&lt;=0,"",IF(SUM($BJ204)&lt;=0,"ENTER VALID YIELD!",ROUND($BK204/$BJ204,0)-$BK204))</f>
        <v>ENTER VALID YIELD!</v>
      </c>
      <c r="BM204" s="73" t="n">
        <f aca="false">IF(SUM($G204)&lt;=0,"",$G204)</f>
        <v>57</v>
      </c>
      <c r="BN204" s="73" t="n">
        <f aca="false">IF(SUM($G204)&lt;=0,"",SUM($I204:$L204,$Q204,$S204,$AM204,$AP204,$AS204,$AV204,$AY204,$BB204,$BE204,$BH204,$BK204))</f>
        <v>13469</v>
      </c>
      <c r="BO204" s="73" t="n">
        <f aca="false">IF(AND(SUM($BN204)&lt;=0,SUM($BM204)&lt;=0),"",SUM($BN204)-SUM($BM204))</f>
        <v>13412</v>
      </c>
      <c r="BP204" s="73" t="str">
        <f aca="false">_xlfn.IFNA(INDEX(PMTCT!$AF:$AF,MATCH($E204,PMTCT!$E:$E,0)),"")</f>
        <v/>
      </c>
      <c r="BQ204" s="73" t="str">
        <f aca="false">_xlfn.IFNA(INDEX(PMTCT!$AV:$AV,MATCH($E204,PMTCT!$E:$E,0)),"")</f>
        <v/>
      </c>
      <c r="BR204" s="73" t="n">
        <f aca="false">_xlfn.IFNA(INDEX(TB!$R:$R,MATCH($E204,TB!$E:$E,0)),"")</f>
        <v>-30</v>
      </c>
      <c r="BS204" s="73" t="str">
        <f aca="false">_xlfn.IFNA(INDEX(VMMC!$AD:$AD,MATCH($E204,VMMC!$E:$E,0)),"")</f>
        <v/>
      </c>
      <c r="BT204" s="73" t="n">
        <f aca="false">IF(SUM($R204,$T204,$AN204,$AQ204,$AT204,$AW204,$AZ204,$BC204,$BF204,$BI204,$BL204,$BP204:$BS204)=0,"",SUM($R204,$T204,$AN204,$AQ204,$AT204,$AW204,$AZ204,$BC204,$BF204,$BI204,$BL204,$BP204:$BS204))</f>
        <v>-1216</v>
      </c>
      <c r="BU204" s="73" t="n">
        <f aca="false">IF(OR(SUM($BT204)=0,SUM($BN204)=0),"",SUM($BT204,$BN204))</f>
        <v>12253</v>
      </c>
      <c r="BV204" s="118" t="n">
        <f aca="false">IF(SUM($BU204)=0,"",SUM($BN204)/$BU204)</f>
        <v>1.09924100220354</v>
      </c>
      <c r="BW204" s="73"/>
      <c r="BX204" s="118" t="n">
        <f aca="false">IF(OR($C204="01-04",$C204="05-09"),"",0%)</f>
        <v>0</v>
      </c>
      <c r="BY204" s="75" t="str">
        <f aca="false">IF(OR($C204="01-04",$C204="05-09",SUM($BW204)=0),"",ROUND($BW204*(1+$BX204),0))</f>
        <v/>
      </c>
    </row>
    <row r="205" customFormat="false" ht="15" hidden="false" customHeight="false" outlineLevel="0" collapsed="false">
      <c r="A205" s="0" t="s">
        <v>149</v>
      </c>
      <c r="B205" s="0" t="s">
        <v>111</v>
      </c>
      <c r="C205" s="0" t="s">
        <v>75</v>
      </c>
      <c r="D205" s="0" t="s">
        <v>56</v>
      </c>
      <c r="E205" s="0" t="str">
        <f aca="false">B205&amp;"|"&amp;C205&amp;"|"&amp;D205</f>
        <v>Qacha's Nek [#SNU] [zTaMbxvQtJ6]|35-39|Female</v>
      </c>
      <c r="F205" s="118" t="n">
        <f aca="false">_xlfn.IFNA(INDEX(Cascade!$Y:$Y,MATCH($E205,Cascade!$E:$E,0)),"")</f>
        <v>0.661631419939577</v>
      </c>
      <c r="G205" s="73" t="n">
        <f aca="false">_xlfn.IFNA(INDEX(Cascade!$BD:$BD,MATCH($E205,Cascade!$E:$E,0)),"")</f>
        <v>17</v>
      </c>
      <c r="H205" s="73" t="n">
        <f aca="false">_xlfn.IFNA(INDEX(Cascade!$BE:$BE,MATCH($E205,Cascade!$E:$E,0)),"")</f>
        <v>5</v>
      </c>
      <c r="I205" s="73" t="str">
        <f aca="false">_xlfn.IFNA(INDEX(Cascade!$BF:$BF,MATCH($E205,Cascade!$E:$E,0)),"")</f>
        <v/>
      </c>
      <c r="J205" s="73" t="str">
        <f aca="false">_xlfn.IFNA(INDEX(Cascade!$BG:$BG,MATCH($E205,Cascade!$E:$E,0)),"")</f>
        <v/>
      </c>
      <c r="K205" s="73" t="n">
        <f aca="false">_xlfn.IFNA(INDEX(Cascade!$BH:$BH,MATCH($E205,Cascade!$E:$E,0)),"")</f>
        <v>-0</v>
      </c>
      <c r="L205" s="73" t="str">
        <f aca="false">_xlfn.IFNA(INDEX(Cascade!$BI:$BI,MATCH($E205,Cascade!$E:$E,0)),"")</f>
        <v/>
      </c>
      <c r="M205" s="73" t="n">
        <f aca="false">_xlfn.IFNA(INDEX(Cascade!$BK:$BK,MATCH($E205,Cascade!$E:$E,0)),"")</f>
        <v>12</v>
      </c>
      <c r="N205" s="118" t="n">
        <v>0</v>
      </c>
      <c r="O205" s="118"/>
      <c r="P205" s="118" t="n">
        <v>12</v>
      </c>
      <c r="Q205" s="75" t="str">
        <f aca="false">IF(OR(SUM($H205)=0,SUM($N205)=0,SUM($O205)=0),"",ROUND($H205*$N205,0))</f>
        <v/>
      </c>
      <c r="R205" s="75" t="str">
        <f aca="false">IF(OR(SUM($Q205)=0,SUM($O205)=0),"",ROUND(SUM($Q205)/SUM($O205),0)-SUM($Q205))</f>
        <v/>
      </c>
      <c r="S205" s="75" t="n">
        <f aca="false">IF(SUM($H205)=0,"",SUM($H205)-SUM($Q205))</f>
        <v>5</v>
      </c>
      <c r="T205" s="75" t="n">
        <f aca="false">IF(OR(SUM($S205)=0,$N205&gt;1,SUM($P205)&lt;=0),"",ROUND($S205/$P205,0)-$S205)</f>
        <v>-5</v>
      </c>
      <c r="U205" s="118" t="n">
        <f aca="false">IF(SUM($G205)&lt;=0,"",SUM($Q205,$S205)/$G205)</f>
        <v>0.294117647058823</v>
      </c>
      <c r="V205" s="118" t="str">
        <f aca="false">IF(OR(SUM($Q205)=0,SUM($G205)=0),"",SUM($Q205)/SUM($G205))</f>
        <v/>
      </c>
      <c r="W205" s="118" t="n">
        <f aca="false">IF(OR(SUM($S205)=0,SUM($G205)=0),"",SUM($S205)/SUM($G205))</f>
        <v>0.294117647058823</v>
      </c>
      <c r="X205" s="118" t="str">
        <f aca="false">IF(OR(SUM($G205)=0,SUM($I205)=0),"",SUM($I205)/SUM($G205))</f>
        <v/>
      </c>
      <c r="Y205" s="118" t="str">
        <f aca="false">IF(OR(SUM($G205)=0,SUM($J205)=0),"",SUM($J205)/SUM($G205))</f>
        <v/>
      </c>
      <c r="Z205" s="118" t="str">
        <f aca="false">IF(OR(SUM($G205)=0,SUM($K205)=0),"",SUM($K205)/SUM($G205))</f>
        <v/>
      </c>
      <c r="AA205" s="118" t="str">
        <f aca="false">IF(OR(SUM($G205)=0,SUM($L205)=0),"",SUM($L205)/SUM($G205))</f>
        <v/>
      </c>
      <c r="AB205" s="118" t="n">
        <v>12</v>
      </c>
      <c r="AC205" s="118"/>
      <c r="AD205" s="118"/>
      <c r="AE205" s="118" t="n">
        <v>22</v>
      </c>
      <c r="AF205" s="118" t="n">
        <v>3</v>
      </c>
      <c r="AG205" s="118" t="n">
        <v>44</v>
      </c>
      <c r="AH205" s="118" t="n">
        <v>30</v>
      </c>
      <c r="AI205" s="118" t="n">
        <v>47</v>
      </c>
      <c r="AJ205" s="118" t="n">
        <v>30</v>
      </c>
      <c r="AK205" s="118" t="n">
        <f aca="false">IF(SUM($G205)&lt;=0,"",SUM($V205:$AJ205))</f>
        <v>188.294117647059</v>
      </c>
      <c r="AL205" s="118"/>
      <c r="AM205" s="75" t="n">
        <f aca="false">IF(OR(SUM($AB205)&lt;=0,SUM($G205)&lt;=0),"",ROUND($G205*$AB205,0))</f>
        <v>204</v>
      </c>
      <c r="AN205" s="75" t="str">
        <f aca="false">IF(SUM($AM205)&lt;=0,"",IF(SUM($AL205)&lt;=0,"ENTER VALID YIELD!",ROUND($AM205/$AL205,0)-$AM205))</f>
        <v>ENTER VALID YIELD!</v>
      </c>
      <c r="AO205" s="118"/>
      <c r="AP205" s="75" t="str">
        <f aca="false">IF(OR(SUM($AC205)&lt;=0,SUM($G205)&lt;=0),"",ROUND($G205*$AC205,0))</f>
        <v/>
      </c>
      <c r="AQ205" s="75" t="str">
        <f aca="false">IF(SUM($AP205)&lt;=0,"",IF(SUM($AO205)&lt;=0,"ENTER VALID YIELD!",ROUND($AP205/$AO205,0)-$AP205))</f>
        <v/>
      </c>
      <c r="AR205" s="118"/>
      <c r="AS205" s="75" t="str">
        <f aca="false">IF(OR(SUM($AD205)&lt;=0,SUM($G205)&lt;=0),"",ROUND($G205*$AD205,0))</f>
        <v/>
      </c>
      <c r="AT205" s="75" t="str">
        <f aca="false">IF(SUM($AS205)&lt;=0,"",IF(SUM($AR205)&lt;=0,"ENTER VALID YIELD!",ROUND($AS205/$AR205,0)-$AS205))</f>
        <v/>
      </c>
      <c r="AU205" s="118"/>
      <c r="AV205" s="75" t="n">
        <f aca="false">IF(OR(SUM($AE205)&lt;=0,SUM($G205)&lt;=0),"",ROUND($G205*$AE205,0))</f>
        <v>374</v>
      </c>
      <c r="AW205" s="75" t="str">
        <f aca="false">IF(SUM($AV205)&lt;=0,"",IF(SUM($AU205)&lt;=0,"ENTER VALID YIELD!",ROUND($AV205/$AU205,0)-$AV205))</f>
        <v>ENTER VALID YIELD!</v>
      </c>
      <c r="AX205" s="118"/>
      <c r="AY205" s="75" t="n">
        <f aca="false">IF(OR(SUM($AF205)&lt;=0,SUM($G205)&lt;=0),"",ROUND($G205*$AF205,0))</f>
        <v>51</v>
      </c>
      <c r="AZ205" s="75" t="str">
        <f aca="false">IF(SUM($AY205)&lt;=0,"",IF(SUM($AX205)&lt;=0,"ENTER VALID YIELD!",ROUND($AY205/$AX205,0)-$AY205))</f>
        <v>ENTER VALID YIELD!</v>
      </c>
      <c r="BA205" s="118" t="n">
        <v>24</v>
      </c>
      <c r="BB205" s="75" t="n">
        <f aca="false">IF(OR(SUM($AG205)&lt;=0,SUM($G205)&lt;=0),"",ROUND($G205*$AG205,0))</f>
        <v>748</v>
      </c>
      <c r="BC205" s="75" t="n">
        <f aca="false">IF(SUM($BB205)&lt;=0,"",IF(SUM($BA205)&lt;=0,"ENTER VALID YIELD!",ROUND($BB205/$BA205,0)-$BB205))</f>
        <v>-717</v>
      </c>
      <c r="BD205" s="118"/>
      <c r="BE205" s="75" t="n">
        <f aca="false">IF(OR(SUM($AH205)&lt;=0,SUM($G205)&lt;=0),"",ROUND($G205*$AH205,0))</f>
        <v>510</v>
      </c>
      <c r="BF205" s="75" t="str">
        <f aca="false">IF(SUM($BE205)&lt;=0,"",IF(SUM($BD205)&lt;=0,"ENTER VALID YIELD!",ROUND($BE205/$BD205,0)-$BE205))</f>
        <v>ENTER VALID YIELD!</v>
      </c>
      <c r="BG205" s="118"/>
      <c r="BH205" s="75" t="n">
        <f aca="false">IF(OR(SUM($AI205)&lt;=0,SUM($G205)&lt;=0),"",ROUND($G205*$AI205,0))</f>
        <v>799</v>
      </c>
      <c r="BI205" s="75" t="str">
        <f aca="false">IF(SUM($BH205)&lt;=0,"",IF(SUM($BG205)&lt;=0,"ENTER VALID YIELD!",ROUND($BH205/$BG205,0)-$BH205))</f>
        <v>ENTER VALID YIELD!</v>
      </c>
      <c r="BJ205" s="118"/>
      <c r="BK205" s="75" t="n">
        <f aca="false">IF(OR(SUM($AJ205)&lt;=0,SUM($G205)&lt;=0),"",ROUND($G205*$AJ205,0))</f>
        <v>510</v>
      </c>
      <c r="BL205" s="75" t="str">
        <f aca="false">IF(SUM($BK205)&lt;=0,"",IF(SUM($BJ205)&lt;=0,"ENTER VALID YIELD!",ROUND($BK205/$BJ205,0)-$BK205))</f>
        <v>ENTER VALID YIELD!</v>
      </c>
      <c r="BM205" s="73" t="n">
        <f aca="false">IF(SUM($G205)&lt;=0,"",$G205)</f>
        <v>17</v>
      </c>
      <c r="BN205" s="73" t="n">
        <f aca="false">IF(SUM($G205)&lt;=0,"",SUM($I205:$L205,$Q205,$S205,$AM205,$AP205,$AS205,$AV205,$AY205,$BB205,$BE205,$BH205,$BK205))</f>
        <v>3201</v>
      </c>
      <c r="BO205" s="73" t="n">
        <f aca="false">IF(AND(SUM($BN205)&lt;=0,SUM($BM205)&lt;=0),"",SUM($BN205)-SUM($BM205))</f>
        <v>3184</v>
      </c>
      <c r="BP205" s="73" t="str">
        <f aca="false">_xlfn.IFNA(INDEX(PMTCT!$AF:$AF,MATCH($E205,PMTCT!$E:$E,0)),"")</f>
        <v/>
      </c>
      <c r="BQ205" s="73" t="str">
        <f aca="false">_xlfn.IFNA(INDEX(PMTCT!$AV:$AV,MATCH($E205,PMTCT!$E:$E,0)),"")</f>
        <v/>
      </c>
      <c r="BR205" s="73" t="n">
        <f aca="false">_xlfn.IFNA(INDEX(TB!$R:$R,MATCH($E205,TB!$E:$E,0)),"")</f>
        <v>-1394</v>
      </c>
      <c r="BS205" s="73" t="str">
        <f aca="false">_xlfn.IFNA(INDEX(VMMC!$AD:$AD,MATCH($E205,VMMC!$E:$E,0)),"")</f>
        <v/>
      </c>
      <c r="BT205" s="73" t="n">
        <f aca="false">IF(SUM($R205,$T205,$AN205,$AQ205,$AT205,$AW205,$AZ205,$BC205,$BF205,$BI205,$BL205,$BP205:$BS205)=0,"",SUM($R205,$T205,$AN205,$AQ205,$AT205,$AW205,$AZ205,$BC205,$BF205,$BI205,$BL205,$BP205:$BS205))</f>
        <v>-2116</v>
      </c>
      <c r="BU205" s="73" t="n">
        <f aca="false">IF(OR(SUM($BT205)=0,SUM($BN205)=0),"",SUM($BT205,$BN205))</f>
        <v>1085</v>
      </c>
      <c r="BV205" s="118" t="n">
        <f aca="false">IF(SUM($BU205)=0,"",SUM($BN205)/$BU205)</f>
        <v>2.95023041474654</v>
      </c>
      <c r="BW205" s="73"/>
      <c r="BX205" s="118" t="n">
        <f aca="false">IF(OR($C205="01-04",$C205="05-09"),"",0%)</f>
        <v>0</v>
      </c>
      <c r="BY205" s="75" t="str">
        <f aca="false">IF(OR($C205="01-04",$C205="05-09",SUM($BW205)=0),"",ROUND($BW205*(1+$BX205),0))</f>
        <v/>
      </c>
    </row>
    <row r="206" customFormat="false" ht="15" hidden="false" customHeight="false" outlineLevel="0" collapsed="false">
      <c r="A206" s="0" t="s">
        <v>149</v>
      </c>
      <c r="B206" s="0" t="s">
        <v>111</v>
      </c>
      <c r="C206" s="0" t="s">
        <v>75</v>
      </c>
      <c r="D206" s="0" t="s">
        <v>58</v>
      </c>
      <c r="E206" s="0" t="str">
        <f aca="false">B206&amp;"|"&amp;C206&amp;"|"&amp;D206</f>
        <v>Qacha's Nek [#SNU] [zTaMbxvQtJ6]|35-39|Male</v>
      </c>
      <c r="F206" s="118" t="n">
        <f aca="false">_xlfn.IFNA(INDEX(Cascade!$Y:$Y,MATCH($E206,Cascade!$E:$E,0)),"")</f>
        <v>0.499330655957162</v>
      </c>
      <c r="G206" s="73" t="n">
        <f aca="false">_xlfn.IFNA(INDEX(Cascade!$BD:$BD,MATCH($E206,Cascade!$E:$E,0)),"")</f>
        <v>3</v>
      </c>
      <c r="H206" s="73" t="n">
        <f aca="false">_xlfn.IFNA(INDEX(Cascade!$BE:$BE,MATCH($E206,Cascade!$E:$E,0)),"")</f>
        <v>1</v>
      </c>
      <c r="I206" s="73" t="str">
        <f aca="false">_xlfn.IFNA(INDEX(Cascade!$BF:$BF,MATCH($E206,Cascade!$E:$E,0)),"")</f>
        <v/>
      </c>
      <c r="J206" s="73" t="str">
        <f aca="false">_xlfn.IFNA(INDEX(Cascade!$BG:$BG,MATCH($E206,Cascade!$E:$E,0)),"")</f>
        <v/>
      </c>
      <c r="K206" s="73" t="n">
        <f aca="false">_xlfn.IFNA(INDEX(Cascade!$BH:$BH,MATCH($E206,Cascade!$E:$E,0)),"")</f>
        <v>-17360</v>
      </c>
      <c r="L206" s="73" t="str">
        <f aca="false">_xlfn.IFNA(INDEX(Cascade!$BI:$BI,MATCH($E206,Cascade!$E:$E,0)),"")</f>
        <v/>
      </c>
      <c r="M206" s="73" t="n">
        <f aca="false">_xlfn.IFNA(INDEX(Cascade!$BK:$BK,MATCH($E206,Cascade!$E:$E,0)),"")</f>
        <v>17362</v>
      </c>
      <c r="N206" s="118" t="n">
        <v>27</v>
      </c>
      <c r="O206" s="118"/>
      <c r="P206" s="118" t="n">
        <v>29</v>
      </c>
      <c r="Q206" s="75" t="str">
        <f aca="false">IF(OR(SUM($H206)=0,SUM($N206)=0,SUM($O206)=0),"",ROUND($H206*$N206,0))</f>
        <v/>
      </c>
      <c r="R206" s="75" t="str">
        <f aca="false">IF(OR(SUM($Q206)=0,SUM($O206)=0),"",ROUND(SUM($Q206)/SUM($O206),0)-SUM($Q206))</f>
        <v/>
      </c>
      <c r="S206" s="75" t="n">
        <f aca="false">IF(SUM($H206)=0,"",SUM($H206)-SUM($Q206))</f>
        <v>1</v>
      </c>
      <c r="T206" s="75" t="str">
        <f aca="false">IF(OR(SUM($S206)=0,$N206&gt;1,SUM($P206)&lt;=0),"",ROUND($S206/$P206,0)-$S206)</f>
        <v/>
      </c>
      <c r="U206" s="118" t="n">
        <f aca="false">IF(SUM($G206)&lt;=0,"",SUM($Q206,$S206)/$G206)</f>
        <v>0.333333333333333</v>
      </c>
      <c r="V206" s="118" t="str">
        <f aca="false">IF(OR(SUM($Q206)=0,SUM($G206)=0),"",SUM($Q206)/SUM($G206))</f>
        <v/>
      </c>
      <c r="W206" s="118" t="n">
        <f aca="false">IF(OR(SUM($S206)=0,SUM($G206)=0),"",SUM($S206)/SUM($G206))</f>
        <v>0.333333333333333</v>
      </c>
      <c r="X206" s="118" t="str">
        <f aca="false">IF(OR(SUM($G206)=0,SUM($I206)=0),"",SUM($I206)/SUM($G206))</f>
        <v/>
      </c>
      <c r="Y206" s="118" t="str">
        <f aca="false">IF(OR(SUM($G206)=0,SUM($J206)=0),"",SUM($J206)/SUM($G206))</f>
        <v/>
      </c>
      <c r="Z206" s="118" t="n">
        <f aca="false">IF(OR(SUM($G206)=0,SUM($K206)=0),"",SUM($K206)/SUM($G206))</f>
        <v>-5786.66666666667</v>
      </c>
      <c r="AA206" s="118" t="str">
        <f aca="false">IF(OR(SUM($G206)=0,SUM($L206)=0),"",SUM($L206)/SUM($G206))</f>
        <v/>
      </c>
      <c r="AB206" s="118" t="n">
        <v>47</v>
      </c>
      <c r="AC206" s="118"/>
      <c r="AD206" s="118"/>
      <c r="AE206" s="118" t="n">
        <v>43</v>
      </c>
      <c r="AF206" s="118" t="n">
        <v>3</v>
      </c>
      <c r="AG206" s="118" t="n">
        <v>19</v>
      </c>
      <c r="AH206" s="118" t="n">
        <v>23</v>
      </c>
      <c r="AI206" s="118" t="n">
        <v>41</v>
      </c>
      <c r="AJ206" s="118" t="n">
        <v>26</v>
      </c>
      <c r="AK206" s="118" t="n">
        <f aca="false">IF(SUM($G206)&lt;=0,"",SUM($V206:$AJ206))</f>
        <v>-5584.33333333333</v>
      </c>
      <c r="AL206" s="118"/>
      <c r="AM206" s="75" t="n">
        <f aca="false">IF(OR(SUM($AB206)&lt;=0,SUM($G206)&lt;=0),"",ROUND($G206*$AB206,0))</f>
        <v>141</v>
      </c>
      <c r="AN206" s="75" t="str">
        <f aca="false">IF(SUM($AM206)&lt;=0,"",IF(SUM($AL206)&lt;=0,"ENTER VALID YIELD!",ROUND($AM206/$AL206,0)-$AM206))</f>
        <v>ENTER VALID YIELD!</v>
      </c>
      <c r="AO206" s="118"/>
      <c r="AP206" s="75" t="str">
        <f aca="false">IF(OR(SUM($AC206)&lt;=0,SUM($G206)&lt;=0),"",ROUND($G206*$AC206,0))</f>
        <v/>
      </c>
      <c r="AQ206" s="75" t="str">
        <f aca="false">IF(SUM($AP206)&lt;=0,"",IF(SUM($AO206)&lt;=0,"ENTER VALID YIELD!",ROUND($AP206/$AO206,0)-$AP206))</f>
        <v/>
      </c>
      <c r="AR206" s="118"/>
      <c r="AS206" s="75" t="str">
        <f aca="false">IF(OR(SUM($AD206)&lt;=0,SUM($G206)&lt;=0),"",ROUND($G206*$AD206,0))</f>
        <v/>
      </c>
      <c r="AT206" s="75" t="str">
        <f aca="false">IF(SUM($AS206)&lt;=0,"",IF(SUM($AR206)&lt;=0,"ENTER VALID YIELD!",ROUND($AS206/$AR206,0)-$AS206))</f>
        <v/>
      </c>
      <c r="AU206" s="118"/>
      <c r="AV206" s="75" t="n">
        <f aca="false">IF(OR(SUM($AE206)&lt;=0,SUM($G206)&lt;=0),"",ROUND($G206*$AE206,0))</f>
        <v>129</v>
      </c>
      <c r="AW206" s="75" t="str">
        <f aca="false">IF(SUM($AV206)&lt;=0,"",IF(SUM($AU206)&lt;=0,"ENTER VALID YIELD!",ROUND($AV206/$AU206,0)-$AV206))</f>
        <v>ENTER VALID YIELD!</v>
      </c>
      <c r="AX206" s="118"/>
      <c r="AY206" s="75" t="n">
        <f aca="false">IF(OR(SUM($AF206)&lt;=0,SUM($G206)&lt;=0),"",ROUND($G206*$AF206,0))</f>
        <v>9</v>
      </c>
      <c r="AZ206" s="75" t="str">
        <f aca="false">IF(SUM($AY206)&lt;=0,"",IF(SUM($AX206)&lt;=0,"ENTER VALID YIELD!",ROUND($AY206/$AX206,0)-$AY206))</f>
        <v>ENTER VALID YIELD!</v>
      </c>
      <c r="BA206" s="118" t="n">
        <v>44</v>
      </c>
      <c r="BB206" s="75" t="n">
        <f aca="false">IF(OR(SUM($AG206)&lt;=0,SUM($G206)&lt;=0),"",ROUND($G206*$AG206,0))</f>
        <v>57</v>
      </c>
      <c r="BC206" s="75" t="n">
        <f aca="false">IF(SUM($BB206)&lt;=0,"",IF(SUM($BA206)&lt;=0,"ENTER VALID YIELD!",ROUND($BB206/$BA206,0)-$BB206))</f>
        <v>-56</v>
      </c>
      <c r="BD206" s="118"/>
      <c r="BE206" s="75" t="n">
        <f aca="false">IF(OR(SUM($AH206)&lt;=0,SUM($G206)&lt;=0),"",ROUND($G206*$AH206,0))</f>
        <v>69</v>
      </c>
      <c r="BF206" s="75" t="str">
        <f aca="false">IF(SUM($BE206)&lt;=0,"",IF(SUM($BD206)&lt;=0,"ENTER VALID YIELD!",ROUND($BE206/$BD206,0)-$BE206))</f>
        <v>ENTER VALID YIELD!</v>
      </c>
      <c r="BG206" s="118"/>
      <c r="BH206" s="75" t="n">
        <f aca="false">IF(OR(SUM($AI206)&lt;=0,SUM($G206)&lt;=0),"",ROUND($G206*$AI206,0))</f>
        <v>123</v>
      </c>
      <c r="BI206" s="75" t="str">
        <f aca="false">IF(SUM($BH206)&lt;=0,"",IF(SUM($BG206)&lt;=0,"ENTER VALID YIELD!",ROUND($BH206/$BG206,0)-$BH206))</f>
        <v>ENTER VALID YIELD!</v>
      </c>
      <c r="BJ206" s="118"/>
      <c r="BK206" s="75" t="n">
        <f aca="false">IF(OR(SUM($AJ206)&lt;=0,SUM($G206)&lt;=0),"",ROUND($G206*$AJ206,0))</f>
        <v>78</v>
      </c>
      <c r="BL206" s="75" t="str">
        <f aca="false">IF(SUM($BK206)&lt;=0,"",IF(SUM($BJ206)&lt;=0,"ENTER VALID YIELD!",ROUND($BK206/$BJ206,0)-$BK206))</f>
        <v>ENTER VALID YIELD!</v>
      </c>
      <c r="BM206" s="73" t="n">
        <f aca="false">IF(SUM($G206)&lt;=0,"",$G206)</f>
        <v>3</v>
      </c>
      <c r="BN206" s="73" t="n">
        <f aca="false">IF(SUM($G206)&lt;=0,"",SUM($I206:$L206,$Q206,$S206,$AM206,$AP206,$AS206,$AV206,$AY206,$BB206,$BE206,$BH206,$BK206))</f>
        <v>-16753</v>
      </c>
      <c r="BO206" s="73" t="n">
        <f aca="false">IF(AND(SUM($BN206)&lt;=0,SUM($BM206)&lt;=0),"",SUM($BN206)-SUM($BM206))</f>
        <v>-16756</v>
      </c>
      <c r="BP206" s="73" t="str">
        <f aca="false">_xlfn.IFNA(INDEX(PMTCT!$AF:$AF,MATCH($E206,PMTCT!$E:$E,0)),"")</f>
        <v/>
      </c>
      <c r="BQ206" s="73" t="str">
        <f aca="false">_xlfn.IFNA(INDEX(PMTCT!$AV:$AV,MATCH($E206,PMTCT!$E:$E,0)),"")</f>
        <v/>
      </c>
      <c r="BR206" s="73" t="n">
        <f aca="false">_xlfn.IFNA(INDEX(TB!$R:$R,MATCH($E206,TB!$E:$E,0)),"")</f>
        <v>16275</v>
      </c>
      <c r="BS206" s="73" t="str">
        <f aca="false">_xlfn.IFNA(INDEX(VMMC!$AD:$AD,MATCH($E206,VMMC!$E:$E,0)),"")</f>
        <v/>
      </c>
      <c r="BT206" s="73" t="n">
        <f aca="false">IF(SUM($R206,$T206,$AN206,$AQ206,$AT206,$AW206,$AZ206,$BC206,$BF206,$BI206,$BL206,$BP206:$BS206)=0,"",SUM($R206,$T206,$AN206,$AQ206,$AT206,$AW206,$AZ206,$BC206,$BF206,$BI206,$BL206,$BP206:$BS206))</f>
        <v>16219</v>
      </c>
      <c r="BU206" s="73" t="n">
        <f aca="false">IF(OR(SUM($BT206)=0,SUM($BN206)=0),"",SUM($BT206,$BN206))</f>
        <v>-534</v>
      </c>
      <c r="BV206" s="118" t="n">
        <f aca="false">IF(SUM($BU206)=0,"",SUM($BN206)/$BU206)</f>
        <v>31.37265917603</v>
      </c>
      <c r="BW206" s="73"/>
      <c r="BX206" s="118" t="n">
        <f aca="false">IF(OR($C206="01-04",$C206="05-09"),"",0%)</f>
        <v>0</v>
      </c>
      <c r="BY206" s="75" t="str">
        <f aca="false">IF(OR($C206="01-04",$C206="05-09",SUM($BW206)=0),"",ROUND($BW206*(1+$BX206),0))</f>
        <v/>
      </c>
    </row>
    <row r="207" customFormat="false" ht="15" hidden="false" customHeight="false" outlineLevel="0" collapsed="false">
      <c r="A207" s="0" t="s">
        <v>149</v>
      </c>
      <c r="B207" s="0" t="s">
        <v>111</v>
      </c>
      <c r="C207" s="0" t="s">
        <v>77</v>
      </c>
      <c r="D207" s="0" t="s">
        <v>56</v>
      </c>
      <c r="E207" s="0" t="str">
        <f aca="false">B207&amp;"|"&amp;C207&amp;"|"&amp;D207</f>
        <v>Qacha's Nek [#SNU] [zTaMbxvQtJ6]|40-44|Female</v>
      </c>
      <c r="F207" s="118" t="n">
        <f aca="false">_xlfn.IFNA(INDEX(Cascade!$Y:$Y,MATCH($E207,Cascade!$E:$E,0)),"")</f>
        <v>0.846354166666667</v>
      </c>
      <c r="G207" s="73" t="n">
        <f aca="false">_xlfn.IFNA(INDEX(Cascade!$BD:$BD,MATCH($E207,Cascade!$E:$E,0)),"")</f>
        <v>4</v>
      </c>
      <c r="H207" s="73" t="n">
        <f aca="false">_xlfn.IFNA(INDEX(Cascade!$BE:$BE,MATCH($E207,Cascade!$E:$E,0)),"")</f>
        <v>3</v>
      </c>
      <c r="I207" s="73" t="str">
        <f aca="false">_xlfn.IFNA(INDEX(Cascade!$BF:$BF,MATCH($E207,Cascade!$E:$E,0)),"")</f>
        <v/>
      </c>
      <c r="J207" s="73" t="str">
        <f aca="false">_xlfn.IFNA(INDEX(Cascade!$BG:$BG,MATCH($E207,Cascade!$E:$E,0)),"")</f>
        <v/>
      </c>
      <c r="K207" s="73" t="n">
        <f aca="false">_xlfn.IFNA(INDEX(Cascade!$BH:$BH,MATCH($E207,Cascade!$E:$E,0)),"")</f>
        <v>-10800</v>
      </c>
      <c r="L207" s="73" t="str">
        <f aca="false">_xlfn.IFNA(INDEX(Cascade!$BI:$BI,MATCH($E207,Cascade!$E:$E,0)),"")</f>
        <v/>
      </c>
      <c r="M207" s="73" t="n">
        <f aca="false">_xlfn.IFNA(INDEX(Cascade!$BK:$BK,MATCH($E207,Cascade!$E:$E,0)),"")</f>
        <v>10801</v>
      </c>
      <c r="N207" s="118"/>
      <c r="O207" s="118"/>
      <c r="P207" s="118"/>
      <c r="Q207" s="75" t="str">
        <f aca="false">IF(OR(SUM($H207)=0,SUM($N207)=0,SUM($O207)=0),"",ROUND($H207*$N207,0))</f>
        <v/>
      </c>
      <c r="R207" s="75" t="str">
        <f aca="false">IF(OR(SUM($Q207)=0,SUM($O207)=0),"",ROUND(SUM($Q207)/SUM($O207),0)-SUM($Q207))</f>
        <v/>
      </c>
      <c r="S207" s="75" t="n">
        <f aca="false">IF(SUM($H207)=0,"",SUM($H207)-SUM($Q207))</f>
        <v>3</v>
      </c>
      <c r="T207" s="75" t="str">
        <f aca="false">IF(OR(SUM($S207)=0,$N207&gt;1,SUM($P207)&lt;=0),"",ROUND($S207/$P207,0)-$S207)</f>
        <v/>
      </c>
      <c r="U207" s="118" t="n">
        <f aca="false">IF(SUM($G207)&lt;=0,"",SUM($Q207,$S207)/$G207)</f>
        <v>0.75</v>
      </c>
      <c r="V207" s="118" t="str">
        <f aca="false">IF(OR(SUM($Q207)=0,SUM($G207)=0),"",SUM($Q207)/SUM($G207))</f>
        <v/>
      </c>
      <c r="W207" s="118" t="n">
        <f aca="false">IF(OR(SUM($S207)=0,SUM($G207)=0),"",SUM($S207)/SUM($G207))</f>
        <v>0.75</v>
      </c>
      <c r="X207" s="118" t="str">
        <f aca="false">IF(OR(SUM($G207)=0,SUM($I207)=0),"",SUM($I207)/SUM($G207))</f>
        <v/>
      </c>
      <c r="Y207" s="118" t="str">
        <f aca="false">IF(OR(SUM($G207)=0,SUM($J207)=0),"",SUM($J207)/SUM($G207))</f>
        <v/>
      </c>
      <c r="Z207" s="118" t="n">
        <f aca="false">IF(OR(SUM($G207)=0,SUM($K207)=0),"",SUM($K207)/SUM($G207))</f>
        <v>-2700</v>
      </c>
      <c r="AA207" s="118" t="str">
        <f aca="false">IF(OR(SUM($G207)=0,SUM($L207)=0),"",SUM($L207)/SUM($G207))</f>
        <v/>
      </c>
      <c r="AB207" s="118" t="n">
        <v>13</v>
      </c>
      <c r="AC207" s="118"/>
      <c r="AD207" s="118"/>
      <c r="AE207" s="118" t="n">
        <v>6</v>
      </c>
      <c r="AF207" s="118" t="n">
        <v>17</v>
      </c>
      <c r="AG207" s="118" t="n">
        <v>14</v>
      </c>
      <c r="AH207" s="118" t="n">
        <v>32</v>
      </c>
      <c r="AI207" s="118" t="n">
        <v>24</v>
      </c>
      <c r="AJ207" s="118" t="n">
        <v>41</v>
      </c>
      <c r="AK207" s="118" t="n">
        <f aca="false">IF(SUM($G207)&lt;=0,"",SUM($V207:$AJ207))</f>
        <v>-2552.25</v>
      </c>
      <c r="AL207" s="118"/>
      <c r="AM207" s="75" t="n">
        <f aca="false">IF(OR(SUM($AB207)&lt;=0,SUM($G207)&lt;=0),"",ROUND($G207*$AB207,0))</f>
        <v>52</v>
      </c>
      <c r="AN207" s="75" t="str">
        <f aca="false">IF(SUM($AM207)&lt;=0,"",IF(SUM($AL207)&lt;=0,"ENTER VALID YIELD!",ROUND($AM207/$AL207,0)-$AM207))</f>
        <v>ENTER VALID YIELD!</v>
      </c>
      <c r="AO207" s="118"/>
      <c r="AP207" s="75" t="str">
        <f aca="false">IF(OR(SUM($AC207)&lt;=0,SUM($G207)&lt;=0),"",ROUND($G207*$AC207,0))</f>
        <v/>
      </c>
      <c r="AQ207" s="75" t="str">
        <f aca="false">IF(SUM($AP207)&lt;=0,"",IF(SUM($AO207)&lt;=0,"ENTER VALID YIELD!",ROUND($AP207/$AO207,0)-$AP207))</f>
        <v/>
      </c>
      <c r="AR207" s="118"/>
      <c r="AS207" s="75" t="str">
        <f aca="false">IF(OR(SUM($AD207)&lt;=0,SUM($G207)&lt;=0),"",ROUND($G207*$AD207,0))</f>
        <v/>
      </c>
      <c r="AT207" s="75" t="str">
        <f aca="false">IF(SUM($AS207)&lt;=0,"",IF(SUM($AR207)&lt;=0,"ENTER VALID YIELD!",ROUND($AS207/$AR207,0)-$AS207))</f>
        <v/>
      </c>
      <c r="AU207" s="118"/>
      <c r="AV207" s="75" t="n">
        <f aca="false">IF(OR(SUM($AE207)&lt;=0,SUM($G207)&lt;=0),"",ROUND($G207*$AE207,0))</f>
        <v>24</v>
      </c>
      <c r="AW207" s="75" t="str">
        <f aca="false">IF(SUM($AV207)&lt;=0,"",IF(SUM($AU207)&lt;=0,"ENTER VALID YIELD!",ROUND($AV207/$AU207,0)-$AV207))</f>
        <v>ENTER VALID YIELD!</v>
      </c>
      <c r="AX207" s="118"/>
      <c r="AY207" s="75" t="n">
        <f aca="false">IF(OR(SUM($AF207)&lt;=0,SUM($G207)&lt;=0),"",ROUND($G207*$AF207,0))</f>
        <v>68</v>
      </c>
      <c r="AZ207" s="75" t="str">
        <f aca="false">IF(SUM($AY207)&lt;=0,"",IF(SUM($AX207)&lt;=0,"ENTER VALID YIELD!",ROUND($AY207/$AX207,0)-$AY207))</f>
        <v>ENTER VALID YIELD!</v>
      </c>
      <c r="BA207" s="118" t="n">
        <v>16</v>
      </c>
      <c r="BB207" s="75" t="n">
        <f aca="false">IF(OR(SUM($AG207)&lt;=0,SUM($G207)&lt;=0),"",ROUND($G207*$AG207,0))</f>
        <v>56</v>
      </c>
      <c r="BC207" s="75" t="n">
        <f aca="false">IF(SUM($BB207)&lt;=0,"",IF(SUM($BA207)&lt;=0,"ENTER VALID YIELD!",ROUND($BB207/$BA207,0)-$BB207))</f>
        <v>-52</v>
      </c>
      <c r="BD207" s="118"/>
      <c r="BE207" s="75" t="n">
        <f aca="false">IF(OR(SUM($AH207)&lt;=0,SUM($G207)&lt;=0),"",ROUND($G207*$AH207,0))</f>
        <v>128</v>
      </c>
      <c r="BF207" s="75" t="str">
        <f aca="false">IF(SUM($BE207)&lt;=0,"",IF(SUM($BD207)&lt;=0,"ENTER VALID YIELD!",ROUND($BE207/$BD207,0)-$BE207))</f>
        <v>ENTER VALID YIELD!</v>
      </c>
      <c r="BG207" s="118"/>
      <c r="BH207" s="75" t="n">
        <f aca="false">IF(OR(SUM($AI207)&lt;=0,SUM($G207)&lt;=0),"",ROUND($G207*$AI207,0))</f>
        <v>96</v>
      </c>
      <c r="BI207" s="75" t="str">
        <f aca="false">IF(SUM($BH207)&lt;=0,"",IF(SUM($BG207)&lt;=0,"ENTER VALID YIELD!",ROUND($BH207/$BG207,0)-$BH207))</f>
        <v>ENTER VALID YIELD!</v>
      </c>
      <c r="BJ207" s="118"/>
      <c r="BK207" s="75" t="n">
        <f aca="false">IF(OR(SUM($AJ207)&lt;=0,SUM($G207)&lt;=0),"",ROUND($G207*$AJ207,0))</f>
        <v>164</v>
      </c>
      <c r="BL207" s="75" t="str">
        <f aca="false">IF(SUM($BK207)&lt;=0,"",IF(SUM($BJ207)&lt;=0,"ENTER VALID YIELD!",ROUND($BK207/$BJ207,0)-$BK207))</f>
        <v>ENTER VALID YIELD!</v>
      </c>
      <c r="BM207" s="73" t="n">
        <f aca="false">IF(SUM($G207)&lt;=0,"",$G207)</f>
        <v>4</v>
      </c>
      <c r="BN207" s="73" t="n">
        <f aca="false">IF(SUM($G207)&lt;=0,"",SUM($I207:$L207,$Q207,$S207,$AM207,$AP207,$AS207,$AV207,$AY207,$BB207,$BE207,$BH207,$BK207))</f>
        <v>-10209</v>
      </c>
      <c r="BO207" s="73" t="n">
        <f aca="false">IF(AND(SUM($BN207)&lt;=0,SUM($BM207)&lt;=0),"",SUM($BN207)-SUM($BM207))</f>
        <v>-10213</v>
      </c>
      <c r="BP207" s="73" t="str">
        <f aca="false">_xlfn.IFNA(INDEX(PMTCT!$AF:$AF,MATCH($E207,PMTCT!$E:$E,0)),"")</f>
        <v/>
      </c>
      <c r="BQ207" s="73" t="str">
        <f aca="false">_xlfn.IFNA(INDEX(PMTCT!$AV:$AV,MATCH($E207,PMTCT!$E:$E,0)),"")</f>
        <v/>
      </c>
      <c r="BR207" s="73" t="n">
        <f aca="false">_xlfn.IFNA(INDEX(TB!$R:$R,MATCH($E207,TB!$E:$E,0)),"")</f>
        <v>10200</v>
      </c>
      <c r="BS207" s="73" t="str">
        <f aca="false">_xlfn.IFNA(INDEX(VMMC!$AD:$AD,MATCH($E207,VMMC!$E:$E,0)),"")</f>
        <v/>
      </c>
      <c r="BT207" s="73" t="n">
        <f aca="false">IF(SUM($R207,$T207,$AN207,$AQ207,$AT207,$AW207,$AZ207,$BC207,$BF207,$BI207,$BL207,$BP207:$BS207)=0,"",SUM($R207,$T207,$AN207,$AQ207,$AT207,$AW207,$AZ207,$BC207,$BF207,$BI207,$BL207,$BP207:$BS207))</f>
        <v>10148</v>
      </c>
      <c r="BU207" s="73" t="n">
        <f aca="false">IF(OR(SUM($BT207)=0,SUM($BN207)=0),"",SUM($BT207,$BN207))</f>
        <v>-61</v>
      </c>
      <c r="BV207" s="118" t="n">
        <f aca="false">IF(SUM($BU207)=0,"",SUM($BN207)/$BU207)</f>
        <v>167.360655737705</v>
      </c>
      <c r="BW207" s="73"/>
      <c r="BX207" s="118" t="n">
        <f aca="false">IF(OR($C207="01-04",$C207="05-09"),"",0%)</f>
        <v>0</v>
      </c>
      <c r="BY207" s="75" t="str">
        <f aca="false">IF(OR($C207="01-04",$C207="05-09",SUM($BW207)=0),"",ROUND($BW207*(1+$BX207),0))</f>
        <v/>
      </c>
    </row>
    <row r="208" customFormat="false" ht="15" hidden="false" customHeight="false" outlineLevel="0" collapsed="false">
      <c r="A208" s="0" t="s">
        <v>149</v>
      </c>
      <c r="B208" s="0" t="s">
        <v>111</v>
      </c>
      <c r="C208" s="0" t="s">
        <v>77</v>
      </c>
      <c r="D208" s="0" t="s">
        <v>58</v>
      </c>
      <c r="E208" s="0" t="str">
        <f aca="false">B208&amp;"|"&amp;C208&amp;"|"&amp;D208</f>
        <v>Qacha's Nek [#SNU] [zTaMbxvQtJ6]|40-44|Male</v>
      </c>
      <c r="F208" s="118" t="n">
        <f aca="false">_xlfn.IFNA(INDEX(Cascade!$Y:$Y,MATCH($E208,Cascade!$E:$E,0)),"")</f>
        <v>0.619344773790952</v>
      </c>
      <c r="G208" s="73" t="n">
        <f aca="false">_xlfn.IFNA(INDEX(Cascade!$BD:$BD,MATCH($E208,Cascade!$E:$E,0)),"")</f>
        <v>15</v>
      </c>
      <c r="H208" s="73" t="n">
        <f aca="false">_xlfn.IFNA(INDEX(Cascade!$BE:$BE,MATCH($E208,Cascade!$E:$E,0)),"")</f>
        <v>5</v>
      </c>
      <c r="I208" s="73" t="str">
        <f aca="false">_xlfn.IFNA(INDEX(Cascade!$BF:$BF,MATCH($E208,Cascade!$E:$E,0)),"")</f>
        <v/>
      </c>
      <c r="J208" s="73" t="str">
        <f aca="false">_xlfn.IFNA(INDEX(Cascade!$BG:$BG,MATCH($E208,Cascade!$E:$E,0)),"")</f>
        <v/>
      </c>
      <c r="K208" s="73" t="n">
        <f aca="false">_xlfn.IFNA(INDEX(Cascade!$BH:$BH,MATCH($E208,Cascade!$E:$E,0)),"")</f>
        <v>-1500</v>
      </c>
      <c r="L208" s="73" t="str">
        <f aca="false">_xlfn.IFNA(INDEX(Cascade!$BI:$BI,MATCH($E208,Cascade!$E:$E,0)),"")</f>
        <v/>
      </c>
      <c r="M208" s="73" t="n">
        <f aca="false">_xlfn.IFNA(INDEX(Cascade!$BK:$BK,MATCH($E208,Cascade!$E:$E,0)),"")</f>
        <v>1510</v>
      </c>
      <c r="N208" s="118" t="n">
        <v>46</v>
      </c>
      <c r="O208" s="118"/>
      <c r="P208" s="118" t="n">
        <v>10</v>
      </c>
      <c r="Q208" s="75" t="str">
        <f aca="false">IF(OR(SUM($H208)=0,SUM($N208)=0,SUM($O208)=0),"",ROUND($H208*$N208,0))</f>
        <v/>
      </c>
      <c r="R208" s="75" t="str">
        <f aca="false">IF(OR(SUM($Q208)=0,SUM($O208)=0),"",ROUND(SUM($Q208)/SUM($O208),0)-SUM($Q208))</f>
        <v/>
      </c>
      <c r="S208" s="75" t="n">
        <f aca="false">IF(SUM($H208)=0,"",SUM($H208)-SUM($Q208))</f>
        <v>5</v>
      </c>
      <c r="T208" s="75" t="str">
        <f aca="false">IF(OR(SUM($S208)=0,$N208&gt;1,SUM($P208)&lt;=0),"",ROUND($S208/$P208,0)-$S208)</f>
        <v/>
      </c>
      <c r="U208" s="118" t="n">
        <f aca="false">IF(SUM($G208)&lt;=0,"",SUM($Q208,$S208)/$G208)</f>
        <v>0.333333333333333</v>
      </c>
      <c r="V208" s="118" t="str">
        <f aca="false">IF(OR(SUM($Q208)=0,SUM($G208)=0),"",SUM($Q208)/SUM($G208))</f>
        <v/>
      </c>
      <c r="W208" s="118" t="n">
        <f aca="false">IF(OR(SUM($S208)=0,SUM($G208)=0),"",SUM($S208)/SUM($G208))</f>
        <v>0.333333333333333</v>
      </c>
      <c r="X208" s="118" t="str">
        <f aca="false">IF(OR(SUM($G208)=0,SUM($I208)=0),"",SUM($I208)/SUM($G208))</f>
        <v/>
      </c>
      <c r="Y208" s="118" t="str">
        <f aca="false">IF(OR(SUM($G208)=0,SUM($J208)=0),"",SUM($J208)/SUM($G208))</f>
        <v/>
      </c>
      <c r="Z208" s="118" t="n">
        <f aca="false">IF(OR(SUM($G208)=0,SUM($K208)=0),"",SUM($K208)/SUM($G208))</f>
        <v>-100</v>
      </c>
      <c r="AA208" s="118" t="str">
        <f aca="false">IF(OR(SUM($G208)=0,SUM($L208)=0),"",SUM($L208)/SUM($G208))</f>
        <v/>
      </c>
      <c r="AB208" s="118" t="n">
        <v>26</v>
      </c>
      <c r="AC208" s="118"/>
      <c r="AD208" s="118"/>
      <c r="AE208" s="118" t="n">
        <v>12</v>
      </c>
      <c r="AF208" s="118" t="n">
        <v>34</v>
      </c>
      <c r="AG208" s="118" t="n">
        <v>28</v>
      </c>
      <c r="AH208" s="118" t="n">
        <v>39</v>
      </c>
      <c r="AI208" s="118" t="n">
        <v>26</v>
      </c>
      <c r="AJ208" s="118" t="n">
        <v>40</v>
      </c>
      <c r="AK208" s="118" t="n">
        <f aca="false">IF(SUM($G208)&lt;=0,"",SUM($V208:$AJ208))</f>
        <v>105.333333333333</v>
      </c>
      <c r="AL208" s="118" t="n">
        <v>38</v>
      </c>
      <c r="AM208" s="75" t="n">
        <f aca="false">IF(OR(SUM($AB208)&lt;=0,SUM($G208)&lt;=0),"",ROUND($G208*$AB208,0))</f>
        <v>390</v>
      </c>
      <c r="AN208" s="75" t="n">
        <f aca="false">IF(SUM($AM208)&lt;=0,"",IF(SUM($AL208)&lt;=0,"ENTER VALID YIELD!",ROUND($AM208/$AL208,0)-$AM208))</f>
        <v>-380</v>
      </c>
      <c r="AO208" s="118"/>
      <c r="AP208" s="75" t="str">
        <f aca="false">IF(OR(SUM($AC208)&lt;=0,SUM($G208)&lt;=0),"",ROUND($G208*$AC208,0))</f>
        <v/>
      </c>
      <c r="AQ208" s="75" t="str">
        <f aca="false">IF(SUM($AP208)&lt;=0,"",IF(SUM($AO208)&lt;=0,"ENTER VALID YIELD!",ROUND($AP208/$AO208,0)-$AP208))</f>
        <v/>
      </c>
      <c r="AR208" s="118"/>
      <c r="AS208" s="75" t="str">
        <f aca="false">IF(OR(SUM($AD208)&lt;=0,SUM($G208)&lt;=0),"",ROUND($G208*$AD208,0))</f>
        <v/>
      </c>
      <c r="AT208" s="75" t="str">
        <f aca="false">IF(SUM($AS208)&lt;=0,"",IF(SUM($AR208)&lt;=0,"ENTER VALID YIELD!",ROUND($AS208/$AR208,0)-$AS208))</f>
        <v/>
      </c>
      <c r="AU208" s="118"/>
      <c r="AV208" s="75" t="n">
        <f aca="false">IF(OR(SUM($AE208)&lt;=0,SUM($G208)&lt;=0),"",ROUND($G208*$AE208,0))</f>
        <v>180</v>
      </c>
      <c r="AW208" s="75" t="str">
        <f aca="false">IF(SUM($AV208)&lt;=0,"",IF(SUM($AU208)&lt;=0,"ENTER VALID YIELD!",ROUND($AV208/$AU208,0)-$AV208))</f>
        <v>ENTER VALID YIELD!</v>
      </c>
      <c r="AX208" s="118"/>
      <c r="AY208" s="75" t="n">
        <f aca="false">IF(OR(SUM($AF208)&lt;=0,SUM($G208)&lt;=0),"",ROUND($G208*$AF208,0))</f>
        <v>510</v>
      </c>
      <c r="AZ208" s="75" t="str">
        <f aca="false">IF(SUM($AY208)&lt;=0,"",IF(SUM($AX208)&lt;=0,"ENTER VALID YIELD!",ROUND($AY208/$AX208,0)-$AY208))</f>
        <v>ENTER VALID YIELD!</v>
      </c>
      <c r="BA208" s="118" t="n">
        <v>8</v>
      </c>
      <c r="BB208" s="75" t="n">
        <f aca="false">IF(OR(SUM($AG208)&lt;=0,SUM($G208)&lt;=0),"",ROUND($G208*$AG208,0))</f>
        <v>420</v>
      </c>
      <c r="BC208" s="75" t="n">
        <f aca="false">IF(SUM($BB208)&lt;=0,"",IF(SUM($BA208)&lt;=0,"ENTER VALID YIELD!",ROUND($BB208/$BA208,0)-$BB208))</f>
        <v>-367</v>
      </c>
      <c r="BD208" s="118"/>
      <c r="BE208" s="75" t="n">
        <f aca="false">IF(OR(SUM($AH208)&lt;=0,SUM($G208)&lt;=0),"",ROUND($G208*$AH208,0))</f>
        <v>585</v>
      </c>
      <c r="BF208" s="75" t="str">
        <f aca="false">IF(SUM($BE208)&lt;=0,"",IF(SUM($BD208)&lt;=0,"ENTER VALID YIELD!",ROUND($BE208/$BD208,0)-$BE208))</f>
        <v>ENTER VALID YIELD!</v>
      </c>
      <c r="BG208" s="118"/>
      <c r="BH208" s="75" t="n">
        <f aca="false">IF(OR(SUM($AI208)&lt;=0,SUM($G208)&lt;=0),"",ROUND($G208*$AI208,0))</f>
        <v>390</v>
      </c>
      <c r="BI208" s="75" t="str">
        <f aca="false">IF(SUM($BH208)&lt;=0,"",IF(SUM($BG208)&lt;=0,"ENTER VALID YIELD!",ROUND($BH208/$BG208,0)-$BH208))</f>
        <v>ENTER VALID YIELD!</v>
      </c>
      <c r="BJ208" s="118"/>
      <c r="BK208" s="75" t="n">
        <f aca="false">IF(OR(SUM($AJ208)&lt;=0,SUM($G208)&lt;=0),"",ROUND($G208*$AJ208,0))</f>
        <v>600</v>
      </c>
      <c r="BL208" s="75" t="str">
        <f aca="false">IF(SUM($BK208)&lt;=0,"",IF(SUM($BJ208)&lt;=0,"ENTER VALID YIELD!",ROUND($BK208/$BJ208,0)-$BK208))</f>
        <v>ENTER VALID YIELD!</v>
      </c>
      <c r="BM208" s="73" t="n">
        <f aca="false">IF(SUM($G208)&lt;=0,"",$G208)</f>
        <v>15</v>
      </c>
      <c r="BN208" s="73" t="n">
        <f aca="false">IF(SUM($G208)&lt;=0,"",SUM($I208:$L208,$Q208,$S208,$AM208,$AP208,$AS208,$AV208,$AY208,$BB208,$BE208,$BH208,$BK208))</f>
        <v>1580</v>
      </c>
      <c r="BO208" s="73" t="n">
        <f aca="false">IF(AND(SUM($BN208)&lt;=0,SUM($BM208)&lt;=0),"",SUM($BN208)-SUM($BM208))</f>
        <v>1565</v>
      </c>
      <c r="BP208" s="73" t="str">
        <f aca="false">_xlfn.IFNA(INDEX(PMTCT!$AF:$AF,MATCH($E208,PMTCT!$E:$E,0)),"")</f>
        <v/>
      </c>
      <c r="BQ208" s="73" t="str">
        <f aca="false">_xlfn.IFNA(INDEX(PMTCT!$AV:$AV,MATCH($E208,PMTCT!$E:$E,0)),"")</f>
        <v/>
      </c>
      <c r="BR208" s="73" t="n">
        <f aca="false">_xlfn.IFNA(INDEX(TB!$R:$R,MATCH($E208,TB!$E:$E,0)),"")</f>
        <v>1200</v>
      </c>
      <c r="BS208" s="73" t="str">
        <f aca="false">_xlfn.IFNA(INDEX(VMMC!$AD:$AD,MATCH($E208,VMMC!$E:$E,0)),"")</f>
        <v/>
      </c>
      <c r="BT208" s="73" t="n">
        <f aca="false">IF(SUM($R208,$T208,$AN208,$AQ208,$AT208,$AW208,$AZ208,$BC208,$BF208,$BI208,$BL208,$BP208:$BS208)=0,"",SUM($R208,$T208,$AN208,$AQ208,$AT208,$AW208,$AZ208,$BC208,$BF208,$BI208,$BL208,$BP208:$BS208))</f>
        <v>453</v>
      </c>
      <c r="BU208" s="73" t="n">
        <f aca="false">IF(OR(SUM($BT208)=0,SUM($BN208)=0),"",SUM($BT208,$BN208))</f>
        <v>2033</v>
      </c>
      <c r="BV208" s="118" t="n">
        <f aca="false">IF(SUM($BU208)=0,"",SUM($BN208)/$BU208)</f>
        <v>0.777176586325627</v>
      </c>
      <c r="BW208" s="73"/>
      <c r="BX208" s="118" t="n">
        <f aca="false">IF(OR($C208="01-04",$C208="05-09"),"",0%)</f>
        <v>0</v>
      </c>
      <c r="BY208" s="75" t="str">
        <f aca="false">IF(OR($C208="01-04",$C208="05-09",SUM($BW208)=0),"",ROUND($BW208*(1+$BX208),0))</f>
        <v/>
      </c>
    </row>
    <row r="209" customFormat="false" ht="15" hidden="false" customHeight="false" outlineLevel="0" collapsed="false">
      <c r="A209" s="0" t="s">
        <v>149</v>
      </c>
      <c r="B209" s="0" t="s">
        <v>111</v>
      </c>
      <c r="C209" s="0" t="s">
        <v>80</v>
      </c>
      <c r="D209" s="0" t="s">
        <v>56</v>
      </c>
      <c r="E209" s="0" t="str">
        <f aca="false">B209&amp;"|"&amp;C209&amp;"|"&amp;D209</f>
        <v>Qacha's Nek [#SNU] [zTaMbxvQtJ6]|45-49|Female</v>
      </c>
      <c r="F209" s="118" t="n">
        <f aca="false">_xlfn.IFNA(INDEX(Cascade!$Y:$Y,MATCH($E209,Cascade!$E:$E,0)),"")</f>
        <v>0.921875</v>
      </c>
      <c r="G209" s="73" t="n">
        <f aca="false">_xlfn.IFNA(INDEX(Cascade!$BD:$BD,MATCH($E209,Cascade!$E:$E,0)),"")</f>
        <v>1</v>
      </c>
      <c r="H209" s="73" t="n">
        <f aca="false">_xlfn.IFNA(INDEX(Cascade!$BE:$BE,MATCH($E209,Cascade!$E:$E,0)),"")</f>
        <v>1</v>
      </c>
      <c r="I209" s="73" t="str">
        <f aca="false">_xlfn.IFNA(INDEX(Cascade!$BF:$BF,MATCH($E209,Cascade!$E:$E,0)),"")</f>
        <v/>
      </c>
      <c r="J209" s="73" t="str">
        <f aca="false">_xlfn.IFNA(INDEX(Cascade!$BG:$BG,MATCH($E209,Cascade!$E:$E,0)),"")</f>
        <v/>
      </c>
      <c r="K209" s="73" t="n">
        <f aca="false">_xlfn.IFNA(INDEX(Cascade!$BH:$BH,MATCH($E209,Cascade!$E:$E,0)),"")</f>
        <v>-25088</v>
      </c>
      <c r="L209" s="73" t="str">
        <f aca="false">_xlfn.IFNA(INDEX(Cascade!$BI:$BI,MATCH($E209,Cascade!$E:$E,0)),"")</f>
        <v/>
      </c>
      <c r="M209" s="73" t="n">
        <f aca="false">_xlfn.IFNA(INDEX(Cascade!$BK:$BK,MATCH($E209,Cascade!$E:$E,0)),"")</f>
        <v>25088</v>
      </c>
      <c r="N209" s="118" t="n">
        <v>34</v>
      </c>
      <c r="O209" s="118"/>
      <c r="P209" s="118" t="n">
        <v>29</v>
      </c>
      <c r="Q209" s="75" t="str">
        <f aca="false">IF(OR(SUM($H209)=0,SUM($N209)=0,SUM($O209)=0),"",ROUND($H209*$N209,0))</f>
        <v/>
      </c>
      <c r="R209" s="75" t="str">
        <f aca="false">IF(OR(SUM($Q209)=0,SUM($O209)=0),"",ROUND(SUM($Q209)/SUM($O209),0)-SUM($Q209))</f>
        <v/>
      </c>
      <c r="S209" s="75" t="n">
        <f aca="false">IF(SUM($H209)=0,"",SUM($H209)-SUM($Q209))</f>
        <v>1</v>
      </c>
      <c r="T209" s="75" t="str">
        <f aca="false">IF(OR(SUM($S209)=0,$N209&gt;1,SUM($P209)&lt;=0),"",ROUND($S209/$P209,0)-$S209)</f>
        <v/>
      </c>
      <c r="U209" s="118" t="n">
        <f aca="false">IF(SUM($G209)&lt;=0,"",SUM($Q209,$S209)/$G209)</f>
        <v>1</v>
      </c>
      <c r="V209" s="118" t="str">
        <f aca="false">IF(OR(SUM($Q209)=0,SUM($G209)=0),"",SUM($Q209)/SUM($G209))</f>
        <v/>
      </c>
      <c r="W209" s="118" t="n">
        <f aca="false">IF(OR(SUM($S209)=0,SUM($G209)=0),"",SUM($S209)/SUM($G209))</f>
        <v>1</v>
      </c>
      <c r="X209" s="118" t="str">
        <f aca="false">IF(OR(SUM($G209)=0,SUM($I209)=0),"",SUM($I209)/SUM($G209))</f>
        <v/>
      </c>
      <c r="Y209" s="118" t="str">
        <f aca="false">IF(OR(SUM($G209)=0,SUM($J209)=0),"",SUM($J209)/SUM($G209))</f>
        <v/>
      </c>
      <c r="Z209" s="118" t="n">
        <f aca="false">IF(OR(SUM($G209)=0,SUM($K209)=0),"",SUM($K209)/SUM($G209))</f>
        <v>-25088</v>
      </c>
      <c r="AA209" s="118" t="str">
        <f aca="false">IF(OR(SUM($G209)=0,SUM($L209)=0),"",SUM($L209)/SUM($G209))</f>
        <v/>
      </c>
      <c r="AB209" s="118" t="n">
        <v>39</v>
      </c>
      <c r="AC209" s="118"/>
      <c r="AD209" s="118"/>
      <c r="AE209" s="118" t="n">
        <v>41</v>
      </c>
      <c r="AF209" s="118" t="n">
        <v>37</v>
      </c>
      <c r="AG209" s="118" t="n">
        <v>6</v>
      </c>
      <c r="AH209" s="118" t="n">
        <v>14</v>
      </c>
      <c r="AI209" s="118" t="n">
        <v>39</v>
      </c>
      <c r="AJ209" s="118" t="n">
        <v>42</v>
      </c>
      <c r="AK209" s="118" t="n">
        <f aca="false">IF(SUM($G209)&lt;=0,"",SUM($V209:$AJ209))</f>
        <v>-24869</v>
      </c>
      <c r="AL209" s="118"/>
      <c r="AM209" s="75" t="n">
        <f aca="false">IF(OR(SUM($AB209)&lt;=0,SUM($G209)&lt;=0),"",ROUND($G209*$AB209,0))</f>
        <v>39</v>
      </c>
      <c r="AN209" s="75" t="str">
        <f aca="false">IF(SUM($AM209)&lt;=0,"",IF(SUM($AL209)&lt;=0,"ENTER VALID YIELD!",ROUND($AM209/$AL209,0)-$AM209))</f>
        <v>ENTER VALID YIELD!</v>
      </c>
      <c r="AO209" s="118"/>
      <c r="AP209" s="75" t="str">
        <f aca="false">IF(OR(SUM($AC209)&lt;=0,SUM($G209)&lt;=0),"",ROUND($G209*$AC209,0))</f>
        <v/>
      </c>
      <c r="AQ209" s="75" t="str">
        <f aca="false">IF(SUM($AP209)&lt;=0,"",IF(SUM($AO209)&lt;=0,"ENTER VALID YIELD!",ROUND($AP209/$AO209,0)-$AP209))</f>
        <v/>
      </c>
      <c r="AR209" s="118"/>
      <c r="AS209" s="75" t="str">
        <f aca="false">IF(OR(SUM($AD209)&lt;=0,SUM($G209)&lt;=0),"",ROUND($G209*$AD209,0))</f>
        <v/>
      </c>
      <c r="AT209" s="75" t="str">
        <f aca="false">IF(SUM($AS209)&lt;=0,"",IF(SUM($AR209)&lt;=0,"ENTER VALID YIELD!",ROUND($AS209/$AR209,0)-$AS209))</f>
        <v/>
      </c>
      <c r="AU209" s="118"/>
      <c r="AV209" s="75" t="n">
        <f aca="false">IF(OR(SUM($AE209)&lt;=0,SUM($G209)&lt;=0),"",ROUND($G209*$AE209,0))</f>
        <v>41</v>
      </c>
      <c r="AW209" s="75" t="str">
        <f aca="false">IF(SUM($AV209)&lt;=0,"",IF(SUM($AU209)&lt;=0,"ENTER VALID YIELD!",ROUND($AV209/$AU209,0)-$AV209))</f>
        <v>ENTER VALID YIELD!</v>
      </c>
      <c r="AX209" s="118"/>
      <c r="AY209" s="75" t="n">
        <f aca="false">IF(OR(SUM($AF209)&lt;=0,SUM($G209)&lt;=0),"",ROUND($G209*$AF209,0))</f>
        <v>37</v>
      </c>
      <c r="AZ209" s="75" t="str">
        <f aca="false">IF(SUM($AY209)&lt;=0,"",IF(SUM($AX209)&lt;=0,"ENTER VALID YIELD!",ROUND($AY209/$AX209,0)-$AY209))</f>
        <v>ENTER VALID YIELD!</v>
      </c>
      <c r="BA209" s="118" t="n">
        <v>1</v>
      </c>
      <c r="BB209" s="75" t="n">
        <f aca="false">IF(OR(SUM($AG209)&lt;=0,SUM($G209)&lt;=0),"",ROUND($G209*$AG209,0))</f>
        <v>6</v>
      </c>
      <c r="BC209" s="75" t="n">
        <f aca="false">IF(SUM($BB209)&lt;=0,"",IF(SUM($BA209)&lt;=0,"ENTER VALID YIELD!",ROUND($BB209/$BA209,0)-$BB209))</f>
        <v>0</v>
      </c>
      <c r="BD209" s="118"/>
      <c r="BE209" s="75" t="n">
        <f aca="false">IF(OR(SUM($AH209)&lt;=0,SUM($G209)&lt;=0),"",ROUND($G209*$AH209,0))</f>
        <v>14</v>
      </c>
      <c r="BF209" s="75" t="str">
        <f aca="false">IF(SUM($BE209)&lt;=0,"",IF(SUM($BD209)&lt;=0,"ENTER VALID YIELD!",ROUND($BE209/$BD209,0)-$BE209))</f>
        <v>ENTER VALID YIELD!</v>
      </c>
      <c r="BG209" s="118"/>
      <c r="BH209" s="75" t="n">
        <f aca="false">IF(OR(SUM($AI209)&lt;=0,SUM($G209)&lt;=0),"",ROUND($G209*$AI209,0))</f>
        <v>39</v>
      </c>
      <c r="BI209" s="75" t="str">
        <f aca="false">IF(SUM($BH209)&lt;=0,"",IF(SUM($BG209)&lt;=0,"ENTER VALID YIELD!",ROUND($BH209/$BG209,0)-$BH209))</f>
        <v>ENTER VALID YIELD!</v>
      </c>
      <c r="BJ209" s="118"/>
      <c r="BK209" s="75" t="n">
        <f aca="false">IF(OR(SUM($AJ209)&lt;=0,SUM($G209)&lt;=0),"",ROUND($G209*$AJ209,0))</f>
        <v>42</v>
      </c>
      <c r="BL209" s="75" t="str">
        <f aca="false">IF(SUM($BK209)&lt;=0,"",IF(SUM($BJ209)&lt;=0,"ENTER VALID YIELD!",ROUND($BK209/$BJ209,0)-$BK209))</f>
        <v>ENTER VALID YIELD!</v>
      </c>
      <c r="BM209" s="73" t="n">
        <f aca="false">IF(SUM($G209)&lt;=0,"",$G209)</f>
        <v>1</v>
      </c>
      <c r="BN209" s="73" t="n">
        <f aca="false">IF(SUM($G209)&lt;=0,"",SUM($I209:$L209,$Q209,$S209,$AM209,$AP209,$AS209,$AV209,$AY209,$BB209,$BE209,$BH209,$BK209))</f>
        <v>-24869</v>
      </c>
      <c r="BO209" s="73" t="n">
        <f aca="false">IF(AND(SUM($BN209)&lt;=0,SUM($BM209)&lt;=0),"",SUM($BN209)-SUM($BM209))</f>
        <v>-24870</v>
      </c>
      <c r="BP209" s="73" t="str">
        <f aca="false">_xlfn.IFNA(INDEX(PMTCT!$AF:$AF,MATCH($E209,PMTCT!$E:$E,0)),"")</f>
        <v/>
      </c>
      <c r="BQ209" s="73" t="str">
        <f aca="false">_xlfn.IFNA(INDEX(PMTCT!$AV:$AV,MATCH($E209,PMTCT!$E:$E,0)),"")</f>
        <v/>
      </c>
      <c r="BR209" s="73" t="n">
        <f aca="false">_xlfn.IFNA(INDEX(TB!$R:$R,MATCH($E209,TB!$E:$E,0)),"")</f>
        <v>24304</v>
      </c>
      <c r="BS209" s="73" t="str">
        <f aca="false">_xlfn.IFNA(INDEX(VMMC!$AD:$AD,MATCH($E209,VMMC!$E:$E,0)),"")</f>
        <v/>
      </c>
      <c r="BT209" s="73" t="n">
        <f aca="false">IF(SUM($R209,$T209,$AN209,$AQ209,$AT209,$AW209,$AZ209,$BC209,$BF209,$BI209,$BL209,$BP209:$BS209)=0,"",SUM($R209,$T209,$AN209,$AQ209,$AT209,$AW209,$AZ209,$BC209,$BF209,$BI209,$BL209,$BP209:$BS209))</f>
        <v>24304</v>
      </c>
      <c r="BU209" s="73" t="n">
        <f aca="false">IF(OR(SUM($BT209)=0,SUM($BN209)=0),"",SUM($BT209,$BN209))</f>
        <v>-565</v>
      </c>
      <c r="BV209" s="118" t="n">
        <f aca="false">IF(SUM($BU209)=0,"",SUM($BN209)/$BU209)</f>
        <v>44.0159292035398</v>
      </c>
      <c r="BW209" s="73"/>
      <c r="BX209" s="118" t="n">
        <f aca="false">IF(OR($C209="01-04",$C209="05-09"),"",0%)</f>
        <v>0</v>
      </c>
      <c r="BY209" s="75" t="str">
        <f aca="false">IF(OR($C209="01-04",$C209="05-09",SUM($BW209)=0),"",ROUND($BW209*(1+$BX209),0))</f>
        <v/>
      </c>
    </row>
    <row r="210" customFormat="false" ht="15" hidden="false" customHeight="false" outlineLevel="0" collapsed="false">
      <c r="A210" s="0" t="s">
        <v>149</v>
      </c>
      <c r="B210" s="0" t="s">
        <v>111</v>
      </c>
      <c r="C210" s="0" t="s">
        <v>80</v>
      </c>
      <c r="D210" s="0" t="s">
        <v>58</v>
      </c>
      <c r="E210" s="0" t="str">
        <f aca="false">B210&amp;"|"&amp;C210&amp;"|"&amp;D210</f>
        <v>Qacha's Nek [#SNU] [zTaMbxvQtJ6]|45-49|Male</v>
      </c>
      <c r="F210" s="118" t="n">
        <f aca="false">_xlfn.IFNA(INDEX(Cascade!$Y:$Y,MATCH($E210,Cascade!$E:$E,0)),"")</f>
        <v>0.677734375</v>
      </c>
      <c r="G210" s="73" t="n">
        <f aca="false">_xlfn.IFNA(INDEX(Cascade!$BD:$BD,MATCH($E210,Cascade!$E:$E,0)),"")</f>
        <v>8</v>
      </c>
      <c r="H210" s="73" t="n">
        <f aca="false">_xlfn.IFNA(INDEX(Cascade!$BE:$BE,MATCH($E210,Cascade!$E:$E,0)),"")</f>
        <v>2</v>
      </c>
      <c r="I210" s="73" t="str">
        <f aca="false">_xlfn.IFNA(INDEX(Cascade!$BF:$BF,MATCH($E210,Cascade!$E:$E,0)),"")</f>
        <v/>
      </c>
      <c r="J210" s="73" t="str">
        <f aca="false">_xlfn.IFNA(INDEX(Cascade!$BG:$BG,MATCH($E210,Cascade!$E:$E,0)),"")</f>
        <v/>
      </c>
      <c r="K210" s="73" t="n">
        <f aca="false">_xlfn.IFNA(INDEX(Cascade!$BH:$BH,MATCH($E210,Cascade!$E:$E,0)),"")</f>
        <v>-28224</v>
      </c>
      <c r="L210" s="73" t="str">
        <f aca="false">_xlfn.IFNA(INDEX(Cascade!$BI:$BI,MATCH($E210,Cascade!$E:$E,0)),"")</f>
        <v/>
      </c>
      <c r="M210" s="73" t="n">
        <f aca="false">_xlfn.IFNA(INDEX(Cascade!$BK:$BK,MATCH($E210,Cascade!$E:$E,0)),"")</f>
        <v>28230</v>
      </c>
      <c r="N210" s="118" t="n">
        <v>46</v>
      </c>
      <c r="O210" s="118"/>
      <c r="P210" s="118" t="n">
        <v>20</v>
      </c>
      <c r="Q210" s="75" t="str">
        <f aca="false">IF(OR(SUM($H210)=0,SUM($N210)=0,SUM($O210)=0),"",ROUND($H210*$N210,0))</f>
        <v/>
      </c>
      <c r="R210" s="75" t="str">
        <f aca="false">IF(OR(SUM($Q210)=0,SUM($O210)=0),"",ROUND(SUM($Q210)/SUM($O210),0)-SUM($Q210))</f>
        <v/>
      </c>
      <c r="S210" s="75" t="n">
        <f aca="false">IF(SUM($H210)=0,"",SUM($H210)-SUM($Q210))</f>
        <v>2</v>
      </c>
      <c r="T210" s="75" t="str">
        <f aca="false">IF(OR(SUM($S210)=0,$N210&gt;1,SUM($P210)&lt;=0),"",ROUND($S210/$P210,0)-$S210)</f>
        <v/>
      </c>
      <c r="U210" s="118" t="n">
        <f aca="false">IF(SUM($G210)&lt;=0,"",SUM($Q210,$S210)/$G210)</f>
        <v>0.25</v>
      </c>
      <c r="V210" s="118" t="str">
        <f aca="false">IF(OR(SUM($Q210)=0,SUM($G210)=0),"",SUM($Q210)/SUM($G210))</f>
        <v/>
      </c>
      <c r="W210" s="118" t="n">
        <f aca="false">IF(OR(SUM($S210)=0,SUM($G210)=0),"",SUM($S210)/SUM($G210))</f>
        <v>0.25</v>
      </c>
      <c r="X210" s="118" t="str">
        <f aca="false">IF(OR(SUM($G210)=0,SUM($I210)=0),"",SUM($I210)/SUM($G210))</f>
        <v/>
      </c>
      <c r="Y210" s="118" t="str">
        <f aca="false">IF(OR(SUM($G210)=0,SUM($J210)=0),"",SUM($J210)/SUM($G210))</f>
        <v/>
      </c>
      <c r="Z210" s="118" t="n">
        <f aca="false">IF(OR(SUM($G210)=0,SUM($K210)=0),"",SUM($K210)/SUM($G210))</f>
        <v>-3528</v>
      </c>
      <c r="AA210" s="118" t="str">
        <f aca="false">IF(OR(SUM($G210)=0,SUM($L210)=0),"",SUM($L210)/SUM($G210))</f>
        <v/>
      </c>
      <c r="AB210" s="118" t="n">
        <v>4</v>
      </c>
      <c r="AC210" s="118"/>
      <c r="AD210" s="118"/>
      <c r="AE210" s="118" t="n">
        <v>19</v>
      </c>
      <c r="AF210" s="118" t="n">
        <v>21</v>
      </c>
      <c r="AG210" s="118" t="n">
        <v>13</v>
      </c>
      <c r="AH210" s="118" t="n">
        <v>46</v>
      </c>
      <c r="AI210" s="118" t="n">
        <v>9</v>
      </c>
      <c r="AJ210" s="118" t="n">
        <v>19</v>
      </c>
      <c r="AK210" s="118" t="n">
        <f aca="false">IF(SUM($G210)&lt;=0,"",SUM($V210:$AJ210))</f>
        <v>-3396.75</v>
      </c>
      <c r="AL210" s="118"/>
      <c r="AM210" s="75" t="n">
        <f aca="false">IF(OR(SUM($AB210)&lt;=0,SUM($G210)&lt;=0),"",ROUND($G210*$AB210,0))</f>
        <v>32</v>
      </c>
      <c r="AN210" s="75" t="str">
        <f aca="false">IF(SUM($AM210)&lt;=0,"",IF(SUM($AL210)&lt;=0,"ENTER VALID YIELD!",ROUND($AM210/$AL210,0)-$AM210))</f>
        <v>ENTER VALID YIELD!</v>
      </c>
      <c r="AO210" s="118"/>
      <c r="AP210" s="75" t="str">
        <f aca="false">IF(OR(SUM($AC210)&lt;=0,SUM($G210)&lt;=0),"",ROUND($G210*$AC210,0))</f>
        <v/>
      </c>
      <c r="AQ210" s="75" t="str">
        <f aca="false">IF(SUM($AP210)&lt;=0,"",IF(SUM($AO210)&lt;=0,"ENTER VALID YIELD!",ROUND($AP210/$AO210,0)-$AP210))</f>
        <v/>
      </c>
      <c r="AR210" s="118"/>
      <c r="AS210" s="75" t="str">
        <f aca="false">IF(OR(SUM($AD210)&lt;=0,SUM($G210)&lt;=0),"",ROUND($G210*$AD210,0))</f>
        <v/>
      </c>
      <c r="AT210" s="75" t="str">
        <f aca="false">IF(SUM($AS210)&lt;=0,"",IF(SUM($AR210)&lt;=0,"ENTER VALID YIELD!",ROUND($AS210/$AR210,0)-$AS210))</f>
        <v/>
      </c>
      <c r="AU210" s="118"/>
      <c r="AV210" s="75" t="n">
        <f aca="false">IF(OR(SUM($AE210)&lt;=0,SUM($G210)&lt;=0),"",ROUND($G210*$AE210,0))</f>
        <v>152</v>
      </c>
      <c r="AW210" s="75" t="str">
        <f aca="false">IF(SUM($AV210)&lt;=0,"",IF(SUM($AU210)&lt;=0,"ENTER VALID YIELD!",ROUND($AV210/$AU210,0)-$AV210))</f>
        <v>ENTER VALID YIELD!</v>
      </c>
      <c r="AX210" s="118"/>
      <c r="AY210" s="75" t="n">
        <f aca="false">IF(OR(SUM($AF210)&lt;=0,SUM($G210)&lt;=0),"",ROUND($G210*$AF210,0))</f>
        <v>168</v>
      </c>
      <c r="AZ210" s="75" t="str">
        <f aca="false">IF(SUM($AY210)&lt;=0,"",IF(SUM($AX210)&lt;=0,"ENTER VALID YIELD!",ROUND($AY210/$AX210,0)-$AY210))</f>
        <v>ENTER VALID YIELD!</v>
      </c>
      <c r="BA210" s="118" t="n">
        <v>39</v>
      </c>
      <c r="BB210" s="75" t="n">
        <f aca="false">IF(OR(SUM($AG210)&lt;=0,SUM($G210)&lt;=0),"",ROUND($G210*$AG210,0))</f>
        <v>104</v>
      </c>
      <c r="BC210" s="75" t="n">
        <f aca="false">IF(SUM($BB210)&lt;=0,"",IF(SUM($BA210)&lt;=0,"ENTER VALID YIELD!",ROUND($BB210/$BA210,0)-$BB210))</f>
        <v>-101</v>
      </c>
      <c r="BD210" s="118"/>
      <c r="BE210" s="75" t="n">
        <f aca="false">IF(OR(SUM($AH210)&lt;=0,SUM($G210)&lt;=0),"",ROUND($G210*$AH210,0))</f>
        <v>368</v>
      </c>
      <c r="BF210" s="75" t="str">
        <f aca="false">IF(SUM($BE210)&lt;=0,"",IF(SUM($BD210)&lt;=0,"ENTER VALID YIELD!",ROUND($BE210/$BD210,0)-$BE210))</f>
        <v>ENTER VALID YIELD!</v>
      </c>
      <c r="BG210" s="118"/>
      <c r="BH210" s="75" t="n">
        <f aca="false">IF(OR(SUM($AI210)&lt;=0,SUM($G210)&lt;=0),"",ROUND($G210*$AI210,0))</f>
        <v>72</v>
      </c>
      <c r="BI210" s="75" t="str">
        <f aca="false">IF(SUM($BH210)&lt;=0,"",IF(SUM($BG210)&lt;=0,"ENTER VALID YIELD!",ROUND($BH210/$BG210,0)-$BH210))</f>
        <v>ENTER VALID YIELD!</v>
      </c>
      <c r="BJ210" s="118"/>
      <c r="BK210" s="75" t="n">
        <f aca="false">IF(OR(SUM($AJ210)&lt;=0,SUM($G210)&lt;=0),"",ROUND($G210*$AJ210,0))</f>
        <v>152</v>
      </c>
      <c r="BL210" s="75" t="str">
        <f aca="false">IF(SUM($BK210)&lt;=0,"",IF(SUM($BJ210)&lt;=0,"ENTER VALID YIELD!",ROUND($BK210/$BJ210,0)-$BK210))</f>
        <v>ENTER VALID YIELD!</v>
      </c>
      <c r="BM210" s="73" t="n">
        <f aca="false">IF(SUM($G210)&lt;=0,"",$G210)</f>
        <v>8</v>
      </c>
      <c r="BN210" s="73" t="n">
        <f aca="false">IF(SUM($G210)&lt;=0,"",SUM($I210:$L210,$Q210,$S210,$AM210,$AP210,$AS210,$AV210,$AY210,$BB210,$BE210,$BH210,$BK210))</f>
        <v>-27174</v>
      </c>
      <c r="BO210" s="73" t="n">
        <f aca="false">IF(AND(SUM($BN210)&lt;=0,SUM($BM210)&lt;=0),"",SUM($BN210)-SUM($BM210))</f>
        <v>-27182</v>
      </c>
      <c r="BP210" s="73" t="str">
        <f aca="false">_xlfn.IFNA(INDEX(PMTCT!$AF:$AF,MATCH($E210,PMTCT!$E:$E,0)),"")</f>
        <v/>
      </c>
      <c r="BQ210" s="73" t="str">
        <f aca="false">_xlfn.IFNA(INDEX(PMTCT!$AV:$AV,MATCH($E210,PMTCT!$E:$E,0)),"")</f>
        <v/>
      </c>
      <c r="BR210" s="73" t="n">
        <f aca="false">_xlfn.IFNA(INDEX(TB!$R:$R,MATCH($E210,TB!$E:$E,0)),"")</f>
        <v>27636</v>
      </c>
      <c r="BS210" s="73" t="str">
        <f aca="false">_xlfn.IFNA(INDEX(VMMC!$AD:$AD,MATCH($E210,VMMC!$E:$E,0)),"")</f>
        <v/>
      </c>
      <c r="BT210" s="73" t="n">
        <f aca="false">IF(SUM($R210,$T210,$AN210,$AQ210,$AT210,$AW210,$AZ210,$BC210,$BF210,$BI210,$BL210,$BP210:$BS210)=0,"",SUM($R210,$T210,$AN210,$AQ210,$AT210,$AW210,$AZ210,$BC210,$BF210,$BI210,$BL210,$BP210:$BS210))</f>
        <v>27535</v>
      </c>
      <c r="BU210" s="73" t="n">
        <f aca="false">IF(OR(SUM($BT210)=0,SUM($BN210)=0),"",SUM($BT210,$BN210))</f>
        <v>361</v>
      </c>
      <c r="BV210" s="118" t="n">
        <f aca="false">IF(SUM($BU210)=0,"",SUM($BN210)/$BU210)</f>
        <v>-75.2742382271468</v>
      </c>
      <c r="BW210" s="73"/>
      <c r="BX210" s="118" t="n">
        <f aca="false">IF(OR($C210="01-04",$C210="05-09"),"",0%)</f>
        <v>0</v>
      </c>
      <c r="BY210" s="75" t="str">
        <f aca="false">IF(OR($C210="01-04",$C210="05-09",SUM($BW210)=0),"",ROUND($BW210*(1+$BX210),0))</f>
        <v/>
      </c>
    </row>
    <row r="211" customFormat="false" ht="15" hidden="false" customHeight="false" outlineLevel="0" collapsed="false">
      <c r="A211" s="0" t="s">
        <v>149</v>
      </c>
      <c r="B211" s="0" t="s">
        <v>111</v>
      </c>
      <c r="C211" s="0" t="s">
        <v>86</v>
      </c>
      <c r="D211" s="0" t="s">
        <v>56</v>
      </c>
      <c r="E211" s="0" t="str">
        <f aca="false">B211&amp;"|"&amp;C211&amp;"|"&amp;D211</f>
        <v>Qacha's Nek [#SNU] [zTaMbxvQtJ6]|50+|Female</v>
      </c>
      <c r="F211" s="118" t="n">
        <f aca="false">_xlfn.IFNA(INDEX(Cascade!$Y:$Y,MATCH($E211,Cascade!$E:$E,0)),"")</f>
        <v>0.760069044879171</v>
      </c>
      <c r="G211" s="73" t="n">
        <f aca="false">_xlfn.IFNA(INDEX(Cascade!$BD:$BD,MATCH($E211,Cascade!$E:$E,0)),"")</f>
        <v>7</v>
      </c>
      <c r="H211" s="73" t="n">
        <f aca="false">_xlfn.IFNA(INDEX(Cascade!$BE:$BE,MATCH($E211,Cascade!$E:$E,0)),"")</f>
        <v>4</v>
      </c>
      <c r="I211" s="73" t="str">
        <f aca="false">_xlfn.IFNA(INDEX(Cascade!$BF:$BF,MATCH($E211,Cascade!$E:$E,0)),"")</f>
        <v/>
      </c>
      <c r="J211" s="73" t="str">
        <f aca="false">_xlfn.IFNA(INDEX(Cascade!$BG:$BG,MATCH($E211,Cascade!$E:$E,0)),"")</f>
        <v/>
      </c>
      <c r="K211" s="73" t="n">
        <f aca="false">_xlfn.IFNA(INDEX(Cascade!$BH:$BH,MATCH($E211,Cascade!$E:$E,0)),"")</f>
        <v>-0</v>
      </c>
      <c r="L211" s="73" t="str">
        <f aca="false">_xlfn.IFNA(INDEX(Cascade!$BI:$BI,MATCH($E211,Cascade!$E:$E,0)),"")</f>
        <v/>
      </c>
      <c r="M211" s="73" t="n">
        <f aca="false">_xlfn.IFNA(INDEX(Cascade!$BK:$BK,MATCH($E211,Cascade!$E:$E,0)),"")</f>
        <v>3</v>
      </c>
      <c r="N211" s="118" t="n">
        <v>49</v>
      </c>
      <c r="O211" s="118"/>
      <c r="P211" s="118" t="n">
        <v>8</v>
      </c>
      <c r="Q211" s="75" t="str">
        <f aca="false">IF(OR(SUM($H211)=0,SUM($N211)=0,SUM($O211)=0),"",ROUND($H211*$N211,0))</f>
        <v/>
      </c>
      <c r="R211" s="75" t="str">
        <f aca="false">IF(OR(SUM($Q211)=0,SUM($O211)=0),"",ROUND(SUM($Q211)/SUM($O211),0)-SUM($Q211))</f>
        <v/>
      </c>
      <c r="S211" s="75" t="n">
        <f aca="false">IF(SUM($H211)=0,"",SUM($H211)-SUM($Q211))</f>
        <v>4</v>
      </c>
      <c r="T211" s="75" t="str">
        <f aca="false">IF(OR(SUM($S211)=0,$N211&gt;1,SUM($P211)&lt;=0),"",ROUND($S211/$P211,0)-$S211)</f>
        <v/>
      </c>
      <c r="U211" s="118" t="n">
        <f aca="false">IF(SUM($G211)&lt;=0,"",SUM($Q211,$S211)/$G211)</f>
        <v>0.571428571428571</v>
      </c>
      <c r="V211" s="118" t="str">
        <f aca="false">IF(OR(SUM($Q211)=0,SUM($G211)=0),"",SUM($Q211)/SUM($G211))</f>
        <v/>
      </c>
      <c r="W211" s="118" t="n">
        <f aca="false">IF(OR(SUM($S211)=0,SUM($G211)=0),"",SUM($S211)/SUM($G211))</f>
        <v>0.571428571428571</v>
      </c>
      <c r="X211" s="118" t="str">
        <f aca="false">IF(OR(SUM($G211)=0,SUM($I211)=0),"",SUM($I211)/SUM($G211))</f>
        <v/>
      </c>
      <c r="Y211" s="118" t="str">
        <f aca="false">IF(OR(SUM($G211)=0,SUM($J211)=0),"",SUM($J211)/SUM($G211))</f>
        <v/>
      </c>
      <c r="Z211" s="118" t="str">
        <f aca="false">IF(OR(SUM($G211)=0,SUM($K211)=0),"",SUM($K211)/SUM($G211))</f>
        <v/>
      </c>
      <c r="AA211" s="118" t="str">
        <f aca="false">IF(OR(SUM($G211)=0,SUM($L211)=0),"",SUM($L211)/SUM($G211))</f>
        <v/>
      </c>
      <c r="AB211" s="118" t="n">
        <v>10</v>
      </c>
      <c r="AC211" s="118"/>
      <c r="AD211" s="118"/>
      <c r="AE211" s="118" t="n">
        <v>8</v>
      </c>
      <c r="AF211" s="118" t="n">
        <v>34</v>
      </c>
      <c r="AG211" s="118" t="n">
        <v>37</v>
      </c>
      <c r="AH211" s="118" t="n">
        <v>4</v>
      </c>
      <c r="AI211" s="118" t="n">
        <v>11</v>
      </c>
      <c r="AJ211" s="118" t="n">
        <v>5</v>
      </c>
      <c r="AK211" s="118" t="n">
        <f aca="false">IF(SUM($G211)&lt;=0,"",SUM($V211:$AJ211))</f>
        <v>109.571428571429</v>
      </c>
      <c r="AL211" s="118"/>
      <c r="AM211" s="75" t="n">
        <f aca="false">IF(OR(SUM($AB211)&lt;=0,SUM($G211)&lt;=0),"",ROUND($G211*$AB211,0))</f>
        <v>70</v>
      </c>
      <c r="AN211" s="75" t="str">
        <f aca="false">IF(SUM($AM211)&lt;=0,"",IF(SUM($AL211)&lt;=0,"ENTER VALID YIELD!",ROUND($AM211/$AL211,0)-$AM211))</f>
        <v>ENTER VALID YIELD!</v>
      </c>
      <c r="AO211" s="118"/>
      <c r="AP211" s="75" t="str">
        <f aca="false">IF(OR(SUM($AC211)&lt;=0,SUM($G211)&lt;=0),"",ROUND($G211*$AC211,0))</f>
        <v/>
      </c>
      <c r="AQ211" s="75" t="str">
        <f aca="false">IF(SUM($AP211)&lt;=0,"",IF(SUM($AO211)&lt;=0,"ENTER VALID YIELD!",ROUND($AP211/$AO211,0)-$AP211))</f>
        <v/>
      </c>
      <c r="AR211" s="118"/>
      <c r="AS211" s="75" t="str">
        <f aca="false">IF(OR(SUM($AD211)&lt;=0,SUM($G211)&lt;=0),"",ROUND($G211*$AD211,0))</f>
        <v/>
      </c>
      <c r="AT211" s="75" t="str">
        <f aca="false">IF(SUM($AS211)&lt;=0,"",IF(SUM($AR211)&lt;=0,"ENTER VALID YIELD!",ROUND($AS211/$AR211,0)-$AS211))</f>
        <v/>
      </c>
      <c r="AU211" s="118"/>
      <c r="AV211" s="75" t="n">
        <f aca="false">IF(OR(SUM($AE211)&lt;=0,SUM($G211)&lt;=0),"",ROUND($G211*$AE211,0))</f>
        <v>56</v>
      </c>
      <c r="AW211" s="75" t="str">
        <f aca="false">IF(SUM($AV211)&lt;=0,"",IF(SUM($AU211)&lt;=0,"ENTER VALID YIELD!",ROUND($AV211/$AU211,0)-$AV211))</f>
        <v>ENTER VALID YIELD!</v>
      </c>
      <c r="AX211" s="118"/>
      <c r="AY211" s="75" t="n">
        <f aca="false">IF(OR(SUM($AF211)&lt;=0,SUM($G211)&lt;=0),"",ROUND($G211*$AF211,0))</f>
        <v>238</v>
      </c>
      <c r="AZ211" s="75" t="str">
        <f aca="false">IF(SUM($AY211)&lt;=0,"",IF(SUM($AX211)&lt;=0,"ENTER VALID YIELD!",ROUND($AY211/$AX211,0)-$AY211))</f>
        <v>ENTER VALID YIELD!</v>
      </c>
      <c r="BA211" s="118" t="n">
        <v>0</v>
      </c>
      <c r="BB211" s="75" t="n">
        <f aca="false">IF(OR(SUM($AG211)&lt;=0,SUM($G211)&lt;=0),"",ROUND($G211*$AG211,0))</f>
        <v>259</v>
      </c>
      <c r="BC211" s="75" t="str">
        <f aca="false">IF(SUM($BB211)&lt;=0,"",IF(SUM($BA211)&lt;=0,"ENTER VALID YIELD!",ROUND($BB211/$BA211,0)-$BB211))</f>
        <v>ENTER VALID YIELD!</v>
      </c>
      <c r="BD211" s="118"/>
      <c r="BE211" s="75" t="n">
        <f aca="false">IF(OR(SUM($AH211)&lt;=0,SUM($G211)&lt;=0),"",ROUND($G211*$AH211,0))</f>
        <v>28</v>
      </c>
      <c r="BF211" s="75" t="str">
        <f aca="false">IF(SUM($BE211)&lt;=0,"",IF(SUM($BD211)&lt;=0,"ENTER VALID YIELD!",ROUND($BE211/$BD211,0)-$BE211))</f>
        <v>ENTER VALID YIELD!</v>
      </c>
      <c r="BG211" s="118"/>
      <c r="BH211" s="75" t="n">
        <f aca="false">IF(OR(SUM($AI211)&lt;=0,SUM($G211)&lt;=0),"",ROUND($G211*$AI211,0))</f>
        <v>77</v>
      </c>
      <c r="BI211" s="75" t="str">
        <f aca="false">IF(SUM($BH211)&lt;=0,"",IF(SUM($BG211)&lt;=0,"ENTER VALID YIELD!",ROUND($BH211/$BG211,0)-$BH211))</f>
        <v>ENTER VALID YIELD!</v>
      </c>
      <c r="BJ211" s="118"/>
      <c r="BK211" s="75" t="n">
        <f aca="false">IF(OR(SUM($AJ211)&lt;=0,SUM($G211)&lt;=0),"",ROUND($G211*$AJ211,0))</f>
        <v>35</v>
      </c>
      <c r="BL211" s="75" t="str">
        <f aca="false">IF(SUM($BK211)&lt;=0,"",IF(SUM($BJ211)&lt;=0,"ENTER VALID YIELD!",ROUND($BK211/$BJ211,0)-$BK211))</f>
        <v>ENTER VALID YIELD!</v>
      </c>
      <c r="BM211" s="73" t="n">
        <f aca="false">IF(SUM($G211)&lt;=0,"",$G211)</f>
        <v>7</v>
      </c>
      <c r="BN211" s="73" t="n">
        <f aca="false">IF(SUM($G211)&lt;=0,"",SUM($I211:$L211,$Q211,$S211,$AM211,$AP211,$AS211,$AV211,$AY211,$BB211,$BE211,$BH211,$BK211))</f>
        <v>767</v>
      </c>
      <c r="BO211" s="73" t="n">
        <f aca="false">IF(AND(SUM($BN211)&lt;=0,SUM($BM211)&lt;=0),"",SUM($BN211)-SUM($BM211))</f>
        <v>760</v>
      </c>
      <c r="BP211" s="73" t="str">
        <f aca="false">_xlfn.IFNA(INDEX(PMTCT!$AF:$AF,MATCH($E211,PMTCT!$E:$E,0)),"")</f>
        <v/>
      </c>
      <c r="BQ211" s="73" t="str">
        <f aca="false">_xlfn.IFNA(INDEX(PMTCT!$AV:$AV,MATCH($E211,PMTCT!$E:$E,0)),"")</f>
        <v/>
      </c>
      <c r="BR211" s="73" t="n">
        <f aca="false">_xlfn.IFNA(INDEX(TB!$R:$R,MATCH($E211,TB!$E:$E,0)),"")</f>
        <v>-625</v>
      </c>
      <c r="BS211" s="73" t="str">
        <f aca="false">_xlfn.IFNA(INDEX(VMMC!$AD:$AD,MATCH($E211,VMMC!$E:$E,0)),"")</f>
        <v/>
      </c>
      <c r="BT211" s="73" t="n">
        <f aca="false">IF(SUM($R211,$T211,$AN211,$AQ211,$AT211,$AW211,$AZ211,$BC211,$BF211,$BI211,$BL211,$BP211:$BS211)=0,"",SUM($R211,$T211,$AN211,$AQ211,$AT211,$AW211,$AZ211,$BC211,$BF211,$BI211,$BL211,$BP211:$BS211))</f>
        <v>-625</v>
      </c>
      <c r="BU211" s="73" t="n">
        <f aca="false">IF(OR(SUM($BT211)=0,SUM($BN211)=0),"",SUM($BT211,$BN211))</f>
        <v>142</v>
      </c>
      <c r="BV211" s="118" t="n">
        <f aca="false">IF(SUM($BU211)=0,"",SUM($BN211)/$BU211)</f>
        <v>5.40140845070423</v>
      </c>
      <c r="BW211" s="73"/>
      <c r="BX211" s="118" t="n">
        <f aca="false">IF(OR($C211="01-04",$C211="05-09"),"",0%)</f>
        <v>0</v>
      </c>
      <c r="BY211" s="75" t="str">
        <f aca="false">IF(OR($C211="01-04",$C211="05-09",SUM($BW211)=0),"",ROUND($BW211*(1+$BX211),0))</f>
        <v/>
      </c>
    </row>
    <row r="212" customFormat="false" ht="15" hidden="false" customHeight="false" outlineLevel="0" collapsed="false">
      <c r="A212" s="0" t="s">
        <v>149</v>
      </c>
      <c r="B212" s="0" t="s">
        <v>111</v>
      </c>
      <c r="C212" s="0" t="s">
        <v>86</v>
      </c>
      <c r="D212" s="0" t="s">
        <v>58</v>
      </c>
      <c r="E212" s="0" t="str">
        <f aca="false">B212&amp;"|"&amp;C212&amp;"|"&amp;D212</f>
        <v>Qacha's Nek [#SNU] [zTaMbxvQtJ6]|50+|Male</v>
      </c>
      <c r="F212" s="118" t="n">
        <f aca="false">_xlfn.IFNA(INDEX(Cascade!$Y:$Y,MATCH($E212,Cascade!$E:$E,0)),"")</f>
        <v>0.688803088803089</v>
      </c>
      <c r="G212" s="73" t="n">
        <f aca="false">_xlfn.IFNA(INDEX(Cascade!$BD:$BD,MATCH($E212,Cascade!$E:$E,0)),"")</f>
        <v>12</v>
      </c>
      <c r="H212" s="73" t="n">
        <f aca="false">_xlfn.IFNA(INDEX(Cascade!$BE:$BE,MATCH($E212,Cascade!$E:$E,0)),"")</f>
        <v>4</v>
      </c>
      <c r="I212" s="73" t="str">
        <f aca="false">_xlfn.IFNA(INDEX(Cascade!$BF:$BF,MATCH($E212,Cascade!$E:$E,0)),"")</f>
        <v/>
      </c>
      <c r="J212" s="73" t="str">
        <f aca="false">_xlfn.IFNA(INDEX(Cascade!$BG:$BG,MATCH($E212,Cascade!$E:$E,0)),"")</f>
        <v/>
      </c>
      <c r="K212" s="73" t="n">
        <f aca="false">_xlfn.IFNA(INDEX(Cascade!$BH:$BH,MATCH($E212,Cascade!$E:$E,0)),"")</f>
        <v>-11100</v>
      </c>
      <c r="L212" s="73" t="str">
        <f aca="false">_xlfn.IFNA(INDEX(Cascade!$BI:$BI,MATCH($E212,Cascade!$E:$E,0)),"")</f>
        <v/>
      </c>
      <c r="M212" s="73" t="n">
        <f aca="false">_xlfn.IFNA(INDEX(Cascade!$BK:$BK,MATCH($E212,Cascade!$E:$E,0)),"")</f>
        <v>11108</v>
      </c>
      <c r="N212" s="118" t="n">
        <v>7</v>
      </c>
      <c r="O212" s="118"/>
      <c r="P212" s="118" t="n">
        <v>8</v>
      </c>
      <c r="Q212" s="75" t="str">
        <f aca="false">IF(OR(SUM($H212)=0,SUM($N212)=0,SUM($O212)=0),"",ROUND($H212*$N212,0))</f>
        <v/>
      </c>
      <c r="R212" s="75" t="str">
        <f aca="false">IF(OR(SUM($Q212)=0,SUM($O212)=0),"",ROUND(SUM($Q212)/SUM($O212),0)-SUM($Q212))</f>
        <v/>
      </c>
      <c r="S212" s="75" t="n">
        <f aca="false">IF(SUM($H212)=0,"",SUM($H212)-SUM($Q212))</f>
        <v>4</v>
      </c>
      <c r="T212" s="75" t="str">
        <f aca="false">IF(OR(SUM($S212)=0,$N212&gt;1,SUM($P212)&lt;=0),"",ROUND($S212/$P212,0)-$S212)</f>
        <v/>
      </c>
      <c r="U212" s="118" t="n">
        <f aca="false">IF(SUM($G212)&lt;=0,"",SUM($Q212,$S212)/$G212)</f>
        <v>0.333333333333333</v>
      </c>
      <c r="V212" s="118" t="str">
        <f aca="false">IF(OR(SUM($Q212)=0,SUM($G212)=0),"",SUM($Q212)/SUM($G212))</f>
        <v/>
      </c>
      <c r="W212" s="118" t="n">
        <f aca="false">IF(OR(SUM($S212)=0,SUM($G212)=0),"",SUM($S212)/SUM($G212))</f>
        <v>0.333333333333333</v>
      </c>
      <c r="X212" s="118" t="str">
        <f aca="false">IF(OR(SUM($G212)=0,SUM($I212)=0),"",SUM($I212)/SUM($G212))</f>
        <v/>
      </c>
      <c r="Y212" s="118" t="str">
        <f aca="false">IF(OR(SUM($G212)=0,SUM($J212)=0),"",SUM($J212)/SUM($G212))</f>
        <v/>
      </c>
      <c r="Z212" s="118" t="n">
        <f aca="false">IF(OR(SUM($G212)=0,SUM($K212)=0),"",SUM($K212)/SUM($G212))</f>
        <v>-925</v>
      </c>
      <c r="AA212" s="118" t="str">
        <f aca="false">IF(OR(SUM($G212)=0,SUM($L212)=0),"",SUM($L212)/SUM($G212))</f>
        <v/>
      </c>
      <c r="AB212" s="118" t="n">
        <v>6</v>
      </c>
      <c r="AC212" s="118"/>
      <c r="AD212" s="118"/>
      <c r="AE212" s="118" t="n">
        <v>2</v>
      </c>
      <c r="AF212" s="118" t="n">
        <v>41</v>
      </c>
      <c r="AG212" s="118" t="n">
        <v>31</v>
      </c>
      <c r="AH212" s="118" t="n">
        <v>8</v>
      </c>
      <c r="AI212" s="118" t="n">
        <v>18</v>
      </c>
      <c r="AJ212" s="118" t="n">
        <v>50</v>
      </c>
      <c r="AK212" s="118" t="n">
        <f aca="false">IF(SUM($G212)&lt;=0,"",SUM($V212:$AJ212))</f>
        <v>-768.666666666667</v>
      </c>
      <c r="AL212" s="118"/>
      <c r="AM212" s="75" t="n">
        <f aca="false">IF(OR(SUM($AB212)&lt;=0,SUM($G212)&lt;=0),"",ROUND($G212*$AB212,0))</f>
        <v>72</v>
      </c>
      <c r="AN212" s="75" t="str">
        <f aca="false">IF(SUM($AM212)&lt;=0,"",IF(SUM($AL212)&lt;=0,"ENTER VALID YIELD!",ROUND($AM212/$AL212,0)-$AM212))</f>
        <v>ENTER VALID YIELD!</v>
      </c>
      <c r="AO212" s="118"/>
      <c r="AP212" s="75" t="str">
        <f aca="false">IF(OR(SUM($AC212)&lt;=0,SUM($G212)&lt;=0),"",ROUND($G212*$AC212,0))</f>
        <v/>
      </c>
      <c r="AQ212" s="75" t="str">
        <f aca="false">IF(SUM($AP212)&lt;=0,"",IF(SUM($AO212)&lt;=0,"ENTER VALID YIELD!",ROUND($AP212/$AO212,0)-$AP212))</f>
        <v/>
      </c>
      <c r="AR212" s="118"/>
      <c r="AS212" s="75" t="str">
        <f aca="false">IF(OR(SUM($AD212)&lt;=0,SUM($G212)&lt;=0),"",ROUND($G212*$AD212,0))</f>
        <v/>
      </c>
      <c r="AT212" s="75" t="str">
        <f aca="false">IF(SUM($AS212)&lt;=0,"",IF(SUM($AR212)&lt;=0,"ENTER VALID YIELD!",ROUND($AS212/$AR212,0)-$AS212))</f>
        <v/>
      </c>
      <c r="AU212" s="118"/>
      <c r="AV212" s="75" t="n">
        <f aca="false">IF(OR(SUM($AE212)&lt;=0,SUM($G212)&lt;=0),"",ROUND($G212*$AE212,0))</f>
        <v>24</v>
      </c>
      <c r="AW212" s="75" t="str">
        <f aca="false">IF(SUM($AV212)&lt;=0,"",IF(SUM($AU212)&lt;=0,"ENTER VALID YIELD!",ROUND($AV212/$AU212,0)-$AV212))</f>
        <v>ENTER VALID YIELD!</v>
      </c>
      <c r="AX212" s="118"/>
      <c r="AY212" s="75" t="n">
        <f aca="false">IF(OR(SUM($AF212)&lt;=0,SUM($G212)&lt;=0),"",ROUND($G212*$AF212,0))</f>
        <v>492</v>
      </c>
      <c r="AZ212" s="75" t="str">
        <f aca="false">IF(SUM($AY212)&lt;=0,"",IF(SUM($AX212)&lt;=0,"ENTER VALID YIELD!",ROUND($AY212/$AX212,0)-$AY212))</f>
        <v>ENTER VALID YIELD!</v>
      </c>
      <c r="BA212" s="118" t="n">
        <v>42</v>
      </c>
      <c r="BB212" s="75" t="n">
        <f aca="false">IF(OR(SUM($AG212)&lt;=0,SUM($G212)&lt;=0),"",ROUND($G212*$AG212,0))</f>
        <v>372</v>
      </c>
      <c r="BC212" s="75" t="n">
        <f aca="false">IF(SUM($BB212)&lt;=0,"",IF(SUM($BA212)&lt;=0,"ENTER VALID YIELD!",ROUND($BB212/$BA212,0)-$BB212))</f>
        <v>-363</v>
      </c>
      <c r="BD212" s="118"/>
      <c r="BE212" s="75" t="n">
        <f aca="false">IF(OR(SUM($AH212)&lt;=0,SUM($G212)&lt;=0),"",ROUND($G212*$AH212,0))</f>
        <v>96</v>
      </c>
      <c r="BF212" s="75" t="str">
        <f aca="false">IF(SUM($BE212)&lt;=0,"",IF(SUM($BD212)&lt;=0,"ENTER VALID YIELD!",ROUND($BE212/$BD212,0)-$BE212))</f>
        <v>ENTER VALID YIELD!</v>
      </c>
      <c r="BG212" s="118"/>
      <c r="BH212" s="75" t="n">
        <f aca="false">IF(OR(SUM($AI212)&lt;=0,SUM($G212)&lt;=0),"",ROUND($G212*$AI212,0))</f>
        <v>216</v>
      </c>
      <c r="BI212" s="75" t="str">
        <f aca="false">IF(SUM($BH212)&lt;=0,"",IF(SUM($BG212)&lt;=0,"ENTER VALID YIELD!",ROUND($BH212/$BG212,0)-$BH212))</f>
        <v>ENTER VALID YIELD!</v>
      </c>
      <c r="BJ212" s="118"/>
      <c r="BK212" s="75" t="n">
        <f aca="false">IF(OR(SUM($AJ212)&lt;=0,SUM($G212)&lt;=0),"",ROUND($G212*$AJ212,0))</f>
        <v>600</v>
      </c>
      <c r="BL212" s="75" t="str">
        <f aca="false">IF(SUM($BK212)&lt;=0,"",IF(SUM($BJ212)&lt;=0,"ENTER VALID YIELD!",ROUND($BK212/$BJ212,0)-$BK212))</f>
        <v>ENTER VALID YIELD!</v>
      </c>
      <c r="BM212" s="73" t="n">
        <f aca="false">IF(SUM($G212)&lt;=0,"",$G212)</f>
        <v>12</v>
      </c>
      <c r="BN212" s="73" t="n">
        <f aca="false">IF(SUM($G212)&lt;=0,"",SUM($I212:$L212,$Q212,$S212,$AM212,$AP212,$AS212,$AV212,$AY212,$BB212,$BE212,$BH212,$BK212))</f>
        <v>-9224</v>
      </c>
      <c r="BO212" s="73" t="n">
        <f aca="false">IF(AND(SUM($BN212)&lt;=0,SUM($BM212)&lt;=0),"",SUM($BN212)-SUM($BM212))</f>
        <v>-9236</v>
      </c>
      <c r="BP212" s="73" t="str">
        <f aca="false">_xlfn.IFNA(INDEX(PMTCT!$AF:$AF,MATCH($E212,PMTCT!$E:$E,0)),"")</f>
        <v/>
      </c>
      <c r="BQ212" s="73" t="str">
        <f aca="false">_xlfn.IFNA(INDEX(PMTCT!$AV:$AV,MATCH($E212,PMTCT!$E:$E,0)),"")</f>
        <v/>
      </c>
      <c r="BR212" s="73" t="n">
        <f aca="false">_xlfn.IFNA(INDEX(TB!$R:$R,MATCH($E212,TB!$E:$E,0)),"")</f>
        <v>10360</v>
      </c>
      <c r="BS212" s="73" t="str">
        <f aca="false">_xlfn.IFNA(INDEX(VMMC!$AD:$AD,MATCH($E212,VMMC!$E:$E,0)),"")</f>
        <v/>
      </c>
      <c r="BT212" s="73" t="n">
        <f aca="false">IF(SUM($R212,$T212,$AN212,$AQ212,$AT212,$AW212,$AZ212,$BC212,$BF212,$BI212,$BL212,$BP212:$BS212)=0,"",SUM($R212,$T212,$AN212,$AQ212,$AT212,$AW212,$AZ212,$BC212,$BF212,$BI212,$BL212,$BP212:$BS212))</f>
        <v>9997</v>
      </c>
      <c r="BU212" s="73" t="n">
        <f aca="false">IF(OR(SUM($BT212)=0,SUM($BN212)=0),"",SUM($BT212,$BN212))</f>
        <v>773</v>
      </c>
      <c r="BV212" s="118" t="n">
        <f aca="false">IF(SUM($BU212)=0,"",SUM($BN212)/$BU212)</f>
        <v>-11.9327296248383</v>
      </c>
      <c r="BW212" s="73"/>
      <c r="BX212" s="118" t="n">
        <f aca="false">IF(OR($C212="01-04",$C212="05-09"),"",0%)</f>
        <v>0</v>
      </c>
      <c r="BY212" s="75" t="str">
        <f aca="false">IF(OR($C212="01-04",$C212="05-09",SUM($BW212)=0),"",ROUND($BW212*(1+$BX212),0))</f>
        <v/>
      </c>
    </row>
    <row r="213" customFormat="false" ht="15" hidden="false" customHeight="false" outlineLevel="0" collapsed="false">
      <c r="A213" s="0" t="s">
        <v>150</v>
      </c>
      <c r="B213" s="0" t="s">
        <v>117</v>
      </c>
      <c r="C213" s="0" t="s">
        <v>54</v>
      </c>
      <c r="D213" s="0" t="s">
        <v>56</v>
      </c>
      <c r="E213" s="0" t="str">
        <f aca="false">B213&amp;"|"&amp;C213&amp;"|"&amp;D213</f>
        <v>Quthing [#SNU] [HuwCoDZG0FY]|01-04|Female</v>
      </c>
      <c r="F213" s="118" t="n">
        <f aca="false">_xlfn.IFNA(INDEX(Cascade!$Y:$Y,MATCH($E213,Cascade!$E:$E,0)),"")</f>
        <v>1.19444444444444</v>
      </c>
      <c r="G213" s="73" t="n">
        <f aca="false">_xlfn.IFNA(INDEX(Cascade!$BD:$BD,MATCH($E213,Cascade!$E:$E,0)),"")</f>
        <v>1</v>
      </c>
      <c r="H213" s="73" t="n">
        <f aca="false">_xlfn.IFNA(INDEX(Cascade!$BE:$BE,MATCH($E213,Cascade!$E:$E,0)),"")</f>
        <v>1</v>
      </c>
      <c r="I213" s="73" t="str">
        <f aca="false">_xlfn.IFNA(INDEX(Cascade!$BF:$BF,MATCH($E213,Cascade!$E:$E,0)),"")</f>
        <v/>
      </c>
      <c r="J213" s="73" t="str">
        <f aca="false">_xlfn.IFNA(INDEX(Cascade!$BG:$BG,MATCH($E213,Cascade!$E:$E,0)),"")</f>
        <v/>
      </c>
      <c r="K213" s="73" t="n">
        <f aca="false">_xlfn.IFNA(INDEX(Cascade!$BH:$BH,MATCH($E213,Cascade!$E:$E,0)),"")</f>
        <v>0</v>
      </c>
      <c r="L213" s="73" t="str">
        <f aca="false">_xlfn.IFNA(INDEX(Cascade!$BI:$BI,MATCH($E213,Cascade!$E:$E,0)),"")</f>
        <v/>
      </c>
      <c r="M213" s="73" t="n">
        <f aca="false">_xlfn.IFNA(INDEX(Cascade!$BK:$BK,MATCH($E213,Cascade!$E:$E,0)),"")</f>
        <v>0</v>
      </c>
      <c r="N213" s="118" t="n">
        <v>47</v>
      </c>
      <c r="O213" s="118"/>
      <c r="P213" s="118" t="n">
        <v>47</v>
      </c>
      <c r="Q213" s="75" t="str">
        <f aca="false">IF(OR(SUM($H213)=0,SUM($N213)=0,SUM($O213)=0),"",ROUND($H213*$N213,0))</f>
        <v/>
      </c>
      <c r="R213" s="75" t="str">
        <f aca="false">IF(OR(SUM($Q213)=0,SUM($O213)=0),"",ROUND(SUM($Q213)/SUM($O213),0)-SUM($Q213))</f>
        <v/>
      </c>
      <c r="S213" s="75" t="n">
        <f aca="false">IF(SUM($H213)=0,"",SUM($H213)-SUM($Q213))</f>
        <v>1</v>
      </c>
      <c r="T213" s="75" t="str">
        <f aca="false">IF(OR(SUM($S213)=0,$N213&gt;1,SUM($P213)&lt;=0),"",ROUND($S213/$P213,0)-$S213)</f>
        <v/>
      </c>
      <c r="U213" s="118" t="n">
        <f aca="false">IF(SUM($G213)&lt;=0,"",SUM($Q213,$S213)/$G213)</f>
        <v>1</v>
      </c>
      <c r="V213" s="118" t="str">
        <f aca="false">IF(OR(SUM($Q213)=0,SUM($G213)=0),"",SUM($Q213)/SUM($G213))</f>
        <v/>
      </c>
      <c r="W213" s="118" t="n">
        <f aca="false">IF(OR(SUM($S213)=0,SUM($G213)=0),"",SUM($S213)/SUM($G213))</f>
        <v>1</v>
      </c>
      <c r="X213" s="118" t="str">
        <f aca="false">IF(OR(SUM($G213)=0,SUM($I213)=0),"",SUM($I213)/SUM($G213))</f>
        <v/>
      </c>
      <c r="Y213" s="118" t="str">
        <f aca="false">IF(OR(SUM($G213)=0,SUM($J213)=0),"",SUM($J213)/SUM($G213))</f>
        <v/>
      </c>
      <c r="Z213" s="118" t="str">
        <f aca="false">IF(OR(SUM($G213)=0,SUM($K213)=0),"",SUM($K213)/SUM($G213))</f>
        <v/>
      </c>
      <c r="AA213" s="118" t="str">
        <f aca="false">IF(OR(SUM($G213)=0,SUM($L213)=0),"",SUM($L213)/SUM($G213))</f>
        <v/>
      </c>
      <c r="AB213" s="118" t="n">
        <v>19</v>
      </c>
      <c r="AC213" s="118" t="n">
        <v>34</v>
      </c>
      <c r="AD213" s="118" t="n">
        <v>15</v>
      </c>
      <c r="AE213" s="118" t="n">
        <v>44</v>
      </c>
      <c r="AF213" s="118" t="n">
        <v>29</v>
      </c>
      <c r="AG213" s="118" t="n">
        <v>8</v>
      </c>
      <c r="AH213" s="118" t="n">
        <v>35</v>
      </c>
      <c r="AI213" s="118" t="n">
        <v>40</v>
      </c>
      <c r="AJ213" s="118" t="n">
        <v>38</v>
      </c>
      <c r="AK213" s="118" t="n">
        <f aca="false">IF(SUM($G213)&lt;=0,"",SUM($V213:$AJ213))</f>
        <v>263</v>
      </c>
      <c r="AL213" s="118"/>
      <c r="AM213" s="75" t="n">
        <f aca="false">IF(OR(SUM($AB213)&lt;=0,SUM($G213)&lt;=0),"",ROUND($G213*$AB213,0))</f>
        <v>19</v>
      </c>
      <c r="AN213" s="75" t="str">
        <f aca="false">IF(SUM($AM213)&lt;=0,"",IF(SUM($AL213)&lt;=0,"ENTER VALID YIELD!",ROUND($AM213/$AL213,0)-$AM213))</f>
        <v>ENTER VALID YIELD!</v>
      </c>
      <c r="AO213" s="118"/>
      <c r="AP213" s="75" t="n">
        <f aca="false">IF(OR(SUM($AC213)&lt;=0,SUM($G213)&lt;=0),"",ROUND($G213*$AC213,0))</f>
        <v>34</v>
      </c>
      <c r="AQ213" s="75" t="str">
        <f aca="false">IF(SUM($AP213)&lt;=0,"",IF(SUM($AO213)&lt;=0,"ENTER VALID YIELD!",ROUND($AP213/$AO213,0)-$AP213))</f>
        <v>ENTER VALID YIELD!</v>
      </c>
      <c r="AR213" s="118"/>
      <c r="AS213" s="75" t="n">
        <f aca="false">IF(OR(SUM($AD213)&lt;=0,SUM($G213)&lt;=0),"",ROUND($G213*$AD213,0))</f>
        <v>15</v>
      </c>
      <c r="AT213" s="75" t="str">
        <f aca="false">IF(SUM($AS213)&lt;=0,"",IF(SUM($AR213)&lt;=0,"ENTER VALID YIELD!",ROUND($AS213/$AR213,0)-$AS213))</f>
        <v>ENTER VALID YIELD!</v>
      </c>
      <c r="AU213" s="118"/>
      <c r="AV213" s="75" t="n">
        <f aca="false">IF(OR(SUM($AE213)&lt;=0,SUM($G213)&lt;=0),"",ROUND($G213*$AE213,0))</f>
        <v>44</v>
      </c>
      <c r="AW213" s="75" t="str">
        <f aca="false">IF(SUM($AV213)&lt;=0,"",IF(SUM($AU213)&lt;=0,"ENTER VALID YIELD!",ROUND($AV213/$AU213,0)-$AV213))</f>
        <v>ENTER VALID YIELD!</v>
      </c>
      <c r="AX213" s="118"/>
      <c r="AY213" s="75" t="n">
        <f aca="false">IF(OR(SUM($AF213)&lt;=0,SUM($G213)&lt;=0),"",ROUND($G213*$AF213,0))</f>
        <v>29</v>
      </c>
      <c r="AZ213" s="75" t="str">
        <f aca="false">IF(SUM($AY213)&lt;=0,"",IF(SUM($AX213)&lt;=0,"ENTER VALID YIELD!",ROUND($AY213/$AX213,0)-$AY213))</f>
        <v>ENTER VALID YIELD!</v>
      </c>
      <c r="BA213" s="118" t="n">
        <v>20</v>
      </c>
      <c r="BB213" s="75" t="n">
        <f aca="false">IF(OR(SUM($AG213)&lt;=0,SUM($G213)&lt;=0),"",ROUND($G213*$AG213,0))</f>
        <v>8</v>
      </c>
      <c r="BC213" s="75" t="n">
        <f aca="false">IF(SUM($BB213)&lt;=0,"",IF(SUM($BA213)&lt;=0,"ENTER VALID YIELD!",ROUND($BB213/$BA213,0)-$BB213))</f>
        <v>-8</v>
      </c>
      <c r="BD213" s="118"/>
      <c r="BE213" s="75" t="n">
        <f aca="false">IF(OR(SUM($AH213)&lt;=0,SUM($G213)&lt;=0),"",ROUND($G213*$AH213,0))</f>
        <v>35</v>
      </c>
      <c r="BF213" s="75" t="str">
        <f aca="false">IF(SUM($BE213)&lt;=0,"",IF(SUM($BD213)&lt;=0,"ENTER VALID YIELD!",ROUND($BE213/$BD213,0)-$BE213))</f>
        <v>ENTER VALID YIELD!</v>
      </c>
      <c r="BG213" s="118"/>
      <c r="BH213" s="75" t="n">
        <f aca="false">IF(OR(SUM($AI213)&lt;=0,SUM($G213)&lt;=0),"",ROUND($G213*$AI213,0))</f>
        <v>40</v>
      </c>
      <c r="BI213" s="75" t="str">
        <f aca="false">IF(SUM($BH213)&lt;=0,"",IF(SUM($BG213)&lt;=0,"ENTER VALID YIELD!",ROUND($BH213/$BG213,0)-$BH213))</f>
        <v>ENTER VALID YIELD!</v>
      </c>
      <c r="BJ213" s="118"/>
      <c r="BK213" s="75" t="n">
        <f aca="false">IF(OR(SUM($AJ213)&lt;=0,SUM($G213)&lt;=0),"",ROUND($G213*$AJ213,0))</f>
        <v>38</v>
      </c>
      <c r="BL213" s="75" t="str">
        <f aca="false">IF(SUM($BK213)&lt;=0,"",IF(SUM($BJ213)&lt;=0,"ENTER VALID YIELD!",ROUND($BK213/$BJ213,0)-$BK213))</f>
        <v>ENTER VALID YIELD!</v>
      </c>
      <c r="BM213" s="73" t="n">
        <f aca="false">IF(SUM($G213)&lt;=0,"",$G213)</f>
        <v>1</v>
      </c>
      <c r="BN213" s="73" t="n">
        <f aca="false">IF(SUM($G213)&lt;=0,"",SUM($I213:$L213,$Q213,$S213,$AM213,$AP213,$AS213,$AV213,$AY213,$BB213,$BE213,$BH213,$BK213))</f>
        <v>263</v>
      </c>
      <c r="BO213" s="73" t="n">
        <f aca="false">IF(AND(SUM($BN213)&lt;=0,SUM($BM213)&lt;=0),"",SUM($BN213)-SUM($BM213))</f>
        <v>262</v>
      </c>
      <c r="BP213" s="73" t="str">
        <f aca="false">_xlfn.IFNA(INDEX(PMTCT!$AF:$AF,MATCH($E213,PMTCT!$E:$E,0)),"")</f>
        <v/>
      </c>
      <c r="BQ213" s="73" t="str">
        <f aca="false">_xlfn.IFNA(INDEX(PMTCT!$AV:$AV,MATCH($E213,PMTCT!$E:$E,0)),"")</f>
        <v/>
      </c>
      <c r="BR213" s="73" t="n">
        <f aca="false">_xlfn.IFNA(INDEX(TB!$R:$R,MATCH($E213,TB!$E:$E,0)),"")</f>
        <v>22</v>
      </c>
      <c r="BS213" s="73" t="str">
        <f aca="false">_xlfn.IFNA(INDEX(VMMC!$AD:$AD,MATCH($E213,VMMC!$E:$E,0)),"")</f>
        <v/>
      </c>
      <c r="BT213" s="73" t="n">
        <f aca="false">IF(SUM($R213,$T213,$AN213,$AQ213,$AT213,$AW213,$AZ213,$BC213,$BF213,$BI213,$BL213,$BP213:$BS213)=0,"",SUM($R213,$T213,$AN213,$AQ213,$AT213,$AW213,$AZ213,$BC213,$BF213,$BI213,$BL213,$BP213:$BS213))</f>
        <v>14</v>
      </c>
      <c r="BU213" s="73" t="n">
        <f aca="false">IF(OR(SUM($BT213)=0,SUM($BN213)=0),"",SUM($BT213,$BN213))</f>
        <v>277</v>
      </c>
      <c r="BV213" s="118" t="n">
        <f aca="false">IF(SUM($BU213)=0,"",SUM($BN213)/$BU213)</f>
        <v>0.949458483754512</v>
      </c>
      <c r="BW213" s="73"/>
      <c r="BX213" s="118" t="str">
        <f aca="false">IF(OR($C213="01-04",$C213="05-09"),"",0%)</f>
        <v/>
      </c>
      <c r="BY213" s="75" t="str">
        <f aca="false">IF(OR($C213="01-04",$C213="05-09",SUM($BW213)=0),"",ROUND($BW213*(1+$BX213),0))</f>
        <v/>
      </c>
    </row>
    <row r="214" customFormat="false" ht="15" hidden="false" customHeight="false" outlineLevel="0" collapsed="false">
      <c r="A214" s="0" t="s">
        <v>150</v>
      </c>
      <c r="B214" s="0" t="s">
        <v>117</v>
      </c>
      <c r="C214" s="0" t="s">
        <v>54</v>
      </c>
      <c r="D214" s="0" t="s">
        <v>58</v>
      </c>
      <c r="E214" s="0" t="str">
        <f aca="false">B214&amp;"|"&amp;C214&amp;"|"&amp;D214</f>
        <v>Quthing [#SNU] [HuwCoDZG0FY]|01-04|Male</v>
      </c>
      <c r="F214" s="118" t="n">
        <f aca="false">_xlfn.IFNA(INDEX(Cascade!$Y:$Y,MATCH($E214,Cascade!$E:$E,0)),"")</f>
        <v>0.405405405405405</v>
      </c>
      <c r="G214" s="73" t="n">
        <f aca="false">_xlfn.IFNA(INDEX(Cascade!$BD:$BD,MATCH($E214,Cascade!$E:$E,0)),"")</f>
        <v>8</v>
      </c>
      <c r="H214" s="73" t="n">
        <f aca="false">_xlfn.IFNA(INDEX(Cascade!$BE:$BE,MATCH($E214,Cascade!$E:$E,0)),"")</f>
        <v>2</v>
      </c>
      <c r="I214" s="73" t="str">
        <f aca="false">_xlfn.IFNA(INDEX(Cascade!$BF:$BF,MATCH($E214,Cascade!$E:$E,0)),"")</f>
        <v/>
      </c>
      <c r="J214" s="73" t="str">
        <f aca="false">_xlfn.IFNA(INDEX(Cascade!$BG:$BG,MATCH($E214,Cascade!$E:$E,0)),"")</f>
        <v/>
      </c>
      <c r="K214" s="73" t="n">
        <f aca="false">_xlfn.IFNA(INDEX(Cascade!$BH:$BH,MATCH($E214,Cascade!$E:$E,0)),"")</f>
        <v>-0</v>
      </c>
      <c r="L214" s="73" t="str">
        <f aca="false">_xlfn.IFNA(INDEX(Cascade!$BI:$BI,MATCH($E214,Cascade!$E:$E,0)),"")</f>
        <v/>
      </c>
      <c r="M214" s="73" t="n">
        <f aca="false">_xlfn.IFNA(INDEX(Cascade!$BK:$BK,MATCH($E214,Cascade!$E:$E,0)),"")</f>
        <v>6</v>
      </c>
      <c r="N214" s="118"/>
      <c r="O214" s="118"/>
      <c r="P214" s="118"/>
      <c r="Q214" s="75" t="str">
        <f aca="false">IF(OR(SUM($H214)=0,SUM($N214)=0,SUM($O214)=0),"",ROUND($H214*$N214,0))</f>
        <v/>
      </c>
      <c r="R214" s="75" t="str">
        <f aca="false">IF(OR(SUM($Q214)=0,SUM($O214)=0),"",ROUND(SUM($Q214)/SUM($O214),0)-SUM($Q214))</f>
        <v/>
      </c>
      <c r="S214" s="75" t="n">
        <f aca="false">IF(SUM($H214)=0,"",SUM($H214)-SUM($Q214))</f>
        <v>2</v>
      </c>
      <c r="T214" s="75" t="str">
        <f aca="false">IF(OR(SUM($S214)=0,$N214&gt;1,SUM($P214)&lt;=0),"",ROUND($S214/$P214,0)-$S214)</f>
        <v/>
      </c>
      <c r="U214" s="118" t="n">
        <f aca="false">IF(SUM($G214)&lt;=0,"",SUM($Q214,$S214)/$G214)</f>
        <v>0.25</v>
      </c>
      <c r="V214" s="118" t="str">
        <f aca="false">IF(OR(SUM($Q214)=0,SUM($G214)=0),"",SUM($Q214)/SUM($G214))</f>
        <v/>
      </c>
      <c r="W214" s="118" t="n">
        <f aca="false">IF(OR(SUM($S214)=0,SUM($G214)=0),"",SUM($S214)/SUM($G214))</f>
        <v>0.25</v>
      </c>
      <c r="X214" s="118" t="str">
        <f aca="false">IF(OR(SUM($G214)=0,SUM($I214)=0),"",SUM($I214)/SUM($G214))</f>
        <v/>
      </c>
      <c r="Y214" s="118" t="str">
        <f aca="false">IF(OR(SUM($G214)=0,SUM($J214)=0),"",SUM($J214)/SUM($G214))</f>
        <v/>
      </c>
      <c r="Z214" s="118" t="str">
        <f aca="false">IF(OR(SUM($G214)=0,SUM($K214)=0),"",SUM($K214)/SUM($G214))</f>
        <v/>
      </c>
      <c r="AA214" s="118" t="str">
        <f aca="false">IF(OR(SUM($G214)=0,SUM($L214)=0),"",SUM($L214)/SUM($G214))</f>
        <v/>
      </c>
      <c r="AB214" s="118" t="n">
        <v>5</v>
      </c>
      <c r="AC214" s="118" t="n">
        <v>7</v>
      </c>
      <c r="AD214" s="118" t="n">
        <v>49</v>
      </c>
      <c r="AE214" s="118" t="n">
        <v>5</v>
      </c>
      <c r="AF214" s="118" t="n">
        <v>18</v>
      </c>
      <c r="AG214" s="118" t="n">
        <v>25</v>
      </c>
      <c r="AH214" s="118" t="n">
        <v>10</v>
      </c>
      <c r="AI214" s="118" t="n">
        <v>14</v>
      </c>
      <c r="AJ214" s="118" t="n">
        <v>1</v>
      </c>
      <c r="AK214" s="118" t="n">
        <f aca="false">IF(SUM($G214)&lt;=0,"",SUM($V214:$AJ214))</f>
        <v>134.25</v>
      </c>
      <c r="AL214" s="118"/>
      <c r="AM214" s="75" t="n">
        <f aca="false">IF(OR(SUM($AB214)&lt;=0,SUM($G214)&lt;=0),"",ROUND($G214*$AB214,0))</f>
        <v>40</v>
      </c>
      <c r="AN214" s="75" t="str">
        <f aca="false">IF(SUM($AM214)&lt;=0,"",IF(SUM($AL214)&lt;=0,"ENTER VALID YIELD!",ROUND($AM214/$AL214,0)-$AM214))</f>
        <v>ENTER VALID YIELD!</v>
      </c>
      <c r="AO214" s="118"/>
      <c r="AP214" s="75" t="n">
        <f aca="false">IF(OR(SUM($AC214)&lt;=0,SUM($G214)&lt;=0),"",ROUND($G214*$AC214,0))</f>
        <v>56</v>
      </c>
      <c r="AQ214" s="75" t="str">
        <f aca="false">IF(SUM($AP214)&lt;=0,"",IF(SUM($AO214)&lt;=0,"ENTER VALID YIELD!",ROUND($AP214/$AO214,0)-$AP214))</f>
        <v>ENTER VALID YIELD!</v>
      </c>
      <c r="AR214" s="118"/>
      <c r="AS214" s="75" t="n">
        <f aca="false">IF(OR(SUM($AD214)&lt;=0,SUM($G214)&lt;=0),"",ROUND($G214*$AD214,0))</f>
        <v>392</v>
      </c>
      <c r="AT214" s="75" t="str">
        <f aca="false">IF(SUM($AS214)&lt;=0,"",IF(SUM($AR214)&lt;=0,"ENTER VALID YIELD!",ROUND($AS214/$AR214,0)-$AS214))</f>
        <v>ENTER VALID YIELD!</v>
      </c>
      <c r="AU214" s="118"/>
      <c r="AV214" s="75" t="n">
        <f aca="false">IF(OR(SUM($AE214)&lt;=0,SUM($G214)&lt;=0),"",ROUND($G214*$AE214,0))</f>
        <v>40</v>
      </c>
      <c r="AW214" s="75" t="str">
        <f aca="false">IF(SUM($AV214)&lt;=0,"",IF(SUM($AU214)&lt;=0,"ENTER VALID YIELD!",ROUND($AV214/$AU214,0)-$AV214))</f>
        <v>ENTER VALID YIELD!</v>
      </c>
      <c r="AX214" s="118"/>
      <c r="AY214" s="75" t="n">
        <f aca="false">IF(OR(SUM($AF214)&lt;=0,SUM($G214)&lt;=0),"",ROUND($G214*$AF214,0))</f>
        <v>144</v>
      </c>
      <c r="AZ214" s="75" t="str">
        <f aca="false">IF(SUM($AY214)&lt;=0,"",IF(SUM($AX214)&lt;=0,"ENTER VALID YIELD!",ROUND($AY214/$AX214,0)-$AY214))</f>
        <v>ENTER VALID YIELD!</v>
      </c>
      <c r="BA214" s="118" t="n">
        <v>32</v>
      </c>
      <c r="BB214" s="75" t="n">
        <f aca="false">IF(OR(SUM($AG214)&lt;=0,SUM($G214)&lt;=0),"",ROUND($G214*$AG214,0))</f>
        <v>200</v>
      </c>
      <c r="BC214" s="75" t="n">
        <f aca="false">IF(SUM($BB214)&lt;=0,"",IF(SUM($BA214)&lt;=0,"ENTER VALID YIELD!",ROUND($BB214/$BA214,0)-$BB214))</f>
        <v>-194</v>
      </c>
      <c r="BD214" s="118"/>
      <c r="BE214" s="75" t="n">
        <f aca="false">IF(OR(SUM($AH214)&lt;=0,SUM($G214)&lt;=0),"",ROUND($G214*$AH214,0))</f>
        <v>80</v>
      </c>
      <c r="BF214" s="75" t="str">
        <f aca="false">IF(SUM($BE214)&lt;=0,"",IF(SUM($BD214)&lt;=0,"ENTER VALID YIELD!",ROUND($BE214/$BD214,0)-$BE214))</f>
        <v>ENTER VALID YIELD!</v>
      </c>
      <c r="BG214" s="118"/>
      <c r="BH214" s="75" t="n">
        <f aca="false">IF(OR(SUM($AI214)&lt;=0,SUM($G214)&lt;=0),"",ROUND($G214*$AI214,0))</f>
        <v>112</v>
      </c>
      <c r="BI214" s="75" t="str">
        <f aca="false">IF(SUM($BH214)&lt;=0,"",IF(SUM($BG214)&lt;=0,"ENTER VALID YIELD!",ROUND($BH214/$BG214,0)-$BH214))</f>
        <v>ENTER VALID YIELD!</v>
      </c>
      <c r="BJ214" s="118"/>
      <c r="BK214" s="75" t="n">
        <f aca="false">IF(OR(SUM($AJ214)&lt;=0,SUM($G214)&lt;=0),"",ROUND($G214*$AJ214,0))</f>
        <v>8</v>
      </c>
      <c r="BL214" s="75" t="str">
        <f aca="false">IF(SUM($BK214)&lt;=0,"",IF(SUM($BJ214)&lt;=0,"ENTER VALID YIELD!",ROUND($BK214/$BJ214,0)-$BK214))</f>
        <v>ENTER VALID YIELD!</v>
      </c>
      <c r="BM214" s="73" t="n">
        <f aca="false">IF(SUM($G214)&lt;=0,"",$G214)</f>
        <v>8</v>
      </c>
      <c r="BN214" s="73" t="n">
        <f aca="false">IF(SUM($G214)&lt;=0,"",SUM($I214:$L214,$Q214,$S214,$AM214,$AP214,$AS214,$AV214,$AY214,$BB214,$BE214,$BH214,$BK214))</f>
        <v>1074</v>
      </c>
      <c r="BO214" s="73" t="n">
        <f aca="false">IF(AND(SUM($BN214)&lt;=0,SUM($BM214)&lt;=0),"",SUM($BN214)-SUM($BM214))</f>
        <v>1066</v>
      </c>
      <c r="BP214" s="73" t="str">
        <f aca="false">_xlfn.IFNA(INDEX(PMTCT!$AF:$AF,MATCH($E214,PMTCT!$E:$E,0)),"")</f>
        <v/>
      </c>
      <c r="BQ214" s="73" t="str">
        <f aca="false">_xlfn.IFNA(INDEX(PMTCT!$AV:$AV,MATCH($E214,PMTCT!$E:$E,0)),"")</f>
        <v/>
      </c>
      <c r="BR214" s="73" t="n">
        <f aca="false">_xlfn.IFNA(INDEX(TB!$R:$R,MATCH($E214,TB!$E:$E,0)),"")</f>
        <v>-640</v>
      </c>
      <c r="BS214" s="73" t="str">
        <f aca="false">_xlfn.IFNA(INDEX(VMMC!$AD:$AD,MATCH($E214,VMMC!$E:$E,0)),"")</f>
        <v/>
      </c>
      <c r="BT214" s="73" t="n">
        <f aca="false">IF(SUM($R214,$T214,$AN214,$AQ214,$AT214,$AW214,$AZ214,$BC214,$BF214,$BI214,$BL214,$BP214:$BS214)=0,"",SUM($R214,$T214,$AN214,$AQ214,$AT214,$AW214,$AZ214,$BC214,$BF214,$BI214,$BL214,$BP214:$BS214))</f>
        <v>-834</v>
      </c>
      <c r="BU214" s="73" t="n">
        <f aca="false">IF(OR(SUM($BT214)=0,SUM($BN214)=0),"",SUM($BT214,$BN214))</f>
        <v>240</v>
      </c>
      <c r="BV214" s="118" t="n">
        <f aca="false">IF(SUM($BU214)=0,"",SUM($BN214)/$BU214)</f>
        <v>4.475</v>
      </c>
      <c r="BW214" s="73"/>
      <c r="BX214" s="118" t="str">
        <f aca="false">IF(OR($C214="01-04",$C214="05-09"),"",0%)</f>
        <v/>
      </c>
      <c r="BY214" s="75" t="str">
        <f aca="false">IF(OR($C214="01-04",$C214="05-09",SUM($BW214)=0),"",ROUND($BW214*(1+$BX214),0))</f>
        <v/>
      </c>
    </row>
    <row r="215" customFormat="false" ht="15" hidden="false" customHeight="false" outlineLevel="0" collapsed="false">
      <c r="A215" s="0" t="s">
        <v>150</v>
      </c>
      <c r="B215" s="0" t="s">
        <v>117</v>
      </c>
      <c r="C215" s="0" t="s">
        <v>83</v>
      </c>
      <c r="D215" s="0" t="s">
        <v>56</v>
      </c>
      <c r="E215" s="0" t="str">
        <f aca="false">B215&amp;"|"&amp;C215&amp;"|"&amp;D215</f>
        <v>Quthing [#SNU] [HuwCoDZG0FY]|05-09|Female</v>
      </c>
      <c r="F215" s="118" t="n">
        <f aca="false">_xlfn.IFNA(INDEX(Cascade!$Y:$Y,MATCH($E215,Cascade!$E:$E,0)),"")</f>
        <v>0.552380952380952</v>
      </c>
      <c r="G215" s="73" t="n">
        <f aca="false">_xlfn.IFNA(INDEX(Cascade!$BD:$BD,MATCH($E215,Cascade!$E:$E,0)),"")</f>
        <v>22</v>
      </c>
      <c r="H215" s="73" t="n">
        <f aca="false">_xlfn.IFNA(INDEX(Cascade!$BE:$BE,MATCH($E215,Cascade!$E:$E,0)),"")</f>
        <v>7</v>
      </c>
      <c r="I215" s="73" t="str">
        <f aca="false">_xlfn.IFNA(INDEX(Cascade!$BF:$BF,MATCH($E215,Cascade!$E:$E,0)),"")</f>
        <v/>
      </c>
      <c r="J215" s="73" t="str">
        <f aca="false">_xlfn.IFNA(INDEX(Cascade!$BG:$BG,MATCH($E215,Cascade!$E:$E,0)),"")</f>
        <v/>
      </c>
      <c r="K215" s="73" t="n">
        <f aca="false">_xlfn.IFNA(INDEX(Cascade!$BH:$BH,MATCH($E215,Cascade!$E:$E,0)),"")</f>
        <v>0</v>
      </c>
      <c r="L215" s="73" t="str">
        <f aca="false">_xlfn.IFNA(INDEX(Cascade!$BI:$BI,MATCH($E215,Cascade!$E:$E,0)),"")</f>
        <v/>
      </c>
      <c r="M215" s="73" t="n">
        <f aca="false">_xlfn.IFNA(INDEX(Cascade!$BK:$BK,MATCH($E215,Cascade!$E:$E,0)),"")</f>
        <v>15</v>
      </c>
      <c r="N215" s="118" t="n">
        <v>5</v>
      </c>
      <c r="O215" s="118"/>
      <c r="P215" s="118" t="n">
        <v>29</v>
      </c>
      <c r="Q215" s="75" t="str">
        <f aca="false">IF(OR(SUM($H215)=0,SUM($N215)=0,SUM($O215)=0),"",ROUND($H215*$N215,0))</f>
        <v/>
      </c>
      <c r="R215" s="75" t="str">
        <f aca="false">IF(OR(SUM($Q215)=0,SUM($O215)=0),"",ROUND(SUM($Q215)/SUM($O215),0)-SUM($Q215))</f>
        <v/>
      </c>
      <c r="S215" s="75" t="n">
        <f aca="false">IF(SUM($H215)=0,"",SUM($H215)-SUM($Q215))</f>
        <v>7</v>
      </c>
      <c r="T215" s="75" t="str">
        <f aca="false">IF(OR(SUM($S215)=0,$N215&gt;1,SUM($P215)&lt;=0),"",ROUND($S215/$P215,0)-$S215)</f>
        <v/>
      </c>
      <c r="U215" s="118" t="n">
        <f aca="false">IF(SUM($G215)&lt;=0,"",SUM($Q215,$S215)/$G215)</f>
        <v>0.318181818181818</v>
      </c>
      <c r="V215" s="118" t="str">
        <f aca="false">IF(OR(SUM($Q215)=0,SUM($G215)=0),"",SUM($Q215)/SUM($G215))</f>
        <v/>
      </c>
      <c r="W215" s="118" t="n">
        <f aca="false">IF(OR(SUM($S215)=0,SUM($G215)=0),"",SUM($S215)/SUM($G215))</f>
        <v>0.318181818181818</v>
      </c>
      <c r="X215" s="118" t="str">
        <f aca="false">IF(OR(SUM($G215)=0,SUM($I215)=0),"",SUM($I215)/SUM($G215))</f>
        <v/>
      </c>
      <c r="Y215" s="118" t="str">
        <f aca="false">IF(OR(SUM($G215)=0,SUM($J215)=0),"",SUM($J215)/SUM($G215))</f>
        <v/>
      </c>
      <c r="Z215" s="118" t="str">
        <f aca="false">IF(OR(SUM($G215)=0,SUM($K215)=0),"",SUM($K215)/SUM($G215))</f>
        <v/>
      </c>
      <c r="AA215" s="118" t="str">
        <f aca="false">IF(OR(SUM($G215)=0,SUM($L215)=0),"",SUM($L215)/SUM($G215))</f>
        <v/>
      </c>
      <c r="AB215" s="118" t="n">
        <v>48</v>
      </c>
      <c r="AC215" s="118"/>
      <c r="AD215" s="118"/>
      <c r="AE215" s="118" t="n">
        <v>14</v>
      </c>
      <c r="AF215" s="118" t="n">
        <v>10</v>
      </c>
      <c r="AG215" s="118" t="n">
        <v>33</v>
      </c>
      <c r="AH215" s="118" t="n">
        <v>8</v>
      </c>
      <c r="AI215" s="118" t="n">
        <v>38</v>
      </c>
      <c r="AJ215" s="118" t="n">
        <v>20</v>
      </c>
      <c r="AK215" s="118" t="n">
        <f aca="false">IF(SUM($G215)&lt;=0,"",SUM($V215:$AJ215))</f>
        <v>171.318181818182</v>
      </c>
      <c r="AL215" s="118"/>
      <c r="AM215" s="75" t="n">
        <f aca="false">IF(OR(SUM($AB215)&lt;=0,SUM($G215)&lt;=0),"",ROUND($G215*$AB215,0))</f>
        <v>1056</v>
      </c>
      <c r="AN215" s="75" t="str">
        <f aca="false">IF(SUM($AM215)&lt;=0,"",IF(SUM($AL215)&lt;=0,"ENTER VALID YIELD!",ROUND($AM215/$AL215,0)-$AM215))</f>
        <v>ENTER VALID YIELD!</v>
      </c>
      <c r="AO215" s="118"/>
      <c r="AP215" s="75" t="str">
        <f aca="false">IF(OR(SUM($AC215)&lt;=0,SUM($G215)&lt;=0),"",ROUND($G215*$AC215,0))</f>
        <v/>
      </c>
      <c r="AQ215" s="75" t="str">
        <f aca="false">IF(SUM($AP215)&lt;=0,"",IF(SUM($AO215)&lt;=0,"ENTER VALID YIELD!",ROUND($AP215/$AO215,0)-$AP215))</f>
        <v/>
      </c>
      <c r="AR215" s="118"/>
      <c r="AS215" s="75" t="str">
        <f aca="false">IF(OR(SUM($AD215)&lt;=0,SUM($G215)&lt;=0),"",ROUND($G215*$AD215,0))</f>
        <v/>
      </c>
      <c r="AT215" s="75" t="str">
        <f aca="false">IF(SUM($AS215)&lt;=0,"",IF(SUM($AR215)&lt;=0,"ENTER VALID YIELD!",ROUND($AS215/$AR215,0)-$AS215))</f>
        <v/>
      </c>
      <c r="AU215" s="118"/>
      <c r="AV215" s="75" t="n">
        <f aca="false">IF(OR(SUM($AE215)&lt;=0,SUM($G215)&lt;=0),"",ROUND($G215*$AE215,0))</f>
        <v>308</v>
      </c>
      <c r="AW215" s="75" t="str">
        <f aca="false">IF(SUM($AV215)&lt;=0,"",IF(SUM($AU215)&lt;=0,"ENTER VALID YIELD!",ROUND($AV215/$AU215,0)-$AV215))</f>
        <v>ENTER VALID YIELD!</v>
      </c>
      <c r="AX215" s="118"/>
      <c r="AY215" s="75" t="n">
        <f aca="false">IF(OR(SUM($AF215)&lt;=0,SUM($G215)&lt;=0),"",ROUND($G215*$AF215,0))</f>
        <v>220</v>
      </c>
      <c r="AZ215" s="75" t="str">
        <f aca="false">IF(SUM($AY215)&lt;=0,"",IF(SUM($AX215)&lt;=0,"ENTER VALID YIELD!",ROUND($AY215/$AX215,0)-$AY215))</f>
        <v>ENTER VALID YIELD!</v>
      </c>
      <c r="BA215" s="118"/>
      <c r="BB215" s="75" t="n">
        <f aca="false">IF(OR(SUM($AG215)&lt;=0,SUM($G215)&lt;=0),"",ROUND($G215*$AG215,0))</f>
        <v>726</v>
      </c>
      <c r="BC215" s="75" t="str">
        <f aca="false">IF(SUM($BB215)&lt;=0,"",IF(SUM($BA215)&lt;=0,"ENTER VALID YIELD!",ROUND($BB215/$BA215,0)-$BB215))</f>
        <v>ENTER VALID YIELD!</v>
      </c>
      <c r="BD215" s="118"/>
      <c r="BE215" s="75" t="n">
        <f aca="false">IF(OR(SUM($AH215)&lt;=0,SUM($G215)&lt;=0),"",ROUND($G215*$AH215,0))</f>
        <v>176</v>
      </c>
      <c r="BF215" s="75" t="str">
        <f aca="false">IF(SUM($BE215)&lt;=0,"",IF(SUM($BD215)&lt;=0,"ENTER VALID YIELD!",ROUND($BE215/$BD215,0)-$BE215))</f>
        <v>ENTER VALID YIELD!</v>
      </c>
      <c r="BG215" s="118"/>
      <c r="BH215" s="75" t="n">
        <f aca="false">IF(OR(SUM($AI215)&lt;=0,SUM($G215)&lt;=0),"",ROUND($G215*$AI215,0))</f>
        <v>836</v>
      </c>
      <c r="BI215" s="75" t="str">
        <f aca="false">IF(SUM($BH215)&lt;=0,"",IF(SUM($BG215)&lt;=0,"ENTER VALID YIELD!",ROUND($BH215/$BG215,0)-$BH215))</f>
        <v>ENTER VALID YIELD!</v>
      </c>
      <c r="BJ215" s="118"/>
      <c r="BK215" s="75" t="n">
        <f aca="false">IF(OR(SUM($AJ215)&lt;=0,SUM($G215)&lt;=0),"",ROUND($G215*$AJ215,0))</f>
        <v>440</v>
      </c>
      <c r="BL215" s="75" t="str">
        <f aca="false">IF(SUM($BK215)&lt;=0,"",IF(SUM($BJ215)&lt;=0,"ENTER VALID YIELD!",ROUND($BK215/$BJ215,0)-$BK215))</f>
        <v>ENTER VALID YIELD!</v>
      </c>
      <c r="BM215" s="73" t="n">
        <f aca="false">IF(SUM($G215)&lt;=0,"",$G215)</f>
        <v>22</v>
      </c>
      <c r="BN215" s="73" t="n">
        <f aca="false">IF(SUM($G215)&lt;=0,"",SUM($I215:$L215,$Q215,$S215,$AM215,$AP215,$AS215,$AV215,$AY215,$BB215,$BE215,$BH215,$BK215))</f>
        <v>3769</v>
      </c>
      <c r="BO215" s="73" t="n">
        <f aca="false">IF(AND(SUM($BN215)&lt;=0,SUM($BM215)&lt;=0),"",SUM($BN215)-SUM($BM215))</f>
        <v>3747</v>
      </c>
      <c r="BP215" s="73" t="str">
        <f aca="false">_xlfn.IFNA(INDEX(PMTCT!$AF:$AF,MATCH($E215,PMTCT!$E:$E,0)),"")</f>
        <v/>
      </c>
      <c r="BQ215" s="73" t="str">
        <f aca="false">_xlfn.IFNA(INDEX(PMTCT!$AV:$AV,MATCH($E215,PMTCT!$E:$E,0)),"")</f>
        <v/>
      </c>
      <c r="BR215" s="73" t="n">
        <f aca="false">_xlfn.IFNA(INDEX(TB!$R:$R,MATCH($E215,TB!$E:$E,0)),"")</f>
        <v>22</v>
      </c>
      <c r="BS215" s="73" t="str">
        <f aca="false">_xlfn.IFNA(INDEX(VMMC!$AD:$AD,MATCH($E215,VMMC!$E:$E,0)),"")</f>
        <v/>
      </c>
      <c r="BT215" s="73" t="n">
        <f aca="false">IF(SUM($R215,$T215,$AN215,$AQ215,$AT215,$AW215,$AZ215,$BC215,$BF215,$BI215,$BL215,$BP215:$BS215)=0,"",SUM($R215,$T215,$AN215,$AQ215,$AT215,$AW215,$AZ215,$BC215,$BF215,$BI215,$BL215,$BP215:$BS215))</f>
        <v>22</v>
      </c>
      <c r="BU215" s="73" t="n">
        <f aca="false">IF(OR(SUM($BT215)=0,SUM($BN215)=0),"",SUM($BT215,$BN215))</f>
        <v>3791</v>
      </c>
      <c r="BV215" s="118" t="n">
        <f aca="false">IF(SUM($BU215)=0,"",SUM($BN215)/$BU215)</f>
        <v>0.994196781851754</v>
      </c>
      <c r="BW215" s="73"/>
      <c r="BX215" s="118" t="str">
        <f aca="false">IF(OR($C215="01-04",$C215="05-09"),"",0%)</f>
        <v/>
      </c>
      <c r="BY215" s="75" t="str">
        <f aca="false">IF(OR($C215="01-04",$C215="05-09",SUM($BW215)=0),"",ROUND($BW215*(1+$BX215),0))</f>
        <v/>
      </c>
    </row>
    <row r="216" customFormat="false" ht="15" hidden="false" customHeight="false" outlineLevel="0" collapsed="false">
      <c r="A216" s="0" t="s">
        <v>150</v>
      </c>
      <c r="B216" s="0" t="s">
        <v>117</v>
      </c>
      <c r="C216" s="0" t="s">
        <v>83</v>
      </c>
      <c r="D216" s="0" t="s">
        <v>58</v>
      </c>
      <c r="E216" s="0" t="str">
        <f aca="false">B216&amp;"|"&amp;C216&amp;"|"&amp;D216</f>
        <v>Quthing [#SNU] [HuwCoDZG0FY]|05-09|Male</v>
      </c>
      <c r="F216" s="118" t="n">
        <f aca="false">_xlfn.IFNA(INDEX(Cascade!$Y:$Y,MATCH($E216,Cascade!$E:$E,0)),"")</f>
        <v>0.584158415841584</v>
      </c>
      <c r="G216" s="73" t="n">
        <f aca="false">_xlfn.IFNA(INDEX(Cascade!$BD:$BD,MATCH($E216,Cascade!$E:$E,0)),"")</f>
        <v>5</v>
      </c>
      <c r="H216" s="73" t="n">
        <f aca="false">_xlfn.IFNA(INDEX(Cascade!$BE:$BE,MATCH($E216,Cascade!$E:$E,0)),"")</f>
        <v>2</v>
      </c>
      <c r="I216" s="73" t="str">
        <f aca="false">_xlfn.IFNA(INDEX(Cascade!$BF:$BF,MATCH($E216,Cascade!$E:$E,0)),"")</f>
        <v/>
      </c>
      <c r="J216" s="73" t="str">
        <f aca="false">_xlfn.IFNA(INDEX(Cascade!$BG:$BG,MATCH($E216,Cascade!$E:$E,0)),"")</f>
        <v/>
      </c>
      <c r="K216" s="73" t="n">
        <f aca="false">_xlfn.IFNA(INDEX(Cascade!$BH:$BH,MATCH($E216,Cascade!$E:$E,0)),"")</f>
        <v>0</v>
      </c>
      <c r="L216" s="73" t="str">
        <f aca="false">_xlfn.IFNA(INDEX(Cascade!$BI:$BI,MATCH($E216,Cascade!$E:$E,0)),"")</f>
        <v/>
      </c>
      <c r="M216" s="73" t="n">
        <f aca="false">_xlfn.IFNA(INDEX(Cascade!$BK:$BK,MATCH($E216,Cascade!$E:$E,0)),"")</f>
        <v>3</v>
      </c>
      <c r="N216" s="118"/>
      <c r="O216" s="118"/>
      <c r="P216" s="118"/>
      <c r="Q216" s="75" t="str">
        <f aca="false">IF(OR(SUM($H216)=0,SUM($N216)=0,SUM($O216)=0),"",ROUND($H216*$N216,0))</f>
        <v/>
      </c>
      <c r="R216" s="75" t="str">
        <f aca="false">IF(OR(SUM($Q216)=0,SUM($O216)=0),"",ROUND(SUM($Q216)/SUM($O216),0)-SUM($Q216))</f>
        <v/>
      </c>
      <c r="S216" s="75" t="n">
        <f aca="false">IF(SUM($H216)=0,"",SUM($H216)-SUM($Q216))</f>
        <v>2</v>
      </c>
      <c r="T216" s="75" t="str">
        <f aca="false">IF(OR(SUM($S216)=0,$N216&gt;1,SUM($P216)&lt;=0),"",ROUND($S216/$P216,0)-$S216)</f>
        <v/>
      </c>
      <c r="U216" s="118" t="n">
        <f aca="false">IF(SUM($G216)&lt;=0,"",SUM($Q216,$S216)/$G216)</f>
        <v>0.4</v>
      </c>
      <c r="V216" s="118" t="str">
        <f aca="false">IF(OR(SUM($Q216)=0,SUM($G216)=0),"",SUM($Q216)/SUM($G216))</f>
        <v/>
      </c>
      <c r="W216" s="118" t="n">
        <f aca="false">IF(OR(SUM($S216)=0,SUM($G216)=0),"",SUM($S216)/SUM($G216))</f>
        <v>0.4</v>
      </c>
      <c r="X216" s="118" t="str">
        <f aca="false">IF(OR(SUM($G216)=0,SUM($I216)=0),"",SUM($I216)/SUM($G216))</f>
        <v/>
      </c>
      <c r="Y216" s="118" t="str">
        <f aca="false">IF(OR(SUM($G216)=0,SUM($J216)=0),"",SUM($J216)/SUM($G216))</f>
        <v/>
      </c>
      <c r="Z216" s="118" t="str">
        <f aca="false">IF(OR(SUM($G216)=0,SUM($K216)=0),"",SUM($K216)/SUM($G216))</f>
        <v/>
      </c>
      <c r="AA216" s="118" t="str">
        <f aca="false">IF(OR(SUM($G216)=0,SUM($L216)=0),"",SUM($L216)/SUM($G216))</f>
        <v/>
      </c>
      <c r="AB216" s="118"/>
      <c r="AC216" s="118"/>
      <c r="AD216" s="118"/>
      <c r="AE216" s="118"/>
      <c r="AF216" s="118"/>
      <c r="AG216" s="118"/>
      <c r="AH216" s="118"/>
      <c r="AI216" s="118"/>
      <c r="AJ216" s="118"/>
      <c r="AK216" s="118" t="n">
        <f aca="false">IF(SUM($G216)&lt;=0,"",SUM($V216:$AJ216))</f>
        <v>0.4</v>
      </c>
      <c r="AL216" s="118"/>
      <c r="AM216" s="75" t="str">
        <f aca="false">IF(OR(SUM($AB216)&lt;=0,SUM($G216)&lt;=0),"",ROUND($G216*$AB216,0))</f>
        <v/>
      </c>
      <c r="AN216" s="75" t="str">
        <f aca="false">IF(SUM($AM216)&lt;=0,"",IF(SUM($AL216)&lt;=0,"ENTER VALID YIELD!",ROUND($AM216/$AL216,0)-$AM216))</f>
        <v/>
      </c>
      <c r="AO216" s="118"/>
      <c r="AP216" s="75" t="str">
        <f aca="false">IF(OR(SUM($AC216)&lt;=0,SUM($G216)&lt;=0),"",ROUND($G216*$AC216,0))</f>
        <v/>
      </c>
      <c r="AQ216" s="75" t="str">
        <f aca="false">IF(SUM($AP216)&lt;=0,"",IF(SUM($AO216)&lt;=0,"ENTER VALID YIELD!",ROUND($AP216/$AO216,0)-$AP216))</f>
        <v/>
      </c>
      <c r="AR216" s="118"/>
      <c r="AS216" s="75" t="str">
        <f aca="false">IF(OR(SUM($AD216)&lt;=0,SUM($G216)&lt;=0),"",ROUND($G216*$AD216,0))</f>
        <v/>
      </c>
      <c r="AT216" s="75" t="str">
        <f aca="false">IF(SUM($AS216)&lt;=0,"",IF(SUM($AR216)&lt;=0,"ENTER VALID YIELD!",ROUND($AS216/$AR216,0)-$AS216))</f>
        <v/>
      </c>
      <c r="AU216" s="118"/>
      <c r="AV216" s="75" t="str">
        <f aca="false">IF(OR(SUM($AE216)&lt;=0,SUM($G216)&lt;=0),"",ROUND($G216*$AE216,0))</f>
        <v/>
      </c>
      <c r="AW216" s="75" t="str">
        <f aca="false">IF(SUM($AV216)&lt;=0,"",IF(SUM($AU216)&lt;=0,"ENTER VALID YIELD!",ROUND($AV216/$AU216,0)-$AV216))</f>
        <v/>
      </c>
      <c r="AX216" s="118"/>
      <c r="AY216" s="75" t="str">
        <f aca="false">IF(OR(SUM($AF216)&lt;=0,SUM($G216)&lt;=0),"",ROUND($G216*$AF216,0))</f>
        <v/>
      </c>
      <c r="AZ216" s="75" t="str">
        <f aca="false">IF(SUM($AY216)&lt;=0,"",IF(SUM($AX216)&lt;=0,"ENTER VALID YIELD!",ROUND($AY216/$AX216,0)-$AY216))</f>
        <v/>
      </c>
      <c r="BA216" s="118"/>
      <c r="BB216" s="75" t="str">
        <f aca="false">IF(OR(SUM($AG216)&lt;=0,SUM($G216)&lt;=0),"",ROUND($G216*$AG216,0))</f>
        <v/>
      </c>
      <c r="BC216" s="75" t="str">
        <f aca="false">IF(SUM($BB216)&lt;=0,"",IF(SUM($BA216)&lt;=0,"ENTER VALID YIELD!",ROUND($BB216/$BA216,0)-$BB216))</f>
        <v/>
      </c>
      <c r="BD216" s="118"/>
      <c r="BE216" s="75" t="str">
        <f aca="false">IF(OR(SUM($AH216)&lt;=0,SUM($G216)&lt;=0),"",ROUND($G216*$AH216,0))</f>
        <v/>
      </c>
      <c r="BF216" s="75" t="str">
        <f aca="false">IF(SUM($BE216)&lt;=0,"",IF(SUM($BD216)&lt;=0,"ENTER VALID YIELD!",ROUND($BE216/$BD216,0)-$BE216))</f>
        <v/>
      </c>
      <c r="BG216" s="118"/>
      <c r="BH216" s="75" t="str">
        <f aca="false">IF(OR(SUM($AI216)&lt;=0,SUM($G216)&lt;=0),"",ROUND($G216*$AI216,0))</f>
        <v/>
      </c>
      <c r="BI216" s="75" t="str">
        <f aca="false">IF(SUM($BH216)&lt;=0,"",IF(SUM($BG216)&lt;=0,"ENTER VALID YIELD!",ROUND($BH216/$BG216,0)-$BH216))</f>
        <v/>
      </c>
      <c r="BJ216" s="118"/>
      <c r="BK216" s="75" t="str">
        <f aca="false">IF(OR(SUM($AJ216)&lt;=0,SUM($G216)&lt;=0),"",ROUND($G216*$AJ216,0))</f>
        <v/>
      </c>
      <c r="BL216" s="75" t="str">
        <f aca="false">IF(SUM($BK216)&lt;=0,"",IF(SUM($BJ216)&lt;=0,"ENTER VALID YIELD!",ROUND($BK216/$BJ216,0)-$BK216))</f>
        <v/>
      </c>
      <c r="BM216" s="73" t="n">
        <f aca="false">IF(SUM($G216)&lt;=0,"",$G216)</f>
        <v>5</v>
      </c>
      <c r="BN216" s="73" t="n">
        <f aca="false">IF(SUM($G216)&lt;=0,"",SUM($I216:$L216,$Q216,$S216,$AM216,$AP216,$AS216,$AV216,$AY216,$BB216,$BE216,$BH216,$BK216))</f>
        <v>2</v>
      </c>
      <c r="BO216" s="73" t="n">
        <f aca="false">IF(AND(SUM($BN216)&lt;=0,SUM($BM216)&lt;=0),"",SUM($BN216)-SUM($BM216))</f>
        <v>-3</v>
      </c>
      <c r="BP216" s="73" t="str">
        <f aca="false">_xlfn.IFNA(INDEX(PMTCT!$AF:$AF,MATCH($E216,PMTCT!$E:$E,0)),"")</f>
        <v/>
      </c>
      <c r="BQ216" s="73" t="str">
        <f aca="false">_xlfn.IFNA(INDEX(PMTCT!$AV:$AV,MATCH($E216,PMTCT!$E:$E,0)),"")</f>
        <v/>
      </c>
      <c r="BR216" s="73" t="n">
        <f aca="false">_xlfn.IFNA(INDEX(TB!$R:$R,MATCH($E216,TB!$E:$E,0)),"")</f>
        <v>36</v>
      </c>
      <c r="BS216" s="73" t="str">
        <f aca="false">_xlfn.IFNA(INDEX(VMMC!$AD:$AD,MATCH($E216,VMMC!$E:$E,0)),"")</f>
        <v/>
      </c>
      <c r="BT216" s="73" t="n">
        <f aca="false">IF(SUM($R216,$T216,$AN216,$AQ216,$AT216,$AW216,$AZ216,$BC216,$BF216,$BI216,$BL216,$BP216:$BS216)=0,"",SUM($R216,$T216,$AN216,$AQ216,$AT216,$AW216,$AZ216,$BC216,$BF216,$BI216,$BL216,$BP216:$BS216))</f>
        <v>36</v>
      </c>
      <c r="BU216" s="73" t="n">
        <f aca="false">IF(OR(SUM($BT216)=0,SUM($BN216)=0),"",SUM($BT216,$BN216))</f>
        <v>38</v>
      </c>
      <c r="BV216" s="118" t="n">
        <f aca="false">IF(SUM($BU216)=0,"",SUM($BN216)/$BU216)</f>
        <v>0.0526315789473684</v>
      </c>
      <c r="BW216" s="73"/>
      <c r="BX216" s="118" t="str">
        <f aca="false">IF(OR($C216="01-04",$C216="05-09"),"",0%)</f>
        <v/>
      </c>
      <c r="BY216" s="75" t="str">
        <f aca="false">IF(OR($C216="01-04",$C216="05-09",SUM($BW216)=0),"",ROUND($BW216*(1+$BX216),0))</f>
        <v/>
      </c>
    </row>
    <row r="217" customFormat="false" ht="15" hidden="false" customHeight="false" outlineLevel="0" collapsed="false">
      <c r="A217" s="0" t="s">
        <v>150</v>
      </c>
      <c r="B217" s="0" t="s">
        <v>117</v>
      </c>
      <c r="C217" s="0" t="s">
        <v>61</v>
      </c>
      <c r="D217" s="0" t="s">
        <v>56</v>
      </c>
      <c r="E217" s="0" t="str">
        <f aca="false">B217&amp;"|"&amp;C217&amp;"|"&amp;D217</f>
        <v>Quthing [#SNU] [HuwCoDZG0FY]|10-14|Female</v>
      </c>
      <c r="F217" s="118" t="n">
        <f aca="false">_xlfn.IFNA(INDEX(Cascade!$Y:$Y,MATCH($E217,Cascade!$E:$E,0)),"")</f>
        <v>0.732142857142857</v>
      </c>
      <c r="G217" s="73" t="n">
        <f aca="false">_xlfn.IFNA(INDEX(Cascade!$BD:$BD,MATCH($E217,Cascade!$E:$E,0)),"")</f>
        <v>9</v>
      </c>
      <c r="H217" s="73" t="n">
        <f aca="false">_xlfn.IFNA(INDEX(Cascade!$BE:$BE,MATCH($E217,Cascade!$E:$E,0)),"")</f>
        <v>5</v>
      </c>
      <c r="I217" s="73" t="n">
        <f aca="false">_xlfn.IFNA(INDEX(Cascade!$BF:$BF,MATCH($E217,Cascade!$E:$E,0)),"")</f>
        <v>0</v>
      </c>
      <c r="J217" s="73" t="n">
        <f aca="false">_xlfn.IFNA(INDEX(Cascade!$BG:$BG,MATCH($E217,Cascade!$E:$E,0)),"")</f>
        <v>0</v>
      </c>
      <c r="K217" s="73" t="n">
        <f aca="false">_xlfn.IFNA(INDEX(Cascade!$BH:$BH,MATCH($E217,Cascade!$E:$E,0)),"")</f>
        <v>0</v>
      </c>
      <c r="L217" s="73" t="str">
        <f aca="false">_xlfn.IFNA(INDEX(Cascade!$BI:$BI,MATCH($E217,Cascade!$E:$E,0)),"")</f>
        <v/>
      </c>
      <c r="M217" s="73" t="n">
        <f aca="false">_xlfn.IFNA(INDEX(Cascade!$BK:$BK,MATCH($E217,Cascade!$E:$E,0)),"")</f>
        <v>4</v>
      </c>
      <c r="N217" s="118" t="n">
        <v>3</v>
      </c>
      <c r="O217" s="118"/>
      <c r="P217" s="118" t="n">
        <v>32</v>
      </c>
      <c r="Q217" s="75" t="str">
        <f aca="false">IF(OR(SUM($H217)=0,SUM($N217)=0,SUM($O217)=0),"",ROUND($H217*$N217,0))</f>
        <v/>
      </c>
      <c r="R217" s="75" t="str">
        <f aca="false">IF(OR(SUM($Q217)=0,SUM($O217)=0),"",ROUND(SUM($Q217)/SUM($O217),0)-SUM($Q217))</f>
        <v/>
      </c>
      <c r="S217" s="75" t="n">
        <f aca="false">IF(SUM($H217)=0,"",SUM($H217)-SUM($Q217))</f>
        <v>5</v>
      </c>
      <c r="T217" s="75" t="str">
        <f aca="false">IF(OR(SUM($S217)=0,$N217&gt;1,SUM($P217)&lt;=0),"",ROUND($S217/$P217,0)-$S217)</f>
        <v/>
      </c>
      <c r="U217" s="118" t="n">
        <f aca="false">IF(SUM($G217)&lt;=0,"",SUM($Q217,$S217)/$G217)</f>
        <v>0.555555555555556</v>
      </c>
      <c r="V217" s="118" t="str">
        <f aca="false">IF(OR(SUM($Q217)=0,SUM($G217)=0),"",SUM($Q217)/SUM($G217))</f>
        <v/>
      </c>
      <c r="W217" s="118" t="n">
        <f aca="false">IF(OR(SUM($S217)=0,SUM($G217)=0),"",SUM($S217)/SUM($G217))</f>
        <v>0.555555555555556</v>
      </c>
      <c r="X217" s="118" t="str">
        <f aca="false">IF(OR(SUM($G217)=0,SUM($I217)=0),"",SUM($I217)/SUM($G217))</f>
        <v/>
      </c>
      <c r="Y217" s="118" t="str">
        <f aca="false">IF(OR(SUM($G217)=0,SUM($J217)=0),"",SUM($J217)/SUM($G217))</f>
        <v/>
      </c>
      <c r="Z217" s="118" t="str">
        <f aca="false">IF(OR(SUM($G217)=0,SUM($K217)=0),"",SUM($K217)/SUM($G217))</f>
        <v/>
      </c>
      <c r="AA217" s="118" t="str">
        <f aca="false">IF(OR(SUM($G217)=0,SUM($L217)=0),"",SUM($L217)/SUM($G217))</f>
        <v/>
      </c>
      <c r="AB217" s="118" t="n">
        <v>9</v>
      </c>
      <c r="AC217" s="118"/>
      <c r="AD217" s="118"/>
      <c r="AE217" s="118" t="n">
        <v>21</v>
      </c>
      <c r="AF217" s="118" t="n">
        <v>47</v>
      </c>
      <c r="AG217" s="118" t="n">
        <v>25</v>
      </c>
      <c r="AH217" s="118" t="n">
        <v>31</v>
      </c>
      <c r="AI217" s="118" t="n">
        <v>48</v>
      </c>
      <c r="AJ217" s="118" t="n">
        <v>38</v>
      </c>
      <c r="AK217" s="118" t="n">
        <f aca="false">IF(SUM($G217)&lt;=0,"",SUM($V217:$AJ217))</f>
        <v>219.555555555556</v>
      </c>
      <c r="AL217" s="118" t="n">
        <v>34</v>
      </c>
      <c r="AM217" s="75" t="n">
        <f aca="false">IF(OR(SUM($AB217)&lt;=0,SUM($G217)&lt;=0),"",ROUND($G217*$AB217,0))</f>
        <v>81</v>
      </c>
      <c r="AN217" s="75" t="n">
        <f aca="false">IF(SUM($AM217)&lt;=0,"",IF(SUM($AL217)&lt;=0,"ENTER VALID YIELD!",ROUND($AM217/$AL217,0)-$AM217))</f>
        <v>-79</v>
      </c>
      <c r="AO217" s="118"/>
      <c r="AP217" s="75" t="str">
        <f aca="false">IF(OR(SUM($AC217)&lt;=0,SUM($G217)&lt;=0),"",ROUND($G217*$AC217,0))</f>
        <v/>
      </c>
      <c r="AQ217" s="75" t="str">
        <f aca="false">IF(SUM($AP217)&lt;=0,"",IF(SUM($AO217)&lt;=0,"ENTER VALID YIELD!",ROUND($AP217/$AO217,0)-$AP217))</f>
        <v/>
      </c>
      <c r="AR217" s="118"/>
      <c r="AS217" s="75" t="str">
        <f aca="false">IF(OR(SUM($AD217)&lt;=0,SUM($G217)&lt;=0),"",ROUND($G217*$AD217,0))</f>
        <v/>
      </c>
      <c r="AT217" s="75" t="str">
        <f aca="false">IF(SUM($AS217)&lt;=0,"",IF(SUM($AR217)&lt;=0,"ENTER VALID YIELD!",ROUND($AS217/$AR217,0)-$AS217))</f>
        <v/>
      </c>
      <c r="AU217" s="118"/>
      <c r="AV217" s="75" t="n">
        <f aca="false">IF(OR(SUM($AE217)&lt;=0,SUM($G217)&lt;=0),"",ROUND($G217*$AE217,0))</f>
        <v>189</v>
      </c>
      <c r="AW217" s="75" t="str">
        <f aca="false">IF(SUM($AV217)&lt;=0,"",IF(SUM($AU217)&lt;=0,"ENTER VALID YIELD!",ROUND($AV217/$AU217,0)-$AV217))</f>
        <v>ENTER VALID YIELD!</v>
      </c>
      <c r="AX217" s="118"/>
      <c r="AY217" s="75" t="n">
        <f aca="false">IF(OR(SUM($AF217)&lt;=0,SUM($G217)&lt;=0),"",ROUND($G217*$AF217,0))</f>
        <v>423</v>
      </c>
      <c r="AZ217" s="75" t="str">
        <f aca="false">IF(SUM($AY217)&lt;=0,"",IF(SUM($AX217)&lt;=0,"ENTER VALID YIELD!",ROUND($AY217/$AX217,0)-$AY217))</f>
        <v>ENTER VALID YIELD!</v>
      </c>
      <c r="BA217" s="118" t="n">
        <v>5</v>
      </c>
      <c r="BB217" s="75" t="n">
        <f aca="false">IF(OR(SUM($AG217)&lt;=0,SUM($G217)&lt;=0),"",ROUND($G217*$AG217,0))</f>
        <v>225</v>
      </c>
      <c r="BC217" s="75" t="n">
        <f aca="false">IF(SUM($BB217)&lt;=0,"",IF(SUM($BA217)&lt;=0,"ENTER VALID YIELD!",ROUND($BB217/$BA217,0)-$BB217))</f>
        <v>-180</v>
      </c>
      <c r="BD217" s="118"/>
      <c r="BE217" s="75" t="n">
        <f aca="false">IF(OR(SUM($AH217)&lt;=0,SUM($G217)&lt;=0),"",ROUND($G217*$AH217,0))</f>
        <v>279</v>
      </c>
      <c r="BF217" s="75" t="str">
        <f aca="false">IF(SUM($BE217)&lt;=0,"",IF(SUM($BD217)&lt;=0,"ENTER VALID YIELD!",ROUND($BE217/$BD217,0)-$BE217))</f>
        <v>ENTER VALID YIELD!</v>
      </c>
      <c r="BG217" s="118"/>
      <c r="BH217" s="75" t="n">
        <f aca="false">IF(OR(SUM($AI217)&lt;=0,SUM($G217)&lt;=0),"",ROUND($G217*$AI217,0))</f>
        <v>432</v>
      </c>
      <c r="BI217" s="75" t="str">
        <f aca="false">IF(SUM($BH217)&lt;=0,"",IF(SUM($BG217)&lt;=0,"ENTER VALID YIELD!",ROUND($BH217/$BG217,0)-$BH217))</f>
        <v>ENTER VALID YIELD!</v>
      </c>
      <c r="BJ217" s="118"/>
      <c r="BK217" s="75" t="n">
        <f aca="false">IF(OR(SUM($AJ217)&lt;=0,SUM($G217)&lt;=0),"",ROUND($G217*$AJ217,0))</f>
        <v>342</v>
      </c>
      <c r="BL217" s="75" t="str">
        <f aca="false">IF(SUM($BK217)&lt;=0,"",IF(SUM($BJ217)&lt;=0,"ENTER VALID YIELD!",ROUND($BK217/$BJ217,0)-$BK217))</f>
        <v>ENTER VALID YIELD!</v>
      </c>
      <c r="BM217" s="73" t="n">
        <f aca="false">IF(SUM($G217)&lt;=0,"",$G217)</f>
        <v>9</v>
      </c>
      <c r="BN217" s="73" t="n">
        <f aca="false">IF(SUM($G217)&lt;=0,"",SUM($I217:$L217,$Q217,$S217,$AM217,$AP217,$AS217,$AV217,$AY217,$BB217,$BE217,$BH217,$BK217))</f>
        <v>1976</v>
      </c>
      <c r="BO217" s="73" t="n">
        <f aca="false">IF(AND(SUM($BN217)&lt;=0,SUM($BM217)&lt;=0),"",SUM($BN217)-SUM($BM217))</f>
        <v>1967</v>
      </c>
      <c r="BP217" s="73" t="n">
        <f aca="false">_xlfn.IFNA(INDEX(PMTCT!$AF:$AF,MATCH($E217,PMTCT!$E:$E,0)),"")</f>
        <v>23</v>
      </c>
      <c r="BQ217" s="73" t="n">
        <f aca="false">_xlfn.IFNA(INDEX(PMTCT!$AV:$AV,MATCH($E217,PMTCT!$E:$E,0)),"")</f>
        <v>23</v>
      </c>
      <c r="BR217" s="73" t="n">
        <f aca="false">_xlfn.IFNA(INDEX(TB!$R:$R,MATCH($E217,TB!$E:$E,0)),"")</f>
        <v>2</v>
      </c>
      <c r="BS217" s="73" t="str">
        <f aca="false">_xlfn.IFNA(INDEX(VMMC!$AD:$AD,MATCH($E217,VMMC!$E:$E,0)),"")</f>
        <v/>
      </c>
      <c r="BT217" s="73" t="n">
        <f aca="false">IF(SUM($R217,$T217,$AN217,$AQ217,$AT217,$AW217,$AZ217,$BC217,$BF217,$BI217,$BL217,$BP217:$BS217)=0,"",SUM($R217,$T217,$AN217,$AQ217,$AT217,$AW217,$AZ217,$BC217,$BF217,$BI217,$BL217,$BP217:$BS217))</f>
        <v>-211</v>
      </c>
      <c r="BU217" s="73" t="n">
        <f aca="false">IF(OR(SUM($BT217)=0,SUM($BN217)=0),"",SUM($BT217,$BN217))</f>
        <v>1765</v>
      </c>
      <c r="BV217" s="118" t="n">
        <f aca="false">IF(SUM($BU217)=0,"",SUM($BN217)/$BU217)</f>
        <v>1.11954674220963</v>
      </c>
      <c r="BW217" s="73"/>
      <c r="BX217" s="118" t="n">
        <f aca="false">IF(OR($C217="01-04",$C217="05-09"),"",0%)</f>
        <v>0</v>
      </c>
      <c r="BY217" s="75" t="str">
        <f aca="false">IF(OR($C217="01-04",$C217="05-09",SUM($BW217)=0),"",ROUND($BW217*(1+$BX217),0))</f>
        <v/>
      </c>
    </row>
    <row r="218" customFormat="false" ht="15" hidden="false" customHeight="false" outlineLevel="0" collapsed="false">
      <c r="A218" s="0" t="s">
        <v>150</v>
      </c>
      <c r="B218" s="0" t="s">
        <v>117</v>
      </c>
      <c r="C218" s="0" t="s">
        <v>61</v>
      </c>
      <c r="D218" s="0" t="s">
        <v>58</v>
      </c>
      <c r="E218" s="0" t="str">
        <f aca="false">B218&amp;"|"&amp;C218&amp;"|"&amp;D218</f>
        <v>Quthing [#SNU] [HuwCoDZG0FY]|10-14|Male</v>
      </c>
      <c r="F218" s="118" t="n">
        <f aca="false">_xlfn.IFNA(INDEX(Cascade!$Y:$Y,MATCH($E218,Cascade!$E:$E,0)),"")</f>
        <v>0.739884393063584</v>
      </c>
      <c r="G218" s="73" t="n">
        <f aca="false">_xlfn.IFNA(INDEX(Cascade!$BD:$BD,MATCH($E218,Cascade!$E:$E,0)),"")</f>
        <v>5</v>
      </c>
      <c r="H218" s="73" t="n">
        <f aca="false">_xlfn.IFNA(INDEX(Cascade!$BE:$BE,MATCH($E218,Cascade!$E:$E,0)),"")</f>
        <v>3</v>
      </c>
      <c r="I218" s="73" t="str">
        <f aca="false">_xlfn.IFNA(INDEX(Cascade!$BF:$BF,MATCH($E218,Cascade!$E:$E,0)),"")</f>
        <v/>
      </c>
      <c r="J218" s="73" t="str">
        <f aca="false">_xlfn.IFNA(INDEX(Cascade!$BG:$BG,MATCH($E218,Cascade!$E:$E,0)),"")</f>
        <v/>
      </c>
      <c r="K218" s="73" t="n">
        <f aca="false">_xlfn.IFNA(INDEX(Cascade!$BH:$BH,MATCH($E218,Cascade!$E:$E,0)),"")</f>
        <v>-0</v>
      </c>
      <c r="L218" s="73" t="str">
        <f aca="false">_xlfn.IFNA(INDEX(Cascade!$BI:$BI,MATCH($E218,Cascade!$E:$E,0)),"")</f>
        <v/>
      </c>
      <c r="M218" s="73" t="n">
        <f aca="false">_xlfn.IFNA(INDEX(Cascade!$BK:$BK,MATCH($E218,Cascade!$E:$E,0)),"")</f>
        <v>2</v>
      </c>
      <c r="N218" s="118"/>
      <c r="O218" s="118"/>
      <c r="P218" s="118"/>
      <c r="Q218" s="75" t="str">
        <f aca="false">IF(OR(SUM($H218)=0,SUM($N218)=0,SUM($O218)=0),"",ROUND($H218*$N218,0))</f>
        <v/>
      </c>
      <c r="R218" s="75" t="str">
        <f aca="false">IF(OR(SUM($Q218)=0,SUM($O218)=0),"",ROUND(SUM($Q218)/SUM($O218),0)-SUM($Q218))</f>
        <v/>
      </c>
      <c r="S218" s="75" t="n">
        <f aca="false">IF(SUM($H218)=0,"",SUM($H218)-SUM($Q218))</f>
        <v>3</v>
      </c>
      <c r="T218" s="75" t="str">
        <f aca="false">IF(OR(SUM($S218)=0,$N218&gt;1,SUM($P218)&lt;=0),"",ROUND($S218/$P218,0)-$S218)</f>
        <v/>
      </c>
      <c r="U218" s="118" t="n">
        <f aca="false">IF(SUM($G218)&lt;=0,"",SUM($Q218,$S218)/$G218)</f>
        <v>0.6</v>
      </c>
      <c r="V218" s="118" t="str">
        <f aca="false">IF(OR(SUM($Q218)=0,SUM($G218)=0),"",SUM($Q218)/SUM($G218))</f>
        <v/>
      </c>
      <c r="W218" s="118" t="n">
        <f aca="false">IF(OR(SUM($S218)=0,SUM($G218)=0),"",SUM($S218)/SUM($G218))</f>
        <v>0.6</v>
      </c>
      <c r="X218" s="118" t="str">
        <f aca="false">IF(OR(SUM($G218)=0,SUM($I218)=0),"",SUM($I218)/SUM($G218))</f>
        <v/>
      </c>
      <c r="Y218" s="118" t="str">
        <f aca="false">IF(OR(SUM($G218)=0,SUM($J218)=0),"",SUM($J218)/SUM($G218))</f>
        <v/>
      </c>
      <c r="Z218" s="118" t="str">
        <f aca="false">IF(OR(SUM($G218)=0,SUM($K218)=0),"",SUM($K218)/SUM($G218))</f>
        <v/>
      </c>
      <c r="AA218" s="118" t="str">
        <f aca="false">IF(OR(SUM($G218)=0,SUM($L218)=0),"",SUM($L218)/SUM($G218))</f>
        <v/>
      </c>
      <c r="AB218" s="118" t="n">
        <v>49</v>
      </c>
      <c r="AC218" s="118"/>
      <c r="AD218" s="118"/>
      <c r="AE218" s="118" t="n">
        <v>44</v>
      </c>
      <c r="AF218" s="118" t="n">
        <v>46</v>
      </c>
      <c r="AG218" s="118" t="n">
        <v>4</v>
      </c>
      <c r="AH218" s="118" t="n">
        <v>28</v>
      </c>
      <c r="AI218" s="118" t="n">
        <v>19</v>
      </c>
      <c r="AJ218" s="118" t="n">
        <v>49</v>
      </c>
      <c r="AK218" s="118" t="n">
        <f aca="false">IF(SUM($G218)&lt;=0,"",SUM($V218:$AJ218))</f>
        <v>239.6</v>
      </c>
      <c r="AL218" s="118" t="n">
        <v>31</v>
      </c>
      <c r="AM218" s="75" t="n">
        <f aca="false">IF(OR(SUM($AB218)&lt;=0,SUM($G218)&lt;=0),"",ROUND($G218*$AB218,0))</f>
        <v>245</v>
      </c>
      <c r="AN218" s="75" t="n">
        <f aca="false">IF(SUM($AM218)&lt;=0,"",IF(SUM($AL218)&lt;=0,"ENTER VALID YIELD!",ROUND($AM218/$AL218,0)-$AM218))</f>
        <v>-237</v>
      </c>
      <c r="AO218" s="118"/>
      <c r="AP218" s="75" t="str">
        <f aca="false">IF(OR(SUM($AC218)&lt;=0,SUM($G218)&lt;=0),"",ROUND($G218*$AC218,0))</f>
        <v/>
      </c>
      <c r="AQ218" s="75" t="str">
        <f aca="false">IF(SUM($AP218)&lt;=0,"",IF(SUM($AO218)&lt;=0,"ENTER VALID YIELD!",ROUND($AP218/$AO218,0)-$AP218))</f>
        <v/>
      </c>
      <c r="AR218" s="118"/>
      <c r="AS218" s="75" t="str">
        <f aca="false">IF(OR(SUM($AD218)&lt;=0,SUM($G218)&lt;=0),"",ROUND($G218*$AD218,0))</f>
        <v/>
      </c>
      <c r="AT218" s="75" t="str">
        <f aca="false">IF(SUM($AS218)&lt;=0,"",IF(SUM($AR218)&lt;=0,"ENTER VALID YIELD!",ROUND($AS218/$AR218,0)-$AS218))</f>
        <v/>
      </c>
      <c r="AU218" s="118"/>
      <c r="AV218" s="75" t="n">
        <f aca="false">IF(OR(SUM($AE218)&lt;=0,SUM($G218)&lt;=0),"",ROUND($G218*$AE218,0))</f>
        <v>220</v>
      </c>
      <c r="AW218" s="75" t="str">
        <f aca="false">IF(SUM($AV218)&lt;=0,"",IF(SUM($AU218)&lt;=0,"ENTER VALID YIELD!",ROUND($AV218/$AU218,0)-$AV218))</f>
        <v>ENTER VALID YIELD!</v>
      </c>
      <c r="AX218" s="118"/>
      <c r="AY218" s="75" t="n">
        <f aca="false">IF(OR(SUM($AF218)&lt;=0,SUM($G218)&lt;=0),"",ROUND($G218*$AF218,0))</f>
        <v>230</v>
      </c>
      <c r="AZ218" s="75" t="str">
        <f aca="false">IF(SUM($AY218)&lt;=0,"",IF(SUM($AX218)&lt;=0,"ENTER VALID YIELD!",ROUND($AY218/$AX218,0)-$AY218))</f>
        <v>ENTER VALID YIELD!</v>
      </c>
      <c r="BA218" s="118" t="n">
        <v>21</v>
      </c>
      <c r="BB218" s="75" t="n">
        <f aca="false">IF(OR(SUM($AG218)&lt;=0,SUM($G218)&lt;=0),"",ROUND($G218*$AG218,0))</f>
        <v>20</v>
      </c>
      <c r="BC218" s="75" t="n">
        <f aca="false">IF(SUM($BB218)&lt;=0,"",IF(SUM($BA218)&lt;=0,"ENTER VALID YIELD!",ROUND($BB218/$BA218,0)-$BB218))</f>
        <v>-19</v>
      </c>
      <c r="BD218" s="118"/>
      <c r="BE218" s="75" t="n">
        <f aca="false">IF(OR(SUM($AH218)&lt;=0,SUM($G218)&lt;=0),"",ROUND($G218*$AH218,0))</f>
        <v>140</v>
      </c>
      <c r="BF218" s="75" t="str">
        <f aca="false">IF(SUM($BE218)&lt;=0,"",IF(SUM($BD218)&lt;=0,"ENTER VALID YIELD!",ROUND($BE218/$BD218,0)-$BE218))</f>
        <v>ENTER VALID YIELD!</v>
      </c>
      <c r="BG218" s="118"/>
      <c r="BH218" s="75" t="n">
        <f aca="false">IF(OR(SUM($AI218)&lt;=0,SUM($G218)&lt;=0),"",ROUND($G218*$AI218,0))</f>
        <v>95</v>
      </c>
      <c r="BI218" s="75" t="str">
        <f aca="false">IF(SUM($BH218)&lt;=0,"",IF(SUM($BG218)&lt;=0,"ENTER VALID YIELD!",ROUND($BH218/$BG218,0)-$BH218))</f>
        <v>ENTER VALID YIELD!</v>
      </c>
      <c r="BJ218" s="118"/>
      <c r="BK218" s="75" t="n">
        <f aca="false">IF(OR(SUM($AJ218)&lt;=0,SUM($G218)&lt;=0),"",ROUND($G218*$AJ218,0))</f>
        <v>245</v>
      </c>
      <c r="BL218" s="75" t="str">
        <f aca="false">IF(SUM($BK218)&lt;=0,"",IF(SUM($BJ218)&lt;=0,"ENTER VALID YIELD!",ROUND($BK218/$BJ218,0)-$BK218))</f>
        <v>ENTER VALID YIELD!</v>
      </c>
      <c r="BM218" s="73" t="n">
        <f aca="false">IF(SUM($G218)&lt;=0,"",$G218)</f>
        <v>5</v>
      </c>
      <c r="BN218" s="73" t="n">
        <f aca="false">IF(SUM($G218)&lt;=0,"",SUM($I218:$L218,$Q218,$S218,$AM218,$AP218,$AS218,$AV218,$AY218,$BB218,$BE218,$BH218,$BK218))</f>
        <v>1198</v>
      </c>
      <c r="BO218" s="73" t="n">
        <f aca="false">IF(AND(SUM($BN218)&lt;=0,SUM($BM218)&lt;=0),"",SUM($BN218)-SUM($BM218))</f>
        <v>1193</v>
      </c>
      <c r="BP218" s="73" t="str">
        <f aca="false">_xlfn.IFNA(INDEX(PMTCT!$AF:$AF,MATCH($E218,PMTCT!$E:$E,0)),"")</f>
        <v/>
      </c>
      <c r="BQ218" s="73" t="str">
        <f aca="false">_xlfn.IFNA(INDEX(PMTCT!$AV:$AV,MATCH($E218,PMTCT!$E:$E,0)),"")</f>
        <v/>
      </c>
      <c r="BR218" s="73" t="n">
        <f aca="false">_xlfn.IFNA(INDEX(TB!$R:$R,MATCH($E218,TB!$E:$E,0)),"")</f>
        <v>-517</v>
      </c>
      <c r="BS218" s="73" t="str">
        <f aca="false">_xlfn.IFNA(INDEX(VMMC!$AD:$AD,MATCH($E218,VMMC!$E:$E,0)),"")</f>
        <v/>
      </c>
      <c r="BT218" s="73" t="n">
        <f aca="false">IF(SUM($R218,$T218,$AN218,$AQ218,$AT218,$AW218,$AZ218,$BC218,$BF218,$BI218,$BL218,$BP218:$BS218)=0,"",SUM($R218,$T218,$AN218,$AQ218,$AT218,$AW218,$AZ218,$BC218,$BF218,$BI218,$BL218,$BP218:$BS218))</f>
        <v>-773</v>
      </c>
      <c r="BU218" s="73" t="n">
        <f aca="false">IF(OR(SUM($BT218)=0,SUM($BN218)=0),"",SUM($BT218,$BN218))</f>
        <v>425</v>
      </c>
      <c r="BV218" s="118" t="n">
        <f aca="false">IF(SUM($BU218)=0,"",SUM($BN218)/$BU218)</f>
        <v>2.81882352941176</v>
      </c>
      <c r="BW218" s="73"/>
      <c r="BX218" s="118" t="n">
        <f aca="false">IF(OR($C218="01-04",$C218="05-09"),"",0%)</f>
        <v>0</v>
      </c>
      <c r="BY218" s="75" t="str">
        <f aca="false">IF(OR($C218="01-04",$C218="05-09",SUM($BW218)=0),"",ROUND($BW218*(1+$BX218),0))</f>
        <v/>
      </c>
    </row>
    <row r="219" customFormat="false" ht="15" hidden="false" customHeight="false" outlineLevel="0" collapsed="false">
      <c r="A219" s="0" t="s">
        <v>150</v>
      </c>
      <c r="B219" s="0" t="s">
        <v>117</v>
      </c>
      <c r="C219" s="0" t="s">
        <v>63</v>
      </c>
      <c r="D219" s="0" t="s">
        <v>56</v>
      </c>
      <c r="E219" s="0" t="str">
        <f aca="false">B219&amp;"|"&amp;C219&amp;"|"&amp;D219</f>
        <v>Quthing [#SNU] [HuwCoDZG0FY]|15-19|Female</v>
      </c>
      <c r="F219" s="118" t="n">
        <f aca="false">_xlfn.IFNA(INDEX(Cascade!$Y:$Y,MATCH($E219,Cascade!$E:$E,0)),"")</f>
        <v>0.635714285714286</v>
      </c>
      <c r="G219" s="73" t="n">
        <f aca="false">_xlfn.IFNA(INDEX(Cascade!$BD:$BD,MATCH($E219,Cascade!$E:$E,0)),"")</f>
        <v>17</v>
      </c>
      <c r="H219" s="73" t="n">
        <f aca="false">_xlfn.IFNA(INDEX(Cascade!$BE:$BE,MATCH($E219,Cascade!$E:$E,0)),"")</f>
        <v>5</v>
      </c>
      <c r="I219" s="73" t="n">
        <f aca="false">_xlfn.IFNA(INDEX(Cascade!$BF:$BF,MATCH($E219,Cascade!$E:$E,0)),"")</f>
        <v>-53406</v>
      </c>
      <c r="J219" s="73" t="str">
        <f aca="false">_xlfn.IFNA(INDEX(Cascade!$BG:$BG,MATCH($E219,Cascade!$E:$E,0)),"")</f>
        <v/>
      </c>
      <c r="K219" s="73" t="n">
        <f aca="false">_xlfn.IFNA(INDEX(Cascade!$BH:$BH,MATCH($E219,Cascade!$E:$E,0)),"")</f>
        <v>0</v>
      </c>
      <c r="L219" s="73" t="str">
        <f aca="false">_xlfn.IFNA(INDEX(Cascade!$BI:$BI,MATCH($E219,Cascade!$E:$E,0)),"")</f>
        <v/>
      </c>
      <c r="M219" s="73" t="n">
        <f aca="false">_xlfn.IFNA(INDEX(Cascade!$BK:$BK,MATCH($E219,Cascade!$E:$E,0)),"")</f>
        <v>53418</v>
      </c>
      <c r="N219" s="118" t="n">
        <v>1</v>
      </c>
      <c r="O219" s="118"/>
      <c r="P219" s="118" t="n">
        <v>45</v>
      </c>
      <c r="Q219" s="75" t="str">
        <f aca="false">IF(OR(SUM($H219)=0,SUM($N219)=0,SUM($O219)=0),"",ROUND($H219*$N219,0))</f>
        <v/>
      </c>
      <c r="R219" s="75" t="str">
        <f aca="false">IF(OR(SUM($Q219)=0,SUM($O219)=0),"",ROUND(SUM($Q219)/SUM($O219),0)-SUM($Q219))</f>
        <v/>
      </c>
      <c r="S219" s="75" t="n">
        <f aca="false">IF(SUM($H219)=0,"",SUM($H219)-SUM($Q219))</f>
        <v>5</v>
      </c>
      <c r="T219" s="75" t="n">
        <f aca="false">IF(OR(SUM($S219)=0,$N219&gt;1,SUM($P219)&lt;=0),"",ROUND($S219/$P219,0)-$S219)</f>
        <v>-5</v>
      </c>
      <c r="U219" s="118" t="n">
        <f aca="false">IF(SUM($G219)&lt;=0,"",SUM($Q219,$S219)/$G219)</f>
        <v>0.294117647058823</v>
      </c>
      <c r="V219" s="118" t="str">
        <f aca="false">IF(OR(SUM($Q219)=0,SUM($G219)=0),"",SUM($Q219)/SUM($G219))</f>
        <v/>
      </c>
      <c r="W219" s="118" t="n">
        <f aca="false">IF(OR(SUM($S219)=0,SUM($G219)=0),"",SUM($S219)/SUM($G219))</f>
        <v>0.294117647058823</v>
      </c>
      <c r="X219" s="118" t="n">
        <f aca="false">IF(OR(SUM($G219)=0,SUM($I219)=0),"",SUM($I219)/SUM($G219))</f>
        <v>-3141.52941176471</v>
      </c>
      <c r="Y219" s="118" t="str">
        <f aca="false">IF(OR(SUM($G219)=0,SUM($J219)=0),"",SUM($J219)/SUM($G219))</f>
        <v/>
      </c>
      <c r="Z219" s="118" t="str">
        <f aca="false">IF(OR(SUM($G219)=0,SUM($K219)=0),"",SUM($K219)/SUM($G219))</f>
        <v/>
      </c>
      <c r="AA219" s="118" t="str">
        <f aca="false">IF(OR(SUM($G219)=0,SUM($L219)=0),"",SUM($L219)/SUM($G219))</f>
        <v/>
      </c>
      <c r="AB219" s="118" t="n">
        <v>29</v>
      </c>
      <c r="AC219" s="118"/>
      <c r="AD219" s="118"/>
      <c r="AE219" s="118" t="n">
        <v>39</v>
      </c>
      <c r="AF219" s="118" t="n">
        <v>36</v>
      </c>
      <c r="AG219" s="118" t="n">
        <v>4</v>
      </c>
      <c r="AH219" s="118" t="n">
        <v>3</v>
      </c>
      <c r="AI219" s="118" t="n">
        <v>16</v>
      </c>
      <c r="AJ219" s="118" t="n">
        <v>29</v>
      </c>
      <c r="AK219" s="118" t="n">
        <f aca="false">IF(SUM($G219)&lt;=0,"",SUM($V219:$AJ219))</f>
        <v>-2985.23529411765</v>
      </c>
      <c r="AL219" s="118"/>
      <c r="AM219" s="75" t="n">
        <f aca="false">IF(OR(SUM($AB219)&lt;=0,SUM($G219)&lt;=0),"",ROUND($G219*$AB219,0))</f>
        <v>493</v>
      </c>
      <c r="AN219" s="75" t="str">
        <f aca="false">IF(SUM($AM219)&lt;=0,"",IF(SUM($AL219)&lt;=0,"ENTER VALID YIELD!",ROUND($AM219/$AL219,0)-$AM219))</f>
        <v>ENTER VALID YIELD!</v>
      </c>
      <c r="AO219" s="118"/>
      <c r="AP219" s="75" t="str">
        <f aca="false">IF(OR(SUM($AC219)&lt;=0,SUM($G219)&lt;=0),"",ROUND($G219*$AC219,0))</f>
        <v/>
      </c>
      <c r="AQ219" s="75" t="str">
        <f aca="false">IF(SUM($AP219)&lt;=0,"",IF(SUM($AO219)&lt;=0,"ENTER VALID YIELD!",ROUND($AP219/$AO219,0)-$AP219))</f>
        <v/>
      </c>
      <c r="AR219" s="118"/>
      <c r="AS219" s="75" t="str">
        <f aca="false">IF(OR(SUM($AD219)&lt;=0,SUM($G219)&lt;=0),"",ROUND($G219*$AD219,0))</f>
        <v/>
      </c>
      <c r="AT219" s="75" t="str">
        <f aca="false">IF(SUM($AS219)&lt;=0,"",IF(SUM($AR219)&lt;=0,"ENTER VALID YIELD!",ROUND($AS219/$AR219,0)-$AS219))</f>
        <v/>
      </c>
      <c r="AU219" s="118"/>
      <c r="AV219" s="75" t="n">
        <f aca="false">IF(OR(SUM($AE219)&lt;=0,SUM($G219)&lt;=0),"",ROUND($G219*$AE219,0))</f>
        <v>663</v>
      </c>
      <c r="AW219" s="75" t="str">
        <f aca="false">IF(SUM($AV219)&lt;=0,"",IF(SUM($AU219)&lt;=0,"ENTER VALID YIELD!",ROUND($AV219/$AU219,0)-$AV219))</f>
        <v>ENTER VALID YIELD!</v>
      </c>
      <c r="AX219" s="118"/>
      <c r="AY219" s="75" t="n">
        <f aca="false">IF(OR(SUM($AF219)&lt;=0,SUM($G219)&lt;=0),"",ROUND($G219*$AF219,0))</f>
        <v>612</v>
      </c>
      <c r="AZ219" s="75" t="str">
        <f aca="false">IF(SUM($AY219)&lt;=0,"",IF(SUM($AX219)&lt;=0,"ENTER VALID YIELD!",ROUND($AY219/$AX219,0)-$AY219))</f>
        <v>ENTER VALID YIELD!</v>
      </c>
      <c r="BA219" s="118" t="n">
        <v>26</v>
      </c>
      <c r="BB219" s="75" t="n">
        <f aca="false">IF(OR(SUM($AG219)&lt;=0,SUM($G219)&lt;=0),"",ROUND($G219*$AG219,0))</f>
        <v>68</v>
      </c>
      <c r="BC219" s="75" t="n">
        <f aca="false">IF(SUM($BB219)&lt;=0,"",IF(SUM($BA219)&lt;=0,"ENTER VALID YIELD!",ROUND($BB219/$BA219,0)-$BB219))</f>
        <v>-65</v>
      </c>
      <c r="BD219" s="118"/>
      <c r="BE219" s="75" t="n">
        <f aca="false">IF(OR(SUM($AH219)&lt;=0,SUM($G219)&lt;=0),"",ROUND($G219*$AH219,0))</f>
        <v>51</v>
      </c>
      <c r="BF219" s="75" t="str">
        <f aca="false">IF(SUM($BE219)&lt;=0,"",IF(SUM($BD219)&lt;=0,"ENTER VALID YIELD!",ROUND($BE219/$BD219,0)-$BE219))</f>
        <v>ENTER VALID YIELD!</v>
      </c>
      <c r="BG219" s="118"/>
      <c r="BH219" s="75" t="n">
        <f aca="false">IF(OR(SUM($AI219)&lt;=0,SUM($G219)&lt;=0),"",ROUND($G219*$AI219,0))</f>
        <v>272</v>
      </c>
      <c r="BI219" s="75" t="str">
        <f aca="false">IF(SUM($BH219)&lt;=0,"",IF(SUM($BG219)&lt;=0,"ENTER VALID YIELD!",ROUND($BH219/$BG219,0)-$BH219))</f>
        <v>ENTER VALID YIELD!</v>
      </c>
      <c r="BJ219" s="118"/>
      <c r="BK219" s="75" t="n">
        <f aca="false">IF(OR(SUM($AJ219)&lt;=0,SUM($G219)&lt;=0),"",ROUND($G219*$AJ219,0))</f>
        <v>493</v>
      </c>
      <c r="BL219" s="75" t="str">
        <f aca="false">IF(SUM($BK219)&lt;=0,"",IF(SUM($BJ219)&lt;=0,"ENTER VALID YIELD!",ROUND($BK219/$BJ219,0)-$BK219))</f>
        <v>ENTER VALID YIELD!</v>
      </c>
      <c r="BM219" s="73" t="n">
        <f aca="false">IF(SUM($G219)&lt;=0,"",$G219)</f>
        <v>17</v>
      </c>
      <c r="BN219" s="73" t="n">
        <f aca="false">IF(SUM($G219)&lt;=0,"",SUM($I219:$L219,$Q219,$S219,$AM219,$AP219,$AS219,$AV219,$AY219,$BB219,$BE219,$BH219,$BK219))</f>
        <v>-50749</v>
      </c>
      <c r="BO219" s="73" t="n">
        <f aca="false">IF(AND(SUM($BN219)&lt;=0,SUM($BM219)&lt;=0),"",SUM($BN219)-SUM($BM219))</f>
        <v>-50766</v>
      </c>
      <c r="BP219" s="73" t="n">
        <f aca="false">_xlfn.IFNA(INDEX(PMTCT!$AF:$AF,MATCH($E219,PMTCT!$E:$E,0)),"")</f>
        <v>52245</v>
      </c>
      <c r="BQ219" s="73" t="str">
        <f aca="false">_xlfn.IFNA(INDEX(PMTCT!$AV:$AV,MATCH($E219,PMTCT!$E:$E,0)),"")</f>
        <v/>
      </c>
      <c r="BR219" s="73" t="n">
        <f aca="false">_xlfn.IFNA(INDEX(TB!$R:$R,MATCH($E219,TB!$E:$E,0)),"")</f>
        <v>40</v>
      </c>
      <c r="BS219" s="73" t="str">
        <f aca="false">_xlfn.IFNA(INDEX(VMMC!$AD:$AD,MATCH($E219,VMMC!$E:$E,0)),"")</f>
        <v/>
      </c>
      <c r="BT219" s="73" t="n">
        <f aca="false">IF(SUM($R219,$T219,$AN219,$AQ219,$AT219,$AW219,$AZ219,$BC219,$BF219,$BI219,$BL219,$BP219:$BS219)=0,"",SUM($R219,$T219,$AN219,$AQ219,$AT219,$AW219,$AZ219,$BC219,$BF219,$BI219,$BL219,$BP219:$BS219))</f>
        <v>52215</v>
      </c>
      <c r="BU219" s="73" t="n">
        <f aca="false">IF(OR(SUM($BT219)=0,SUM($BN219)=0),"",SUM($BT219,$BN219))</f>
        <v>1466</v>
      </c>
      <c r="BV219" s="118" t="n">
        <f aca="false">IF(SUM($BU219)=0,"",SUM($BN219)/$BU219)</f>
        <v>-34.6173260572988</v>
      </c>
      <c r="BW219" s="73"/>
      <c r="BX219" s="118" t="n">
        <f aca="false">IF(OR($C219="01-04",$C219="05-09"),"",0%)</f>
        <v>0</v>
      </c>
      <c r="BY219" s="75" t="str">
        <f aca="false">IF(OR($C219="01-04",$C219="05-09",SUM($BW219)=0),"",ROUND($BW219*(1+$BX219),0))</f>
        <v/>
      </c>
    </row>
    <row r="220" customFormat="false" ht="15" hidden="false" customHeight="false" outlineLevel="0" collapsed="false">
      <c r="A220" s="0" t="s">
        <v>150</v>
      </c>
      <c r="B220" s="0" t="s">
        <v>117</v>
      </c>
      <c r="C220" s="0" t="s">
        <v>63</v>
      </c>
      <c r="D220" s="0" t="s">
        <v>58</v>
      </c>
      <c r="E220" s="0" t="str">
        <f aca="false">B220&amp;"|"&amp;C220&amp;"|"&amp;D220</f>
        <v>Quthing [#SNU] [HuwCoDZG0FY]|15-19|Male</v>
      </c>
      <c r="F220" s="118" t="n">
        <f aca="false">_xlfn.IFNA(INDEX(Cascade!$Y:$Y,MATCH($E220,Cascade!$E:$E,0)),"")</f>
        <v>0.797752808988764</v>
      </c>
      <c r="G220" s="73" t="n">
        <f aca="false">_xlfn.IFNA(INDEX(Cascade!$BD:$BD,MATCH($E220,Cascade!$E:$E,0)),"")</f>
        <v>1</v>
      </c>
      <c r="H220" s="73" t="n">
        <f aca="false">_xlfn.IFNA(INDEX(Cascade!$BE:$BE,MATCH($E220,Cascade!$E:$E,0)),"")</f>
        <v>1</v>
      </c>
      <c r="I220" s="73" t="str">
        <f aca="false">_xlfn.IFNA(INDEX(Cascade!$BF:$BF,MATCH($E220,Cascade!$E:$E,0)),"")</f>
        <v/>
      </c>
      <c r="J220" s="73" t="str">
        <f aca="false">_xlfn.IFNA(INDEX(Cascade!$BG:$BG,MATCH($E220,Cascade!$E:$E,0)),"")</f>
        <v/>
      </c>
      <c r="K220" s="73" t="n">
        <f aca="false">_xlfn.IFNA(INDEX(Cascade!$BH:$BH,MATCH($E220,Cascade!$E:$E,0)),"")</f>
        <v>0</v>
      </c>
      <c r="L220" s="73" t="str">
        <f aca="false">_xlfn.IFNA(INDEX(Cascade!$BI:$BI,MATCH($E220,Cascade!$E:$E,0)),"")</f>
        <v/>
      </c>
      <c r="M220" s="73" t="n">
        <f aca="false">_xlfn.IFNA(INDEX(Cascade!$BK:$BK,MATCH($E220,Cascade!$E:$E,0)),"")</f>
        <v>0</v>
      </c>
      <c r="N220" s="118" t="n">
        <v>28</v>
      </c>
      <c r="O220" s="118"/>
      <c r="P220" s="118" t="n">
        <v>22</v>
      </c>
      <c r="Q220" s="75" t="str">
        <f aca="false">IF(OR(SUM($H220)=0,SUM($N220)=0,SUM($O220)=0),"",ROUND($H220*$N220,0))</f>
        <v/>
      </c>
      <c r="R220" s="75" t="str">
        <f aca="false">IF(OR(SUM($Q220)=0,SUM($O220)=0),"",ROUND(SUM($Q220)/SUM($O220),0)-SUM($Q220))</f>
        <v/>
      </c>
      <c r="S220" s="75" t="n">
        <f aca="false">IF(SUM($H220)=0,"",SUM($H220)-SUM($Q220))</f>
        <v>1</v>
      </c>
      <c r="T220" s="75" t="str">
        <f aca="false">IF(OR(SUM($S220)=0,$N220&gt;1,SUM($P220)&lt;=0),"",ROUND($S220/$P220,0)-$S220)</f>
        <v/>
      </c>
      <c r="U220" s="118" t="n">
        <f aca="false">IF(SUM($G220)&lt;=0,"",SUM($Q220,$S220)/$G220)</f>
        <v>1</v>
      </c>
      <c r="V220" s="118" t="str">
        <f aca="false">IF(OR(SUM($Q220)=0,SUM($G220)=0),"",SUM($Q220)/SUM($G220))</f>
        <v/>
      </c>
      <c r="W220" s="118" t="n">
        <f aca="false">IF(OR(SUM($S220)=0,SUM($G220)=0),"",SUM($S220)/SUM($G220))</f>
        <v>1</v>
      </c>
      <c r="X220" s="118" t="str">
        <f aca="false">IF(OR(SUM($G220)=0,SUM($I220)=0),"",SUM($I220)/SUM($G220))</f>
        <v/>
      </c>
      <c r="Y220" s="118" t="str">
        <f aca="false">IF(OR(SUM($G220)=0,SUM($J220)=0),"",SUM($J220)/SUM($G220))</f>
        <v/>
      </c>
      <c r="Z220" s="118" t="str">
        <f aca="false">IF(OR(SUM($G220)=0,SUM($K220)=0),"",SUM($K220)/SUM($G220))</f>
        <v/>
      </c>
      <c r="AA220" s="118" t="str">
        <f aca="false">IF(OR(SUM($G220)=0,SUM($L220)=0),"",SUM($L220)/SUM($G220))</f>
        <v/>
      </c>
      <c r="AB220" s="118" t="n">
        <v>45</v>
      </c>
      <c r="AC220" s="118"/>
      <c r="AD220" s="118"/>
      <c r="AE220" s="118" t="n">
        <v>3</v>
      </c>
      <c r="AF220" s="118" t="n">
        <v>42</v>
      </c>
      <c r="AG220" s="118" t="n">
        <v>50</v>
      </c>
      <c r="AH220" s="118" t="n">
        <v>15</v>
      </c>
      <c r="AI220" s="118" t="n">
        <v>33</v>
      </c>
      <c r="AJ220" s="118" t="n">
        <v>50</v>
      </c>
      <c r="AK220" s="118" t="n">
        <f aca="false">IF(SUM($G220)&lt;=0,"",SUM($V220:$AJ220))</f>
        <v>239</v>
      </c>
      <c r="AL220" s="118"/>
      <c r="AM220" s="75" t="n">
        <f aca="false">IF(OR(SUM($AB220)&lt;=0,SUM($G220)&lt;=0),"",ROUND($G220*$AB220,0))</f>
        <v>45</v>
      </c>
      <c r="AN220" s="75" t="str">
        <f aca="false">IF(SUM($AM220)&lt;=0,"",IF(SUM($AL220)&lt;=0,"ENTER VALID YIELD!",ROUND($AM220/$AL220,0)-$AM220))</f>
        <v>ENTER VALID YIELD!</v>
      </c>
      <c r="AO220" s="118"/>
      <c r="AP220" s="75" t="str">
        <f aca="false">IF(OR(SUM($AC220)&lt;=0,SUM($G220)&lt;=0),"",ROUND($G220*$AC220,0))</f>
        <v/>
      </c>
      <c r="AQ220" s="75" t="str">
        <f aca="false">IF(SUM($AP220)&lt;=0,"",IF(SUM($AO220)&lt;=0,"ENTER VALID YIELD!",ROUND($AP220/$AO220,0)-$AP220))</f>
        <v/>
      </c>
      <c r="AR220" s="118"/>
      <c r="AS220" s="75" t="str">
        <f aca="false">IF(OR(SUM($AD220)&lt;=0,SUM($G220)&lt;=0),"",ROUND($G220*$AD220,0))</f>
        <v/>
      </c>
      <c r="AT220" s="75" t="str">
        <f aca="false">IF(SUM($AS220)&lt;=0,"",IF(SUM($AR220)&lt;=0,"ENTER VALID YIELD!",ROUND($AS220/$AR220,0)-$AS220))</f>
        <v/>
      </c>
      <c r="AU220" s="118"/>
      <c r="AV220" s="75" t="n">
        <f aca="false">IF(OR(SUM($AE220)&lt;=0,SUM($G220)&lt;=0),"",ROUND($G220*$AE220,0))</f>
        <v>3</v>
      </c>
      <c r="AW220" s="75" t="str">
        <f aca="false">IF(SUM($AV220)&lt;=0,"",IF(SUM($AU220)&lt;=0,"ENTER VALID YIELD!",ROUND($AV220/$AU220,0)-$AV220))</f>
        <v>ENTER VALID YIELD!</v>
      </c>
      <c r="AX220" s="118"/>
      <c r="AY220" s="75" t="n">
        <f aca="false">IF(OR(SUM($AF220)&lt;=0,SUM($G220)&lt;=0),"",ROUND($G220*$AF220,0))</f>
        <v>42</v>
      </c>
      <c r="AZ220" s="75" t="str">
        <f aca="false">IF(SUM($AY220)&lt;=0,"",IF(SUM($AX220)&lt;=0,"ENTER VALID YIELD!",ROUND($AY220/$AX220,0)-$AY220))</f>
        <v>ENTER VALID YIELD!</v>
      </c>
      <c r="BA220" s="118" t="n">
        <v>35</v>
      </c>
      <c r="BB220" s="75" t="n">
        <f aca="false">IF(OR(SUM($AG220)&lt;=0,SUM($G220)&lt;=0),"",ROUND($G220*$AG220,0))</f>
        <v>50</v>
      </c>
      <c r="BC220" s="75" t="n">
        <f aca="false">IF(SUM($BB220)&lt;=0,"",IF(SUM($BA220)&lt;=0,"ENTER VALID YIELD!",ROUND($BB220/$BA220,0)-$BB220))</f>
        <v>-49</v>
      </c>
      <c r="BD220" s="118"/>
      <c r="BE220" s="75" t="n">
        <f aca="false">IF(OR(SUM($AH220)&lt;=0,SUM($G220)&lt;=0),"",ROUND($G220*$AH220,0))</f>
        <v>15</v>
      </c>
      <c r="BF220" s="75" t="str">
        <f aca="false">IF(SUM($BE220)&lt;=0,"",IF(SUM($BD220)&lt;=0,"ENTER VALID YIELD!",ROUND($BE220/$BD220,0)-$BE220))</f>
        <v>ENTER VALID YIELD!</v>
      </c>
      <c r="BG220" s="118"/>
      <c r="BH220" s="75" t="n">
        <f aca="false">IF(OR(SUM($AI220)&lt;=0,SUM($G220)&lt;=0),"",ROUND($G220*$AI220,0))</f>
        <v>33</v>
      </c>
      <c r="BI220" s="75" t="str">
        <f aca="false">IF(SUM($BH220)&lt;=0,"",IF(SUM($BG220)&lt;=0,"ENTER VALID YIELD!",ROUND($BH220/$BG220,0)-$BH220))</f>
        <v>ENTER VALID YIELD!</v>
      </c>
      <c r="BJ220" s="118"/>
      <c r="BK220" s="75" t="n">
        <f aca="false">IF(OR(SUM($AJ220)&lt;=0,SUM($G220)&lt;=0),"",ROUND($G220*$AJ220,0))</f>
        <v>50</v>
      </c>
      <c r="BL220" s="75" t="str">
        <f aca="false">IF(SUM($BK220)&lt;=0,"",IF(SUM($BJ220)&lt;=0,"ENTER VALID YIELD!",ROUND($BK220/$BJ220,0)-$BK220))</f>
        <v>ENTER VALID YIELD!</v>
      </c>
      <c r="BM220" s="73" t="n">
        <f aca="false">IF(SUM($G220)&lt;=0,"",$G220)</f>
        <v>1</v>
      </c>
      <c r="BN220" s="73" t="n">
        <f aca="false">IF(SUM($G220)&lt;=0,"",SUM($I220:$L220,$Q220,$S220,$AM220,$AP220,$AS220,$AV220,$AY220,$BB220,$BE220,$BH220,$BK220))</f>
        <v>239</v>
      </c>
      <c r="BO220" s="73" t="n">
        <f aca="false">IF(AND(SUM($BN220)&lt;=0,SUM($BM220)&lt;=0),"",SUM($BN220)-SUM($BM220))</f>
        <v>238</v>
      </c>
      <c r="BP220" s="73" t="str">
        <f aca="false">_xlfn.IFNA(INDEX(PMTCT!$AF:$AF,MATCH($E220,PMTCT!$E:$E,0)),"")</f>
        <v/>
      </c>
      <c r="BQ220" s="73" t="str">
        <f aca="false">_xlfn.IFNA(INDEX(PMTCT!$AV:$AV,MATCH($E220,PMTCT!$E:$E,0)),"")</f>
        <v/>
      </c>
      <c r="BR220" s="73" t="n">
        <f aca="false">_xlfn.IFNA(INDEX(TB!$R:$R,MATCH($E220,TB!$E:$E,0)),"")</f>
        <v>8</v>
      </c>
      <c r="BS220" s="73" t="str">
        <f aca="false">_xlfn.IFNA(INDEX(VMMC!$AD:$AD,MATCH($E220,VMMC!$E:$E,0)),"")</f>
        <v/>
      </c>
      <c r="BT220" s="73" t="n">
        <f aca="false">IF(SUM($R220,$T220,$AN220,$AQ220,$AT220,$AW220,$AZ220,$BC220,$BF220,$BI220,$BL220,$BP220:$BS220)=0,"",SUM($R220,$T220,$AN220,$AQ220,$AT220,$AW220,$AZ220,$BC220,$BF220,$BI220,$BL220,$BP220:$BS220))</f>
        <v>-41</v>
      </c>
      <c r="BU220" s="73" t="n">
        <f aca="false">IF(OR(SUM($BT220)=0,SUM($BN220)=0),"",SUM($BT220,$BN220))</f>
        <v>198</v>
      </c>
      <c r="BV220" s="118" t="n">
        <f aca="false">IF(SUM($BU220)=0,"",SUM($BN220)/$BU220)</f>
        <v>1.20707070707071</v>
      </c>
      <c r="BW220" s="73"/>
      <c r="BX220" s="118" t="n">
        <f aca="false">IF(OR($C220="01-04",$C220="05-09"),"",0%)</f>
        <v>0</v>
      </c>
      <c r="BY220" s="75" t="str">
        <f aca="false">IF(OR($C220="01-04",$C220="05-09",SUM($BW220)=0),"",ROUND($BW220*(1+$BX220),0))</f>
        <v/>
      </c>
    </row>
    <row r="221" customFormat="false" ht="15" hidden="false" customHeight="false" outlineLevel="0" collapsed="false">
      <c r="A221" s="0" t="s">
        <v>150</v>
      </c>
      <c r="B221" s="0" t="s">
        <v>117</v>
      </c>
      <c r="C221" s="0" t="s">
        <v>66</v>
      </c>
      <c r="D221" s="0" t="s">
        <v>56</v>
      </c>
      <c r="E221" s="0" t="str">
        <f aca="false">B221&amp;"|"&amp;C221&amp;"|"&amp;D221</f>
        <v>Quthing [#SNU] [HuwCoDZG0FY]|20-24|Female</v>
      </c>
      <c r="F221" s="118" t="n">
        <f aca="false">_xlfn.IFNA(INDEX(Cascade!$Y:$Y,MATCH($E221,Cascade!$E:$E,0)),"")</f>
        <v>0.51440329218107</v>
      </c>
      <c r="G221" s="73" t="n">
        <f aca="false">_xlfn.IFNA(INDEX(Cascade!$BD:$BD,MATCH($E221,Cascade!$E:$E,0)),"")</f>
        <v>4</v>
      </c>
      <c r="H221" s="73" t="n">
        <f aca="false">_xlfn.IFNA(INDEX(Cascade!$BE:$BE,MATCH($E221,Cascade!$E:$E,0)),"")</f>
        <v>1</v>
      </c>
      <c r="I221" s="73" t="n">
        <f aca="false">_xlfn.IFNA(INDEX(Cascade!$BF:$BF,MATCH($E221,Cascade!$E:$E,0)),"")</f>
        <v>-9576</v>
      </c>
      <c r="J221" s="73" t="str">
        <f aca="false">_xlfn.IFNA(INDEX(Cascade!$BG:$BG,MATCH($E221,Cascade!$E:$E,0)),"")</f>
        <v/>
      </c>
      <c r="K221" s="73" t="n">
        <f aca="false">_xlfn.IFNA(INDEX(Cascade!$BH:$BH,MATCH($E221,Cascade!$E:$E,0)),"")</f>
        <v>-52452</v>
      </c>
      <c r="L221" s="73" t="str">
        <f aca="false">_xlfn.IFNA(INDEX(Cascade!$BI:$BI,MATCH($E221,Cascade!$E:$E,0)),"")</f>
        <v/>
      </c>
      <c r="M221" s="73" t="n">
        <f aca="false">_xlfn.IFNA(INDEX(Cascade!$BK:$BK,MATCH($E221,Cascade!$E:$E,0)),"")</f>
        <v>62031</v>
      </c>
      <c r="N221" s="118" t="n">
        <v>22</v>
      </c>
      <c r="O221" s="118"/>
      <c r="P221" s="118" t="n">
        <v>17</v>
      </c>
      <c r="Q221" s="75" t="str">
        <f aca="false">IF(OR(SUM($H221)=0,SUM($N221)=0,SUM($O221)=0),"",ROUND($H221*$N221,0))</f>
        <v/>
      </c>
      <c r="R221" s="75" t="str">
        <f aca="false">IF(OR(SUM($Q221)=0,SUM($O221)=0),"",ROUND(SUM($Q221)/SUM($O221),0)-SUM($Q221))</f>
        <v/>
      </c>
      <c r="S221" s="75" t="n">
        <f aca="false">IF(SUM($H221)=0,"",SUM($H221)-SUM($Q221))</f>
        <v>1</v>
      </c>
      <c r="T221" s="75" t="str">
        <f aca="false">IF(OR(SUM($S221)=0,$N221&gt;1,SUM($P221)&lt;=0),"",ROUND($S221/$P221,0)-$S221)</f>
        <v/>
      </c>
      <c r="U221" s="118" t="n">
        <f aca="false">IF(SUM($G221)&lt;=0,"",SUM($Q221,$S221)/$G221)</f>
        <v>0.25</v>
      </c>
      <c r="V221" s="118" t="str">
        <f aca="false">IF(OR(SUM($Q221)=0,SUM($G221)=0),"",SUM($Q221)/SUM($G221))</f>
        <v/>
      </c>
      <c r="W221" s="118" t="n">
        <f aca="false">IF(OR(SUM($S221)=0,SUM($G221)=0),"",SUM($S221)/SUM($G221))</f>
        <v>0.25</v>
      </c>
      <c r="X221" s="118" t="n">
        <f aca="false">IF(OR(SUM($G221)=0,SUM($I221)=0),"",SUM($I221)/SUM($G221))</f>
        <v>-2394</v>
      </c>
      <c r="Y221" s="118" t="str">
        <f aca="false">IF(OR(SUM($G221)=0,SUM($J221)=0),"",SUM($J221)/SUM($G221))</f>
        <v/>
      </c>
      <c r="Z221" s="118" t="n">
        <f aca="false">IF(OR(SUM($G221)=0,SUM($K221)=0),"",SUM($K221)/SUM($G221))</f>
        <v>-13113</v>
      </c>
      <c r="AA221" s="118" t="str">
        <f aca="false">IF(OR(SUM($G221)=0,SUM($L221)=0),"",SUM($L221)/SUM($G221))</f>
        <v/>
      </c>
      <c r="AB221" s="118" t="n">
        <v>29</v>
      </c>
      <c r="AC221" s="118"/>
      <c r="AD221" s="118"/>
      <c r="AE221" s="118" t="n">
        <v>46</v>
      </c>
      <c r="AF221" s="118" t="n">
        <v>45</v>
      </c>
      <c r="AG221" s="118" t="n">
        <v>13</v>
      </c>
      <c r="AH221" s="118" t="n">
        <v>34</v>
      </c>
      <c r="AI221" s="118" t="n">
        <v>12</v>
      </c>
      <c r="AJ221" s="118" t="n">
        <v>25</v>
      </c>
      <c r="AK221" s="118" t="n">
        <f aca="false">IF(SUM($G221)&lt;=0,"",SUM($V221:$AJ221))</f>
        <v>-15302.75</v>
      </c>
      <c r="AL221" s="118" t="n">
        <v>42</v>
      </c>
      <c r="AM221" s="75" t="n">
        <f aca="false">IF(OR(SUM($AB221)&lt;=0,SUM($G221)&lt;=0),"",ROUND($G221*$AB221,0))</f>
        <v>116</v>
      </c>
      <c r="AN221" s="75" t="n">
        <f aca="false">IF(SUM($AM221)&lt;=0,"",IF(SUM($AL221)&lt;=0,"ENTER VALID YIELD!",ROUND($AM221/$AL221,0)-$AM221))</f>
        <v>-113</v>
      </c>
      <c r="AO221" s="118"/>
      <c r="AP221" s="75" t="str">
        <f aca="false">IF(OR(SUM($AC221)&lt;=0,SUM($G221)&lt;=0),"",ROUND($G221*$AC221,0))</f>
        <v/>
      </c>
      <c r="AQ221" s="75" t="str">
        <f aca="false">IF(SUM($AP221)&lt;=0,"",IF(SUM($AO221)&lt;=0,"ENTER VALID YIELD!",ROUND($AP221/$AO221,0)-$AP221))</f>
        <v/>
      </c>
      <c r="AR221" s="118"/>
      <c r="AS221" s="75" t="str">
        <f aca="false">IF(OR(SUM($AD221)&lt;=0,SUM($G221)&lt;=0),"",ROUND($G221*$AD221,0))</f>
        <v/>
      </c>
      <c r="AT221" s="75" t="str">
        <f aca="false">IF(SUM($AS221)&lt;=0,"",IF(SUM($AR221)&lt;=0,"ENTER VALID YIELD!",ROUND($AS221/$AR221,0)-$AS221))</f>
        <v/>
      </c>
      <c r="AU221" s="118"/>
      <c r="AV221" s="75" t="n">
        <f aca="false">IF(OR(SUM($AE221)&lt;=0,SUM($G221)&lt;=0),"",ROUND($G221*$AE221,0))</f>
        <v>184</v>
      </c>
      <c r="AW221" s="75" t="str">
        <f aca="false">IF(SUM($AV221)&lt;=0,"",IF(SUM($AU221)&lt;=0,"ENTER VALID YIELD!",ROUND($AV221/$AU221,0)-$AV221))</f>
        <v>ENTER VALID YIELD!</v>
      </c>
      <c r="AX221" s="118"/>
      <c r="AY221" s="75" t="n">
        <f aca="false">IF(OR(SUM($AF221)&lt;=0,SUM($G221)&lt;=0),"",ROUND($G221*$AF221,0))</f>
        <v>180</v>
      </c>
      <c r="AZ221" s="75" t="str">
        <f aca="false">IF(SUM($AY221)&lt;=0,"",IF(SUM($AX221)&lt;=0,"ENTER VALID YIELD!",ROUND($AY221/$AX221,0)-$AY221))</f>
        <v>ENTER VALID YIELD!</v>
      </c>
      <c r="BA221" s="118" t="n">
        <v>6</v>
      </c>
      <c r="BB221" s="75" t="n">
        <f aca="false">IF(OR(SUM($AG221)&lt;=0,SUM($G221)&lt;=0),"",ROUND($G221*$AG221,0))</f>
        <v>52</v>
      </c>
      <c r="BC221" s="75" t="n">
        <f aca="false">IF(SUM($BB221)&lt;=0,"",IF(SUM($BA221)&lt;=0,"ENTER VALID YIELD!",ROUND($BB221/$BA221,0)-$BB221))</f>
        <v>-43</v>
      </c>
      <c r="BD221" s="118"/>
      <c r="BE221" s="75" t="n">
        <f aca="false">IF(OR(SUM($AH221)&lt;=0,SUM($G221)&lt;=0),"",ROUND($G221*$AH221,0))</f>
        <v>136</v>
      </c>
      <c r="BF221" s="75" t="str">
        <f aca="false">IF(SUM($BE221)&lt;=0,"",IF(SUM($BD221)&lt;=0,"ENTER VALID YIELD!",ROUND($BE221/$BD221,0)-$BE221))</f>
        <v>ENTER VALID YIELD!</v>
      </c>
      <c r="BG221" s="118"/>
      <c r="BH221" s="75" t="n">
        <f aca="false">IF(OR(SUM($AI221)&lt;=0,SUM($G221)&lt;=0),"",ROUND($G221*$AI221,0))</f>
        <v>48</v>
      </c>
      <c r="BI221" s="75" t="str">
        <f aca="false">IF(SUM($BH221)&lt;=0,"",IF(SUM($BG221)&lt;=0,"ENTER VALID YIELD!",ROUND($BH221/$BG221,0)-$BH221))</f>
        <v>ENTER VALID YIELD!</v>
      </c>
      <c r="BJ221" s="118"/>
      <c r="BK221" s="75" t="n">
        <f aca="false">IF(OR(SUM($AJ221)&lt;=0,SUM($G221)&lt;=0),"",ROUND($G221*$AJ221,0))</f>
        <v>100</v>
      </c>
      <c r="BL221" s="75" t="str">
        <f aca="false">IF(SUM($BK221)&lt;=0,"",IF(SUM($BJ221)&lt;=0,"ENTER VALID YIELD!",ROUND($BK221/$BJ221,0)-$BK221))</f>
        <v>ENTER VALID YIELD!</v>
      </c>
      <c r="BM221" s="73" t="n">
        <f aca="false">IF(SUM($G221)&lt;=0,"",$G221)</f>
        <v>4</v>
      </c>
      <c r="BN221" s="73" t="n">
        <f aca="false">IF(SUM($G221)&lt;=0,"",SUM($I221:$L221,$Q221,$S221,$AM221,$AP221,$AS221,$AV221,$AY221,$BB221,$BE221,$BH221,$BK221))</f>
        <v>-61211</v>
      </c>
      <c r="BO221" s="73" t="n">
        <f aca="false">IF(AND(SUM($BN221)&lt;=0,SUM($BM221)&lt;=0),"",SUM($BN221)-SUM($BM221))</f>
        <v>-61215</v>
      </c>
      <c r="BP221" s="73" t="n">
        <f aca="false">_xlfn.IFNA(INDEX(PMTCT!$AF:$AF,MATCH($E221,PMTCT!$E:$E,0)),"")</f>
        <v>8778</v>
      </c>
      <c r="BQ221" s="73" t="str">
        <f aca="false">_xlfn.IFNA(INDEX(PMTCT!$AV:$AV,MATCH($E221,PMTCT!$E:$E,0)),"")</f>
        <v/>
      </c>
      <c r="BR221" s="73" t="n">
        <f aca="false">_xlfn.IFNA(INDEX(TB!$R:$R,MATCH($E221,TB!$E:$E,0)),"")</f>
        <v>51336</v>
      </c>
      <c r="BS221" s="73" t="str">
        <f aca="false">_xlfn.IFNA(INDEX(VMMC!$AD:$AD,MATCH($E221,VMMC!$E:$E,0)),"")</f>
        <v/>
      </c>
      <c r="BT221" s="73" t="n">
        <f aca="false">IF(SUM($R221,$T221,$AN221,$AQ221,$AT221,$AW221,$AZ221,$BC221,$BF221,$BI221,$BL221,$BP221:$BS221)=0,"",SUM($R221,$T221,$AN221,$AQ221,$AT221,$AW221,$AZ221,$BC221,$BF221,$BI221,$BL221,$BP221:$BS221))</f>
        <v>59958</v>
      </c>
      <c r="BU221" s="73" t="n">
        <f aca="false">IF(OR(SUM($BT221)=0,SUM($BN221)=0),"",SUM($BT221,$BN221))</f>
        <v>-1253</v>
      </c>
      <c r="BV221" s="118" t="n">
        <f aca="false">IF(SUM($BU221)=0,"",SUM($BN221)/$BU221)</f>
        <v>48.8515562649641</v>
      </c>
      <c r="BW221" s="73"/>
      <c r="BX221" s="118" t="n">
        <f aca="false">IF(OR($C221="01-04",$C221="05-09"),"",0%)</f>
        <v>0</v>
      </c>
      <c r="BY221" s="75" t="str">
        <f aca="false">IF(OR($C221="01-04",$C221="05-09",SUM($BW221)=0),"",ROUND($BW221*(1+$BX221),0))</f>
        <v/>
      </c>
    </row>
    <row r="222" customFormat="false" ht="15" hidden="false" customHeight="false" outlineLevel="0" collapsed="false">
      <c r="A222" s="0" t="s">
        <v>150</v>
      </c>
      <c r="B222" s="0" t="s">
        <v>117</v>
      </c>
      <c r="C222" s="0" t="s">
        <v>66</v>
      </c>
      <c r="D222" s="0" t="s">
        <v>58</v>
      </c>
      <c r="E222" s="0" t="str">
        <f aca="false">B222&amp;"|"&amp;C222&amp;"|"&amp;D222</f>
        <v>Quthing [#SNU] [HuwCoDZG0FY]|20-24|Male</v>
      </c>
      <c r="F222" s="118" t="n">
        <f aca="false">_xlfn.IFNA(INDEX(Cascade!$Y:$Y,MATCH($E222,Cascade!$E:$E,0)),"")</f>
        <v>0.465034965034965</v>
      </c>
      <c r="G222" s="73" t="n">
        <f aca="false">_xlfn.IFNA(INDEX(Cascade!$BD:$BD,MATCH($E222,Cascade!$E:$E,0)),"")</f>
        <v>52</v>
      </c>
      <c r="H222" s="73" t="n">
        <f aca="false">_xlfn.IFNA(INDEX(Cascade!$BE:$BE,MATCH($E222,Cascade!$E:$E,0)),"")</f>
        <v>16</v>
      </c>
      <c r="I222" s="73" t="str">
        <f aca="false">_xlfn.IFNA(INDEX(Cascade!$BF:$BF,MATCH($E222,Cascade!$E:$E,0)),"")</f>
        <v/>
      </c>
      <c r="J222" s="73" t="str">
        <f aca="false">_xlfn.IFNA(INDEX(Cascade!$BG:$BG,MATCH($E222,Cascade!$E:$E,0)),"")</f>
        <v/>
      </c>
      <c r="K222" s="73" t="n">
        <f aca="false">_xlfn.IFNA(INDEX(Cascade!$BH:$BH,MATCH($E222,Cascade!$E:$E,0)),"")</f>
        <v>-0</v>
      </c>
      <c r="L222" s="73" t="str">
        <f aca="false">_xlfn.IFNA(INDEX(Cascade!$BI:$BI,MATCH($E222,Cascade!$E:$E,0)),"")</f>
        <v/>
      </c>
      <c r="M222" s="73" t="n">
        <f aca="false">_xlfn.IFNA(INDEX(Cascade!$BK:$BK,MATCH($E222,Cascade!$E:$E,0)),"")</f>
        <v>36</v>
      </c>
      <c r="N222" s="118" t="n">
        <v>0</v>
      </c>
      <c r="O222" s="118"/>
      <c r="P222" s="118" t="n">
        <v>45</v>
      </c>
      <c r="Q222" s="75" t="str">
        <f aca="false">IF(OR(SUM($H222)=0,SUM($N222)=0,SUM($O222)=0),"",ROUND($H222*$N222,0))</f>
        <v/>
      </c>
      <c r="R222" s="75" t="str">
        <f aca="false">IF(OR(SUM($Q222)=0,SUM($O222)=0),"",ROUND(SUM($Q222)/SUM($O222),0)-SUM($Q222))</f>
        <v/>
      </c>
      <c r="S222" s="75" t="n">
        <f aca="false">IF(SUM($H222)=0,"",SUM($H222)-SUM($Q222))</f>
        <v>16</v>
      </c>
      <c r="T222" s="75" t="n">
        <f aca="false">IF(OR(SUM($S222)=0,$N222&gt;1,SUM($P222)&lt;=0),"",ROUND($S222/$P222,0)-$S222)</f>
        <v>-16</v>
      </c>
      <c r="U222" s="118" t="n">
        <f aca="false">IF(SUM($G222)&lt;=0,"",SUM($Q222,$S222)/$G222)</f>
        <v>0.307692307692308</v>
      </c>
      <c r="V222" s="118" t="str">
        <f aca="false">IF(OR(SUM($Q222)=0,SUM($G222)=0),"",SUM($Q222)/SUM($G222))</f>
        <v/>
      </c>
      <c r="W222" s="118" t="n">
        <f aca="false">IF(OR(SUM($S222)=0,SUM($G222)=0),"",SUM($S222)/SUM($G222))</f>
        <v>0.307692307692308</v>
      </c>
      <c r="X222" s="118" t="str">
        <f aca="false">IF(OR(SUM($G222)=0,SUM($I222)=0),"",SUM($I222)/SUM($G222))</f>
        <v/>
      </c>
      <c r="Y222" s="118" t="str">
        <f aca="false">IF(OR(SUM($G222)=0,SUM($J222)=0),"",SUM($J222)/SUM($G222))</f>
        <v/>
      </c>
      <c r="Z222" s="118" t="str">
        <f aca="false">IF(OR(SUM($G222)=0,SUM($K222)=0),"",SUM($K222)/SUM($G222))</f>
        <v/>
      </c>
      <c r="AA222" s="118" t="str">
        <f aca="false">IF(OR(SUM($G222)=0,SUM($L222)=0),"",SUM($L222)/SUM($G222))</f>
        <v/>
      </c>
      <c r="AB222" s="118" t="n">
        <v>2</v>
      </c>
      <c r="AC222" s="118"/>
      <c r="AD222" s="118"/>
      <c r="AE222" s="118" t="n">
        <v>34</v>
      </c>
      <c r="AF222" s="118" t="n">
        <v>27</v>
      </c>
      <c r="AG222" s="118" t="n">
        <v>7</v>
      </c>
      <c r="AH222" s="118" t="n">
        <v>14</v>
      </c>
      <c r="AI222" s="118" t="n">
        <v>24</v>
      </c>
      <c r="AJ222" s="118" t="n">
        <v>38</v>
      </c>
      <c r="AK222" s="118" t="n">
        <f aca="false">IF(SUM($G222)&lt;=0,"",SUM($V222:$AJ222))</f>
        <v>146.307692307692</v>
      </c>
      <c r="AL222" s="118"/>
      <c r="AM222" s="75" t="n">
        <f aca="false">IF(OR(SUM($AB222)&lt;=0,SUM($G222)&lt;=0),"",ROUND($G222*$AB222,0))</f>
        <v>104</v>
      </c>
      <c r="AN222" s="75" t="str">
        <f aca="false">IF(SUM($AM222)&lt;=0,"",IF(SUM($AL222)&lt;=0,"ENTER VALID YIELD!",ROUND($AM222/$AL222,0)-$AM222))</f>
        <v>ENTER VALID YIELD!</v>
      </c>
      <c r="AO222" s="118"/>
      <c r="AP222" s="75" t="str">
        <f aca="false">IF(OR(SUM($AC222)&lt;=0,SUM($G222)&lt;=0),"",ROUND($G222*$AC222,0))</f>
        <v/>
      </c>
      <c r="AQ222" s="75" t="str">
        <f aca="false">IF(SUM($AP222)&lt;=0,"",IF(SUM($AO222)&lt;=0,"ENTER VALID YIELD!",ROUND($AP222/$AO222,0)-$AP222))</f>
        <v/>
      </c>
      <c r="AR222" s="118"/>
      <c r="AS222" s="75" t="str">
        <f aca="false">IF(OR(SUM($AD222)&lt;=0,SUM($G222)&lt;=0),"",ROUND($G222*$AD222,0))</f>
        <v/>
      </c>
      <c r="AT222" s="75" t="str">
        <f aca="false">IF(SUM($AS222)&lt;=0,"",IF(SUM($AR222)&lt;=0,"ENTER VALID YIELD!",ROUND($AS222/$AR222,0)-$AS222))</f>
        <v/>
      </c>
      <c r="AU222" s="118"/>
      <c r="AV222" s="75" t="n">
        <f aca="false">IF(OR(SUM($AE222)&lt;=0,SUM($G222)&lt;=0),"",ROUND($G222*$AE222,0))</f>
        <v>1768</v>
      </c>
      <c r="AW222" s="75" t="str">
        <f aca="false">IF(SUM($AV222)&lt;=0,"",IF(SUM($AU222)&lt;=0,"ENTER VALID YIELD!",ROUND($AV222/$AU222,0)-$AV222))</f>
        <v>ENTER VALID YIELD!</v>
      </c>
      <c r="AX222" s="118"/>
      <c r="AY222" s="75" t="n">
        <f aca="false">IF(OR(SUM($AF222)&lt;=0,SUM($G222)&lt;=0),"",ROUND($G222*$AF222,0))</f>
        <v>1404</v>
      </c>
      <c r="AZ222" s="75" t="str">
        <f aca="false">IF(SUM($AY222)&lt;=0,"",IF(SUM($AX222)&lt;=0,"ENTER VALID YIELD!",ROUND($AY222/$AX222,0)-$AY222))</f>
        <v>ENTER VALID YIELD!</v>
      </c>
      <c r="BA222" s="118" t="n">
        <v>44</v>
      </c>
      <c r="BB222" s="75" t="n">
        <f aca="false">IF(OR(SUM($AG222)&lt;=0,SUM($G222)&lt;=0),"",ROUND($G222*$AG222,0))</f>
        <v>364</v>
      </c>
      <c r="BC222" s="75" t="n">
        <f aca="false">IF(SUM($BB222)&lt;=0,"",IF(SUM($BA222)&lt;=0,"ENTER VALID YIELD!",ROUND($BB222/$BA222,0)-$BB222))</f>
        <v>-356</v>
      </c>
      <c r="BD222" s="118"/>
      <c r="BE222" s="75" t="n">
        <f aca="false">IF(OR(SUM($AH222)&lt;=0,SUM($G222)&lt;=0),"",ROUND($G222*$AH222,0))</f>
        <v>728</v>
      </c>
      <c r="BF222" s="75" t="str">
        <f aca="false">IF(SUM($BE222)&lt;=0,"",IF(SUM($BD222)&lt;=0,"ENTER VALID YIELD!",ROUND($BE222/$BD222,0)-$BE222))</f>
        <v>ENTER VALID YIELD!</v>
      </c>
      <c r="BG222" s="118"/>
      <c r="BH222" s="75" t="n">
        <f aca="false">IF(OR(SUM($AI222)&lt;=0,SUM($G222)&lt;=0),"",ROUND($G222*$AI222,0))</f>
        <v>1248</v>
      </c>
      <c r="BI222" s="75" t="str">
        <f aca="false">IF(SUM($BH222)&lt;=0,"",IF(SUM($BG222)&lt;=0,"ENTER VALID YIELD!",ROUND($BH222/$BG222,0)-$BH222))</f>
        <v>ENTER VALID YIELD!</v>
      </c>
      <c r="BJ222" s="118"/>
      <c r="BK222" s="75" t="n">
        <f aca="false">IF(OR(SUM($AJ222)&lt;=0,SUM($G222)&lt;=0),"",ROUND($G222*$AJ222,0))</f>
        <v>1976</v>
      </c>
      <c r="BL222" s="75" t="str">
        <f aca="false">IF(SUM($BK222)&lt;=0,"",IF(SUM($BJ222)&lt;=0,"ENTER VALID YIELD!",ROUND($BK222/$BJ222,0)-$BK222))</f>
        <v>ENTER VALID YIELD!</v>
      </c>
      <c r="BM222" s="73" t="n">
        <f aca="false">IF(SUM($G222)&lt;=0,"",$G222)</f>
        <v>52</v>
      </c>
      <c r="BN222" s="73" t="n">
        <f aca="false">IF(SUM($G222)&lt;=0,"",SUM($I222:$L222,$Q222,$S222,$AM222,$AP222,$AS222,$AV222,$AY222,$BB222,$BE222,$BH222,$BK222))</f>
        <v>7608</v>
      </c>
      <c r="BO222" s="73" t="n">
        <f aca="false">IF(AND(SUM($BN222)&lt;=0,SUM($BM222)&lt;=0),"",SUM($BN222)-SUM($BM222))</f>
        <v>7556</v>
      </c>
      <c r="BP222" s="73" t="str">
        <f aca="false">_xlfn.IFNA(INDEX(PMTCT!$AF:$AF,MATCH($E222,PMTCT!$E:$E,0)),"")</f>
        <v/>
      </c>
      <c r="BQ222" s="73" t="str">
        <f aca="false">_xlfn.IFNA(INDEX(PMTCT!$AV:$AV,MATCH($E222,PMTCT!$E:$E,0)),"")</f>
        <v/>
      </c>
      <c r="BR222" s="73" t="n">
        <f aca="false">_xlfn.IFNA(INDEX(TB!$R:$R,MATCH($E222,TB!$E:$E,0)),"")</f>
        <v>-494</v>
      </c>
      <c r="BS222" s="73" t="str">
        <f aca="false">_xlfn.IFNA(INDEX(VMMC!$AD:$AD,MATCH($E222,VMMC!$E:$E,0)),"")</f>
        <v/>
      </c>
      <c r="BT222" s="73" t="n">
        <f aca="false">IF(SUM($R222,$T222,$AN222,$AQ222,$AT222,$AW222,$AZ222,$BC222,$BF222,$BI222,$BL222,$BP222:$BS222)=0,"",SUM($R222,$T222,$AN222,$AQ222,$AT222,$AW222,$AZ222,$BC222,$BF222,$BI222,$BL222,$BP222:$BS222))</f>
        <v>-866</v>
      </c>
      <c r="BU222" s="73" t="n">
        <f aca="false">IF(OR(SUM($BT222)=0,SUM($BN222)=0),"",SUM($BT222,$BN222))</f>
        <v>6742</v>
      </c>
      <c r="BV222" s="118" t="n">
        <f aca="false">IF(SUM($BU222)=0,"",SUM($BN222)/$BU222)</f>
        <v>1.128448531593</v>
      </c>
      <c r="BW222" s="73"/>
      <c r="BX222" s="118" t="n">
        <f aca="false">IF(OR($C222="01-04",$C222="05-09"),"",0%)</f>
        <v>0</v>
      </c>
      <c r="BY222" s="75" t="str">
        <f aca="false">IF(OR($C222="01-04",$C222="05-09",SUM($BW222)=0),"",ROUND($BW222*(1+$BX222),0))</f>
        <v/>
      </c>
    </row>
    <row r="223" customFormat="false" ht="15" hidden="false" customHeight="false" outlineLevel="0" collapsed="false">
      <c r="A223" s="0" t="s">
        <v>150</v>
      </c>
      <c r="B223" s="0" t="s">
        <v>117</v>
      </c>
      <c r="C223" s="0" t="s">
        <v>69</v>
      </c>
      <c r="D223" s="0" t="s">
        <v>56</v>
      </c>
      <c r="E223" s="0" t="str">
        <f aca="false">B223&amp;"|"&amp;C223&amp;"|"&amp;D223</f>
        <v>Quthing [#SNU] [HuwCoDZG0FY]|25-29|Female</v>
      </c>
      <c r="F223" s="118" t="n">
        <f aca="false">_xlfn.IFNA(INDEX(Cascade!$Y:$Y,MATCH($E223,Cascade!$E:$E,0)),"")</f>
        <v>0.486651411136537</v>
      </c>
      <c r="G223" s="73" t="n">
        <f aca="false">_xlfn.IFNA(INDEX(Cascade!$BD:$BD,MATCH($E223,Cascade!$E:$E,0)),"")</f>
        <v>3</v>
      </c>
      <c r="H223" s="73" t="n">
        <f aca="false">_xlfn.IFNA(INDEX(Cascade!$BE:$BE,MATCH($E223,Cascade!$E:$E,0)),"")</f>
        <v>1</v>
      </c>
      <c r="I223" s="73" t="n">
        <f aca="false">_xlfn.IFNA(INDEX(Cascade!$BF:$BF,MATCH($E223,Cascade!$E:$E,0)),"")</f>
        <v>-13440</v>
      </c>
      <c r="J223" s="73" t="str">
        <f aca="false">_xlfn.IFNA(INDEX(Cascade!$BG:$BG,MATCH($E223,Cascade!$E:$E,0)),"")</f>
        <v/>
      </c>
      <c r="K223" s="73" t="n">
        <f aca="false">_xlfn.IFNA(INDEX(Cascade!$BH:$BH,MATCH($E223,Cascade!$E:$E,0)),"")</f>
        <v>-1200</v>
      </c>
      <c r="L223" s="73" t="str">
        <f aca="false">_xlfn.IFNA(INDEX(Cascade!$BI:$BI,MATCH($E223,Cascade!$E:$E,0)),"")</f>
        <v/>
      </c>
      <c r="M223" s="73" t="n">
        <f aca="false">_xlfn.IFNA(INDEX(Cascade!$BK:$BK,MATCH($E223,Cascade!$E:$E,0)),"")</f>
        <v>14642</v>
      </c>
      <c r="N223" s="118" t="n">
        <v>28</v>
      </c>
      <c r="O223" s="118"/>
      <c r="P223" s="118" t="n">
        <v>44</v>
      </c>
      <c r="Q223" s="75" t="str">
        <f aca="false">IF(OR(SUM($H223)=0,SUM($N223)=0,SUM($O223)=0),"",ROUND($H223*$N223,0))</f>
        <v/>
      </c>
      <c r="R223" s="75" t="str">
        <f aca="false">IF(OR(SUM($Q223)=0,SUM($O223)=0),"",ROUND(SUM($Q223)/SUM($O223),0)-SUM($Q223))</f>
        <v/>
      </c>
      <c r="S223" s="75" t="n">
        <f aca="false">IF(SUM($H223)=0,"",SUM($H223)-SUM($Q223))</f>
        <v>1</v>
      </c>
      <c r="T223" s="75" t="str">
        <f aca="false">IF(OR(SUM($S223)=0,$N223&gt;1,SUM($P223)&lt;=0),"",ROUND($S223/$P223,0)-$S223)</f>
        <v/>
      </c>
      <c r="U223" s="118" t="n">
        <f aca="false">IF(SUM($G223)&lt;=0,"",SUM($Q223,$S223)/$G223)</f>
        <v>0.333333333333333</v>
      </c>
      <c r="V223" s="118" t="str">
        <f aca="false">IF(OR(SUM($Q223)=0,SUM($G223)=0),"",SUM($Q223)/SUM($G223))</f>
        <v/>
      </c>
      <c r="W223" s="118" t="n">
        <f aca="false">IF(OR(SUM($S223)=0,SUM($G223)=0),"",SUM($S223)/SUM($G223))</f>
        <v>0.333333333333333</v>
      </c>
      <c r="X223" s="118" t="n">
        <f aca="false">IF(OR(SUM($G223)=0,SUM($I223)=0),"",SUM($I223)/SUM($G223))</f>
        <v>-4480</v>
      </c>
      <c r="Y223" s="118" t="str">
        <f aca="false">IF(OR(SUM($G223)=0,SUM($J223)=0),"",SUM($J223)/SUM($G223))</f>
        <v/>
      </c>
      <c r="Z223" s="118" t="n">
        <f aca="false">IF(OR(SUM($G223)=0,SUM($K223)=0),"",SUM($K223)/SUM($G223))</f>
        <v>-400</v>
      </c>
      <c r="AA223" s="118" t="str">
        <f aca="false">IF(OR(SUM($G223)=0,SUM($L223)=0),"",SUM($L223)/SUM($G223))</f>
        <v/>
      </c>
      <c r="AB223" s="118" t="n">
        <v>6</v>
      </c>
      <c r="AC223" s="118"/>
      <c r="AD223" s="118"/>
      <c r="AE223" s="118" t="n">
        <v>22</v>
      </c>
      <c r="AF223" s="118" t="n">
        <v>13</v>
      </c>
      <c r="AG223" s="118" t="n">
        <v>16</v>
      </c>
      <c r="AH223" s="118" t="n">
        <v>33</v>
      </c>
      <c r="AI223" s="118" t="n">
        <v>26</v>
      </c>
      <c r="AJ223" s="118" t="n">
        <v>31</v>
      </c>
      <c r="AK223" s="118" t="n">
        <f aca="false">IF(SUM($G223)&lt;=0,"",SUM($V223:$AJ223))</f>
        <v>-4732.66666666667</v>
      </c>
      <c r="AL223" s="118" t="n">
        <v>13</v>
      </c>
      <c r="AM223" s="75" t="n">
        <f aca="false">IF(OR(SUM($AB223)&lt;=0,SUM($G223)&lt;=0),"",ROUND($G223*$AB223,0))</f>
        <v>18</v>
      </c>
      <c r="AN223" s="75" t="n">
        <f aca="false">IF(SUM($AM223)&lt;=0,"",IF(SUM($AL223)&lt;=0,"ENTER VALID YIELD!",ROUND($AM223/$AL223,0)-$AM223))</f>
        <v>-17</v>
      </c>
      <c r="AO223" s="118"/>
      <c r="AP223" s="75" t="str">
        <f aca="false">IF(OR(SUM($AC223)&lt;=0,SUM($G223)&lt;=0),"",ROUND($G223*$AC223,0))</f>
        <v/>
      </c>
      <c r="AQ223" s="75" t="str">
        <f aca="false">IF(SUM($AP223)&lt;=0,"",IF(SUM($AO223)&lt;=0,"ENTER VALID YIELD!",ROUND($AP223/$AO223,0)-$AP223))</f>
        <v/>
      </c>
      <c r="AR223" s="118"/>
      <c r="AS223" s="75" t="str">
        <f aca="false">IF(OR(SUM($AD223)&lt;=0,SUM($G223)&lt;=0),"",ROUND($G223*$AD223,0))</f>
        <v/>
      </c>
      <c r="AT223" s="75" t="str">
        <f aca="false">IF(SUM($AS223)&lt;=0,"",IF(SUM($AR223)&lt;=0,"ENTER VALID YIELD!",ROUND($AS223/$AR223,0)-$AS223))</f>
        <v/>
      </c>
      <c r="AU223" s="118"/>
      <c r="AV223" s="75" t="n">
        <f aca="false">IF(OR(SUM($AE223)&lt;=0,SUM($G223)&lt;=0),"",ROUND($G223*$AE223,0))</f>
        <v>66</v>
      </c>
      <c r="AW223" s="75" t="str">
        <f aca="false">IF(SUM($AV223)&lt;=0,"",IF(SUM($AU223)&lt;=0,"ENTER VALID YIELD!",ROUND($AV223/$AU223,0)-$AV223))</f>
        <v>ENTER VALID YIELD!</v>
      </c>
      <c r="AX223" s="118"/>
      <c r="AY223" s="75" t="n">
        <f aca="false">IF(OR(SUM($AF223)&lt;=0,SUM($G223)&lt;=0),"",ROUND($G223*$AF223,0))</f>
        <v>39</v>
      </c>
      <c r="AZ223" s="75" t="str">
        <f aca="false">IF(SUM($AY223)&lt;=0,"",IF(SUM($AX223)&lt;=0,"ENTER VALID YIELD!",ROUND($AY223/$AX223,0)-$AY223))</f>
        <v>ENTER VALID YIELD!</v>
      </c>
      <c r="BA223" s="118" t="n">
        <v>21</v>
      </c>
      <c r="BB223" s="75" t="n">
        <f aca="false">IF(OR(SUM($AG223)&lt;=0,SUM($G223)&lt;=0),"",ROUND($G223*$AG223,0))</f>
        <v>48</v>
      </c>
      <c r="BC223" s="75" t="n">
        <f aca="false">IF(SUM($BB223)&lt;=0,"",IF(SUM($BA223)&lt;=0,"ENTER VALID YIELD!",ROUND($BB223/$BA223,0)-$BB223))</f>
        <v>-46</v>
      </c>
      <c r="BD223" s="118"/>
      <c r="BE223" s="75" t="n">
        <f aca="false">IF(OR(SUM($AH223)&lt;=0,SUM($G223)&lt;=0),"",ROUND($G223*$AH223,0))</f>
        <v>99</v>
      </c>
      <c r="BF223" s="75" t="str">
        <f aca="false">IF(SUM($BE223)&lt;=0,"",IF(SUM($BD223)&lt;=0,"ENTER VALID YIELD!",ROUND($BE223/$BD223,0)-$BE223))</f>
        <v>ENTER VALID YIELD!</v>
      </c>
      <c r="BG223" s="118"/>
      <c r="BH223" s="75" t="n">
        <f aca="false">IF(OR(SUM($AI223)&lt;=0,SUM($G223)&lt;=0),"",ROUND($G223*$AI223,0))</f>
        <v>78</v>
      </c>
      <c r="BI223" s="75" t="str">
        <f aca="false">IF(SUM($BH223)&lt;=0,"",IF(SUM($BG223)&lt;=0,"ENTER VALID YIELD!",ROUND($BH223/$BG223,0)-$BH223))</f>
        <v>ENTER VALID YIELD!</v>
      </c>
      <c r="BJ223" s="118"/>
      <c r="BK223" s="75" t="n">
        <f aca="false">IF(OR(SUM($AJ223)&lt;=0,SUM($G223)&lt;=0),"",ROUND($G223*$AJ223,0))</f>
        <v>93</v>
      </c>
      <c r="BL223" s="75" t="str">
        <f aca="false">IF(SUM($BK223)&lt;=0,"",IF(SUM($BJ223)&lt;=0,"ENTER VALID YIELD!",ROUND($BK223/$BJ223,0)-$BK223))</f>
        <v>ENTER VALID YIELD!</v>
      </c>
      <c r="BM223" s="73" t="n">
        <f aca="false">IF(SUM($G223)&lt;=0,"",$G223)</f>
        <v>3</v>
      </c>
      <c r="BN223" s="73" t="n">
        <f aca="false">IF(SUM($G223)&lt;=0,"",SUM($I223:$L223,$Q223,$S223,$AM223,$AP223,$AS223,$AV223,$AY223,$BB223,$BE223,$BH223,$BK223))</f>
        <v>-14198</v>
      </c>
      <c r="BO223" s="73" t="n">
        <f aca="false">IF(AND(SUM($BN223)&lt;=0,SUM($BM223)&lt;=0),"",SUM($BN223)-SUM($BM223))</f>
        <v>-14201</v>
      </c>
      <c r="BP223" s="73" t="n">
        <f aca="false">_xlfn.IFNA(INDEX(PMTCT!$AF:$AF,MATCH($E223,PMTCT!$E:$E,0)),"")</f>
        <v>12320</v>
      </c>
      <c r="BQ223" s="73" t="str">
        <f aca="false">_xlfn.IFNA(INDEX(PMTCT!$AV:$AV,MATCH($E223,PMTCT!$E:$E,0)),"")</f>
        <v/>
      </c>
      <c r="BR223" s="73" t="n">
        <f aca="false">_xlfn.IFNA(INDEX(TB!$R:$R,MATCH($E223,TB!$E:$E,0)),"")</f>
        <v>1080</v>
      </c>
      <c r="BS223" s="73" t="str">
        <f aca="false">_xlfn.IFNA(INDEX(VMMC!$AD:$AD,MATCH($E223,VMMC!$E:$E,0)),"")</f>
        <v/>
      </c>
      <c r="BT223" s="73" t="n">
        <f aca="false">IF(SUM($R223,$T223,$AN223,$AQ223,$AT223,$AW223,$AZ223,$BC223,$BF223,$BI223,$BL223,$BP223:$BS223)=0,"",SUM($R223,$T223,$AN223,$AQ223,$AT223,$AW223,$AZ223,$BC223,$BF223,$BI223,$BL223,$BP223:$BS223))</f>
        <v>13337</v>
      </c>
      <c r="BU223" s="73" t="n">
        <f aca="false">IF(OR(SUM($BT223)=0,SUM($BN223)=0),"",SUM($BT223,$BN223))</f>
        <v>-861</v>
      </c>
      <c r="BV223" s="118" t="n">
        <f aca="false">IF(SUM($BU223)=0,"",SUM($BN223)/$BU223)</f>
        <v>16.4901277584204</v>
      </c>
      <c r="BW223" s="73"/>
      <c r="BX223" s="118" t="n">
        <f aca="false">IF(OR($C223="01-04",$C223="05-09"),"",0%)</f>
        <v>0</v>
      </c>
      <c r="BY223" s="75" t="str">
        <f aca="false">IF(OR($C223="01-04",$C223="05-09",SUM($BW223)=0),"",ROUND($BW223*(1+$BX223),0))</f>
        <v/>
      </c>
    </row>
    <row r="224" customFormat="false" ht="15" hidden="false" customHeight="false" outlineLevel="0" collapsed="false">
      <c r="A224" s="0" t="s">
        <v>150</v>
      </c>
      <c r="B224" s="0" t="s">
        <v>117</v>
      </c>
      <c r="C224" s="0" t="s">
        <v>69</v>
      </c>
      <c r="D224" s="0" t="s">
        <v>58</v>
      </c>
      <c r="E224" s="0" t="str">
        <f aca="false">B224&amp;"|"&amp;C224&amp;"|"&amp;D224</f>
        <v>Quthing [#SNU] [HuwCoDZG0FY]|25-29|Male</v>
      </c>
      <c r="F224" s="118" t="n">
        <f aca="false">_xlfn.IFNA(INDEX(Cascade!$Y:$Y,MATCH($E224,Cascade!$E:$E,0)),"")</f>
        <v>0.3632</v>
      </c>
      <c r="G224" s="73" t="n">
        <f aca="false">_xlfn.IFNA(INDEX(Cascade!$BD:$BD,MATCH($E224,Cascade!$E:$E,0)),"")</f>
        <v>16</v>
      </c>
      <c r="H224" s="73" t="n">
        <f aca="false">_xlfn.IFNA(INDEX(Cascade!$BE:$BE,MATCH($E224,Cascade!$E:$E,0)),"")</f>
        <v>5</v>
      </c>
      <c r="I224" s="73" t="str">
        <f aca="false">_xlfn.IFNA(INDEX(Cascade!$BF:$BF,MATCH($E224,Cascade!$E:$E,0)),"")</f>
        <v/>
      </c>
      <c r="J224" s="73" t="str">
        <f aca="false">_xlfn.IFNA(INDEX(Cascade!$BG:$BG,MATCH($E224,Cascade!$E:$E,0)),"")</f>
        <v/>
      </c>
      <c r="K224" s="73" t="n">
        <f aca="false">_xlfn.IFNA(INDEX(Cascade!$BH:$BH,MATCH($E224,Cascade!$E:$E,0)),"")</f>
        <v>-0</v>
      </c>
      <c r="L224" s="73" t="str">
        <f aca="false">_xlfn.IFNA(INDEX(Cascade!$BI:$BI,MATCH($E224,Cascade!$E:$E,0)),"")</f>
        <v/>
      </c>
      <c r="M224" s="73" t="n">
        <f aca="false">_xlfn.IFNA(INDEX(Cascade!$BK:$BK,MATCH($E224,Cascade!$E:$E,0)),"")</f>
        <v>11</v>
      </c>
      <c r="N224" s="118" t="n">
        <v>15</v>
      </c>
      <c r="O224" s="118"/>
      <c r="P224" s="118" t="n">
        <v>40</v>
      </c>
      <c r="Q224" s="75" t="str">
        <f aca="false">IF(OR(SUM($H224)=0,SUM($N224)=0,SUM($O224)=0),"",ROUND($H224*$N224,0))</f>
        <v/>
      </c>
      <c r="R224" s="75" t="str">
        <f aca="false">IF(OR(SUM($Q224)=0,SUM($O224)=0),"",ROUND(SUM($Q224)/SUM($O224),0)-SUM($Q224))</f>
        <v/>
      </c>
      <c r="S224" s="75" t="n">
        <f aca="false">IF(SUM($H224)=0,"",SUM($H224)-SUM($Q224))</f>
        <v>5</v>
      </c>
      <c r="T224" s="75" t="str">
        <f aca="false">IF(OR(SUM($S224)=0,$N224&gt;1,SUM($P224)&lt;=0),"",ROUND($S224/$P224,0)-$S224)</f>
        <v/>
      </c>
      <c r="U224" s="118" t="n">
        <f aca="false">IF(SUM($G224)&lt;=0,"",SUM($Q224,$S224)/$G224)</f>
        <v>0.3125</v>
      </c>
      <c r="V224" s="118" t="str">
        <f aca="false">IF(OR(SUM($Q224)=0,SUM($G224)=0),"",SUM($Q224)/SUM($G224))</f>
        <v/>
      </c>
      <c r="W224" s="118" t="n">
        <f aca="false">IF(OR(SUM($S224)=0,SUM($G224)=0),"",SUM($S224)/SUM($G224))</f>
        <v>0.3125</v>
      </c>
      <c r="X224" s="118" t="str">
        <f aca="false">IF(OR(SUM($G224)=0,SUM($I224)=0),"",SUM($I224)/SUM($G224))</f>
        <v/>
      </c>
      <c r="Y224" s="118" t="str">
        <f aca="false">IF(OR(SUM($G224)=0,SUM($J224)=0),"",SUM($J224)/SUM($G224))</f>
        <v/>
      </c>
      <c r="Z224" s="118" t="str">
        <f aca="false">IF(OR(SUM($G224)=0,SUM($K224)=0),"",SUM($K224)/SUM($G224))</f>
        <v/>
      </c>
      <c r="AA224" s="118" t="str">
        <f aca="false">IF(OR(SUM($G224)=0,SUM($L224)=0),"",SUM($L224)/SUM($G224))</f>
        <v/>
      </c>
      <c r="AB224" s="118" t="n">
        <v>30</v>
      </c>
      <c r="AC224" s="118"/>
      <c r="AD224" s="118"/>
      <c r="AE224" s="118" t="n">
        <v>22</v>
      </c>
      <c r="AF224" s="118" t="n">
        <v>8</v>
      </c>
      <c r="AG224" s="118" t="n">
        <v>45</v>
      </c>
      <c r="AH224" s="118" t="n">
        <v>23</v>
      </c>
      <c r="AI224" s="118" t="n">
        <v>38</v>
      </c>
      <c r="AJ224" s="118" t="n">
        <v>32</v>
      </c>
      <c r="AK224" s="118" t="n">
        <f aca="false">IF(SUM($G224)&lt;=0,"",SUM($V224:$AJ224))</f>
        <v>198.3125</v>
      </c>
      <c r="AL224" s="118"/>
      <c r="AM224" s="75" t="n">
        <f aca="false">IF(OR(SUM($AB224)&lt;=0,SUM($G224)&lt;=0),"",ROUND($G224*$AB224,0))</f>
        <v>480</v>
      </c>
      <c r="AN224" s="75" t="str">
        <f aca="false">IF(SUM($AM224)&lt;=0,"",IF(SUM($AL224)&lt;=0,"ENTER VALID YIELD!",ROUND($AM224/$AL224,0)-$AM224))</f>
        <v>ENTER VALID YIELD!</v>
      </c>
      <c r="AO224" s="118"/>
      <c r="AP224" s="75" t="str">
        <f aca="false">IF(OR(SUM($AC224)&lt;=0,SUM($G224)&lt;=0),"",ROUND($G224*$AC224,0))</f>
        <v/>
      </c>
      <c r="AQ224" s="75" t="str">
        <f aca="false">IF(SUM($AP224)&lt;=0,"",IF(SUM($AO224)&lt;=0,"ENTER VALID YIELD!",ROUND($AP224/$AO224,0)-$AP224))</f>
        <v/>
      </c>
      <c r="AR224" s="118"/>
      <c r="AS224" s="75" t="str">
        <f aca="false">IF(OR(SUM($AD224)&lt;=0,SUM($G224)&lt;=0),"",ROUND($G224*$AD224,0))</f>
        <v/>
      </c>
      <c r="AT224" s="75" t="str">
        <f aca="false">IF(SUM($AS224)&lt;=0,"",IF(SUM($AR224)&lt;=0,"ENTER VALID YIELD!",ROUND($AS224/$AR224,0)-$AS224))</f>
        <v/>
      </c>
      <c r="AU224" s="118"/>
      <c r="AV224" s="75" t="n">
        <f aca="false">IF(OR(SUM($AE224)&lt;=0,SUM($G224)&lt;=0),"",ROUND($G224*$AE224,0))</f>
        <v>352</v>
      </c>
      <c r="AW224" s="75" t="str">
        <f aca="false">IF(SUM($AV224)&lt;=0,"",IF(SUM($AU224)&lt;=0,"ENTER VALID YIELD!",ROUND($AV224/$AU224,0)-$AV224))</f>
        <v>ENTER VALID YIELD!</v>
      </c>
      <c r="AX224" s="118"/>
      <c r="AY224" s="75" t="n">
        <f aca="false">IF(OR(SUM($AF224)&lt;=0,SUM($G224)&lt;=0),"",ROUND($G224*$AF224,0))</f>
        <v>128</v>
      </c>
      <c r="AZ224" s="75" t="str">
        <f aca="false">IF(SUM($AY224)&lt;=0,"",IF(SUM($AX224)&lt;=0,"ENTER VALID YIELD!",ROUND($AY224/$AX224,0)-$AY224))</f>
        <v>ENTER VALID YIELD!</v>
      </c>
      <c r="BA224" s="118" t="n">
        <v>43</v>
      </c>
      <c r="BB224" s="75" t="n">
        <f aca="false">IF(OR(SUM($AG224)&lt;=0,SUM($G224)&lt;=0),"",ROUND($G224*$AG224,0))</f>
        <v>720</v>
      </c>
      <c r="BC224" s="75" t="n">
        <f aca="false">IF(SUM($BB224)&lt;=0,"",IF(SUM($BA224)&lt;=0,"ENTER VALID YIELD!",ROUND($BB224/$BA224,0)-$BB224))</f>
        <v>-703</v>
      </c>
      <c r="BD224" s="118"/>
      <c r="BE224" s="75" t="n">
        <f aca="false">IF(OR(SUM($AH224)&lt;=0,SUM($G224)&lt;=0),"",ROUND($G224*$AH224,0))</f>
        <v>368</v>
      </c>
      <c r="BF224" s="75" t="str">
        <f aca="false">IF(SUM($BE224)&lt;=0,"",IF(SUM($BD224)&lt;=0,"ENTER VALID YIELD!",ROUND($BE224/$BD224,0)-$BE224))</f>
        <v>ENTER VALID YIELD!</v>
      </c>
      <c r="BG224" s="118"/>
      <c r="BH224" s="75" t="n">
        <f aca="false">IF(OR(SUM($AI224)&lt;=0,SUM($G224)&lt;=0),"",ROUND($G224*$AI224,0))</f>
        <v>608</v>
      </c>
      <c r="BI224" s="75" t="str">
        <f aca="false">IF(SUM($BH224)&lt;=0,"",IF(SUM($BG224)&lt;=0,"ENTER VALID YIELD!",ROUND($BH224/$BG224,0)-$BH224))</f>
        <v>ENTER VALID YIELD!</v>
      </c>
      <c r="BJ224" s="118"/>
      <c r="BK224" s="75" t="n">
        <f aca="false">IF(OR(SUM($AJ224)&lt;=0,SUM($G224)&lt;=0),"",ROUND($G224*$AJ224,0))</f>
        <v>512</v>
      </c>
      <c r="BL224" s="75" t="str">
        <f aca="false">IF(SUM($BK224)&lt;=0,"",IF(SUM($BJ224)&lt;=0,"ENTER VALID YIELD!",ROUND($BK224/$BJ224,0)-$BK224))</f>
        <v>ENTER VALID YIELD!</v>
      </c>
      <c r="BM224" s="73" t="n">
        <f aca="false">IF(SUM($G224)&lt;=0,"",$G224)</f>
        <v>16</v>
      </c>
      <c r="BN224" s="73" t="n">
        <f aca="false">IF(SUM($G224)&lt;=0,"",SUM($I224:$L224,$Q224,$S224,$AM224,$AP224,$AS224,$AV224,$AY224,$BB224,$BE224,$BH224,$BK224))</f>
        <v>3173</v>
      </c>
      <c r="BO224" s="73" t="n">
        <f aca="false">IF(AND(SUM($BN224)&lt;=0,SUM($BM224)&lt;=0),"",SUM($BN224)-SUM($BM224))</f>
        <v>3157</v>
      </c>
      <c r="BP224" s="73" t="str">
        <f aca="false">_xlfn.IFNA(INDEX(PMTCT!$AF:$AF,MATCH($E224,PMTCT!$E:$E,0)),"")</f>
        <v/>
      </c>
      <c r="BQ224" s="73" t="str">
        <f aca="false">_xlfn.IFNA(INDEX(PMTCT!$AV:$AV,MATCH($E224,PMTCT!$E:$E,0)),"")</f>
        <v/>
      </c>
      <c r="BR224" s="73" t="n">
        <f aca="false">_xlfn.IFNA(INDEX(TB!$R:$R,MATCH($E224,TB!$E:$E,0)),"")</f>
        <v>-217</v>
      </c>
      <c r="BS224" s="73" t="str">
        <f aca="false">_xlfn.IFNA(INDEX(VMMC!$AD:$AD,MATCH($E224,VMMC!$E:$E,0)),"")</f>
        <v/>
      </c>
      <c r="BT224" s="73" t="n">
        <f aca="false">IF(SUM($R224,$T224,$AN224,$AQ224,$AT224,$AW224,$AZ224,$BC224,$BF224,$BI224,$BL224,$BP224:$BS224)=0,"",SUM($R224,$T224,$AN224,$AQ224,$AT224,$AW224,$AZ224,$BC224,$BF224,$BI224,$BL224,$BP224:$BS224))</f>
        <v>-920</v>
      </c>
      <c r="BU224" s="73" t="n">
        <f aca="false">IF(OR(SUM($BT224)=0,SUM($BN224)=0),"",SUM($BT224,$BN224))</f>
        <v>2253</v>
      </c>
      <c r="BV224" s="118" t="n">
        <f aca="false">IF(SUM($BU224)=0,"",SUM($BN224)/$BU224)</f>
        <v>1.40834442964936</v>
      </c>
      <c r="BW224" s="73"/>
      <c r="BX224" s="118" t="n">
        <f aca="false">IF(OR($C224="01-04",$C224="05-09"),"",0%)</f>
        <v>0</v>
      </c>
      <c r="BY224" s="75" t="str">
        <f aca="false">IF(OR($C224="01-04",$C224="05-09",SUM($BW224)=0),"",ROUND($BW224*(1+$BX224),0))</f>
        <v/>
      </c>
    </row>
    <row r="225" customFormat="false" ht="15" hidden="false" customHeight="false" outlineLevel="0" collapsed="false">
      <c r="A225" s="0" t="s">
        <v>150</v>
      </c>
      <c r="B225" s="0" t="s">
        <v>117</v>
      </c>
      <c r="C225" s="0" t="s">
        <v>72</v>
      </c>
      <c r="D225" s="0" t="s">
        <v>56</v>
      </c>
      <c r="E225" s="0" t="str">
        <f aca="false">B225&amp;"|"&amp;C225&amp;"|"&amp;D225</f>
        <v>Quthing [#SNU] [HuwCoDZG0FY]|30-34|Female</v>
      </c>
      <c r="F225" s="118" t="n">
        <f aca="false">_xlfn.IFNA(INDEX(Cascade!$Y:$Y,MATCH($E225,Cascade!$E:$E,0)),"")</f>
        <v>0.470724637681159</v>
      </c>
      <c r="G225" s="73" t="n">
        <f aca="false">_xlfn.IFNA(INDEX(Cascade!$BD:$BD,MATCH($E225,Cascade!$E:$E,0)),"")</f>
        <v>7</v>
      </c>
      <c r="H225" s="73" t="n">
        <f aca="false">_xlfn.IFNA(INDEX(Cascade!$BE:$BE,MATCH($E225,Cascade!$E:$E,0)),"")</f>
        <v>2</v>
      </c>
      <c r="I225" s="73" t="n">
        <f aca="false">_xlfn.IFNA(INDEX(Cascade!$BF:$BF,MATCH($E225,Cascade!$E:$E,0)),"")</f>
        <v>-37800</v>
      </c>
      <c r="J225" s="73" t="str">
        <f aca="false">_xlfn.IFNA(INDEX(Cascade!$BG:$BG,MATCH($E225,Cascade!$E:$E,0)),"")</f>
        <v/>
      </c>
      <c r="K225" s="73" t="n">
        <f aca="false">_xlfn.IFNA(INDEX(Cascade!$BH:$BH,MATCH($E225,Cascade!$E:$E,0)),"")</f>
        <v>-21344</v>
      </c>
      <c r="L225" s="73" t="str">
        <f aca="false">_xlfn.IFNA(INDEX(Cascade!$BI:$BI,MATCH($E225,Cascade!$E:$E,0)),"")</f>
        <v/>
      </c>
      <c r="M225" s="73" t="n">
        <f aca="false">_xlfn.IFNA(INDEX(Cascade!$BK:$BK,MATCH($E225,Cascade!$E:$E,0)),"")</f>
        <v>59149</v>
      </c>
      <c r="N225" s="118" t="n">
        <v>12</v>
      </c>
      <c r="O225" s="118"/>
      <c r="P225" s="118" t="n">
        <v>11</v>
      </c>
      <c r="Q225" s="75" t="str">
        <f aca="false">IF(OR(SUM($H225)=0,SUM($N225)=0,SUM($O225)=0),"",ROUND($H225*$N225,0))</f>
        <v/>
      </c>
      <c r="R225" s="75" t="str">
        <f aca="false">IF(OR(SUM($Q225)=0,SUM($O225)=0),"",ROUND(SUM($Q225)/SUM($O225),0)-SUM($Q225))</f>
        <v/>
      </c>
      <c r="S225" s="75" t="n">
        <f aca="false">IF(SUM($H225)=0,"",SUM($H225)-SUM($Q225))</f>
        <v>2</v>
      </c>
      <c r="T225" s="75" t="str">
        <f aca="false">IF(OR(SUM($S225)=0,$N225&gt;1,SUM($P225)&lt;=0),"",ROUND($S225/$P225,0)-$S225)</f>
        <v/>
      </c>
      <c r="U225" s="118" t="n">
        <f aca="false">IF(SUM($G225)&lt;=0,"",SUM($Q225,$S225)/$G225)</f>
        <v>0.285714285714286</v>
      </c>
      <c r="V225" s="118" t="str">
        <f aca="false">IF(OR(SUM($Q225)=0,SUM($G225)=0),"",SUM($Q225)/SUM($G225))</f>
        <v/>
      </c>
      <c r="W225" s="118" t="n">
        <f aca="false">IF(OR(SUM($S225)=0,SUM($G225)=0),"",SUM($S225)/SUM($G225))</f>
        <v>0.285714285714286</v>
      </c>
      <c r="X225" s="118" t="n">
        <f aca="false">IF(OR(SUM($G225)=0,SUM($I225)=0),"",SUM($I225)/SUM($G225))</f>
        <v>-5400</v>
      </c>
      <c r="Y225" s="118" t="str">
        <f aca="false">IF(OR(SUM($G225)=0,SUM($J225)=0),"",SUM($J225)/SUM($G225))</f>
        <v/>
      </c>
      <c r="Z225" s="118" t="n">
        <f aca="false">IF(OR(SUM($G225)=0,SUM($K225)=0),"",SUM($K225)/SUM($G225))</f>
        <v>-3049.14285714286</v>
      </c>
      <c r="AA225" s="118" t="str">
        <f aca="false">IF(OR(SUM($G225)=0,SUM($L225)=0),"",SUM($L225)/SUM($G225))</f>
        <v/>
      </c>
      <c r="AB225" s="118" t="n">
        <v>21</v>
      </c>
      <c r="AC225" s="118"/>
      <c r="AD225" s="118"/>
      <c r="AE225" s="118" t="n">
        <v>29</v>
      </c>
      <c r="AF225" s="118" t="n">
        <v>21</v>
      </c>
      <c r="AG225" s="118" t="n">
        <v>20</v>
      </c>
      <c r="AH225" s="118" t="n">
        <v>18</v>
      </c>
      <c r="AI225" s="118" t="n">
        <v>16</v>
      </c>
      <c r="AJ225" s="118" t="n">
        <v>30</v>
      </c>
      <c r="AK225" s="118" t="n">
        <f aca="false">IF(SUM($G225)&lt;=0,"",SUM($V225:$AJ225))</f>
        <v>-8293.85714285714</v>
      </c>
      <c r="AL225" s="118" t="n">
        <v>46</v>
      </c>
      <c r="AM225" s="75" t="n">
        <f aca="false">IF(OR(SUM($AB225)&lt;=0,SUM($G225)&lt;=0),"",ROUND($G225*$AB225,0))</f>
        <v>147</v>
      </c>
      <c r="AN225" s="75" t="n">
        <f aca="false">IF(SUM($AM225)&lt;=0,"",IF(SUM($AL225)&lt;=0,"ENTER VALID YIELD!",ROUND($AM225/$AL225,0)-$AM225))</f>
        <v>-144</v>
      </c>
      <c r="AO225" s="118"/>
      <c r="AP225" s="75" t="str">
        <f aca="false">IF(OR(SUM($AC225)&lt;=0,SUM($G225)&lt;=0),"",ROUND($G225*$AC225,0))</f>
        <v/>
      </c>
      <c r="AQ225" s="75" t="str">
        <f aca="false">IF(SUM($AP225)&lt;=0,"",IF(SUM($AO225)&lt;=0,"ENTER VALID YIELD!",ROUND($AP225/$AO225,0)-$AP225))</f>
        <v/>
      </c>
      <c r="AR225" s="118"/>
      <c r="AS225" s="75" t="str">
        <f aca="false">IF(OR(SUM($AD225)&lt;=0,SUM($G225)&lt;=0),"",ROUND($G225*$AD225,0))</f>
        <v/>
      </c>
      <c r="AT225" s="75" t="str">
        <f aca="false">IF(SUM($AS225)&lt;=0,"",IF(SUM($AR225)&lt;=0,"ENTER VALID YIELD!",ROUND($AS225/$AR225,0)-$AS225))</f>
        <v/>
      </c>
      <c r="AU225" s="118"/>
      <c r="AV225" s="75" t="n">
        <f aca="false">IF(OR(SUM($AE225)&lt;=0,SUM($G225)&lt;=0),"",ROUND($G225*$AE225,0))</f>
        <v>203</v>
      </c>
      <c r="AW225" s="75" t="str">
        <f aca="false">IF(SUM($AV225)&lt;=0,"",IF(SUM($AU225)&lt;=0,"ENTER VALID YIELD!",ROUND($AV225/$AU225,0)-$AV225))</f>
        <v>ENTER VALID YIELD!</v>
      </c>
      <c r="AX225" s="118"/>
      <c r="AY225" s="75" t="n">
        <f aca="false">IF(OR(SUM($AF225)&lt;=0,SUM($G225)&lt;=0),"",ROUND($G225*$AF225,0))</f>
        <v>147</v>
      </c>
      <c r="AZ225" s="75" t="str">
        <f aca="false">IF(SUM($AY225)&lt;=0,"",IF(SUM($AX225)&lt;=0,"ENTER VALID YIELD!",ROUND($AY225/$AX225,0)-$AY225))</f>
        <v>ENTER VALID YIELD!</v>
      </c>
      <c r="BA225" s="118" t="n">
        <v>35</v>
      </c>
      <c r="BB225" s="75" t="n">
        <f aca="false">IF(OR(SUM($AG225)&lt;=0,SUM($G225)&lt;=0),"",ROUND($G225*$AG225,0))</f>
        <v>140</v>
      </c>
      <c r="BC225" s="75" t="n">
        <f aca="false">IF(SUM($BB225)&lt;=0,"",IF(SUM($BA225)&lt;=0,"ENTER VALID YIELD!",ROUND($BB225/$BA225,0)-$BB225))</f>
        <v>-136</v>
      </c>
      <c r="BD225" s="118"/>
      <c r="BE225" s="75" t="n">
        <f aca="false">IF(OR(SUM($AH225)&lt;=0,SUM($G225)&lt;=0),"",ROUND($G225*$AH225,0))</f>
        <v>126</v>
      </c>
      <c r="BF225" s="75" t="str">
        <f aca="false">IF(SUM($BE225)&lt;=0,"",IF(SUM($BD225)&lt;=0,"ENTER VALID YIELD!",ROUND($BE225/$BD225,0)-$BE225))</f>
        <v>ENTER VALID YIELD!</v>
      </c>
      <c r="BG225" s="118"/>
      <c r="BH225" s="75" t="n">
        <f aca="false">IF(OR(SUM($AI225)&lt;=0,SUM($G225)&lt;=0),"",ROUND($G225*$AI225,0))</f>
        <v>112</v>
      </c>
      <c r="BI225" s="75" t="str">
        <f aca="false">IF(SUM($BH225)&lt;=0,"",IF(SUM($BG225)&lt;=0,"ENTER VALID YIELD!",ROUND($BH225/$BG225,0)-$BH225))</f>
        <v>ENTER VALID YIELD!</v>
      </c>
      <c r="BJ225" s="118"/>
      <c r="BK225" s="75" t="n">
        <f aca="false">IF(OR(SUM($AJ225)&lt;=0,SUM($G225)&lt;=0),"",ROUND($G225*$AJ225,0))</f>
        <v>210</v>
      </c>
      <c r="BL225" s="75" t="str">
        <f aca="false">IF(SUM($BK225)&lt;=0,"",IF(SUM($BJ225)&lt;=0,"ENTER VALID YIELD!",ROUND($BK225/$BJ225,0)-$BK225))</f>
        <v>ENTER VALID YIELD!</v>
      </c>
      <c r="BM225" s="73" t="n">
        <f aca="false">IF(SUM($G225)&lt;=0,"",$G225)</f>
        <v>7</v>
      </c>
      <c r="BN225" s="73" t="n">
        <f aca="false">IF(SUM($G225)&lt;=0,"",SUM($I225:$L225,$Q225,$S225,$AM225,$AP225,$AS225,$AV225,$AY225,$BB225,$BE225,$BH225,$BK225))</f>
        <v>-58057</v>
      </c>
      <c r="BO225" s="73" t="n">
        <f aca="false">IF(AND(SUM($BN225)&lt;=0,SUM($BM225)&lt;=0),"",SUM($BN225)-SUM($BM225))</f>
        <v>-58064</v>
      </c>
      <c r="BP225" s="73" t="n">
        <f aca="false">_xlfn.IFNA(INDEX(PMTCT!$AF:$AF,MATCH($E225,PMTCT!$E:$E,0)),"")</f>
        <v>36900</v>
      </c>
      <c r="BQ225" s="73" t="str">
        <f aca="false">_xlfn.IFNA(INDEX(PMTCT!$AV:$AV,MATCH($E225,PMTCT!$E:$E,0)),"")</f>
        <v/>
      </c>
      <c r="BR225" s="73" t="n">
        <f aca="false">_xlfn.IFNA(INDEX(TB!$R:$R,MATCH($E225,TB!$E:$E,0)),"")</f>
        <v>20677</v>
      </c>
      <c r="BS225" s="73" t="str">
        <f aca="false">_xlfn.IFNA(INDEX(VMMC!$AD:$AD,MATCH($E225,VMMC!$E:$E,0)),"")</f>
        <v/>
      </c>
      <c r="BT225" s="73" t="n">
        <f aca="false">IF(SUM($R225,$T225,$AN225,$AQ225,$AT225,$AW225,$AZ225,$BC225,$BF225,$BI225,$BL225,$BP225:$BS225)=0,"",SUM($R225,$T225,$AN225,$AQ225,$AT225,$AW225,$AZ225,$BC225,$BF225,$BI225,$BL225,$BP225:$BS225))</f>
        <v>57297</v>
      </c>
      <c r="BU225" s="73" t="n">
        <f aca="false">IF(OR(SUM($BT225)=0,SUM($BN225)=0),"",SUM($BT225,$BN225))</f>
        <v>-760</v>
      </c>
      <c r="BV225" s="118" t="n">
        <f aca="false">IF(SUM($BU225)=0,"",SUM($BN225)/$BU225)</f>
        <v>76.3907894736842</v>
      </c>
      <c r="BW225" s="73"/>
      <c r="BX225" s="118" t="n">
        <f aca="false">IF(OR($C225="01-04",$C225="05-09"),"",0%)</f>
        <v>0</v>
      </c>
      <c r="BY225" s="75" t="str">
        <f aca="false">IF(OR($C225="01-04",$C225="05-09",SUM($BW225)=0),"",ROUND($BW225*(1+$BX225),0))</f>
        <v/>
      </c>
    </row>
    <row r="226" customFormat="false" ht="15" hidden="false" customHeight="false" outlineLevel="0" collapsed="false">
      <c r="A226" s="0" t="s">
        <v>150</v>
      </c>
      <c r="B226" s="0" t="s">
        <v>117</v>
      </c>
      <c r="C226" s="0" t="s">
        <v>72</v>
      </c>
      <c r="D226" s="0" t="s">
        <v>58</v>
      </c>
      <c r="E226" s="0" t="str">
        <f aca="false">B226&amp;"|"&amp;C226&amp;"|"&amp;D226</f>
        <v>Quthing [#SNU] [HuwCoDZG0FY]|30-34|Male</v>
      </c>
      <c r="F226" s="118" t="n">
        <f aca="false">_xlfn.IFNA(INDEX(Cascade!$Y:$Y,MATCH($E226,Cascade!$E:$E,0)),"")</f>
        <v>0.356426618049225</v>
      </c>
      <c r="G226" s="73" t="n">
        <f aca="false">_xlfn.IFNA(INDEX(Cascade!$BD:$BD,MATCH($E226,Cascade!$E:$E,0)),"")</f>
        <v>82</v>
      </c>
      <c r="H226" s="73" t="n">
        <f aca="false">_xlfn.IFNA(INDEX(Cascade!$BE:$BE,MATCH($E226,Cascade!$E:$E,0)),"")</f>
        <v>25</v>
      </c>
      <c r="I226" s="73" t="str">
        <f aca="false">_xlfn.IFNA(INDEX(Cascade!$BF:$BF,MATCH($E226,Cascade!$E:$E,0)),"")</f>
        <v/>
      </c>
      <c r="J226" s="73" t="str">
        <f aca="false">_xlfn.IFNA(INDEX(Cascade!$BG:$BG,MATCH($E226,Cascade!$E:$E,0)),"")</f>
        <v/>
      </c>
      <c r="K226" s="73" t="n">
        <f aca="false">_xlfn.IFNA(INDEX(Cascade!$BH:$BH,MATCH($E226,Cascade!$E:$E,0)),"")</f>
        <v>-0</v>
      </c>
      <c r="L226" s="73" t="str">
        <f aca="false">_xlfn.IFNA(INDEX(Cascade!$BI:$BI,MATCH($E226,Cascade!$E:$E,0)),"")</f>
        <v/>
      </c>
      <c r="M226" s="73" t="n">
        <f aca="false">_xlfn.IFNA(INDEX(Cascade!$BK:$BK,MATCH($E226,Cascade!$E:$E,0)),"")</f>
        <v>57</v>
      </c>
      <c r="N226" s="118" t="n">
        <v>16</v>
      </c>
      <c r="O226" s="118"/>
      <c r="P226" s="118" t="n">
        <v>18</v>
      </c>
      <c r="Q226" s="75" t="str">
        <f aca="false">IF(OR(SUM($H226)=0,SUM($N226)=0,SUM($O226)=0),"",ROUND($H226*$N226,0))</f>
        <v/>
      </c>
      <c r="R226" s="75" t="str">
        <f aca="false">IF(OR(SUM($Q226)=0,SUM($O226)=0),"",ROUND(SUM($Q226)/SUM($O226),0)-SUM($Q226))</f>
        <v/>
      </c>
      <c r="S226" s="75" t="n">
        <f aca="false">IF(SUM($H226)=0,"",SUM($H226)-SUM($Q226))</f>
        <v>25</v>
      </c>
      <c r="T226" s="75" t="str">
        <f aca="false">IF(OR(SUM($S226)=0,$N226&gt;1,SUM($P226)&lt;=0),"",ROUND($S226/$P226,0)-$S226)</f>
        <v/>
      </c>
      <c r="U226" s="118" t="n">
        <f aca="false">IF(SUM($G226)&lt;=0,"",SUM($Q226,$S226)/$G226)</f>
        <v>0.304878048780488</v>
      </c>
      <c r="V226" s="118" t="str">
        <f aca="false">IF(OR(SUM($Q226)=0,SUM($G226)=0),"",SUM($Q226)/SUM($G226))</f>
        <v/>
      </c>
      <c r="W226" s="118" t="n">
        <f aca="false">IF(OR(SUM($S226)=0,SUM($G226)=0),"",SUM($S226)/SUM($G226))</f>
        <v>0.304878048780488</v>
      </c>
      <c r="X226" s="118" t="str">
        <f aca="false">IF(OR(SUM($G226)=0,SUM($I226)=0),"",SUM($I226)/SUM($G226))</f>
        <v/>
      </c>
      <c r="Y226" s="118" t="str">
        <f aca="false">IF(OR(SUM($G226)=0,SUM($J226)=0),"",SUM($J226)/SUM($G226))</f>
        <v/>
      </c>
      <c r="Z226" s="118" t="str">
        <f aca="false">IF(OR(SUM($G226)=0,SUM($K226)=0),"",SUM($K226)/SUM($G226))</f>
        <v/>
      </c>
      <c r="AA226" s="118" t="str">
        <f aca="false">IF(OR(SUM($G226)=0,SUM($L226)=0),"",SUM($L226)/SUM($G226))</f>
        <v/>
      </c>
      <c r="AB226" s="118" t="n">
        <v>17</v>
      </c>
      <c r="AC226" s="118"/>
      <c r="AD226" s="118"/>
      <c r="AE226" s="118" t="n">
        <v>5</v>
      </c>
      <c r="AF226" s="118" t="n">
        <v>41</v>
      </c>
      <c r="AG226" s="118" t="n">
        <v>41</v>
      </c>
      <c r="AH226" s="118" t="n">
        <v>27</v>
      </c>
      <c r="AI226" s="118" t="n">
        <v>4</v>
      </c>
      <c r="AJ226" s="118" t="n">
        <v>43</v>
      </c>
      <c r="AK226" s="118" t="n">
        <f aca="false">IF(SUM($G226)&lt;=0,"",SUM($V226:$AJ226))</f>
        <v>178.304878048781</v>
      </c>
      <c r="AL226" s="118"/>
      <c r="AM226" s="75" t="n">
        <f aca="false">IF(OR(SUM($AB226)&lt;=0,SUM($G226)&lt;=0),"",ROUND($G226*$AB226,0))</f>
        <v>1394</v>
      </c>
      <c r="AN226" s="75" t="str">
        <f aca="false">IF(SUM($AM226)&lt;=0,"",IF(SUM($AL226)&lt;=0,"ENTER VALID YIELD!",ROUND($AM226/$AL226,0)-$AM226))</f>
        <v>ENTER VALID YIELD!</v>
      </c>
      <c r="AO226" s="118"/>
      <c r="AP226" s="75" t="str">
        <f aca="false">IF(OR(SUM($AC226)&lt;=0,SUM($G226)&lt;=0),"",ROUND($G226*$AC226,0))</f>
        <v/>
      </c>
      <c r="AQ226" s="75" t="str">
        <f aca="false">IF(SUM($AP226)&lt;=0,"",IF(SUM($AO226)&lt;=0,"ENTER VALID YIELD!",ROUND($AP226/$AO226,0)-$AP226))</f>
        <v/>
      </c>
      <c r="AR226" s="118"/>
      <c r="AS226" s="75" t="str">
        <f aca="false">IF(OR(SUM($AD226)&lt;=0,SUM($G226)&lt;=0),"",ROUND($G226*$AD226,0))</f>
        <v/>
      </c>
      <c r="AT226" s="75" t="str">
        <f aca="false">IF(SUM($AS226)&lt;=0,"",IF(SUM($AR226)&lt;=0,"ENTER VALID YIELD!",ROUND($AS226/$AR226,0)-$AS226))</f>
        <v/>
      </c>
      <c r="AU226" s="118"/>
      <c r="AV226" s="75" t="n">
        <f aca="false">IF(OR(SUM($AE226)&lt;=0,SUM($G226)&lt;=0),"",ROUND($G226*$AE226,0))</f>
        <v>410</v>
      </c>
      <c r="AW226" s="75" t="str">
        <f aca="false">IF(SUM($AV226)&lt;=0,"",IF(SUM($AU226)&lt;=0,"ENTER VALID YIELD!",ROUND($AV226/$AU226,0)-$AV226))</f>
        <v>ENTER VALID YIELD!</v>
      </c>
      <c r="AX226" s="118"/>
      <c r="AY226" s="75" t="n">
        <f aca="false">IF(OR(SUM($AF226)&lt;=0,SUM($G226)&lt;=0),"",ROUND($G226*$AF226,0))</f>
        <v>3362</v>
      </c>
      <c r="AZ226" s="75" t="str">
        <f aca="false">IF(SUM($AY226)&lt;=0,"",IF(SUM($AX226)&lt;=0,"ENTER VALID YIELD!",ROUND($AY226/$AX226,0)-$AY226))</f>
        <v>ENTER VALID YIELD!</v>
      </c>
      <c r="BA226" s="118" t="n">
        <v>19</v>
      </c>
      <c r="BB226" s="75" t="n">
        <f aca="false">IF(OR(SUM($AG226)&lt;=0,SUM($G226)&lt;=0),"",ROUND($G226*$AG226,0))</f>
        <v>3362</v>
      </c>
      <c r="BC226" s="75" t="n">
        <f aca="false">IF(SUM($BB226)&lt;=0,"",IF(SUM($BA226)&lt;=0,"ENTER VALID YIELD!",ROUND($BB226/$BA226,0)-$BB226))</f>
        <v>-3185</v>
      </c>
      <c r="BD226" s="118"/>
      <c r="BE226" s="75" t="n">
        <f aca="false">IF(OR(SUM($AH226)&lt;=0,SUM($G226)&lt;=0),"",ROUND($G226*$AH226,0))</f>
        <v>2214</v>
      </c>
      <c r="BF226" s="75" t="str">
        <f aca="false">IF(SUM($BE226)&lt;=0,"",IF(SUM($BD226)&lt;=0,"ENTER VALID YIELD!",ROUND($BE226/$BD226,0)-$BE226))</f>
        <v>ENTER VALID YIELD!</v>
      </c>
      <c r="BG226" s="118"/>
      <c r="BH226" s="75" t="n">
        <f aca="false">IF(OR(SUM($AI226)&lt;=0,SUM($G226)&lt;=0),"",ROUND($G226*$AI226,0))</f>
        <v>328</v>
      </c>
      <c r="BI226" s="75" t="str">
        <f aca="false">IF(SUM($BH226)&lt;=0,"",IF(SUM($BG226)&lt;=0,"ENTER VALID YIELD!",ROUND($BH226/$BG226,0)-$BH226))</f>
        <v>ENTER VALID YIELD!</v>
      </c>
      <c r="BJ226" s="118"/>
      <c r="BK226" s="75" t="n">
        <f aca="false">IF(OR(SUM($AJ226)&lt;=0,SUM($G226)&lt;=0),"",ROUND($G226*$AJ226,0))</f>
        <v>3526</v>
      </c>
      <c r="BL226" s="75" t="str">
        <f aca="false">IF(SUM($BK226)&lt;=0,"",IF(SUM($BJ226)&lt;=0,"ENTER VALID YIELD!",ROUND($BK226/$BJ226,0)-$BK226))</f>
        <v>ENTER VALID YIELD!</v>
      </c>
      <c r="BM226" s="73" t="n">
        <f aca="false">IF(SUM($G226)&lt;=0,"",$G226)</f>
        <v>82</v>
      </c>
      <c r="BN226" s="73" t="n">
        <f aca="false">IF(SUM($G226)&lt;=0,"",SUM($I226:$L226,$Q226,$S226,$AM226,$AP226,$AS226,$AV226,$AY226,$BB226,$BE226,$BH226,$BK226))</f>
        <v>14621</v>
      </c>
      <c r="BO226" s="73" t="n">
        <f aca="false">IF(AND(SUM($BN226)&lt;=0,SUM($BM226)&lt;=0),"",SUM($BN226)-SUM($BM226))</f>
        <v>14539</v>
      </c>
      <c r="BP226" s="73" t="str">
        <f aca="false">_xlfn.IFNA(INDEX(PMTCT!$AF:$AF,MATCH($E226,PMTCT!$E:$E,0)),"")</f>
        <v/>
      </c>
      <c r="BQ226" s="73" t="str">
        <f aca="false">_xlfn.IFNA(INDEX(PMTCT!$AV:$AV,MATCH($E226,PMTCT!$E:$E,0)),"")</f>
        <v/>
      </c>
      <c r="BR226" s="73" t="n">
        <f aca="false">_xlfn.IFNA(INDEX(TB!$R:$R,MATCH($E226,TB!$E:$E,0)),"")</f>
        <v>-736</v>
      </c>
      <c r="BS226" s="73" t="str">
        <f aca="false">_xlfn.IFNA(INDEX(VMMC!$AD:$AD,MATCH($E226,VMMC!$E:$E,0)),"")</f>
        <v/>
      </c>
      <c r="BT226" s="73" t="n">
        <f aca="false">IF(SUM($R226,$T226,$AN226,$AQ226,$AT226,$AW226,$AZ226,$BC226,$BF226,$BI226,$BL226,$BP226:$BS226)=0,"",SUM($R226,$T226,$AN226,$AQ226,$AT226,$AW226,$AZ226,$BC226,$BF226,$BI226,$BL226,$BP226:$BS226))</f>
        <v>-3921</v>
      </c>
      <c r="BU226" s="73" t="n">
        <f aca="false">IF(OR(SUM($BT226)=0,SUM($BN226)=0),"",SUM($BT226,$BN226))</f>
        <v>10700</v>
      </c>
      <c r="BV226" s="118" t="n">
        <f aca="false">IF(SUM($BU226)=0,"",SUM($BN226)/$BU226)</f>
        <v>1.36644859813084</v>
      </c>
      <c r="BW226" s="73"/>
      <c r="BX226" s="118" t="n">
        <f aca="false">IF(OR($C226="01-04",$C226="05-09"),"",0%)</f>
        <v>0</v>
      </c>
      <c r="BY226" s="75" t="str">
        <f aca="false">IF(OR($C226="01-04",$C226="05-09",SUM($BW226)=0),"",ROUND($BW226*(1+$BX226),0))</f>
        <v/>
      </c>
    </row>
    <row r="227" customFormat="false" ht="15" hidden="false" customHeight="false" outlineLevel="0" collapsed="false">
      <c r="A227" s="0" t="s">
        <v>150</v>
      </c>
      <c r="B227" s="0" t="s">
        <v>117</v>
      </c>
      <c r="C227" s="0" t="s">
        <v>75</v>
      </c>
      <c r="D227" s="0" t="s">
        <v>56</v>
      </c>
      <c r="E227" s="0" t="str">
        <f aca="false">B227&amp;"|"&amp;C227&amp;"|"&amp;D227</f>
        <v>Quthing [#SNU] [HuwCoDZG0FY]|35-39|Female</v>
      </c>
      <c r="F227" s="118" t="n">
        <f aca="false">_xlfn.IFNA(INDEX(Cascade!$Y:$Y,MATCH($E227,Cascade!$E:$E,0)),"")</f>
        <v>0.578742709008425</v>
      </c>
      <c r="G227" s="73" t="n">
        <f aca="false">_xlfn.IFNA(INDEX(Cascade!$BD:$BD,MATCH($E227,Cascade!$E:$E,0)),"")</f>
        <v>21</v>
      </c>
      <c r="H227" s="73" t="n">
        <f aca="false">_xlfn.IFNA(INDEX(Cascade!$BE:$BE,MATCH($E227,Cascade!$E:$E,0)),"")</f>
        <v>6</v>
      </c>
      <c r="I227" s="73" t="n">
        <f aca="false">_xlfn.IFNA(INDEX(Cascade!$BF:$BF,MATCH($E227,Cascade!$E:$E,0)),"")</f>
        <v>-13608</v>
      </c>
      <c r="J227" s="73" t="str">
        <f aca="false">_xlfn.IFNA(INDEX(Cascade!$BG:$BG,MATCH($E227,Cascade!$E:$E,0)),"")</f>
        <v/>
      </c>
      <c r="K227" s="73" t="n">
        <f aca="false">_xlfn.IFNA(INDEX(Cascade!$BH:$BH,MATCH($E227,Cascade!$E:$E,0)),"")</f>
        <v>-372</v>
      </c>
      <c r="L227" s="73" t="str">
        <f aca="false">_xlfn.IFNA(INDEX(Cascade!$BI:$BI,MATCH($E227,Cascade!$E:$E,0)),"")</f>
        <v/>
      </c>
      <c r="M227" s="73" t="n">
        <f aca="false">_xlfn.IFNA(INDEX(Cascade!$BK:$BK,MATCH($E227,Cascade!$E:$E,0)),"")</f>
        <v>13995</v>
      </c>
      <c r="N227" s="118" t="n">
        <v>20</v>
      </c>
      <c r="O227" s="118"/>
      <c r="P227" s="118" t="n">
        <v>36</v>
      </c>
      <c r="Q227" s="75" t="str">
        <f aca="false">IF(OR(SUM($H227)=0,SUM($N227)=0,SUM($O227)=0),"",ROUND($H227*$N227,0))</f>
        <v/>
      </c>
      <c r="R227" s="75" t="str">
        <f aca="false">IF(OR(SUM($Q227)=0,SUM($O227)=0),"",ROUND(SUM($Q227)/SUM($O227),0)-SUM($Q227))</f>
        <v/>
      </c>
      <c r="S227" s="75" t="n">
        <f aca="false">IF(SUM($H227)=0,"",SUM($H227)-SUM($Q227))</f>
        <v>6</v>
      </c>
      <c r="T227" s="75" t="str">
        <f aca="false">IF(OR(SUM($S227)=0,$N227&gt;1,SUM($P227)&lt;=0),"",ROUND($S227/$P227,0)-$S227)</f>
        <v/>
      </c>
      <c r="U227" s="118" t="n">
        <f aca="false">IF(SUM($G227)&lt;=0,"",SUM($Q227,$S227)/$G227)</f>
        <v>0.285714285714286</v>
      </c>
      <c r="V227" s="118" t="str">
        <f aca="false">IF(OR(SUM($Q227)=0,SUM($G227)=0),"",SUM($Q227)/SUM($G227))</f>
        <v/>
      </c>
      <c r="W227" s="118" t="n">
        <f aca="false">IF(OR(SUM($S227)=0,SUM($G227)=0),"",SUM($S227)/SUM($G227))</f>
        <v>0.285714285714286</v>
      </c>
      <c r="X227" s="118" t="n">
        <f aca="false">IF(OR(SUM($G227)=0,SUM($I227)=0),"",SUM($I227)/SUM($G227))</f>
        <v>-648</v>
      </c>
      <c r="Y227" s="118" t="str">
        <f aca="false">IF(OR(SUM($G227)=0,SUM($J227)=0),"",SUM($J227)/SUM($G227))</f>
        <v/>
      </c>
      <c r="Z227" s="118" t="n">
        <f aca="false">IF(OR(SUM($G227)=0,SUM($K227)=0),"",SUM($K227)/SUM($G227))</f>
        <v>-17.7142857142857</v>
      </c>
      <c r="AA227" s="118" t="str">
        <f aca="false">IF(OR(SUM($G227)=0,SUM($L227)=0),"",SUM($L227)/SUM($G227))</f>
        <v/>
      </c>
      <c r="AB227" s="118" t="n">
        <v>27</v>
      </c>
      <c r="AC227" s="118"/>
      <c r="AD227" s="118"/>
      <c r="AE227" s="118" t="n">
        <v>9</v>
      </c>
      <c r="AF227" s="118" t="n">
        <v>49</v>
      </c>
      <c r="AG227" s="118" t="n">
        <v>49</v>
      </c>
      <c r="AH227" s="118" t="n">
        <v>33</v>
      </c>
      <c r="AI227" s="118" t="n">
        <v>13</v>
      </c>
      <c r="AJ227" s="118" t="n">
        <v>44</v>
      </c>
      <c r="AK227" s="118" t="n">
        <f aca="false">IF(SUM($G227)&lt;=0,"",SUM($V227:$AJ227))</f>
        <v>-441.428571428571</v>
      </c>
      <c r="AL227" s="118" t="n">
        <v>47</v>
      </c>
      <c r="AM227" s="75" t="n">
        <f aca="false">IF(OR(SUM($AB227)&lt;=0,SUM($G227)&lt;=0),"",ROUND($G227*$AB227,0))</f>
        <v>567</v>
      </c>
      <c r="AN227" s="75" t="n">
        <f aca="false">IF(SUM($AM227)&lt;=0,"",IF(SUM($AL227)&lt;=0,"ENTER VALID YIELD!",ROUND($AM227/$AL227,0)-$AM227))</f>
        <v>-555</v>
      </c>
      <c r="AO227" s="118"/>
      <c r="AP227" s="75" t="str">
        <f aca="false">IF(OR(SUM($AC227)&lt;=0,SUM($G227)&lt;=0),"",ROUND($G227*$AC227,0))</f>
        <v/>
      </c>
      <c r="AQ227" s="75" t="str">
        <f aca="false">IF(SUM($AP227)&lt;=0,"",IF(SUM($AO227)&lt;=0,"ENTER VALID YIELD!",ROUND($AP227/$AO227,0)-$AP227))</f>
        <v/>
      </c>
      <c r="AR227" s="118"/>
      <c r="AS227" s="75" t="str">
        <f aca="false">IF(OR(SUM($AD227)&lt;=0,SUM($G227)&lt;=0),"",ROUND($G227*$AD227,0))</f>
        <v/>
      </c>
      <c r="AT227" s="75" t="str">
        <f aca="false">IF(SUM($AS227)&lt;=0,"",IF(SUM($AR227)&lt;=0,"ENTER VALID YIELD!",ROUND($AS227/$AR227,0)-$AS227))</f>
        <v/>
      </c>
      <c r="AU227" s="118"/>
      <c r="AV227" s="75" t="n">
        <f aca="false">IF(OR(SUM($AE227)&lt;=0,SUM($G227)&lt;=0),"",ROUND($G227*$AE227,0))</f>
        <v>189</v>
      </c>
      <c r="AW227" s="75" t="str">
        <f aca="false">IF(SUM($AV227)&lt;=0,"",IF(SUM($AU227)&lt;=0,"ENTER VALID YIELD!",ROUND($AV227/$AU227,0)-$AV227))</f>
        <v>ENTER VALID YIELD!</v>
      </c>
      <c r="AX227" s="118"/>
      <c r="AY227" s="75" t="n">
        <f aca="false">IF(OR(SUM($AF227)&lt;=0,SUM($G227)&lt;=0),"",ROUND($G227*$AF227,0))</f>
        <v>1029</v>
      </c>
      <c r="AZ227" s="75" t="str">
        <f aca="false">IF(SUM($AY227)&lt;=0,"",IF(SUM($AX227)&lt;=0,"ENTER VALID YIELD!",ROUND($AY227/$AX227,0)-$AY227))</f>
        <v>ENTER VALID YIELD!</v>
      </c>
      <c r="BA227" s="118" t="n">
        <v>9</v>
      </c>
      <c r="BB227" s="75" t="n">
        <f aca="false">IF(OR(SUM($AG227)&lt;=0,SUM($G227)&lt;=0),"",ROUND($G227*$AG227,0))</f>
        <v>1029</v>
      </c>
      <c r="BC227" s="75" t="n">
        <f aca="false">IF(SUM($BB227)&lt;=0,"",IF(SUM($BA227)&lt;=0,"ENTER VALID YIELD!",ROUND($BB227/$BA227,0)-$BB227))</f>
        <v>-915</v>
      </c>
      <c r="BD227" s="118"/>
      <c r="BE227" s="75" t="n">
        <f aca="false">IF(OR(SUM($AH227)&lt;=0,SUM($G227)&lt;=0),"",ROUND($G227*$AH227,0))</f>
        <v>693</v>
      </c>
      <c r="BF227" s="75" t="str">
        <f aca="false">IF(SUM($BE227)&lt;=0,"",IF(SUM($BD227)&lt;=0,"ENTER VALID YIELD!",ROUND($BE227/$BD227,0)-$BE227))</f>
        <v>ENTER VALID YIELD!</v>
      </c>
      <c r="BG227" s="118"/>
      <c r="BH227" s="75" t="n">
        <f aca="false">IF(OR(SUM($AI227)&lt;=0,SUM($G227)&lt;=0),"",ROUND($G227*$AI227,0))</f>
        <v>273</v>
      </c>
      <c r="BI227" s="75" t="str">
        <f aca="false">IF(SUM($BH227)&lt;=0,"",IF(SUM($BG227)&lt;=0,"ENTER VALID YIELD!",ROUND($BH227/$BG227,0)-$BH227))</f>
        <v>ENTER VALID YIELD!</v>
      </c>
      <c r="BJ227" s="118"/>
      <c r="BK227" s="75" t="n">
        <f aca="false">IF(OR(SUM($AJ227)&lt;=0,SUM($G227)&lt;=0),"",ROUND($G227*$AJ227,0))</f>
        <v>924</v>
      </c>
      <c r="BL227" s="75" t="str">
        <f aca="false">IF(SUM($BK227)&lt;=0,"",IF(SUM($BJ227)&lt;=0,"ENTER VALID YIELD!",ROUND($BK227/$BJ227,0)-$BK227))</f>
        <v>ENTER VALID YIELD!</v>
      </c>
      <c r="BM227" s="73" t="n">
        <f aca="false">IF(SUM($G227)&lt;=0,"",$G227)</f>
        <v>21</v>
      </c>
      <c r="BN227" s="73" t="n">
        <f aca="false">IF(SUM($G227)&lt;=0,"",SUM($I227:$L227,$Q227,$S227,$AM227,$AP227,$AS227,$AV227,$AY227,$BB227,$BE227,$BH227,$BK227))</f>
        <v>-9270</v>
      </c>
      <c r="BO227" s="73" t="n">
        <f aca="false">IF(AND(SUM($BN227)&lt;=0,SUM($BM227)&lt;=0),"",SUM($BN227)-SUM($BM227))</f>
        <v>-9291</v>
      </c>
      <c r="BP227" s="73" t="n">
        <f aca="false">_xlfn.IFNA(INDEX(PMTCT!$AF:$AF,MATCH($E227,PMTCT!$E:$E,0)),"")</f>
        <v>13284</v>
      </c>
      <c r="BQ227" s="73" t="str">
        <f aca="false">_xlfn.IFNA(INDEX(PMTCT!$AV:$AV,MATCH($E227,PMTCT!$E:$E,0)),"")</f>
        <v/>
      </c>
      <c r="BR227" s="73" t="n">
        <f aca="false">_xlfn.IFNA(INDEX(TB!$R:$R,MATCH($E227,TB!$E:$E,0)),"")</f>
        <v>248</v>
      </c>
      <c r="BS227" s="73" t="str">
        <f aca="false">_xlfn.IFNA(INDEX(VMMC!$AD:$AD,MATCH($E227,VMMC!$E:$E,0)),"")</f>
        <v/>
      </c>
      <c r="BT227" s="73" t="n">
        <f aca="false">IF(SUM($R227,$T227,$AN227,$AQ227,$AT227,$AW227,$AZ227,$BC227,$BF227,$BI227,$BL227,$BP227:$BS227)=0,"",SUM($R227,$T227,$AN227,$AQ227,$AT227,$AW227,$AZ227,$BC227,$BF227,$BI227,$BL227,$BP227:$BS227))</f>
        <v>12062</v>
      </c>
      <c r="BU227" s="73" t="n">
        <f aca="false">IF(OR(SUM($BT227)=0,SUM($BN227)=0),"",SUM($BT227,$BN227))</f>
        <v>2792</v>
      </c>
      <c r="BV227" s="118" t="n">
        <f aca="false">IF(SUM($BU227)=0,"",SUM($BN227)/$BU227)</f>
        <v>-3.3202005730659</v>
      </c>
      <c r="BW227" s="73"/>
      <c r="BX227" s="118" t="n">
        <f aca="false">IF(OR($C227="01-04",$C227="05-09"),"",0%)</f>
        <v>0</v>
      </c>
      <c r="BY227" s="75" t="str">
        <f aca="false">IF(OR($C227="01-04",$C227="05-09",SUM($BW227)=0),"",ROUND($BW227*(1+$BX227),0))</f>
        <v/>
      </c>
    </row>
    <row r="228" customFormat="false" ht="15" hidden="false" customHeight="false" outlineLevel="0" collapsed="false">
      <c r="A228" s="0" t="s">
        <v>150</v>
      </c>
      <c r="B228" s="0" t="s">
        <v>117</v>
      </c>
      <c r="C228" s="0" t="s">
        <v>75</v>
      </c>
      <c r="D228" s="0" t="s">
        <v>58</v>
      </c>
      <c r="E228" s="0" t="str">
        <f aca="false">B228&amp;"|"&amp;C228&amp;"|"&amp;D228</f>
        <v>Quthing [#SNU] [HuwCoDZG0FY]|35-39|Male</v>
      </c>
      <c r="F228" s="118" t="n">
        <f aca="false">_xlfn.IFNA(INDEX(Cascade!$Y:$Y,MATCH($E228,Cascade!$E:$E,0)),"")</f>
        <v>0.437950360288231</v>
      </c>
      <c r="G228" s="73" t="n">
        <f aca="false">_xlfn.IFNA(INDEX(Cascade!$BD:$BD,MATCH($E228,Cascade!$E:$E,0)),"")</f>
        <v>55</v>
      </c>
      <c r="H228" s="73" t="n">
        <f aca="false">_xlfn.IFNA(INDEX(Cascade!$BE:$BE,MATCH($E228,Cascade!$E:$E,0)),"")</f>
        <v>17</v>
      </c>
      <c r="I228" s="73" t="str">
        <f aca="false">_xlfn.IFNA(INDEX(Cascade!$BF:$BF,MATCH($E228,Cascade!$E:$E,0)),"")</f>
        <v/>
      </c>
      <c r="J228" s="73" t="str">
        <f aca="false">_xlfn.IFNA(INDEX(Cascade!$BG:$BG,MATCH($E228,Cascade!$E:$E,0)),"")</f>
        <v/>
      </c>
      <c r="K228" s="73" t="n">
        <f aca="false">_xlfn.IFNA(INDEX(Cascade!$BH:$BH,MATCH($E228,Cascade!$E:$E,0)),"")</f>
        <v>-2210</v>
      </c>
      <c r="L228" s="73" t="str">
        <f aca="false">_xlfn.IFNA(INDEX(Cascade!$BI:$BI,MATCH($E228,Cascade!$E:$E,0)),"")</f>
        <v/>
      </c>
      <c r="M228" s="73" t="n">
        <f aca="false">_xlfn.IFNA(INDEX(Cascade!$BK:$BK,MATCH($E228,Cascade!$E:$E,0)),"")</f>
        <v>2248</v>
      </c>
      <c r="N228" s="118" t="n">
        <v>9</v>
      </c>
      <c r="O228" s="118"/>
      <c r="P228" s="118" t="n">
        <v>24</v>
      </c>
      <c r="Q228" s="75" t="str">
        <f aca="false">IF(OR(SUM($H228)=0,SUM($N228)=0,SUM($O228)=0),"",ROUND($H228*$N228,0))</f>
        <v/>
      </c>
      <c r="R228" s="75" t="str">
        <f aca="false">IF(OR(SUM($Q228)=0,SUM($O228)=0),"",ROUND(SUM($Q228)/SUM($O228),0)-SUM($Q228))</f>
        <v/>
      </c>
      <c r="S228" s="75" t="n">
        <f aca="false">IF(SUM($H228)=0,"",SUM($H228)-SUM($Q228))</f>
        <v>17</v>
      </c>
      <c r="T228" s="75" t="str">
        <f aca="false">IF(OR(SUM($S228)=0,$N228&gt;1,SUM($P228)&lt;=0),"",ROUND($S228/$P228,0)-$S228)</f>
        <v/>
      </c>
      <c r="U228" s="118" t="n">
        <f aca="false">IF(SUM($G228)&lt;=0,"",SUM($Q228,$S228)/$G228)</f>
        <v>0.309090909090909</v>
      </c>
      <c r="V228" s="118" t="str">
        <f aca="false">IF(OR(SUM($Q228)=0,SUM($G228)=0),"",SUM($Q228)/SUM($G228))</f>
        <v/>
      </c>
      <c r="W228" s="118" t="n">
        <f aca="false">IF(OR(SUM($S228)=0,SUM($G228)=0),"",SUM($S228)/SUM($G228))</f>
        <v>0.309090909090909</v>
      </c>
      <c r="X228" s="118" t="str">
        <f aca="false">IF(OR(SUM($G228)=0,SUM($I228)=0),"",SUM($I228)/SUM($G228))</f>
        <v/>
      </c>
      <c r="Y228" s="118" t="str">
        <f aca="false">IF(OR(SUM($G228)=0,SUM($J228)=0),"",SUM($J228)/SUM($G228))</f>
        <v/>
      </c>
      <c r="Z228" s="118" t="n">
        <f aca="false">IF(OR(SUM($G228)=0,SUM($K228)=0),"",SUM($K228)/SUM($G228))</f>
        <v>-40.1818181818182</v>
      </c>
      <c r="AA228" s="118" t="str">
        <f aca="false">IF(OR(SUM($G228)=0,SUM($L228)=0),"",SUM($L228)/SUM($G228))</f>
        <v/>
      </c>
      <c r="AB228" s="118" t="n">
        <v>28</v>
      </c>
      <c r="AC228" s="118"/>
      <c r="AD228" s="118"/>
      <c r="AE228" s="118" t="n">
        <v>1</v>
      </c>
      <c r="AF228" s="118" t="n">
        <v>45</v>
      </c>
      <c r="AG228" s="118" t="n">
        <v>43</v>
      </c>
      <c r="AH228" s="118" t="n">
        <v>22</v>
      </c>
      <c r="AI228" s="118" t="n">
        <v>43</v>
      </c>
      <c r="AJ228" s="118" t="n">
        <v>46</v>
      </c>
      <c r="AK228" s="118" t="n">
        <f aca="false">IF(SUM($G228)&lt;=0,"",SUM($V228:$AJ228))</f>
        <v>188.127272727273</v>
      </c>
      <c r="AL228" s="118" t="n">
        <v>37</v>
      </c>
      <c r="AM228" s="75" t="n">
        <f aca="false">IF(OR(SUM($AB228)&lt;=0,SUM($G228)&lt;=0),"",ROUND($G228*$AB228,0))</f>
        <v>1540</v>
      </c>
      <c r="AN228" s="75" t="n">
        <f aca="false">IF(SUM($AM228)&lt;=0,"",IF(SUM($AL228)&lt;=0,"ENTER VALID YIELD!",ROUND($AM228/$AL228,0)-$AM228))</f>
        <v>-1498</v>
      </c>
      <c r="AO228" s="118"/>
      <c r="AP228" s="75" t="str">
        <f aca="false">IF(OR(SUM($AC228)&lt;=0,SUM($G228)&lt;=0),"",ROUND($G228*$AC228,0))</f>
        <v/>
      </c>
      <c r="AQ228" s="75" t="str">
        <f aca="false">IF(SUM($AP228)&lt;=0,"",IF(SUM($AO228)&lt;=0,"ENTER VALID YIELD!",ROUND($AP228/$AO228,0)-$AP228))</f>
        <v/>
      </c>
      <c r="AR228" s="118"/>
      <c r="AS228" s="75" t="str">
        <f aca="false">IF(OR(SUM($AD228)&lt;=0,SUM($G228)&lt;=0),"",ROUND($G228*$AD228,0))</f>
        <v/>
      </c>
      <c r="AT228" s="75" t="str">
        <f aca="false">IF(SUM($AS228)&lt;=0,"",IF(SUM($AR228)&lt;=0,"ENTER VALID YIELD!",ROUND($AS228/$AR228,0)-$AS228))</f>
        <v/>
      </c>
      <c r="AU228" s="118"/>
      <c r="AV228" s="75" t="n">
        <f aca="false">IF(OR(SUM($AE228)&lt;=0,SUM($G228)&lt;=0),"",ROUND($G228*$AE228,0))</f>
        <v>55</v>
      </c>
      <c r="AW228" s="75" t="str">
        <f aca="false">IF(SUM($AV228)&lt;=0,"",IF(SUM($AU228)&lt;=0,"ENTER VALID YIELD!",ROUND($AV228/$AU228,0)-$AV228))</f>
        <v>ENTER VALID YIELD!</v>
      </c>
      <c r="AX228" s="118"/>
      <c r="AY228" s="75" t="n">
        <f aca="false">IF(OR(SUM($AF228)&lt;=0,SUM($G228)&lt;=0),"",ROUND($G228*$AF228,0))</f>
        <v>2475</v>
      </c>
      <c r="AZ228" s="75" t="str">
        <f aca="false">IF(SUM($AY228)&lt;=0,"",IF(SUM($AX228)&lt;=0,"ENTER VALID YIELD!",ROUND($AY228/$AX228,0)-$AY228))</f>
        <v>ENTER VALID YIELD!</v>
      </c>
      <c r="BA228" s="118" t="n">
        <v>0</v>
      </c>
      <c r="BB228" s="75" t="n">
        <f aca="false">IF(OR(SUM($AG228)&lt;=0,SUM($G228)&lt;=0),"",ROUND($G228*$AG228,0))</f>
        <v>2365</v>
      </c>
      <c r="BC228" s="75" t="str">
        <f aca="false">IF(SUM($BB228)&lt;=0,"",IF(SUM($BA228)&lt;=0,"ENTER VALID YIELD!",ROUND($BB228/$BA228,0)-$BB228))</f>
        <v>ENTER VALID YIELD!</v>
      </c>
      <c r="BD228" s="118"/>
      <c r="BE228" s="75" t="n">
        <f aca="false">IF(OR(SUM($AH228)&lt;=0,SUM($G228)&lt;=0),"",ROUND($G228*$AH228,0))</f>
        <v>1210</v>
      </c>
      <c r="BF228" s="75" t="str">
        <f aca="false">IF(SUM($BE228)&lt;=0,"",IF(SUM($BD228)&lt;=0,"ENTER VALID YIELD!",ROUND($BE228/$BD228,0)-$BE228))</f>
        <v>ENTER VALID YIELD!</v>
      </c>
      <c r="BG228" s="118"/>
      <c r="BH228" s="75" t="n">
        <f aca="false">IF(OR(SUM($AI228)&lt;=0,SUM($G228)&lt;=0),"",ROUND($G228*$AI228,0))</f>
        <v>2365</v>
      </c>
      <c r="BI228" s="75" t="str">
        <f aca="false">IF(SUM($BH228)&lt;=0,"",IF(SUM($BG228)&lt;=0,"ENTER VALID YIELD!",ROUND($BH228/$BG228,0)-$BH228))</f>
        <v>ENTER VALID YIELD!</v>
      </c>
      <c r="BJ228" s="118"/>
      <c r="BK228" s="75" t="n">
        <f aca="false">IF(OR(SUM($AJ228)&lt;=0,SUM($G228)&lt;=0),"",ROUND($G228*$AJ228,0))</f>
        <v>2530</v>
      </c>
      <c r="BL228" s="75" t="str">
        <f aca="false">IF(SUM($BK228)&lt;=0,"",IF(SUM($BJ228)&lt;=0,"ENTER VALID YIELD!",ROUND($BK228/$BJ228,0)-$BK228))</f>
        <v>ENTER VALID YIELD!</v>
      </c>
      <c r="BM228" s="73" t="n">
        <f aca="false">IF(SUM($G228)&lt;=0,"",$G228)</f>
        <v>55</v>
      </c>
      <c r="BN228" s="73" t="n">
        <f aca="false">IF(SUM($G228)&lt;=0,"",SUM($I228:$L228,$Q228,$S228,$AM228,$AP228,$AS228,$AV228,$AY228,$BB228,$BE228,$BH228,$BK228))</f>
        <v>10347</v>
      </c>
      <c r="BO228" s="73" t="n">
        <f aca="false">IF(AND(SUM($BN228)&lt;=0,SUM($BM228)&lt;=0),"",SUM($BN228)-SUM($BM228))</f>
        <v>10292</v>
      </c>
      <c r="BP228" s="73" t="str">
        <f aca="false">_xlfn.IFNA(INDEX(PMTCT!$AF:$AF,MATCH($E228,PMTCT!$E:$E,0)),"")</f>
        <v/>
      </c>
      <c r="BQ228" s="73" t="str">
        <f aca="false">_xlfn.IFNA(INDEX(PMTCT!$AV:$AV,MATCH($E228,PMTCT!$E:$E,0)),"")</f>
        <v/>
      </c>
      <c r="BR228" s="73" t="n">
        <f aca="false">_xlfn.IFNA(INDEX(TB!$R:$R,MATCH($E228,TB!$E:$E,0)),"")</f>
        <v>2040</v>
      </c>
      <c r="BS228" s="73" t="str">
        <f aca="false">_xlfn.IFNA(INDEX(VMMC!$AD:$AD,MATCH($E228,VMMC!$E:$E,0)),"")</f>
        <v/>
      </c>
      <c r="BT228" s="73" t="n">
        <f aca="false">IF(SUM($R228,$T228,$AN228,$AQ228,$AT228,$AW228,$AZ228,$BC228,$BF228,$BI228,$BL228,$BP228:$BS228)=0,"",SUM($R228,$T228,$AN228,$AQ228,$AT228,$AW228,$AZ228,$BC228,$BF228,$BI228,$BL228,$BP228:$BS228))</f>
        <v>542</v>
      </c>
      <c r="BU228" s="73" t="n">
        <f aca="false">IF(OR(SUM($BT228)=0,SUM($BN228)=0),"",SUM($BT228,$BN228))</f>
        <v>10889</v>
      </c>
      <c r="BV228" s="118" t="n">
        <f aca="false">IF(SUM($BU228)=0,"",SUM($BN228)/$BU228)</f>
        <v>0.950224997704105</v>
      </c>
      <c r="BW228" s="73"/>
      <c r="BX228" s="118" t="n">
        <f aca="false">IF(OR($C228="01-04",$C228="05-09"),"",0%)</f>
        <v>0</v>
      </c>
      <c r="BY228" s="75" t="str">
        <f aca="false">IF(OR($C228="01-04",$C228="05-09",SUM($BW228)=0),"",ROUND($BW228*(1+$BX228),0))</f>
        <v/>
      </c>
    </row>
    <row r="229" customFormat="false" ht="15" hidden="false" customHeight="false" outlineLevel="0" collapsed="false">
      <c r="A229" s="0" t="s">
        <v>150</v>
      </c>
      <c r="B229" s="0" t="s">
        <v>117</v>
      </c>
      <c r="C229" s="0" t="s">
        <v>77</v>
      </c>
      <c r="D229" s="0" t="s">
        <v>56</v>
      </c>
      <c r="E229" s="0" t="str">
        <f aca="false">B229&amp;"|"&amp;C229&amp;"|"&amp;D229</f>
        <v>Quthing [#SNU] [HuwCoDZG0FY]|40-44|Female</v>
      </c>
      <c r="F229" s="118" t="n">
        <f aca="false">_xlfn.IFNA(INDEX(Cascade!$Y:$Y,MATCH($E229,Cascade!$E:$E,0)),"")</f>
        <v>0.758389261744966</v>
      </c>
      <c r="G229" s="73" t="n">
        <f aca="false">_xlfn.IFNA(INDEX(Cascade!$BD:$BD,MATCH($E229,Cascade!$E:$E,0)),"")</f>
        <v>4</v>
      </c>
      <c r="H229" s="73" t="n">
        <f aca="false">_xlfn.IFNA(INDEX(Cascade!$BE:$BE,MATCH($E229,Cascade!$E:$E,0)),"")</f>
        <v>2</v>
      </c>
      <c r="I229" s="73" t="n">
        <f aca="false">_xlfn.IFNA(INDEX(Cascade!$BF:$BF,MATCH($E229,Cascade!$E:$E,0)),"")</f>
        <v>-14742</v>
      </c>
      <c r="J229" s="73" t="str">
        <f aca="false">_xlfn.IFNA(INDEX(Cascade!$BG:$BG,MATCH($E229,Cascade!$E:$E,0)),"")</f>
        <v/>
      </c>
      <c r="K229" s="73" t="n">
        <f aca="false">_xlfn.IFNA(INDEX(Cascade!$BH:$BH,MATCH($E229,Cascade!$E:$E,0)),"")</f>
        <v>-11466</v>
      </c>
      <c r="L229" s="73" t="str">
        <f aca="false">_xlfn.IFNA(INDEX(Cascade!$BI:$BI,MATCH($E229,Cascade!$E:$E,0)),"")</f>
        <v/>
      </c>
      <c r="M229" s="73" t="n">
        <f aca="false">_xlfn.IFNA(INDEX(Cascade!$BK:$BK,MATCH($E229,Cascade!$E:$E,0)),"")</f>
        <v>26210</v>
      </c>
      <c r="N229" s="118" t="n">
        <v>23</v>
      </c>
      <c r="O229" s="118"/>
      <c r="P229" s="118" t="n">
        <v>48</v>
      </c>
      <c r="Q229" s="75" t="str">
        <f aca="false">IF(OR(SUM($H229)=0,SUM($N229)=0,SUM($O229)=0),"",ROUND($H229*$N229,0))</f>
        <v/>
      </c>
      <c r="R229" s="75" t="str">
        <f aca="false">IF(OR(SUM($Q229)=0,SUM($O229)=0),"",ROUND(SUM($Q229)/SUM($O229),0)-SUM($Q229))</f>
        <v/>
      </c>
      <c r="S229" s="75" t="n">
        <f aca="false">IF(SUM($H229)=0,"",SUM($H229)-SUM($Q229))</f>
        <v>2</v>
      </c>
      <c r="T229" s="75" t="str">
        <f aca="false">IF(OR(SUM($S229)=0,$N229&gt;1,SUM($P229)&lt;=0),"",ROUND($S229/$P229,0)-$S229)</f>
        <v/>
      </c>
      <c r="U229" s="118" t="n">
        <f aca="false">IF(SUM($G229)&lt;=0,"",SUM($Q229,$S229)/$G229)</f>
        <v>0.5</v>
      </c>
      <c r="V229" s="118" t="str">
        <f aca="false">IF(OR(SUM($Q229)=0,SUM($G229)=0),"",SUM($Q229)/SUM($G229))</f>
        <v/>
      </c>
      <c r="W229" s="118" t="n">
        <f aca="false">IF(OR(SUM($S229)=0,SUM($G229)=0),"",SUM($S229)/SUM($G229))</f>
        <v>0.5</v>
      </c>
      <c r="X229" s="118" t="n">
        <f aca="false">IF(OR(SUM($G229)=0,SUM($I229)=0),"",SUM($I229)/SUM($G229))</f>
        <v>-3685.5</v>
      </c>
      <c r="Y229" s="118" t="str">
        <f aca="false">IF(OR(SUM($G229)=0,SUM($J229)=0),"",SUM($J229)/SUM($G229))</f>
        <v/>
      </c>
      <c r="Z229" s="118" t="n">
        <f aca="false">IF(OR(SUM($G229)=0,SUM($K229)=0),"",SUM($K229)/SUM($G229))</f>
        <v>-2866.5</v>
      </c>
      <c r="AA229" s="118" t="str">
        <f aca="false">IF(OR(SUM($G229)=0,SUM($L229)=0),"",SUM($L229)/SUM($G229))</f>
        <v/>
      </c>
      <c r="AB229" s="118" t="n">
        <v>38</v>
      </c>
      <c r="AC229" s="118"/>
      <c r="AD229" s="118"/>
      <c r="AE229" s="118" t="n">
        <v>25</v>
      </c>
      <c r="AF229" s="118" t="n">
        <v>45</v>
      </c>
      <c r="AG229" s="118" t="n">
        <v>27</v>
      </c>
      <c r="AH229" s="118" t="n">
        <v>8</v>
      </c>
      <c r="AI229" s="118" t="n">
        <v>20</v>
      </c>
      <c r="AJ229" s="118" t="n">
        <v>15</v>
      </c>
      <c r="AK229" s="118" t="n">
        <f aca="false">IF(SUM($G229)&lt;=0,"",SUM($V229:$AJ229))</f>
        <v>-6373.5</v>
      </c>
      <c r="AL229" s="118" t="n">
        <v>20</v>
      </c>
      <c r="AM229" s="75" t="n">
        <f aca="false">IF(OR(SUM($AB229)&lt;=0,SUM($G229)&lt;=0),"",ROUND($G229*$AB229,0))</f>
        <v>152</v>
      </c>
      <c r="AN229" s="75" t="n">
        <f aca="false">IF(SUM($AM229)&lt;=0,"",IF(SUM($AL229)&lt;=0,"ENTER VALID YIELD!",ROUND($AM229/$AL229,0)-$AM229))</f>
        <v>-144</v>
      </c>
      <c r="AO229" s="118"/>
      <c r="AP229" s="75" t="str">
        <f aca="false">IF(OR(SUM($AC229)&lt;=0,SUM($G229)&lt;=0),"",ROUND($G229*$AC229,0))</f>
        <v/>
      </c>
      <c r="AQ229" s="75" t="str">
        <f aca="false">IF(SUM($AP229)&lt;=0,"",IF(SUM($AO229)&lt;=0,"ENTER VALID YIELD!",ROUND($AP229/$AO229,0)-$AP229))</f>
        <v/>
      </c>
      <c r="AR229" s="118"/>
      <c r="AS229" s="75" t="str">
        <f aca="false">IF(OR(SUM($AD229)&lt;=0,SUM($G229)&lt;=0),"",ROUND($G229*$AD229,0))</f>
        <v/>
      </c>
      <c r="AT229" s="75" t="str">
        <f aca="false">IF(SUM($AS229)&lt;=0,"",IF(SUM($AR229)&lt;=0,"ENTER VALID YIELD!",ROUND($AS229/$AR229,0)-$AS229))</f>
        <v/>
      </c>
      <c r="AU229" s="118"/>
      <c r="AV229" s="75" t="n">
        <f aca="false">IF(OR(SUM($AE229)&lt;=0,SUM($G229)&lt;=0),"",ROUND($G229*$AE229,0))</f>
        <v>100</v>
      </c>
      <c r="AW229" s="75" t="str">
        <f aca="false">IF(SUM($AV229)&lt;=0,"",IF(SUM($AU229)&lt;=0,"ENTER VALID YIELD!",ROUND($AV229/$AU229,0)-$AV229))</f>
        <v>ENTER VALID YIELD!</v>
      </c>
      <c r="AX229" s="118"/>
      <c r="AY229" s="75" t="n">
        <f aca="false">IF(OR(SUM($AF229)&lt;=0,SUM($G229)&lt;=0),"",ROUND($G229*$AF229,0))</f>
        <v>180</v>
      </c>
      <c r="AZ229" s="75" t="str">
        <f aca="false">IF(SUM($AY229)&lt;=0,"",IF(SUM($AX229)&lt;=0,"ENTER VALID YIELD!",ROUND($AY229/$AX229,0)-$AY229))</f>
        <v>ENTER VALID YIELD!</v>
      </c>
      <c r="BA229" s="118" t="n">
        <v>3</v>
      </c>
      <c r="BB229" s="75" t="n">
        <f aca="false">IF(OR(SUM($AG229)&lt;=0,SUM($G229)&lt;=0),"",ROUND($G229*$AG229,0))</f>
        <v>108</v>
      </c>
      <c r="BC229" s="75" t="n">
        <f aca="false">IF(SUM($BB229)&lt;=0,"",IF(SUM($BA229)&lt;=0,"ENTER VALID YIELD!",ROUND($BB229/$BA229,0)-$BB229))</f>
        <v>-72</v>
      </c>
      <c r="BD229" s="118"/>
      <c r="BE229" s="75" t="n">
        <f aca="false">IF(OR(SUM($AH229)&lt;=0,SUM($G229)&lt;=0),"",ROUND($G229*$AH229,0))</f>
        <v>32</v>
      </c>
      <c r="BF229" s="75" t="str">
        <f aca="false">IF(SUM($BE229)&lt;=0,"",IF(SUM($BD229)&lt;=0,"ENTER VALID YIELD!",ROUND($BE229/$BD229,0)-$BE229))</f>
        <v>ENTER VALID YIELD!</v>
      </c>
      <c r="BG229" s="118"/>
      <c r="BH229" s="75" t="n">
        <f aca="false">IF(OR(SUM($AI229)&lt;=0,SUM($G229)&lt;=0),"",ROUND($G229*$AI229,0))</f>
        <v>80</v>
      </c>
      <c r="BI229" s="75" t="str">
        <f aca="false">IF(SUM($BH229)&lt;=0,"",IF(SUM($BG229)&lt;=0,"ENTER VALID YIELD!",ROUND($BH229/$BG229,0)-$BH229))</f>
        <v>ENTER VALID YIELD!</v>
      </c>
      <c r="BJ229" s="118"/>
      <c r="BK229" s="75" t="n">
        <f aca="false">IF(OR(SUM($AJ229)&lt;=0,SUM($G229)&lt;=0),"",ROUND($G229*$AJ229,0))</f>
        <v>60</v>
      </c>
      <c r="BL229" s="75" t="str">
        <f aca="false">IF(SUM($BK229)&lt;=0,"",IF(SUM($BJ229)&lt;=0,"ENTER VALID YIELD!",ROUND($BK229/$BJ229,0)-$BK229))</f>
        <v>ENTER VALID YIELD!</v>
      </c>
      <c r="BM229" s="73" t="n">
        <f aca="false">IF(SUM($G229)&lt;=0,"",$G229)</f>
        <v>4</v>
      </c>
      <c r="BN229" s="73" t="n">
        <f aca="false">IF(SUM($G229)&lt;=0,"",SUM($I229:$L229,$Q229,$S229,$AM229,$AP229,$AS229,$AV229,$AY229,$BB229,$BE229,$BH229,$BK229))</f>
        <v>-25494</v>
      </c>
      <c r="BO229" s="73" t="n">
        <f aca="false">IF(AND(SUM($BN229)&lt;=0,SUM($BM229)&lt;=0),"",SUM($BN229)-SUM($BM229))</f>
        <v>-25498</v>
      </c>
      <c r="BP229" s="73" t="n">
        <f aca="false">_xlfn.IFNA(INDEX(PMTCT!$AF:$AF,MATCH($E229,PMTCT!$E:$E,0)),"")</f>
        <v>14040</v>
      </c>
      <c r="BQ229" s="73" t="str">
        <f aca="false">_xlfn.IFNA(INDEX(PMTCT!$AV:$AV,MATCH($E229,PMTCT!$E:$E,0)),"")</f>
        <v/>
      </c>
      <c r="BR229" s="73" t="n">
        <f aca="false">_xlfn.IFNA(INDEX(TB!$R:$R,MATCH($E229,TB!$E:$E,0)),"")</f>
        <v>11025</v>
      </c>
      <c r="BS229" s="73" t="str">
        <f aca="false">_xlfn.IFNA(INDEX(VMMC!$AD:$AD,MATCH($E229,VMMC!$E:$E,0)),"")</f>
        <v/>
      </c>
      <c r="BT229" s="73" t="n">
        <f aca="false">IF(SUM($R229,$T229,$AN229,$AQ229,$AT229,$AW229,$AZ229,$BC229,$BF229,$BI229,$BL229,$BP229:$BS229)=0,"",SUM($R229,$T229,$AN229,$AQ229,$AT229,$AW229,$AZ229,$BC229,$BF229,$BI229,$BL229,$BP229:$BS229))</f>
        <v>24849</v>
      </c>
      <c r="BU229" s="73" t="n">
        <f aca="false">IF(OR(SUM($BT229)=0,SUM($BN229)=0),"",SUM($BT229,$BN229))</f>
        <v>-645</v>
      </c>
      <c r="BV229" s="118" t="n">
        <f aca="false">IF(SUM($BU229)=0,"",SUM($BN229)/$BU229)</f>
        <v>39.5255813953488</v>
      </c>
      <c r="BW229" s="73"/>
      <c r="BX229" s="118" t="n">
        <f aca="false">IF(OR($C229="01-04",$C229="05-09"),"",0%)</f>
        <v>0</v>
      </c>
      <c r="BY229" s="75" t="str">
        <f aca="false">IF(OR($C229="01-04",$C229="05-09",SUM($BW229)=0),"",ROUND($BW229*(1+$BX229),0))</f>
        <v/>
      </c>
    </row>
    <row r="230" customFormat="false" ht="15" hidden="false" customHeight="false" outlineLevel="0" collapsed="false">
      <c r="A230" s="0" t="s">
        <v>150</v>
      </c>
      <c r="B230" s="0" t="s">
        <v>117</v>
      </c>
      <c r="C230" s="0" t="s">
        <v>77</v>
      </c>
      <c r="D230" s="0" t="s">
        <v>58</v>
      </c>
      <c r="E230" s="0" t="str">
        <f aca="false">B230&amp;"|"&amp;C230&amp;"|"&amp;D230</f>
        <v>Quthing [#SNU] [HuwCoDZG0FY]|40-44|Male</v>
      </c>
      <c r="F230" s="118" t="n">
        <f aca="false">_xlfn.IFNA(INDEX(Cascade!$Y:$Y,MATCH($E230,Cascade!$E:$E,0)),"")</f>
        <v>0.553088803088803</v>
      </c>
      <c r="G230" s="73" t="str">
        <f aca="false">_xlfn.IFNA(INDEX(Cascade!$BD:$BD,MATCH($E230,Cascade!$E:$E,0)),"")</f>
        <v/>
      </c>
      <c r="H230" s="73" t="str">
        <f aca="false">_xlfn.IFNA(INDEX(Cascade!$BE:$BE,MATCH($E230,Cascade!$E:$E,0)),"")</f>
        <v/>
      </c>
      <c r="I230" s="73" t="str">
        <f aca="false">_xlfn.IFNA(INDEX(Cascade!$BF:$BF,MATCH($E230,Cascade!$E:$E,0)),"")</f>
        <v/>
      </c>
      <c r="J230" s="73" t="str">
        <f aca="false">_xlfn.IFNA(INDEX(Cascade!$BG:$BG,MATCH($E230,Cascade!$E:$E,0)),"")</f>
        <v/>
      </c>
      <c r="K230" s="73" t="n">
        <f aca="false">_xlfn.IFNA(INDEX(Cascade!$BH:$BH,MATCH($E230,Cascade!$E:$E,0)),"")</f>
        <v>-3388</v>
      </c>
      <c r="L230" s="73" t="str">
        <f aca="false">_xlfn.IFNA(INDEX(Cascade!$BI:$BI,MATCH($E230,Cascade!$E:$E,0)),"")</f>
        <v/>
      </c>
      <c r="M230" s="73" t="str">
        <f aca="false">_xlfn.IFNA(INDEX(Cascade!$BK:$BK,MATCH($E230,Cascade!$E:$E,0)),"")</f>
        <v/>
      </c>
      <c r="N230" s="118" t="n">
        <v>41</v>
      </c>
      <c r="O230" s="118"/>
      <c r="P230" s="118" t="n">
        <v>28</v>
      </c>
      <c r="Q230" s="75" t="str">
        <f aca="false">IF(OR(SUM($H230)=0,SUM($N230)=0,SUM($O230)=0),"",ROUND($H230*$N230,0))</f>
        <v/>
      </c>
      <c r="R230" s="75" t="str">
        <f aca="false">IF(OR(SUM($Q230)=0,SUM($O230)=0),"",ROUND(SUM($Q230)/SUM($O230),0)-SUM($Q230))</f>
        <v/>
      </c>
      <c r="S230" s="75" t="str">
        <f aca="false">IF(SUM($H230)=0,"",SUM($H230)-SUM($Q230))</f>
        <v/>
      </c>
      <c r="T230" s="75" t="str">
        <f aca="false">IF(OR(SUM($S230)=0,$N230&gt;1,SUM($P230)&lt;=0),"",ROUND($S230/$P230,0)-$S230)</f>
        <v/>
      </c>
      <c r="U230" s="118" t="str">
        <f aca="false">IF(SUM($G230)&lt;=0,"",SUM($Q230,$S230)/$G230)</f>
        <v/>
      </c>
      <c r="V230" s="118" t="str">
        <f aca="false">IF(OR(SUM($Q230)=0,SUM($G230)=0),"",SUM($Q230)/SUM($G230))</f>
        <v/>
      </c>
      <c r="W230" s="118" t="str">
        <f aca="false">IF(OR(SUM($S230)=0,SUM($G230)=0),"",SUM($S230)/SUM($G230))</f>
        <v/>
      </c>
      <c r="X230" s="118" t="str">
        <f aca="false">IF(OR(SUM($G230)=0,SUM($I230)=0),"",SUM($I230)/SUM($G230))</f>
        <v/>
      </c>
      <c r="Y230" s="118" t="str">
        <f aca="false">IF(OR(SUM($G230)=0,SUM($J230)=0),"",SUM($J230)/SUM($G230))</f>
        <v/>
      </c>
      <c r="Z230" s="118" t="str">
        <f aca="false">IF(OR(SUM($G230)=0,SUM($K230)=0),"",SUM($K230)/SUM($G230))</f>
        <v/>
      </c>
      <c r="AA230" s="118" t="str">
        <f aca="false">IF(OR(SUM($G230)=0,SUM($L230)=0),"",SUM($L230)/SUM($G230))</f>
        <v/>
      </c>
      <c r="AB230" s="118" t="n">
        <v>35</v>
      </c>
      <c r="AC230" s="118"/>
      <c r="AD230" s="118"/>
      <c r="AE230" s="118" t="n">
        <v>30</v>
      </c>
      <c r="AF230" s="118" t="n">
        <v>34</v>
      </c>
      <c r="AG230" s="118" t="n">
        <v>26</v>
      </c>
      <c r="AH230" s="118" t="n">
        <v>33</v>
      </c>
      <c r="AI230" s="118" t="n">
        <v>45</v>
      </c>
      <c r="AJ230" s="118" t="n">
        <v>24</v>
      </c>
      <c r="AK230" s="118" t="str">
        <f aca="false">IF(SUM($G230)&lt;=0,"",SUM($V230:$AJ230))</f>
        <v/>
      </c>
      <c r="AL230" s="118" t="n">
        <v>29</v>
      </c>
      <c r="AM230" s="75" t="str">
        <f aca="false">IF(OR(SUM($AB230)&lt;=0,SUM($G230)&lt;=0),"",ROUND($G230*$AB230,0))</f>
        <v/>
      </c>
      <c r="AN230" s="75" t="str">
        <f aca="false">IF(SUM($AM230)&lt;=0,"",IF(SUM($AL230)&lt;=0,"ENTER VALID YIELD!",ROUND($AM230/$AL230,0)-$AM230))</f>
        <v/>
      </c>
      <c r="AO230" s="118"/>
      <c r="AP230" s="75" t="str">
        <f aca="false">IF(OR(SUM($AC230)&lt;=0,SUM($G230)&lt;=0),"",ROUND($G230*$AC230,0))</f>
        <v/>
      </c>
      <c r="AQ230" s="75" t="str">
        <f aca="false">IF(SUM($AP230)&lt;=0,"",IF(SUM($AO230)&lt;=0,"ENTER VALID YIELD!",ROUND($AP230/$AO230,0)-$AP230))</f>
        <v/>
      </c>
      <c r="AR230" s="118"/>
      <c r="AS230" s="75" t="str">
        <f aca="false">IF(OR(SUM($AD230)&lt;=0,SUM($G230)&lt;=0),"",ROUND($G230*$AD230,0))</f>
        <v/>
      </c>
      <c r="AT230" s="75" t="str">
        <f aca="false">IF(SUM($AS230)&lt;=0,"",IF(SUM($AR230)&lt;=0,"ENTER VALID YIELD!",ROUND($AS230/$AR230,0)-$AS230))</f>
        <v/>
      </c>
      <c r="AU230" s="118"/>
      <c r="AV230" s="75" t="str">
        <f aca="false">IF(OR(SUM($AE230)&lt;=0,SUM($G230)&lt;=0),"",ROUND($G230*$AE230,0))</f>
        <v/>
      </c>
      <c r="AW230" s="75" t="str">
        <f aca="false">IF(SUM($AV230)&lt;=0,"",IF(SUM($AU230)&lt;=0,"ENTER VALID YIELD!",ROUND($AV230/$AU230,0)-$AV230))</f>
        <v/>
      </c>
      <c r="AX230" s="118"/>
      <c r="AY230" s="75" t="str">
        <f aca="false">IF(OR(SUM($AF230)&lt;=0,SUM($G230)&lt;=0),"",ROUND($G230*$AF230,0))</f>
        <v/>
      </c>
      <c r="AZ230" s="75" t="str">
        <f aca="false">IF(SUM($AY230)&lt;=0,"",IF(SUM($AX230)&lt;=0,"ENTER VALID YIELD!",ROUND($AY230/$AX230,0)-$AY230))</f>
        <v/>
      </c>
      <c r="BA230" s="118" t="n">
        <v>46</v>
      </c>
      <c r="BB230" s="75" t="str">
        <f aca="false">IF(OR(SUM($AG230)&lt;=0,SUM($G230)&lt;=0),"",ROUND($G230*$AG230,0))</f>
        <v/>
      </c>
      <c r="BC230" s="75" t="str">
        <f aca="false">IF(SUM($BB230)&lt;=0,"",IF(SUM($BA230)&lt;=0,"ENTER VALID YIELD!",ROUND($BB230/$BA230,0)-$BB230))</f>
        <v/>
      </c>
      <c r="BD230" s="118"/>
      <c r="BE230" s="75" t="str">
        <f aca="false">IF(OR(SUM($AH230)&lt;=0,SUM($G230)&lt;=0),"",ROUND($G230*$AH230,0))</f>
        <v/>
      </c>
      <c r="BF230" s="75" t="str">
        <f aca="false">IF(SUM($BE230)&lt;=0,"",IF(SUM($BD230)&lt;=0,"ENTER VALID YIELD!",ROUND($BE230/$BD230,0)-$BE230))</f>
        <v/>
      </c>
      <c r="BG230" s="118"/>
      <c r="BH230" s="75" t="str">
        <f aca="false">IF(OR(SUM($AI230)&lt;=0,SUM($G230)&lt;=0),"",ROUND($G230*$AI230,0))</f>
        <v/>
      </c>
      <c r="BI230" s="75" t="str">
        <f aca="false">IF(SUM($BH230)&lt;=0,"",IF(SUM($BG230)&lt;=0,"ENTER VALID YIELD!",ROUND($BH230/$BG230,0)-$BH230))</f>
        <v/>
      </c>
      <c r="BJ230" s="118"/>
      <c r="BK230" s="75" t="str">
        <f aca="false">IF(OR(SUM($AJ230)&lt;=0,SUM($G230)&lt;=0),"",ROUND($G230*$AJ230,0))</f>
        <v/>
      </c>
      <c r="BL230" s="75" t="str">
        <f aca="false">IF(SUM($BK230)&lt;=0,"",IF(SUM($BJ230)&lt;=0,"ENTER VALID YIELD!",ROUND($BK230/$BJ230,0)-$BK230))</f>
        <v/>
      </c>
      <c r="BM230" s="73" t="str">
        <f aca="false">IF(SUM($G230)&lt;=0,"",$G230)</f>
        <v/>
      </c>
      <c r="BN230" s="73" t="str">
        <f aca="false">IF(SUM($G230)&lt;=0,"",SUM($I230:$L230,$Q230,$S230,$AM230,$AP230,$AS230,$AV230,$AY230,$BB230,$BE230,$BH230,$BK230))</f>
        <v/>
      </c>
      <c r="BO230" s="73" t="str">
        <f aca="false">IF(AND(SUM($BN230)&lt;=0,SUM($BM230)&lt;=0),"",SUM($BN230)-SUM($BM230))</f>
        <v/>
      </c>
      <c r="BP230" s="73" t="str">
        <f aca="false">_xlfn.IFNA(INDEX(PMTCT!$AF:$AF,MATCH($E230,PMTCT!$E:$E,0)),"")</f>
        <v/>
      </c>
      <c r="BQ230" s="73" t="str">
        <f aca="false">_xlfn.IFNA(INDEX(PMTCT!$AV:$AV,MATCH($E230,PMTCT!$E:$E,0)),"")</f>
        <v/>
      </c>
      <c r="BR230" s="73" t="n">
        <f aca="false">_xlfn.IFNA(INDEX(TB!$R:$R,MATCH($E230,TB!$E:$E,0)),"")</f>
        <v>3146</v>
      </c>
      <c r="BS230" s="73" t="str">
        <f aca="false">_xlfn.IFNA(INDEX(VMMC!$AD:$AD,MATCH($E230,VMMC!$E:$E,0)),"")</f>
        <v/>
      </c>
      <c r="BT230" s="73" t="n">
        <f aca="false">IF(SUM($R230,$T230,$AN230,$AQ230,$AT230,$AW230,$AZ230,$BC230,$BF230,$BI230,$BL230,$BP230:$BS230)=0,"",SUM($R230,$T230,$AN230,$AQ230,$AT230,$AW230,$AZ230,$BC230,$BF230,$BI230,$BL230,$BP230:$BS230))</f>
        <v>3146</v>
      </c>
      <c r="BU230" s="73" t="str">
        <f aca="false">IF(OR(SUM($BT230)=0,SUM($BN230)=0),"",SUM($BT230,$BN230))</f>
        <v/>
      </c>
      <c r="BV230" s="118" t="str">
        <f aca="false">IF(SUM($BU230)=0,"",SUM($BN230)/$BU230)</f>
        <v/>
      </c>
      <c r="BW230" s="73"/>
      <c r="BX230" s="118" t="n">
        <f aca="false">IF(OR($C230="01-04",$C230="05-09"),"",0%)</f>
        <v>0</v>
      </c>
      <c r="BY230" s="75" t="str">
        <f aca="false">IF(OR($C230="01-04",$C230="05-09",SUM($BW230)=0),"",ROUND($BW230*(1+$BX230),0))</f>
        <v/>
      </c>
    </row>
    <row r="231" customFormat="false" ht="15" hidden="false" customHeight="false" outlineLevel="0" collapsed="false">
      <c r="A231" s="0" t="s">
        <v>150</v>
      </c>
      <c r="B231" s="0" t="s">
        <v>117</v>
      </c>
      <c r="C231" s="0" t="s">
        <v>80</v>
      </c>
      <c r="D231" s="0" t="s">
        <v>56</v>
      </c>
      <c r="E231" s="0" t="str">
        <f aca="false">B231&amp;"|"&amp;C231&amp;"|"&amp;D231</f>
        <v>Quthing [#SNU] [HuwCoDZG0FY]|45-49|Female</v>
      </c>
      <c r="F231" s="118" t="n">
        <f aca="false">_xlfn.IFNA(INDEX(Cascade!$Y:$Y,MATCH($E231,Cascade!$E:$E,0)),"")</f>
        <v>0.853871319520174</v>
      </c>
      <c r="G231" s="73" t="n">
        <f aca="false">_xlfn.IFNA(INDEX(Cascade!$BD:$BD,MATCH($E231,Cascade!$E:$E,0)),"")</f>
        <v>3</v>
      </c>
      <c r="H231" s="73" t="n">
        <f aca="false">_xlfn.IFNA(INDEX(Cascade!$BE:$BE,MATCH($E231,Cascade!$E:$E,0)),"")</f>
        <v>2</v>
      </c>
      <c r="I231" s="73" t="n">
        <f aca="false">_xlfn.IFNA(INDEX(Cascade!$BF:$BF,MATCH($E231,Cascade!$E:$E,0)),"")</f>
        <v>-0</v>
      </c>
      <c r="J231" s="73" t="str">
        <f aca="false">_xlfn.IFNA(INDEX(Cascade!$BG:$BG,MATCH($E231,Cascade!$E:$E,0)),"")</f>
        <v/>
      </c>
      <c r="K231" s="73" t="n">
        <f aca="false">_xlfn.IFNA(INDEX(Cascade!$BH:$BH,MATCH($E231,Cascade!$E:$E,0)),"")</f>
        <v>-550</v>
      </c>
      <c r="L231" s="73" t="str">
        <f aca="false">_xlfn.IFNA(INDEX(Cascade!$BI:$BI,MATCH($E231,Cascade!$E:$E,0)),"")</f>
        <v/>
      </c>
      <c r="M231" s="73" t="n">
        <f aca="false">_xlfn.IFNA(INDEX(Cascade!$BK:$BK,MATCH($E231,Cascade!$E:$E,0)),"")</f>
        <v>551</v>
      </c>
      <c r="N231" s="118"/>
      <c r="O231" s="118"/>
      <c r="P231" s="118"/>
      <c r="Q231" s="75" t="str">
        <f aca="false">IF(OR(SUM($H231)=0,SUM($N231)=0,SUM($O231)=0),"",ROUND($H231*$N231,0))</f>
        <v/>
      </c>
      <c r="R231" s="75" t="str">
        <f aca="false">IF(OR(SUM($Q231)=0,SUM($O231)=0),"",ROUND(SUM($Q231)/SUM($O231),0)-SUM($Q231))</f>
        <v/>
      </c>
      <c r="S231" s="75" t="n">
        <f aca="false">IF(SUM($H231)=0,"",SUM($H231)-SUM($Q231))</f>
        <v>2</v>
      </c>
      <c r="T231" s="75" t="str">
        <f aca="false">IF(OR(SUM($S231)=0,$N231&gt;1,SUM($P231)&lt;=0),"",ROUND($S231/$P231,0)-$S231)</f>
        <v/>
      </c>
      <c r="U231" s="118" t="n">
        <f aca="false">IF(SUM($G231)&lt;=0,"",SUM($Q231,$S231)/$G231)</f>
        <v>0.666666666666667</v>
      </c>
      <c r="V231" s="118" t="str">
        <f aca="false">IF(OR(SUM($Q231)=0,SUM($G231)=0),"",SUM($Q231)/SUM($G231))</f>
        <v/>
      </c>
      <c r="W231" s="118" t="n">
        <f aca="false">IF(OR(SUM($S231)=0,SUM($G231)=0),"",SUM($S231)/SUM($G231))</f>
        <v>0.666666666666667</v>
      </c>
      <c r="X231" s="118" t="str">
        <f aca="false">IF(OR(SUM($G231)=0,SUM($I231)=0),"",SUM($I231)/SUM($G231))</f>
        <v/>
      </c>
      <c r="Y231" s="118" t="str">
        <f aca="false">IF(OR(SUM($G231)=0,SUM($J231)=0),"",SUM($J231)/SUM($G231))</f>
        <v/>
      </c>
      <c r="Z231" s="118" t="n">
        <f aca="false">IF(OR(SUM($G231)=0,SUM($K231)=0),"",SUM($K231)/SUM($G231))</f>
        <v>-183.333333333333</v>
      </c>
      <c r="AA231" s="118" t="str">
        <f aca="false">IF(OR(SUM($G231)=0,SUM($L231)=0),"",SUM($L231)/SUM($G231))</f>
        <v/>
      </c>
      <c r="AB231" s="118" t="n">
        <v>18</v>
      </c>
      <c r="AC231" s="118"/>
      <c r="AD231" s="118"/>
      <c r="AE231" s="118" t="n">
        <v>34</v>
      </c>
      <c r="AF231" s="118" t="n">
        <v>42</v>
      </c>
      <c r="AG231" s="118" t="n">
        <v>1</v>
      </c>
      <c r="AH231" s="118" t="n">
        <v>0</v>
      </c>
      <c r="AI231" s="118" t="n">
        <v>12</v>
      </c>
      <c r="AJ231" s="118" t="n">
        <v>15</v>
      </c>
      <c r="AK231" s="118" t="n">
        <f aca="false">IF(SUM($G231)&lt;=0,"",SUM($V231:$AJ231))</f>
        <v>-60.6666666666667</v>
      </c>
      <c r="AL231" s="118" t="n">
        <v>19</v>
      </c>
      <c r="AM231" s="75" t="n">
        <f aca="false">IF(OR(SUM($AB231)&lt;=0,SUM($G231)&lt;=0),"",ROUND($G231*$AB231,0))</f>
        <v>54</v>
      </c>
      <c r="AN231" s="75" t="n">
        <f aca="false">IF(SUM($AM231)&lt;=0,"",IF(SUM($AL231)&lt;=0,"ENTER VALID YIELD!",ROUND($AM231/$AL231,0)-$AM231))</f>
        <v>-51</v>
      </c>
      <c r="AO231" s="118"/>
      <c r="AP231" s="75" t="str">
        <f aca="false">IF(OR(SUM($AC231)&lt;=0,SUM($G231)&lt;=0),"",ROUND($G231*$AC231,0))</f>
        <v/>
      </c>
      <c r="AQ231" s="75" t="str">
        <f aca="false">IF(SUM($AP231)&lt;=0,"",IF(SUM($AO231)&lt;=0,"ENTER VALID YIELD!",ROUND($AP231/$AO231,0)-$AP231))</f>
        <v/>
      </c>
      <c r="AR231" s="118"/>
      <c r="AS231" s="75" t="str">
        <f aca="false">IF(OR(SUM($AD231)&lt;=0,SUM($G231)&lt;=0),"",ROUND($G231*$AD231,0))</f>
        <v/>
      </c>
      <c r="AT231" s="75" t="str">
        <f aca="false">IF(SUM($AS231)&lt;=0,"",IF(SUM($AR231)&lt;=0,"ENTER VALID YIELD!",ROUND($AS231/$AR231,0)-$AS231))</f>
        <v/>
      </c>
      <c r="AU231" s="118"/>
      <c r="AV231" s="75" t="n">
        <f aca="false">IF(OR(SUM($AE231)&lt;=0,SUM($G231)&lt;=0),"",ROUND($G231*$AE231,0))</f>
        <v>102</v>
      </c>
      <c r="AW231" s="75" t="str">
        <f aca="false">IF(SUM($AV231)&lt;=0,"",IF(SUM($AU231)&lt;=0,"ENTER VALID YIELD!",ROUND($AV231/$AU231,0)-$AV231))</f>
        <v>ENTER VALID YIELD!</v>
      </c>
      <c r="AX231" s="118"/>
      <c r="AY231" s="75" t="n">
        <f aca="false">IF(OR(SUM($AF231)&lt;=0,SUM($G231)&lt;=0),"",ROUND($G231*$AF231,0))</f>
        <v>126</v>
      </c>
      <c r="AZ231" s="75" t="str">
        <f aca="false">IF(SUM($AY231)&lt;=0,"",IF(SUM($AX231)&lt;=0,"ENTER VALID YIELD!",ROUND($AY231/$AX231,0)-$AY231))</f>
        <v>ENTER VALID YIELD!</v>
      </c>
      <c r="BA231" s="118" t="n">
        <v>1</v>
      </c>
      <c r="BB231" s="75" t="n">
        <f aca="false">IF(OR(SUM($AG231)&lt;=0,SUM($G231)&lt;=0),"",ROUND($G231*$AG231,0))</f>
        <v>3</v>
      </c>
      <c r="BC231" s="75" t="n">
        <f aca="false">IF(SUM($BB231)&lt;=0,"",IF(SUM($BA231)&lt;=0,"ENTER VALID YIELD!",ROUND($BB231/$BA231,0)-$BB231))</f>
        <v>0</v>
      </c>
      <c r="BD231" s="118"/>
      <c r="BE231" s="75" t="str">
        <f aca="false">IF(OR(SUM($AH231)&lt;=0,SUM($G231)&lt;=0),"",ROUND($G231*$AH231,0))</f>
        <v/>
      </c>
      <c r="BF231" s="75" t="str">
        <f aca="false">IF(SUM($BE231)&lt;=0,"",IF(SUM($BD231)&lt;=0,"ENTER VALID YIELD!",ROUND($BE231/$BD231,0)-$BE231))</f>
        <v/>
      </c>
      <c r="BG231" s="118"/>
      <c r="BH231" s="75" t="n">
        <f aca="false">IF(OR(SUM($AI231)&lt;=0,SUM($G231)&lt;=0),"",ROUND($G231*$AI231,0))</f>
        <v>36</v>
      </c>
      <c r="BI231" s="75" t="str">
        <f aca="false">IF(SUM($BH231)&lt;=0,"",IF(SUM($BG231)&lt;=0,"ENTER VALID YIELD!",ROUND($BH231/$BG231,0)-$BH231))</f>
        <v>ENTER VALID YIELD!</v>
      </c>
      <c r="BJ231" s="118"/>
      <c r="BK231" s="75" t="n">
        <f aca="false">IF(OR(SUM($AJ231)&lt;=0,SUM($G231)&lt;=0),"",ROUND($G231*$AJ231,0))</f>
        <v>45</v>
      </c>
      <c r="BL231" s="75" t="str">
        <f aca="false">IF(SUM($BK231)&lt;=0,"",IF(SUM($BJ231)&lt;=0,"ENTER VALID YIELD!",ROUND($BK231/$BJ231,0)-$BK231))</f>
        <v>ENTER VALID YIELD!</v>
      </c>
      <c r="BM231" s="73" t="n">
        <f aca="false">IF(SUM($G231)&lt;=0,"",$G231)</f>
        <v>3</v>
      </c>
      <c r="BN231" s="73" t="n">
        <f aca="false">IF(SUM($G231)&lt;=0,"",SUM($I231:$L231,$Q231,$S231,$AM231,$AP231,$AS231,$AV231,$AY231,$BB231,$BE231,$BH231,$BK231))</f>
        <v>-182</v>
      </c>
      <c r="BO231" s="73" t="n">
        <f aca="false">IF(AND(SUM($BN231)&lt;=0,SUM($BM231)&lt;=0),"",SUM($BN231)-SUM($BM231))</f>
        <v>-185</v>
      </c>
      <c r="BP231" s="73" t="n">
        <f aca="false">_xlfn.IFNA(INDEX(PMTCT!$AF:$AF,MATCH($E231,PMTCT!$E:$E,0)),"")</f>
        <v>-42</v>
      </c>
      <c r="BQ231" s="73" t="str">
        <f aca="false">_xlfn.IFNA(INDEX(PMTCT!$AV:$AV,MATCH($E231,PMTCT!$E:$E,0)),"")</f>
        <v/>
      </c>
      <c r="BR231" s="73" t="n">
        <f aca="false">_xlfn.IFNA(INDEX(TB!$R:$R,MATCH($E231,TB!$E:$E,0)),"")</f>
        <v>500</v>
      </c>
      <c r="BS231" s="73" t="str">
        <f aca="false">_xlfn.IFNA(INDEX(VMMC!$AD:$AD,MATCH($E231,VMMC!$E:$E,0)),"")</f>
        <v/>
      </c>
      <c r="BT231" s="73" t="n">
        <f aca="false">IF(SUM($R231,$T231,$AN231,$AQ231,$AT231,$AW231,$AZ231,$BC231,$BF231,$BI231,$BL231,$BP231:$BS231)=0,"",SUM($R231,$T231,$AN231,$AQ231,$AT231,$AW231,$AZ231,$BC231,$BF231,$BI231,$BL231,$BP231:$BS231))</f>
        <v>407</v>
      </c>
      <c r="BU231" s="73" t="n">
        <f aca="false">IF(OR(SUM($BT231)=0,SUM($BN231)=0),"",SUM($BT231,$BN231))</f>
        <v>225</v>
      </c>
      <c r="BV231" s="118" t="n">
        <f aca="false">IF(SUM($BU231)=0,"",SUM($BN231)/$BU231)</f>
        <v>-0.808888888888889</v>
      </c>
      <c r="BW231" s="73"/>
      <c r="BX231" s="118" t="n">
        <f aca="false">IF(OR($C231="01-04",$C231="05-09"),"",0%)</f>
        <v>0</v>
      </c>
      <c r="BY231" s="75" t="str">
        <f aca="false">IF(OR($C231="01-04",$C231="05-09",SUM($BW231)=0),"",ROUND($BW231*(1+$BX231),0))</f>
        <v/>
      </c>
    </row>
    <row r="232" customFormat="false" ht="15" hidden="false" customHeight="false" outlineLevel="0" collapsed="false">
      <c r="A232" s="0" t="s">
        <v>150</v>
      </c>
      <c r="B232" s="0" t="s">
        <v>117</v>
      </c>
      <c r="C232" s="0" t="s">
        <v>80</v>
      </c>
      <c r="D232" s="0" t="s">
        <v>58</v>
      </c>
      <c r="E232" s="0" t="str">
        <f aca="false">B232&amp;"|"&amp;C232&amp;"|"&amp;D232</f>
        <v>Quthing [#SNU] [HuwCoDZG0FY]|45-49|Male</v>
      </c>
      <c r="F232" s="118" t="n">
        <f aca="false">_xlfn.IFNA(INDEX(Cascade!$Y:$Y,MATCH($E232,Cascade!$E:$E,0)),"")</f>
        <v>0.608799048751486</v>
      </c>
      <c r="G232" s="73" t="n">
        <f aca="false">_xlfn.IFNA(INDEX(Cascade!$BD:$BD,MATCH($E232,Cascade!$E:$E,0)),"")</f>
        <v>22</v>
      </c>
      <c r="H232" s="73" t="n">
        <f aca="false">_xlfn.IFNA(INDEX(Cascade!$BE:$BE,MATCH($E232,Cascade!$E:$E,0)),"")</f>
        <v>7</v>
      </c>
      <c r="I232" s="73" t="str">
        <f aca="false">_xlfn.IFNA(INDEX(Cascade!$BF:$BF,MATCH($E232,Cascade!$E:$E,0)),"")</f>
        <v/>
      </c>
      <c r="J232" s="73" t="str">
        <f aca="false">_xlfn.IFNA(INDEX(Cascade!$BG:$BG,MATCH($E232,Cascade!$E:$E,0)),"")</f>
        <v/>
      </c>
      <c r="K232" s="73" t="n">
        <f aca="false">_xlfn.IFNA(INDEX(Cascade!$BH:$BH,MATCH($E232,Cascade!$E:$E,0)),"")</f>
        <v>-0</v>
      </c>
      <c r="L232" s="73" t="str">
        <f aca="false">_xlfn.IFNA(INDEX(Cascade!$BI:$BI,MATCH($E232,Cascade!$E:$E,0)),"")</f>
        <v/>
      </c>
      <c r="M232" s="73" t="n">
        <f aca="false">_xlfn.IFNA(INDEX(Cascade!$BK:$BK,MATCH($E232,Cascade!$E:$E,0)),"")</f>
        <v>15</v>
      </c>
      <c r="N232" s="118" t="n">
        <v>40</v>
      </c>
      <c r="O232" s="118"/>
      <c r="P232" s="118" t="n">
        <v>30</v>
      </c>
      <c r="Q232" s="75" t="str">
        <f aca="false">IF(OR(SUM($H232)=0,SUM($N232)=0,SUM($O232)=0),"",ROUND($H232*$N232,0))</f>
        <v/>
      </c>
      <c r="R232" s="75" t="str">
        <f aca="false">IF(OR(SUM($Q232)=0,SUM($O232)=0),"",ROUND(SUM($Q232)/SUM($O232),0)-SUM($Q232))</f>
        <v/>
      </c>
      <c r="S232" s="75" t="n">
        <f aca="false">IF(SUM($H232)=0,"",SUM($H232)-SUM($Q232))</f>
        <v>7</v>
      </c>
      <c r="T232" s="75" t="str">
        <f aca="false">IF(OR(SUM($S232)=0,$N232&gt;1,SUM($P232)&lt;=0),"",ROUND($S232/$P232,0)-$S232)</f>
        <v/>
      </c>
      <c r="U232" s="118" t="n">
        <f aca="false">IF(SUM($G232)&lt;=0,"",SUM($Q232,$S232)/$G232)</f>
        <v>0.318181818181818</v>
      </c>
      <c r="V232" s="118" t="str">
        <f aca="false">IF(OR(SUM($Q232)=0,SUM($G232)=0),"",SUM($Q232)/SUM($G232))</f>
        <v/>
      </c>
      <c r="W232" s="118" t="n">
        <f aca="false">IF(OR(SUM($S232)=0,SUM($G232)=0),"",SUM($S232)/SUM($G232))</f>
        <v>0.318181818181818</v>
      </c>
      <c r="X232" s="118" t="str">
        <f aca="false">IF(OR(SUM($G232)=0,SUM($I232)=0),"",SUM($I232)/SUM($G232))</f>
        <v/>
      </c>
      <c r="Y232" s="118" t="str">
        <f aca="false">IF(OR(SUM($G232)=0,SUM($J232)=0),"",SUM($J232)/SUM($G232))</f>
        <v/>
      </c>
      <c r="Z232" s="118" t="str">
        <f aca="false">IF(OR(SUM($G232)=0,SUM($K232)=0),"",SUM($K232)/SUM($G232))</f>
        <v/>
      </c>
      <c r="AA232" s="118" t="str">
        <f aca="false">IF(OR(SUM($G232)=0,SUM($L232)=0),"",SUM($L232)/SUM($G232))</f>
        <v/>
      </c>
      <c r="AB232" s="118" t="n">
        <v>44</v>
      </c>
      <c r="AC232" s="118"/>
      <c r="AD232" s="118"/>
      <c r="AE232" s="118" t="n">
        <v>13</v>
      </c>
      <c r="AF232" s="118" t="n">
        <v>41</v>
      </c>
      <c r="AG232" s="118" t="n">
        <v>11</v>
      </c>
      <c r="AH232" s="118" t="n">
        <v>31</v>
      </c>
      <c r="AI232" s="118" t="n">
        <v>42</v>
      </c>
      <c r="AJ232" s="118" t="n">
        <v>45</v>
      </c>
      <c r="AK232" s="118" t="n">
        <f aca="false">IF(SUM($G232)&lt;=0,"",SUM($V232:$AJ232))</f>
        <v>227.318181818182</v>
      </c>
      <c r="AL232" s="118"/>
      <c r="AM232" s="75" t="n">
        <f aca="false">IF(OR(SUM($AB232)&lt;=0,SUM($G232)&lt;=0),"",ROUND($G232*$AB232,0))</f>
        <v>968</v>
      </c>
      <c r="AN232" s="75" t="str">
        <f aca="false">IF(SUM($AM232)&lt;=0,"",IF(SUM($AL232)&lt;=0,"ENTER VALID YIELD!",ROUND($AM232/$AL232,0)-$AM232))</f>
        <v>ENTER VALID YIELD!</v>
      </c>
      <c r="AO232" s="118"/>
      <c r="AP232" s="75" t="str">
        <f aca="false">IF(OR(SUM($AC232)&lt;=0,SUM($G232)&lt;=0),"",ROUND($G232*$AC232,0))</f>
        <v/>
      </c>
      <c r="AQ232" s="75" t="str">
        <f aca="false">IF(SUM($AP232)&lt;=0,"",IF(SUM($AO232)&lt;=0,"ENTER VALID YIELD!",ROUND($AP232/$AO232,0)-$AP232))</f>
        <v/>
      </c>
      <c r="AR232" s="118"/>
      <c r="AS232" s="75" t="str">
        <f aca="false">IF(OR(SUM($AD232)&lt;=0,SUM($G232)&lt;=0),"",ROUND($G232*$AD232,0))</f>
        <v/>
      </c>
      <c r="AT232" s="75" t="str">
        <f aca="false">IF(SUM($AS232)&lt;=0,"",IF(SUM($AR232)&lt;=0,"ENTER VALID YIELD!",ROUND($AS232/$AR232,0)-$AS232))</f>
        <v/>
      </c>
      <c r="AU232" s="118"/>
      <c r="AV232" s="75" t="n">
        <f aca="false">IF(OR(SUM($AE232)&lt;=0,SUM($G232)&lt;=0),"",ROUND($G232*$AE232,0))</f>
        <v>286</v>
      </c>
      <c r="AW232" s="75" t="str">
        <f aca="false">IF(SUM($AV232)&lt;=0,"",IF(SUM($AU232)&lt;=0,"ENTER VALID YIELD!",ROUND($AV232/$AU232,0)-$AV232))</f>
        <v>ENTER VALID YIELD!</v>
      </c>
      <c r="AX232" s="118"/>
      <c r="AY232" s="75" t="n">
        <f aca="false">IF(OR(SUM($AF232)&lt;=0,SUM($G232)&lt;=0),"",ROUND($G232*$AF232,0))</f>
        <v>902</v>
      </c>
      <c r="AZ232" s="75" t="str">
        <f aca="false">IF(SUM($AY232)&lt;=0,"",IF(SUM($AX232)&lt;=0,"ENTER VALID YIELD!",ROUND($AY232/$AX232,0)-$AY232))</f>
        <v>ENTER VALID YIELD!</v>
      </c>
      <c r="BA232" s="118" t="n">
        <v>22</v>
      </c>
      <c r="BB232" s="75" t="n">
        <f aca="false">IF(OR(SUM($AG232)&lt;=0,SUM($G232)&lt;=0),"",ROUND($G232*$AG232,0))</f>
        <v>242</v>
      </c>
      <c r="BC232" s="75" t="n">
        <f aca="false">IF(SUM($BB232)&lt;=0,"",IF(SUM($BA232)&lt;=0,"ENTER VALID YIELD!",ROUND($BB232/$BA232,0)-$BB232))</f>
        <v>-231</v>
      </c>
      <c r="BD232" s="118"/>
      <c r="BE232" s="75" t="n">
        <f aca="false">IF(OR(SUM($AH232)&lt;=0,SUM($G232)&lt;=0),"",ROUND($G232*$AH232,0))</f>
        <v>682</v>
      </c>
      <c r="BF232" s="75" t="str">
        <f aca="false">IF(SUM($BE232)&lt;=0,"",IF(SUM($BD232)&lt;=0,"ENTER VALID YIELD!",ROUND($BE232/$BD232,0)-$BE232))</f>
        <v>ENTER VALID YIELD!</v>
      </c>
      <c r="BG232" s="118"/>
      <c r="BH232" s="75" t="n">
        <f aca="false">IF(OR(SUM($AI232)&lt;=0,SUM($G232)&lt;=0),"",ROUND($G232*$AI232,0))</f>
        <v>924</v>
      </c>
      <c r="BI232" s="75" t="str">
        <f aca="false">IF(SUM($BH232)&lt;=0,"",IF(SUM($BG232)&lt;=0,"ENTER VALID YIELD!",ROUND($BH232/$BG232,0)-$BH232))</f>
        <v>ENTER VALID YIELD!</v>
      </c>
      <c r="BJ232" s="118"/>
      <c r="BK232" s="75" t="n">
        <f aca="false">IF(OR(SUM($AJ232)&lt;=0,SUM($G232)&lt;=0),"",ROUND($G232*$AJ232,0))</f>
        <v>990</v>
      </c>
      <c r="BL232" s="75" t="str">
        <f aca="false">IF(SUM($BK232)&lt;=0,"",IF(SUM($BJ232)&lt;=0,"ENTER VALID YIELD!",ROUND($BK232/$BJ232,0)-$BK232))</f>
        <v>ENTER VALID YIELD!</v>
      </c>
      <c r="BM232" s="73" t="n">
        <f aca="false">IF(SUM($G232)&lt;=0,"",$G232)</f>
        <v>22</v>
      </c>
      <c r="BN232" s="73" t="n">
        <f aca="false">IF(SUM($G232)&lt;=0,"",SUM($I232:$L232,$Q232,$S232,$AM232,$AP232,$AS232,$AV232,$AY232,$BB232,$BE232,$BH232,$BK232))</f>
        <v>5001</v>
      </c>
      <c r="BO232" s="73" t="n">
        <f aca="false">IF(AND(SUM($BN232)&lt;=0,SUM($BM232)&lt;=0),"",SUM($BN232)-SUM($BM232))</f>
        <v>4979</v>
      </c>
      <c r="BP232" s="73" t="str">
        <f aca="false">_xlfn.IFNA(INDEX(PMTCT!$AF:$AF,MATCH($E232,PMTCT!$E:$E,0)),"")</f>
        <v/>
      </c>
      <c r="BQ232" s="73" t="str">
        <f aca="false">_xlfn.IFNA(INDEX(PMTCT!$AV:$AV,MATCH($E232,PMTCT!$E:$E,0)),"")</f>
        <v/>
      </c>
      <c r="BR232" s="73" t="n">
        <f aca="false">_xlfn.IFNA(INDEX(TB!$R:$R,MATCH($E232,TB!$E:$E,0)),"")</f>
        <v>-612</v>
      </c>
      <c r="BS232" s="73" t="str">
        <f aca="false">_xlfn.IFNA(INDEX(VMMC!$AD:$AD,MATCH($E232,VMMC!$E:$E,0)),"")</f>
        <v/>
      </c>
      <c r="BT232" s="73" t="n">
        <f aca="false">IF(SUM($R232,$T232,$AN232,$AQ232,$AT232,$AW232,$AZ232,$BC232,$BF232,$BI232,$BL232,$BP232:$BS232)=0,"",SUM($R232,$T232,$AN232,$AQ232,$AT232,$AW232,$AZ232,$BC232,$BF232,$BI232,$BL232,$BP232:$BS232))</f>
        <v>-843</v>
      </c>
      <c r="BU232" s="73" t="n">
        <f aca="false">IF(OR(SUM($BT232)=0,SUM($BN232)=0),"",SUM($BT232,$BN232))</f>
        <v>4158</v>
      </c>
      <c r="BV232" s="118" t="n">
        <f aca="false">IF(SUM($BU232)=0,"",SUM($BN232)/$BU232)</f>
        <v>1.2027417027417</v>
      </c>
      <c r="BW232" s="73"/>
      <c r="BX232" s="118" t="n">
        <f aca="false">IF(OR($C232="01-04",$C232="05-09"),"",0%)</f>
        <v>0</v>
      </c>
      <c r="BY232" s="75" t="str">
        <f aca="false">IF(OR($C232="01-04",$C232="05-09",SUM($BW232)=0),"",ROUND($BW232*(1+$BX232),0))</f>
        <v/>
      </c>
    </row>
    <row r="233" customFormat="false" ht="15" hidden="false" customHeight="false" outlineLevel="0" collapsed="false">
      <c r="A233" s="0" t="s">
        <v>150</v>
      </c>
      <c r="B233" s="0" t="s">
        <v>117</v>
      </c>
      <c r="C233" s="0" t="s">
        <v>86</v>
      </c>
      <c r="D233" s="0" t="s">
        <v>56</v>
      </c>
      <c r="E233" s="0" t="str">
        <f aca="false">B233&amp;"|"&amp;C233&amp;"|"&amp;D233</f>
        <v>Quthing [#SNU] [HuwCoDZG0FY]|50+|Female</v>
      </c>
      <c r="F233" s="118" t="n">
        <f aca="false">_xlfn.IFNA(INDEX(Cascade!$Y:$Y,MATCH($E233,Cascade!$E:$E,0)),"")</f>
        <v>0.706409830621056</v>
      </c>
      <c r="G233" s="73" t="n">
        <f aca="false">_xlfn.IFNA(INDEX(Cascade!$BD:$BD,MATCH($E233,Cascade!$E:$E,0)),"")</f>
        <v>1</v>
      </c>
      <c r="H233" s="73" t="n">
        <f aca="false">_xlfn.IFNA(INDEX(Cascade!$BE:$BE,MATCH($E233,Cascade!$E:$E,0)),"")</f>
        <v>1</v>
      </c>
      <c r="I233" s="73" t="str">
        <f aca="false">_xlfn.IFNA(INDEX(Cascade!$BF:$BF,MATCH($E233,Cascade!$E:$E,0)),"")</f>
        <v/>
      </c>
      <c r="J233" s="73" t="str">
        <f aca="false">_xlfn.IFNA(INDEX(Cascade!$BG:$BG,MATCH($E233,Cascade!$E:$E,0)),"")</f>
        <v/>
      </c>
      <c r="K233" s="73" t="n">
        <f aca="false">_xlfn.IFNA(INDEX(Cascade!$BH:$BH,MATCH($E233,Cascade!$E:$E,0)),"")</f>
        <v>-0</v>
      </c>
      <c r="L233" s="73" t="str">
        <f aca="false">_xlfn.IFNA(INDEX(Cascade!$BI:$BI,MATCH($E233,Cascade!$E:$E,0)),"")</f>
        <v/>
      </c>
      <c r="M233" s="73" t="n">
        <f aca="false">_xlfn.IFNA(INDEX(Cascade!$BK:$BK,MATCH($E233,Cascade!$E:$E,0)),"")</f>
        <v>0</v>
      </c>
      <c r="N233" s="118" t="n">
        <v>4</v>
      </c>
      <c r="O233" s="118"/>
      <c r="P233" s="118" t="n">
        <v>33</v>
      </c>
      <c r="Q233" s="75" t="str">
        <f aca="false">IF(OR(SUM($H233)=0,SUM($N233)=0,SUM($O233)=0),"",ROUND($H233*$N233,0))</f>
        <v/>
      </c>
      <c r="R233" s="75" t="str">
        <f aca="false">IF(OR(SUM($Q233)=0,SUM($O233)=0),"",ROUND(SUM($Q233)/SUM($O233),0)-SUM($Q233))</f>
        <v/>
      </c>
      <c r="S233" s="75" t="n">
        <f aca="false">IF(SUM($H233)=0,"",SUM($H233)-SUM($Q233))</f>
        <v>1</v>
      </c>
      <c r="T233" s="75" t="str">
        <f aca="false">IF(OR(SUM($S233)=0,$N233&gt;1,SUM($P233)&lt;=0),"",ROUND($S233/$P233,0)-$S233)</f>
        <v/>
      </c>
      <c r="U233" s="118" t="n">
        <f aca="false">IF(SUM($G233)&lt;=0,"",SUM($Q233,$S233)/$G233)</f>
        <v>1</v>
      </c>
      <c r="V233" s="118" t="str">
        <f aca="false">IF(OR(SUM($Q233)=0,SUM($G233)=0),"",SUM($Q233)/SUM($G233))</f>
        <v/>
      </c>
      <c r="W233" s="118" t="n">
        <f aca="false">IF(OR(SUM($S233)=0,SUM($G233)=0),"",SUM($S233)/SUM($G233))</f>
        <v>1</v>
      </c>
      <c r="X233" s="118" t="str">
        <f aca="false">IF(OR(SUM($G233)=0,SUM($I233)=0),"",SUM($I233)/SUM($G233))</f>
        <v/>
      </c>
      <c r="Y233" s="118" t="str">
        <f aca="false">IF(OR(SUM($G233)=0,SUM($J233)=0),"",SUM($J233)/SUM($G233))</f>
        <v/>
      </c>
      <c r="Z233" s="118" t="str">
        <f aca="false">IF(OR(SUM($G233)=0,SUM($K233)=0),"",SUM($K233)/SUM($G233))</f>
        <v/>
      </c>
      <c r="AA233" s="118" t="str">
        <f aca="false">IF(OR(SUM($G233)=0,SUM($L233)=0),"",SUM($L233)/SUM($G233))</f>
        <v/>
      </c>
      <c r="AB233" s="118" t="n">
        <v>34</v>
      </c>
      <c r="AC233" s="118"/>
      <c r="AD233" s="118"/>
      <c r="AE233" s="118" t="n">
        <v>4</v>
      </c>
      <c r="AF233" s="118" t="n">
        <v>43</v>
      </c>
      <c r="AG233" s="118" t="n">
        <v>43</v>
      </c>
      <c r="AH233" s="118" t="n">
        <v>45</v>
      </c>
      <c r="AI233" s="118" t="n">
        <v>39</v>
      </c>
      <c r="AJ233" s="118" t="n">
        <v>17</v>
      </c>
      <c r="AK233" s="118" t="n">
        <f aca="false">IF(SUM($G233)&lt;=0,"",SUM($V233:$AJ233))</f>
        <v>226</v>
      </c>
      <c r="AL233" s="118"/>
      <c r="AM233" s="75" t="n">
        <f aca="false">IF(OR(SUM($AB233)&lt;=0,SUM($G233)&lt;=0),"",ROUND($G233*$AB233,0))</f>
        <v>34</v>
      </c>
      <c r="AN233" s="75" t="str">
        <f aca="false">IF(SUM($AM233)&lt;=0,"",IF(SUM($AL233)&lt;=0,"ENTER VALID YIELD!",ROUND($AM233/$AL233,0)-$AM233))</f>
        <v>ENTER VALID YIELD!</v>
      </c>
      <c r="AO233" s="118"/>
      <c r="AP233" s="75" t="str">
        <f aca="false">IF(OR(SUM($AC233)&lt;=0,SUM($G233)&lt;=0),"",ROUND($G233*$AC233,0))</f>
        <v/>
      </c>
      <c r="AQ233" s="75" t="str">
        <f aca="false">IF(SUM($AP233)&lt;=0,"",IF(SUM($AO233)&lt;=0,"ENTER VALID YIELD!",ROUND($AP233/$AO233,0)-$AP233))</f>
        <v/>
      </c>
      <c r="AR233" s="118"/>
      <c r="AS233" s="75" t="str">
        <f aca="false">IF(OR(SUM($AD233)&lt;=0,SUM($G233)&lt;=0),"",ROUND($G233*$AD233,0))</f>
        <v/>
      </c>
      <c r="AT233" s="75" t="str">
        <f aca="false">IF(SUM($AS233)&lt;=0,"",IF(SUM($AR233)&lt;=0,"ENTER VALID YIELD!",ROUND($AS233/$AR233,0)-$AS233))</f>
        <v/>
      </c>
      <c r="AU233" s="118"/>
      <c r="AV233" s="75" t="n">
        <f aca="false">IF(OR(SUM($AE233)&lt;=0,SUM($G233)&lt;=0),"",ROUND($G233*$AE233,0))</f>
        <v>4</v>
      </c>
      <c r="AW233" s="75" t="str">
        <f aca="false">IF(SUM($AV233)&lt;=0,"",IF(SUM($AU233)&lt;=0,"ENTER VALID YIELD!",ROUND($AV233/$AU233,0)-$AV233))</f>
        <v>ENTER VALID YIELD!</v>
      </c>
      <c r="AX233" s="118"/>
      <c r="AY233" s="75" t="n">
        <f aca="false">IF(OR(SUM($AF233)&lt;=0,SUM($G233)&lt;=0),"",ROUND($G233*$AF233,0))</f>
        <v>43</v>
      </c>
      <c r="AZ233" s="75" t="str">
        <f aca="false">IF(SUM($AY233)&lt;=0,"",IF(SUM($AX233)&lt;=0,"ENTER VALID YIELD!",ROUND($AY233/$AX233,0)-$AY233))</f>
        <v>ENTER VALID YIELD!</v>
      </c>
      <c r="BA233" s="118" t="n">
        <v>12</v>
      </c>
      <c r="BB233" s="75" t="n">
        <f aca="false">IF(OR(SUM($AG233)&lt;=0,SUM($G233)&lt;=0),"",ROUND($G233*$AG233,0))</f>
        <v>43</v>
      </c>
      <c r="BC233" s="75" t="n">
        <f aca="false">IF(SUM($BB233)&lt;=0,"",IF(SUM($BA233)&lt;=0,"ENTER VALID YIELD!",ROUND($BB233/$BA233,0)-$BB233))</f>
        <v>-39</v>
      </c>
      <c r="BD233" s="118"/>
      <c r="BE233" s="75" t="n">
        <f aca="false">IF(OR(SUM($AH233)&lt;=0,SUM($G233)&lt;=0),"",ROUND($G233*$AH233,0))</f>
        <v>45</v>
      </c>
      <c r="BF233" s="75" t="str">
        <f aca="false">IF(SUM($BE233)&lt;=0,"",IF(SUM($BD233)&lt;=0,"ENTER VALID YIELD!",ROUND($BE233/$BD233,0)-$BE233))</f>
        <v>ENTER VALID YIELD!</v>
      </c>
      <c r="BG233" s="118"/>
      <c r="BH233" s="75" t="n">
        <f aca="false">IF(OR(SUM($AI233)&lt;=0,SUM($G233)&lt;=0),"",ROUND($G233*$AI233,0))</f>
        <v>39</v>
      </c>
      <c r="BI233" s="75" t="str">
        <f aca="false">IF(SUM($BH233)&lt;=0,"",IF(SUM($BG233)&lt;=0,"ENTER VALID YIELD!",ROUND($BH233/$BG233,0)-$BH233))</f>
        <v>ENTER VALID YIELD!</v>
      </c>
      <c r="BJ233" s="118"/>
      <c r="BK233" s="75" t="n">
        <f aca="false">IF(OR(SUM($AJ233)&lt;=0,SUM($G233)&lt;=0),"",ROUND($G233*$AJ233,0))</f>
        <v>17</v>
      </c>
      <c r="BL233" s="75" t="str">
        <f aca="false">IF(SUM($BK233)&lt;=0,"",IF(SUM($BJ233)&lt;=0,"ENTER VALID YIELD!",ROUND($BK233/$BJ233,0)-$BK233))</f>
        <v>ENTER VALID YIELD!</v>
      </c>
      <c r="BM233" s="73" t="n">
        <f aca="false">IF(SUM($G233)&lt;=0,"",$G233)</f>
        <v>1</v>
      </c>
      <c r="BN233" s="73" t="n">
        <f aca="false">IF(SUM($G233)&lt;=0,"",SUM($I233:$L233,$Q233,$S233,$AM233,$AP233,$AS233,$AV233,$AY233,$BB233,$BE233,$BH233,$BK233))</f>
        <v>226</v>
      </c>
      <c r="BO233" s="73" t="n">
        <f aca="false">IF(AND(SUM($BN233)&lt;=0,SUM($BM233)&lt;=0),"",SUM($BN233)-SUM($BM233))</f>
        <v>225</v>
      </c>
      <c r="BP233" s="73" t="str">
        <f aca="false">_xlfn.IFNA(INDEX(PMTCT!$AF:$AF,MATCH($E233,PMTCT!$E:$E,0)),"")</f>
        <v/>
      </c>
      <c r="BQ233" s="73" t="str">
        <f aca="false">_xlfn.IFNA(INDEX(PMTCT!$AV:$AV,MATCH($E233,PMTCT!$E:$E,0)),"")</f>
        <v/>
      </c>
      <c r="BR233" s="73" t="n">
        <f aca="false">_xlfn.IFNA(INDEX(TB!$R:$R,MATCH($E233,TB!$E:$E,0)),"")</f>
        <v>-156</v>
      </c>
      <c r="BS233" s="73" t="str">
        <f aca="false">_xlfn.IFNA(INDEX(VMMC!$AD:$AD,MATCH($E233,VMMC!$E:$E,0)),"")</f>
        <v/>
      </c>
      <c r="BT233" s="73" t="n">
        <f aca="false">IF(SUM($R233,$T233,$AN233,$AQ233,$AT233,$AW233,$AZ233,$BC233,$BF233,$BI233,$BL233,$BP233:$BS233)=0,"",SUM($R233,$T233,$AN233,$AQ233,$AT233,$AW233,$AZ233,$BC233,$BF233,$BI233,$BL233,$BP233:$BS233))</f>
        <v>-195</v>
      </c>
      <c r="BU233" s="73" t="n">
        <f aca="false">IF(OR(SUM($BT233)=0,SUM($BN233)=0),"",SUM($BT233,$BN233))</f>
        <v>31</v>
      </c>
      <c r="BV233" s="118" t="n">
        <f aca="false">IF(SUM($BU233)=0,"",SUM($BN233)/$BU233)</f>
        <v>7.29032258064516</v>
      </c>
      <c r="BW233" s="73"/>
      <c r="BX233" s="118" t="n">
        <f aca="false">IF(OR($C233="01-04",$C233="05-09"),"",0%)</f>
        <v>0</v>
      </c>
      <c r="BY233" s="75" t="str">
        <f aca="false">IF(OR($C233="01-04",$C233="05-09",SUM($BW233)=0),"",ROUND($BW233*(1+$BX233),0))</f>
        <v/>
      </c>
    </row>
    <row r="234" customFormat="false" ht="15" hidden="false" customHeight="false" outlineLevel="0" collapsed="false">
      <c r="A234" s="0" t="s">
        <v>150</v>
      </c>
      <c r="B234" s="0" t="s">
        <v>117</v>
      </c>
      <c r="C234" s="0" t="s">
        <v>86</v>
      </c>
      <c r="D234" s="0" t="s">
        <v>58</v>
      </c>
      <c r="E234" s="0" t="str">
        <f aca="false">B234&amp;"|"&amp;C234&amp;"|"&amp;D234</f>
        <v>Quthing [#SNU] [HuwCoDZG0FY]|50+|Male</v>
      </c>
      <c r="F234" s="118" t="n">
        <f aca="false">_xlfn.IFNA(INDEX(Cascade!$Y:$Y,MATCH($E234,Cascade!$E:$E,0)),"")</f>
        <v>0.625229357798165</v>
      </c>
      <c r="G234" s="73" t="n">
        <f aca="false">_xlfn.IFNA(INDEX(Cascade!$BD:$BD,MATCH($E234,Cascade!$E:$E,0)),"")</f>
        <v>18</v>
      </c>
      <c r="H234" s="73" t="n">
        <f aca="false">_xlfn.IFNA(INDEX(Cascade!$BE:$BE,MATCH($E234,Cascade!$E:$E,0)),"")</f>
        <v>5</v>
      </c>
      <c r="I234" s="73" t="str">
        <f aca="false">_xlfn.IFNA(INDEX(Cascade!$BF:$BF,MATCH($E234,Cascade!$E:$E,0)),"")</f>
        <v/>
      </c>
      <c r="J234" s="73" t="str">
        <f aca="false">_xlfn.IFNA(INDEX(Cascade!$BG:$BG,MATCH($E234,Cascade!$E:$E,0)),"")</f>
        <v/>
      </c>
      <c r="K234" s="73" t="n">
        <f aca="false">_xlfn.IFNA(INDEX(Cascade!$BH:$BH,MATCH($E234,Cascade!$E:$E,0)),"")</f>
        <v>-8050</v>
      </c>
      <c r="L234" s="73" t="str">
        <f aca="false">_xlfn.IFNA(INDEX(Cascade!$BI:$BI,MATCH($E234,Cascade!$E:$E,0)),"")</f>
        <v/>
      </c>
      <c r="M234" s="73" t="n">
        <f aca="false">_xlfn.IFNA(INDEX(Cascade!$BK:$BK,MATCH($E234,Cascade!$E:$E,0)),"")</f>
        <v>8063</v>
      </c>
      <c r="N234" s="118" t="n">
        <v>12</v>
      </c>
      <c r="O234" s="118"/>
      <c r="P234" s="118" t="n">
        <v>47</v>
      </c>
      <c r="Q234" s="75" t="str">
        <f aca="false">IF(OR(SUM($H234)=0,SUM($N234)=0,SUM($O234)=0),"",ROUND($H234*$N234,0))</f>
        <v/>
      </c>
      <c r="R234" s="75" t="str">
        <f aca="false">IF(OR(SUM($Q234)=0,SUM($O234)=0),"",ROUND(SUM($Q234)/SUM($O234),0)-SUM($Q234))</f>
        <v/>
      </c>
      <c r="S234" s="75" t="n">
        <f aca="false">IF(SUM($H234)=0,"",SUM($H234)-SUM($Q234))</f>
        <v>5</v>
      </c>
      <c r="T234" s="75" t="str">
        <f aca="false">IF(OR(SUM($S234)=0,$N234&gt;1,SUM($P234)&lt;=0),"",ROUND($S234/$P234,0)-$S234)</f>
        <v/>
      </c>
      <c r="U234" s="118" t="n">
        <f aca="false">IF(SUM($G234)&lt;=0,"",SUM($Q234,$S234)/$G234)</f>
        <v>0.277777777777778</v>
      </c>
      <c r="V234" s="118" t="str">
        <f aca="false">IF(OR(SUM($Q234)=0,SUM($G234)=0),"",SUM($Q234)/SUM($G234))</f>
        <v/>
      </c>
      <c r="W234" s="118" t="n">
        <f aca="false">IF(OR(SUM($S234)=0,SUM($G234)=0),"",SUM($S234)/SUM($G234))</f>
        <v>0.277777777777778</v>
      </c>
      <c r="X234" s="118" t="str">
        <f aca="false">IF(OR(SUM($G234)=0,SUM($I234)=0),"",SUM($I234)/SUM($G234))</f>
        <v/>
      </c>
      <c r="Y234" s="118" t="str">
        <f aca="false">IF(OR(SUM($G234)=0,SUM($J234)=0),"",SUM($J234)/SUM($G234))</f>
        <v/>
      </c>
      <c r="Z234" s="118" t="n">
        <f aca="false">IF(OR(SUM($G234)=0,SUM($K234)=0),"",SUM($K234)/SUM($G234))</f>
        <v>-447.222222222222</v>
      </c>
      <c r="AA234" s="118" t="str">
        <f aca="false">IF(OR(SUM($G234)=0,SUM($L234)=0),"",SUM($L234)/SUM($G234))</f>
        <v/>
      </c>
      <c r="AB234" s="118" t="n">
        <v>8</v>
      </c>
      <c r="AC234" s="118"/>
      <c r="AD234" s="118"/>
      <c r="AE234" s="118" t="n">
        <v>29</v>
      </c>
      <c r="AF234" s="118" t="n">
        <v>45</v>
      </c>
      <c r="AG234" s="118" t="n">
        <v>3</v>
      </c>
      <c r="AH234" s="118" t="n">
        <v>28</v>
      </c>
      <c r="AI234" s="118" t="n">
        <v>48</v>
      </c>
      <c r="AJ234" s="118" t="n">
        <v>11</v>
      </c>
      <c r="AK234" s="118" t="n">
        <f aca="false">IF(SUM($G234)&lt;=0,"",SUM($V234:$AJ234))</f>
        <v>-274.944444444444</v>
      </c>
      <c r="AL234" s="118" t="n">
        <v>35</v>
      </c>
      <c r="AM234" s="75" t="n">
        <f aca="false">IF(OR(SUM($AB234)&lt;=0,SUM($G234)&lt;=0),"",ROUND($G234*$AB234,0))</f>
        <v>144</v>
      </c>
      <c r="AN234" s="75" t="n">
        <f aca="false">IF(SUM($AM234)&lt;=0,"",IF(SUM($AL234)&lt;=0,"ENTER VALID YIELD!",ROUND($AM234/$AL234,0)-$AM234))</f>
        <v>-140</v>
      </c>
      <c r="AO234" s="118"/>
      <c r="AP234" s="75" t="str">
        <f aca="false">IF(OR(SUM($AC234)&lt;=0,SUM($G234)&lt;=0),"",ROUND($G234*$AC234,0))</f>
        <v/>
      </c>
      <c r="AQ234" s="75" t="str">
        <f aca="false">IF(SUM($AP234)&lt;=0,"",IF(SUM($AO234)&lt;=0,"ENTER VALID YIELD!",ROUND($AP234/$AO234,0)-$AP234))</f>
        <v/>
      </c>
      <c r="AR234" s="118"/>
      <c r="AS234" s="75" t="str">
        <f aca="false">IF(OR(SUM($AD234)&lt;=0,SUM($G234)&lt;=0),"",ROUND($G234*$AD234,0))</f>
        <v/>
      </c>
      <c r="AT234" s="75" t="str">
        <f aca="false">IF(SUM($AS234)&lt;=0,"",IF(SUM($AR234)&lt;=0,"ENTER VALID YIELD!",ROUND($AS234/$AR234,0)-$AS234))</f>
        <v/>
      </c>
      <c r="AU234" s="118"/>
      <c r="AV234" s="75" t="n">
        <f aca="false">IF(OR(SUM($AE234)&lt;=0,SUM($G234)&lt;=0),"",ROUND($G234*$AE234,0))</f>
        <v>522</v>
      </c>
      <c r="AW234" s="75" t="str">
        <f aca="false">IF(SUM($AV234)&lt;=0,"",IF(SUM($AU234)&lt;=0,"ENTER VALID YIELD!",ROUND($AV234/$AU234,0)-$AV234))</f>
        <v>ENTER VALID YIELD!</v>
      </c>
      <c r="AX234" s="118"/>
      <c r="AY234" s="75" t="n">
        <f aca="false">IF(OR(SUM($AF234)&lt;=0,SUM($G234)&lt;=0),"",ROUND($G234*$AF234,0))</f>
        <v>810</v>
      </c>
      <c r="AZ234" s="75" t="str">
        <f aca="false">IF(SUM($AY234)&lt;=0,"",IF(SUM($AX234)&lt;=0,"ENTER VALID YIELD!",ROUND($AY234/$AX234,0)-$AY234))</f>
        <v>ENTER VALID YIELD!</v>
      </c>
      <c r="BA234" s="118" t="n">
        <v>17</v>
      </c>
      <c r="BB234" s="75" t="n">
        <f aca="false">IF(OR(SUM($AG234)&lt;=0,SUM($G234)&lt;=0),"",ROUND($G234*$AG234,0))</f>
        <v>54</v>
      </c>
      <c r="BC234" s="75" t="n">
        <f aca="false">IF(SUM($BB234)&lt;=0,"",IF(SUM($BA234)&lt;=0,"ENTER VALID YIELD!",ROUND($BB234/$BA234,0)-$BB234))</f>
        <v>-51</v>
      </c>
      <c r="BD234" s="118"/>
      <c r="BE234" s="75" t="n">
        <f aca="false">IF(OR(SUM($AH234)&lt;=0,SUM($G234)&lt;=0),"",ROUND($G234*$AH234,0))</f>
        <v>504</v>
      </c>
      <c r="BF234" s="75" t="str">
        <f aca="false">IF(SUM($BE234)&lt;=0,"",IF(SUM($BD234)&lt;=0,"ENTER VALID YIELD!",ROUND($BE234/$BD234,0)-$BE234))</f>
        <v>ENTER VALID YIELD!</v>
      </c>
      <c r="BG234" s="118"/>
      <c r="BH234" s="75" t="n">
        <f aca="false">IF(OR(SUM($AI234)&lt;=0,SUM($G234)&lt;=0),"",ROUND($G234*$AI234,0))</f>
        <v>864</v>
      </c>
      <c r="BI234" s="75" t="str">
        <f aca="false">IF(SUM($BH234)&lt;=0,"",IF(SUM($BG234)&lt;=0,"ENTER VALID YIELD!",ROUND($BH234/$BG234,0)-$BH234))</f>
        <v>ENTER VALID YIELD!</v>
      </c>
      <c r="BJ234" s="118"/>
      <c r="BK234" s="75" t="n">
        <f aca="false">IF(OR(SUM($AJ234)&lt;=0,SUM($G234)&lt;=0),"",ROUND($G234*$AJ234,0))</f>
        <v>198</v>
      </c>
      <c r="BL234" s="75" t="str">
        <f aca="false">IF(SUM($BK234)&lt;=0,"",IF(SUM($BJ234)&lt;=0,"ENTER VALID YIELD!",ROUND($BK234/$BJ234,0)-$BK234))</f>
        <v>ENTER VALID YIELD!</v>
      </c>
      <c r="BM234" s="73" t="n">
        <f aca="false">IF(SUM($G234)&lt;=0,"",$G234)</f>
        <v>18</v>
      </c>
      <c r="BN234" s="73" t="n">
        <f aca="false">IF(SUM($G234)&lt;=0,"",SUM($I234:$L234,$Q234,$S234,$AM234,$AP234,$AS234,$AV234,$AY234,$BB234,$BE234,$BH234,$BK234))</f>
        <v>-4949</v>
      </c>
      <c r="BO234" s="73" t="n">
        <f aca="false">IF(AND(SUM($BN234)&lt;=0,SUM($BM234)&lt;=0),"",SUM($BN234)-SUM($BM234))</f>
        <v>-4967</v>
      </c>
      <c r="BP234" s="73" t="str">
        <f aca="false">_xlfn.IFNA(INDEX(PMTCT!$AF:$AF,MATCH($E234,PMTCT!$E:$E,0)),"")</f>
        <v/>
      </c>
      <c r="BQ234" s="73" t="str">
        <f aca="false">_xlfn.IFNA(INDEX(PMTCT!$AV:$AV,MATCH($E234,PMTCT!$E:$E,0)),"")</f>
        <v/>
      </c>
      <c r="BR234" s="73" t="n">
        <f aca="false">_xlfn.IFNA(INDEX(TB!$R:$R,MATCH($E234,TB!$E:$E,0)),"")</f>
        <v>7700</v>
      </c>
      <c r="BS234" s="73" t="str">
        <f aca="false">_xlfn.IFNA(INDEX(VMMC!$AD:$AD,MATCH($E234,VMMC!$E:$E,0)),"")</f>
        <v/>
      </c>
      <c r="BT234" s="73" t="n">
        <f aca="false">IF(SUM($R234,$T234,$AN234,$AQ234,$AT234,$AW234,$AZ234,$BC234,$BF234,$BI234,$BL234,$BP234:$BS234)=0,"",SUM($R234,$T234,$AN234,$AQ234,$AT234,$AW234,$AZ234,$BC234,$BF234,$BI234,$BL234,$BP234:$BS234))</f>
        <v>7509</v>
      </c>
      <c r="BU234" s="73" t="n">
        <f aca="false">IF(OR(SUM($BT234)=0,SUM($BN234)=0),"",SUM($BT234,$BN234))</f>
        <v>2560</v>
      </c>
      <c r="BV234" s="118" t="n">
        <f aca="false">IF(SUM($BU234)=0,"",SUM($BN234)/$BU234)</f>
        <v>-1.933203125</v>
      </c>
      <c r="BW234" s="73"/>
      <c r="BX234" s="118" t="n">
        <f aca="false">IF(OR($C234="01-04",$C234="05-09"),"",0%)</f>
        <v>0</v>
      </c>
      <c r="BY234" s="75" t="str">
        <f aca="false">IF(OR($C234="01-04",$C234="05-09",SUM($BW234)=0),"",ROUND($BW234*(1+$BX234),0))</f>
        <v/>
      </c>
    </row>
    <row r="235" customFormat="false" ht="15" hidden="false" customHeight="false" outlineLevel="0" collapsed="false">
      <c r="A235" s="0" t="s">
        <v>151</v>
      </c>
      <c r="B235" s="0" t="s">
        <v>101</v>
      </c>
      <c r="C235" s="0" t="s">
        <v>54</v>
      </c>
      <c r="D235" s="0" t="s">
        <v>56</v>
      </c>
      <c r="E235" s="0" t="str">
        <f aca="false">B235&amp;"|"&amp;C235&amp;"|"&amp;D235</f>
        <v>Thaba Tseka [#SNU] [jyhIrCoB31x]|01-04|Female</v>
      </c>
      <c r="F235" s="118" t="n">
        <f aca="false">_xlfn.IFNA(INDEX(Cascade!$Y:$Y,MATCH($E235,Cascade!$E:$E,0)),"")</f>
        <v>0.769230769230769</v>
      </c>
      <c r="G235" s="73" t="n">
        <f aca="false">_xlfn.IFNA(INDEX(Cascade!$BD:$BD,MATCH($E235,Cascade!$E:$E,0)),"")</f>
        <v>6</v>
      </c>
      <c r="H235" s="73" t="n">
        <f aca="false">_xlfn.IFNA(INDEX(Cascade!$BE:$BE,MATCH($E235,Cascade!$E:$E,0)),"")</f>
        <v>3</v>
      </c>
      <c r="I235" s="73" t="str">
        <f aca="false">_xlfn.IFNA(INDEX(Cascade!$BF:$BF,MATCH($E235,Cascade!$E:$E,0)),"")</f>
        <v/>
      </c>
      <c r="J235" s="73" t="str">
        <f aca="false">_xlfn.IFNA(INDEX(Cascade!$BG:$BG,MATCH($E235,Cascade!$E:$E,0)),"")</f>
        <v/>
      </c>
      <c r="K235" s="73" t="n">
        <f aca="false">_xlfn.IFNA(INDEX(Cascade!$BH:$BH,MATCH($E235,Cascade!$E:$E,0)),"")</f>
        <v>0</v>
      </c>
      <c r="L235" s="73" t="str">
        <f aca="false">_xlfn.IFNA(INDEX(Cascade!$BI:$BI,MATCH($E235,Cascade!$E:$E,0)),"")</f>
        <v/>
      </c>
      <c r="M235" s="73" t="n">
        <f aca="false">_xlfn.IFNA(INDEX(Cascade!$BK:$BK,MATCH($E235,Cascade!$E:$E,0)),"")</f>
        <v>3</v>
      </c>
      <c r="N235" s="118" t="n">
        <v>32</v>
      </c>
      <c r="O235" s="118"/>
      <c r="P235" s="118" t="n">
        <v>1</v>
      </c>
      <c r="Q235" s="75" t="str">
        <f aca="false">IF(OR(SUM($H235)=0,SUM($N235)=0,SUM($O235)=0),"",ROUND($H235*$N235,0))</f>
        <v/>
      </c>
      <c r="R235" s="75" t="str">
        <f aca="false">IF(OR(SUM($Q235)=0,SUM($O235)=0),"",ROUND(SUM($Q235)/SUM($O235),0)-SUM($Q235))</f>
        <v/>
      </c>
      <c r="S235" s="75" t="n">
        <f aca="false">IF(SUM($H235)=0,"",SUM($H235)-SUM($Q235))</f>
        <v>3</v>
      </c>
      <c r="T235" s="75" t="str">
        <f aca="false">IF(OR(SUM($S235)=0,$N235&gt;1,SUM($P235)&lt;=0),"",ROUND($S235/$P235,0)-$S235)</f>
        <v/>
      </c>
      <c r="U235" s="118" t="n">
        <f aca="false">IF(SUM($G235)&lt;=0,"",SUM($Q235,$S235)/$G235)</f>
        <v>0.5</v>
      </c>
      <c r="V235" s="118" t="str">
        <f aca="false">IF(OR(SUM($Q235)=0,SUM($G235)=0),"",SUM($Q235)/SUM($G235))</f>
        <v/>
      </c>
      <c r="W235" s="118" t="n">
        <f aca="false">IF(OR(SUM($S235)=0,SUM($G235)=0),"",SUM($S235)/SUM($G235))</f>
        <v>0.5</v>
      </c>
      <c r="X235" s="118" t="str">
        <f aca="false">IF(OR(SUM($G235)=0,SUM($I235)=0),"",SUM($I235)/SUM($G235))</f>
        <v/>
      </c>
      <c r="Y235" s="118" t="str">
        <f aca="false">IF(OR(SUM($G235)=0,SUM($J235)=0),"",SUM($J235)/SUM($G235))</f>
        <v/>
      </c>
      <c r="Z235" s="118" t="str">
        <f aca="false">IF(OR(SUM($G235)=0,SUM($K235)=0),"",SUM($K235)/SUM($G235))</f>
        <v/>
      </c>
      <c r="AA235" s="118" t="str">
        <f aca="false">IF(OR(SUM($G235)=0,SUM($L235)=0),"",SUM($L235)/SUM($G235))</f>
        <v/>
      </c>
      <c r="AB235" s="118" t="n">
        <v>32</v>
      </c>
      <c r="AC235" s="118" t="n">
        <v>27</v>
      </c>
      <c r="AD235" s="118" t="n">
        <v>12</v>
      </c>
      <c r="AE235" s="118" t="n">
        <v>43</v>
      </c>
      <c r="AF235" s="118" t="n">
        <v>6</v>
      </c>
      <c r="AG235" s="118" t="n">
        <v>1</v>
      </c>
      <c r="AH235" s="118" t="n">
        <v>3</v>
      </c>
      <c r="AI235" s="118" t="n">
        <v>2</v>
      </c>
      <c r="AJ235" s="118" t="n">
        <v>27</v>
      </c>
      <c r="AK235" s="118" t="n">
        <f aca="false">IF(SUM($G235)&lt;=0,"",SUM($V235:$AJ235))</f>
        <v>153.5</v>
      </c>
      <c r="AL235" s="118"/>
      <c r="AM235" s="75" t="n">
        <f aca="false">IF(OR(SUM($AB235)&lt;=0,SUM($G235)&lt;=0),"",ROUND($G235*$AB235,0))</f>
        <v>192</v>
      </c>
      <c r="AN235" s="75" t="str">
        <f aca="false">IF(SUM($AM235)&lt;=0,"",IF(SUM($AL235)&lt;=0,"ENTER VALID YIELD!",ROUND($AM235/$AL235,0)-$AM235))</f>
        <v>ENTER VALID YIELD!</v>
      </c>
      <c r="AO235" s="118"/>
      <c r="AP235" s="75" t="n">
        <f aca="false">IF(OR(SUM($AC235)&lt;=0,SUM($G235)&lt;=0),"",ROUND($G235*$AC235,0))</f>
        <v>162</v>
      </c>
      <c r="AQ235" s="75" t="str">
        <f aca="false">IF(SUM($AP235)&lt;=0,"",IF(SUM($AO235)&lt;=0,"ENTER VALID YIELD!",ROUND($AP235/$AO235,0)-$AP235))</f>
        <v>ENTER VALID YIELD!</v>
      </c>
      <c r="AR235" s="118"/>
      <c r="AS235" s="75" t="n">
        <f aca="false">IF(OR(SUM($AD235)&lt;=0,SUM($G235)&lt;=0),"",ROUND($G235*$AD235,0))</f>
        <v>72</v>
      </c>
      <c r="AT235" s="75" t="str">
        <f aca="false">IF(SUM($AS235)&lt;=0,"",IF(SUM($AR235)&lt;=0,"ENTER VALID YIELD!",ROUND($AS235/$AR235,0)-$AS235))</f>
        <v>ENTER VALID YIELD!</v>
      </c>
      <c r="AU235" s="118"/>
      <c r="AV235" s="75" t="n">
        <f aca="false">IF(OR(SUM($AE235)&lt;=0,SUM($G235)&lt;=0),"",ROUND($G235*$AE235,0))</f>
        <v>258</v>
      </c>
      <c r="AW235" s="75" t="str">
        <f aca="false">IF(SUM($AV235)&lt;=0,"",IF(SUM($AU235)&lt;=0,"ENTER VALID YIELD!",ROUND($AV235/$AU235,0)-$AV235))</f>
        <v>ENTER VALID YIELD!</v>
      </c>
      <c r="AX235" s="118"/>
      <c r="AY235" s="75" t="n">
        <f aca="false">IF(OR(SUM($AF235)&lt;=0,SUM($G235)&lt;=0),"",ROUND($G235*$AF235,0))</f>
        <v>36</v>
      </c>
      <c r="AZ235" s="75" t="str">
        <f aca="false">IF(SUM($AY235)&lt;=0,"",IF(SUM($AX235)&lt;=0,"ENTER VALID YIELD!",ROUND($AY235/$AX235,0)-$AY235))</f>
        <v>ENTER VALID YIELD!</v>
      </c>
      <c r="BA235" s="118" t="n">
        <v>40</v>
      </c>
      <c r="BB235" s="75" t="n">
        <f aca="false">IF(OR(SUM($AG235)&lt;=0,SUM($G235)&lt;=0),"",ROUND($G235*$AG235,0))</f>
        <v>6</v>
      </c>
      <c r="BC235" s="75" t="n">
        <f aca="false">IF(SUM($BB235)&lt;=0,"",IF(SUM($BA235)&lt;=0,"ENTER VALID YIELD!",ROUND($BB235/$BA235,0)-$BB235))</f>
        <v>-6</v>
      </c>
      <c r="BD235" s="118"/>
      <c r="BE235" s="75" t="n">
        <f aca="false">IF(OR(SUM($AH235)&lt;=0,SUM($G235)&lt;=0),"",ROUND($G235*$AH235,0))</f>
        <v>18</v>
      </c>
      <c r="BF235" s="75" t="str">
        <f aca="false">IF(SUM($BE235)&lt;=0,"",IF(SUM($BD235)&lt;=0,"ENTER VALID YIELD!",ROUND($BE235/$BD235,0)-$BE235))</f>
        <v>ENTER VALID YIELD!</v>
      </c>
      <c r="BG235" s="118"/>
      <c r="BH235" s="75" t="n">
        <f aca="false">IF(OR(SUM($AI235)&lt;=0,SUM($G235)&lt;=0),"",ROUND($G235*$AI235,0))</f>
        <v>12</v>
      </c>
      <c r="BI235" s="75" t="str">
        <f aca="false">IF(SUM($BH235)&lt;=0,"",IF(SUM($BG235)&lt;=0,"ENTER VALID YIELD!",ROUND($BH235/$BG235,0)-$BH235))</f>
        <v>ENTER VALID YIELD!</v>
      </c>
      <c r="BJ235" s="118"/>
      <c r="BK235" s="75" t="n">
        <f aca="false">IF(OR(SUM($AJ235)&lt;=0,SUM($G235)&lt;=0),"",ROUND($G235*$AJ235,0))</f>
        <v>162</v>
      </c>
      <c r="BL235" s="75" t="str">
        <f aca="false">IF(SUM($BK235)&lt;=0,"",IF(SUM($BJ235)&lt;=0,"ENTER VALID YIELD!",ROUND($BK235/$BJ235,0)-$BK235))</f>
        <v>ENTER VALID YIELD!</v>
      </c>
      <c r="BM235" s="73" t="n">
        <f aca="false">IF(SUM($G235)&lt;=0,"",$G235)</f>
        <v>6</v>
      </c>
      <c r="BN235" s="73" t="n">
        <f aca="false">IF(SUM($G235)&lt;=0,"",SUM($I235:$L235,$Q235,$S235,$AM235,$AP235,$AS235,$AV235,$AY235,$BB235,$BE235,$BH235,$BK235))</f>
        <v>921</v>
      </c>
      <c r="BO235" s="73" t="n">
        <f aca="false">IF(AND(SUM($BN235)&lt;=0,SUM($BM235)&lt;=0),"",SUM($BN235)-SUM($BM235))</f>
        <v>915</v>
      </c>
      <c r="BP235" s="73" t="str">
        <f aca="false">_xlfn.IFNA(INDEX(PMTCT!$AF:$AF,MATCH($E235,PMTCT!$E:$E,0)),"")</f>
        <v/>
      </c>
      <c r="BQ235" s="73" t="str">
        <f aca="false">_xlfn.IFNA(INDEX(PMTCT!$AV:$AV,MATCH($E235,PMTCT!$E:$E,0)),"")</f>
        <v/>
      </c>
      <c r="BR235" s="73" t="n">
        <f aca="false">_xlfn.IFNA(INDEX(TB!$R:$R,MATCH($E235,TB!$E:$E,0)),"")</f>
        <v>14</v>
      </c>
      <c r="BS235" s="73" t="str">
        <f aca="false">_xlfn.IFNA(INDEX(VMMC!$AD:$AD,MATCH($E235,VMMC!$E:$E,0)),"")</f>
        <v/>
      </c>
      <c r="BT235" s="73" t="n">
        <f aca="false">IF(SUM($R235,$T235,$AN235,$AQ235,$AT235,$AW235,$AZ235,$BC235,$BF235,$BI235,$BL235,$BP235:$BS235)=0,"",SUM($R235,$T235,$AN235,$AQ235,$AT235,$AW235,$AZ235,$BC235,$BF235,$BI235,$BL235,$BP235:$BS235))</f>
        <v>8</v>
      </c>
      <c r="BU235" s="73" t="n">
        <f aca="false">IF(OR(SUM($BT235)=0,SUM($BN235)=0),"",SUM($BT235,$BN235))</f>
        <v>929</v>
      </c>
      <c r="BV235" s="118" t="n">
        <f aca="false">IF(SUM($BU235)=0,"",SUM($BN235)/$BU235)</f>
        <v>0.991388589881593</v>
      </c>
      <c r="BW235" s="73"/>
      <c r="BX235" s="118" t="str">
        <f aca="false">IF(OR($C235="01-04",$C235="05-09"),"",0%)</f>
        <v/>
      </c>
      <c r="BY235" s="75" t="str">
        <f aca="false">IF(OR($C235="01-04",$C235="05-09",SUM($BW235)=0),"",ROUND($BW235*(1+$BX235),0))</f>
        <v/>
      </c>
    </row>
    <row r="236" customFormat="false" ht="15" hidden="false" customHeight="false" outlineLevel="0" collapsed="false">
      <c r="A236" s="0" t="s">
        <v>151</v>
      </c>
      <c r="B236" s="0" t="s">
        <v>101</v>
      </c>
      <c r="C236" s="0" t="s">
        <v>54</v>
      </c>
      <c r="D236" s="0" t="s">
        <v>58</v>
      </c>
      <c r="E236" s="0" t="str">
        <f aca="false">B236&amp;"|"&amp;C236&amp;"|"&amp;D236</f>
        <v>Thaba Tseka [#SNU] [jyhIrCoB31x]|01-04|Male</v>
      </c>
      <c r="F236" s="118" t="n">
        <f aca="false">_xlfn.IFNA(INDEX(Cascade!$Y:$Y,MATCH($E236,Cascade!$E:$E,0)),"")</f>
        <v>0.512820512820513</v>
      </c>
      <c r="G236" s="73" t="n">
        <f aca="false">_xlfn.IFNA(INDEX(Cascade!$BD:$BD,MATCH($E236,Cascade!$E:$E,0)),"")</f>
        <v>6</v>
      </c>
      <c r="H236" s="73" t="n">
        <f aca="false">_xlfn.IFNA(INDEX(Cascade!$BE:$BE,MATCH($E236,Cascade!$E:$E,0)),"")</f>
        <v>2</v>
      </c>
      <c r="I236" s="73" t="str">
        <f aca="false">_xlfn.IFNA(INDEX(Cascade!$BF:$BF,MATCH($E236,Cascade!$E:$E,0)),"")</f>
        <v/>
      </c>
      <c r="J236" s="73" t="str">
        <f aca="false">_xlfn.IFNA(INDEX(Cascade!$BG:$BG,MATCH($E236,Cascade!$E:$E,0)),"")</f>
        <v/>
      </c>
      <c r="K236" s="73" t="n">
        <f aca="false">_xlfn.IFNA(INDEX(Cascade!$BH:$BH,MATCH($E236,Cascade!$E:$E,0)),"")</f>
        <v>0</v>
      </c>
      <c r="L236" s="73" t="str">
        <f aca="false">_xlfn.IFNA(INDEX(Cascade!$BI:$BI,MATCH($E236,Cascade!$E:$E,0)),"")</f>
        <v/>
      </c>
      <c r="M236" s="73" t="n">
        <f aca="false">_xlfn.IFNA(INDEX(Cascade!$BK:$BK,MATCH($E236,Cascade!$E:$E,0)),"")</f>
        <v>4</v>
      </c>
      <c r="N236" s="118"/>
      <c r="O236" s="118"/>
      <c r="P236" s="118"/>
      <c r="Q236" s="75" t="str">
        <f aca="false">IF(OR(SUM($H236)=0,SUM($N236)=0,SUM($O236)=0),"",ROUND($H236*$N236,0))</f>
        <v/>
      </c>
      <c r="R236" s="75" t="str">
        <f aca="false">IF(OR(SUM($Q236)=0,SUM($O236)=0),"",ROUND(SUM($Q236)/SUM($O236),0)-SUM($Q236))</f>
        <v/>
      </c>
      <c r="S236" s="75" t="n">
        <f aca="false">IF(SUM($H236)=0,"",SUM($H236)-SUM($Q236))</f>
        <v>2</v>
      </c>
      <c r="T236" s="75" t="str">
        <f aca="false">IF(OR(SUM($S236)=0,$N236&gt;1,SUM($P236)&lt;=0),"",ROUND($S236/$P236,0)-$S236)</f>
        <v/>
      </c>
      <c r="U236" s="118" t="n">
        <f aca="false">IF(SUM($G236)&lt;=0,"",SUM($Q236,$S236)/$G236)</f>
        <v>0.333333333333333</v>
      </c>
      <c r="V236" s="118" t="str">
        <f aca="false">IF(OR(SUM($Q236)=0,SUM($G236)=0),"",SUM($Q236)/SUM($G236))</f>
        <v/>
      </c>
      <c r="W236" s="118" t="n">
        <f aca="false">IF(OR(SUM($S236)=0,SUM($G236)=0),"",SUM($S236)/SUM($G236))</f>
        <v>0.333333333333333</v>
      </c>
      <c r="X236" s="118" t="str">
        <f aca="false">IF(OR(SUM($G236)=0,SUM($I236)=0),"",SUM($I236)/SUM($G236))</f>
        <v/>
      </c>
      <c r="Y236" s="118" t="str">
        <f aca="false">IF(OR(SUM($G236)=0,SUM($J236)=0),"",SUM($J236)/SUM($G236))</f>
        <v/>
      </c>
      <c r="Z236" s="118" t="str">
        <f aca="false">IF(OR(SUM($G236)=0,SUM($K236)=0),"",SUM($K236)/SUM($G236))</f>
        <v/>
      </c>
      <c r="AA236" s="118" t="str">
        <f aca="false">IF(OR(SUM($G236)=0,SUM($L236)=0),"",SUM($L236)/SUM($G236))</f>
        <v/>
      </c>
      <c r="AB236" s="118" t="n">
        <v>28</v>
      </c>
      <c r="AC236" s="118" t="n">
        <v>35</v>
      </c>
      <c r="AD236" s="118" t="n">
        <v>43</v>
      </c>
      <c r="AE236" s="118" t="n">
        <v>48</v>
      </c>
      <c r="AF236" s="118" t="n">
        <v>23</v>
      </c>
      <c r="AG236" s="118" t="n">
        <v>4</v>
      </c>
      <c r="AH236" s="118" t="n">
        <v>23</v>
      </c>
      <c r="AI236" s="118" t="n">
        <v>11</v>
      </c>
      <c r="AJ236" s="118" t="n">
        <v>26</v>
      </c>
      <c r="AK236" s="118" t="n">
        <f aca="false">IF(SUM($G236)&lt;=0,"",SUM($V236:$AJ236))</f>
        <v>241.333333333333</v>
      </c>
      <c r="AL236" s="118" t="n">
        <v>41</v>
      </c>
      <c r="AM236" s="75" t="n">
        <f aca="false">IF(OR(SUM($AB236)&lt;=0,SUM($G236)&lt;=0),"",ROUND($G236*$AB236,0))</f>
        <v>168</v>
      </c>
      <c r="AN236" s="75" t="n">
        <f aca="false">IF(SUM($AM236)&lt;=0,"",IF(SUM($AL236)&lt;=0,"ENTER VALID YIELD!",ROUND($AM236/$AL236,0)-$AM236))</f>
        <v>-164</v>
      </c>
      <c r="AO236" s="118"/>
      <c r="AP236" s="75" t="n">
        <f aca="false">IF(OR(SUM($AC236)&lt;=0,SUM($G236)&lt;=0),"",ROUND($G236*$AC236,0))</f>
        <v>210</v>
      </c>
      <c r="AQ236" s="75" t="str">
        <f aca="false">IF(SUM($AP236)&lt;=0,"",IF(SUM($AO236)&lt;=0,"ENTER VALID YIELD!",ROUND($AP236/$AO236,0)-$AP236))</f>
        <v>ENTER VALID YIELD!</v>
      </c>
      <c r="AR236" s="118"/>
      <c r="AS236" s="75" t="n">
        <f aca="false">IF(OR(SUM($AD236)&lt;=0,SUM($G236)&lt;=0),"",ROUND($G236*$AD236,0))</f>
        <v>258</v>
      </c>
      <c r="AT236" s="75" t="str">
        <f aca="false">IF(SUM($AS236)&lt;=0,"",IF(SUM($AR236)&lt;=0,"ENTER VALID YIELD!",ROUND($AS236/$AR236,0)-$AS236))</f>
        <v>ENTER VALID YIELD!</v>
      </c>
      <c r="AU236" s="118"/>
      <c r="AV236" s="75" t="n">
        <f aca="false">IF(OR(SUM($AE236)&lt;=0,SUM($G236)&lt;=0),"",ROUND($G236*$AE236,0))</f>
        <v>288</v>
      </c>
      <c r="AW236" s="75" t="str">
        <f aca="false">IF(SUM($AV236)&lt;=0,"",IF(SUM($AU236)&lt;=0,"ENTER VALID YIELD!",ROUND($AV236/$AU236,0)-$AV236))</f>
        <v>ENTER VALID YIELD!</v>
      </c>
      <c r="AX236" s="118"/>
      <c r="AY236" s="75" t="n">
        <f aca="false">IF(OR(SUM($AF236)&lt;=0,SUM($G236)&lt;=0),"",ROUND($G236*$AF236,0))</f>
        <v>138</v>
      </c>
      <c r="AZ236" s="75" t="str">
        <f aca="false">IF(SUM($AY236)&lt;=0,"",IF(SUM($AX236)&lt;=0,"ENTER VALID YIELD!",ROUND($AY236/$AX236,0)-$AY236))</f>
        <v>ENTER VALID YIELD!</v>
      </c>
      <c r="BA236" s="118" t="n">
        <v>28</v>
      </c>
      <c r="BB236" s="75" t="n">
        <f aca="false">IF(OR(SUM($AG236)&lt;=0,SUM($G236)&lt;=0),"",ROUND($G236*$AG236,0))</f>
        <v>24</v>
      </c>
      <c r="BC236" s="75" t="n">
        <f aca="false">IF(SUM($BB236)&lt;=0,"",IF(SUM($BA236)&lt;=0,"ENTER VALID YIELD!",ROUND($BB236/$BA236,0)-$BB236))</f>
        <v>-23</v>
      </c>
      <c r="BD236" s="118"/>
      <c r="BE236" s="75" t="n">
        <f aca="false">IF(OR(SUM($AH236)&lt;=0,SUM($G236)&lt;=0),"",ROUND($G236*$AH236,0))</f>
        <v>138</v>
      </c>
      <c r="BF236" s="75" t="str">
        <f aca="false">IF(SUM($BE236)&lt;=0,"",IF(SUM($BD236)&lt;=0,"ENTER VALID YIELD!",ROUND($BE236/$BD236,0)-$BE236))</f>
        <v>ENTER VALID YIELD!</v>
      </c>
      <c r="BG236" s="118"/>
      <c r="BH236" s="75" t="n">
        <f aca="false">IF(OR(SUM($AI236)&lt;=0,SUM($G236)&lt;=0),"",ROUND($G236*$AI236,0))</f>
        <v>66</v>
      </c>
      <c r="BI236" s="75" t="str">
        <f aca="false">IF(SUM($BH236)&lt;=0,"",IF(SUM($BG236)&lt;=0,"ENTER VALID YIELD!",ROUND($BH236/$BG236,0)-$BH236))</f>
        <v>ENTER VALID YIELD!</v>
      </c>
      <c r="BJ236" s="118"/>
      <c r="BK236" s="75" t="n">
        <f aca="false">IF(OR(SUM($AJ236)&lt;=0,SUM($G236)&lt;=0),"",ROUND($G236*$AJ236,0))</f>
        <v>156</v>
      </c>
      <c r="BL236" s="75" t="str">
        <f aca="false">IF(SUM($BK236)&lt;=0,"",IF(SUM($BJ236)&lt;=0,"ENTER VALID YIELD!",ROUND($BK236/$BJ236,0)-$BK236))</f>
        <v>ENTER VALID YIELD!</v>
      </c>
      <c r="BM236" s="73" t="n">
        <f aca="false">IF(SUM($G236)&lt;=0,"",$G236)</f>
        <v>6</v>
      </c>
      <c r="BN236" s="73" t="n">
        <f aca="false">IF(SUM($G236)&lt;=0,"",SUM($I236:$L236,$Q236,$S236,$AM236,$AP236,$AS236,$AV236,$AY236,$BB236,$BE236,$BH236,$BK236))</f>
        <v>1448</v>
      </c>
      <c r="BO236" s="73" t="n">
        <f aca="false">IF(AND(SUM($BN236)&lt;=0,SUM($BM236)&lt;=0),"",SUM($BN236)-SUM($BM236))</f>
        <v>1442</v>
      </c>
      <c r="BP236" s="73" t="str">
        <f aca="false">_xlfn.IFNA(INDEX(PMTCT!$AF:$AF,MATCH($E236,PMTCT!$E:$E,0)),"")</f>
        <v/>
      </c>
      <c r="BQ236" s="73" t="str">
        <f aca="false">_xlfn.IFNA(INDEX(PMTCT!$AV:$AV,MATCH($E236,PMTCT!$E:$E,0)),"")</f>
        <v/>
      </c>
      <c r="BR236" s="73" t="n">
        <f aca="false">_xlfn.IFNA(INDEX(TB!$R:$R,MATCH($E236,TB!$E:$E,0)),"")</f>
        <v>17</v>
      </c>
      <c r="BS236" s="73" t="str">
        <f aca="false">_xlfn.IFNA(INDEX(VMMC!$AD:$AD,MATCH($E236,VMMC!$E:$E,0)),"")</f>
        <v/>
      </c>
      <c r="BT236" s="73" t="n">
        <f aca="false">IF(SUM($R236,$T236,$AN236,$AQ236,$AT236,$AW236,$AZ236,$BC236,$BF236,$BI236,$BL236,$BP236:$BS236)=0,"",SUM($R236,$T236,$AN236,$AQ236,$AT236,$AW236,$AZ236,$BC236,$BF236,$BI236,$BL236,$BP236:$BS236))</f>
        <v>-170</v>
      </c>
      <c r="BU236" s="73" t="n">
        <f aca="false">IF(OR(SUM($BT236)=0,SUM($BN236)=0),"",SUM($BT236,$BN236))</f>
        <v>1278</v>
      </c>
      <c r="BV236" s="118" t="n">
        <f aca="false">IF(SUM($BU236)=0,"",SUM($BN236)/$BU236)</f>
        <v>1.13302034428795</v>
      </c>
      <c r="BW236" s="73"/>
      <c r="BX236" s="118" t="str">
        <f aca="false">IF(OR($C236="01-04",$C236="05-09"),"",0%)</f>
        <v/>
      </c>
      <c r="BY236" s="75" t="str">
        <f aca="false">IF(OR($C236="01-04",$C236="05-09",SUM($BW236)=0),"",ROUND($BW236*(1+$BX236),0))</f>
        <v/>
      </c>
    </row>
    <row r="237" customFormat="false" ht="15" hidden="false" customHeight="false" outlineLevel="0" collapsed="false">
      <c r="A237" s="0" t="s">
        <v>151</v>
      </c>
      <c r="B237" s="0" t="s">
        <v>101</v>
      </c>
      <c r="C237" s="0" t="s">
        <v>83</v>
      </c>
      <c r="D237" s="0" t="s">
        <v>56</v>
      </c>
      <c r="E237" s="0" t="str">
        <f aca="false">B237&amp;"|"&amp;C237&amp;"|"&amp;D237</f>
        <v>Thaba Tseka [#SNU] [jyhIrCoB31x]|05-09|Female</v>
      </c>
      <c r="F237" s="118" t="n">
        <f aca="false">_xlfn.IFNA(INDEX(Cascade!$Y:$Y,MATCH($E237,Cascade!$E:$E,0)),"")</f>
        <v>0.631147540983607</v>
      </c>
      <c r="G237" s="73" t="n">
        <f aca="false">_xlfn.IFNA(INDEX(Cascade!$BD:$BD,MATCH($E237,Cascade!$E:$E,0)),"")</f>
        <v>17</v>
      </c>
      <c r="H237" s="73" t="n">
        <f aca="false">_xlfn.IFNA(INDEX(Cascade!$BE:$BE,MATCH($E237,Cascade!$E:$E,0)),"")</f>
        <v>5</v>
      </c>
      <c r="I237" s="73" t="str">
        <f aca="false">_xlfn.IFNA(INDEX(Cascade!$BF:$BF,MATCH($E237,Cascade!$E:$E,0)),"")</f>
        <v/>
      </c>
      <c r="J237" s="73" t="str">
        <f aca="false">_xlfn.IFNA(INDEX(Cascade!$BG:$BG,MATCH($E237,Cascade!$E:$E,0)),"")</f>
        <v/>
      </c>
      <c r="K237" s="73" t="n">
        <f aca="false">_xlfn.IFNA(INDEX(Cascade!$BH:$BH,MATCH($E237,Cascade!$E:$E,0)),"")</f>
        <v>0</v>
      </c>
      <c r="L237" s="73" t="str">
        <f aca="false">_xlfn.IFNA(INDEX(Cascade!$BI:$BI,MATCH($E237,Cascade!$E:$E,0)),"")</f>
        <v/>
      </c>
      <c r="M237" s="73" t="n">
        <f aca="false">_xlfn.IFNA(INDEX(Cascade!$BK:$BK,MATCH($E237,Cascade!$E:$E,0)),"")</f>
        <v>12</v>
      </c>
      <c r="N237" s="118" t="n">
        <v>34</v>
      </c>
      <c r="O237" s="118"/>
      <c r="P237" s="118" t="n">
        <v>6</v>
      </c>
      <c r="Q237" s="75" t="str">
        <f aca="false">IF(OR(SUM($H237)=0,SUM($N237)=0,SUM($O237)=0),"",ROUND($H237*$N237,0))</f>
        <v/>
      </c>
      <c r="R237" s="75" t="str">
        <f aca="false">IF(OR(SUM($Q237)=0,SUM($O237)=0),"",ROUND(SUM($Q237)/SUM($O237),0)-SUM($Q237))</f>
        <v/>
      </c>
      <c r="S237" s="75" t="n">
        <f aca="false">IF(SUM($H237)=0,"",SUM($H237)-SUM($Q237))</f>
        <v>5</v>
      </c>
      <c r="T237" s="75" t="str">
        <f aca="false">IF(OR(SUM($S237)=0,$N237&gt;1,SUM($P237)&lt;=0),"",ROUND($S237/$P237,0)-$S237)</f>
        <v/>
      </c>
      <c r="U237" s="118" t="n">
        <f aca="false">IF(SUM($G237)&lt;=0,"",SUM($Q237,$S237)/$G237)</f>
        <v>0.294117647058823</v>
      </c>
      <c r="V237" s="118" t="str">
        <f aca="false">IF(OR(SUM($Q237)=0,SUM($G237)=0),"",SUM($Q237)/SUM($G237))</f>
        <v/>
      </c>
      <c r="W237" s="118" t="n">
        <f aca="false">IF(OR(SUM($S237)=0,SUM($G237)=0),"",SUM($S237)/SUM($G237))</f>
        <v>0.294117647058823</v>
      </c>
      <c r="X237" s="118" t="str">
        <f aca="false">IF(OR(SUM($G237)=0,SUM($I237)=0),"",SUM($I237)/SUM($G237))</f>
        <v/>
      </c>
      <c r="Y237" s="118" t="str">
        <f aca="false">IF(OR(SUM($G237)=0,SUM($J237)=0),"",SUM($J237)/SUM($G237))</f>
        <v/>
      </c>
      <c r="Z237" s="118" t="str">
        <f aca="false">IF(OR(SUM($G237)=0,SUM($K237)=0),"",SUM($K237)/SUM($G237))</f>
        <v/>
      </c>
      <c r="AA237" s="118" t="str">
        <f aca="false">IF(OR(SUM($G237)=0,SUM($L237)=0),"",SUM($L237)/SUM($G237))</f>
        <v/>
      </c>
      <c r="AB237" s="118" t="n">
        <v>12</v>
      </c>
      <c r="AC237" s="118"/>
      <c r="AD237" s="118"/>
      <c r="AE237" s="118" t="n">
        <v>15</v>
      </c>
      <c r="AF237" s="118" t="n">
        <v>3</v>
      </c>
      <c r="AG237" s="118" t="n">
        <v>5</v>
      </c>
      <c r="AH237" s="118" t="n">
        <v>29</v>
      </c>
      <c r="AI237" s="118" t="n">
        <v>16</v>
      </c>
      <c r="AJ237" s="118" t="n">
        <v>48</v>
      </c>
      <c r="AK237" s="118" t="n">
        <f aca="false">IF(SUM($G237)&lt;=0,"",SUM($V237:$AJ237))</f>
        <v>128.294117647059</v>
      </c>
      <c r="AL237" s="118"/>
      <c r="AM237" s="75" t="n">
        <f aca="false">IF(OR(SUM($AB237)&lt;=0,SUM($G237)&lt;=0),"",ROUND($G237*$AB237,0))</f>
        <v>204</v>
      </c>
      <c r="AN237" s="75" t="str">
        <f aca="false">IF(SUM($AM237)&lt;=0,"",IF(SUM($AL237)&lt;=0,"ENTER VALID YIELD!",ROUND($AM237/$AL237,0)-$AM237))</f>
        <v>ENTER VALID YIELD!</v>
      </c>
      <c r="AO237" s="118"/>
      <c r="AP237" s="75" t="str">
        <f aca="false">IF(OR(SUM($AC237)&lt;=0,SUM($G237)&lt;=0),"",ROUND($G237*$AC237,0))</f>
        <v/>
      </c>
      <c r="AQ237" s="75" t="str">
        <f aca="false">IF(SUM($AP237)&lt;=0,"",IF(SUM($AO237)&lt;=0,"ENTER VALID YIELD!",ROUND($AP237/$AO237,0)-$AP237))</f>
        <v/>
      </c>
      <c r="AR237" s="118"/>
      <c r="AS237" s="75" t="str">
        <f aca="false">IF(OR(SUM($AD237)&lt;=0,SUM($G237)&lt;=0),"",ROUND($G237*$AD237,0))</f>
        <v/>
      </c>
      <c r="AT237" s="75" t="str">
        <f aca="false">IF(SUM($AS237)&lt;=0,"",IF(SUM($AR237)&lt;=0,"ENTER VALID YIELD!",ROUND($AS237/$AR237,0)-$AS237))</f>
        <v/>
      </c>
      <c r="AU237" s="118"/>
      <c r="AV237" s="75" t="n">
        <f aca="false">IF(OR(SUM($AE237)&lt;=0,SUM($G237)&lt;=0),"",ROUND($G237*$AE237,0))</f>
        <v>255</v>
      </c>
      <c r="AW237" s="75" t="str">
        <f aca="false">IF(SUM($AV237)&lt;=0,"",IF(SUM($AU237)&lt;=0,"ENTER VALID YIELD!",ROUND($AV237/$AU237,0)-$AV237))</f>
        <v>ENTER VALID YIELD!</v>
      </c>
      <c r="AX237" s="118"/>
      <c r="AY237" s="75" t="n">
        <f aca="false">IF(OR(SUM($AF237)&lt;=0,SUM($G237)&lt;=0),"",ROUND($G237*$AF237,0))</f>
        <v>51</v>
      </c>
      <c r="AZ237" s="75" t="str">
        <f aca="false">IF(SUM($AY237)&lt;=0,"",IF(SUM($AX237)&lt;=0,"ENTER VALID YIELD!",ROUND($AY237/$AX237,0)-$AY237))</f>
        <v>ENTER VALID YIELD!</v>
      </c>
      <c r="BA237" s="118"/>
      <c r="BB237" s="75" t="n">
        <f aca="false">IF(OR(SUM($AG237)&lt;=0,SUM($G237)&lt;=0),"",ROUND($G237*$AG237,0))</f>
        <v>85</v>
      </c>
      <c r="BC237" s="75" t="str">
        <f aca="false">IF(SUM($BB237)&lt;=0,"",IF(SUM($BA237)&lt;=0,"ENTER VALID YIELD!",ROUND($BB237/$BA237,0)-$BB237))</f>
        <v>ENTER VALID YIELD!</v>
      </c>
      <c r="BD237" s="118"/>
      <c r="BE237" s="75" t="n">
        <f aca="false">IF(OR(SUM($AH237)&lt;=0,SUM($G237)&lt;=0),"",ROUND($G237*$AH237,0))</f>
        <v>493</v>
      </c>
      <c r="BF237" s="75" t="str">
        <f aca="false">IF(SUM($BE237)&lt;=0,"",IF(SUM($BD237)&lt;=0,"ENTER VALID YIELD!",ROUND($BE237/$BD237,0)-$BE237))</f>
        <v>ENTER VALID YIELD!</v>
      </c>
      <c r="BG237" s="118"/>
      <c r="BH237" s="75" t="n">
        <f aca="false">IF(OR(SUM($AI237)&lt;=0,SUM($G237)&lt;=0),"",ROUND($G237*$AI237,0))</f>
        <v>272</v>
      </c>
      <c r="BI237" s="75" t="str">
        <f aca="false">IF(SUM($BH237)&lt;=0,"",IF(SUM($BG237)&lt;=0,"ENTER VALID YIELD!",ROUND($BH237/$BG237,0)-$BH237))</f>
        <v>ENTER VALID YIELD!</v>
      </c>
      <c r="BJ237" s="118"/>
      <c r="BK237" s="75" t="n">
        <f aca="false">IF(OR(SUM($AJ237)&lt;=0,SUM($G237)&lt;=0),"",ROUND($G237*$AJ237,0))</f>
        <v>816</v>
      </c>
      <c r="BL237" s="75" t="str">
        <f aca="false">IF(SUM($BK237)&lt;=0,"",IF(SUM($BJ237)&lt;=0,"ENTER VALID YIELD!",ROUND($BK237/$BJ237,0)-$BK237))</f>
        <v>ENTER VALID YIELD!</v>
      </c>
      <c r="BM237" s="73" t="n">
        <f aca="false">IF(SUM($G237)&lt;=0,"",$G237)</f>
        <v>17</v>
      </c>
      <c r="BN237" s="73" t="n">
        <f aca="false">IF(SUM($G237)&lt;=0,"",SUM($I237:$L237,$Q237,$S237,$AM237,$AP237,$AS237,$AV237,$AY237,$BB237,$BE237,$BH237,$BK237))</f>
        <v>2181</v>
      </c>
      <c r="BO237" s="73" t="n">
        <f aca="false">IF(AND(SUM($BN237)&lt;=0,SUM($BM237)&lt;=0),"",SUM($BN237)-SUM($BM237))</f>
        <v>2164</v>
      </c>
      <c r="BP237" s="73" t="str">
        <f aca="false">_xlfn.IFNA(INDEX(PMTCT!$AF:$AF,MATCH($E237,PMTCT!$E:$E,0)),"")</f>
        <v/>
      </c>
      <c r="BQ237" s="73" t="str">
        <f aca="false">_xlfn.IFNA(INDEX(PMTCT!$AV:$AV,MATCH($E237,PMTCT!$E:$E,0)),"")</f>
        <v/>
      </c>
      <c r="BR237" s="73" t="n">
        <f aca="false">_xlfn.IFNA(INDEX(TB!$R:$R,MATCH($E237,TB!$E:$E,0)),"")</f>
        <v>25</v>
      </c>
      <c r="BS237" s="73" t="str">
        <f aca="false">_xlfn.IFNA(INDEX(VMMC!$AD:$AD,MATCH($E237,VMMC!$E:$E,0)),"")</f>
        <v/>
      </c>
      <c r="BT237" s="73" t="n">
        <f aca="false">IF(SUM($R237,$T237,$AN237,$AQ237,$AT237,$AW237,$AZ237,$BC237,$BF237,$BI237,$BL237,$BP237:$BS237)=0,"",SUM($R237,$T237,$AN237,$AQ237,$AT237,$AW237,$AZ237,$BC237,$BF237,$BI237,$BL237,$BP237:$BS237))</f>
        <v>25</v>
      </c>
      <c r="BU237" s="73" t="n">
        <f aca="false">IF(OR(SUM($BT237)=0,SUM($BN237)=0),"",SUM($BT237,$BN237))</f>
        <v>2206</v>
      </c>
      <c r="BV237" s="118" t="n">
        <f aca="false">IF(SUM($BU237)=0,"",SUM($BN237)/$BU237)</f>
        <v>0.988667271078876</v>
      </c>
      <c r="BW237" s="73"/>
      <c r="BX237" s="118" t="str">
        <f aca="false">IF(OR($C237="01-04",$C237="05-09"),"",0%)</f>
        <v/>
      </c>
      <c r="BY237" s="75" t="str">
        <f aca="false">IF(OR($C237="01-04",$C237="05-09",SUM($BW237)=0),"",ROUND($BW237*(1+$BX237),0))</f>
        <v/>
      </c>
    </row>
    <row r="238" customFormat="false" ht="15" hidden="false" customHeight="false" outlineLevel="0" collapsed="false">
      <c r="A238" s="0" t="s">
        <v>151</v>
      </c>
      <c r="B238" s="0" t="s">
        <v>101</v>
      </c>
      <c r="C238" s="0" t="s">
        <v>83</v>
      </c>
      <c r="D238" s="0" t="s">
        <v>58</v>
      </c>
      <c r="E238" s="0" t="str">
        <f aca="false">B238&amp;"|"&amp;C238&amp;"|"&amp;D238</f>
        <v>Thaba Tseka [#SNU] [jyhIrCoB31x]|05-09|Male</v>
      </c>
      <c r="F238" s="118" t="n">
        <f aca="false">_xlfn.IFNA(INDEX(Cascade!$Y:$Y,MATCH($E238,Cascade!$E:$E,0)),"")</f>
        <v>0.663793103448276</v>
      </c>
      <c r="G238" s="73" t="n">
        <f aca="false">_xlfn.IFNA(INDEX(Cascade!$BD:$BD,MATCH($E238,Cascade!$E:$E,0)),"")</f>
        <v>1</v>
      </c>
      <c r="H238" s="73" t="n">
        <f aca="false">_xlfn.IFNA(INDEX(Cascade!$BE:$BE,MATCH($E238,Cascade!$E:$E,0)),"")</f>
        <v>0</v>
      </c>
      <c r="I238" s="73" t="str">
        <f aca="false">_xlfn.IFNA(INDEX(Cascade!$BF:$BF,MATCH($E238,Cascade!$E:$E,0)),"")</f>
        <v/>
      </c>
      <c r="J238" s="73" t="str">
        <f aca="false">_xlfn.IFNA(INDEX(Cascade!$BG:$BG,MATCH($E238,Cascade!$E:$E,0)),"")</f>
        <v/>
      </c>
      <c r="K238" s="73" t="n">
        <f aca="false">_xlfn.IFNA(INDEX(Cascade!$BH:$BH,MATCH($E238,Cascade!$E:$E,0)),"")</f>
        <v>0</v>
      </c>
      <c r="L238" s="73" t="str">
        <f aca="false">_xlfn.IFNA(INDEX(Cascade!$BI:$BI,MATCH($E238,Cascade!$E:$E,0)),"")</f>
        <v/>
      </c>
      <c r="M238" s="73" t="n">
        <f aca="false">_xlfn.IFNA(INDEX(Cascade!$BK:$BK,MATCH($E238,Cascade!$E:$E,0)),"")</f>
        <v>1</v>
      </c>
      <c r="N238" s="118" t="n">
        <v>21</v>
      </c>
      <c r="O238" s="118"/>
      <c r="P238" s="118" t="n">
        <v>15</v>
      </c>
      <c r="Q238" s="75" t="str">
        <f aca="false">IF(OR(SUM($H238)=0,SUM($N238)=0,SUM($O238)=0),"",ROUND($H238*$N238,0))</f>
        <v/>
      </c>
      <c r="R238" s="75" t="str">
        <f aca="false">IF(OR(SUM($Q238)=0,SUM($O238)=0),"",ROUND(SUM($Q238)/SUM($O238),0)-SUM($Q238))</f>
        <v/>
      </c>
      <c r="S238" s="75" t="str">
        <f aca="false">IF(SUM($H238)=0,"",SUM($H238)-SUM($Q238))</f>
        <v/>
      </c>
      <c r="T238" s="75" t="str">
        <f aca="false">IF(OR(SUM($S238)=0,$N238&gt;1,SUM($P238)&lt;=0),"",ROUND($S238/$P238,0)-$S238)</f>
        <v/>
      </c>
      <c r="U238" s="118" t="n">
        <f aca="false">IF(SUM($G238)&lt;=0,"",SUM($Q238,$S238)/$G238)</f>
        <v>0</v>
      </c>
      <c r="V238" s="118" t="str">
        <f aca="false">IF(OR(SUM($Q238)=0,SUM($G238)=0),"",SUM($Q238)/SUM($G238))</f>
        <v/>
      </c>
      <c r="W238" s="118" t="str">
        <f aca="false">IF(OR(SUM($S238)=0,SUM($G238)=0),"",SUM($S238)/SUM($G238))</f>
        <v/>
      </c>
      <c r="X238" s="118" t="str">
        <f aca="false">IF(OR(SUM($G238)=0,SUM($I238)=0),"",SUM($I238)/SUM($G238))</f>
        <v/>
      </c>
      <c r="Y238" s="118" t="str">
        <f aca="false">IF(OR(SUM($G238)=0,SUM($J238)=0),"",SUM($J238)/SUM($G238))</f>
        <v/>
      </c>
      <c r="Z238" s="118" t="str">
        <f aca="false">IF(OR(SUM($G238)=0,SUM($K238)=0),"",SUM($K238)/SUM($G238))</f>
        <v/>
      </c>
      <c r="AA238" s="118" t="str">
        <f aca="false">IF(OR(SUM($G238)=0,SUM($L238)=0),"",SUM($L238)/SUM($G238))</f>
        <v/>
      </c>
      <c r="AB238" s="118" t="n">
        <v>14</v>
      </c>
      <c r="AC238" s="118"/>
      <c r="AD238" s="118"/>
      <c r="AE238" s="118" t="n">
        <v>30</v>
      </c>
      <c r="AF238" s="118" t="n">
        <v>1</v>
      </c>
      <c r="AG238" s="118" t="n">
        <v>23</v>
      </c>
      <c r="AH238" s="118" t="n">
        <v>42</v>
      </c>
      <c r="AI238" s="118" t="n">
        <v>36</v>
      </c>
      <c r="AJ238" s="118" t="n">
        <v>9</v>
      </c>
      <c r="AK238" s="118" t="n">
        <f aca="false">IF(SUM($G238)&lt;=0,"",SUM($V238:$AJ238))</f>
        <v>155</v>
      </c>
      <c r="AL238" s="118"/>
      <c r="AM238" s="75" t="n">
        <f aca="false">IF(OR(SUM($AB238)&lt;=0,SUM($G238)&lt;=0),"",ROUND($G238*$AB238,0))</f>
        <v>14</v>
      </c>
      <c r="AN238" s="75" t="str">
        <f aca="false">IF(SUM($AM238)&lt;=0,"",IF(SUM($AL238)&lt;=0,"ENTER VALID YIELD!",ROUND($AM238/$AL238,0)-$AM238))</f>
        <v>ENTER VALID YIELD!</v>
      </c>
      <c r="AO238" s="118"/>
      <c r="AP238" s="75" t="str">
        <f aca="false">IF(OR(SUM($AC238)&lt;=0,SUM($G238)&lt;=0),"",ROUND($G238*$AC238,0))</f>
        <v/>
      </c>
      <c r="AQ238" s="75" t="str">
        <f aca="false">IF(SUM($AP238)&lt;=0,"",IF(SUM($AO238)&lt;=0,"ENTER VALID YIELD!",ROUND($AP238/$AO238,0)-$AP238))</f>
        <v/>
      </c>
      <c r="AR238" s="118"/>
      <c r="AS238" s="75" t="str">
        <f aca="false">IF(OR(SUM($AD238)&lt;=0,SUM($G238)&lt;=0),"",ROUND($G238*$AD238,0))</f>
        <v/>
      </c>
      <c r="AT238" s="75" t="str">
        <f aca="false">IF(SUM($AS238)&lt;=0,"",IF(SUM($AR238)&lt;=0,"ENTER VALID YIELD!",ROUND($AS238/$AR238,0)-$AS238))</f>
        <v/>
      </c>
      <c r="AU238" s="118"/>
      <c r="AV238" s="75" t="n">
        <f aca="false">IF(OR(SUM($AE238)&lt;=0,SUM($G238)&lt;=0),"",ROUND($G238*$AE238,0))</f>
        <v>30</v>
      </c>
      <c r="AW238" s="75" t="str">
        <f aca="false">IF(SUM($AV238)&lt;=0,"",IF(SUM($AU238)&lt;=0,"ENTER VALID YIELD!",ROUND($AV238/$AU238,0)-$AV238))</f>
        <v>ENTER VALID YIELD!</v>
      </c>
      <c r="AX238" s="118"/>
      <c r="AY238" s="75" t="n">
        <f aca="false">IF(OR(SUM($AF238)&lt;=0,SUM($G238)&lt;=0),"",ROUND($G238*$AF238,0))</f>
        <v>1</v>
      </c>
      <c r="AZ238" s="75" t="str">
        <f aca="false">IF(SUM($AY238)&lt;=0,"",IF(SUM($AX238)&lt;=0,"ENTER VALID YIELD!",ROUND($AY238/$AX238,0)-$AY238))</f>
        <v>ENTER VALID YIELD!</v>
      </c>
      <c r="BA238" s="118" t="n">
        <v>46</v>
      </c>
      <c r="BB238" s="75" t="n">
        <f aca="false">IF(OR(SUM($AG238)&lt;=0,SUM($G238)&lt;=0),"",ROUND($G238*$AG238,0))</f>
        <v>23</v>
      </c>
      <c r="BC238" s="75" t="n">
        <f aca="false">IF(SUM($BB238)&lt;=0,"",IF(SUM($BA238)&lt;=0,"ENTER VALID YIELD!",ROUND($BB238/$BA238,0)-$BB238))</f>
        <v>-22</v>
      </c>
      <c r="BD238" s="118"/>
      <c r="BE238" s="75" t="n">
        <f aca="false">IF(OR(SUM($AH238)&lt;=0,SUM($G238)&lt;=0),"",ROUND($G238*$AH238,0))</f>
        <v>42</v>
      </c>
      <c r="BF238" s="75" t="str">
        <f aca="false">IF(SUM($BE238)&lt;=0,"",IF(SUM($BD238)&lt;=0,"ENTER VALID YIELD!",ROUND($BE238/$BD238,0)-$BE238))</f>
        <v>ENTER VALID YIELD!</v>
      </c>
      <c r="BG238" s="118"/>
      <c r="BH238" s="75" t="n">
        <f aca="false">IF(OR(SUM($AI238)&lt;=0,SUM($G238)&lt;=0),"",ROUND($G238*$AI238,0))</f>
        <v>36</v>
      </c>
      <c r="BI238" s="75" t="str">
        <f aca="false">IF(SUM($BH238)&lt;=0,"",IF(SUM($BG238)&lt;=0,"ENTER VALID YIELD!",ROUND($BH238/$BG238,0)-$BH238))</f>
        <v>ENTER VALID YIELD!</v>
      </c>
      <c r="BJ238" s="118"/>
      <c r="BK238" s="75" t="n">
        <f aca="false">IF(OR(SUM($AJ238)&lt;=0,SUM($G238)&lt;=0),"",ROUND($G238*$AJ238,0))</f>
        <v>9</v>
      </c>
      <c r="BL238" s="75" t="str">
        <f aca="false">IF(SUM($BK238)&lt;=0,"",IF(SUM($BJ238)&lt;=0,"ENTER VALID YIELD!",ROUND($BK238/$BJ238,0)-$BK238))</f>
        <v>ENTER VALID YIELD!</v>
      </c>
      <c r="BM238" s="73" t="n">
        <f aca="false">IF(SUM($G238)&lt;=0,"",$G238)</f>
        <v>1</v>
      </c>
      <c r="BN238" s="73" t="n">
        <f aca="false">IF(SUM($G238)&lt;=0,"",SUM($I238:$L238,$Q238,$S238,$AM238,$AP238,$AS238,$AV238,$AY238,$BB238,$BE238,$BH238,$BK238))</f>
        <v>155</v>
      </c>
      <c r="BO238" s="73" t="n">
        <f aca="false">IF(AND(SUM($BN238)&lt;=0,SUM($BM238)&lt;=0),"",SUM($BN238)-SUM($BM238))</f>
        <v>154</v>
      </c>
      <c r="BP238" s="73" t="str">
        <f aca="false">_xlfn.IFNA(INDEX(PMTCT!$AF:$AF,MATCH($E238,PMTCT!$E:$E,0)),"")</f>
        <v/>
      </c>
      <c r="BQ238" s="73" t="str">
        <f aca="false">_xlfn.IFNA(INDEX(PMTCT!$AV:$AV,MATCH($E238,PMTCT!$E:$E,0)),"")</f>
        <v/>
      </c>
      <c r="BR238" s="73" t="n">
        <f aca="false">_xlfn.IFNA(INDEX(TB!$R:$R,MATCH($E238,TB!$E:$E,0)),"")</f>
        <v>18</v>
      </c>
      <c r="BS238" s="73" t="str">
        <f aca="false">_xlfn.IFNA(INDEX(VMMC!$AD:$AD,MATCH($E238,VMMC!$E:$E,0)),"")</f>
        <v/>
      </c>
      <c r="BT238" s="73" t="n">
        <f aca="false">IF(SUM($R238,$T238,$AN238,$AQ238,$AT238,$AW238,$AZ238,$BC238,$BF238,$BI238,$BL238,$BP238:$BS238)=0,"",SUM($R238,$T238,$AN238,$AQ238,$AT238,$AW238,$AZ238,$BC238,$BF238,$BI238,$BL238,$BP238:$BS238))</f>
        <v>-4</v>
      </c>
      <c r="BU238" s="73" t="n">
        <f aca="false">IF(OR(SUM($BT238)=0,SUM($BN238)=0),"",SUM($BT238,$BN238))</f>
        <v>151</v>
      </c>
      <c r="BV238" s="118" t="n">
        <f aca="false">IF(SUM($BU238)=0,"",SUM($BN238)/$BU238)</f>
        <v>1.02649006622517</v>
      </c>
      <c r="BW238" s="73"/>
      <c r="BX238" s="118" t="str">
        <f aca="false">IF(OR($C238="01-04",$C238="05-09"),"",0%)</f>
        <v/>
      </c>
      <c r="BY238" s="75" t="str">
        <f aca="false">IF(OR($C238="01-04",$C238="05-09",SUM($BW238)=0),"",ROUND($BW238*(1+$BX238),0))</f>
        <v/>
      </c>
    </row>
    <row r="239" customFormat="false" ht="15" hidden="false" customHeight="false" outlineLevel="0" collapsed="false">
      <c r="A239" s="0" t="s">
        <v>151</v>
      </c>
      <c r="B239" s="0" t="s">
        <v>101</v>
      </c>
      <c r="C239" s="0" t="s">
        <v>61</v>
      </c>
      <c r="D239" s="0" t="s">
        <v>56</v>
      </c>
      <c r="E239" s="0" t="str">
        <f aca="false">B239&amp;"|"&amp;C239&amp;"|"&amp;D239</f>
        <v>Thaba Tseka [#SNU] [jyhIrCoB31x]|10-14|Female</v>
      </c>
      <c r="F239" s="118" t="n">
        <f aca="false">_xlfn.IFNA(INDEX(Cascade!$Y:$Y,MATCH($E239,Cascade!$E:$E,0)),"")</f>
        <v>0.801020408163265</v>
      </c>
      <c r="G239" s="73" t="n">
        <f aca="false">_xlfn.IFNA(INDEX(Cascade!$BD:$BD,MATCH($E239,Cascade!$E:$E,0)),"")</f>
        <v>1</v>
      </c>
      <c r="H239" s="73" t="n">
        <f aca="false">_xlfn.IFNA(INDEX(Cascade!$BE:$BE,MATCH($E239,Cascade!$E:$E,0)),"")</f>
        <v>1</v>
      </c>
      <c r="I239" s="73" t="str">
        <f aca="false">_xlfn.IFNA(INDEX(Cascade!$BF:$BF,MATCH($E239,Cascade!$E:$E,0)),"")</f>
        <v/>
      </c>
      <c r="J239" s="73" t="str">
        <f aca="false">_xlfn.IFNA(INDEX(Cascade!$BG:$BG,MATCH($E239,Cascade!$E:$E,0)),"")</f>
        <v/>
      </c>
      <c r="K239" s="73" t="n">
        <f aca="false">_xlfn.IFNA(INDEX(Cascade!$BH:$BH,MATCH($E239,Cascade!$E:$E,0)),"")</f>
        <v>0</v>
      </c>
      <c r="L239" s="73" t="str">
        <f aca="false">_xlfn.IFNA(INDEX(Cascade!$BI:$BI,MATCH($E239,Cascade!$E:$E,0)),"")</f>
        <v/>
      </c>
      <c r="M239" s="73" t="n">
        <f aca="false">_xlfn.IFNA(INDEX(Cascade!$BK:$BK,MATCH($E239,Cascade!$E:$E,0)),"")</f>
        <v>0</v>
      </c>
      <c r="N239" s="118"/>
      <c r="O239" s="118"/>
      <c r="P239" s="118"/>
      <c r="Q239" s="75" t="str">
        <f aca="false">IF(OR(SUM($H239)=0,SUM($N239)=0,SUM($O239)=0),"",ROUND($H239*$N239,0))</f>
        <v/>
      </c>
      <c r="R239" s="75" t="str">
        <f aca="false">IF(OR(SUM($Q239)=0,SUM($O239)=0),"",ROUND(SUM($Q239)/SUM($O239),0)-SUM($Q239))</f>
        <v/>
      </c>
      <c r="S239" s="75" t="n">
        <f aca="false">IF(SUM($H239)=0,"",SUM($H239)-SUM($Q239))</f>
        <v>1</v>
      </c>
      <c r="T239" s="75" t="str">
        <f aca="false">IF(OR(SUM($S239)=0,$N239&gt;1,SUM($P239)&lt;=0),"",ROUND($S239/$P239,0)-$S239)</f>
        <v/>
      </c>
      <c r="U239" s="118" t="n">
        <f aca="false">IF(SUM($G239)&lt;=0,"",SUM($Q239,$S239)/$G239)</f>
        <v>1</v>
      </c>
      <c r="V239" s="118" t="str">
        <f aca="false">IF(OR(SUM($Q239)=0,SUM($G239)=0),"",SUM($Q239)/SUM($G239))</f>
        <v/>
      </c>
      <c r="W239" s="118" t="n">
        <f aca="false">IF(OR(SUM($S239)=0,SUM($G239)=0),"",SUM($S239)/SUM($G239))</f>
        <v>1</v>
      </c>
      <c r="X239" s="118" t="str">
        <f aca="false">IF(OR(SUM($G239)=0,SUM($I239)=0),"",SUM($I239)/SUM($G239))</f>
        <v/>
      </c>
      <c r="Y239" s="118" t="str">
        <f aca="false">IF(OR(SUM($G239)=0,SUM($J239)=0),"",SUM($J239)/SUM($G239))</f>
        <v/>
      </c>
      <c r="Z239" s="118" t="str">
        <f aca="false">IF(OR(SUM($G239)=0,SUM($K239)=0),"",SUM($K239)/SUM($G239))</f>
        <v/>
      </c>
      <c r="AA239" s="118" t="str">
        <f aca="false">IF(OR(SUM($G239)=0,SUM($L239)=0),"",SUM($L239)/SUM($G239))</f>
        <v/>
      </c>
      <c r="AB239" s="118" t="n">
        <v>11</v>
      </c>
      <c r="AC239" s="118"/>
      <c r="AD239" s="118"/>
      <c r="AE239" s="118" t="n">
        <v>18</v>
      </c>
      <c r="AF239" s="118" t="n">
        <v>44</v>
      </c>
      <c r="AG239" s="118" t="n">
        <v>38</v>
      </c>
      <c r="AH239" s="118" t="n">
        <v>32</v>
      </c>
      <c r="AI239" s="118" t="n">
        <v>27</v>
      </c>
      <c r="AJ239" s="118" t="n">
        <v>18</v>
      </c>
      <c r="AK239" s="118" t="n">
        <f aca="false">IF(SUM($G239)&lt;=0,"",SUM($V239:$AJ239))</f>
        <v>189</v>
      </c>
      <c r="AL239" s="118"/>
      <c r="AM239" s="75" t="n">
        <f aca="false">IF(OR(SUM($AB239)&lt;=0,SUM($G239)&lt;=0),"",ROUND($G239*$AB239,0))</f>
        <v>11</v>
      </c>
      <c r="AN239" s="75" t="str">
        <f aca="false">IF(SUM($AM239)&lt;=0,"",IF(SUM($AL239)&lt;=0,"ENTER VALID YIELD!",ROUND($AM239/$AL239,0)-$AM239))</f>
        <v>ENTER VALID YIELD!</v>
      </c>
      <c r="AO239" s="118"/>
      <c r="AP239" s="75" t="str">
        <f aca="false">IF(OR(SUM($AC239)&lt;=0,SUM($G239)&lt;=0),"",ROUND($G239*$AC239,0))</f>
        <v/>
      </c>
      <c r="AQ239" s="75" t="str">
        <f aca="false">IF(SUM($AP239)&lt;=0,"",IF(SUM($AO239)&lt;=0,"ENTER VALID YIELD!",ROUND($AP239/$AO239,0)-$AP239))</f>
        <v/>
      </c>
      <c r="AR239" s="118"/>
      <c r="AS239" s="75" t="str">
        <f aca="false">IF(OR(SUM($AD239)&lt;=0,SUM($G239)&lt;=0),"",ROUND($G239*$AD239,0))</f>
        <v/>
      </c>
      <c r="AT239" s="75" t="str">
        <f aca="false">IF(SUM($AS239)&lt;=0,"",IF(SUM($AR239)&lt;=0,"ENTER VALID YIELD!",ROUND($AS239/$AR239,0)-$AS239))</f>
        <v/>
      </c>
      <c r="AU239" s="118"/>
      <c r="AV239" s="75" t="n">
        <f aca="false">IF(OR(SUM($AE239)&lt;=0,SUM($G239)&lt;=0),"",ROUND($G239*$AE239,0))</f>
        <v>18</v>
      </c>
      <c r="AW239" s="75" t="str">
        <f aca="false">IF(SUM($AV239)&lt;=0,"",IF(SUM($AU239)&lt;=0,"ENTER VALID YIELD!",ROUND($AV239/$AU239,0)-$AV239))</f>
        <v>ENTER VALID YIELD!</v>
      </c>
      <c r="AX239" s="118"/>
      <c r="AY239" s="75" t="n">
        <f aca="false">IF(OR(SUM($AF239)&lt;=0,SUM($G239)&lt;=0),"",ROUND($G239*$AF239,0))</f>
        <v>44</v>
      </c>
      <c r="AZ239" s="75" t="str">
        <f aca="false">IF(SUM($AY239)&lt;=0,"",IF(SUM($AX239)&lt;=0,"ENTER VALID YIELD!",ROUND($AY239/$AX239,0)-$AY239))</f>
        <v>ENTER VALID YIELD!</v>
      </c>
      <c r="BA239" s="118" t="n">
        <v>16</v>
      </c>
      <c r="BB239" s="75" t="n">
        <f aca="false">IF(OR(SUM($AG239)&lt;=0,SUM($G239)&lt;=0),"",ROUND($G239*$AG239,0))</f>
        <v>38</v>
      </c>
      <c r="BC239" s="75" t="n">
        <f aca="false">IF(SUM($BB239)&lt;=0,"",IF(SUM($BA239)&lt;=0,"ENTER VALID YIELD!",ROUND($BB239/$BA239,0)-$BB239))</f>
        <v>-36</v>
      </c>
      <c r="BD239" s="118"/>
      <c r="BE239" s="75" t="n">
        <f aca="false">IF(OR(SUM($AH239)&lt;=0,SUM($G239)&lt;=0),"",ROUND($G239*$AH239,0))</f>
        <v>32</v>
      </c>
      <c r="BF239" s="75" t="str">
        <f aca="false">IF(SUM($BE239)&lt;=0,"",IF(SUM($BD239)&lt;=0,"ENTER VALID YIELD!",ROUND($BE239/$BD239,0)-$BE239))</f>
        <v>ENTER VALID YIELD!</v>
      </c>
      <c r="BG239" s="118"/>
      <c r="BH239" s="75" t="n">
        <f aca="false">IF(OR(SUM($AI239)&lt;=0,SUM($G239)&lt;=0),"",ROUND($G239*$AI239,0))</f>
        <v>27</v>
      </c>
      <c r="BI239" s="75" t="str">
        <f aca="false">IF(SUM($BH239)&lt;=0,"",IF(SUM($BG239)&lt;=0,"ENTER VALID YIELD!",ROUND($BH239/$BG239,0)-$BH239))</f>
        <v>ENTER VALID YIELD!</v>
      </c>
      <c r="BJ239" s="118"/>
      <c r="BK239" s="75" t="n">
        <f aca="false">IF(OR(SUM($AJ239)&lt;=0,SUM($G239)&lt;=0),"",ROUND($G239*$AJ239,0))</f>
        <v>18</v>
      </c>
      <c r="BL239" s="75" t="str">
        <f aca="false">IF(SUM($BK239)&lt;=0,"",IF(SUM($BJ239)&lt;=0,"ENTER VALID YIELD!",ROUND($BK239/$BJ239,0)-$BK239))</f>
        <v>ENTER VALID YIELD!</v>
      </c>
      <c r="BM239" s="73" t="n">
        <f aca="false">IF(SUM($G239)&lt;=0,"",$G239)</f>
        <v>1</v>
      </c>
      <c r="BN239" s="73" t="n">
        <f aca="false">IF(SUM($G239)&lt;=0,"",SUM($I239:$L239,$Q239,$S239,$AM239,$AP239,$AS239,$AV239,$AY239,$BB239,$BE239,$BH239,$BK239))</f>
        <v>189</v>
      </c>
      <c r="BO239" s="73" t="n">
        <f aca="false">IF(AND(SUM($BN239)&lt;=0,SUM($BM239)&lt;=0),"",SUM($BN239)-SUM($BM239))</f>
        <v>188</v>
      </c>
      <c r="BP239" s="73" t="str">
        <f aca="false">_xlfn.IFNA(INDEX(PMTCT!$AF:$AF,MATCH($E239,PMTCT!$E:$E,0)),"")</f>
        <v/>
      </c>
      <c r="BQ239" s="73" t="str">
        <f aca="false">_xlfn.IFNA(INDEX(PMTCT!$AV:$AV,MATCH($E239,PMTCT!$E:$E,0)),"")</f>
        <v/>
      </c>
      <c r="BR239" s="73" t="n">
        <f aca="false">_xlfn.IFNA(INDEX(TB!$R:$R,MATCH($E239,TB!$E:$E,0)),"")</f>
        <v>43</v>
      </c>
      <c r="BS239" s="73" t="str">
        <f aca="false">_xlfn.IFNA(INDEX(VMMC!$AD:$AD,MATCH($E239,VMMC!$E:$E,0)),"")</f>
        <v/>
      </c>
      <c r="BT239" s="73" t="n">
        <f aca="false">IF(SUM($R239,$T239,$AN239,$AQ239,$AT239,$AW239,$AZ239,$BC239,$BF239,$BI239,$BL239,$BP239:$BS239)=0,"",SUM($R239,$T239,$AN239,$AQ239,$AT239,$AW239,$AZ239,$BC239,$BF239,$BI239,$BL239,$BP239:$BS239))</f>
        <v>7</v>
      </c>
      <c r="BU239" s="73" t="n">
        <f aca="false">IF(OR(SUM($BT239)=0,SUM($BN239)=0),"",SUM($BT239,$BN239))</f>
        <v>196</v>
      </c>
      <c r="BV239" s="118" t="n">
        <f aca="false">IF(SUM($BU239)=0,"",SUM($BN239)/$BU239)</f>
        <v>0.964285714285714</v>
      </c>
      <c r="BW239" s="73"/>
      <c r="BX239" s="118" t="n">
        <f aca="false">IF(OR($C239="01-04",$C239="05-09"),"",0%)</f>
        <v>0</v>
      </c>
      <c r="BY239" s="75" t="str">
        <f aca="false">IF(OR($C239="01-04",$C239="05-09",SUM($BW239)=0),"",ROUND($BW239*(1+$BX239),0))</f>
        <v/>
      </c>
    </row>
    <row r="240" customFormat="false" ht="15" hidden="false" customHeight="false" outlineLevel="0" collapsed="false">
      <c r="A240" s="0" t="s">
        <v>151</v>
      </c>
      <c r="B240" s="0" t="s">
        <v>101</v>
      </c>
      <c r="C240" s="0" t="s">
        <v>61</v>
      </c>
      <c r="D240" s="0" t="s">
        <v>58</v>
      </c>
      <c r="E240" s="0" t="str">
        <f aca="false">B240&amp;"|"&amp;C240&amp;"|"&amp;D240</f>
        <v>Thaba Tseka [#SNU] [jyhIrCoB31x]|10-14|Male</v>
      </c>
      <c r="F240" s="118" t="n">
        <f aca="false">_xlfn.IFNA(INDEX(Cascade!$Y:$Y,MATCH($E240,Cascade!$E:$E,0)),"")</f>
        <v>0.814070351758794</v>
      </c>
      <c r="G240" s="73" t="n">
        <f aca="false">_xlfn.IFNA(INDEX(Cascade!$BD:$BD,MATCH($E240,Cascade!$E:$E,0)),"")</f>
        <v>4</v>
      </c>
      <c r="H240" s="73" t="n">
        <f aca="false">_xlfn.IFNA(INDEX(Cascade!$BE:$BE,MATCH($E240,Cascade!$E:$E,0)),"")</f>
        <v>3</v>
      </c>
      <c r="I240" s="73" t="str">
        <f aca="false">_xlfn.IFNA(INDEX(Cascade!$BF:$BF,MATCH($E240,Cascade!$E:$E,0)),"")</f>
        <v/>
      </c>
      <c r="J240" s="73" t="str">
        <f aca="false">_xlfn.IFNA(INDEX(Cascade!$BG:$BG,MATCH($E240,Cascade!$E:$E,0)),"")</f>
        <v/>
      </c>
      <c r="K240" s="73" t="n">
        <f aca="false">_xlfn.IFNA(INDEX(Cascade!$BH:$BH,MATCH($E240,Cascade!$E:$E,0)),"")</f>
        <v>0</v>
      </c>
      <c r="L240" s="73" t="str">
        <f aca="false">_xlfn.IFNA(INDEX(Cascade!$BI:$BI,MATCH($E240,Cascade!$E:$E,0)),"")</f>
        <v/>
      </c>
      <c r="M240" s="73" t="n">
        <f aca="false">_xlfn.IFNA(INDEX(Cascade!$BK:$BK,MATCH($E240,Cascade!$E:$E,0)),"")</f>
        <v>1</v>
      </c>
      <c r="N240" s="118"/>
      <c r="O240" s="118"/>
      <c r="P240" s="118"/>
      <c r="Q240" s="75" t="str">
        <f aca="false">IF(OR(SUM($H240)=0,SUM($N240)=0,SUM($O240)=0),"",ROUND($H240*$N240,0))</f>
        <v/>
      </c>
      <c r="R240" s="75" t="str">
        <f aca="false">IF(OR(SUM($Q240)=0,SUM($O240)=0),"",ROUND(SUM($Q240)/SUM($O240),0)-SUM($Q240))</f>
        <v/>
      </c>
      <c r="S240" s="75" t="n">
        <f aca="false">IF(SUM($H240)=0,"",SUM($H240)-SUM($Q240))</f>
        <v>3</v>
      </c>
      <c r="T240" s="75" t="str">
        <f aca="false">IF(OR(SUM($S240)=0,$N240&gt;1,SUM($P240)&lt;=0),"",ROUND($S240/$P240,0)-$S240)</f>
        <v/>
      </c>
      <c r="U240" s="118" t="n">
        <f aca="false">IF(SUM($G240)&lt;=0,"",SUM($Q240,$S240)/$G240)</f>
        <v>0.75</v>
      </c>
      <c r="V240" s="118" t="str">
        <f aca="false">IF(OR(SUM($Q240)=0,SUM($G240)=0),"",SUM($Q240)/SUM($G240))</f>
        <v/>
      </c>
      <c r="W240" s="118" t="n">
        <f aca="false">IF(OR(SUM($S240)=0,SUM($G240)=0),"",SUM($S240)/SUM($G240))</f>
        <v>0.75</v>
      </c>
      <c r="X240" s="118" t="str">
        <f aca="false">IF(OR(SUM($G240)=0,SUM($I240)=0),"",SUM($I240)/SUM($G240))</f>
        <v/>
      </c>
      <c r="Y240" s="118" t="str">
        <f aca="false">IF(OR(SUM($G240)=0,SUM($J240)=0),"",SUM($J240)/SUM($G240))</f>
        <v/>
      </c>
      <c r="Z240" s="118" t="str">
        <f aca="false">IF(OR(SUM($G240)=0,SUM($K240)=0),"",SUM($K240)/SUM($G240))</f>
        <v/>
      </c>
      <c r="AA240" s="118" t="str">
        <f aca="false">IF(OR(SUM($G240)=0,SUM($L240)=0),"",SUM($L240)/SUM($G240))</f>
        <v/>
      </c>
      <c r="AB240" s="118" t="n">
        <v>29</v>
      </c>
      <c r="AC240" s="118"/>
      <c r="AD240" s="118"/>
      <c r="AE240" s="118" t="n">
        <v>43</v>
      </c>
      <c r="AF240" s="118" t="n">
        <v>5</v>
      </c>
      <c r="AG240" s="118" t="n">
        <v>47</v>
      </c>
      <c r="AH240" s="118" t="n">
        <v>40</v>
      </c>
      <c r="AI240" s="118" t="n">
        <v>14</v>
      </c>
      <c r="AJ240" s="118" t="n">
        <v>8</v>
      </c>
      <c r="AK240" s="118" t="n">
        <f aca="false">IF(SUM($G240)&lt;=0,"",SUM($V240:$AJ240))</f>
        <v>186.75</v>
      </c>
      <c r="AL240" s="118" t="n">
        <v>23</v>
      </c>
      <c r="AM240" s="75" t="n">
        <f aca="false">IF(OR(SUM($AB240)&lt;=0,SUM($G240)&lt;=0),"",ROUND($G240*$AB240,0))</f>
        <v>116</v>
      </c>
      <c r="AN240" s="75" t="n">
        <f aca="false">IF(SUM($AM240)&lt;=0,"",IF(SUM($AL240)&lt;=0,"ENTER VALID YIELD!",ROUND($AM240/$AL240,0)-$AM240))</f>
        <v>-111</v>
      </c>
      <c r="AO240" s="118"/>
      <c r="AP240" s="75" t="str">
        <f aca="false">IF(OR(SUM($AC240)&lt;=0,SUM($G240)&lt;=0),"",ROUND($G240*$AC240,0))</f>
        <v/>
      </c>
      <c r="AQ240" s="75" t="str">
        <f aca="false">IF(SUM($AP240)&lt;=0,"",IF(SUM($AO240)&lt;=0,"ENTER VALID YIELD!",ROUND($AP240/$AO240,0)-$AP240))</f>
        <v/>
      </c>
      <c r="AR240" s="118"/>
      <c r="AS240" s="75" t="str">
        <f aca="false">IF(OR(SUM($AD240)&lt;=0,SUM($G240)&lt;=0),"",ROUND($G240*$AD240,0))</f>
        <v/>
      </c>
      <c r="AT240" s="75" t="str">
        <f aca="false">IF(SUM($AS240)&lt;=0,"",IF(SUM($AR240)&lt;=0,"ENTER VALID YIELD!",ROUND($AS240/$AR240,0)-$AS240))</f>
        <v/>
      </c>
      <c r="AU240" s="118"/>
      <c r="AV240" s="75" t="n">
        <f aca="false">IF(OR(SUM($AE240)&lt;=0,SUM($G240)&lt;=0),"",ROUND($G240*$AE240,0))</f>
        <v>172</v>
      </c>
      <c r="AW240" s="75" t="str">
        <f aca="false">IF(SUM($AV240)&lt;=0,"",IF(SUM($AU240)&lt;=0,"ENTER VALID YIELD!",ROUND($AV240/$AU240,0)-$AV240))</f>
        <v>ENTER VALID YIELD!</v>
      </c>
      <c r="AX240" s="118"/>
      <c r="AY240" s="75" t="n">
        <f aca="false">IF(OR(SUM($AF240)&lt;=0,SUM($G240)&lt;=0),"",ROUND($G240*$AF240,0))</f>
        <v>20</v>
      </c>
      <c r="AZ240" s="75" t="str">
        <f aca="false">IF(SUM($AY240)&lt;=0,"",IF(SUM($AX240)&lt;=0,"ENTER VALID YIELD!",ROUND($AY240/$AX240,0)-$AY240))</f>
        <v>ENTER VALID YIELD!</v>
      </c>
      <c r="BA240" s="118" t="n">
        <v>33</v>
      </c>
      <c r="BB240" s="75" t="n">
        <f aca="false">IF(OR(SUM($AG240)&lt;=0,SUM($G240)&lt;=0),"",ROUND($G240*$AG240,0))</f>
        <v>188</v>
      </c>
      <c r="BC240" s="75" t="n">
        <f aca="false">IF(SUM($BB240)&lt;=0,"",IF(SUM($BA240)&lt;=0,"ENTER VALID YIELD!",ROUND($BB240/$BA240,0)-$BB240))</f>
        <v>-182</v>
      </c>
      <c r="BD240" s="118"/>
      <c r="BE240" s="75" t="n">
        <f aca="false">IF(OR(SUM($AH240)&lt;=0,SUM($G240)&lt;=0),"",ROUND($G240*$AH240,0))</f>
        <v>160</v>
      </c>
      <c r="BF240" s="75" t="str">
        <f aca="false">IF(SUM($BE240)&lt;=0,"",IF(SUM($BD240)&lt;=0,"ENTER VALID YIELD!",ROUND($BE240/$BD240,0)-$BE240))</f>
        <v>ENTER VALID YIELD!</v>
      </c>
      <c r="BG240" s="118"/>
      <c r="BH240" s="75" t="n">
        <f aca="false">IF(OR(SUM($AI240)&lt;=0,SUM($G240)&lt;=0),"",ROUND($G240*$AI240,0))</f>
        <v>56</v>
      </c>
      <c r="BI240" s="75" t="str">
        <f aca="false">IF(SUM($BH240)&lt;=0,"",IF(SUM($BG240)&lt;=0,"ENTER VALID YIELD!",ROUND($BH240/$BG240,0)-$BH240))</f>
        <v>ENTER VALID YIELD!</v>
      </c>
      <c r="BJ240" s="118"/>
      <c r="BK240" s="75" t="n">
        <f aca="false">IF(OR(SUM($AJ240)&lt;=0,SUM($G240)&lt;=0),"",ROUND($G240*$AJ240,0))</f>
        <v>32</v>
      </c>
      <c r="BL240" s="75" t="str">
        <f aca="false">IF(SUM($BK240)&lt;=0,"",IF(SUM($BJ240)&lt;=0,"ENTER VALID YIELD!",ROUND($BK240/$BJ240,0)-$BK240))</f>
        <v>ENTER VALID YIELD!</v>
      </c>
      <c r="BM240" s="73" t="n">
        <f aca="false">IF(SUM($G240)&lt;=0,"",$G240)</f>
        <v>4</v>
      </c>
      <c r="BN240" s="73" t="n">
        <f aca="false">IF(SUM($G240)&lt;=0,"",SUM($I240:$L240,$Q240,$S240,$AM240,$AP240,$AS240,$AV240,$AY240,$BB240,$BE240,$BH240,$BK240))</f>
        <v>747</v>
      </c>
      <c r="BO240" s="73" t="n">
        <f aca="false">IF(AND(SUM($BN240)&lt;=0,SUM($BM240)&lt;=0),"",SUM($BN240)-SUM($BM240))</f>
        <v>743</v>
      </c>
      <c r="BP240" s="73" t="str">
        <f aca="false">_xlfn.IFNA(INDEX(PMTCT!$AF:$AF,MATCH($E240,PMTCT!$E:$E,0)),"")</f>
        <v/>
      </c>
      <c r="BQ240" s="73" t="str">
        <f aca="false">_xlfn.IFNA(INDEX(PMTCT!$AV:$AV,MATCH($E240,PMTCT!$E:$E,0)),"")</f>
        <v/>
      </c>
      <c r="BR240" s="73" t="n">
        <f aca="false">_xlfn.IFNA(INDEX(TB!$R:$R,MATCH($E240,TB!$E:$E,0)),"")</f>
        <v>20</v>
      </c>
      <c r="BS240" s="73" t="str">
        <f aca="false">_xlfn.IFNA(INDEX(VMMC!$AD:$AD,MATCH($E240,VMMC!$E:$E,0)),"")</f>
        <v/>
      </c>
      <c r="BT240" s="73" t="n">
        <f aca="false">IF(SUM($R240,$T240,$AN240,$AQ240,$AT240,$AW240,$AZ240,$BC240,$BF240,$BI240,$BL240,$BP240:$BS240)=0,"",SUM($R240,$T240,$AN240,$AQ240,$AT240,$AW240,$AZ240,$BC240,$BF240,$BI240,$BL240,$BP240:$BS240))</f>
        <v>-273</v>
      </c>
      <c r="BU240" s="73" t="n">
        <f aca="false">IF(OR(SUM($BT240)=0,SUM($BN240)=0),"",SUM($BT240,$BN240))</f>
        <v>474</v>
      </c>
      <c r="BV240" s="118" t="n">
        <f aca="false">IF(SUM($BU240)=0,"",SUM($BN240)/$BU240)</f>
        <v>1.57594936708861</v>
      </c>
      <c r="BW240" s="73"/>
      <c r="BX240" s="118" t="n">
        <f aca="false">IF(OR($C240="01-04",$C240="05-09"),"",0%)</f>
        <v>0</v>
      </c>
      <c r="BY240" s="75" t="str">
        <f aca="false">IF(OR($C240="01-04",$C240="05-09",SUM($BW240)=0),"",ROUND($BW240*(1+$BX240),0))</f>
        <v/>
      </c>
    </row>
    <row r="241" customFormat="false" ht="15" hidden="false" customHeight="false" outlineLevel="0" collapsed="false">
      <c r="A241" s="0" t="s">
        <v>151</v>
      </c>
      <c r="B241" s="0" t="s">
        <v>101</v>
      </c>
      <c r="C241" s="0" t="s">
        <v>63</v>
      </c>
      <c r="D241" s="0" t="s">
        <v>56</v>
      </c>
      <c r="E241" s="0" t="str">
        <f aca="false">B241&amp;"|"&amp;C241&amp;"|"&amp;D241</f>
        <v>Thaba Tseka [#SNU] [jyhIrCoB31x]|15-19|Female</v>
      </c>
      <c r="F241" s="118" t="n">
        <f aca="false">_xlfn.IFNA(INDEX(Cascade!$Y:$Y,MATCH($E241,Cascade!$E:$E,0)),"")</f>
        <v>0.726973684210526</v>
      </c>
      <c r="G241" s="73" t="n">
        <f aca="false">_xlfn.IFNA(INDEX(Cascade!$BD:$BD,MATCH($E241,Cascade!$E:$E,0)),"")</f>
        <v>12</v>
      </c>
      <c r="H241" s="73" t="n">
        <f aca="false">_xlfn.IFNA(INDEX(Cascade!$BE:$BE,MATCH($E241,Cascade!$E:$E,0)),"")</f>
        <v>6</v>
      </c>
      <c r="I241" s="73" t="n">
        <f aca="false">_xlfn.IFNA(INDEX(Cascade!$BF:$BF,MATCH($E241,Cascade!$E:$E,0)),"")</f>
        <v>-8568</v>
      </c>
      <c r="J241" s="73" t="str">
        <f aca="false">_xlfn.IFNA(INDEX(Cascade!$BG:$BG,MATCH($E241,Cascade!$E:$E,0)),"")</f>
        <v/>
      </c>
      <c r="K241" s="73" t="n">
        <f aca="false">_xlfn.IFNA(INDEX(Cascade!$BH:$BH,MATCH($E241,Cascade!$E:$E,0)),"")</f>
        <v>-0</v>
      </c>
      <c r="L241" s="73" t="str">
        <f aca="false">_xlfn.IFNA(INDEX(Cascade!$BI:$BI,MATCH($E241,Cascade!$E:$E,0)),"")</f>
        <v/>
      </c>
      <c r="M241" s="73" t="n">
        <f aca="false">_xlfn.IFNA(INDEX(Cascade!$BK:$BK,MATCH($E241,Cascade!$E:$E,0)),"")</f>
        <v>8574</v>
      </c>
      <c r="N241" s="118" t="n">
        <v>35</v>
      </c>
      <c r="O241" s="118"/>
      <c r="P241" s="118" t="n">
        <v>43</v>
      </c>
      <c r="Q241" s="75" t="str">
        <f aca="false">IF(OR(SUM($H241)=0,SUM($N241)=0,SUM($O241)=0),"",ROUND($H241*$N241,0))</f>
        <v/>
      </c>
      <c r="R241" s="75" t="str">
        <f aca="false">IF(OR(SUM($Q241)=0,SUM($O241)=0),"",ROUND(SUM($Q241)/SUM($O241),0)-SUM($Q241))</f>
        <v/>
      </c>
      <c r="S241" s="75" t="n">
        <f aca="false">IF(SUM($H241)=0,"",SUM($H241)-SUM($Q241))</f>
        <v>6</v>
      </c>
      <c r="T241" s="75" t="str">
        <f aca="false">IF(OR(SUM($S241)=0,$N241&gt;1,SUM($P241)&lt;=0),"",ROUND($S241/$P241,0)-$S241)</f>
        <v/>
      </c>
      <c r="U241" s="118" t="n">
        <f aca="false">IF(SUM($G241)&lt;=0,"",SUM($Q241,$S241)/$G241)</f>
        <v>0.5</v>
      </c>
      <c r="V241" s="118" t="str">
        <f aca="false">IF(OR(SUM($Q241)=0,SUM($G241)=0),"",SUM($Q241)/SUM($G241))</f>
        <v/>
      </c>
      <c r="W241" s="118" t="n">
        <f aca="false">IF(OR(SUM($S241)=0,SUM($G241)=0),"",SUM($S241)/SUM($G241))</f>
        <v>0.5</v>
      </c>
      <c r="X241" s="118" t="n">
        <f aca="false">IF(OR(SUM($G241)=0,SUM($I241)=0),"",SUM($I241)/SUM($G241))</f>
        <v>-714</v>
      </c>
      <c r="Y241" s="118" t="str">
        <f aca="false">IF(OR(SUM($G241)=0,SUM($J241)=0),"",SUM($J241)/SUM($G241))</f>
        <v/>
      </c>
      <c r="Z241" s="118" t="str">
        <f aca="false">IF(OR(SUM($G241)=0,SUM($K241)=0),"",SUM($K241)/SUM($G241))</f>
        <v/>
      </c>
      <c r="AA241" s="118" t="str">
        <f aca="false">IF(OR(SUM($G241)=0,SUM($L241)=0),"",SUM($L241)/SUM($G241))</f>
        <v/>
      </c>
      <c r="AB241" s="118" t="n">
        <v>19</v>
      </c>
      <c r="AC241" s="118"/>
      <c r="AD241" s="118"/>
      <c r="AE241" s="118" t="n">
        <v>6</v>
      </c>
      <c r="AF241" s="118" t="n">
        <v>46</v>
      </c>
      <c r="AG241" s="118" t="n">
        <v>24</v>
      </c>
      <c r="AH241" s="118" t="n">
        <v>48</v>
      </c>
      <c r="AI241" s="118" t="n">
        <v>2</v>
      </c>
      <c r="AJ241" s="118" t="n">
        <v>41</v>
      </c>
      <c r="AK241" s="118" t="n">
        <f aca="false">IF(SUM($G241)&lt;=0,"",SUM($V241:$AJ241))</f>
        <v>-527.5</v>
      </c>
      <c r="AL241" s="118" t="n">
        <v>1</v>
      </c>
      <c r="AM241" s="75" t="n">
        <f aca="false">IF(OR(SUM($AB241)&lt;=0,SUM($G241)&lt;=0),"",ROUND($G241*$AB241,0))</f>
        <v>228</v>
      </c>
      <c r="AN241" s="75" t="n">
        <f aca="false">IF(SUM($AM241)&lt;=0,"",IF(SUM($AL241)&lt;=0,"ENTER VALID YIELD!",ROUND($AM241/$AL241,0)-$AM241))</f>
        <v>0</v>
      </c>
      <c r="AO241" s="118"/>
      <c r="AP241" s="75" t="str">
        <f aca="false">IF(OR(SUM($AC241)&lt;=0,SUM($G241)&lt;=0),"",ROUND($G241*$AC241,0))</f>
        <v/>
      </c>
      <c r="AQ241" s="75" t="str">
        <f aca="false">IF(SUM($AP241)&lt;=0,"",IF(SUM($AO241)&lt;=0,"ENTER VALID YIELD!",ROUND($AP241/$AO241,0)-$AP241))</f>
        <v/>
      </c>
      <c r="AR241" s="118"/>
      <c r="AS241" s="75" t="str">
        <f aca="false">IF(OR(SUM($AD241)&lt;=0,SUM($G241)&lt;=0),"",ROUND($G241*$AD241,0))</f>
        <v/>
      </c>
      <c r="AT241" s="75" t="str">
        <f aca="false">IF(SUM($AS241)&lt;=0,"",IF(SUM($AR241)&lt;=0,"ENTER VALID YIELD!",ROUND($AS241/$AR241,0)-$AS241))</f>
        <v/>
      </c>
      <c r="AU241" s="118"/>
      <c r="AV241" s="75" t="n">
        <f aca="false">IF(OR(SUM($AE241)&lt;=0,SUM($G241)&lt;=0),"",ROUND($G241*$AE241,0))</f>
        <v>72</v>
      </c>
      <c r="AW241" s="75" t="str">
        <f aca="false">IF(SUM($AV241)&lt;=0,"",IF(SUM($AU241)&lt;=0,"ENTER VALID YIELD!",ROUND($AV241/$AU241,0)-$AV241))</f>
        <v>ENTER VALID YIELD!</v>
      </c>
      <c r="AX241" s="118"/>
      <c r="AY241" s="75" t="n">
        <f aca="false">IF(OR(SUM($AF241)&lt;=0,SUM($G241)&lt;=0),"",ROUND($G241*$AF241,0))</f>
        <v>552</v>
      </c>
      <c r="AZ241" s="75" t="str">
        <f aca="false">IF(SUM($AY241)&lt;=0,"",IF(SUM($AX241)&lt;=0,"ENTER VALID YIELD!",ROUND($AY241/$AX241,0)-$AY241))</f>
        <v>ENTER VALID YIELD!</v>
      </c>
      <c r="BA241" s="118" t="n">
        <v>2</v>
      </c>
      <c r="BB241" s="75" t="n">
        <f aca="false">IF(OR(SUM($AG241)&lt;=0,SUM($G241)&lt;=0),"",ROUND($G241*$AG241,0))</f>
        <v>288</v>
      </c>
      <c r="BC241" s="75" t="n">
        <f aca="false">IF(SUM($BB241)&lt;=0,"",IF(SUM($BA241)&lt;=0,"ENTER VALID YIELD!",ROUND($BB241/$BA241,0)-$BB241))</f>
        <v>-144</v>
      </c>
      <c r="BD241" s="118"/>
      <c r="BE241" s="75" t="n">
        <f aca="false">IF(OR(SUM($AH241)&lt;=0,SUM($G241)&lt;=0),"",ROUND($G241*$AH241,0))</f>
        <v>576</v>
      </c>
      <c r="BF241" s="75" t="str">
        <f aca="false">IF(SUM($BE241)&lt;=0,"",IF(SUM($BD241)&lt;=0,"ENTER VALID YIELD!",ROUND($BE241/$BD241,0)-$BE241))</f>
        <v>ENTER VALID YIELD!</v>
      </c>
      <c r="BG241" s="118"/>
      <c r="BH241" s="75" t="n">
        <f aca="false">IF(OR(SUM($AI241)&lt;=0,SUM($G241)&lt;=0),"",ROUND($G241*$AI241,0))</f>
        <v>24</v>
      </c>
      <c r="BI241" s="75" t="str">
        <f aca="false">IF(SUM($BH241)&lt;=0,"",IF(SUM($BG241)&lt;=0,"ENTER VALID YIELD!",ROUND($BH241/$BG241,0)-$BH241))</f>
        <v>ENTER VALID YIELD!</v>
      </c>
      <c r="BJ241" s="118"/>
      <c r="BK241" s="75" t="n">
        <f aca="false">IF(OR(SUM($AJ241)&lt;=0,SUM($G241)&lt;=0),"",ROUND($G241*$AJ241,0))</f>
        <v>492</v>
      </c>
      <c r="BL241" s="75" t="str">
        <f aca="false">IF(SUM($BK241)&lt;=0,"",IF(SUM($BJ241)&lt;=0,"ENTER VALID YIELD!",ROUND($BK241/$BJ241,0)-$BK241))</f>
        <v>ENTER VALID YIELD!</v>
      </c>
      <c r="BM241" s="73" t="n">
        <f aca="false">IF(SUM($G241)&lt;=0,"",$G241)</f>
        <v>12</v>
      </c>
      <c r="BN241" s="73" t="n">
        <f aca="false">IF(SUM($G241)&lt;=0,"",SUM($I241:$L241,$Q241,$S241,$AM241,$AP241,$AS241,$AV241,$AY241,$BB241,$BE241,$BH241,$BK241))</f>
        <v>-6330</v>
      </c>
      <c r="BO241" s="73" t="n">
        <f aca="false">IF(AND(SUM($BN241)&lt;=0,SUM($BM241)&lt;=0),"",SUM($BN241)-SUM($BM241))</f>
        <v>-6342</v>
      </c>
      <c r="BP241" s="73" t="n">
        <f aca="false">_xlfn.IFNA(INDEX(PMTCT!$AF:$AF,MATCH($E241,PMTCT!$E:$E,0)),"")</f>
        <v>8316</v>
      </c>
      <c r="BQ241" s="73" t="str">
        <f aca="false">_xlfn.IFNA(INDEX(PMTCT!$AV:$AV,MATCH($E241,PMTCT!$E:$E,0)),"")</f>
        <v/>
      </c>
      <c r="BR241" s="73" t="n">
        <f aca="false">_xlfn.IFNA(INDEX(TB!$R:$R,MATCH($E241,TB!$E:$E,0)),"")</f>
        <v>-390</v>
      </c>
      <c r="BS241" s="73" t="str">
        <f aca="false">_xlfn.IFNA(INDEX(VMMC!$AD:$AD,MATCH($E241,VMMC!$E:$E,0)),"")</f>
        <v/>
      </c>
      <c r="BT241" s="73" t="n">
        <f aca="false">IF(SUM($R241,$T241,$AN241,$AQ241,$AT241,$AW241,$AZ241,$BC241,$BF241,$BI241,$BL241,$BP241:$BS241)=0,"",SUM($R241,$T241,$AN241,$AQ241,$AT241,$AW241,$AZ241,$BC241,$BF241,$BI241,$BL241,$BP241:$BS241))</f>
        <v>7782</v>
      </c>
      <c r="BU241" s="73" t="n">
        <f aca="false">IF(OR(SUM($BT241)=0,SUM($BN241)=0),"",SUM($BT241,$BN241))</f>
        <v>1452</v>
      </c>
      <c r="BV241" s="118" t="n">
        <f aca="false">IF(SUM($BU241)=0,"",SUM($BN241)/$BU241)</f>
        <v>-4.35950413223141</v>
      </c>
      <c r="BW241" s="73" t="n">
        <v>4</v>
      </c>
      <c r="BX241" s="118" t="n">
        <f aca="false">IF(OR($C241="01-04",$C241="05-09"),"",0%)</f>
        <v>0</v>
      </c>
      <c r="BY241" s="75" t="n">
        <f aca="false">IF(OR($C241="01-04",$C241="05-09",SUM($BW241)=0),"",ROUND($BW241*(1+$BX241),0))</f>
        <v>4</v>
      </c>
    </row>
    <row r="242" customFormat="false" ht="15" hidden="false" customHeight="false" outlineLevel="0" collapsed="false">
      <c r="A242" s="0" t="s">
        <v>151</v>
      </c>
      <c r="B242" s="0" t="s">
        <v>101</v>
      </c>
      <c r="C242" s="0" t="s">
        <v>63</v>
      </c>
      <c r="D242" s="0" t="s">
        <v>58</v>
      </c>
      <c r="E242" s="0" t="str">
        <f aca="false">B242&amp;"|"&amp;C242&amp;"|"&amp;D242</f>
        <v>Thaba Tseka [#SNU] [jyhIrCoB31x]|15-19|Male</v>
      </c>
      <c r="F242" s="118" t="n">
        <f aca="false">_xlfn.IFNA(INDEX(Cascade!$Y:$Y,MATCH($E242,Cascade!$E:$E,0)),"")</f>
        <v>0.893401015228426</v>
      </c>
      <c r="G242" s="73" t="str">
        <f aca="false">_xlfn.IFNA(INDEX(Cascade!$BD:$BD,MATCH($E242,Cascade!$E:$E,0)),"")</f>
        <v/>
      </c>
      <c r="H242" s="73" t="str">
        <f aca="false">_xlfn.IFNA(INDEX(Cascade!$BE:$BE,MATCH($E242,Cascade!$E:$E,0)),"")</f>
        <v/>
      </c>
      <c r="I242" s="73" t="str">
        <f aca="false">_xlfn.IFNA(INDEX(Cascade!$BF:$BF,MATCH($E242,Cascade!$E:$E,0)),"")</f>
        <v/>
      </c>
      <c r="J242" s="73" t="str">
        <f aca="false">_xlfn.IFNA(INDEX(Cascade!$BG:$BG,MATCH($E242,Cascade!$E:$E,0)),"")</f>
        <v/>
      </c>
      <c r="K242" s="73" t="n">
        <f aca="false">_xlfn.IFNA(INDEX(Cascade!$BH:$BH,MATCH($E242,Cascade!$E:$E,0)),"")</f>
        <v>0</v>
      </c>
      <c r="L242" s="73" t="str">
        <f aca="false">_xlfn.IFNA(INDEX(Cascade!$BI:$BI,MATCH($E242,Cascade!$E:$E,0)),"")</f>
        <v/>
      </c>
      <c r="M242" s="73" t="str">
        <f aca="false">_xlfn.IFNA(INDEX(Cascade!$BK:$BK,MATCH($E242,Cascade!$E:$E,0)),"")</f>
        <v/>
      </c>
      <c r="N242" s="118" t="n">
        <v>23</v>
      </c>
      <c r="O242" s="118"/>
      <c r="P242" s="118" t="n">
        <v>15</v>
      </c>
      <c r="Q242" s="75" t="str">
        <f aca="false">IF(OR(SUM($H242)=0,SUM($N242)=0,SUM($O242)=0),"",ROUND($H242*$N242,0))</f>
        <v/>
      </c>
      <c r="R242" s="75" t="str">
        <f aca="false">IF(OR(SUM($Q242)=0,SUM($O242)=0),"",ROUND(SUM($Q242)/SUM($O242),0)-SUM($Q242))</f>
        <v/>
      </c>
      <c r="S242" s="75" t="str">
        <f aca="false">IF(SUM($H242)=0,"",SUM($H242)-SUM($Q242))</f>
        <v/>
      </c>
      <c r="T242" s="75" t="str">
        <f aca="false">IF(OR(SUM($S242)=0,$N242&gt;1,SUM($P242)&lt;=0),"",ROUND($S242/$P242,0)-$S242)</f>
        <v/>
      </c>
      <c r="U242" s="118" t="str">
        <f aca="false">IF(SUM($G242)&lt;=0,"",SUM($Q242,$S242)/$G242)</f>
        <v/>
      </c>
      <c r="V242" s="118" t="str">
        <f aca="false">IF(OR(SUM($Q242)=0,SUM($G242)=0),"",SUM($Q242)/SUM($G242))</f>
        <v/>
      </c>
      <c r="W242" s="118" t="str">
        <f aca="false">IF(OR(SUM($S242)=0,SUM($G242)=0),"",SUM($S242)/SUM($G242))</f>
        <v/>
      </c>
      <c r="X242" s="118" t="str">
        <f aca="false">IF(OR(SUM($G242)=0,SUM($I242)=0),"",SUM($I242)/SUM($G242))</f>
        <v/>
      </c>
      <c r="Y242" s="118" t="str">
        <f aca="false">IF(OR(SUM($G242)=0,SUM($J242)=0),"",SUM($J242)/SUM($G242))</f>
        <v/>
      </c>
      <c r="Z242" s="118" t="str">
        <f aca="false">IF(OR(SUM($G242)=0,SUM($K242)=0),"",SUM($K242)/SUM($G242))</f>
        <v/>
      </c>
      <c r="AA242" s="118" t="str">
        <f aca="false">IF(OR(SUM($G242)=0,SUM($L242)=0),"",SUM($L242)/SUM($G242))</f>
        <v/>
      </c>
      <c r="AB242" s="118" t="n">
        <v>0</v>
      </c>
      <c r="AC242" s="118"/>
      <c r="AD242" s="118"/>
      <c r="AE242" s="118" t="n">
        <v>47</v>
      </c>
      <c r="AF242" s="118" t="n">
        <v>38</v>
      </c>
      <c r="AG242" s="118" t="n">
        <v>46</v>
      </c>
      <c r="AH242" s="118" t="n">
        <v>42</v>
      </c>
      <c r="AI242" s="118" t="n">
        <v>8</v>
      </c>
      <c r="AJ242" s="118" t="n">
        <v>49</v>
      </c>
      <c r="AK242" s="118" t="str">
        <f aca="false">IF(SUM($G242)&lt;=0,"",SUM($V242:$AJ242))</f>
        <v/>
      </c>
      <c r="AL242" s="118" t="n">
        <v>47</v>
      </c>
      <c r="AM242" s="75" t="str">
        <f aca="false">IF(OR(SUM($AB242)&lt;=0,SUM($G242)&lt;=0),"",ROUND($G242*$AB242,0))</f>
        <v/>
      </c>
      <c r="AN242" s="75" t="str">
        <f aca="false">IF(SUM($AM242)&lt;=0,"",IF(SUM($AL242)&lt;=0,"ENTER VALID YIELD!",ROUND($AM242/$AL242,0)-$AM242))</f>
        <v/>
      </c>
      <c r="AO242" s="118"/>
      <c r="AP242" s="75" t="str">
        <f aca="false">IF(OR(SUM($AC242)&lt;=0,SUM($G242)&lt;=0),"",ROUND($G242*$AC242,0))</f>
        <v/>
      </c>
      <c r="AQ242" s="75" t="str">
        <f aca="false">IF(SUM($AP242)&lt;=0,"",IF(SUM($AO242)&lt;=0,"ENTER VALID YIELD!",ROUND($AP242/$AO242,0)-$AP242))</f>
        <v/>
      </c>
      <c r="AR242" s="118"/>
      <c r="AS242" s="75" t="str">
        <f aca="false">IF(OR(SUM($AD242)&lt;=0,SUM($G242)&lt;=0),"",ROUND($G242*$AD242,0))</f>
        <v/>
      </c>
      <c r="AT242" s="75" t="str">
        <f aca="false">IF(SUM($AS242)&lt;=0,"",IF(SUM($AR242)&lt;=0,"ENTER VALID YIELD!",ROUND($AS242/$AR242,0)-$AS242))</f>
        <v/>
      </c>
      <c r="AU242" s="118"/>
      <c r="AV242" s="75" t="str">
        <f aca="false">IF(OR(SUM($AE242)&lt;=0,SUM($G242)&lt;=0),"",ROUND($G242*$AE242,0))</f>
        <v/>
      </c>
      <c r="AW242" s="75" t="str">
        <f aca="false">IF(SUM($AV242)&lt;=0,"",IF(SUM($AU242)&lt;=0,"ENTER VALID YIELD!",ROUND($AV242/$AU242,0)-$AV242))</f>
        <v/>
      </c>
      <c r="AX242" s="118"/>
      <c r="AY242" s="75" t="str">
        <f aca="false">IF(OR(SUM($AF242)&lt;=0,SUM($G242)&lt;=0),"",ROUND($G242*$AF242,0))</f>
        <v/>
      </c>
      <c r="AZ242" s="75" t="str">
        <f aca="false">IF(SUM($AY242)&lt;=0,"",IF(SUM($AX242)&lt;=0,"ENTER VALID YIELD!",ROUND($AY242/$AX242,0)-$AY242))</f>
        <v/>
      </c>
      <c r="BA242" s="118" t="n">
        <v>2</v>
      </c>
      <c r="BB242" s="75" t="str">
        <f aca="false">IF(OR(SUM($AG242)&lt;=0,SUM($G242)&lt;=0),"",ROUND($G242*$AG242,0))</f>
        <v/>
      </c>
      <c r="BC242" s="75" t="str">
        <f aca="false">IF(SUM($BB242)&lt;=0,"",IF(SUM($BA242)&lt;=0,"ENTER VALID YIELD!",ROUND($BB242/$BA242,0)-$BB242))</f>
        <v/>
      </c>
      <c r="BD242" s="118"/>
      <c r="BE242" s="75" t="str">
        <f aca="false">IF(OR(SUM($AH242)&lt;=0,SUM($G242)&lt;=0),"",ROUND($G242*$AH242,0))</f>
        <v/>
      </c>
      <c r="BF242" s="75" t="str">
        <f aca="false">IF(SUM($BE242)&lt;=0,"",IF(SUM($BD242)&lt;=0,"ENTER VALID YIELD!",ROUND($BE242/$BD242,0)-$BE242))</f>
        <v/>
      </c>
      <c r="BG242" s="118"/>
      <c r="BH242" s="75" t="str">
        <f aca="false">IF(OR(SUM($AI242)&lt;=0,SUM($G242)&lt;=0),"",ROUND($G242*$AI242,0))</f>
        <v/>
      </c>
      <c r="BI242" s="75" t="str">
        <f aca="false">IF(SUM($BH242)&lt;=0,"",IF(SUM($BG242)&lt;=0,"ENTER VALID YIELD!",ROUND($BH242/$BG242,0)-$BH242))</f>
        <v/>
      </c>
      <c r="BJ242" s="118"/>
      <c r="BK242" s="75" t="str">
        <f aca="false">IF(OR(SUM($AJ242)&lt;=0,SUM($G242)&lt;=0),"",ROUND($G242*$AJ242,0))</f>
        <v/>
      </c>
      <c r="BL242" s="75" t="str">
        <f aca="false">IF(SUM($BK242)&lt;=0,"",IF(SUM($BJ242)&lt;=0,"ENTER VALID YIELD!",ROUND($BK242/$BJ242,0)-$BK242))</f>
        <v/>
      </c>
      <c r="BM242" s="73" t="str">
        <f aca="false">IF(SUM($G242)&lt;=0,"",$G242)</f>
        <v/>
      </c>
      <c r="BN242" s="73" t="str">
        <f aca="false">IF(SUM($G242)&lt;=0,"",SUM($I242:$L242,$Q242,$S242,$AM242,$AP242,$AS242,$AV242,$AY242,$BB242,$BE242,$BH242,$BK242))</f>
        <v/>
      </c>
      <c r="BO242" s="73" t="str">
        <f aca="false">IF(AND(SUM($BN242)&lt;=0,SUM($BM242)&lt;=0),"",SUM($BN242)-SUM($BM242))</f>
        <v/>
      </c>
      <c r="BP242" s="73" t="str">
        <f aca="false">_xlfn.IFNA(INDEX(PMTCT!$AF:$AF,MATCH($E242,PMTCT!$E:$E,0)),"")</f>
        <v/>
      </c>
      <c r="BQ242" s="73" t="str">
        <f aca="false">_xlfn.IFNA(INDEX(PMTCT!$AV:$AV,MATCH($E242,PMTCT!$E:$E,0)),"")</f>
        <v/>
      </c>
      <c r="BR242" s="73" t="n">
        <f aca="false">_xlfn.IFNA(INDEX(TB!$R:$R,MATCH($E242,TB!$E:$E,0)),"")</f>
        <v>26</v>
      </c>
      <c r="BS242" s="73" t="str">
        <f aca="false">_xlfn.IFNA(INDEX(VMMC!$AD:$AD,MATCH($E242,VMMC!$E:$E,0)),"")</f>
        <v/>
      </c>
      <c r="BT242" s="73" t="n">
        <f aca="false">IF(SUM($R242,$T242,$AN242,$AQ242,$AT242,$AW242,$AZ242,$BC242,$BF242,$BI242,$BL242,$BP242:$BS242)=0,"",SUM($R242,$T242,$AN242,$AQ242,$AT242,$AW242,$AZ242,$BC242,$BF242,$BI242,$BL242,$BP242:$BS242))</f>
        <v>26</v>
      </c>
      <c r="BU242" s="73" t="str">
        <f aca="false">IF(OR(SUM($BT242)=0,SUM($BN242)=0),"",SUM($BT242,$BN242))</f>
        <v/>
      </c>
      <c r="BV242" s="118" t="str">
        <f aca="false">IF(SUM($BU242)=0,"",SUM($BN242)/$BU242)</f>
        <v/>
      </c>
      <c r="BW242" s="73"/>
      <c r="BX242" s="118" t="n">
        <f aca="false">IF(OR($C242="01-04",$C242="05-09"),"",0%)</f>
        <v>0</v>
      </c>
      <c r="BY242" s="75" t="str">
        <f aca="false">IF(OR($C242="01-04",$C242="05-09",SUM($BW242)=0),"",ROUND($BW242*(1+$BX242),0))</f>
        <v/>
      </c>
    </row>
    <row r="243" customFormat="false" ht="15" hidden="false" customHeight="false" outlineLevel="0" collapsed="false">
      <c r="A243" s="0" t="s">
        <v>151</v>
      </c>
      <c r="B243" s="0" t="s">
        <v>101</v>
      </c>
      <c r="C243" s="0" t="s">
        <v>66</v>
      </c>
      <c r="D243" s="0" t="s">
        <v>56</v>
      </c>
      <c r="E243" s="0" t="str">
        <f aca="false">B243&amp;"|"&amp;C243&amp;"|"&amp;D243</f>
        <v>Thaba Tseka [#SNU] [jyhIrCoB31x]|20-24|Female</v>
      </c>
      <c r="F243" s="118" t="n">
        <f aca="false">_xlfn.IFNA(INDEX(Cascade!$Y:$Y,MATCH($E243,Cascade!$E:$E,0)),"")</f>
        <v>0.666666666666667</v>
      </c>
      <c r="G243" s="73" t="n">
        <f aca="false">_xlfn.IFNA(INDEX(Cascade!$BD:$BD,MATCH($E243,Cascade!$E:$E,0)),"")</f>
        <v>4</v>
      </c>
      <c r="H243" s="73" t="n">
        <f aca="false">_xlfn.IFNA(INDEX(Cascade!$BE:$BE,MATCH($E243,Cascade!$E:$E,0)),"")</f>
        <v>1</v>
      </c>
      <c r="I243" s="73" t="n">
        <f aca="false">_xlfn.IFNA(INDEX(Cascade!$BF:$BF,MATCH($E243,Cascade!$E:$E,0)),"")</f>
        <v>-51072</v>
      </c>
      <c r="J243" s="73" t="str">
        <f aca="false">_xlfn.IFNA(INDEX(Cascade!$BG:$BG,MATCH($E243,Cascade!$E:$E,0)),"")</f>
        <v/>
      </c>
      <c r="K243" s="73" t="n">
        <f aca="false">_xlfn.IFNA(INDEX(Cascade!$BH:$BH,MATCH($E243,Cascade!$E:$E,0)),"")</f>
        <v>-0</v>
      </c>
      <c r="L243" s="73" t="str">
        <f aca="false">_xlfn.IFNA(INDEX(Cascade!$BI:$BI,MATCH($E243,Cascade!$E:$E,0)),"")</f>
        <v/>
      </c>
      <c r="M243" s="73" t="n">
        <f aca="false">_xlfn.IFNA(INDEX(Cascade!$BK:$BK,MATCH($E243,Cascade!$E:$E,0)),"")</f>
        <v>51075</v>
      </c>
      <c r="N243" s="118" t="n">
        <v>24</v>
      </c>
      <c r="O243" s="118"/>
      <c r="P243" s="118" t="n">
        <v>32</v>
      </c>
      <c r="Q243" s="75" t="str">
        <f aca="false">IF(OR(SUM($H243)=0,SUM($N243)=0,SUM($O243)=0),"",ROUND($H243*$N243,0))</f>
        <v/>
      </c>
      <c r="R243" s="75" t="str">
        <f aca="false">IF(OR(SUM($Q243)=0,SUM($O243)=0),"",ROUND(SUM($Q243)/SUM($O243),0)-SUM($Q243))</f>
        <v/>
      </c>
      <c r="S243" s="75" t="n">
        <f aca="false">IF(SUM($H243)=0,"",SUM($H243)-SUM($Q243))</f>
        <v>1</v>
      </c>
      <c r="T243" s="75" t="str">
        <f aca="false">IF(OR(SUM($S243)=0,$N243&gt;1,SUM($P243)&lt;=0),"",ROUND($S243/$P243,0)-$S243)</f>
        <v/>
      </c>
      <c r="U243" s="118" t="n">
        <f aca="false">IF(SUM($G243)&lt;=0,"",SUM($Q243,$S243)/$G243)</f>
        <v>0.25</v>
      </c>
      <c r="V243" s="118" t="str">
        <f aca="false">IF(OR(SUM($Q243)=0,SUM($G243)=0),"",SUM($Q243)/SUM($G243))</f>
        <v/>
      </c>
      <c r="W243" s="118" t="n">
        <f aca="false">IF(OR(SUM($S243)=0,SUM($G243)=0),"",SUM($S243)/SUM($G243))</f>
        <v>0.25</v>
      </c>
      <c r="X243" s="118" t="n">
        <f aca="false">IF(OR(SUM($G243)=0,SUM($I243)=0),"",SUM($I243)/SUM($G243))</f>
        <v>-12768</v>
      </c>
      <c r="Y243" s="118" t="str">
        <f aca="false">IF(OR(SUM($G243)=0,SUM($J243)=0),"",SUM($J243)/SUM($G243))</f>
        <v/>
      </c>
      <c r="Z243" s="118" t="str">
        <f aca="false">IF(OR(SUM($G243)=0,SUM($K243)=0),"",SUM($K243)/SUM($G243))</f>
        <v/>
      </c>
      <c r="AA243" s="118" t="str">
        <f aca="false">IF(OR(SUM($G243)=0,SUM($L243)=0),"",SUM($L243)/SUM($G243))</f>
        <v/>
      </c>
      <c r="AB243" s="118" t="n">
        <v>21</v>
      </c>
      <c r="AC243" s="118"/>
      <c r="AD243" s="118"/>
      <c r="AE243" s="118" t="n">
        <v>24</v>
      </c>
      <c r="AF243" s="118" t="n">
        <v>9</v>
      </c>
      <c r="AG243" s="118" t="n">
        <v>29</v>
      </c>
      <c r="AH243" s="118" t="n">
        <v>38</v>
      </c>
      <c r="AI243" s="118" t="n">
        <v>7</v>
      </c>
      <c r="AJ243" s="118" t="n">
        <v>11</v>
      </c>
      <c r="AK243" s="118" t="n">
        <f aca="false">IF(SUM($G243)&lt;=0,"",SUM($V243:$AJ243))</f>
        <v>-12628.75</v>
      </c>
      <c r="AL243" s="118" t="n">
        <v>14</v>
      </c>
      <c r="AM243" s="75" t="n">
        <f aca="false">IF(OR(SUM($AB243)&lt;=0,SUM($G243)&lt;=0),"",ROUND($G243*$AB243,0))</f>
        <v>84</v>
      </c>
      <c r="AN243" s="75" t="n">
        <f aca="false">IF(SUM($AM243)&lt;=0,"",IF(SUM($AL243)&lt;=0,"ENTER VALID YIELD!",ROUND($AM243/$AL243,0)-$AM243))</f>
        <v>-78</v>
      </c>
      <c r="AO243" s="118"/>
      <c r="AP243" s="75" t="str">
        <f aca="false">IF(OR(SUM($AC243)&lt;=0,SUM($G243)&lt;=0),"",ROUND($G243*$AC243,0))</f>
        <v/>
      </c>
      <c r="AQ243" s="75" t="str">
        <f aca="false">IF(SUM($AP243)&lt;=0,"",IF(SUM($AO243)&lt;=0,"ENTER VALID YIELD!",ROUND($AP243/$AO243,0)-$AP243))</f>
        <v/>
      </c>
      <c r="AR243" s="118"/>
      <c r="AS243" s="75" t="str">
        <f aca="false">IF(OR(SUM($AD243)&lt;=0,SUM($G243)&lt;=0),"",ROUND($G243*$AD243,0))</f>
        <v/>
      </c>
      <c r="AT243" s="75" t="str">
        <f aca="false">IF(SUM($AS243)&lt;=0,"",IF(SUM($AR243)&lt;=0,"ENTER VALID YIELD!",ROUND($AS243/$AR243,0)-$AS243))</f>
        <v/>
      </c>
      <c r="AU243" s="118"/>
      <c r="AV243" s="75" t="n">
        <f aca="false">IF(OR(SUM($AE243)&lt;=0,SUM($G243)&lt;=0),"",ROUND($G243*$AE243,0))</f>
        <v>96</v>
      </c>
      <c r="AW243" s="75" t="str">
        <f aca="false">IF(SUM($AV243)&lt;=0,"",IF(SUM($AU243)&lt;=0,"ENTER VALID YIELD!",ROUND($AV243/$AU243,0)-$AV243))</f>
        <v>ENTER VALID YIELD!</v>
      </c>
      <c r="AX243" s="118"/>
      <c r="AY243" s="75" t="n">
        <f aca="false">IF(OR(SUM($AF243)&lt;=0,SUM($G243)&lt;=0),"",ROUND($G243*$AF243,0))</f>
        <v>36</v>
      </c>
      <c r="AZ243" s="75" t="str">
        <f aca="false">IF(SUM($AY243)&lt;=0,"",IF(SUM($AX243)&lt;=0,"ENTER VALID YIELD!",ROUND($AY243/$AX243,0)-$AY243))</f>
        <v>ENTER VALID YIELD!</v>
      </c>
      <c r="BA243" s="118" t="n">
        <v>35</v>
      </c>
      <c r="BB243" s="75" t="n">
        <f aca="false">IF(OR(SUM($AG243)&lt;=0,SUM($G243)&lt;=0),"",ROUND($G243*$AG243,0))</f>
        <v>116</v>
      </c>
      <c r="BC243" s="75" t="n">
        <f aca="false">IF(SUM($BB243)&lt;=0,"",IF(SUM($BA243)&lt;=0,"ENTER VALID YIELD!",ROUND($BB243/$BA243,0)-$BB243))</f>
        <v>-113</v>
      </c>
      <c r="BD243" s="118"/>
      <c r="BE243" s="75" t="n">
        <f aca="false">IF(OR(SUM($AH243)&lt;=0,SUM($G243)&lt;=0),"",ROUND($G243*$AH243,0))</f>
        <v>152</v>
      </c>
      <c r="BF243" s="75" t="str">
        <f aca="false">IF(SUM($BE243)&lt;=0,"",IF(SUM($BD243)&lt;=0,"ENTER VALID YIELD!",ROUND($BE243/$BD243,0)-$BE243))</f>
        <v>ENTER VALID YIELD!</v>
      </c>
      <c r="BG243" s="118"/>
      <c r="BH243" s="75" t="n">
        <f aca="false">IF(OR(SUM($AI243)&lt;=0,SUM($G243)&lt;=0),"",ROUND($G243*$AI243,0))</f>
        <v>28</v>
      </c>
      <c r="BI243" s="75" t="str">
        <f aca="false">IF(SUM($BH243)&lt;=0,"",IF(SUM($BG243)&lt;=0,"ENTER VALID YIELD!",ROUND($BH243/$BG243,0)-$BH243))</f>
        <v>ENTER VALID YIELD!</v>
      </c>
      <c r="BJ243" s="118"/>
      <c r="BK243" s="75" t="n">
        <f aca="false">IF(OR(SUM($AJ243)&lt;=0,SUM($G243)&lt;=0),"",ROUND($G243*$AJ243,0))</f>
        <v>44</v>
      </c>
      <c r="BL243" s="75" t="str">
        <f aca="false">IF(SUM($BK243)&lt;=0,"",IF(SUM($BJ243)&lt;=0,"ENTER VALID YIELD!",ROUND($BK243/$BJ243,0)-$BK243))</f>
        <v>ENTER VALID YIELD!</v>
      </c>
      <c r="BM243" s="73" t="n">
        <f aca="false">IF(SUM($G243)&lt;=0,"",$G243)</f>
        <v>4</v>
      </c>
      <c r="BN243" s="73" t="n">
        <f aca="false">IF(SUM($G243)&lt;=0,"",SUM($I243:$L243,$Q243,$S243,$AM243,$AP243,$AS243,$AV243,$AY243,$BB243,$BE243,$BH243,$BK243))</f>
        <v>-50515</v>
      </c>
      <c r="BO243" s="73" t="n">
        <f aca="false">IF(AND(SUM($BN243)&lt;=0,SUM($BM243)&lt;=0),"",SUM($BN243)-SUM($BM243))</f>
        <v>-50519</v>
      </c>
      <c r="BP243" s="73" t="n">
        <f aca="false">_xlfn.IFNA(INDEX(PMTCT!$AF:$AF,MATCH($E243,PMTCT!$E:$E,0)),"")</f>
        <v>49728</v>
      </c>
      <c r="BQ243" s="73" t="str">
        <f aca="false">_xlfn.IFNA(INDEX(PMTCT!$AV:$AV,MATCH($E243,PMTCT!$E:$E,0)),"")</f>
        <v/>
      </c>
      <c r="BR243" s="73" t="n">
        <f aca="false">_xlfn.IFNA(INDEX(TB!$R:$R,MATCH($E243,TB!$E:$E,0)),"")</f>
        <v>-285</v>
      </c>
      <c r="BS243" s="73" t="str">
        <f aca="false">_xlfn.IFNA(INDEX(VMMC!$AD:$AD,MATCH($E243,VMMC!$E:$E,0)),"")</f>
        <v/>
      </c>
      <c r="BT243" s="73" t="n">
        <f aca="false">IF(SUM($R243,$T243,$AN243,$AQ243,$AT243,$AW243,$AZ243,$BC243,$BF243,$BI243,$BL243,$BP243:$BS243)=0,"",SUM($R243,$T243,$AN243,$AQ243,$AT243,$AW243,$AZ243,$BC243,$BF243,$BI243,$BL243,$BP243:$BS243))</f>
        <v>49252</v>
      </c>
      <c r="BU243" s="73" t="n">
        <f aca="false">IF(OR(SUM($BT243)=0,SUM($BN243)=0),"",SUM($BT243,$BN243))</f>
        <v>-1263</v>
      </c>
      <c r="BV243" s="118" t="n">
        <f aca="false">IF(SUM($BU243)=0,"",SUM($BN243)/$BU243)</f>
        <v>39.9960411718131</v>
      </c>
      <c r="BW243" s="73" t="n">
        <v>49</v>
      </c>
      <c r="BX243" s="118" t="n">
        <f aca="false">IF(OR($C243="01-04",$C243="05-09"),"",0%)</f>
        <v>0</v>
      </c>
      <c r="BY243" s="75" t="n">
        <f aca="false">IF(OR($C243="01-04",$C243="05-09",SUM($BW243)=0),"",ROUND($BW243*(1+$BX243),0))</f>
        <v>49</v>
      </c>
    </row>
    <row r="244" customFormat="false" ht="15" hidden="false" customHeight="false" outlineLevel="0" collapsed="false">
      <c r="A244" s="0" t="s">
        <v>151</v>
      </c>
      <c r="B244" s="0" t="s">
        <v>101</v>
      </c>
      <c r="C244" s="0" t="s">
        <v>66</v>
      </c>
      <c r="D244" s="0" t="s">
        <v>58</v>
      </c>
      <c r="E244" s="0" t="str">
        <f aca="false">B244&amp;"|"&amp;C244&amp;"|"&amp;D244</f>
        <v>Thaba Tseka [#SNU] [jyhIrCoB31x]|20-24|Male</v>
      </c>
      <c r="F244" s="118" t="n">
        <f aca="false">_xlfn.IFNA(INDEX(Cascade!$Y:$Y,MATCH($E244,Cascade!$E:$E,0)),"")</f>
        <v>0.602076124567474</v>
      </c>
      <c r="G244" s="73" t="n">
        <f aca="false">_xlfn.IFNA(INDEX(Cascade!$BD:$BD,MATCH($E244,Cascade!$E:$E,0)),"")</f>
        <v>24</v>
      </c>
      <c r="H244" s="73" t="n">
        <f aca="false">_xlfn.IFNA(INDEX(Cascade!$BE:$BE,MATCH($E244,Cascade!$E:$E,0)),"")</f>
        <v>7</v>
      </c>
      <c r="I244" s="73" t="str">
        <f aca="false">_xlfn.IFNA(INDEX(Cascade!$BF:$BF,MATCH($E244,Cascade!$E:$E,0)),"")</f>
        <v/>
      </c>
      <c r="J244" s="73" t="str">
        <f aca="false">_xlfn.IFNA(INDEX(Cascade!$BG:$BG,MATCH($E244,Cascade!$E:$E,0)),"")</f>
        <v/>
      </c>
      <c r="K244" s="73" t="n">
        <f aca="false">_xlfn.IFNA(INDEX(Cascade!$BH:$BH,MATCH($E244,Cascade!$E:$E,0)),"")</f>
        <v>0</v>
      </c>
      <c r="L244" s="73" t="str">
        <f aca="false">_xlfn.IFNA(INDEX(Cascade!$BI:$BI,MATCH($E244,Cascade!$E:$E,0)),"")</f>
        <v/>
      </c>
      <c r="M244" s="73" t="n">
        <f aca="false">_xlfn.IFNA(INDEX(Cascade!$BK:$BK,MATCH($E244,Cascade!$E:$E,0)),"")</f>
        <v>17</v>
      </c>
      <c r="N244" s="118" t="n">
        <v>32</v>
      </c>
      <c r="O244" s="118"/>
      <c r="P244" s="118" t="n">
        <v>12</v>
      </c>
      <c r="Q244" s="75" t="str">
        <f aca="false">IF(OR(SUM($H244)=0,SUM($N244)=0,SUM($O244)=0),"",ROUND($H244*$N244,0))</f>
        <v/>
      </c>
      <c r="R244" s="75" t="str">
        <f aca="false">IF(OR(SUM($Q244)=0,SUM($O244)=0),"",ROUND(SUM($Q244)/SUM($O244),0)-SUM($Q244))</f>
        <v/>
      </c>
      <c r="S244" s="75" t="n">
        <f aca="false">IF(SUM($H244)=0,"",SUM($H244)-SUM($Q244))</f>
        <v>7</v>
      </c>
      <c r="T244" s="75" t="str">
        <f aca="false">IF(OR(SUM($S244)=0,$N244&gt;1,SUM($P244)&lt;=0),"",ROUND($S244/$P244,0)-$S244)</f>
        <v/>
      </c>
      <c r="U244" s="118" t="n">
        <f aca="false">IF(SUM($G244)&lt;=0,"",SUM($Q244,$S244)/$G244)</f>
        <v>0.291666666666667</v>
      </c>
      <c r="V244" s="118" t="str">
        <f aca="false">IF(OR(SUM($Q244)=0,SUM($G244)=0),"",SUM($Q244)/SUM($G244))</f>
        <v/>
      </c>
      <c r="W244" s="118" t="n">
        <f aca="false">IF(OR(SUM($S244)=0,SUM($G244)=0),"",SUM($S244)/SUM($G244))</f>
        <v>0.291666666666667</v>
      </c>
      <c r="X244" s="118" t="str">
        <f aca="false">IF(OR(SUM($G244)=0,SUM($I244)=0),"",SUM($I244)/SUM($G244))</f>
        <v/>
      </c>
      <c r="Y244" s="118" t="str">
        <f aca="false">IF(OR(SUM($G244)=0,SUM($J244)=0),"",SUM($J244)/SUM($G244))</f>
        <v/>
      </c>
      <c r="Z244" s="118" t="str">
        <f aca="false">IF(OR(SUM($G244)=0,SUM($K244)=0),"",SUM($K244)/SUM($G244))</f>
        <v/>
      </c>
      <c r="AA244" s="118" t="str">
        <f aca="false">IF(OR(SUM($G244)=0,SUM($L244)=0),"",SUM($L244)/SUM($G244))</f>
        <v/>
      </c>
      <c r="AB244" s="118" t="n">
        <v>27</v>
      </c>
      <c r="AC244" s="118"/>
      <c r="AD244" s="118"/>
      <c r="AE244" s="118" t="n">
        <v>28</v>
      </c>
      <c r="AF244" s="118" t="n">
        <v>14</v>
      </c>
      <c r="AG244" s="118" t="n">
        <v>39</v>
      </c>
      <c r="AH244" s="118" t="n">
        <v>27</v>
      </c>
      <c r="AI244" s="118" t="n">
        <v>11</v>
      </c>
      <c r="AJ244" s="118" t="n">
        <v>41</v>
      </c>
      <c r="AK244" s="118" t="n">
        <f aca="false">IF(SUM($G244)&lt;=0,"",SUM($V244:$AJ244))</f>
        <v>187.291666666667</v>
      </c>
      <c r="AL244" s="118" t="n">
        <v>11</v>
      </c>
      <c r="AM244" s="75" t="n">
        <f aca="false">IF(OR(SUM($AB244)&lt;=0,SUM($G244)&lt;=0),"",ROUND($G244*$AB244,0))</f>
        <v>648</v>
      </c>
      <c r="AN244" s="75" t="n">
        <f aca="false">IF(SUM($AM244)&lt;=0,"",IF(SUM($AL244)&lt;=0,"ENTER VALID YIELD!",ROUND($AM244/$AL244,0)-$AM244))</f>
        <v>-589</v>
      </c>
      <c r="AO244" s="118"/>
      <c r="AP244" s="75" t="str">
        <f aca="false">IF(OR(SUM($AC244)&lt;=0,SUM($G244)&lt;=0),"",ROUND($G244*$AC244,0))</f>
        <v/>
      </c>
      <c r="AQ244" s="75" t="str">
        <f aca="false">IF(SUM($AP244)&lt;=0,"",IF(SUM($AO244)&lt;=0,"ENTER VALID YIELD!",ROUND($AP244/$AO244,0)-$AP244))</f>
        <v/>
      </c>
      <c r="AR244" s="118"/>
      <c r="AS244" s="75" t="str">
        <f aca="false">IF(OR(SUM($AD244)&lt;=0,SUM($G244)&lt;=0),"",ROUND($G244*$AD244,0))</f>
        <v/>
      </c>
      <c r="AT244" s="75" t="str">
        <f aca="false">IF(SUM($AS244)&lt;=0,"",IF(SUM($AR244)&lt;=0,"ENTER VALID YIELD!",ROUND($AS244/$AR244,0)-$AS244))</f>
        <v/>
      </c>
      <c r="AU244" s="118"/>
      <c r="AV244" s="75" t="n">
        <f aca="false">IF(OR(SUM($AE244)&lt;=0,SUM($G244)&lt;=0),"",ROUND($G244*$AE244,0))</f>
        <v>672</v>
      </c>
      <c r="AW244" s="75" t="str">
        <f aca="false">IF(SUM($AV244)&lt;=0,"",IF(SUM($AU244)&lt;=0,"ENTER VALID YIELD!",ROUND($AV244/$AU244,0)-$AV244))</f>
        <v>ENTER VALID YIELD!</v>
      </c>
      <c r="AX244" s="118"/>
      <c r="AY244" s="75" t="n">
        <f aca="false">IF(OR(SUM($AF244)&lt;=0,SUM($G244)&lt;=0),"",ROUND($G244*$AF244,0))</f>
        <v>336</v>
      </c>
      <c r="AZ244" s="75" t="str">
        <f aca="false">IF(SUM($AY244)&lt;=0,"",IF(SUM($AX244)&lt;=0,"ENTER VALID YIELD!",ROUND($AY244/$AX244,0)-$AY244))</f>
        <v>ENTER VALID YIELD!</v>
      </c>
      <c r="BA244" s="118" t="n">
        <v>49</v>
      </c>
      <c r="BB244" s="75" t="n">
        <f aca="false">IF(OR(SUM($AG244)&lt;=0,SUM($G244)&lt;=0),"",ROUND($G244*$AG244,0))</f>
        <v>936</v>
      </c>
      <c r="BC244" s="75" t="n">
        <f aca="false">IF(SUM($BB244)&lt;=0,"",IF(SUM($BA244)&lt;=0,"ENTER VALID YIELD!",ROUND($BB244/$BA244,0)-$BB244))</f>
        <v>-917</v>
      </c>
      <c r="BD244" s="118"/>
      <c r="BE244" s="75" t="n">
        <f aca="false">IF(OR(SUM($AH244)&lt;=0,SUM($G244)&lt;=0),"",ROUND($G244*$AH244,0))</f>
        <v>648</v>
      </c>
      <c r="BF244" s="75" t="str">
        <f aca="false">IF(SUM($BE244)&lt;=0,"",IF(SUM($BD244)&lt;=0,"ENTER VALID YIELD!",ROUND($BE244/$BD244,0)-$BE244))</f>
        <v>ENTER VALID YIELD!</v>
      </c>
      <c r="BG244" s="118"/>
      <c r="BH244" s="75" t="n">
        <f aca="false">IF(OR(SUM($AI244)&lt;=0,SUM($G244)&lt;=0),"",ROUND($G244*$AI244,0))</f>
        <v>264</v>
      </c>
      <c r="BI244" s="75" t="str">
        <f aca="false">IF(SUM($BH244)&lt;=0,"",IF(SUM($BG244)&lt;=0,"ENTER VALID YIELD!",ROUND($BH244/$BG244,0)-$BH244))</f>
        <v>ENTER VALID YIELD!</v>
      </c>
      <c r="BJ244" s="118"/>
      <c r="BK244" s="75" t="n">
        <f aca="false">IF(OR(SUM($AJ244)&lt;=0,SUM($G244)&lt;=0),"",ROUND($G244*$AJ244,0))</f>
        <v>984</v>
      </c>
      <c r="BL244" s="75" t="str">
        <f aca="false">IF(SUM($BK244)&lt;=0,"",IF(SUM($BJ244)&lt;=0,"ENTER VALID YIELD!",ROUND($BK244/$BJ244,0)-$BK244))</f>
        <v>ENTER VALID YIELD!</v>
      </c>
      <c r="BM244" s="73" t="n">
        <f aca="false">IF(SUM($G244)&lt;=0,"",$G244)</f>
        <v>24</v>
      </c>
      <c r="BN244" s="73" t="n">
        <f aca="false">IF(SUM($G244)&lt;=0,"",SUM($I244:$L244,$Q244,$S244,$AM244,$AP244,$AS244,$AV244,$AY244,$BB244,$BE244,$BH244,$BK244))</f>
        <v>4495</v>
      </c>
      <c r="BO244" s="73" t="n">
        <f aca="false">IF(AND(SUM($BN244)&lt;=0,SUM($BM244)&lt;=0),"",SUM($BN244)-SUM($BM244))</f>
        <v>4471</v>
      </c>
      <c r="BP244" s="73" t="str">
        <f aca="false">_xlfn.IFNA(INDEX(PMTCT!$AF:$AF,MATCH($E244,PMTCT!$E:$E,0)),"")</f>
        <v/>
      </c>
      <c r="BQ244" s="73" t="str">
        <f aca="false">_xlfn.IFNA(INDEX(PMTCT!$AV:$AV,MATCH($E244,PMTCT!$E:$E,0)),"")</f>
        <v/>
      </c>
      <c r="BR244" s="73" t="n">
        <f aca="false">_xlfn.IFNA(INDEX(TB!$R:$R,MATCH($E244,TB!$E:$E,0)),"")</f>
        <v>6</v>
      </c>
      <c r="BS244" s="73" t="str">
        <f aca="false">_xlfn.IFNA(INDEX(VMMC!$AD:$AD,MATCH($E244,VMMC!$E:$E,0)),"")</f>
        <v/>
      </c>
      <c r="BT244" s="73" t="n">
        <f aca="false">IF(SUM($R244,$T244,$AN244,$AQ244,$AT244,$AW244,$AZ244,$BC244,$BF244,$BI244,$BL244,$BP244:$BS244)=0,"",SUM($R244,$T244,$AN244,$AQ244,$AT244,$AW244,$AZ244,$BC244,$BF244,$BI244,$BL244,$BP244:$BS244))</f>
        <v>-1500</v>
      </c>
      <c r="BU244" s="73" t="n">
        <f aca="false">IF(OR(SUM($BT244)=0,SUM($BN244)=0),"",SUM($BT244,$BN244))</f>
        <v>2995</v>
      </c>
      <c r="BV244" s="118" t="n">
        <f aca="false">IF(SUM($BU244)=0,"",SUM($BN244)/$BU244)</f>
        <v>1.5008347245409</v>
      </c>
      <c r="BW244" s="73"/>
      <c r="BX244" s="118" t="n">
        <f aca="false">IF(OR($C244="01-04",$C244="05-09"),"",0%)</f>
        <v>0</v>
      </c>
      <c r="BY244" s="75" t="str">
        <f aca="false">IF(OR($C244="01-04",$C244="05-09",SUM($BW244)=0),"",ROUND($BW244*(1+$BX244),0))</f>
        <v/>
      </c>
    </row>
    <row r="245" customFormat="false" ht="15" hidden="false" customHeight="false" outlineLevel="0" collapsed="false">
      <c r="A245" s="0" t="s">
        <v>151</v>
      </c>
      <c r="B245" s="0" t="s">
        <v>101</v>
      </c>
      <c r="C245" s="0" t="s">
        <v>69</v>
      </c>
      <c r="D245" s="0" t="s">
        <v>56</v>
      </c>
      <c r="E245" s="0" t="str">
        <f aca="false">B245&amp;"|"&amp;C245&amp;"|"&amp;D245</f>
        <v>Thaba Tseka [#SNU] [jyhIrCoB31x]|25-29|Female</v>
      </c>
      <c r="F245" s="118" t="n">
        <f aca="false">_xlfn.IFNA(INDEX(Cascade!$Y:$Y,MATCH($E245,Cascade!$E:$E,0)),"")</f>
        <v>0.680816326530612</v>
      </c>
      <c r="G245" s="73" t="n">
        <f aca="false">_xlfn.IFNA(INDEX(Cascade!$BD:$BD,MATCH($E245,Cascade!$E:$E,0)),"")</f>
        <v>12</v>
      </c>
      <c r="H245" s="73" t="n">
        <f aca="false">_xlfn.IFNA(INDEX(Cascade!$BE:$BE,MATCH($E245,Cascade!$E:$E,0)),"")</f>
        <v>4</v>
      </c>
      <c r="I245" s="73" t="n">
        <f aca="false">_xlfn.IFNA(INDEX(Cascade!$BF:$BF,MATCH($E245,Cascade!$E:$E,0)),"")</f>
        <v>-11160</v>
      </c>
      <c r="J245" s="73" t="str">
        <f aca="false">_xlfn.IFNA(INDEX(Cascade!$BG:$BG,MATCH($E245,Cascade!$E:$E,0)),"")</f>
        <v/>
      </c>
      <c r="K245" s="73" t="n">
        <f aca="false">_xlfn.IFNA(INDEX(Cascade!$BH:$BH,MATCH($E245,Cascade!$E:$E,0)),"")</f>
        <v>-0</v>
      </c>
      <c r="L245" s="73" t="str">
        <f aca="false">_xlfn.IFNA(INDEX(Cascade!$BI:$BI,MATCH($E245,Cascade!$E:$E,0)),"")</f>
        <v/>
      </c>
      <c r="M245" s="73" t="n">
        <f aca="false">_xlfn.IFNA(INDEX(Cascade!$BK:$BK,MATCH($E245,Cascade!$E:$E,0)),"")</f>
        <v>11168</v>
      </c>
      <c r="N245" s="118" t="n">
        <v>10</v>
      </c>
      <c r="O245" s="118"/>
      <c r="P245" s="118" t="n">
        <v>42</v>
      </c>
      <c r="Q245" s="75" t="str">
        <f aca="false">IF(OR(SUM($H245)=0,SUM($N245)=0,SUM($O245)=0),"",ROUND($H245*$N245,0))</f>
        <v/>
      </c>
      <c r="R245" s="75" t="str">
        <f aca="false">IF(OR(SUM($Q245)=0,SUM($O245)=0),"",ROUND(SUM($Q245)/SUM($O245),0)-SUM($Q245))</f>
        <v/>
      </c>
      <c r="S245" s="75" t="n">
        <f aca="false">IF(SUM($H245)=0,"",SUM($H245)-SUM($Q245))</f>
        <v>4</v>
      </c>
      <c r="T245" s="75" t="str">
        <f aca="false">IF(OR(SUM($S245)=0,$N245&gt;1,SUM($P245)&lt;=0),"",ROUND($S245/$P245,0)-$S245)</f>
        <v/>
      </c>
      <c r="U245" s="118" t="n">
        <f aca="false">IF(SUM($G245)&lt;=0,"",SUM($Q245,$S245)/$G245)</f>
        <v>0.333333333333333</v>
      </c>
      <c r="V245" s="118" t="str">
        <f aca="false">IF(OR(SUM($Q245)=0,SUM($G245)=0),"",SUM($Q245)/SUM($G245))</f>
        <v/>
      </c>
      <c r="W245" s="118" t="n">
        <f aca="false">IF(OR(SUM($S245)=0,SUM($G245)=0),"",SUM($S245)/SUM($G245))</f>
        <v>0.333333333333333</v>
      </c>
      <c r="X245" s="118" t="n">
        <f aca="false">IF(OR(SUM($G245)=0,SUM($I245)=0),"",SUM($I245)/SUM($G245))</f>
        <v>-930</v>
      </c>
      <c r="Y245" s="118" t="str">
        <f aca="false">IF(OR(SUM($G245)=0,SUM($J245)=0),"",SUM($J245)/SUM($G245))</f>
        <v/>
      </c>
      <c r="Z245" s="118" t="str">
        <f aca="false">IF(OR(SUM($G245)=0,SUM($K245)=0),"",SUM($K245)/SUM($G245))</f>
        <v/>
      </c>
      <c r="AA245" s="118" t="str">
        <f aca="false">IF(OR(SUM($G245)=0,SUM($L245)=0),"",SUM($L245)/SUM($G245))</f>
        <v/>
      </c>
      <c r="AB245" s="118" t="n">
        <v>13</v>
      </c>
      <c r="AC245" s="118"/>
      <c r="AD245" s="118"/>
      <c r="AE245" s="118" t="n">
        <v>29</v>
      </c>
      <c r="AF245" s="118" t="n">
        <v>4</v>
      </c>
      <c r="AG245" s="118" t="n">
        <v>2</v>
      </c>
      <c r="AH245" s="118" t="n">
        <v>42</v>
      </c>
      <c r="AI245" s="118" t="n">
        <v>25</v>
      </c>
      <c r="AJ245" s="118" t="n">
        <v>29</v>
      </c>
      <c r="AK245" s="118" t="n">
        <f aca="false">IF(SUM($G245)&lt;=0,"",SUM($V245:$AJ245))</f>
        <v>-785.666666666667</v>
      </c>
      <c r="AL245" s="118" t="n">
        <v>21</v>
      </c>
      <c r="AM245" s="75" t="n">
        <f aca="false">IF(OR(SUM($AB245)&lt;=0,SUM($G245)&lt;=0),"",ROUND($G245*$AB245,0))</f>
        <v>156</v>
      </c>
      <c r="AN245" s="75" t="n">
        <f aca="false">IF(SUM($AM245)&lt;=0,"",IF(SUM($AL245)&lt;=0,"ENTER VALID YIELD!",ROUND($AM245/$AL245,0)-$AM245))</f>
        <v>-149</v>
      </c>
      <c r="AO245" s="118"/>
      <c r="AP245" s="75" t="str">
        <f aca="false">IF(OR(SUM($AC245)&lt;=0,SUM($G245)&lt;=0),"",ROUND($G245*$AC245,0))</f>
        <v/>
      </c>
      <c r="AQ245" s="75" t="str">
        <f aca="false">IF(SUM($AP245)&lt;=0,"",IF(SUM($AO245)&lt;=0,"ENTER VALID YIELD!",ROUND($AP245/$AO245,0)-$AP245))</f>
        <v/>
      </c>
      <c r="AR245" s="118"/>
      <c r="AS245" s="75" t="str">
        <f aca="false">IF(OR(SUM($AD245)&lt;=0,SUM($G245)&lt;=0),"",ROUND($G245*$AD245,0))</f>
        <v/>
      </c>
      <c r="AT245" s="75" t="str">
        <f aca="false">IF(SUM($AS245)&lt;=0,"",IF(SUM($AR245)&lt;=0,"ENTER VALID YIELD!",ROUND($AS245/$AR245,0)-$AS245))</f>
        <v/>
      </c>
      <c r="AU245" s="118"/>
      <c r="AV245" s="75" t="n">
        <f aca="false">IF(OR(SUM($AE245)&lt;=0,SUM($G245)&lt;=0),"",ROUND($G245*$AE245,0))</f>
        <v>348</v>
      </c>
      <c r="AW245" s="75" t="str">
        <f aca="false">IF(SUM($AV245)&lt;=0,"",IF(SUM($AU245)&lt;=0,"ENTER VALID YIELD!",ROUND($AV245/$AU245,0)-$AV245))</f>
        <v>ENTER VALID YIELD!</v>
      </c>
      <c r="AX245" s="118"/>
      <c r="AY245" s="75" t="n">
        <f aca="false">IF(OR(SUM($AF245)&lt;=0,SUM($G245)&lt;=0),"",ROUND($G245*$AF245,0))</f>
        <v>48</v>
      </c>
      <c r="AZ245" s="75" t="str">
        <f aca="false">IF(SUM($AY245)&lt;=0,"",IF(SUM($AX245)&lt;=0,"ENTER VALID YIELD!",ROUND($AY245/$AX245,0)-$AY245))</f>
        <v>ENTER VALID YIELD!</v>
      </c>
      <c r="BA245" s="118" t="n">
        <v>42</v>
      </c>
      <c r="BB245" s="75" t="n">
        <f aca="false">IF(OR(SUM($AG245)&lt;=0,SUM($G245)&lt;=0),"",ROUND($G245*$AG245,0))</f>
        <v>24</v>
      </c>
      <c r="BC245" s="75" t="n">
        <f aca="false">IF(SUM($BB245)&lt;=0,"",IF(SUM($BA245)&lt;=0,"ENTER VALID YIELD!",ROUND($BB245/$BA245,0)-$BB245))</f>
        <v>-23</v>
      </c>
      <c r="BD245" s="118"/>
      <c r="BE245" s="75" t="n">
        <f aca="false">IF(OR(SUM($AH245)&lt;=0,SUM($G245)&lt;=0),"",ROUND($G245*$AH245,0))</f>
        <v>504</v>
      </c>
      <c r="BF245" s="75" t="str">
        <f aca="false">IF(SUM($BE245)&lt;=0,"",IF(SUM($BD245)&lt;=0,"ENTER VALID YIELD!",ROUND($BE245/$BD245,0)-$BE245))</f>
        <v>ENTER VALID YIELD!</v>
      </c>
      <c r="BG245" s="118"/>
      <c r="BH245" s="75" t="n">
        <f aca="false">IF(OR(SUM($AI245)&lt;=0,SUM($G245)&lt;=0),"",ROUND($G245*$AI245,0))</f>
        <v>300</v>
      </c>
      <c r="BI245" s="75" t="str">
        <f aca="false">IF(SUM($BH245)&lt;=0,"",IF(SUM($BG245)&lt;=0,"ENTER VALID YIELD!",ROUND($BH245/$BG245,0)-$BH245))</f>
        <v>ENTER VALID YIELD!</v>
      </c>
      <c r="BJ245" s="118"/>
      <c r="BK245" s="75" t="n">
        <f aca="false">IF(OR(SUM($AJ245)&lt;=0,SUM($G245)&lt;=0),"",ROUND($G245*$AJ245,0))</f>
        <v>348</v>
      </c>
      <c r="BL245" s="75" t="str">
        <f aca="false">IF(SUM($BK245)&lt;=0,"",IF(SUM($BJ245)&lt;=0,"ENTER VALID YIELD!",ROUND($BK245/$BJ245,0)-$BK245))</f>
        <v>ENTER VALID YIELD!</v>
      </c>
      <c r="BM245" s="73" t="n">
        <f aca="false">IF(SUM($G245)&lt;=0,"",$G245)</f>
        <v>12</v>
      </c>
      <c r="BN245" s="73" t="n">
        <f aca="false">IF(SUM($G245)&lt;=0,"",SUM($I245:$L245,$Q245,$S245,$AM245,$AP245,$AS245,$AV245,$AY245,$BB245,$BE245,$BH245,$BK245))</f>
        <v>-9428</v>
      </c>
      <c r="BO245" s="73" t="n">
        <f aca="false">IF(AND(SUM($BN245)&lt;=0,SUM($BM245)&lt;=0),"",SUM($BN245)-SUM($BM245))</f>
        <v>-9440</v>
      </c>
      <c r="BP245" s="73" t="n">
        <f aca="false">_xlfn.IFNA(INDEX(PMTCT!$AF:$AF,MATCH($E245,PMTCT!$E:$E,0)),"")</f>
        <v>10800</v>
      </c>
      <c r="BQ245" s="73" t="str">
        <f aca="false">_xlfn.IFNA(INDEX(PMTCT!$AV:$AV,MATCH($E245,PMTCT!$E:$E,0)),"")</f>
        <v/>
      </c>
      <c r="BR245" s="73" t="n">
        <f aca="false">_xlfn.IFNA(INDEX(TB!$R:$R,MATCH($E245,TB!$E:$E,0)),"")</f>
        <v>-506</v>
      </c>
      <c r="BS245" s="73" t="str">
        <f aca="false">_xlfn.IFNA(INDEX(VMMC!$AD:$AD,MATCH($E245,VMMC!$E:$E,0)),"")</f>
        <v/>
      </c>
      <c r="BT245" s="73" t="n">
        <f aca="false">IF(SUM($R245,$T245,$AN245,$AQ245,$AT245,$AW245,$AZ245,$BC245,$BF245,$BI245,$BL245,$BP245:$BS245)=0,"",SUM($R245,$T245,$AN245,$AQ245,$AT245,$AW245,$AZ245,$BC245,$BF245,$BI245,$BL245,$BP245:$BS245))</f>
        <v>10122</v>
      </c>
      <c r="BU245" s="73" t="n">
        <f aca="false">IF(OR(SUM($BT245)=0,SUM($BN245)=0),"",SUM($BT245,$BN245))</f>
        <v>694</v>
      </c>
      <c r="BV245" s="118" t="n">
        <f aca="false">IF(SUM($BU245)=0,"",SUM($BN245)/$BU245)</f>
        <v>-13.5850144092219</v>
      </c>
      <c r="BW245" s="73" t="n">
        <v>9</v>
      </c>
      <c r="BX245" s="118" t="n">
        <f aca="false">IF(OR($C245="01-04",$C245="05-09"),"",0%)</f>
        <v>0</v>
      </c>
      <c r="BY245" s="75" t="n">
        <f aca="false">IF(OR($C245="01-04",$C245="05-09",SUM($BW245)=0),"",ROUND($BW245*(1+$BX245),0))</f>
        <v>9</v>
      </c>
    </row>
    <row r="246" customFormat="false" ht="15" hidden="false" customHeight="false" outlineLevel="0" collapsed="false">
      <c r="A246" s="0" t="s">
        <v>151</v>
      </c>
      <c r="B246" s="0" t="s">
        <v>101</v>
      </c>
      <c r="C246" s="0" t="s">
        <v>69</v>
      </c>
      <c r="D246" s="0" t="s">
        <v>58</v>
      </c>
      <c r="E246" s="0" t="str">
        <f aca="false">B246&amp;"|"&amp;C246&amp;"|"&amp;D246</f>
        <v>Thaba Tseka [#SNU] [jyhIrCoB31x]|25-29|Male</v>
      </c>
      <c r="F246" s="118" t="n">
        <f aca="false">_xlfn.IFNA(INDEX(Cascade!$Y:$Y,MATCH($E246,Cascade!$E:$E,0)),"")</f>
        <v>0.527303754266212</v>
      </c>
      <c r="G246" s="73" t="n">
        <f aca="false">_xlfn.IFNA(INDEX(Cascade!$BD:$BD,MATCH($E246,Cascade!$E:$E,0)),"")</f>
        <v>5</v>
      </c>
      <c r="H246" s="73" t="n">
        <f aca="false">_xlfn.IFNA(INDEX(Cascade!$BE:$BE,MATCH($E246,Cascade!$E:$E,0)),"")</f>
        <v>2</v>
      </c>
      <c r="I246" s="73" t="str">
        <f aca="false">_xlfn.IFNA(INDEX(Cascade!$BF:$BF,MATCH($E246,Cascade!$E:$E,0)),"")</f>
        <v/>
      </c>
      <c r="J246" s="73" t="str">
        <f aca="false">_xlfn.IFNA(INDEX(Cascade!$BG:$BG,MATCH($E246,Cascade!$E:$E,0)),"")</f>
        <v/>
      </c>
      <c r="K246" s="73" t="n">
        <f aca="false">_xlfn.IFNA(INDEX(Cascade!$BH:$BH,MATCH($E246,Cascade!$E:$E,0)),"")</f>
        <v>-0</v>
      </c>
      <c r="L246" s="73" t="str">
        <f aca="false">_xlfn.IFNA(INDEX(Cascade!$BI:$BI,MATCH($E246,Cascade!$E:$E,0)),"")</f>
        <v/>
      </c>
      <c r="M246" s="73" t="n">
        <f aca="false">_xlfn.IFNA(INDEX(Cascade!$BK:$BK,MATCH($E246,Cascade!$E:$E,0)),"")</f>
        <v>3</v>
      </c>
      <c r="N246" s="118" t="n">
        <v>27</v>
      </c>
      <c r="O246" s="118"/>
      <c r="P246" s="118" t="n">
        <v>17</v>
      </c>
      <c r="Q246" s="75" t="str">
        <f aca="false">IF(OR(SUM($H246)=0,SUM($N246)=0,SUM($O246)=0),"",ROUND($H246*$N246,0))</f>
        <v/>
      </c>
      <c r="R246" s="75" t="str">
        <f aca="false">IF(OR(SUM($Q246)=0,SUM($O246)=0),"",ROUND(SUM($Q246)/SUM($O246),0)-SUM($Q246))</f>
        <v/>
      </c>
      <c r="S246" s="75" t="n">
        <f aca="false">IF(SUM($H246)=0,"",SUM($H246)-SUM($Q246))</f>
        <v>2</v>
      </c>
      <c r="T246" s="75" t="str">
        <f aca="false">IF(OR(SUM($S246)=0,$N246&gt;1,SUM($P246)&lt;=0),"",ROUND($S246/$P246,0)-$S246)</f>
        <v/>
      </c>
      <c r="U246" s="118" t="n">
        <f aca="false">IF(SUM($G246)&lt;=0,"",SUM($Q246,$S246)/$G246)</f>
        <v>0.4</v>
      </c>
      <c r="V246" s="118" t="str">
        <f aca="false">IF(OR(SUM($Q246)=0,SUM($G246)=0),"",SUM($Q246)/SUM($G246))</f>
        <v/>
      </c>
      <c r="W246" s="118" t="n">
        <f aca="false">IF(OR(SUM($S246)=0,SUM($G246)=0),"",SUM($S246)/SUM($G246))</f>
        <v>0.4</v>
      </c>
      <c r="X246" s="118" t="str">
        <f aca="false">IF(OR(SUM($G246)=0,SUM($I246)=0),"",SUM($I246)/SUM($G246))</f>
        <v/>
      </c>
      <c r="Y246" s="118" t="str">
        <f aca="false">IF(OR(SUM($G246)=0,SUM($J246)=0),"",SUM($J246)/SUM($G246))</f>
        <v/>
      </c>
      <c r="Z246" s="118" t="str">
        <f aca="false">IF(OR(SUM($G246)=0,SUM($K246)=0),"",SUM($K246)/SUM($G246))</f>
        <v/>
      </c>
      <c r="AA246" s="118" t="str">
        <f aca="false">IF(OR(SUM($G246)=0,SUM($L246)=0),"",SUM($L246)/SUM($G246))</f>
        <v/>
      </c>
      <c r="AB246" s="118" t="n">
        <v>5</v>
      </c>
      <c r="AC246" s="118"/>
      <c r="AD246" s="118"/>
      <c r="AE246" s="118" t="n">
        <v>16</v>
      </c>
      <c r="AF246" s="118" t="n">
        <v>20</v>
      </c>
      <c r="AG246" s="118" t="n">
        <v>39</v>
      </c>
      <c r="AH246" s="118" t="n">
        <v>41</v>
      </c>
      <c r="AI246" s="118" t="n">
        <v>27</v>
      </c>
      <c r="AJ246" s="118" t="n">
        <v>8</v>
      </c>
      <c r="AK246" s="118" t="n">
        <f aca="false">IF(SUM($G246)&lt;=0,"",SUM($V246:$AJ246))</f>
        <v>156.4</v>
      </c>
      <c r="AL246" s="118" t="n">
        <v>44</v>
      </c>
      <c r="AM246" s="75" t="n">
        <f aca="false">IF(OR(SUM($AB246)&lt;=0,SUM($G246)&lt;=0),"",ROUND($G246*$AB246,0))</f>
        <v>25</v>
      </c>
      <c r="AN246" s="75" t="n">
        <f aca="false">IF(SUM($AM246)&lt;=0,"",IF(SUM($AL246)&lt;=0,"ENTER VALID YIELD!",ROUND($AM246/$AL246,0)-$AM246))</f>
        <v>-24</v>
      </c>
      <c r="AO246" s="118"/>
      <c r="AP246" s="75" t="str">
        <f aca="false">IF(OR(SUM($AC246)&lt;=0,SUM($G246)&lt;=0),"",ROUND($G246*$AC246,0))</f>
        <v/>
      </c>
      <c r="AQ246" s="75" t="str">
        <f aca="false">IF(SUM($AP246)&lt;=0,"",IF(SUM($AO246)&lt;=0,"ENTER VALID YIELD!",ROUND($AP246/$AO246,0)-$AP246))</f>
        <v/>
      </c>
      <c r="AR246" s="118"/>
      <c r="AS246" s="75" t="str">
        <f aca="false">IF(OR(SUM($AD246)&lt;=0,SUM($G246)&lt;=0),"",ROUND($G246*$AD246,0))</f>
        <v/>
      </c>
      <c r="AT246" s="75" t="str">
        <f aca="false">IF(SUM($AS246)&lt;=0,"",IF(SUM($AR246)&lt;=0,"ENTER VALID YIELD!",ROUND($AS246/$AR246,0)-$AS246))</f>
        <v/>
      </c>
      <c r="AU246" s="118"/>
      <c r="AV246" s="75" t="n">
        <f aca="false">IF(OR(SUM($AE246)&lt;=0,SUM($G246)&lt;=0),"",ROUND($G246*$AE246,0))</f>
        <v>80</v>
      </c>
      <c r="AW246" s="75" t="str">
        <f aca="false">IF(SUM($AV246)&lt;=0,"",IF(SUM($AU246)&lt;=0,"ENTER VALID YIELD!",ROUND($AV246/$AU246,0)-$AV246))</f>
        <v>ENTER VALID YIELD!</v>
      </c>
      <c r="AX246" s="118"/>
      <c r="AY246" s="75" t="n">
        <f aca="false">IF(OR(SUM($AF246)&lt;=0,SUM($G246)&lt;=0),"",ROUND($G246*$AF246,0))</f>
        <v>100</v>
      </c>
      <c r="AZ246" s="75" t="str">
        <f aca="false">IF(SUM($AY246)&lt;=0,"",IF(SUM($AX246)&lt;=0,"ENTER VALID YIELD!",ROUND($AY246/$AX246,0)-$AY246))</f>
        <v>ENTER VALID YIELD!</v>
      </c>
      <c r="BA246" s="118" t="n">
        <v>9</v>
      </c>
      <c r="BB246" s="75" t="n">
        <f aca="false">IF(OR(SUM($AG246)&lt;=0,SUM($G246)&lt;=0),"",ROUND($G246*$AG246,0))</f>
        <v>195</v>
      </c>
      <c r="BC246" s="75" t="n">
        <f aca="false">IF(SUM($BB246)&lt;=0,"",IF(SUM($BA246)&lt;=0,"ENTER VALID YIELD!",ROUND($BB246/$BA246,0)-$BB246))</f>
        <v>-173</v>
      </c>
      <c r="BD246" s="118"/>
      <c r="BE246" s="75" t="n">
        <f aca="false">IF(OR(SUM($AH246)&lt;=0,SUM($G246)&lt;=0),"",ROUND($G246*$AH246,0))</f>
        <v>205</v>
      </c>
      <c r="BF246" s="75" t="str">
        <f aca="false">IF(SUM($BE246)&lt;=0,"",IF(SUM($BD246)&lt;=0,"ENTER VALID YIELD!",ROUND($BE246/$BD246,0)-$BE246))</f>
        <v>ENTER VALID YIELD!</v>
      </c>
      <c r="BG246" s="118"/>
      <c r="BH246" s="75" t="n">
        <f aca="false">IF(OR(SUM($AI246)&lt;=0,SUM($G246)&lt;=0),"",ROUND($G246*$AI246,0))</f>
        <v>135</v>
      </c>
      <c r="BI246" s="75" t="str">
        <f aca="false">IF(SUM($BH246)&lt;=0,"",IF(SUM($BG246)&lt;=0,"ENTER VALID YIELD!",ROUND($BH246/$BG246,0)-$BH246))</f>
        <v>ENTER VALID YIELD!</v>
      </c>
      <c r="BJ246" s="118"/>
      <c r="BK246" s="75" t="n">
        <f aca="false">IF(OR(SUM($AJ246)&lt;=0,SUM($G246)&lt;=0),"",ROUND($G246*$AJ246,0))</f>
        <v>40</v>
      </c>
      <c r="BL246" s="75" t="str">
        <f aca="false">IF(SUM($BK246)&lt;=0,"",IF(SUM($BJ246)&lt;=0,"ENTER VALID YIELD!",ROUND($BK246/$BJ246,0)-$BK246))</f>
        <v>ENTER VALID YIELD!</v>
      </c>
      <c r="BM246" s="73" t="n">
        <f aca="false">IF(SUM($G246)&lt;=0,"",$G246)</f>
        <v>5</v>
      </c>
      <c r="BN246" s="73" t="n">
        <f aca="false">IF(SUM($G246)&lt;=0,"",SUM($I246:$L246,$Q246,$S246,$AM246,$AP246,$AS246,$AV246,$AY246,$BB246,$BE246,$BH246,$BK246))</f>
        <v>782</v>
      </c>
      <c r="BO246" s="73" t="n">
        <f aca="false">IF(AND(SUM($BN246)&lt;=0,SUM($BM246)&lt;=0),"",SUM($BN246)-SUM($BM246))</f>
        <v>777</v>
      </c>
      <c r="BP246" s="73" t="str">
        <f aca="false">_xlfn.IFNA(INDEX(PMTCT!$AF:$AF,MATCH($E246,PMTCT!$E:$E,0)),"")</f>
        <v/>
      </c>
      <c r="BQ246" s="73" t="str">
        <f aca="false">_xlfn.IFNA(INDEX(PMTCT!$AV:$AV,MATCH($E246,PMTCT!$E:$E,0)),"")</f>
        <v/>
      </c>
      <c r="BR246" s="73" t="n">
        <f aca="false">_xlfn.IFNA(INDEX(TB!$R:$R,MATCH($E246,TB!$E:$E,0)),"")</f>
        <v>-2160</v>
      </c>
      <c r="BS246" s="73" t="str">
        <f aca="false">_xlfn.IFNA(INDEX(VMMC!$AD:$AD,MATCH($E246,VMMC!$E:$E,0)),"")</f>
        <v/>
      </c>
      <c r="BT246" s="73" t="n">
        <f aca="false">IF(SUM($R246,$T246,$AN246,$AQ246,$AT246,$AW246,$AZ246,$BC246,$BF246,$BI246,$BL246,$BP246:$BS246)=0,"",SUM($R246,$T246,$AN246,$AQ246,$AT246,$AW246,$AZ246,$BC246,$BF246,$BI246,$BL246,$BP246:$BS246))</f>
        <v>-2357</v>
      </c>
      <c r="BU246" s="73" t="n">
        <f aca="false">IF(OR(SUM($BT246)=0,SUM($BN246)=0),"",SUM($BT246,$BN246))</f>
        <v>-1575</v>
      </c>
      <c r="BV246" s="118" t="n">
        <f aca="false">IF(SUM($BU246)=0,"",SUM($BN246)/$BU246)</f>
        <v>-0.496507936507937</v>
      </c>
      <c r="BW246" s="73"/>
      <c r="BX246" s="118" t="n">
        <f aca="false">IF(OR($C246="01-04",$C246="05-09"),"",0%)</f>
        <v>0</v>
      </c>
      <c r="BY246" s="75" t="str">
        <f aca="false">IF(OR($C246="01-04",$C246="05-09",SUM($BW246)=0),"",ROUND($BW246*(1+$BX246),0))</f>
        <v/>
      </c>
    </row>
    <row r="247" customFormat="false" ht="15" hidden="false" customHeight="false" outlineLevel="0" collapsed="false">
      <c r="A247" s="0" t="s">
        <v>151</v>
      </c>
      <c r="B247" s="0" t="s">
        <v>101</v>
      </c>
      <c r="C247" s="0" t="s">
        <v>72</v>
      </c>
      <c r="D247" s="0" t="s">
        <v>56</v>
      </c>
      <c r="E247" s="0" t="str">
        <f aca="false">B247&amp;"|"&amp;C247&amp;"|"&amp;D247</f>
        <v>Thaba Tseka [#SNU] [jyhIrCoB31x]|30-34|Female</v>
      </c>
      <c r="F247" s="118" t="n">
        <f aca="false">_xlfn.IFNA(INDEX(Cascade!$Y:$Y,MATCH($E247,Cascade!$E:$E,0)),"")</f>
        <v>0.67816091954023</v>
      </c>
      <c r="G247" s="73" t="n">
        <f aca="false">_xlfn.IFNA(INDEX(Cascade!$BD:$BD,MATCH($E247,Cascade!$E:$E,0)),"")</f>
        <v>3</v>
      </c>
      <c r="H247" s="73" t="n">
        <f aca="false">_xlfn.IFNA(INDEX(Cascade!$BE:$BE,MATCH($E247,Cascade!$E:$E,0)),"")</f>
        <v>1</v>
      </c>
      <c r="I247" s="73" t="n">
        <f aca="false">_xlfn.IFNA(INDEX(Cascade!$BF:$BF,MATCH($E247,Cascade!$E:$E,0)),"")</f>
        <v>-672</v>
      </c>
      <c r="J247" s="73" t="str">
        <f aca="false">_xlfn.IFNA(INDEX(Cascade!$BG:$BG,MATCH($E247,Cascade!$E:$E,0)),"")</f>
        <v/>
      </c>
      <c r="K247" s="73" t="n">
        <f aca="false">_xlfn.IFNA(INDEX(Cascade!$BH:$BH,MATCH($E247,Cascade!$E:$E,0)),"")</f>
        <v>-0</v>
      </c>
      <c r="L247" s="73" t="str">
        <f aca="false">_xlfn.IFNA(INDEX(Cascade!$BI:$BI,MATCH($E247,Cascade!$E:$E,0)),"")</f>
        <v/>
      </c>
      <c r="M247" s="73" t="n">
        <f aca="false">_xlfn.IFNA(INDEX(Cascade!$BK:$BK,MATCH($E247,Cascade!$E:$E,0)),"")</f>
        <v>674</v>
      </c>
      <c r="N247" s="118" t="n">
        <v>10</v>
      </c>
      <c r="O247" s="118"/>
      <c r="P247" s="118" t="n">
        <v>42</v>
      </c>
      <c r="Q247" s="75" t="str">
        <f aca="false">IF(OR(SUM($H247)=0,SUM($N247)=0,SUM($O247)=0),"",ROUND($H247*$N247,0))</f>
        <v/>
      </c>
      <c r="R247" s="75" t="str">
        <f aca="false">IF(OR(SUM($Q247)=0,SUM($O247)=0),"",ROUND(SUM($Q247)/SUM($O247),0)-SUM($Q247))</f>
        <v/>
      </c>
      <c r="S247" s="75" t="n">
        <f aca="false">IF(SUM($H247)=0,"",SUM($H247)-SUM($Q247))</f>
        <v>1</v>
      </c>
      <c r="T247" s="75" t="str">
        <f aca="false">IF(OR(SUM($S247)=0,$N247&gt;1,SUM($P247)&lt;=0),"",ROUND($S247/$P247,0)-$S247)</f>
        <v/>
      </c>
      <c r="U247" s="118" t="n">
        <f aca="false">IF(SUM($G247)&lt;=0,"",SUM($Q247,$S247)/$G247)</f>
        <v>0.333333333333333</v>
      </c>
      <c r="V247" s="118" t="str">
        <f aca="false">IF(OR(SUM($Q247)=0,SUM($G247)=0),"",SUM($Q247)/SUM($G247))</f>
        <v/>
      </c>
      <c r="W247" s="118" t="n">
        <f aca="false">IF(OR(SUM($S247)=0,SUM($G247)=0),"",SUM($S247)/SUM($G247))</f>
        <v>0.333333333333333</v>
      </c>
      <c r="X247" s="118" t="n">
        <f aca="false">IF(OR(SUM($G247)=0,SUM($I247)=0),"",SUM($I247)/SUM($G247))</f>
        <v>-224</v>
      </c>
      <c r="Y247" s="118" t="str">
        <f aca="false">IF(OR(SUM($G247)=0,SUM($J247)=0),"",SUM($J247)/SUM($G247))</f>
        <v/>
      </c>
      <c r="Z247" s="118" t="str">
        <f aca="false">IF(OR(SUM($G247)=0,SUM($K247)=0),"",SUM($K247)/SUM($G247))</f>
        <v/>
      </c>
      <c r="AA247" s="118" t="str">
        <f aca="false">IF(OR(SUM($G247)=0,SUM($L247)=0),"",SUM($L247)/SUM($G247))</f>
        <v/>
      </c>
      <c r="AB247" s="118" t="n">
        <v>38</v>
      </c>
      <c r="AC247" s="118"/>
      <c r="AD247" s="118"/>
      <c r="AE247" s="118" t="n">
        <v>36</v>
      </c>
      <c r="AF247" s="118" t="n">
        <v>24</v>
      </c>
      <c r="AG247" s="118" t="n">
        <v>47</v>
      </c>
      <c r="AH247" s="118" t="n">
        <v>37</v>
      </c>
      <c r="AI247" s="118" t="n">
        <v>48</v>
      </c>
      <c r="AJ247" s="118" t="n">
        <v>2</v>
      </c>
      <c r="AK247" s="118" t="n">
        <f aca="false">IF(SUM($G247)&lt;=0,"",SUM($V247:$AJ247))</f>
        <v>8.33333333333333</v>
      </c>
      <c r="AL247" s="118" t="n">
        <v>6</v>
      </c>
      <c r="AM247" s="75" t="n">
        <f aca="false">IF(OR(SUM($AB247)&lt;=0,SUM($G247)&lt;=0),"",ROUND($G247*$AB247,0))</f>
        <v>114</v>
      </c>
      <c r="AN247" s="75" t="n">
        <f aca="false">IF(SUM($AM247)&lt;=0,"",IF(SUM($AL247)&lt;=0,"ENTER VALID YIELD!",ROUND($AM247/$AL247,0)-$AM247))</f>
        <v>-95</v>
      </c>
      <c r="AO247" s="118"/>
      <c r="AP247" s="75" t="str">
        <f aca="false">IF(OR(SUM($AC247)&lt;=0,SUM($G247)&lt;=0),"",ROUND($G247*$AC247,0))</f>
        <v/>
      </c>
      <c r="AQ247" s="75" t="str">
        <f aca="false">IF(SUM($AP247)&lt;=0,"",IF(SUM($AO247)&lt;=0,"ENTER VALID YIELD!",ROUND($AP247/$AO247,0)-$AP247))</f>
        <v/>
      </c>
      <c r="AR247" s="118"/>
      <c r="AS247" s="75" t="str">
        <f aca="false">IF(OR(SUM($AD247)&lt;=0,SUM($G247)&lt;=0),"",ROUND($G247*$AD247,0))</f>
        <v/>
      </c>
      <c r="AT247" s="75" t="str">
        <f aca="false">IF(SUM($AS247)&lt;=0,"",IF(SUM($AR247)&lt;=0,"ENTER VALID YIELD!",ROUND($AS247/$AR247,0)-$AS247))</f>
        <v/>
      </c>
      <c r="AU247" s="118"/>
      <c r="AV247" s="75" t="n">
        <f aca="false">IF(OR(SUM($AE247)&lt;=0,SUM($G247)&lt;=0),"",ROUND($G247*$AE247,0))</f>
        <v>108</v>
      </c>
      <c r="AW247" s="75" t="str">
        <f aca="false">IF(SUM($AV247)&lt;=0,"",IF(SUM($AU247)&lt;=0,"ENTER VALID YIELD!",ROUND($AV247/$AU247,0)-$AV247))</f>
        <v>ENTER VALID YIELD!</v>
      </c>
      <c r="AX247" s="118"/>
      <c r="AY247" s="75" t="n">
        <f aca="false">IF(OR(SUM($AF247)&lt;=0,SUM($G247)&lt;=0),"",ROUND($G247*$AF247,0))</f>
        <v>72</v>
      </c>
      <c r="AZ247" s="75" t="str">
        <f aca="false">IF(SUM($AY247)&lt;=0,"",IF(SUM($AX247)&lt;=0,"ENTER VALID YIELD!",ROUND($AY247/$AX247,0)-$AY247))</f>
        <v>ENTER VALID YIELD!</v>
      </c>
      <c r="BA247" s="118" t="n">
        <v>48</v>
      </c>
      <c r="BB247" s="75" t="n">
        <f aca="false">IF(OR(SUM($AG247)&lt;=0,SUM($G247)&lt;=0),"",ROUND($G247*$AG247,0))</f>
        <v>141</v>
      </c>
      <c r="BC247" s="75" t="n">
        <f aca="false">IF(SUM($BB247)&lt;=0,"",IF(SUM($BA247)&lt;=0,"ENTER VALID YIELD!",ROUND($BB247/$BA247,0)-$BB247))</f>
        <v>-138</v>
      </c>
      <c r="BD247" s="118"/>
      <c r="BE247" s="75" t="n">
        <f aca="false">IF(OR(SUM($AH247)&lt;=0,SUM($G247)&lt;=0),"",ROUND($G247*$AH247,0))</f>
        <v>111</v>
      </c>
      <c r="BF247" s="75" t="str">
        <f aca="false">IF(SUM($BE247)&lt;=0,"",IF(SUM($BD247)&lt;=0,"ENTER VALID YIELD!",ROUND($BE247/$BD247,0)-$BE247))</f>
        <v>ENTER VALID YIELD!</v>
      </c>
      <c r="BG247" s="118"/>
      <c r="BH247" s="75" t="n">
        <f aca="false">IF(OR(SUM($AI247)&lt;=0,SUM($G247)&lt;=0),"",ROUND($G247*$AI247,0))</f>
        <v>144</v>
      </c>
      <c r="BI247" s="75" t="str">
        <f aca="false">IF(SUM($BH247)&lt;=0,"",IF(SUM($BG247)&lt;=0,"ENTER VALID YIELD!",ROUND($BH247/$BG247,0)-$BH247))</f>
        <v>ENTER VALID YIELD!</v>
      </c>
      <c r="BJ247" s="118"/>
      <c r="BK247" s="75" t="n">
        <f aca="false">IF(OR(SUM($AJ247)&lt;=0,SUM($G247)&lt;=0),"",ROUND($G247*$AJ247,0))</f>
        <v>6</v>
      </c>
      <c r="BL247" s="75" t="str">
        <f aca="false">IF(SUM($BK247)&lt;=0,"",IF(SUM($BJ247)&lt;=0,"ENTER VALID YIELD!",ROUND($BK247/$BJ247,0)-$BK247))</f>
        <v>ENTER VALID YIELD!</v>
      </c>
      <c r="BM247" s="73" t="n">
        <f aca="false">IF(SUM($G247)&lt;=0,"",$G247)</f>
        <v>3</v>
      </c>
      <c r="BN247" s="73" t="n">
        <f aca="false">IF(SUM($G247)&lt;=0,"",SUM($I247:$L247,$Q247,$S247,$AM247,$AP247,$AS247,$AV247,$AY247,$BB247,$BE247,$BH247,$BK247))</f>
        <v>25</v>
      </c>
      <c r="BO247" s="73" t="n">
        <f aca="false">IF(AND(SUM($BN247)&lt;=0,SUM($BM247)&lt;=0),"",SUM($BN247)-SUM($BM247))</f>
        <v>22</v>
      </c>
      <c r="BP247" s="73" t="n">
        <f aca="false">_xlfn.IFNA(INDEX(PMTCT!$AF:$AF,MATCH($E247,PMTCT!$E:$E,0)),"")</f>
        <v>651</v>
      </c>
      <c r="BQ247" s="73" t="str">
        <f aca="false">_xlfn.IFNA(INDEX(PMTCT!$AV:$AV,MATCH($E247,PMTCT!$E:$E,0)),"")</f>
        <v/>
      </c>
      <c r="BR247" s="73" t="n">
        <f aca="false">_xlfn.IFNA(INDEX(TB!$R:$R,MATCH($E247,TB!$E:$E,0)),"")</f>
        <v>-374</v>
      </c>
      <c r="BS247" s="73" t="str">
        <f aca="false">_xlfn.IFNA(INDEX(VMMC!$AD:$AD,MATCH($E247,VMMC!$E:$E,0)),"")</f>
        <v/>
      </c>
      <c r="BT247" s="73" t="n">
        <f aca="false">IF(SUM($R247,$T247,$AN247,$AQ247,$AT247,$AW247,$AZ247,$BC247,$BF247,$BI247,$BL247,$BP247:$BS247)=0,"",SUM($R247,$T247,$AN247,$AQ247,$AT247,$AW247,$AZ247,$BC247,$BF247,$BI247,$BL247,$BP247:$BS247))</f>
        <v>44</v>
      </c>
      <c r="BU247" s="73" t="n">
        <f aca="false">IF(OR(SUM($BT247)=0,SUM($BN247)=0),"",SUM($BT247,$BN247))</f>
        <v>69</v>
      </c>
      <c r="BV247" s="118" t="n">
        <f aca="false">IF(SUM($BU247)=0,"",SUM($BN247)/$BU247)</f>
        <v>0.36231884057971</v>
      </c>
      <c r="BW247" s="73" t="n">
        <v>21</v>
      </c>
      <c r="BX247" s="118" t="n">
        <f aca="false">IF(OR($C247="01-04",$C247="05-09"),"",0%)</f>
        <v>0</v>
      </c>
      <c r="BY247" s="75" t="n">
        <f aca="false">IF(OR($C247="01-04",$C247="05-09",SUM($BW247)=0),"",ROUND($BW247*(1+$BX247),0))</f>
        <v>21</v>
      </c>
    </row>
    <row r="248" customFormat="false" ht="15" hidden="false" customHeight="false" outlineLevel="0" collapsed="false">
      <c r="A248" s="0" t="s">
        <v>151</v>
      </c>
      <c r="B248" s="0" t="s">
        <v>101</v>
      </c>
      <c r="C248" s="0" t="s">
        <v>72</v>
      </c>
      <c r="D248" s="0" t="s">
        <v>58</v>
      </c>
      <c r="E248" s="0" t="str">
        <f aca="false">B248&amp;"|"&amp;C248&amp;"|"&amp;D248</f>
        <v>Thaba Tseka [#SNU] [jyhIrCoB31x]|30-34|Male</v>
      </c>
      <c r="F248" s="118" t="n">
        <f aca="false">_xlfn.IFNA(INDEX(Cascade!$Y:$Y,MATCH($E248,Cascade!$E:$E,0)),"")</f>
        <v>0.531645569620253</v>
      </c>
      <c r="G248" s="73" t="n">
        <f aca="false">_xlfn.IFNA(INDEX(Cascade!$BD:$BD,MATCH($E248,Cascade!$E:$E,0)),"")</f>
        <v>37</v>
      </c>
      <c r="H248" s="73" t="n">
        <f aca="false">_xlfn.IFNA(INDEX(Cascade!$BE:$BE,MATCH($E248,Cascade!$E:$E,0)),"")</f>
        <v>11</v>
      </c>
      <c r="I248" s="73" t="str">
        <f aca="false">_xlfn.IFNA(INDEX(Cascade!$BF:$BF,MATCH($E248,Cascade!$E:$E,0)),"")</f>
        <v/>
      </c>
      <c r="J248" s="73" t="str">
        <f aca="false">_xlfn.IFNA(INDEX(Cascade!$BG:$BG,MATCH($E248,Cascade!$E:$E,0)),"")</f>
        <v/>
      </c>
      <c r="K248" s="73" t="n">
        <f aca="false">_xlfn.IFNA(INDEX(Cascade!$BH:$BH,MATCH($E248,Cascade!$E:$E,0)),"")</f>
        <v>-13986</v>
      </c>
      <c r="L248" s="73" t="str">
        <f aca="false">_xlfn.IFNA(INDEX(Cascade!$BI:$BI,MATCH($E248,Cascade!$E:$E,0)),"")</f>
        <v/>
      </c>
      <c r="M248" s="73" t="n">
        <f aca="false">_xlfn.IFNA(INDEX(Cascade!$BK:$BK,MATCH($E248,Cascade!$E:$E,0)),"")</f>
        <v>14012</v>
      </c>
      <c r="N248" s="118" t="n">
        <v>30</v>
      </c>
      <c r="O248" s="118"/>
      <c r="P248" s="118" t="n">
        <v>5</v>
      </c>
      <c r="Q248" s="75" t="str">
        <f aca="false">IF(OR(SUM($H248)=0,SUM($N248)=0,SUM($O248)=0),"",ROUND($H248*$N248,0))</f>
        <v/>
      </c>
      <c r="R248" s="75" t="str">
        <f aca="false">IF(OR(SUM($Q248)=0,SUM($O248)=0),"",ROUND(SUM($Q248)/SUM($O248),0)-SUM($Q248))</f>
        <v/>
      </c>
      <c r="S248" s="75" t="n">
        <f aca="false">IF(SUM($H248)=0,"",SUM($H248)-SUM($Q248))</f>
        <v>11</v>
      </c>
      <c r="T248" s="75" t="str">
        <f aca="false">IF(OR(SUM($S248)=0,$N248&gt;1,SUM($P248)&lt;=0),"",ROUND($S248/$P248,0)-$S248)</f>
        <v/>
      </c>
      <c r="U248" s="118" t="n">
        <f aca="false">IF(SUM($G248)&lt;=0,"",SUM($Q248,$S248)/$G248)</f>
        <v>0.297297297297297</v>
      </c>
      <c r="V248" s="118" t="str">
        <f aca="false">IF(OR(SUM($Q248)=0,SUM($G248)=0),"",SUM($Q248)/SUM($G248))</f>
        <v/>
      </c>
      <c r="W248" s="118" t="n">
        <f aca="false">IF(OR(SUM($S248)=0,SUM($G248)=0),"",SUM($S248)/SUM($G248))</f>
        <v>0.297297297297297</v>
      </c>
      <c r="X248" s="118" t="str">
        <f aca="false">IF(OR(SUM($G248)=0,SUM($I248)=0),"",SUM($I248)/SUM($G248))</f>
        <v/>
      </c>
      <c r="Y248" s="118" t="str">
        <f aca="false">IF(OR(SUM($G248)=0,SUM($J248)=0),"",SUM($J248)/SUM($G248))</f>
        <v/>
      </c>
      <c r="Z248" s="118" t="n">
        <f aca="false">IF(OR(SUM($G248)=0,SUM($K248)=0),"",SUM($K248)/SUM($G248))</f>
        <v>-378</v>
      </c>
      <c r="AA248" s="118" t="str">
        <f aca="false">IF(OR(SUM($G248)=0,SUM($L248)=0),"",SUM($L248)/SUM($G248))</f>
        <v/>
      </c>
      <c r="AB248" s="118" t="n">
        <v>4</v>
      </c>
      <c r="AC248" s="118"/>
      <c r="AD248" s="118"/>
      <c r="AE248" s="118" t="n">
        <v>43</v>
      </c>
      <c r="AF248" s="118" t="n">
        <v>45</v>
      </c>
      <c r="AG248" s="118" t="n">
        <v>24</v>
      </c>
      <c r="AH248" s="118" t="n">
        <v>35</v>
      </c>
      <c r="AI248" s="118" t="n">
        <v>35</v>
      </c>
      <c r="AJ248" s="118" t="n">
        <v>28</v>
      </c>
      <c r="AK248" s="118" t="n">
        <f aca="false">IF(SUM($G248)&lt;=0,"",SUM($V248:$AJ248))</f>
        <v>-163.702702702703</v>
      </c>
      <c r="AL248" s="118" t="n">
        <v>42</v>
      </c>
      <c r="AM248" s="75" t="n">
        <f aca="false">IF(OR(SUM($AB248)&lt;=0,SUM($G248)&lt;=0),"",ROUND($G248*$AB248,0))</f>
        <v>148</v>
      </c>
      <c r="AN248" s="75" t="n">
        <f aca="false">IF(SUM($AM248)&lt;=0,"",IF(SUM($AL248)&lt;=0,"ENTER VALID YIELD!",ROUND($AM248/$AL248,0)-$AM248))</f>
        <v>-144</v>
      </c>
      <c r="AO248" s="118"/>
      <c r="AP248" s="75" t="str">
        <f aca="false">IF(OR(SUM($AC248)&lt;=0,SUM($G248)&lt;=0),"",ROUND($G248*$AC248,0))</f>
        <v/>
      </c>
      <c r="AQ248" s="75" t="str">
        <f aca="false">IF(SUM($AP248)&lt;=0,"",IF(SUM($AO248)&lt;=0,"ENTER VALID YIELD!",ROUND($AP248/$AO248,0)-$AP248))</f>
        <v/>
      </c>
      <c r="AR248" s="118"/>
      <c r="AS248" s="75" t="str">
        <f aca="false">IF(OR(SUM($AD248)&lt;=0,SUM($G248)&lt;=0),"",ROUND($G248*$AD248,0))</f>
        <v/>
      </c>
      <c r="AT248" s="75" t="str">
        <f aca="false">IF(SUM($AS248)&lt;=0,"",IF(SUM($AR248)&lt;=0,"ENTER VALID YIELD!",ROUND($AS248/$AR248,0)-$AS248))</f>
        <v/>
      </c>
      <c r="AU248" s="118"/>
      <c r="AV248" s="75" t="n">
        <f aca="false">IF(OR(SUM($AE248)&lt;=0,SUM($G248)&lt;=0),"",ROUND($G248*$AE248,0))</f>
        <v>1591</v>
      </c>
      <c r="AW248" s="75" t="str">
        <f aca="false">IF(SUM($AV248)&lt;=0,"",IF(SUM($AU248)&lt;=0,"ENTER VALID YIELD!",ROUND($AV248/$AU248,0)-$AV248))</f>
        <v>ENTER VALID YIELD!</v>
      </c>
      <c r="AX248" s="118"/>
      <c r="AY248" s="75" t="n">
        <f aca="false">IF(OR(SUM($AF248)&lt;=0,SUM($G248)&lt;=0),"",ROUND($G248*$AF248,0))</f>
        <v>1665</v>
      </c>
      <c r="AZ248" s="75" t="str">
        <f aca="false">IF(SUM($AY248)&lt;=0,"",IF(SUM($AX248)&lt;=0,"ENTER VALID YIELD!",ROUND($AY248/$AX248,0)-$AY248))</f>
        <v>ENTER VALID YIELD!</v>
      </c>
      <c r="BA248" s="118" t="n">
        <v>9</v>
      </c>
      <c r="BB248" s="75" t="n">
        <f aca="false">IF(OR(SUM($AG248)&lt;=0,SUM($G248)&lt;=0),"",ROUND($G248*$AG248,0))</f>
        <v>888</v>
      </c>
      <c r="BC248" s="75" t="n">
        <f aca="false">IF(SUM($BB248)&lt;=0,"",IF(SUM($BA248)&lt;=0,"ENTER VALID YIELD!",ROUND($BB248/$BA248,0)-$BB248))</f>
        <v>-789</v>
      </c>
      <c r="BD248" s="118"/>
      <c r="BE248" s="75" t="n">
        <f aca="false">IF(OR(SUM($AH248)&lt;=0,SUM($G248)&lt;=0),"",ROUND($G248*$AH248,0))</f>
        <v>1295</v>
      </c>
      <c r="BF248" s="75" t="str">
        <f aca="false">IF(SUM($BE248)&lt;=0,"",IF(SUM($BD248)&lt;=0,"ENTER VALID YIELD!",ROUND($BE248/$BD248,0)-$BE248))</f>
        <v>ENTER VALID YIELD!</v>
      </c>
      <c r="BG248" s="118"/>
      <c r="BH248" s="75" t="n">
        <f aca="false">IF(OR(SUM($AI248)&lt;=0,SUM($G248)&lt;=0),"",ROUND($G248*$AI248,0))</f>
        <v>1295</v>
      </c>
      <c r="BI248" s="75" t="str">
        <f aca="false">IF(SUM($BH248)&lt;=0,"",IF(SUM($BG248)&lt;=0,"ENTER VALID YIELD!",ROUND($BH248/$BG248,0)-$BH248))</f>
        <v>ENTER VALID YIELD!</v>
      </c>
      <c r="BJ248" s="118"/>
      <c r="BK248" s="75" t="n">
        <f aca="false">IF(OR(SUM($AJ248)&lt;=0,SUM($G248)&lt;=0),"",ROUND($G248*$AJ248,0))</f>
        <v>1036</v>
      </c>
      <c r="BL248" s="75" t="str">
        <f aca="false">IF(SUM($BK248)&lt;=0,"",IF(SUM($BJ248)&lt;=0,"ENTER VALID YIELD!",ROUND($BK248/$BJ248,0)-$BK248))</f>
        <v>ENTER VALID YIELD!</v>
      </c>
      <c r="BM248" s="73" t="n">
        <f aca="false">IF(SUM($G248)&lt;=0,"",$G248)</f>
        <v>37</v>
      </c>
      <c r="BN248" s="73" t="n">
        <f aca="false">IF(SUM($G248)&lt;=0,"",SUM($I248:$L248,$Q248,$S248,$AM248,$AP248,$AS248,$AV248,$AY248,$BB248,$BE248,$BH248,$BK248))</f>
        <v>-6057</v>
      </c>
      <c r="BO248" s="73" t="n">
        <f aca="false">IF(AND(SUM($BN248)&lt;=0,SUM($BM248)&lt;=0),"",SUM($BN248)-SUM($BM248))</f>
        <v>-6094</v>
      </c>
      <c r="BP248" s="73" t="str">
        <f aca="false">_xlfn.IFNA(INDEX(PMTCT!$AF:$AF,MATCH($E248,PMTCT!$E:$E,0)),"")</f>
        <v/>
      </c>
      <c r="BQ248" s="73" t="str">
        <f aca="false">_xlfn.IFNA(INDEX(PMTCT!$AV:$AV,MATCH($E248,PMTCT!$E:$E,0)),"")</f>
        <v/>
      </c>
      <c r="BR248" s="73" t="n">
        <f aca="false">_xlfn.IFNA(INDEX(TB!$R:$R,MATCH($E248,TB!$E:$E,0)),"")</f>
        <v>13468</v>
      </c>
      <c r="BS248" s="73" t="str">
        <f aca="false">_xlfn.IFNA(INDEX(VMMC!$AD:$AD,MATCH($E248,VMMC!$E:$E,0)),"")</f>
        <v/>
      </c>
      <c r="BT248" s="73" t="n">
        <f aca="false">IF(SUM($R248,$T248,$AN248,$AQ248,$AT248,$AW248,$AZ248,$BC248,$BF248,$BI248,$BL248,$BP248:$BS248)=0,"",SUM($R248,$T248,$AN248,$AQ248,$AT248,$AW248,$AZ248,$BC248,$BF248,$BI248,$BL248,$BP248:$BS248))</f>
        <v>12535</v>
      </c>
      <c r="BU248" s="73" t="n">
        <f aca="false">IF(OR(SUM($BT248)=0,SUM($BN248)=0),"",SUM($BT248,$BN248))</f>
        <v>6478</v>
      </c>
      <c r="BV248" s="118" t="n">
        <f aca="false">IF(SUM($BU248)=0,"",SUM($BN248)/$BU248)</f>
        <v>-0.93501080580426</v>
      </c>
      <c r="BW248" s="73"/>
      <c r="BX248" s="118" t="n">
        <f aca="false">IF(OR($C248="01-04",$C248="05-09"),"",0%)</f>
        <v>0</v>
      </c>
      <c r="BY248" s="75" t="str">
        <f aca="false">IF(OR($C248="01-04",$C248="05-09",SUM($BW248)=0),"",ROUND($BW248*(1+$BX248),0))</f>
        <v/>
      </c>
    </row>
    <row r="249" customFormat="false" ht="15" hidden="false" customHeight="false" outlineLevel="0" collapsed="false">
      <c r="A249" s="0" t="s">
        <v>151</v>
      </c>
      <c r="B249" s="0" t="s">
        <v>101</v>
      </c>
      <c r="C249" s="0" t="s">
        <v>75</v>
      </c>
      <c r="D249" s="0" t="s">
        <v>56</v>
      </c>
      <c r="E249" s="0" t="str">
        <f aca="false">B249&amp;"|"&amp;C249&amp;"|"&amp;D249</f>
        <v>Thaba Tseka [#SNU] [jyhIrCoB31x]|35-39|Female</v>
      </c>
      <c r="F249" s="118" t="n">
        <f aca="false">_xlfn.IFNA(INDEX(Cascade!$Y:$Y,MATCH($E249,Cascade!$E:$E,0)),"")</f>
        <v>0.813731722822632</v>
      </c>
      <c r="G249" s="73" t="n">
        <f aca="false">_xlfn.IFNA(INDEX(Cascade!$BD:$BD,MATCH($E249,Cascade!$E:$E,0)),"")</f>
        <v>2</v>
      </c>
      <c r="H249" s="73" t="n">
        <f aca="false">_xlfn.IFNA(INDEX(Cascade!$BE:$BE,MATCH($E249,Cascade!$E:$E,0)),"")</f>
        <v>2</v>
      </c>
      <c r="I249" s="73" t="n">
        <f aca="false">_xlfn.IFNA(INDEX(Cascade!$BF:$BF,MATCH($E249,Cascade!$E:$E,0)),"")</f>
        <v>-32175</v>
      </c>
      <c r="J249" s="73" t="str">
        <f aca="false">_xlfn.IFNA(INDEX(Cascade!$BG:$BG,MATCH($E249,Cascade!$E:$E,0)),"")</f>
        <v/>
      </c>
      <c r="K249" s="73" t="n">
        <f aca="false">_xlfn.IFNA(INDEX(Cascade!$BH:$BH,MATCH($E249,Cascade!$E:$E,0)),"")</f>
        <v>-0</v>
      </c>
      <c r="L249" s="73" t="str">
        <f aca="false">_xlfn.IFNA(INDEX(Cascade!$BI:$BI,MATCH($E249,Cascade!$E:$E,0)),"")</f>
        <v/>
      </c>
      <c r="M249" s="73" t="n">
        <f aca="false">_xlfn.IFNA(INDEX(Cascade!$BK:$BK,MATCH($E249,Cascade!$E:$E,0)),"")</f>
        <v>32175</v>
      </c>
      <c r="N249" s="118" t="n">
        <v>32</v>
      </c>
      <c r="O249" s="118"/>
      <c r="P249" s="118" t="n">
        <v>47</v>
      </c>
      <c r="Q249" s="75" t="str">
        <f aca="false">IF(OR(SUM($H249)=0,SUM($N249)=0,SUM($O249)=0),"",ROUND($H249*$N249,0))</f>
        <v/>
      </c>
      <c r="R249" s="75" t="str">
        <f aca="false">IF(OR(SUM($Q249)=0,SUM($O249)=0),"",ROUND(SUM($Q249)/SUM($O249),0)-SUM($Q249))</f>
        <v/>
      </c>
      <c r="S249" s="75" t="n">
        <f aca="false">IF(SUM($H249)=0,"",SUM($H249)-SUM($Q249))</f>
        <v>2</v>
      </c>
      <c r="T249" s="75" t="str">
        <f aca="false">IF(OR(SUM($S249)=0,$N249&gt;1,SUM($P249)&lt;=0),"",ROUND($S249/$P249,0)-$S249)</f>
        <v/>
      </c>
      <c r="U249" s="118" t="n">
        <f aca="false">IF(SUM($G249)&lt;=0,"",SUM($Q249,$S249)/$G249)</f>
        <v>1</v>
      </c>
      <c r="V249" s="118" t="str">
        <f aca="false">IF(OR(SUM($Q249)=0,SUM($G249)=0),"",SUM($Q249)/SUM($G249))</f>
        <v/>
      </c>
      <c r="W249" s="118" t="n">
        <f aca="false">IF(OR(SUM($S249)=0,SUM($G249)=0),"",SUM($S249)/SUM($G249))</f>
        <v>1</v>
      </c>
      <c r="X249" s="118" t="n">
        <f aca="false">IF(OR(SUM($G249)=0,SUM($I249)=0),"",SUM($I249)/SUM($G249))</f>
        <v>-16087.5</v>
      </c>
      <c r="Y249" s="118" t="str">
        <f aca="false">IF(OR(SUM($G249)=0,SUM($J249)=0),"",SUM($J249)/SUM($G249))</f>
        <v/>
      </c>
      <c r="Z249" s="118" t="str">
        <f aca="false">IF(OR(SUM($G249)=0,SUM($K249)=0),"",SUM($K249)/SUM($G249))</f>
        <v/>
      </c>
      <c r="AA249" s="118" t="str">
        <f aca="false">IF(OR(SUM($G249)=0,SUM($L249)=0),"",SUM($L249)/SUM($G249))</f>
        <v/>
      </c>
      <c r="AB249" s="118" t="n">
        <v>22</v>
      </c>
      <c r="AC249" s="118"/>
      <c r="AD249" s="118"/>
      <c r="AE249" s="118" t="n">
        <v>7</v>
      </c>
      <c r="AF249" s="118" t="n">
        <v>37</v>
      </c>
      <c r="AG249" s="118" t="n">
        <v>2</v>
      </c>
      <c r="AH249" s="118" t="n">
        <v>40</v>
      </c>
      <c r="AI249" s="118" t="n">
        <v>34</v>
      </c>
      <c r="AJ249" s="118" t="n">
        <v>27</v>
      </c>
      <c r="AK249" s="118" t="n">
        <f aca="false">IF(SUM($G249)&lt;=0,"",SUM($V249:$AJ249))</f>
        <v>-15917.5</v>
      </c>
      <c r="AL249" s="118" t="n">
        <v>38</v>
      </c>
      <c r="AM249" s="75" t="n">
        <f aca="false">IF(OR(SUM($AB249)&lt;=0,SUM($G249)&lt;=0),"",ROUND($G249*$AB249,0))</f>
        <v>44</v>
      </c>
      <c r="AN249" s="75" t="n">
        <f aca="false">IF(SUM($AM249)&lt;=0,"",IF(SUM($AL249)&lt;=0,"ENTER VALID YIELD!",ROUND($AM249/$AL249,0)-$AM249))</f>
        <v>-43</v>
      </c>
      <c r="AO249" s="118"/>
      <c r="AP249" s="75" t="str">
        <f aca="false">IF(OR(SUM($AC249)&lt;=0,SUM($G249)&lt;=0),"",ROUND($G249*$AC249,0))</f>
        <v/>
      </c>
      <c r="AQ249" s="75" t="str">
        <f aca="false">IF(SUM($AP249)&lt;=0,"",IF(SUM($AO249)&lt;=0,"ENTER VALID YIELD!",ROUND($AP249/$AO249,0)-$AP249))</f>
        <v/>
      </c>
      <c r="AR249" s="118"/>
      <c r="AS249" s="75" t="str">
        <f aca="false">IF(OR(SUM($AD249)&lt;=0,SUM($G249)&lt;=0),"",ROUND($G249*$AD249,0))</f>
        <v/>
      </c>
      <c r="AT249" s="75" t="str">
        <f aca="false">IF(SUM($AS249)&lt;=0,"",IF(SUM($AR249)&lt;=0,"ENTER VALID YIELD!",ROUND($AS249/$AR249,0)-$AS249))</f>
        <v/>
      </c>
      <c r="AU249" s="118"/>
      <c r="AV249" s="75" t="n">
        <f aca="false">IF(OR(SUM($AE249)&lt;=0,SUM($G249)&lt;=0),"",ROUND($G249*$AE249,0))</f>
        <v>14</v>
      </c>
      <c r="AW249" s="75" t="str">
        <f aca="false">IF(SUM($AV249)&lt;=0,"",IF(SUM($AU249)&lt;=0,"ENTER VALID YIELD!",ROUND($AV249/$AU249,0)-$AV249))</f>
        <v>ENTER VALID YIELD!</v>
      </c>
      <c r="AX249" s="118"/>
      <c r="AY249" s="75" t="n">
        <f aca="false">IF(OR(SUM($AF249)&lt;=0,SUM($G249)&lt;=0),"",ROUND($G249*$AF249,0))</f>
        <v>74</v>
      </c>
      <c r="AZ249" s="75" t="str">
        <f aca="false">IF(SUM($AY249)&lt;=0,"",IF(SUM($AX249)&lt;=0,"ENTER VALID YIELD!",ROUND($AY249/$AX249,0)-$AY249))</f>
        <v>ENTER VALID YIELD!</v>
      </c>
      <c r="BA249" s="118" t="n">
        <v>16</v>
      </c>
      <c r="BB249" s="75" t="n">
        <f aca="false">IF(OR(SUM($AG249)&lt;=0,SUM($G249)&lt;=0),"",ROUND($G249*$AG249,0))</f>
        <v>4</v>
      </c>
      <c r="BC249" s="75" t="n">
        <f aca="false">IF(SUM($BB249)&lt;=0,"",IF(SUM($BA249)&lt;=0,"ENTER VALID YIELD!",ROUND($BB249/$BA249,0)-$BB249))</f>
        <v>-4</v>
      </c>
      <c r="BD249" s="118"/>
      <c r="BE249" s="75" t="n">
        <f aca="false">IF(OR(SUM($AH249)&lt;=0,SUM($G249)&lt;=0),"",ROUND($G249*$AH249,0))</f>
        <v>80</v>
      </c>
      <c r="BF249" s="75" t="str">
        <f aca="false">IF(SUM($BE249)&lt;=0,"",IF(SUM($BD249)&lt;=0,"ENTER VALID YIELD!",ROUND($BE249/$BD249,0)-$BE249))</f>
        <v>ENTER VALID YIELD!</v>
      </c>
      <c r="BG249" s="118"/>
      <c r="BH249" s="75" t="n">
        <f aca="false">IF(OR(SUM($AI249)&lt;=0,SUM($G249)&lt;=0),"",ROUND($G249*$AI249,0))</f>
        <v>68</v>
      </c>
      <c r="BI249" s="75" t="str">
        <f aca="false">IF(SUM($BH249)&lt;=0,"",IF(SUM($BG249)&lt;=0,"ENTER VALID YIELD!",ROUND($BH249/$BG249,0)-$BH249))</f>
        <v>ENTER VALID YIELD!</v>
      </c>
      <c r="BJ249" s="118"/>
      <c r="BK249" s="75" t="n">
        <f aca="false">IF(OR(SUM($AJ249)&lt;=0,SUM($G249)&lt;=0),"",ROUND($G249*$AJ249,0))</f>
        <v>54</v>
      </c>
      <c r="BL249" s="75" t="str">
        <f aca="false">IF(SUM($BK249)&lt;=0,"",IF(SUM($BJ249)&lt;=0,"ENTER VALID YIELD!",ROUND($BK249/$BJ249,0)-$BK249))</f>
        <v>ENTER VALID YIELD!</v>
      </c>
      <c r="BM249" s="73" t="n">
        <f aca="false">IF(SUM($G249)&lt;=0,"",$G249)</f>
        <v>2</v>
      </c>
      <c r="BN249" s="73" t="n">
        <f aca="false">IF(SUM($G249)&lt;=0,"",SUM($I249:$L249,$Q249,$S249,$AM249,$AP249,$AS249,$AV249,$AY249,$BB249,$BE249,$BH249,$BK249))</f>
        <v>-31835</v>
      </c>
      <c r="BO249" s="73" t="n">
        <f aca="false">IF(AND(SUM($BN249)&lt;=0,SUM($BM249)&lt;=0),"",SUM($BN249)-SUM($BM249))</f>
        <v>-31837</v>
      </c>
      <c r="BP249" s="73" t="n">
        <f aca="false">_xlfn.IFNA(INDEX(PMTCT!$AF:$AF,MATCH($E249,PMTCT!$E:$E,0)),"")</f>
        <v>31350</v>
      </c>
      <c r="BQ249" s="73" t="str">
        <f aca="false">_xlfn.IFNA(INDEX(PMTCT!$AV:$AV,MATCH($E249,PMTCT!$E:$E,0)),"")</f>
        <v/>
      </c>
      <c r="BR249" s="73" t="n">
        <f aca="false">_xlfn.IFNA(INDEX(TB!$R:$R,MATCH($E249,TB!$E:$E,0)),"")</f>
        <v>-585</v>
      </c>
      <c r="BS249" s="73" t="str">
        <f aca="false">_xlfn.IFNA(INDEX(VMMC!$AD:$AD,MATCH($E249,VMMC!$E:$E,0)),"")</f>
        <v/>
      </c>
      <c r="BT249" s="73" t="n">
        <f aca="false">IF(SUM($R249,$T249,$AN249,$AQ249,$AT249,$AW249,$AZ249,$BC249,$BF249,$BI249,$BL249,$BP249:$BS249)=0,"",SUM($R249,$T249,$AN249,$AQ249,$AT249,$AW249,$AZ249,$BC249,$BF249,$BI249,$BL249,$BP249:$BS249))</f>
        <v>30718</v>
      </c>
      <c r="BU249" s="73" t="n">
        <f aca="false">IF(OR(SUM($BT249)=0,SUM($BN249)=0),"",SUM($BT249,$BN249))</f>
        <v>-1117</v>
      </c>
      <c r="BV249" s="118" t="n">
        <f aca="false">IF(SUM($BU249)=0,"",SUM($BN249)/$BU249)</f>
        <v>28.5004476275739</v>
      </c>
      <c r="BW249" s="73" t="n">
        <v>26</v>
      </c>
      <c r="BX249" s="118" t="n">
        <f aca="false">IF(OR($C249="01-04",$C249="05-09"),"",0%)</f>
        <v>0</v>
      </c>
      <c r="BY249" s="75" t="n">
        <f aca="false">IF(OR($C249="01-04",$C249="05-09",SUM($BW249)=0),"",ROUND($BW249*(1+$BX249),0))</f>
        <v>26</v>
      </c>
    </row>
    <row r="250" customFormat="false" ht="15" hidden="false" customHeight="false" outlineLevel="0" collapsed="false">
      <c r="A250" s="0" t="s">
        <v>151</v>
      </c>
      <c r="B250" s="0" t="s">
        <v>101</v>
      </c>
      <c r="C250" s="0" t="s">
        <v>75</v>
      </c>
      <c r="D250" s="0" t="s">
        <v>58</v>
      </c>
      <c r="E250" s="0" t="str">
        <f aca="false">B250&amp;"|"&amp;C250&amp;"|"&amp;D250</f>
        <v>Thaba Tseka [#SNU] [jyhIrCoB31x]|35-39|Male</v>
      </c>
      <c r="F250" s="118" t="n">
        <f aca="false">_xlfn.IFNA(INDEX(Cascade!$Y:$Y,MATCH($E250,Cascade!$E:$E,0)),"")</f>
        <v>0.641826923076923</v>
      </c>
      <c r="G250" s="73" t="n">
        <f aca="false">_xlfn.IFNA(INDEX(Cascade!$BD:$BD,MATCH($E250,Cascade!$E:$E,0)),"")</f>
        <v>21</v>
      </c>
      <c r="H250" s="73" t="n">
        <f aca="false">_xlfn.IFNA(INDEX(Cascade!$BE:$BE,MATCH($E250,Cascade!$E:$E,0)),"")</f>
        <v>6</v>
      </c>
      <c r="I250" s="73" t="str">
        <f aca="false">_xlfn.IFNA(INDEX(Cascade!$BF:$BF,MATCH($E250,Cascade!$E:$E,0)),"")</f>
        <v/>
      </c>
      <c r="J250" s="73" t="str">
        <f aca="false">_xlfn.IFNA(INDEX(Cascade!$BG:$BG,MATCH($E250,Cascade!$E:$E,0)),"")</f>
        <v/>
      </c>
      <c r="K250" s="73" t="n">
        <f aca="false">_xlfn.IFNA(INDEX(Cascade!$BH:$BH,MATCH($E250,Cascade!$E:$E,0)),"")</f>
        <v>-5535</v>
      </c>
      <c r="L250" s="73" t="str">
        <f aca="false">_xlfn.IFNA(INDEX(Cascade!$BI:$BI,MATCH($E250,Cascade!$E:$E,0)),"")</f>
        <v/>
      </c>
      <c r="M250" s="73" t="n">
        <f aca="false">_xlfn.IFNA(INDEX(Cascade!$BK:$BK,MATCH($E250,Cascade!$E:$E,0)),"")</f>
        <v>5550</v>
      </c>
      <c r="N250" s="118" t="n">
        <v>36</v>
      </c>
      <c r="O250" s="118"/>
      <c r="P250" s="118" t="n">
        <v>4</v>
      </c>
      <c r="Q250" s="75" t="str">
        <f aca="false">IF(OR(SUM($H250)=0,SUM($N250)=0,SUM($O250)=0),"",ROUND($H250*$N250,0))</f>
        <v/>
      </c>
      <c r="R250" s="75" t="str">
        <f aca="false">IF(OR(SUM($Q250)=0,SUM($O250)=0),"",ROUND(SUM($Q250)/SUM($O250),0)-SUM($Q250))</f>
        <v/>
      </c>
      <c r="S250" s="75" t="n">
        <f aca="false">IF(SUM($H250)=0,"",SUM($H250)-SUM($Q250))</f>
        <v>6</v>
      </c>
      <c r="T250" s="75" t="str">
        <f aca="false">IF(OR(SUM($S250)=0,$N250&gt;1,SUM($P250)&lt;=0),"",ROUND($S250/$P250,0)-$S250)</f>
        <v/>
      </c>
      <c r="U250" s="118" t="n">
        <f aca="false">IF(SUM($G250)&lt;=0,"",SUM($Q250,$S250)/$G250)</f>
        <v>0.285714285714286</v>
      </c>
      <c r="V250" s="118" t="str">
        <f aca="false">IF(OR(SUM($Q250)=0,SUM($G250)=0),"",SUM($Q250)/SUM($G250))</f>
        <v/>
      </c>
      <c r="W250" s="118" t="n">
        <f aca="false">IF(OR(SUM($S250)=0,SUM($G250)=0),"",SUM($S250)/SUM($G250))</f>
        <v>0.285714285714286</v>
      </c>
      <c r="X250" s="118" t="str">
        <f aca="false">IF(OR(SUM($G250)=0,SUM($I250)=0),"",SUM($I250)/SUM($G250))</f>
        <v/>
      </c>
      <c r="Y250" s="118" t="str">
        <f aca="false">IF(OR(SUM($G250)=0,SUM($J250)=0),"",SUM($J250)/SUM($G250))</f>
        <v/>
      </c>
      <c r="Z250" s="118" t="n">
        <f aca="false">IF(OR(SUM($G250)=0,SUM($K250)=0),"",SUM($K250)/SUM($G250))</f>
        <v>-263.571428571429</v>
      </c>
      <c r="AA250" s="118" t="str">
        <f aca="false">IF(OR(SUM($G250)=0,SUM($L250)=0),"",SUM($L250)/SUM($G250))</f>
        <v/>
      </c>
      <c r="AB250" s="118" t="n">
        <v>47</v>
      </c>
      <c r="AC250" s="118"/>
      <c r="AD250" s="118"/>
      <c r="AE250" s="118" t="n">
        <v>2</v>
      </c>
      <c r="AF250" s="118" t="n">
        <v>10</v>
      </c>
      <c r="AG250" s="118" t="n">
        <v>13</v>
      </c>
      <c r="AH250" s="118" t="n">
        <v>21</v>
      </c>
      <c r="AI250" s="118" t="n">
        <v>1</v>
      </c>
      <c r="AJ250" s="118" t="n">
        <v>1</v>
      </c>
      <c r="AK250" s="118" t="n">
        <f aca="false">IF(SUM($G250)&lt;=0,"",SUM($V250:$AJ250))</f>
        <v>-168.285714285714</v>
      </c>
      <c r="AL250" s="118" t="n">
        <v>33</v>
      </c>
      <c r="AM250" s="75" t="n">
        <f aca="false">IF(OR(SUM($AB250)&lt;=0,SUM($G250)&lt;=0),"",ROUND($G250*$AB250,0))</f>
        <v>987</v>
      </c>
      <c r="AN250" s="75" t="n">
        <f aca="false">IF(SUM($AM250)&lt;=0,"",IF(SUM($AL250)&lt;=0,"ENTER VALID YIELD!",ROUND($AM250/$AL250,0)-$AM250))</f>
        <v>-957</v>
      </c>
      <c r="AO250" s="118"/>
      <c r="AP250" s="75" t="str">
        <f aca="false">IF(OR(SUM($AC250)&lt;=0,SUM($G250)&lt;=0),"",ROUND($G250*$AC250,0))</f>
        <v/>
      </c>
      <c r="AQ250" s="75" t="str">
        <f aca="false">IF(SUM($AP250)&lt;=0,"",IF(SUM($AO250)&lt;=0,"ENTER VALID YIELD!",ROUND($AP250/$AO250,0)-$AP250))</f>
        <v/>
      </c>
      <c r="AR250" s="118"/>
      <c r="AS250" s="75" t="str">
        <f aca="false">IF(OR(SUM($AD250)&lt;=0,SUM($G250)&lt;=0),"",ROUND($G250*$AD250,0))</f>
        <v/>
      </c>
      <c r="AT250" s="75" t="str">
        <f aca="false">IF(SUM($AS250)&lt;=0,"",IF(SUM($AR250)&lt;=0,"ENTER VALID YIELD!",ROUND($AS250/$AR250,0)-$AS250))</f>
        <v/>
      </c>
      <c r="AU250" s="118"/>
      <c r="AV250" s="75" t="n">
        <f aca="false">IF(OR(SUM($AE250)&lt;=0,SUM($G250)&lt;=0),"",ROUND($G250*$AE250,0))</f>
        <v>42</v>
      </c>
      <c r="AW250" s="75" t="str">
        <f aca="false">IF(SUM($AV250)&lt;=0,"",IF(SUM($AU250)&lt;=0,"ENTER VALID YIELD!",ROUND($AV250/$AU250,0)-$AV250))</f>
        <v>ENTER VALID YIELD!</v>
      </c>
      <c r="AX250" s="118"/>
      <c r="AY250" s="75" t="n">
        <f aca="false">IF(OR(SUM($AF250)&lt;=0,SUM($G250)&lt;=0),"",ROUND($G250*$AF250,0))</f>
        <v>210</v>
      </c>
      <c r="AZ250" s="75" t="str">
        <f aca="false">IF(SUM($AY250)&lt;=0,"",IF(SUM($AX250)&lt;=0,"ENTER VALID YIELD!",ROUND($AY250/$AX250,0)-$AY250))</f>
        <v>ENTER VALID YIELD!</v>
      </c>
      <c r="BA250" s="118" t="n">
        <v>6</v>
      </c>
      <c r="BB250" s="75" t="n">
        <f aca="false">IF(OR(SUM($AG250)&lt;=0,SUM($G250)&lt;=0),"",ROUND($G250*$AG250,0))</f>
        <v>273</v>
      </c>
      <c r="BC250" s="75" t="n">
        <f aca="false">IF(SUM($BB250)&lt;=0,"",IF(SUM($BA250)&lt;=0,"ENTER VALID YIELD!",ROUND($BB250/$BA250,0)-$BB250))</f>
        <v>-227</v>
      </c>
      <c r="BD250" s="118"/>
      <c r="BE250" s="75" t="n">
        <f aca="false">IF(OR(SUM($AH250)&lt;=0,SUM($G250)&lt;=0),"",ROUND($G250*$AH250,0))</f>
        <v>441</v>
      </c>
      <c r="BF250" s="75" t="str">
        <f aca="false">IF(SUM($BE250)&lt;=0,"",IF(SUM($BD250)&lt;=0,"ENTER VALID YIELD!",ROUND($BE250/$BD250,0)-$BE250))</f>
        <v>ENTER VALID YIELD!</v>
      </c>
      <c r="BG250" s="118"/>
      <c r="BH250" s="75" t="n">
        <f aca="false">IF(OR(SUM($AI250)&lt;=0,SUM($G250)&lt;=0),"",ROUND($G250*$AI250,0))</f>
        <v>21</v>
      </c>
      <c r="BI250" s="75" t="str">
        <f aca="false">IF(SUM($BH250)&lt;=0,"",IF(SUM($BG250)&lt;=0,"ENTER VALID YIELD!",ROUND($BH250/$BG250,0)-$BH250))</f>
        <v>ENTER VALID YIELD!</v>
      </c>
      <c r="BJ250" s="118"/>
      <c r="BK250" s="75" t="n">
        <f aca="false">IF(OR(SUM($AJ250)&lt;=0,SUM($G250)&lt;=0),"",ROUND($G250*$AJ250,0))</f>
        <v>21</v>
      </c>
      <c r="BL250" s="75" t="str">
        <f aca="false">IF(SUM($BK250)&lt;=0,"",IF(SUM($BJ250)&lt;=0,"ENTER VALID YIELD!",ROUND($BK250/$BJ250,0)-$BK250))</f>
        <v>ENTER VALID YIELD!</v>
      </c>
      <c r="BM250" s="73" t="n">
        <f aca="false">IF(SUM($G250)&lt;=0,"",$G250)</f>
        <v>21</v>
      </c>
      <c r="BN250" s="73" t="n">
        <f aca="false">IF(SUM($G250)&lt;=0,"",SUM($I250:$L250,$Q250,$S250,$AM250,$AP250,$AS250,$AV250,$AY250,$BB250,$BE250,$BH250,$BK250))</f>
        <v>-3534</v>
      </c>
      <c r="BO250" s="73" t="n">
        <f aca="false">IF(AND(SUM($BN250)&lt;=0,SUM($BM250)&lt;=0),"",SUM($BN250)-SUM($BM250))</f>
        <v>-3555</v>
      </c>
      <c r="BP250" s="73" t="str">
        <f aca="false">_xlfn.IFNA(INDEX(PMTCT!$AF:$AF,MATCH($E250,PMTCT!$E:$E,0)),"")</f>
        <v/>
      </c>
      <c r="BQ250" s="73" t="str">
        <f aca="false">_xlfn.IFNA(INDEX(PMTCT!$AV:$AV,MATCH($E250,PMTCT!$E:$E,0)),"")</f>
        <v/>
      </c>
      <c r="BR250" s="73" t="n">
        <f aca="false">_xlfn.IFNA(INDEX(TB!$R:$R,MATCH($E250,TB!$E:$E,0)),"")</f>
        <v>5400</v>
      </c>
      <c r="BS250" s="73" t="str">
        <f aca="false">_xlfn.IFNA(INDEX(VMMC!$AD:$AD,MATCH($E250,VMMC!$E:$E,0)),"")</f>
        <v/>
      </c>
      <c r="BT250" s="73" t="n">
        <f aca="false">IF(SUM($R250,$T250,$AN250,$AQ250,$AT250,$AW250,$AZ250,$BC250,$BF250,$BI250,$BL250,$BP250:$BS250)=0,"",SUM($R250,$T250,$AN250,$AQ250,$AT250,$AW250,$AZ250,$BC250,$BF250,$BI250,$BL250,$BP250:$BS250))</f>
        <v>4216</v>
      </c>
      <c r="BU250" s="73" t="n">
        <f aca="false">IF(OR(SUM($BT250)=0,SUM($BN250)=0),"",SUM($BT250,$BN250))</f>
        <v>682</v>
      </c>
      <c r="BV250" s="118" t="n">
        <f aca="false">IF(SUM($BU250)=0,"",SUM($BN250)/$BU250)</f>
        <v>-5.18181818181818</v>
      </c>
      <c r="BW250" s="73"/>
      <c r="BX250" s="118" t="n">
        <f aca="false">IF(OR($C250="01-04",$C250="05-09"),"",0%)</f>
        <v>0</v>
      </c>
      <c r="BY250" s="75" t="str">
        <f aca="false">IF(OR($C250="01-04",$C250="05-09",SUM($BW250)=0),"",ROUND($BW250*(1+$BX250),0))</f>
        <v/>
      </c>
    </row>
    <row r="251" customFormat="false" ht="15" hidden="false" customHeight="false" outlineLevel="0" collapsed="false">
      <c r="A251" s="0" t="s">
        <v>151</v>
      </c>
      <c r="B251" s="0" t="s">
        <v>101</v>
      </c>
      <c r="C251" s="0" t="s">
        <v>77</v>
      </c>
      <c r="D251" s="0" t="s">
        <v>56</v>
      </c>
      <c r="E251" s="0" t="str">
        <f aca="false">B251&amp;"|"&amp;C251&amp;"|"&amp;D251</f>
        <v>Thaba Tseka [#SNU] [jyhIrCoB31x]|40-44|Female</v>
      </c>
      <c r="F251" s="118" t="n">
        <f aca="false">_xlfn.IFNA(INDEX(Cascade!$Y:$Y,MATCH($E251,Cascade!$E:$E,0)),"")</f>
        <v>0.982509505703422</v>
      </c>
      <c r="G251" s="73" t="str">
        <f aca="false">_xlfn.IFNA(INDEX(Cascade!$BD:$BD,MATCH($E251,Cascade!$E:$E,0)),"")</f>
        <v/>
      </c>
      <c r="H251" s="73" t="str">
        <f aca="false">_xlfn.IFNA(INDEX(Cascade!$BE:$BE,MATCH($E251,Cascade!$E:$E,0)),"")</f>
        <v/>
      </c>
      <c r="I251" s="73" t="n">
        <f aca="false">_xlfn.IFNA(INDEX(Cascade!$BF:$BF,MATCH($E251,Cascade!$E:$E,0)),"")</f>
        <v>-0</v>
      </c>
      <c r="J251" s="73" t="str">
        <f aca="false">_xlfn.IFNA(INDEX(Cascade!$BG:$BG,MATCH($E251,Cascade!$E:$E,0)),"")</f>
        <v/>
      </c>
      <c r="K251" s="73" t="n">
        <f aca="false">_xlfn.IFNA(INDEX(Cascade!$BH:$BH,MATCH($E251,Cascade!$E:$E,0)),"")</f>
        <v>-0</v>
      </c>
      <c r="L251" s="73" t="str">
        <f aca="false">_xlfn.IFNA(INDEX(Cascade!$BI:$BI,MATCH($E251,Cascade!$E:$E,0)),"")</f>
        <v/>
      </c>
      <c r="M251" s="73" t="str">
        <f aca="false">_xlfn.IFNA(INDEX(Cascade!$BK:$BK,MATCH($E251,Cascade!$E:$E,0)),"")</f>
        <v/>
      </c>
      <c r="N251" s="118" t="n">
        <v>47</v>
      </c>
      <c r="O251" s="118"/>
      <c r="P251" s="118" t="n">
        <v>31</v>
      </c>
      <c r="Q251" s="75" t="str">
        <f aca="false">IF(OR(SUM($H251)=0,SUM($N251)=0,SUM($O251)=0),"",ROUND($H251*$N251,0))</f>
        <v/>
      </c>
      <c r="R251" s="75" t="str">
        <f aca="false">IF(OR(SUM($Q251)=0,SUM($O251)=0),"",ROUND(SUM($Q251)/SUM($O251),0)-SUM($Q251))</f>
        <v/>
      </c>
      <c r="S251" s="75" t="str">
        <f aca="false">IF(SUM($H251)=0,"",SUM($H251)-SUM($Q251))</f>
        <v/>
      </c>
      <c r="T251" s="75" t="str">
        <f aca="false">IF(OR(SUM($S251)=0,$N251&gt;1,SUM($P251)&lt;=0),"",ROUND($S251/$P251,0)-$S251)</f>
        <v/>
      </c>
      <c r="U251" s="118" t="str">
        <f aca="false">IF(SUM($G251)&lt;=0,"",SUM($Q251,$S251)/$G251)</f>
        <v/>
      </c>
      <c r="V251" s="118" t="str">
        <f aca="false">IF(OR(SUM($Q251)=0,SUM($G251)=0),"",SUM($Q251)/SUM($G251))</f>
        <v/>
      </c>
      <c r="W251" s="118" t="str">
        <f aca="false">IF(OR(SUM($S251)=0,SUM($G251)=0),"",SUM($S251)/SUM($G251))</f>
        <v/>
      </c>
      <c r="X251" s="118" t="str">
        <f aca="false">IF(OR(SUM($G251)=0,SUM($I251)=0),"",SUM($I251)/SUM($G251))</f>
        <v/>
      </c>
      <c r="Y251" s="118" t="str">
        <f aca="false">IF(OR(SUM($G251)=0,SUM($J251)=0),"",SUM($J251)/SUM($G251))</f>
        <v/>
      </c>
      <c r="Z251" s="118" t="str">
        <f aca="false">IF(OR(SUM($G251)=0,SUM($K251)=0),"",SUM($K251)/SUM($G251))</f>
        <v/>
      </c>
      <c r="AA251" s="118" t="str">
        <f aca="false">IF(OR(SUM($G251)=0,SUM($L251)=0),"",SUM($L251)/SUM($G251))</f>
        <v/>
      </c>
      <c r="AB251" s="118" t="n">
        <v>38</v>
      </c>
      <c r="AC251" s="118"/>
      <c r="AD251" s="118"/>
      <c r="AE251" s="118" t="n">
        <v>27</v>
      </c>
      <c r="AF251" s="118" t="n">
        <v>25</v>
      </c>
      <c r="AG251" s="118" t="n">
        <v>2</v>
      </c>
      <c r="AH251" s="118" t="n">
        <v>6</v>
      </c>
      <c r="AI251" s="118" t="n">
        <v>2</v>
      </c>
      <c r="AJ251" s="118" t="n">
        <v>47</v>
      </c>
      <c r="AK251" s="118" t="str">
        <f aca="false">IF(SUM($G251)&lt;=0,"",SUM($V251:$AJ251))</f>
        <v/>
      </c>
      <c r="AL251" s="118"/>
      <c r="AM251" s="75" t="str">
        <f aca="false">IF(OR(SUM($AB251)&lt;=0,SUM($G251)&lt;=0),"",ROUND($G251*$AB251,0))</f>
        <v/>
      </c>
      <c r="AN251" s="75" t="str">
        <f aca="false">IF(SUM($AM251)&lt;=0,"",IF(SUM($AL251)&lt;=0,"ENTER VALID YIELD!",ROUND($AM251/$AL251,0)-$AM251))</f>
        <v/>
      </c>
      <c r="AO251" s="118"/>
      <c r="AP251" s="75" t="str">
        <f aca="false">IF(OR(SUM($AC251)&lt;=0,SUM($G251)&lt;=0),"",ROUND($G251*$AC251,0))</f>
        <v/>
      </c>
      <c r="AQ251" s="75" t="str">
        <f aca="false">IF(SUM($AP251)&lt;=0,"",IF(SUM($AO251)&lt;=0,"ENTER VALID YIELD!",ROUND($AP251/$AO251,0)-$AP251))</f>
        <v/>
      </c>
      <c r="AR251" s="118"/>
      <c r="AS251" s="75" t="str">
        <f aca="false">IF(OR(SUM($AD251)&lt;=0,SUM($G251)&lt;=0),"",ROUND($G251*$AD251,0))</f>
        <v/>
      </c>
      <c r="AT251" s="75" t="str">
        <f aca="false">IF(SUM($AS251)&lt;=0,"",IF(SUM($AR251)&lt;=0,"ENTER VALID YIELD!",ROUND($AS251/$AR251,0)-$AS251))</f>
        <v/>
      </c>
      <c r="AU251" s="118"/>
      <c r="AV251" s="75" t="str">
        <f aca="false">IF(OR(SUM($AE251)&lt;=0,SUM($G251)&lt;=0),"",ROUND($G251*$AE251,0))</f>
        <v/>
      </c>
      <c r="AW251" s="75" t="str">
        <f aca="false">IF(SUM($AV251)&lt;=0,"",IF(SUM($AU251)&lt;=0,"ENTER VALID YIELD!",ROUND($AV251/$AU251,0)-$AV251))</f>
        <v/>
      </c>
      <c r="AX251" s="118"/>
      <c r="AY251" s="75" t="str">
        <f aca="false">IF(OR(SUM($AF251)&lt;=0,SUM($G251)&lt;=0),"",ROUND($G251*$AF251,0))</f>
        <v/>
      </c>
      <c r="AZ251" s="75" t="str">
        <f aca="false">IF(SUM($AY251)&lt;=0,"",IF(SUM($AX251)&lt;=0,"ENTER VALID YIELD!",ROUND($AY251/$AX251,0)-$AY251))</f>
        <v/>
      </c>
      <c r="BA251" s="118" t="n">
        <v>6</v>
      </c>
      <c r="BB251" s="75" t="str">
        <f aca="false">IF(OR(SUM($AG251)&lt;=0,SUM($G251)&lt;=0),"",ROUND($G251*$AG251,0))</f>
        <v/>
      </c>
      <c r="BC251" s="75" t="str">
        <f aca="false">IF(SUM($BB251)&lt;=0,"",IF(SUM($BA251)&lt;=0,"ENTER VALID YIELD!",ROUND($BB251/$BA251,0)-$BB251))</f>
        <v/>
      </c>
      <c r="BD251" s="118"/>
      <c r="BE251" s="75" t="str">
        <f aca="false">IF(OR(SUM($AH251)&lt;=0,SUM($G251)&lt;=0),"",ROUND($G251*$AH251,0))</f>
        <v/>
      </c>
      <c r="BF251" s="75" t="str">
        <f aca="false">IF(SUM($BE251)&lt;=0,"",IF(SUM($BD251)&lt;=0,"ENTER VALID YIELD!",ROUND($BE251/$BD251,0)-$BE251))</f>
        <v/>
      </c>
      <c r="BG251" s="118"/>
      <c r="BH251" s="75" t="str">
        <f aca="false">IF(OR(SUM($AI251)&lt;=0,SUM($G251)&lt;=0),"",ROUND($G251*$AI251,0))</f>
        <v/>
      </c>
      <c r="BI251" s="75" t="str">
        <f aca="false">IF(SUM($BH251)&lt;=0,"",IF(SUM($BG251)&lt;=0,"ENTER VALID YIELD!",ROUND($BH251/$BG251,0)-$BH251))</f>
        <v/>
      </c>
      <c r="BJ251" s="118"/>
      <c r="BK251" s="75" t="str">
        <f aca="false">IF(OR(SUM($AJ251)&lt;=0,SUM($G251)&lt;=0),"",ROUND($G251*$AJ251,0))</f>
        <v/>
      </c>
      <c r="BL251" s="75" t="str">
        <f aca="false">IF(SUM($BK251)&lt;=0,"",IF(SUM($BJ251)&lt;=0,"ENTER VALID YIELD!",ROUND($BK251/$BJ251,0)-$BK251))</f>
        <v/>
      </c>
      <c r="BM251" s="73" t="str">
        <f aca="false">IF(SUM($G251)&lt;=0,"",$G251)</f>
        <v/>
      </c>
      <c r="BN251" s="73" t="str">
        <f aca="false">IF(SUM($G251)&lt;=0,"",SUM($I251:$L251,$Q251,$S251,$AM251,$AP251,$AS251,$AV251,$AY251,$BB251,$BE251,$BH251,$BK251))</f>
        <v/>
      </c>
      <c r="BO251" s="73" t="str">
        <f aca="false">IF(AND(SUM($BN251)&lt;=0,SUM($BM251)&lt;=0),"",SUM($BN251)-SUM($BM251))</f>
        <v/>
      </c>
      <c r="BP251" s="73" t="n">
        <f aca="false">_xlfn.IFNA(INDEX(PMTCT!$AF:$AF,MATCH($E251,PMTCT!$E:$E,0)),"")</f>
        <v>-891</v>
      </c>
      <c r="BQ251" s="73" t="str">
        <f aca="false">_xlfn.IFNA(INDEX(PMTCT!$AV:$AV,MATCH($E251,PMTCT!$E:$E,0)),"")</f>
        <v/>
      </c>
      <c r="BR251" s="73" t="n">
        <f aca="false">_xlfn.IFNA(INDEX(TB!$R:$R,MATCH($E251,TB!$E:$E,0)),"")</f>
        <v>-850</v>
      </c>
      <c r="BS251" s="73" t="str">
        <f aca="false">_xlfn.IFNA(INDEX(VMMC!$AD:$AD,MATCH($E251,VMMC!$E:$E,0)),"")</f>
        <v/>
      </c>
      <c r="BT251" s="73" t="n">
        <f aca="false">IF(SUM($R251,$T251,$AN251,$AQ251,$AT251,$AW251,$AZ251,$BC251,$BF251,$BI251,$BL251,$BP251:$BS251)=0,"",SUM($R251,$T251,$AN251,$AQ251,$AT251,$AW251,$AZ251,$BC251,$BF251,$BI251,$BL251,$BP251:$BS251))</f>
        <v>-1741</v>
      </c>
      <c r="BU251" s="73" t="str">
        <f aca="false">IF(OR(SUM($BT251)=0,SUM($BN251)=0),"",SUM($BT251,$BN251))</f>
        <v/>
      </c>
      <c r="BV251" s="118" t="str">
        <f aca="false">IF(SUM($BU251)=0,"",SUM($BN251)/$BU251)</f>
        <v/>
      </c>
      <c r="BW251" s="73" t="n">
        <v>37</v>
      </c>
      <c r="BX251" s="118" t="n">
        <f aca="false">IF(OR($C251="01-04",$C251="05-09"),"",0%)</f>
        <v>0</v>
      </c>
      <c r="BY251" s="75" t="n">
        <f aca="false">IF(OR($C251="01-04",$C251="05-09",SUM($BW251)=0),"",ROUND($BW251*(1+$BX251),0))</f>
        <v>37</v>
      </c>
    </row>
    <row r="252" customFormat="false" ht="15" hidden="false" customHeight="false" outlineLevel="0" collapsed="false">
      <c r="A252" s="0" t="s">
        <v>151</v>
      </c>
      <c r="B252" s="0" t="s">
        <v>101</v>
      </c>
      <c r="C252" s="0" t="s">
        <v>77</v>
      </c>
      <c r="D252" s="0" t="s">
        <v>58</v>
      </c>
      <c r="E252" s="0" t="str">
        <f aca="false">B252&amp;"|"&amp;C252&amp;"|"&amp;D252</f>
        <v>Thaba Tseka [#SNU] [jyhIrCoB31x]|40-44|Male</v>
      </c>
      <c r="F252" s="118" t="n">
        <f aca="false">_xlfn.IFNA(INDEX(Cascade!$Y:$Y,MATCH($E252,Cascade!$E:$E,0)),"")</f>
        <v>0.778260869565217</v>
      </c>
      <c r="G252" s="73" t="n">
        <f aca="false">_xlfn.IFNA(INDEX(Cascade!$BD:$BD,MATCH($E252,Cascade!$E:$E,0)),"")</f>
        <v>2</v>
      </c>
      <c r="H252" s="73" t="n">
        <f aca="false">_xlfn.IFNA(INDEX(Cascade!$BE:$BE,MATCH($E252,Cascade!$E:$E,0)),"")</f>
        <v>1</v>
      </c>
      <c r="I252" s="73" t="str">
        <f aca="false">_xlfn.IFNA(INDEX(Cascade!$BF:$BF,MATCH($E252,Cascade!$E:$E,0)),"")</f>
        <v/>
      </c>
      <c r="J252" s="73" t="str">
        <f aca="false">_xlfn.IFNA(INDEX(Cascade!$BG:$BG,MATCH($E252,Cascade!$E:$E,0)),"")</f>
        <v/>
      </c>
      <c r="K252" s="73" t="n">
        <f aca="false">_xlfn.IFNA(INDEX(Cascade!$BH:$BH,MATCH($E252,Cascade!$E:$E,0)),"")</f>
        <v>-3069</v>
      </c>
      <c r="L252" s="73" t="str">
        <f aca="false">_xlfn.IFNA(INDEX(Cascade!$BI:$BI,MATCH($E252,Cascade!$E:$E,0)),"")</f>
        <v/>
      </c>
      <c r="M252" s="73" t="n">
        <f aca="false">_xlfn.IFNA(INDEX(Cascade!$BK:$BK,MATCH($E252,Cascade!$E:$E,0)),"")</f>
        <v>3070</v>
      </c>
      <c r="N252" s="118" t="n">
        <v>33</v>
      </c>
      <c r="O252" s="118"/>
      <c r="P252" s="118" t="n">
        <v>6</v>
      </c>
      <c r="Q252" s="75" t="str">
        <f aca="false">IF(OR(SUM($H252)=0,SUM($N252)=0,SUM($O252)=0),"",ROUND($H252*$N252,0))</f>
        <v/>
      </c>
      <c r="R252" s="75" t="str">
        <f aca="false">IF(OR(SUM($Q252)=0,SUM($O252)=0),"",ROUND(SUM($Q252)/SUM($O252),0)-SUM($Q252))</f>
        <v/>
      </c>
      <c r="S252" s="75" t="n">
        <f aca="false">IF(SUM($H252)=0,"",SUM($H252)-SUM($Q252))</f>
        <v>1</v>
      </c>
      <c r="T252" s="75" t="str">
        <f aca="false">IF(OR(SUM($S252)=0,$N252&gt;1,SUM($P252)&lt;=0),"",ROUND($S252/$P252,0)-$S252)</f>
        <v/>
      </c>
      <c r="U252" s="118" t="n">
        <f aca="false">IF(SUM($G252)&lt;=0,"",SUM($Q252,$S252)/$G252)</f>
        <v>0.5</v>
      </c>
      <c r="V252" s="118" t="str">
        <f aca="false">IF(OR(SUM($Q252)=0,SUM($G252)=0),"",SUM($Q252)/SUM($G252))</f>
        <v/>
      </c>
      <c r="W252" s="118" t="n">
        <f aca="false">IF(OR(SUM($S252)=0,SUM($G252)=0),"",SUM($S252)/SUM($G252))</f>
        <v>0.5</v>
      </c>
      <c r="X252" s="118" t="str">
        <f aca="false">IF(OR(SUM($G252)=0,SUM($I252)=0),"",SUM($I252)/SUM($G252))</f>
        <v/>
      </c>
      <c r="Y252" s="118" t="str">
        <f aca="false">IF(OR(SUM($G252)=0,SUM($J252)=0),"",SUM($J252)/SUM($G252))</f>
        <v/>
      </c>
      <c r="Z252" s="118" t="n">
        <f aca="false">IF(OR(SUM($G252)=0,SUM($K252)=0),"",SUM($K252)/SUM($G252))</f>
        <v>-1534.5</v>
      </c>
      <c r="AA252" s="118" t="str">
        <f aca="false">IF(OR(SUM($G252)=0,SUM($L252)=0),"",SUM($L252)/SUM($G252))</f>
        <v/>
      </c>
      <c r="AB252" s="118" t="n">
        <v>1</v>
      </c>
      <c r="AC252" s="118"/>
      <c r="AD252" s="118"/>
      <c r="AE252" s="118" t="n">
        <v>33</v>
      </c>
      <c r="AF252" s="118" t="n">
        <v>11</v>
      </c>
      <c r="AG252" s="118" t="n">
        <v>20</v>
      </c>
      <c r="AH252" s="118" t="n">
        <v>47</v>
      </c>
      <c r="AI252" s="118" t="n">
        <v>28</v>
      </c>
      <c r="AJ252" s="118" t="n">
        <v>4</v>
      </c>
      <c r="AK252" s="118" t="n">
        <f aca="false">IF(SUM($G252)&lt;=0,"",SUM($V252:$AJ252))</f>
        <v>-1390</v>
      </c>
      <c r="AL252" s="118" t="n">
        <v>23</v>
      </c>
      <c r="AM252" s="75" t="n">
        <f aca="false">IF(OR(SUM($AB252)&lt;=0,SUM($G252)&lt;=0),"",ROUND($G252*$AB252,0))</f>
        <v>2</v>
      </c>
      <c r="AN252" s="75" t="n">
        <f aca="false">IF(SUM($AM252)&lt;=0,"",IF(SUM($AL252)&lt;=0,"ENTER VALID YIELD!",ROUND($AM252/$AL252,0)-$AM252))</f>
        <v>-2</v>
      </c>
      <c r="AO252" s="118"/>
      <c r="AP252" s="75" t="str">
        <f aca="false">IF(OR(SUM($AC252)&lt;=0,SUM($G252)&lt;=0),"",ROUND($G252*$AC252,0))</f>
        <v/>
      </c>
      <c r="AQ252" s="75" t="str">
        <f aca="false">IF(SUM($AP252)&lt;=0,"",IF(SUM($AO252)&lt;=0,"ENTER VALID YIELD!",ROUND($AP252/$AO252,0)-$AP252))</f>
        <v/>
      </c>
      <c r="AR252" s="118"/>
      <c r="AS252" s="75" t="str">
        <f aca="false">IF(OR(SUM($AD252)&lt;=0,SUM($G252)&lt;=0),"",ROUND($G252*$AD252,0))</f>
        <v/>
      </c>
      <c r="AT252" s="75" t="str">
        <f aca="false">IF(SUM($AS252)&lt;=0,"",IF(SUM($AR252)&lt;=0,"ENTER VALID YIELD!",ROUND($AS252/$AR252,0)-$AS252))</f>
        <v/>
      </c>
      <c r="AU252" s="118"/>
      <c r="AV252" s="75" t="n">
        <f aca="false">IF(OR(SUM($AE252)&lt;=0,SUM($G252)&lt;=0),"",ROUND($G252*$AE252,0))</f>
        <v>66</v>
      </c>
      <c r="AW252" s="75" t="str">
        <f aca="false">IF(SUM($AV252)&lt;=0,"",IF(SUM($AU252)&lt;=0,"ENTER VALID YIELD!",ROUND($AV252/$AU252,0)-$AV252))</f>
        <v>ENTER VALID YIELD!</v>
      </c>
      <c r="AX252" s="118"/>
      <c r="AY252" s="75" t="n">
        <f aca="false">IF(OR(SUM($AF252)&lt;=0,SUM($G252)&lt;=0),"",ROUND($G252*$AF252,0))</f>
        <v>22</v>
      </c>
      <c r="AZ252" s="75" t="str">
        <f aca="false">IF(SUM($AY252)&lt;=0,"",IF(SUM($AX252)&lt;=0,"ENTER VALID YIELD!",ROUND($AY252/$AX252,0)-$AY252))</f>
        <v>ENTER VALID YIELD!</v>
      </c>
      <c r="BA252" s="118" t="n">
        <v>32</v>
      </c>
      <c r="BB252" s="75" t="n">
        <f aca="false">IF(OR(SUM($AG252)&lt;=0,SUM($G252)&lt;=0),"",ROUND($G252*$AG252,0))</f>
        <v>40</v>
      </c>
      <c r="BC252" s="75" t="n">
        <f aca="false">IF(SUM($BB252)&lt;=0,"",IF(SUM($BA252)&lt;=0,"ENTER VALID YIELD!",ROUND($BB252/$BA252,0)-$BB252))</f>
        <v>-39</v>
      </c>
      <c r="BD252" s="118"/>
      <c r="BE252" s="75" t="n">
        <f aca="false">IF(OR(SUM($AH252)&lt;=0,SUM($G252)&lt;=0),"",ROUND($G252*$AH252,0))</f>
        <v>94</v>
      </c>
      <c r="BF252" s="75" t="str">
        <f aca="false">IF(SUM($BE252)&lt;=0,"",IF(SUM($BD252)&lt;=0,"ENTER VALID YIELD!",ROUND($BE252/$BD252,0)-$BE252))</f>
        <v>ENTER VALID YIELD!</v>
      </c>
      <c r="BG252" s="118"/>
      <c r="BH252" s="75" t="n">
        <f aca="false">IF(OR(SUM($AI252)&lt;=0,SUM($G252)&lt;=0),"",ROUND($G252*$AI252,0))</f>
        <v>56</v>
      </c>
      <c r="BI252" s="75" t="str">
        <f aca="false">IF(SUM($BH252)&lt;=0,"",IF(SUM($BG252)&lt;=0,"ENTER VALID YIELD!",ROUND($BH252/$BG252,0)-$BH252))</f>
        <v>ENTER VALID YIELD!</v>
      </c>
      <c r="BJ252" s="118"/>
      <c r="BK252" s="75" t="n">
        <f aca="false">IF(OR(SUM($AJ252)&lt;=0,SUM($G252)&lt;=0),"",ROUND($G252*$AJ252,0))</f>
        <v>8</v>
      </c>
      <c r="BL252" s="75" t="str">
        <f aca="false">IF(SUM($BK252)&lt;=0,"",IF(SUM($BJ252)&lt;=0,"ENTER VALID YIELD!",ROUND($BK252/$BJ252,0)-$BK252))</f>
        <v>ENTER VALID YIELD!</v>
      </c>
      <c r="BM252" s="73" t="n">
        <f aca="false">IF(SUM($G252)&lt;=0,"",$G252)</f>
        <v>2</v>
      </c>
      <c r="BN252" s="73" t="n">
        <f aca="false">IF(SUM($G252)&lt;=0,"",SUM($I252:$L252,$Q252,$S252,$AM252,$AP252,$AS252,$AV252,$AY252,$BB252,$BE252,$BH252,$BK252))</f>
        <v>-2780</v>
      </c>
      <c r="BO252" s="73" t="n">
        <f aca="false">IF(AND(SUM($BN252)&lt;=0,SUM($BM252)&lt;=0),"",SUM($BN252)-SUM($BM252))</f>
        <v>-2782</v>
      </c>
      <c r="BP252" s="73" t="str">
        <f aca="false">_xlfn.IFNA(INDEX(PMTCT!$AF:$AF,MATCH($E252,PMTCT!$E:$E,0)),"")</f>
        <v/>
      </c>
      <c r="BQ252" s="73" t="str">
        <f aca="false">_xlfn.IFNA(INDEX(PMTCT!$AV:$AV,MATCH($E252,PMTCT!$E:$E,0)),"")</f>
        <v/>
      </c>
      <c r="BR252" s="73" t="n">
        <f aca="false">_xlfn.IFNA(INDEX(TB!$R:$R,MATCH($E252,TB!$E:$E,0)),"")</f>
        <v>2728</v>
      </c>
      <c r="BS252" s="73" t="str">
        <f aca="false">_xlfn.IFNA(INDEX(VMMC!$AD:$AD,MATCH($E252,VMMC!$E:$E,0)),"")</f>
        <v/>
      </c>
      <c r="BT252" s="73" t="n">
        <f aca="false">IF(SUM($R252,$T252,$AN252,$AQ252,$AT252,$AW252,$AZ252,$BC252,$BF252,$BI252,$BL252,$BP252:$BS252)=0,"",SUM($R252,$T252,$AN252,$AQ252,$AT252,$AW252,$AZ252,$BC252,$BF252,$BI252,$BL252,$BP252:$BS252))</f>
        <v>2687</v>
      </c>
      <c r="BU252" s="73" t="n">
        <f aca="false">IF(OR(SUM($BT252)=0,SUM($BN252)=0),"",SUM($BT252,$BN252))</f>
        <v>-93</v>
      </c>
      <c r="BV252" s="118" t="n">
        <f aca="false">IF(SUM($BU252)=0,"",SUM($BN252)/$BU252)</f>
        <v>29.8924731182796</v>
      </c>
      <c r="BW252" s="73"/>
      <c r="BX252" s="118" t="n">
        <f aca="false">IF(OR($C252="01-04",$C252="05-09"),"",0%)</f>
        <v>0</v>
      </c>
      <c r="BY252" s="75" t="str">
        <f aca="false">IF(OR($C252="01-04",$C252="05-09",SUM($BW252)=0),"",ROUND($BW252*(1+$BX252),0))</f>
        <v/>
      </c>
    </row>
    <row r="253" customFormat="false" ht="15" hidden="false" customHeight="false" outlineLevel="0" collapsed="false">
      <c r="A253" s="0" t="s">
        <v>151</v>
      </c>
      <c r="B253" s="0" t="s">
        <v>101</v>
      </c>
      <c r="C253" s="0" t="s">
        <v>80</v>
      </c>
      <c r="D253" s="0" t="s">
        <v>56</v>
      </c>
      <c r="E253" s="0" t="str">
        <f aca="false">B253&amp;"|"&amp;C253&amp;"|"&amp;D253</f>
        <v>Thaba Tseka [#SNU] [jyhIrCoB31x]|45-49|Female</v>
      </c>
      <c r="F253" s="118" t="n">
        <f aca="false">_xlfn.IFNA(INDEX(Cascade!$Y:$Y,MATCH($E253,Cascade!$E:$E,0)),"")</f>
        <v>1.02702702702703</v>
      </c>
      <c r="G253" s="73" t="str">
        <f aca="false">_xlfn.IFNA(INDEX(Cascade!$BD:$BD,MATCH($E253,Cascade!$E:$E,0)),"")</f>
        <v/>
      </c>
      <c r="H253" s="73" t="str">
        <f aca="false">_xlfn.IFNA(INDEX(Cascade!$BE:$BE,MATCH($E253,Cascade!$E:$E,0)),"")</f>
        <v/>
      </c>
      <c r="I253" s="73" t="n">
        <f aca="false">_xlfn.IFNA(INDEX(Cascade!$BF:$BF,MATCH($E253,Cascade!$E:$E,0)),"")</f>
        <v>-0</v>
      </c>
      <c r="J253" s="73" t="str">
        <f aca="false">_xlfn.IFNA(INDEX(Cascade!$BG:$BG,MATCH($E253,Cascade!$E:$E,0)),"")</f>
        <v/>
      </c>
      <c r="K253" s="73" t="n">
        <f aca="false">_xlfn.IFNA(INDEX(Cascade!$BH:$BH,MATCH($E253,Cascade!$E:$E,0)),"")</f>
        <v>-0</v>
      </c>
      <c r="L253" s="73" t="str">
        <f aca="false">_xlfn.IFNA(INDEX(Cascade!$BI:$BI,MATCH($E253,Cascade!$E:$E,0)),"")</f>
        <v/>
      </c>
      <c r="M253" s="73" t="str">
        <f aca="false">_xlfn.IFNA(INDEX(Cascade!$BK:$BK,MATCH($E253,Cascade!$E:$E,0)),"")</f>
        <v/>
      </c>
      <c r="N253" s="118" t="n">
        <v>43</v>
      </c>
      <c r="O253" s="118"/>
      <c r="P253" s="118" t="n">
        <v>14</v>
      </c>
      <c r="Q253" s="75" t="str">
        <f aca="false">IF(OR(SUM($H253)=0,SUM($N253)=0,SUM($O253)=0),"",ROUND($H253*$N253,0))</f>
        <v/>
      </c>
      <c r="R253" s="75" t="str">
        <f aca="false">IF(OR(SUM($Q253)=0,SUM($O253)=0),"",ROUND(SUM($Q253)/SUM($O253),0)-SUM($Q253))</f>
        <v/>
      </c>
      <c r="S253" s="75" t="str">
        <f aca="false">IF(SUM($H253)=0,"",SUM($H253)-SUM($Q253))</f>
        <v/>
      </c>
      <c r="T253" s="75" t="str">
        <f aca="false">IF(OR(SUM($S253)=0,$N253&gt;1,SUM($P253)&lt;=0),"",ROUND($S253/$P253,0)-$S253)</f>
        <v/>
      </c>
      <c r="U253" s="118" t="str">
        <f aca="false">IF(SUM($G253)&lt;=0,"",SUM($Q253,$S253)/$G253)</f>
        <v/>
      </c>
      <c r="V253" s="118" t="str">
        <f aca="false">IF(OR(SUM($Q253)=0,SUM($G253)=0),"",SUM($Q253)/SUM($G253))</f>
        <v/>
      </c>
      <c r="W253" s="118" t="str">
        <f aca="false">IF(OR(SUM($S253)=0,SUM($G253)=0),"",SUM($S253)/SUM($G253))</f>
        <v/>
      </c>
      <c r="X253" s="118" t="str">
        <f aca="false">IF(OR(SUM($G253)=0,SUM($I253)=0),"",SUM($I253)/SUM($G253))</f>
        <v/>
      </c>
      <c r="Y253" s="118" t="str">
        <f aca="false">IF(OR(SUM($G253)=0,SUM($J253)=0),"",SUM($J253)/SUM($G253))</f>
        <v/>
      </c>
      <c r="Z253" s="118" t="str">
        <f aca="false">IF(OR(SUM($G253)=0,SUM($K253)=0),"",SUM($K253)/SUM($G253))</f>
        <v/>
      </c>
      <c r="AA253" s="118" t="str">
        <f aca="false">IF(OR(SUM($G253)=0,SUM($L253)=0),"",SUM($L253)/SUM($G253))</f>
        <v/>
      </c>
      <c r="AB253" s="118" t="n">
        <v>5</v>
      </c>
      <c r="AC253" s="118"/>
      <c r="AD253" s="118"/>
      <c r="AE253" s="118" t="n">
        <v>37</v>
      </c>
      <c r="AF253" s="118" t="n">
        <v>35</v>
      </c>
      <c r="AG253" s="118" t="n">
        <v>28</v>
      </c>
      <c r="AH253" s="118" t="n">
        <v>27</v>
      </c>
      <c r="AI253" s="118" t="n">
        <v>13</v>
      </c>
      <c r="AJ253" s="118" t="n">
        <v>36</v>
      </c>
      <c r="AK253" s="118" t="str">
        <f aca="false">IF(SUM($G253)&lt;=0,"",SUM($V253:$AJ253))</f>
        <v/>
      </c>
      <c r="AL253" s="118" t="n">
        <v>43</v>
      </c>
      <c r="AM253" s="75" t="str">
        <f aca="false">IF(OR(SUM($AB253)&lt;=0,SUM($G253)&lt;=0),"",ROUND($G253*$AB253,0))</f>
        <v/>
      </c>
      <c r="AN253" s="75" t="str">
        <f aca="false">IF(SUM($AM253)&lt;=0,"",IF(SUM($AL253)&lt;=0,"ENTER VALID YIELD!",ROUND($AM253/$AL253,0)-$AM253))</f>
        <v/>
      </c>
      <c r="AO253" s="118"/>
      <c r="AP253" s="75" t="str">
        <f aca="false">IF(OR(SUM($AC253)&lt;=0,SUM($G253)&lt;=0),"",ROUND($G253*$AC253,0))</f>
        <v/>
      </c>
      <c r="AQ253" s="75" t="str">
        <f aca="false">IF(SUM($AP253)&lt;=0,"",IF(SUM($AO253)&lt;=0,"ENTER VALID YIELD!",ROUND($AP253/$AO253,0)-$AP253))</f>
        <v/>
      </c>
      <c r="AR253" s="118"/>
      <c r="AS253" s="75" t="str">
        <f aca="false">IF(OR(SUM($AD253)&lt;=0,SUM($G253)&lt;=0),"",ROUND($G253*$AD253,0))</f>
        <v/>
      </c>
      <c r="AT253" s="75" t="str">
        <f aca="false">IF(SUM($AS253)&lt;=0,"",IF(SUM($AR253)&lt;=0,"ENTER VALID YIELD!",ROUND($AS253/$AR253,0)-$AS253))</f>
        <v/>
      </c>
      <c r="AU253" s="118"/>
      <c r="AV253" s="75" t="str">
        <f aca="false">IF(OR(SUM($AE253)&lt;=0,SUM($G253)&lt;=0),"",ROUND($G253*$AE253,0))</f>
        <v/>
      </c>
      <c r="AW253" s="75" t="str">
        <f aca="false">IF(SUM($AV253)&lt;=0,"",IF(SUM($AU253)&lt;=0,"ENTER VALID YIELD!",ROUND($AV253/$AU253,0)-$AV253))</f>
        <v/>
      </c>
      <c r="AX253" s="118"/>
      <c r="AY253" s="75" t="str">
        <f aca="false">IF(OR(SUM($AF253)&lt;=0,SUM($G253)&lt;=0),"",ROUND($G253*$AF253,0))</f>
        <v/>
      </c>
      <c r="AZ253" s="75" t="str">
        <f aca="false">IF(SUM($AY253)&lt;=0,"",IF(SUM($AX253)&lt;=0,"ENTER VALID YIELD!",ROUND($AY253/$AX253,0)-$AY253))</f>
        <v/>
      </c>
      <c r="BA253" s="118" t="n">
        <v>46</v>
      </c>
      <c r="BB253" s="75" t="str">
        <f aca="false">IF(OR(SUM($AG253)&lt;=0,SUM($G253)&lt;=0),"",ROUND($G253*$AG253,0))</f>
        <v/>
      </c>
      <c r="BC253" s="75" t="str">
        <f aca="false">IF(SUM($BB253)&lt;=0,"",IF(SUM($BA253)&lt;=0,"ENTER VALID YIELD!",ROUND($BB253/$BA253,0)-$BB253))</f>
        <v/>
      </c>
      <c r="BD253" s="118"/>
      <c r="BE253" s="75" t="str">
        <f aca="false">IF(OR(SUM($AH253)&lt;=0,SUM($G253)&lt;=0),"",ROUND($G253*$AH253,0))</f>
        <v/>
      </c>
      <c r="BF253" s="75" t="str">
        <f aca="false">IF(SUM($BE253)&lt;=0,"",IF(SUM($BD253)&lt;=0,"ENTER VALID YIELD!",ROUND($BE253/$BD253,0)-$BE253))</f>
        <v/>
      </c>
      <c r="BG253" s="118"/>
      <c r="BH253" s="75" t="str">
        <f aca="false">IF(OR(SUM($AI253)&lt;=0,SUM($G253)&lt;=0),"",ROUND($G253*$AI253,0))</f>
        <v/>
      </c>
      <c r="BI253" s="75" t="str">
        <f aca="false">IF(SUM($BH253)&lt;=0,"",IF(SUM($BG253)&lt;=0,"ENTER VALID YIELD!",ROUND($BH253/$BG253,0)-$BH253))</f>
        <v/>
      </c>
      <c r="BJ253" s="118"/>
      <c r="BK253" s="75" t="str">
        <f aca="false">IF(OR(SUM($AJ253)&lt;=0,SUM($G253)&lt;=0),"",ROUND($G253*$AJ253,0))</f>
        <v/>
      </c>
      <c r="BL253" s="75" t="str">
        <f aca="false">IF(SUM($BK253)&lt;=0,"",IF(SUM($BJ253)&lt;=0,"ENTER VALID YIELD!",ROUND($BK253/$BJ253,0)-$BK253))</f>
        <v/>
      </c>
      <c r="BM253" s="73" t="str">
        <f aca="false">IF(SUM($G253)&lt;=0,"",$G253)</f>
        <v/>
      </c>
      <c r="BN253" s="73" t="str">
        <f aca="false">IF(SUM($G253)&lt;=0,"",SUM($I253:$L253,$Q253,$S253,$AM253,$AP253,$AS253,$AV253,$AY253,$BB253,$BE253,$BH253,$BK253))</f>
        <v/>
      </c>
      <c r="BO253" s="73" t="str">
        <f aca="false">IF(AND(SUM($BN253)&lt;=0,SUM($BM253)&lt;=0),"",SUM($BN253)-SUM($BM253))</f>
        <v/>
      </c>
      <c r="BP253" s="73" t="n">
        <f aca="false">_xlfn.IFNA(INDEX(PMTCT!$AF:$AF,MATCH($E253,PMTCT!$E:$E,0)),"")</f>
        <v>-468</v>
      </c>
      <c r="BQ253" s="73" t="str">
        <f aca="false">_xlfn.IFNA(INDEX(PMTCT!$AV:$AV,MATCH($E253,PMTCT!$E:$E,0)),"")</f>
        <v/>
      </c>
      <c r="BR253" s="73" t="n">
        <f aca="false">_xlfn.IFNA(INDEX(TB!$R:$R,MATCH($E253,TB!$E:$E,0)),"")</f>
        <v>-1218</v>
      </c>
      <c r="BS253" s="73" t="str">
        <f aca="false">_xlfn.IFNA(INDEX(VMMC!$AD:$AD,MATCH($E253,VMMC!$E:$E,0)),"")</f>
        <v/>
      </c>
      <c r="BT253" s="73" t="n">
        <f aca="false">IF(SUM($R253,$T253,$AN253,$AQ253,$AT253,$AW253,$AZ253,$BC253,$BF253,$BI253,$BL253,$BP253:$BS253)=0,"",SUM($R253,$T253,$AN253,$AQ253,$AT253,$AW253,$AZ253,$BC253,$BF253,$BI253,$BL253,$BP253:$BS253))</f>
        <v>-1686</v>
      </c>
      <c r="BU253" s="73" t="str">
        <f aca="false">IF(OR(SUM($BT253)=0,SUM($BN253)=0),"",SUM($BT253,$BN253))</f>
        <v/>
      </c>
      <c r="BV253" s="118" t="str">
        <f aca="false">IF(SUM($BU253)=0,"",SUM($BN253)/$BU253)</f>
        <v/>
      </c>
      <c r="BW253" s="73" t="n">
        <v>2</v>
      </c>
      <c r="BX253" s="118" t="n">
        <f aca="false">IF(OR($C253="01-04",$C253="05-09"),"",0%)</f>
        <v>0</v>
      </c>
      <c r="BY253" s="75" t="n">
        <f aca="false">IF(OR($C253="01-04",$C253="05-09",SUM($BW253)=0),"",ROUND($BW253*(1+$BX253),0))</f>
        <v>2</v>
      </c>
    </row>
    <row r="254" customFormat="false" ht="15" hidden="false" customHeight="false" outlineLevel="0" collapsed="false">
      <c r="A254" s="0" t="s">
        <v>151</v>
      </c>
      <c r="B254" s="0" t="s">
        <v>101</v>
      </c>
      <c r="C254" s="0" t="s">
        <v>80</v>
      </c>
      <c r="D254" s="0" t="s">
        <v>58</v>
      </c>
      <c r="E254" s="0" t="str">
        <f aca="false">B254&amp;"|"&amp;C254&amp;"|"&amp;D254</f>
        <v>Thaba Tseka [#SNU] [jyhIrCoB31x]|45-49|Male</v>
      </c>
      <c r="F254" s="118" t="n">
        <f aca="false">_xlfn.IFNA(INDEX(Cascade!$Y:$Y,MATCH($E254,Cascade!$E:$E,0)),"")</f>
        <v>0.804303278688525</v>
      </c>
      <c r="G254" s="73" t="n">
        <f aca="false">_xlfn.IFNA(INDEX(Cascade!$BD:$BD,MATCH($E254,Cascade!$E:$E,0)),"")</f>
        <v>1</v>
      </c>
      <c r="H254" s="73" t="n">
        <f aca="false">_xlfn.IFNA(INDEX(Cascade!$BE:$BE,MATCH($E254,Cascade!$E:$E,0)),"")</f>
        <v>1</v>
      </c>
      <c r="I254" s="73" t="str">
        <f aca="false">_xlfn.IFNA(INDEX(Cascade!$BF:$BF,MATCH($E254,Cascade!$E:$E,0)),"")</f>
        <v/>
      </c>
      <c r="J254" s="73" t="str">
        <f aca="false">_xlfn.IFNA(INDEX(Cascade!$BG:$BG,MATCH($E254,Cascade!$E:$E,0)),"")</f>
        <v/>
      </c>
      <c r="K254" s="73" t="n">
        <f aca="false">_xlfn.IFNA(INDEX(Cascade!$BH:$BH,MATCH($E254,Cascade!$E:$E,0)),"")</f>
        <v>-6400</v>
      </c>
      <c r="L254" s="73" t="str">
        <f aca="false">_xlfn.IFNA(INDEX(Cascade!$BI:$BI,MATCH($E254,Cascade!$E:$E,0)),"")</f>
        <v/>
      </c>
      <c r="M254" s="73" t="n">
        <f aca="false">_xlfn.IFNA(INDEX(Cascade!$BK:$BK,MATCH($E254,Cascade!$E:$E,0)),"")</f>
        <v>6400</v>
      </c>
      <c r="N254" s="118" t="n">
        <v>7</v>
      </c>
      <c r="O254" s="118"/>
      <c r="P254" s="118" t="n">
        <v>5</v>
      </c>
      <c r="Q254" s="75" t="str">
        <f aca="false">IF(OR(SUM($H254)=0,SUM($N254)=0,SUM($O254)=0),"",ROUND($H254*$N254,0))</f>
        <v/>
      </c>
      <c r="R254" s="75" t="str">
        <f aca="false">IF(OR(SUM($Q254)=0,SUM($O254)=0),"",ROUND(SUM($Q254)/SUM($O254),0)-SUM($Q254))</f>
        <v/>
      </c>
      <c r="S254" s="75" t="n">
        <f aca="false">IF(SUM($H254)=0,"",SUM($H254)-SUM($Q254))</f>
        <v>1</v>
      </c>
      <c r="T254" s="75" t="str">
        <f aca="false">IF(OR(SUM($S254)=0,$N254&gt;1,SUM($P254)&lt;=0),"",ROUND($S254/$P254,0)-$S254)</f>
        <v/>
      </c>
      <c r="U254" s="118" t="n">
        <f aca="false">IF(SUM($G254)&lt;=0,"",SUM($Q254,$S254)/$G254)</f>
        <v>1</v>
      </c>
      <c r="V254" s="118" t="str">
        <f aca="false">IF(OR(SUM($Q254)=0,SUM($G254)=0),"",SUM($Q254)/SUM($G254))</f>
        <v/>
      </c>
      <c r="W254" s="118" t="n">
        <f aca="false">IF(OR(SUM($S254)=0,SUM($G254)=0),"",SUM($S254)/SUM($G254))</f>
        <v>1</v>
      </c>
      <c r="X254" s="118" t="str">
        <f aca="false">IF(OR(SUM($G254)=0,SUM($I254)=0),"",SUM($I254)/SUM($G254))</f>
        <v/>
      </c>
      <c r="Y254" s="118" t="str">
        <f aca="false">IF(OR(SUM($G254)=0,SUM($J254)=0),"",SUM($J254)/SUM($G254))</f>
        <v/>
      </c>
      <c r="Z254" s="118" t="n">
        <f aca="false">IF(OR(SUM($G254)=0,SUM($K254)=0),"",SUM($K254)/SUM($G254))</f>
        <v>-6400</v>
      </c>
      <c r="AA254" s="118" t="str">
        <f aca="false">IF(OR(SUM($G254)=0,SUM($L254)=0),"",SUM($L254)/SUM($G254))</f>
        <v/>
      </c>
      <c r="AB254" s="118" t="n">
        <v>48</v>
      </c>
      <c r="AC254" s="118"/>
      <c r="AD254" s="118"/>
      <c r="AE254" s="118" t="n">
        <v>45</v>
      </c>
      <c r="AF254" s="118" t="n">
        <v>14</v>
      </c>
      <c r="AG254" s="118" t="n">
        <v>29</v>
      </c>
      <c r="AH254" s="118" t="n">
        <v>43</v>
      </c>
      <c r="AI254" s="118" t="n">
        <v>28</v>
      </c>
      <c r="AJ254" s="118" t="n">
        <v>26</v>
      </c>
      <c r="AK254" s="118" t="n">
        <f aca="false">IF(SUM($G254)&lt;=0,"",SUM($V254:$AJ254))</f>
        <v>-6166</v>
      </c>
      <c r="AL254" s="118"/>
      <c r="AM254" s="75" t="n">
        <f aca="false">IF(OR(SUM($AB254)&lt;=0,SUM($G254)&lt;=0),"",ROUND($G254*$AB254,0))</f>
        <v>48</v>
      </c>
      <c r="AN254" s="75" t="str">
        <f aca="false">IF(SUM($AM254)&lt;=0,"",IF(SUM($AL254)&lt;=0,"ENTER VALID YIELD!",ROUND($AM254/$AL254,0)-$AM254))</f>
        <v>ENTER VALID YIELD!</v>
      </c>
      <c r="AO254" s="118"/>
      <c r="AP254" s="75" t="str">
        <f aca="false">IF(OR(SUM($AC254)&lt;=0,SUM($G254)&lt;=0),"",ROUND($G254*$AC254,0))</f>
        <v/>
      </c>
      <c r="AQ254" s="75" t="str">
        <f aca="false">IF(SUM($AP254)&lt;=0,"",IF(SUM($AO254)&lt;=0,"ENTER VALID YIELD!",ROUND($AP254/$AO254,0)-$AP254))</f>
        <v/>
      </c>
      <c r="AR254" s="118"/>
      <c r="AS254" s="75" t="str">
        <f aca="false">IF(OR(SUM($AD254)&lt;=0,SUM($G254)&lt;=0),"",ROUND($G254*$AD254,0))</f>
        <v/>
      </c>
      <c r="AT254" s="75" t="str">
        <f aca="false">IF(SUM($AS254)&lt;=0,"",IF(SUM($AR254)&lt;=0,"ENTER VALID YIELD!",ROUND($AS254/$AR254,0)-$AS254))</f>
        <v/>
      </c>
      <c r="AU254" s="118"/>
      <c r="AV254" s="75" t="n">
        <f aca="false">IF(OR(SUM($AE254)&lt;=0,SUM($G254)&lt;=0),"",ROUND($G254*$AE254,0))</f>
        <v>45</v>
      </c>
      <c r="AW254" s="75" t="str">
        <f aca="false">IF(SUM($AV254)&lt;=0,"",IF(SUM($AU254)&lt;=0,"ENTER VALID YIELD!",ROUND($AV254/$AU254,0)-$AV254))</f>
        <v>ENTER VALID YIELD!</v>
      </c>
      <c r="AX254" s="118"/>
      <c r="AY254" s="75" t="n">
        <f aca="false">IF(OR(SUM($AF254)&lt;=0,SUM($G254)&lt;=0),"",ROUND($G254*$AF254,0))</f>
        <v>14</v>
      </c>
      <c r="AZ254" s="75" t="str">
        <f aca="false">IF(SUM($AY254)&lt;=0,"",IF(SUM($AX254)&lt;=0,"ENTER VALID YIELD!",ROUND($AY254/$AX254,0)-$AY254))</f>
        <v>ENTER VALID YIELD!</v>
      </c>
      <c r="BA254" s="118" t="n">
        <v>40</v>
      </c>
      <c r="BB254" s="75" t="n">
        <f aca="false">IF(OR(SUM($AG254)&lt;=0,SUM($G254)&lt;=0),"",ROUND($G254*$AG254,0))</f>
        <v>29</v>
      </c>
      <c r="BC254" s="75" t="n">
        <f aca="false">IF(SUM($BB254)&lt;=0,"",IF(SUM($BA254)&lt;=0,"ENTER VALID YIELD!",ROUND($BB254/$BA254,0)-$BB254))</f>
        <v>-28</v>
      </c>
      <c r="BD254" s="118"/>
      <c r="BE254" s="75" t="n">
        <f aca="false">IF(OR(SUM($AH254)&lt;=0,SUM($G254)&lt;=0),"",ROUND($G254*$AH254,0))</f>
        <v>43</v>
      </c>
      <c r="BF254" s="75" t="str">
        <f aca="false">IF(SUM($BE254)&lt;=0,"",IF(SUM($BD254)&lt;=0,"ENTER VALID YIELD!",ROUND($BE254/$BD254,0)-$BE254))</f>
        <v>ENTER VALID YIELD!</v>
      </c>
      <c r="BG254" s="118"/>
      <c r="BH254" s="75" t="n">
        <f aca="false">IF(OR(SUM($AI254)&lt;=0,SUM($G254)&lt;=0),"",ROUND($G254*$AI254,0))</f>
        <v>28</v>
      </c>
      <c r="BI254" s="75" t="str">
        <f aca="false">IF(SUM($BH254)&lt;=0,"",IF(SUM($BG254)&lt;=0,"ENTER VALID YIELD!",ROUND($BH254/$BG254,0)-$BH254))</f>
        <v>ENTER VALID YIELD!</v>
      </c>
      <c r="BJ254" s="118"/>
      <c r="BK254" s="75" t="n">
        <f aca="false">IF(OR(SUM($AJ254)&lt;=0,SUM($G254)&lt;=0),"",ROUND($G254*$AJ254,0))</f>
        <v>26</v>
      </c>
      <c r="BL254" s="75" t="str">
        <f aca="false">IF(SUM($BK254)&lt;=0,"",IF(SUM($BJ254)&lt;=0,"ENTER VALID YIELD!",ROUND($BK254/$BJ254,0)-$BK254))</f>
        <v>ENTER VALID YIELD!</v>
      </c>
      <c r="BM254" s="73" t="n">
        <f aca="false">IF(SUM($G254)&lt;=0,"",$G254)</f>
        <v>1</v>
      </c>
      <c r="BN254" s="73" t="n">
        <f aca="false">IF(SUM($G254)&lt;=0,"",SUM($I254:$L254,$Q254,$S254,$AM254,$AP254,$AS254,$AV254,$AY254,$BB254,$BE254,$BH254,$BK254))</f>
        <v>-6166</v>
      </c>
      <c r="BO254" s="73" t="n">
        <f aca="false">IF(AND(SUM($BN254)&lt;=0,SUM($BM254)&lt;=0),"",SUM($BN254)-SUM($BM254))</f>
        <v>-6167</v>
      </c>
      <c r="BP254" s="73" t="str">
        <f aca="false">_xlfn.IFNA(INDEX(PMTCT!$AF:$AF,MATCH($E254,PMTCT!$E:$E,0)),"")</f>
        <v/>
      </c>
      <c r="BQ254" s="73" t="str">
        <f aca="false">_xlfn.IFNA(INDEX(PMTCT!$AV:$AV,MATCH($E254,PMTCT!$E:$E,0)),"")</f>
        <v/>
      </c>
      <c r="BR254" s="73" t="n">
        <f aca="false">_xlfn.IFNA(INDEX(TB!$R:$R,MATCH($E254,TB!$E:$E,0)),"")</f>
        <v>6240</v>
      </c>
      <c r="BS254" s="73" t="str">
        <f aca="false">_xlfn.IFNA(INDEX(VMMC!$AD:$AD,MATCH($E254,VMMC!$E:$E,0)),"")</f>
        <v/>
      </c>
      <c r="BT254" s="73" t="n">
        <f aca="false">IF(SUM($R254,$T254,$AN254,$AQ254,$AT254,$AW254,$AZ254,$BC254,$BF254,$BI254,$BL254,$BP254:$BS254)=0,"",SUM($R254,$T254,$AN254,$AQ254,$AT254,$AW254,$AZ254,$BC254,$BF254,$BI254,$BL254,$BP254:$BS254))</f>
        <v>6212</v>
      </c>
      <c r="BU254" s="73" t="n">
        <f aca="false">IF(OR(SUM($BT254)=0,SUM($BN254)=0),"",SUM($BT254,$BN254))</f>
        <v>46</v>
      </c>
      <c r="BV254" s="118" t="n">
        <f aca="false">IF(SUM($BU254)=0,"",SUM($BN254)/$BU254)</f>
        <v>-134.04347826087</v>
      </c>
      <c r="BW254" s="73"/>
      <c r="BX254" s="118" t="n">
        <f aca="false">IF(OR($C254="01-04",$C254="05-09"),"",0%)</f>
        <v>0</v>
      </c>
      <c r="BY254" s="75" t="str">
        <f aca="false">IF(OR($C254="01-04",$C254="05-09",SUM($BW254)=0),"",ROUND($BW254*(1+$BX254),0))</f>
        <v/>
      </c>
    </row>
    <row r="255" customFormat="false" ht="15" hidden="false" customHeight="false" outlineLevel="0" collapsed="false">
      <c r="A255" s="0" t="s">
        <v>151</v>
      </c>
      <c r="B255" s="0" t="s">
        <v>101</v>
      </c>
      <c r="C255" s="0" t="s">
        <v>86</v>
      </c>
      <c r="D255" s="0" t="s">
        <v>56</v>
      </c>
      <c r="E255" s="0" t="str">
        <f aca="false">B255&amp;"|"&amp;C255&amp;"|"&amp;D255</f>
        <v>Thaba Tseka [#SNU] [jyhIrCoB31x]|50+|Female</v>
      </c>
      <c r="F255" s="118" t="n">
        <f aca="false">_xlfn.IFNA(INDEX(Cascade!$Y:$Y,MATCH($E255,Cascade!$E:$E,0)),"")</f>
        <v>0.780538302277433</v>
      </c>
      <c r="G255" s="73" t="str">
        <f aca="false">_xlfn.IFNA(INDEX(Cascade!$BD:$BD,MATCH($E255,Cascade!$E:$E,0)),"")</f>
        <v/>
      </c>
      <c r="H255" s="73" t="str">
        <f aca="false">_xlfn.IFNA(INDEX(Cascade!$BE:$BE,MATCH($E255,Cascade!$E:$E,0)),"")</f>
        <v/>
      </c>
      <c r="I255" s="73" t="str">
        <f aca="false">_xlfn.IFNA(INDEX(Cascade!$BF:$BF,MATCH($E255,Cascade!$E:$E,0)),"")</f>
        <v/>
      </c>
      <c r="J255" s="73" t="str">
        <f aca="false">_xlfn.IFNA(INDEX(Cascade!$BG:$BG,MATCH($E255,Cascade!$E:$E,0)),"")</f>
        <v/>
      </c>
      <c r="K255" s="73" t="n">
        <f aca="false">_xlfn.IFNA(INDEX(Cascade!$BH:$BH,MATCH($E255,Cascade!$E:$E,0)),"")</f>
        <v>-5670</v>
      </c>
      <c r="L255" s="73" t="str">
        <f aca="false">_xlfn.IFNA(INDEX(Cascade!$BI:$BI,MATCH($E255,Cascade!$E:$E,0)),"")</f>
        <v/>
      </c>
      <c r="M255" s="73" t="str">
        <f aca="false">_xlfn.IFNA(INDEX(Cascade!$BK:$BK,MATCH($E255,Cascade!$E:$E,0)),"")</f>
        <v/>
      </c>
      <c r="N255" s="118" t="n">
        <v>45</v>
      </c>
      <c r="O255" s="118"/>
      <c r="P255" s="118" t="n">
        <v>30</v>
      </c>
      <c r="Q255" s="75" t="str">
        <f aca="false">IF(OR(SUM($H255)=0,SUM($N255)=0,SUM($O255)=0),"",ROUND($H255*$N255,0))</f>
        <v/>
      </c>
      <c r="R255" s="75" t="str">
        <f aca="false">IF(OR(SUM($Q255)=0,SUM($O255)=0),"",ROUND(SUM($Q255)/SUM($O255),0)-SUM($Q255))</f>
        <v/>
      </c>
      <c r="S255" s="75" t="str">
        <f aca="false">IF(SUM($H255)=0,"",SUM($H255)-SUM($Q255))</f>
        <v/>
      </c>
      <c r="T255" s="75" t="str">
        <f aca="false">IF(OR(SUM($S255)=0,$N255&gt;1,SUM($P255)&lt;=0),"",ROUND($S255/$P255,0)-$S255)</f>
        <v/>
      </c>
      <c r="U255" s="118" t="str">
        <f aca="false">IF(SUM($G255)&lt;=0,"",SUM($Q255,$S255)/$G255)</f>
        <v/>
      </c>
      <c r="V255" s="118" t="str">
        <f aca="false">IF(OR(SUM($Q255)=0,SUM($G255)=0),"",SUM($Q255)/SUM($G255))</f>
        <v/>
      </c>
      <c r="W255" s="118" t="str">
        <f aca="false">IF(OR(SUM($S255)=0,SUM($G255)=0),"",SUM($S255)/SUM($G255))</f>
        <v/>
      </c>
      <c r="X255" s="118" t="str">
        <f aca="false">IF(OR(SUM($G255)=0,SUM($I255)=0),"",SUM($I255)/SUM($G255))</f>
        <v/>
      </c>
      <c r="Y255" s="118" t="str">
        <f aca="false">IF(OR(SUM($G255)=0,SUM($J255)=0),"",SUM($J255)/SUM($G255))</f>
        <v/>
      </c>
      <c r="Z255" s="118" t="str">
        <f aca="false">IF(OR(SUM($G255)=0,SUM($K255)=0),"",SUM($K255)/SUM($G255))</f>
        <v/>
      </c>
      <c r="AA255" s="118" t="str">
        <f aca="false">IF(OR(SUM($G255)=0,SUM($L255)=0),"",SUM($L255)/SUM($G255))</f>
        <v/>
      </c>
      <c r="AB255" s="118" t="n">
        <v>24</v>
      </c>
      <c r="AC255" s="118"/>
      <c r="AD255" s="118"/>
      <c r="AE255" s="118" t="n">
        <v>20</v>
      </c>
      <c r="AF255" s="118" t="n">
        <v>13</v>
      </c>
      <c r="AG255" s="118" t="n">
        <v>27</v>
      </c>
      <c r="AH255" s="118" t="n">
        <v>40</v>
      </c>
      <c r="AI255" s="118" t="n">
        <v>12</v>
      </c>
      <c r="AJ255" s="118" t="n">
        <v>30</v>
      </c>
      <c r="AK255" s="118" t="str">
        <f aca="false">IF(SUM($G255)&lt;=0,"",SUM($V255:$AJ255))</f>
        <v/>
      </c>
      <c r="AL255" s="118"/>
      <c r="AM255" s="75" t="str">
        <f aca="false">IF(OR(SUM($AB255)&lt;=0,SUM($G255)&lt;=0),"",ROUND($G255*$AB255,0))</f>
        <v/>
      </c>
      <c r="AN255" s="75" t="str">
        <f aca="false">IF(SUM($AM255)&lt;=0,"",IF(SUM($AL255)&lt;=0,"ENTER VALID YIELD!",ROUND($AM255/$AL255,0)-$AM255))</f>
        <v/>
      </c>
      <c r="AO255" s="118"/>
      <c r="AP255" s="75" t="str">
        <f aca="false">IF(OR(SUM($AC255)&lt;=0,SUM($G255)&lt;=0),"",ROUND($G255*$AC255,0))</f>
        <v/>
      </c>
      <c r="AQ255" s="75" t="str">
        <f aca="false">IF(SUM($AP255)&lt;=0,"",IF(SUM($AO255)&lt;=0,"ENTER VALID YIELD!",ROUND($AP255/$AO255,0)-$AP255))</f>
        <v/>
      </c>
      <c r="AR255" s="118"/>
      <c r="AS255" s="75" t="str">
        <f aca="false">IF(OR(SUM($AD255)&lt;=0,SUM($G255)&lt;=0),"",ROUND($G255*$AD255,0))</f>
        <v/>
      </c>
      <c r="AT255" s="75" t="str">
        <f aca="false">IF(SUM($AS255)&lt;=0,"",IF(SUM($AR255)&lt;=0,"ENTER VALID YIELD!",ROUND($AS255/$AR255,0)-$AS255))</f>
        <v/>
      </c>
      <c r="AU255" s="118"/>
      <c r="AV255" s="75" t="str">
        <f aca="false">IF(OR(SUM($AE255)&lt;=0,SUM($G255)&lt;=0),"",ROUND($G255*$AE255,0))</f>
        <v/>
      </c>
      <c r="AW255" s="75" t="str">
        <f aca="false">IF(SUM($AV255)&lt;=0,"",IF(SUM($AU255)&lt;=0,"ENTER VALID YIELD!",ROUND($AV255/$AU255,0)-$AV255))</f>
        <v/>
      </c>
      <c r="AX255" s="118"/>
      <c r="AY255" s="75" t="str">
        <f aca="false">IF(OR(SUM($AF255)&lt;=0,SUM($G255)&lt;=0),"",ROUND($G255*$AF255,0))</f>
        <v/>
      </c>
      <c r="AZ255" s="75" t="str">
        <f aca="false">IF(SUM($AY255)&lt;=0,"",IF(SUM($AX255)&lt;=0,"ENTER VALID YIELD!",ROUND($AY255/$AX255,0)-$AY255))</f>
        <v/>
      </c>
      <c r="BA255" s="118" t="n">
        <v>43</v>
      </c>
      <c r="BB255" s="75" t="str">
        <f aca="false">IF(OR(SUM($AG255)&lt;=0,SUM($G255)&lt;=0),"",ROUND($G255*$AG255,0))</f>
        <v/>
      </c>
      <c r="BC255" s="75" t="str">
        <f aca="false">IF(SUM($BB255)&lt;=0,"",IF(SUM($BA255)&lt;=0,"ENTER VALID YIELD!",ROUND($BB255/$BA255,0)-$BB255))</f>
        <v/>
      </c>
      <c r="BD255" s="118"/>
      <c r="BE255" s="75" t="str">
        <f aca="false">IF(OR(SUM($AH255)&lt;=0,SUM($G255)&lt;=0),"",ROUND($G255*$AH255,0))</f>
        <v/>
      </c>
      <c r="BF255" s="75" t="str">
        <f aca="false">IF(SUM($BE255)&lt;=0,"",IF(SUM($BD255)&lt;=0,"ENTER VALID YIELD!",ROUND($BE255/$BD255,0)-$BE255))</f>
        <v/>
      </c>
      <c r="BG255" s="118"/>
      <c r="BH255" s="75" t="str">
        <f aca="false">IF(OR(SUM($AI255)&lt;=0,SUM($G255)&lt;=0),"",ROUND($G255*$AI255,0))</f>
        <v/>
      </c>
      <c r="BI255" s="75" t="str">
        <f aca="false">IF(SUM($BH255)&lt;=0,"",IF(SUM($BG255)&lt;=0,"ENTER VALID YIELD!",ROUND($BH255/$BG255,0)-$BH255))</f>
        <v/>
      </c>
      <c r="BJ255" s="118"/>
      <c r="BK255" s="75" t="str">
        <f aca="false">IF(OR(SUM($AJ255)&lt;=0,SUM($G255)&lt;=0),"",ROUND($G255*$AJ255,0))</f>
        <v/>
      </c>
      <c r="BL255" s="75" t="str">
        <f aca="false">IF(SUM($BK255)&lt;=0,"",IF(SUM($BJ255)&lt;=0,"ENTER VALID YIELD!",ROUND($BK255/$BJ255,0)-$BK255))</f>
        <v/>
      </c>
      <c r="BM255" s="73" t="str">
        <f aca="false">IF(SUM($G255)&lt;=0,"",$G255)</f>
        <v/>
      </c>
      <c r="BN255" s="73" t="str">
        <f aca="false">IF(SUM($G255)&lt;=0,"",SUM($I255:$L255,$Q255,$S255,$AM255,$AP255,$AS255,$AV255,$AY255,$BB255,$BE255,$BH255,$BK255))</f>
        <v/>
      </c>
      <c r="BO255" s="73" t="str">
        <f aca="false">IF(AND(SUM($BN255)&lt;=0,SUM($BM255)&lt;=0),"",SUM($BN255)-SUM($BM255))</f>
        <v/>
      </c>
      <c r="BP255" s="73" t="str">
        <f aca="false">_xlfn.IFNA(INDEX(PMTCT!$AF:$AF,MATCH($E255,PMTCT!$E:$E,0)),"")</f>
        <v/>
      </c>
      <c r="BQ255" s="73" t="str">
        <f aca="false">_xlfn.IFNA(INDEX(PMTCT!$AV:$AV,MATCH($E255,PMTCT!$E:$E,0)),"")</f>
        <v/>
      </c>
      <c r="BR255" s="73" t="n">
        <f aca="false">_xlfn.IFNA(INDEX(TB!$R:$R,MATCH($E255,TB!$E:$E,0)),"")</f>
        <v>4725</v>
      </c>
      <c r="BS255" s="73" t="str">
        <f aca="false">_xlfn.IFNA(INDEX(VMMC!$AD:$AD,MATCH($E255,VMMC!$E:$E,0)),"")</f>
        <v/>
      </c>
      <c r="BT255" s="73" t="n">
        <f aca="false">IF(SUM($R255,$T255,$AN255,$AQ255,$AT255,$AW255,$AZ255,$BC255,$BF255,$BI255,$BL255,$BP255:$BS255)=0,"",SUM($R255,$T255,$AN255,$AQ255,$AT255,$AW255,$AZ255,$BC255,$BF255,$BI255,$BL255,$BP255:$BS255))</f>
        <v>4725</v>
      </c>
      <c r="BU255" s="73" t="str">
        <f aca="false">IF(OR(SUM($BT255)=0,SUM($BN255)=0),"",SUM($BT255,$BN255))</f>
        <v/>
      </c>
      <c r="BV255" s="118" t="str">
        <f aca="false">IF(SUM($BU255)=0,"",SUM($BN255)/$BU255)</f>
        <v/>
      </c>
      <c r="BW255" s="73" t="n">
        <v>11</v>
      </c>
      <c r="BX255" s="118" t="n">
        <f aca="false">IF(OR($C255="01-04",$C255="05-09"),"",0%)</f>
        <v>0</v>
      </c>
      <c r="BY255" s="75" t="n">
        <f aca="false">IF(OR($C255="01-04",$C255="05-09",SUM($BW255)=0),"",ROUND($BW255*(1+$BX255),0))</f>
        <v>11</v>
      </c>
    </row>
    <row r="256" customFormat="false" ht="15" hidden="false" customHeight="false" outlineLevel="0" collapsed="false">
      <c r="A256" s="0" t="s">
        <v>151</v>
      </c>
      <c r="B256" s="0" t="s">
        <v>101</v>
      </c>
      <c r="C256" s="0" t="s">
        <v>86</v>
      </c>
      <c r="D256" s="0" t="s">
        <v>58</v>
      </c>
      <c r="E256" s="0" t="str">
        <f aca="false">B256&amp;"|"&amp;C256&amp;"|"&amp;D256</f>
        <v>Thaba Tseka [#SNU] [jyhIrCoB31x]|50+|Male</v>
      </c>
      <c r="F256" s="118" t="n">
        <f aca="false">_xlfn.IFNA(INDEX(Cascade!$Y:$Y,MATCH($E256,Cascade!$E:$E,0)),"")</f>
        <v>0.734939759036145</v>
      </c>
      <c r="G256" s="73" t="str">
        <f aca="false">_xlfn.IFNA(INDEX(Cascade!$BD:$BD,MATCH($E256,Cascade!$E:$E,0)),"")</f>
        <v/>
      </c>
      <c r="H256" s="73" t="str">
        <f aca="false">_xlfn.IFNA(INDEX(Cascade!$BE:$BE,MATCH($E256,Cascade!$E:$E,0)),"")</f>
        <v/>
      </c>
      <c r="I256" s="73" t="str">
        <f aca="false">_xlfn.IFNA(INDEX(Cascade!$BF:$BF,MATCH($E256,Cascade!$E:$E,0)),"")</f>
        <v/>
      </c>
      <c r="J256" s="73" t="str">
        <f aca="false">_xlfn.IFNA(INDEX(Cascade!$BG:$BG,MATCH($E256,Cascade!$E:$E,0)),"")</f>
        <v/>
      </c>
      <c r="K256" s="73" t="n">
        <f aca="false">_xlfn.IFNA(INDEX(Cascade!$BH:$BH,MATCH($E256,Cascade!$E:$E,0)),"")</f>
        <v>-8112</v>
      </c>
      <c r="L256" s="73" t="str">
        <f aca="false">_xlfn.IFNA(INDEX(Cascade!$BI:$BI,MATCH($E256,Cascade!$E:$E,0)),"")</f>
        <v/>
      </c>
      <c r="M256" s="73" t="str">
        <f aca="false">_xlfn.IFNA(INDEX(Cascade!$BK:$BK,MATCH($E256,Cascade!$E:$E,0)),"")</f>
        <v/>
      </c>
      <c r="N256" s="118" t="n">
        <v>10</v>
      </c>
      <c r="O256" s="118"/>
      <c r="P256" s="118" t="n">
        <v>15</v>
      </c>
      <c r="Q256" s="75" t="str">
        <f aca="false">IF(OR(SUM($H256)=0,SUM($N256)=0,SUM($O256)=0),"",ROUND($H256*$N256,0))</f>
        <v/>
      </c>
      <c r="R256" s="75" t="str">
        <f aca="false">IF(OR(SUM($Q256)=0,SUM($O256)=0),"",ROUND(SUM($Q256)/SUM($O256),0)-SUM($Q256))</f>
        <v/>
      </c>
      <c r="S256" s="75" t="str">
        <f aca="false">IF(SUM($H256)=0,"",SUM($H256)-SUM($Q256))</f>
        <v/>
      </c>
      <c r="T256" s="75" t="str">
        <f aca="false">IF(OR(SUM($S256)=0,$N256&gt;1,SUM($P256)&lt;=0),"",ROUND($S256/$P256,0)-$S256)</f>
        <v/>
      </c>
      <c r="U256" s="118" t="str">
        <f aca="false">IF(SUM($G256)&lt;=0,"",SUM($Q256,$S256)/$G256)</f>
        <v/>
      </c>
      <c r="V256" s="118" t="str">
        <f aca="false">IF(OR(SUM($Q256)=0,SUM($G256)=0),"",SUM($Q256)/SUM($G256))</f>
        <v/>
      </c>
      <c r="W256" s="118" t="str">
        <f aca="false">IF(OR(SUM($S256)=0,SUM($G256)=0),"",SUM($S256)/SUM($G256))</f>
        <v/>
      </c>
      <c r="X256" s="118" t="str">
        <f aca="false">IF(OR(SUM($G256)=0,SUM($I256)=0),"",SUM($I256)/SUM($G256))</f>
        <v/>
      </c>
      <c r="Y256" s="118" t="str">
        <f aca="false">IF(OR(SUM($G256)=0,SUM($J256)=0),"",SUM($J256)/SUM($G256))</f>
        <v/>
      </c>
      <c r="Z256" s="118" t="str">
        <f aca="false">IF(OR(SUM($G256)=0,SUM($K256)=0),"",SUM($K256)/SUM($G256))</f>
        <v/>
      </c>
      <c r="AA256" s="118" t="str">
        <f aca="false">IF(OR(SUM($G256)=0,SUM($L256)=0),"",SUM($L256)/SUM($G256))</f>
        <v/>
      </c>
      <c r="AB256" s="118" t="n">
        <v>28</v>
      </c>
      <c r="AC256" s="118"/>
      <c r="AD256" s="118"/>
      <c r="AE256" s="118" t="n">
        <v>24</v>
      </c>
      <c r="AF256" s="118" t="n">
        <v>21</v>
      </c>
      <c r="AG256" s="118" t="n">
        <v>9</v>
      </c>
      <c r="AH256" s="118" t="n">
        <v>35</v>
      </c>
      <c r="AI256" s="118" t="n">
        <v>8</v>
      </c>
      <c r="AJ256" s="118" t="n">
        <v>34</v>
      </c>
      <c r="AK256" s="118" t="str">
        <f aca="false">IF(SUM($G256)&lt;=0,"",SUM($V256:$AJ256))</f>
        <v/>
      </c>
      <c r="AL256" s="118" t="n">
        <v>6</v>
      </c>
      <c r="AM256" s="75" t="str">
        <f aca="false">IF(OR(SUM($AB256)&lt;=0,SUM($G256)&lt;=0),"",ROUND($G256*$AB256,0))</f>
        <v/>
      </c>
      <c r="AN256" s="75" t="str">
        <f aca="false">IF(SUM($AM256)&lt;=0,"",IF(SUM($AL256)&lt;=0,"ENTER VALID YIELD!",ROUND($AM256/$AL256,0)-$AM256))</f>
        <v/>
      </c>
      <c r="AO256" s="118"/>
      <c r="AP256" s="75" t="str">
        <f aca="false">IF(OR(SUM($AC256)&lt;=0,SUM($G256)&lt;=0),"",ROUND($G256*$AC256,0))</f>
        <v/>
      </c>
      <c r="AQ256" s="75" t="str">
        <f aca="false">IF(SUM($AP256)&lt;=0,"",IF(SUM($AO256)&lt;=0,"ENTER VALID YIELD!",ROUND($AP256/$AO256,0)-$AP256))</f>
        <v/>
      </c>
      <c r="AR256" s="118"/>
      <c r="AS256" s="75" t="str">
        <f aca="false">IF(OR(SUM($AD256)&lt;=0,SUM($G256)&lt;=0),"",ROUND($G256*$AD256,0))</f>
        <v/>
      </c>
      <c r="AT256" s="75" t="str">
        <f aca="false">IF(SUM($AS256)&lt;=0,"",IF(SUM($AR256)&lt;=0,"ENTER VALID YIELD!",ROUND($AS256/$AR256,0)-$AS256))</f>
        <v/>
      </c>
      <c r="AU256" s="118"/>
      <c r="AV256" s="75" t="str">
        <f aca="false">IF(OR(SUM($AE256)&lt;=0,SUM($G256)&lt;=0),"",ROUND($G256*$AE256,0))</f>
        <v/>
      </c>
      <c r="AW256" s="75" t="str">
        <f aca="false">IF(SUM($AV256)&lt;=0,"",IF(SUM($AU256)&lt;=0,"ENTER VALID YIELD!",ROUND($AV256/$AU256,0)-$AV256))</f>
        <v/>
      </c>
      <c r="AX256" s="118"/>
      <c r="AY256" s="75" t="str">
        <f aca="false">IF(OR(SUM($AF256)&lt;=0,SUM($G256)&lt;=0),"",ROUND($G256*$AF256,0))</f>
        <v/>
      </c>
      <c r="AZ256" s="75" t="str">
        <f aca="false">IF(SUM($AY256)&lt;=0,"",IF(SUM($AX256)&lt;=0,"ENTER VALID YIELD!",ROUND($AY256/$AX256,0)-$AY256))</f>
        <v/>
      </c>
      <c r="BA256" s="118" t="n">
        <v>2</v>
      </c>
      <c r="BB256" s="75" t="str">
        <f aca="false">IF(OR(SUM($AG256)&lt;=0,SUM($G256)&lt;=0),"",ROUND($G256*$AG256,0))</f>
        <v/>
      </c>
      <c r="BC256" s="75" t="str">
        <f aca="false">IF(SUM($BB256)&lt;=0,"",IF(SUM($BA256)&lt;=0,"ENTER VALID YIELD!",ROUND($BB256/$BA256,0)-$BB256))</f>
        <v/>
      </c>
      <c r="BD256" s="118"/>
      <c r="BE256" s="75" t="str">
        <f aca="false">IF(OR(SUM($AH256)&lt;=0,SUM($G256)&lt;=0),"",ROUND($G256*$AH256,0))</f>
        <v/>
      </c>
      <c r="BF256" s="75" t="str">
        <f aca="false">IF(SUM($BE256)&lt;=0,"",IF(SUM($BD256)&lt;=0,"ENTER VALID YIELD!",ROUND($BE256/$BD256,0)-$BE256))</f>
        <v/>
      </c>
      <c r="BG256" s="118"/>
      <c r="BH256" s="75" t="str">
        <f aca="false">IF(OR(SUM($AI256)&lt;=0,SUM($G256)&lt;=0),"",ROUND($G256*$AI256,0))</f>
        <v/>
      </c>
      <c r="BI256" s="75" t="str">
        <f aca="false">IF(SUM($BH256)&lt;=0,"",IF(SUM($BG256)&lt;=0,"ENTER VALID YIELD!",ROUND($BH256/$BG256,0)-$BH256))</f>
        <v/>
      </c>
      <c r="BJ256" s="118"/>
      <c r="BK256" s="75" t="str">
        <f aca="false">IF(OR(SUM($AJ256)&lt;=0,SUM($G256)&lt;=0),"",ROUND($G256*$AJ256,0))</f>
        <v/>
      </c>
      <c r="BL256" s="75" t="str">
        <f aca="false">IF(SUM($BK256)&lt;=0,"",IF(SUM($BJ256)&lt;=0,"ENTER VALID YIELD!",ROUND($BK256/$BJ256,0)-$BK256))</f>
        <v/>
      </c>
      <c r="BM256" s="73" t="str">
        <f aca="false">IF(SUM($G256)&lt;=0,"",$G256)</f>
        <v/>
      </c>
      <c r="BN256" s="73" t="str">
        <f aca="false">IF(SUM($G256)&lt;=0,"",SUM($I256:$L256,$Q256,$S256,$AM256,$AP256,$AS256,$AV256,$AY256,$BB256,$BE256,$BH256,$BK256))</f>
        <v/>
      </c>
      <c r="BO256" s="73" t="str">
        <f aca="false">IF(AND(SUM($BN256)&lt;=0,SUM($BM256)&lt;=0),"",SUM($BN256)-SUM($BM256))</f>
        <v/>
      </c>
      <c r="BP256" s="73" t="str">
        <f aca="false">_xlfn.IFNA(INDEX(PMTCT!$AF:$AF,MATCH($E256,PMTCT!$E:$E,0)),"")</f>
        <v/>
      </c>
      <c r="BQ256" s="73" t="str">
        <f aca="false">_xlfn.IFNA(INDEX(PMTCT!$AV:$AV,MATCH($E256,PMTCT!$E:$E,0)),"")</f>
        <v/>
      </c>
      <c r="BR256" s="73" t="n">
        <f aca="false">_xlfn.IFNA(INDEX(TB!$R:$R,MATCH($E256,TB!$E:$E,0)),"")</f>
        <v>7605</v>
      </c>
      <c r="BS256" s="73" t="str">
        <f aca="false">_xlfn.IFNA(INDEX(VMMC!$AD:$AD,MATCH($E256,VMMC!$E:$E,0)),"")</f>
        <v/>
      </c>
      <c r="BT256" s="73" t="n">
        <f aca="false">IF(SUM($R256,$T256,$AN256,$AQ256,$AT256,$AW256,$AZ256,$BC256,$BF256,$BI256,$BL256,$BP256:$BS256)=0,"",SUM($R256,$T256,$AN256,$AQ256,$AT256,$AW256,$AZ256,$BC256,$BF256,$BI256,$BL256,$BP256:$BS256))</f>
        <v>7605</v>
      </c>
      <c r="BU256" s="73" t="str">
        <f aca="false">IF(OR(SUM($BT256)=0,SUM($BN256)=0),"",SUM($BT256,$BN256))</f>
        <v/>
      </c>
      <c r="BV256" s="118" t="str">
        <f aca="false">IF(SUM($BU256)=0,"",SUM($BN256)/$BU256)</f>
        <v/>
      </c>
      <c r="BW256" s="73"/>
      <c r="BX256" s="118" t="n">
        <f aca="false">IF(OR($C256="01-04",$C256="05-09"),"",0%)</f>
        <v>0</v>
      </c>
      <c r="BY256" s="75" t="str">
        <f aca="false">IF(OR($C256="01-04",$C256="05-09",SUM($BW256)=0),"",ROUND($BW256*(1+$BX256),0))</f>
        <v/>
      </c>
    </row>
  </sheetData>
  <mergeCells count="1">
    <mergeCell ref="A2:B3"/>
  </mergeCells>
  <conditionalFormatting sqref="L1:L1048576 AA1:AA1048576 BS1:BS1048576">
    <cfRule type="expression" priority="2" aboveAverage="0" equalAverage="0" bottom="0" percent="0" rank="0" text="" dxfId="0">
      <formula>OR($D1="Female",$C1="01-04",$C1="05-09",$C1="10-14")</formula>
    </cfRule>
  </conditionalFormatting>
  <conditionalFormatting sqref="AC1:AD1048576 AO1:AT1048576">
    <cfRule type="expression" priority="3" aboveAverage="0" equalAverage="0" bottom="0" percent="0" rank="0" text="" dxfId="1">
      <formula>AND(ROW(AC1)&gt;14,$B1&lt;&gt;"",$C1&lt;&gt;"01-04")</formula>
    </cfRule>
  </conditionalFormatting>
  <conditionalFormatting sqref="BW1:BY1048576">
    <cfRule type="expression" priority="4" aboveAverage="0" equalAverage="0" bottom="0" percent="0" rank="0" text="" dxfId="2">
      <formula>OR($C1="01-04",$C1="05-09")</formula>
    </cfRule>
  </conditionalFormatting>
  <conditionalFormatting sqref="O1:P1048576">
    <cfRule type="expression" priority="5" aboveAverage="0" equalAverage="0" bottom="0" percent="0" rank="0" text="" dxfId="3">
      <formula>AND(OR($C1="15-19",$C1="20-24",$C1="25-29",$C1="30-34",$C1="35-39",$C1="40-44",$C1="45-49",$C1="50+"),O1&lt;20%,O1&lt;&gt;"")</formula>
    </cfRule>
  </conditionalFormatting>
  <conditionalFormatting sqref="I1:J1048576 X1:Y1048576 BP1:BQ1048576">
    <cfRule type="expression" priority="6" aboveAverage="0" equalAverage="0" bottom="0" percent="0" rank="0" text="" dxfId="0">
      <formula>OR($D1="Male",$C1="01-04",$C1="05-09")</formula>
    </cfRule>
  </conditionalFormatting>
  <conditionalFormatting sqref="BO1:BO1048576">
    <cfRule type="expression" priority="7" aboveAverage="0" equalAverage="0" bottom="0" percent="0" rank="0" text="" dxfId="1">
      <formula>AND(ISNUMBER($BO1),SUM($BO1)&lt;&gt;0)</formula>
    </cfRule>
  </conditionalFormatting>
  <conditionalFormatting sqref="AL1:AL1048576 AU1:AU1048576 AX1:AX1048576 BA1:BA1048576 BD1:BD1048576">
    <cfRule type="expression" priority="8" aboveAverage="0" equalAverage="0" bottom="0" percent="0" rank="0" text="" dxfId="2">
      <formula>AND(ISNUMBER(AL1),OR(AND($F1&gt;=0.7,ROUND(AL1,2)&lt;0.1),AND($F1&lt;0.7,ROUND(AL1,2)&lt;0.05)))</formula>
    </cfRule>
  </conditionalFormatting>
  <conditionalFormatting sqref="AN1:AN1048576 AQ1:AQ1048576 AT1:AT1048576 AW1:AW1048576 AZ1:AZ1048576 BC1:BC1048576 BF1:BF1048576 BI1:BI1048576 BL1:BL1048576">
    <cfRule type="containsText" priority="9" operator="containsText" aboveAverage="0" equalAverage="0" bottom="0" percent="0" rank="0" text="ENTER YIELD!" dxfId="3"/>
  </conditionalFormatting>
  <conditionalFormatting sqref="V1:AK1048576">
    <cfRule type="expression" priority="10" aboveAverage="0" equalAverage="0" bottom="0" percent="0" rank="0" text="" dxfId="4">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priority="11" aboveAverage="0" equalAverage="0" bottom="0" percent="0" rank="0" text="" dxfId="5">
      <formula>AND(ROW(N1)&gt;14,ISNUMBER(N1),OR(N1&gt;1,N1&lt;0))</formula>
    </cfRule>
  </conditionalFormatting>
  <conditionalFormatting sqref="AJ1:AJ1048576">
    <cfRule type="expression" priority="12" aboveAverage="0" equalAverage="0" bottom="0" percent="0" rank="0" text="" dxfId="6">
      <formula>AND(ROW($AJ1)&gt;14,SUM($F1)&gt;=80%,(SUM($G1)*SUM($AJ1))&gt;0)</formula>
    </cfRule>
  </conditionalFormatting>
  <conditionalFormatting sqref="BK1:BL1048576">
    <cfRule type="expression" priority="13" aboveAverage="0" equalAverage="0" bottom="0" percent="0" rank="0" text="" dxfId="7">
      <formula>AND(ROW($BK1)&gt;14,SUM($F1)&gt;=80%,SUM(BK1)&gt;0)</formula>
    </cfRule>
  </conditionalFormatting>
  <hyperlinks>
    <hyperlink ref="F3" location="Cascade!Y:Y" display="Host Country ART Coverage (FY21) (%)"/>
    <hyperlink ref="G3" location="Cascade!BD:BD" display="Total HTS_TST_POS (FY22)"/>
    <hyperlink ref="H3" location="Cascade!BE:BE" display="HTS_INDEX (FY22)"/>
    <hyperlink ref="I3" location="Cascade!BF:BF" display="PMTCT_STAT New Positives (FY22)"/>
    <hyperlink ref="J3" location="Cascade!BG:BG" display="HTS_TST Post ANC1 New Positives (FY22)"/>
    <hyperlink ref="K3" location="Cascade!BH:BH" display="TB_STAT New Positives (FY22)"/>
    <hyperlink ref="L3" location="Cascade!BI:BI" display="VMMC_CIRC New Positives (FY22)"/>
    <hyperlink ref="M3" location="Cascade!BK:BK" display="HTS_TST_POS from All Other Modalities (FY22)"/>
    <hyperlink ref="V3" location="HTS!Q:Q" display="HTS_INDEX_COM: New Positive (%)"/>
    <hyperlink ref="W3" location="HTS!S:S" display="HTS_INDEX_FAC: New Positive (%)"/>
    <hyperlink ref="X3" location="HTS!I:I" display="PMTCT_STAT: New Positive (%)"/>
    <hyperlink ref="Y3" location="HTS!J:J" display="HTS_TST PMTCT Post ANC1: Positive (%)"/>
    <hyperlink ref="Z3" location="HTS!K:K" display="TB_STAT: New Positive (%)"/>
    <hyperlink ref="AA3" location="HTS!L:L" display="VMMC_CIRC: HIV Positive (%)"/>
    <hyperlink ref="AB3" location="HTS!AL:AN" display="Facility - Inpatient (%)"/>
    <hyperlink ref="AC3" location="HTS!AO:AQ" display="Facility - Pediatric (%)"/>
    <hyperlink ref="AD3" location="HTS!AR:AT" display="Facility - Malnutrition (%)"/>
    <hyperlink ref="AE3" location="HTS!AU:AW" display="Facility - STI Clinic (%)"/>
    <hyperlink ref="AF3" location="HTS!AX:AZ" display="Facility - Emergency (%)"/>
    <hyperlink ref="AG3" location="HTS!BA:BC" display="Facility - Other PITC (%)"/>
    <hyperlink ref="AH3" location="HTS!BD:BF" display="Facility - VCT (%)"/>
    <hyperlink ref="AI3" location="HTS!BG:BI" display="Community - Mobile (%)"/>
    <hyperlink ref="AJ3" location="HTS!BJ:BL" display="Community - Other (%)"/>
    <hyperlink ref="AM3" location="HTS!AB:AB" display="Positive"/>
    <hyperlink ref="AP3" location="HTS!AC:AC" display="Positive"/>
    <hyperlink ref="AS3" location="HTS!AD:AD" display="Positive"/>
    <hyperlink ref="AV3" location="HTS!AE:AE" display="Positive"/>
    <hyperlink ref="AY3" location="HTS!AF:AF" display="Positive"/>
    <hyperlink ref="BB3" location="HTS!AG:AG" display="Positive"/>
    <hyperlink ref="BE3" location="HTS!AH:AH" display="Positive"/>
    <hyperlink ref="BH3" location="HTS!AI:AI" display="Positive"/>
    <hyperlink ref="BK3" location="HTS!AJ:AJ" display="Positive"/>
    <hyperlink ref="BM3" location="HTS!G:G" display="Original HTS_TST_POS"/>
    <hyperlink ref="BP3" location="PMTCT!AC:AC" display="PMTCT_STAT New Negatives (FY22)"/>
    <hyperlink ref="BQ3" location="PMTCT!AK:AK" display="HTS_TST Post ANC1 Negatives (FY22)"/>
    <hyperlink ref="BR3" location="TB!R:R" display="TB_STAT New Negatives (FY22)"/>
    <hyperlink ref="BS3" location="VMMC!AD:AD" display="VMMC_CIRC Negatives (FY2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K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
    <col collapsed="false" customWidth="true" hidden="false" outlineLevel="0" max="11" min="6" style="0" width="11.83"/>
    <col collapsed="false" customWidth="true" hidden="false" outlineLevel="0" max="1025" min="12" style="0" width="10.61"/>
  </cols>
  <sheetData>
    <row r="1" customFormat="false" ht="31" hidden="false" customHeight="true" outlineLevel="0" collapsed="false">
      <c r="A1" s="54" t="s">
        <v>685</v>
      </c>
      <c r="B1" s="54"/>
      <c r="C1" s="54"/>
      <c r="D1" s="54"/>
      <c r="E1" s="54"/>
      <c r="F1" s="80" t="s">
        <v>686</v>
      </c>
      <c r="G1" s="76"/>
      <c r="H1" s="76"/>
      <c r="I1" s="81"/>
      <c r="J1" s="81"/>
      <c r="K1" s="76"/>
    </row>
    <row r="2" customFormat="false" ht="19" hidden="false" customHeight="true" outlineLevel="0" collapsed="false">
      <c r="A2" s="140" t="s">
        <v>687</v>
      </c>
      <c r="B2" s="140"/>
      <c r="C2" s="57"/>
      <c r="D2" s="57"/>
      <c r="E2" s="57"/>
      <c r="F2" s="88" t="s">
        <v>120</v>
      </c>
      <c r="G2" s="89"/>
      <c r="H2" s="89"/>
      <c r="I2" s="87"/>
      <c r="J2" s="87" t="s">
        <v>156</v>
      </c>
      <c r="K2" s="84" t="s">
        <v>121</v>
      </c>
    </row>
    <row r="3" customFormat="false" ht="117" hidden="false" customHeight="true" outlineLevel="0" collapsed="false">
      <c r="A3" s="140"/>
      <c r="B3" s="140"/>
      <c r="C3" s="61"/>
      <c r="D3" s="61"/>
      <c r="E3" s="61"/>
      <c r="F3" s="145" t="s">
        <v>688</v>
      </c>
      <c r="G3" s="168" t="s">
        <v>689</v>
      </c>
      <c r="H3" s="142" t="s">
        <v>183</v>
      </c>
      <c r="I3" s="168" t="s">
        <v>690</v>
      </c>
      <c r="J3" s="146" t="s">
        <v>691</v>
      </c>
      <c r="K3" s="100" t="s">
        <v>692</v>
      </c>
    </row>
    <row r="4" customFormat="false" ht="15" hidden="false" customHeight="false" outlineLevel="0" collapsed="false">
      <c r="A4" s="65"/>
      <c r="B4" s="65"/>
      <c r="C4" s="65"/>
      <c r="D4" s="65" t="s">
        <v>125</v>
      </c>
      <c r="E4" s="65"/>
      <c r="F4" s="169" t="n">
        <f aca="false">SUBTOTAL(109,F$15:INDEX(F:F,COUNTA($B:$B)+14-COUNTA($B$1:$B$14)))</f>
        <v>0</v>
      </c>
      <c r="G4" s="110" t="n">
        <f aca="false">SUBTOTAL(109,G$15:INDEX(G:G,COUNTA($B:$B)+14-COUNTA($B$1:$B$14)))</f>
        <v>0</v>
      </c>
      <c r="H4" s="110" t="n">
        <f aca="false">SUBTOTAL(109,H$15:INDEX(H:H,COUNTA($B:$B)+14-COUNTA($B$1:$B$14)))</f>
        <v>1587</v>
      </c>
      <c r="I4" s="108"/>
      <c r="J4" s="108"/>
      <c r="K4" s="105" t="n">
        <f aca="false">SUBTOTAL(109,K$15:INDEX(K:K,COUNTA($B:$B)+14-COUNTA($B$1:$B$14)))</f>
        <v>806</v>
      </c>
    </row>
    <row r="5" customFormat="false" ht="12.8" hidden="false" customHeight="false" outlineLevel="0" collapsed="false">
      <c r="A5" s="69" t="s">
        <v>126</v>
      </c>
      <c r="B5" s="69" t="s">
        <v>126</v>
      </c>
      <c r="C5" s="69" t="s">
        <v>126</v>
      </c>
      <c r="D5" s="69" t="s">
        <v>126</v>
      </c>
      <c r="E5" s="69" t="s">
        <v>126</v>
      </c>
      <c r="F5" s="119" t="s">
        <v>225</v>
      </c>
      <c r="G5" s="73" t="s">
        <v>225</v>
      </c>
      <c r="H5" s="73" t="s">
        <v>126</v>
      </c>
      <c r="I5" s="118" t="s">
        <v>126</v>
      </c>
      <c r="J5" s="118" t="s">
        <v>126</v>
      </c>
      <c r="K5" s="115" t="s">
        <v>225</v>
      </c>
    </row>
    <row r="6" customFormat="false" ht="12.8" hidden="false" customHeight="false" outlineLevel="0" collapsed="false">
      <c r="A6" s="69" t="s">
        <v>128</v>
      </c>
      <c r="B6" s="69" t="s">
        <v>128</v>
      </c>
      <c r="C6" s="69" t="s">
        <v>128</v>
      </c>
      <c r="D6" s="69" t="s">
        <v>128</v>
      </c>
      <c r="E6" s="69" t="s">
        <v>128</v>
      </c>
      <c r="F6" s="119" t="s">
        <v>129</v>
      </c>
      <c r="G6" s="73" t="s">
        <v>129</v>
      </c>
      <c r="H6" s="73" t="s">
        <v>131</v>
      </c>
      <c r="I6" s="118" t="s">
        <v>228</v>
      </c>
      <c r="J6" s="118" t="s">
        <v>227</v>
      </c>
      <c r="K6" s="115" t="s">
        <v>130</v>
      </c>
    </row>
    <row r="7" customFormat="false" ht="12.8" hidden="false" customHeight="false" outlineLevel="0" collapsed="false">
      <c r="A7" s="69" t="s">
        <v>132</v>
      </c>
      <c r="B7" s="69" t="s">
        <v>132</v>
      </c>
      <c r="C7" s="69" t="s">
        <v>132</v>
      </c>
      <c r="D7" s="69" t="s">
        <v>132</v>
      </c>
      <c r="E7" s="69" t="s">
        <v>132</v>
      </c>
      <c r="F7" s="119" t="s">
        <v>133</v>
      </c>
      <c r="G7" s="73" t="s">
        <v>133</v>
      </c>
      <c r="H7" s="73" t="s">
        <v>133</v>
      </c>
      <c r="I7" s="118" t="s">
        <v>229</v>
      </c>
      <c r="J7" s="118" t="s">
        <v>229</v>
      </c>
      <c r="K7" s="115" t="s">
        <v>133</v>
      </c>
    </row>
    <row r="8" customFormat="false" ht="12.8" hidden="false" customHeight="false" outlineLevel="0" collapsed="false">
      <c r="F8" s="119" t="s">
        <v>693</v>
      </c>
      <c r="G8" s="73" t="s">
        <v>694</v>
      </c>
      <c r="K8" s="115" t="s">
        <v>694</v>
      </c>
    </row>
    <row r="9" customFormat="false" ht="12.8" hidden="false" customHeight="false" outlineLevel="0" collapsed="false">
      <c r="F9" s="119" t="s">
        <v>695</v>
      </c>
      <c r="G9" s="73" t="s">
        <v>696</v>
      </c>
      <c r="K9" s="115" t="s">
        <v>696</v>
      </c>
    </row>
    <row r="10" customFormat="false" ht="12.8" hidden="false" customHeight="false" outlineLevel="0" collapsed="false">
      <c r="F10" s="119" t="s">
        <v>243</v>
      </c>
      <c r="G10" s="73" t="s">
        <v>243</v>
      </c>
      <c r="K10" s="115" t="s">
        <v>243</v>
      </c>
    </row>
    <row r="11" customFormat="false" ht="12.8" hidden="false" customHeight="false" outlineLevel="0" collapsed="false">
      <c r="F11" s="119" t="s">
        <v>697</v>
      </c>
      <c r="G11" s="73" t="s">
        <v>697</v>
      </c>
      <c r="H11" s="73" t="s">
        <v>697</v>
      </c>
      <c r="I11" s="118" t="s">
        <v>697</v>
      </c>
      <c r="J11" s="118" t="s">
        <v>697</v>
      </c>
      <c r="K11" s="115" t="s">
        <v>697</v>
      </c>
    </row>
    <row r="12" customFormat="false" ht="12.8" hidden="false" customHeight="false" outlineLevel="0" collapsed="false">
      <c r="F12" s="119" t="s">
        <v>250</v>
      </c>
      <c r="G12" s="73" t="s">
        <v>250</v>
      </c>
      <c r="H12" s="73" t="s">
        <v>250</v>
      </c>
      <c r="I12" s="118" t="s">
        <v>250</v>
      </c>
      <c r="J12" s="118" t="s">
        <v>250</v>
      </c>
      <c r="K12" s="115" t="s">
        <v>250</v>
      </c>
    </row>
    <row r="13" customFormat="false" ht="12.8" hidden="false" customHeight="false" outlineLevel="0" collapsed="false"/>
    <row r="14" customFormat="false" ht="15" hidden="false" customHeight="false" outlineLevel="0" collapsed="false">
      <c r="A14" s="70" t="s">
        <v>135</v>
      </c>
      <c r="B14" s="70" t="s">
        <v>136</v>
      </c>
      <c r="C14" s="70" t="s">
        <v>252</v>
      </c>
      <c r="D14" s="70" t="s">
        <v>253</v>
      </c>
      <c r="E14" s="70" t="s">
        <v>42</v>
      </c>
      <c r="F14" s="163" t="s">
        <v>698</v>
      </c>
      <c r="G14" s="131" t="s">
        <v>699</v>
      </c>
      <c r="H14" s="131" t="s">
        <v>273</v>
      </c>
      <c r="I14" s="131" t="s">
        <v>700</v>
      </c>
      <c r="J14" s="131" t="s">
        <v>701</v>
      </c>
      <c r="K14" s="131" t="s">
        <v>702</v>
      </c>
    </row>
    <row r="15" customFormat="false" ht="15" hidden="false" customHeight="false" outlineLevel="0" collapsed="false">
      <c r="A15" s="0" t="s">
        <v>140</v>
      </c>
      <c r="B15" s="0" t="s">
        <v>141</v>
      </c>
      <c r="C15" s="0" t="s">
        <v>69</v>
      </c>
      <c r="D15" s="0" t="s">
        <v>56</v>
      </c>
      <c r="E15" s="69" t="str">
        <f aca="false">B15&amp;"|"&amp;C15&amp;"|"&amp;D15</f>
        <v>_Military Lesotho [#Military] [dDOqoFnD5Be]|25-29|Female</v>
      </c>
      <c r="F15" s="73" t="n">
        <v>26</v>
      </c>
      <c r="G15" s="73" t="n">
        <v>45</v>
      </c>
      <c r="H15" s="73" t="n">
        <f aca="false">INDEX(Cascade!$AE:$AE,MATCH($E15,Cascade!$E:$E,0))</f>
        <v>19</v>
      </c>
      <c r="I15" s="118" t="n">
        <v>29</v>
      </c>
      <c r="J15" s="118" t="n">
        <f aca="false">0.5</f>
        <v>0.5</v>
      </c>
      <c r="K15" s="115" t="n">
        <f aca="false">IFERROR(ROUND($J15*$H15,0),"")</f>
        <v>10</v>
      </c>
    </row>
    <row r="16" customFormat="false" ht="15" hidden="false" customHeight="false" outlineLevel="0" collapsed="false">
      <c r="A16" s="0" t="s">
        <v>140</v>
      </c>
      <c r="B16" s="0" t="s">
        <v>141</v>
      </c>
      <c r="C16" s="0" t="s">
        <v>72</v>
      </c>
      <c r="D16" s="0" t="s">
        <v>56</v>
      </c>
      <c r="E16" s="0" t="str">
        <f aca="false">B16&amp;"|"&amp;C16&amp;"|"&amp;D16</f>
        <v>_Military Lesotho [#Military] [dDOqoFnD5Be]|30-34|Female</v>
      </c>
      <c r="F16" s="73" t="n">
        <v>7</v>
      </c>
      <c r="G16" s="73" t="n">
        <v>23</v>
      </c>
      <c r="H16" s="73" t="n">
        <f aca="false">INDEX(Cascade!$AE:$AE,MATCH($E16,Cascade!$E:$E,0))</f>
        <v>15</v>
      </c>
      <c r="I16" s="118" t="n">
        <v>36</v>
      </c>
      <c r="J16" s="118" t="n">
        <f aca="false">0.5</f>
        <v>0.5</v>
      </c>
      <c r="K16" s="75" t="n">
        <f aca="false">IFERROR(ROUND($J16*$H16,0),"")</f>
        <v>8</v>
      </c>
    </row>
    <row r="17" customFormat="false" ht="15" hidden="false" customHeight="false" outlineLevel="0" collapsed="false">
      <c r="A17" s="0" t="s">
        <v>140</v>
      </c>
      <c r="B17" s="0" t="s">
        <v>141</v>
      </c>
      <c r="C17" s="0" t="s">
        <v>75</v>
      </c>
      <c r="D17" s="0" t="s">
        <v>56</v>
      </c>
      <c r="E17" s="0" t="str">
        <f aca="false">B17&amp;"|"&amp;C17&amp;"|"&amp;D17</f>
        <v>_Military Lesotho [#Military] [dDOqoFnD5Be]|35-39|Female</v>
      </c>
      <c r="F17" s="73" t="n">
        <v>41</v>
      </c>
      <c r="G17" s="73" t="n">
        <v>33</v>
      </c>
      <c r="H17" s="73" t="n">
        <f aca="false">INDEX(Cascade!$AE:$AE,MATCH($E17,Cascade!$E:$E,0))</f>
        <v>18</v>
      </c>
      <c r="I17" s="118" t="n">
        <v>9</v>
      </c>
      <c r="J17" s="118" t="n">
        <f aca="false">0.5</f>
        <v>0.5</v>
      </c>
      <c r="K17" s="75" t="n">
        <f aca="false">IFERROR(ROUND($J17*$H17,0),"")</f>
        <v>9</v>
      </c>
    </row>
    <row r="18" customFormat="false" ht="15" hidden="false" customHeight="false" outlineLevel="0" collapsed="false">
      <c r="A18" s="0" t="s">
        <v>140</v>
      </c>
      <c r="B18" s="0" t="s">
        <v>141</v>
      </c>
      <c r="C18" s="0" t="s">
        <v>77</v>
      </c>
      <c r="D18" s="0" t="s">
        <v>56</v>
      </c>
      <c r="E18" s="0" t="str">
        <f aca="false">B18&amp;"|"&amp;C18&amp;"|"&amp;D18</f>
        <v>_Military Lesotho [#Military] [dDOqoFnD5Be]|40-44|Female</v>
      </c>
      <c r="F18" s="73" t="n">
        <v>26</v>
      </c>
      <c r="G18" s="73" t="n">
        <v>46</v>
      </c>
      <c r="H18" s="73" t="n">
        <f aca="false">INDEX(Cascade!$AE:$AE,MATCH($E18,Cascade!$E:$E,0))</f>
        <v>6</v>
      </c>
      <c r="I18" s="118" t="n">
        <v>21</v>
      </c>
      <c r="J18" s="118" t="n">
        <f aca="false">0.5</f>
        <v>0.5</v>
      </c>
      <c r="K18" s="75" t="n">
        <f aca="false">IFERROR(ROUND($J18*$H18,0),"")</f>
        <v>3</v>
      </c>
    </row>
    <row r="19" customFormat="false" ht="15" hidden="false" customHeight="false" outlineLevel="0" collapsed="false">
      <c r="A19" s="0" t="s">
        <v>140</v>
      </c>
      <c r="B19" s="0" t="s">
        <v>141</v>
      </c>
      <c r="C19" s="0" t="s">
        <v>80</v>
      </c>
      <c r="D19" s="0" t="s">
        <v>56</v>
      </c>
      <c r="E19" s="0" t="str">
        <f aca="false">B19&amp;"|"&amp;C19&amp;"|"&amp;D19</f>
        <v>_Military Lesotho [#Military] [dDOqoFnD5Be]|45-49|Female</v>
      </c>
      <c r="F19" s="73" t="n">
        <v>41</v>
      </c>
      <c r="G19" s="73" t="n">
        <v>47</v>
      </c>
      <c r="H19" s="73" t="n">
        <f aca="false">INDEX(Cascade!$AE:$AE,MATCH($E19,Cascade!$E:$E,0))</f>
        <v>25</v>
      </c>
      <c r="I19" s="118" t="n">
        <v>17</v>
      </c>
      <c r="J19" s="118" t="n">
        <f aca="false">0.5</f>
        <v>0.5</v>
      </c>
      <c r="K19" s="75" t="n">
        <f aca="false">IFERROR(ROUND($J19*$H19,0),"")</f>
        <v>13</v>
      </c>
    </row>
    <row r="20" customFormat="false" ht="15" hidden="false" customHeight="false" outlineLevel="0" collapsed="false">
      <c r="A20" s="0" t="s">
        <v>142</v>
      </c>
      <c r="B20" s="0" t="s">
        <v>109</v>
      </c>
      <c r="C20" s="0" t="s">
        <v>69</v>
      </c>
      <c r="D20" s="0" t="s">
        <v>56</v>
      </c>
      <c r="E20" s="0" t="str">
        <f aca="false">B20&amp;"|"&amp;C20&amp;"|"&amp;D20</f>
        <v>Berea [#SNU] [#DREAMS] [wpg5evyl1OL]|25-29|Female</v>
      </c>
      <c r="F20" s="73" t="n">
        <v>46</v>
      </c>
      <c r="G20" s="73" t="n">
        <v>21</v>
      </c>
      <c r="H20" s="73" t="n">
        <f aca="false">INDEX(Cascade!$AE:$AE,MATCH($E20,Cascade!$E:$E,0))</f>
        <v>3</v>
      </c>
      <c r="I20" s="118" t="n">
        <v>5</v>
      </c>
      <c r="J20" s="118" t="n">
        <f aca="false">0.5</f>
        <v>0.5</v>
      </c>
      <c r="K20" s="75" t="n">
        <f aca="false">IFERROR(ROUND($J20*$H20,0),"")</f>
        <v>2</v>
      </c>
    </row>
    <row r="21" customFormat="false" ht="15" hidden="false" customHeight="false" outlineLevel="0" collapsed="false">
      <c r="A21" s="0" t="s">
        <v>142</v>
      </c>
      <c r="B21" s="0" t="s">
        <v>109</v>
      </c>
      <c r="C21" s="0" t="s">
        <v>72</v>
      </c>
      <c r="D21" s="0" t="s">
        <v>56</v>
      </c>
      <c r="E21" s="0" t="str">
        <f aca="false">B21&amp;"|"&amp;C21&amp;"|"&amp;D21</f>
        <v>Berea [#SNU] [#DREAMS] [wpg5evyl1OL]|30-34|Female</v>
      </c>
      <c r="F21" s="73" t="n">
        <v>38</v>
      </c>
      <c r="G21" s="73" t="n">
        <v>18</v>
      </c>
      <c r="H21" s="73" t="n">
        <f aca="false">INDEX(Cascade!$AE:$AE,MATCH($E21,Cascade!$E:$E,0))</f>
        <v>60</v>
      </c>
      <c r="I21" s="118" t="n">
        <v>17</v>
      </c>
      <c r="J21" s="118" t="n">
        <f aca="false">0.5</f>
        <v>0.5</v>
      </c>
      <c r="K21" s="75" t="n">
        <f aca="false">IFERROR(ROUND($J21*$H21,0),"")</f>
        <v>30</v>
      </c>
    </row>
    <row r="22" customFormat="false" ht="15" hidden="false" customHeight="false" outlineLevel="0" collapsed="false">
      <c r="A22" s="0" t="s">
        <v>142</v>
      </c>
      <c r="B22" s="0" t="s">
        <v>109</v>
      </c>
      <c r="C22" s="0" t="s">
        <v>75</v>
      </c>
      <c r="D22" s="0" t="s">
        <v>56</v>
      </c>
      <c r="E22" s="0" t="str">
        <f aca="false">B22&amp;"|"&amp;C22&amp;"|"&amp;D22</f>
        <v>Berea [#SNU] [#DREAMS] [wpg5evyl1OL]|35-39|Female</v>
      </c>
      <c r="F22" s="73" t="n">
        <v>9</v>
      </c>
      <c r="G22" s="73" t="n">
        <v>48</v>
      </c>
      <c r="H22" s="73" t="n">
        <f aca="false">INDEX(Cascade!$AE:$AE,MATCH($E22,Cascade!$E:$E,0))</f>
        <v>44</v>
      </c>
      <c r="I22" s="118" t="n">
        <v>23</v>
      </c>
      <c r="J22" s="118" t="n">
        <f aca="false">0.5</f>
        <v>0.5</v>
      </c>
      <c r="K22" s="75" t="n">
        <f aca="false">IFERROR(ROUND($J22*$H22,0),"")</f>
        <v>22</v>
      </c>
    </row>
    <row r="23" customFormat="false" ht="15" hidden="false" customHeight="false" outlineLevel="0" collapsed="false">
      <c r="A23" s="0" t="s">
        <v>142</v>
      </c>
      <c r="B23" s="0" t="s">
        <v>109</v>
      </c>
      <c r="C23" s="0" t="s">
        <v>77</v>
      </c>
      <c r="D23" s="0" t="s">
        <v>56</v>
      </c>
      <c r="E23" s="0" t="str">
        <f aca="false">B23&amp;"|"&amp;C23&amp;"|"&amp;D23</f>
        <v>Berea [#SNU] [#DREAMS] [wpg5evyl1OL]|40-44|Female</v>
      </c>
      <c r="F23" s="73" t="n">
        <v>11</v>
      </c>
      <c r="G23" s="73" t="n">
        <v>2</v>
      </c>
      <c r="H23" s="73" t="n">
        <f aca="false">INDEX(Cascade!$AE:$AE,MATCH($E23,Cascade!$E:$E,0))</f>
        <v>23</v>
      </c>
      <c r="I23" s="118" t="n">
        <v>45</v>
      </c>
      <c r="J23" s="118" t="n">
        <f aca="false">0.5</f>
        <v>0.5</v>
      </c>
      <c r="K23" s="75" t="n">
        <f aca="false">IFERROR(ROUND($J23*$H23,0),"")</f>
        <v>12</v>
      </c>
    </row>
    <row r="24" customFormat="false" ht="15" hidden="false" customHeight="false" outlineLevel="0" collapsed="false">
      <c r="A24" s="0" t="s">
        <v>142</v>
      </c>
      <c r="B24" s="0" t="s">
        <v>109</v>
      </c>
      <c r="C24" s="0" t="s">
        <v>80</v>
      </c>
      <c r="D24" s="0" t="s">
        <v>56</v>
      </c>
      <c r="E24" s="0" t="str">
        <f aca="false">B24&amp;"|"&amp;C24&amp;"|"&amp;D24</f>
        <v>Berea [#SNU] [#DREAMS] [wpg5evyl1OL]|45-49|Female</v>
      </c>
      <c r="F24" s="73" t="n">
        <v>32</v>
      </c>
      <c r="G24" s="73" t="n">
        <v>14</v>
      </c>
      <c r="H24" s="73" t="n">
        <f aca="false">INDEX(Cascade!$AE:$AE,MATCH($E24,Cascade!$E:$E,0))</f>
        <v>25</v>
      </c>
      <c r="I24" s="118" t="n">
        <v>5</v>
      </c>
      <c r="J24" s="118" t="n">
        <f aca="false">0.5</f>
        <v>0.5</v>
      </c>
      <c r="K24" s="75" t="n">
        <f aca="false">IFERROR(ROUND($J24*$H24,0),"")</f>
        <v>13</v>
      </c>
    </row>
    <row r="25" customFormat="false" ht="15" hidden="false" customHeight="false" outlineLevel="0" collapsed="false">
      <c r="A25" s="0" t="s">
        <v>143</v>
      </c>
      <c r="B25" s="0" t="s">
        <v>115</v>
      </c>
      <c r="C25" s="0" t="s">
        <v>69</v>
      </c>
      <c r="D25" s="0" t="s">
        <v>56</v>
      </c>
      <c r="E25" s="0" t="str">
        <f aca="false">B25&amp;"|"&amp;C25&amp;"|"&amp;D25</f>
        <v>Butha Buthe [#SNU] [mvPRqBFtVC0]|25-29|Female</v>
      </c>
      <c r="F25" s="73" t="n">
        <v>20</v>
      </c>
      <c r="G25" s="73" t="n">
        <v>24</v>
      </c>
      <c r="H25" s="73" t="n">
        <f aca="false">INDEX(Cascade!$AE:$AE,MATCH($E25,Cascade!$E:$E,0))</f>
        <v>32</v>
      </c>
      <c r="I25" s="118" t="n">
        <v>28</v>
      </c>
      <c r="J25" s="118" t="n">
        <f aca="false">0.5</f>
        <v>0.5</v>
      </c>
      <c r="K25" s="75" t="n">
        <f aca="false">IFERROR(ROUND($J25*$H25,0),"")</f>
        <v>16</v>
      </c>
    </row>
    <row r="26" customFormat="false" ht="15" hidden="false" customHeight="false" outlineLevel="0" collapsed="false">
      <c r="A26" s="0" t="s">
        <v>143</v>
      </c>
      <c r="B26" s="0" t="s">
        <v>115</v>
      </c>
      <c r="C26" s="0" t="s">
        <v>72</v>
      </c>
      <c r="D26" s="0" t="s">
        <v>56</v>
      </c>
      <c r="E26" s="0" t="str">
        <f aca="false">B26&amp;"|"&amp;C26&amp;"|"&amp;D26</f>
        <v>Butha Buthe [#SNU] [mvPRqBFtVC0]|30-34|Female</v>
      </c>
      <c r="F26" s="73" t="n">
        <v>21</v>
      </c>
      <c r="G26" s="73" t="n">
        <v>11</v>
      </c>
      <c r="H26" s="73" t="n">
        <f aca="false">INDEX(Cascade!$AE:$AE,MATCH($E26,Cascade!$E:$E,0))</f>
        <v>55</v>
      </c>
      <c r="I26" s="118" t="n">
        <v>14</v>
      </c>
      <c r="J26" s="118" t="n">
        <f aca="false">0.5</f>
        <v>0.5</v>
      </c>
      <c r="K26" s="75" t="n">
        <f aca="false">IFERROR(ROUND($J26*$H26,0),"")</f>
        <v>28</v>
      </c>
    </row>
    <row r="27" customFormat="false" ht="15" hidden="false" customHeight="false" outlineLevel="0" collapsed="false">
      <c r="A27" s="0" t="s">
        <v>143</v>
      </c>
      <c r="B27" s="0" t="s">
        <v>115</v>
      </c>
      <c r="C27" s="0" t="s">
        <v>75</v>
      </c>
      <c r="D27" s="0" t="s">
        <v>56</v>
      </c>
      <c r="E27" s="0" t="str">
        <f aca="false">B27&amp;"|"&amp;C27&amp;"|"&amp;D27</f>
        <v>Butha Buthe [#SNU] [mvPRqBFtVC0]|35-39|Female</v>
      </c>
      <c r="F27" s="73" t="n">
        <v>27</v>
      </c>
      <c r="G27" s="73" t="n">
        <v>20</v>
      </c>
      <c r="H27" s="73" t="n">
        <f aca="false">INDEX(Cascade!$AE:$AE,MATCH($E27,Cascade!$E:$E,0))</f>
        <v>38</v>
      </c>
      <c r="I27" s="118" t="n">
        <v>3</v>
      </c>
      <c r="J27" s="118" t="n">
        <f aca="false">0.5</f>
        <v>0.5</v>
      </c>
      <c r="K27" s="75" t="n">
        <f aca="false">IFERROR(ROUND($J27*$H27,0),"")</f>
        <v>19</v>
      </c>
    </row>
    <row r="28" customFormat="false" ht="15" hidden="false" customHeight="false" outlineLevel="0" collapsed="false">
      <c r="A28" s="0" t="s">
        <v>143</v>
      </c>
      <c r="B28" s="0" t="s">
        <v>115</v>
      </c>
      <c r="C28" s="0" t="s">
        <v>77</v>
      </c>
      <c r="D28" s="0" t="s">
        <v>56</v>
      </c>
      <c r="E28" s="0" t="str">
        <f aca="false">B28&amp;"|"&amp;C28&amp;"|"&amp;D28</f>
        <v>Butha Buthe [#SNU] [mvPRqBFtVC0]|40-44|Female</v>
      </c>
      <c r="F28" s="73" t="n">
        <v>36</v>
      </c>
      <c r="G28" s="73" t="n">
        <v>7</v>
      </c>
      <c r="H28" s="73" t="n">
        <f aca="false">INDEX(Cascade!$AE:$AE,MATCH($E28,Cascade!$E:$E,0))</f>
        <v>46</v>
      </c>
      <c r="I28" s="118" t="n">
        <v>8</v>
      </c>
      <c r="J28" s="118" t="n">
        <f aca="false">0.5</f>
        <v>0.5</v>
      </c>
      <c r="K28" s="75" t="n">
        <f aca="false">IFERROR(ROUND($J28*$H28,0),"")</f>
        <v>23</v>
      </c>
    </row>
    <row r="29" customFormat="false" ht="15" hidden="false" customHeight="false" outlineLevel="0" collapsed="false">
      <c r="A29" s="0" t="s">
        <v>143</v>
      </c>
      <c r="B29" s="0" t="s">
        <v>115</v>
      </c>
      <c r="C29" s="0" t="s">
        <v>80</v>
      </c>
      <c r="D29" s="0" t="s">
        <v>56</v>
      </c>
      <c r="E29" s="0" t="str">
        <f aca="false">B29&amp;"|"&amp;C29&amp;"|"&amp;D29</f>
        <v>Butha Buthe [#SNU] [mvPRqBFtVC0]|45-49|Female</v>
      </c>
      <c r="F29" s="73" t="n">
        <v>15</v>
      </c>
      <c r="G29" s="73" t="n">
        <v>29</v>
      </c>
      <c r="H29" s="73" t="n">
        <f aca="false">INDEX(Cascade!$AE:$AE,MATCH($E29,Cascade!$E:$E,0))</f>
        <v>31</v>
      </c>
      <c r="I29" s="118" t="n">
        <v>26</v>
      </c>
      <c r="J29" s="118" t="n">
        <f aca="false">0.5</f>
        <v>0.5</v>
      </c>
      <c r="K29" s="75" t="n">
        <f aca="false">IFERROR(ROUND($J29*$H29,0),"")</f>
        <v>16</v>
      </c>
    </row>
    <row r="30" customFormat="false" ht="15" hidden="false" customHeight="false" outlineLevel="0" collapsed="false">
      <c r="A30" s="0" t="s">
        <v>144</v>
      </c>
      <c r="B30" s="0" t="s">
        <v>103</v>
      </c>
      <c r="C30" s="0" t="s">
        <v>69</v>
      </c>
      <c r="D30" s="0" t="s">
        <v>56</v>
      </c>
      <c r="E30" s="0" t="str">
        <f aca="false">B30&amp;"|"&amp;C30&amp;"|"&amp;D30</f>
        <v>Leribe [#SNU] [FjSmRywOWUp]|25-29|Female</v>
      </c>
      <c r="F30" s="73" t="n">
        <v>17</v>
      </c>
      <c r="G30" s="73" t="n">
        <v>21</v>
      </c>
      <c r="H30" s="73" t="n">
        <f aca="false">INDEX(Cascade!$AE:$AE,MATCH($E30,Cascade!$E:$E,0))</f>
        <v>27</v>
      </c>
      <c r="I30" s="118" t="n">
        <v>33</v>
      </c>
      <c r="J30" s="118" t="n">
        <f aca="false">0.5</f>
        <v>0.5</v>
      </c>
      <c r="K30" s="75" t="n">
        <f aca="false">IFERROR(ROUND($J30*$H30,0),"")</f>
        <v>14</v>
      </c>
    </row>
    <row r="31" customFormat="false" ht="15" hidden="false" customHeight="false" outlineLevel="0" collapsed="false">
      <c r="A31" s="0" t="s">
        <v>144</v>
      </c>
      <c r="B31" s="0" t="s">
        <v>103</v>
      </c>
      <c r="C31" s="0" t="s">
        <v>72</v>
      </c>
      <c r="D31" s="0" t="s">
        <v>56</v>
      </c>
      <c r="E31" s="0" t="str">
        <f aca="false">B31&amp;"|"&amp;C31&amp;"|"&amp;D31</f>
        <v>Leribe [#SNU] [FjSmRywOWUp]|30-34|Female</v>
      </c>
      <c r="F31" s="73" t="n">
        <v>30</v>
      </c>
      <c r="G31" s="73" t="n">
        <v>37</v>
      </c>
      <c r="H31" s="73" t="n">
        <f aca="false">INDEX(Cascade!$AE:$AE,MATCH($E31,Cascade!$E:$E,0))</f>
        <v>63</v>
      </c>
      <c r="I31" s="118" t="n">
        <v>27</v>
      </c>
      <c r="J31" s="118" t="n">
        <f aca="false">0.5</f>
        <v>0.5</v>
      </c>
      <c r="K31" s="75" t="n">
        <f aca="false">IFERROR(ROUND($J31*$H31,0),"")</f>
        <v>32</v>
      </c>
    </row>
    <row r="32" customFormat="false" ht="15" hidden="false" customHeight="false" outlineLevel="0" collapsed="false">
      <c r="A32" s="0" t="s">
        <v>144</v>
      </c>
      <c r="B32" s="0" t="s">
        <v>103</v>
      </c>
      <c r="C32" s="0" t="s">
        <v>75</v>
      </c>
      <c r="D32" s="0" t="s">
        <v>56</v>
      </c>
      <c r="E32" s="0" t="str">
        <f aca="false">B32&amp;"|"&amp;C32&amp;"|"&amp;D32</f>
        <v>Leribe [#SNU] [FjSmRywOWUp]|35-39|Female</v>
      </c>
      <c r="F32" s="73" t="n">
        <v>30</v>
      </c>
      <c r="G32" s="73" t="n">
        <v>39</v>
      </c>
      <c r="H32" s="73" t="n">
        <f aca="false">INDEX(Cascade!$AE:$AE,MATCH($E32,Cascade!$E:$E,0))</f>
        <v>16</v>
      </c>
      <c r="I32" s="118" t="n">
        <v>20</v>
      </c>
      <c r="J32" s="118" t="n">
        <f aca="false">0.5</f>
        <v>0.5</v>
      </c>
      <c r="K32" s="75" t="n">
        <f aca="false">IFERROR(ROUND($J32*$H32,0),"")</f>
        <v>8</v>
      </c>
    </row>
    <row r="33" customFormat="false" ht="15" hidden="false" customHeight="false" outlineLevel="0" collapsed="false">
      <c r="A33" s="0" t="s">
        <v>144</v>
      </c>
      <c r="B33" s="0" t="s">
        <v>103</v>
      </c>
      <c r="C33" s="0" t="s">
        <v>77</v>
      </c>
      <c r="D33" s="0" t="s">
        <v>56</v>
      </c>
      <c r="E33" s="0" t="str">
        <f aca="false">B33&amp;"|"&amp;C33&amp;"|"&amp;D33</f>
        <v>Leribe [#SNU] [FjSmRywOWUp]|40-44|Female</v>
      </c>
      <c r="F33" s="73" t="n">
        <v>30</v>
      </c>
      <c r="G33" s="73" t="n">
        <v>36</v>
      </c>
      <c r="H33" s="73" t="n">
        <f aca="false">INDEX(Cascade!$AE:$AE,MATCH($E33,Cascade!$E:$E,0))</f>
        <v>8</v>
      </c>
      <c r="I33" s="118" t="n">
        <v>9</v>
      </c>
      <c r="J33" s="118" t="n">
        <f aca="false">0.5</f>
        <v>0.5</v>
      </c>
      <c r="K33" s="75" t="n">
        <f aca="false">IFERROR(ROUND($J33*$H33,0),"")</f>
        <v>4</v>
      </c>
    </row>
    <row r="34" customFormat="false" ht="15" hidden="false" customHeight="false" outlineLevel="0" collapsed="false">
      <c r="A34" s="0" t="s">
        <v>144</v>
      </c>
      <c r="B34" s="0" t="s">
        <v>103</v>
      </c>
      <c r="C34" s="0" t="s">
        <v>80</v>
      </c>
      <c r="D34" s="0" t="s">
        <v>56</v>
      </c>
      <c r="E34" s="0" t="str">
        <f aca="false">B34&amp;"|"&amp;C34&amp;"|"&amp;D34</f>
        <v>Leribe [#SNU] [FjSmRywOWUp]|45-49|Female</v>
      </c>
      <c r="F34" s="73" t="n">
        <v>20</v>
      </c>
      <c r="G34" s="73" t="n">
        <v>20</v>
      </c>
      <c r="H34" s="73" t="n">
        <f aca="false">INDEX(Cascade!$AE:$AE,MATCH($E34,Cascade!$E:$E,0))</f>
        <v>38</v>
      </c>
      <c r="I34" s="118" t="n">
        <v>15</v>
      </c>
      <c r="J34" s="118" t="n">
        <f aca="false">0.5</f>
        <v>0.5</v>
      </c>
      <c r="K34" s="75" t="n">
        <f aca="false">IFERROR(ROUND($J34*$H34,0),"")</f>
        <v>19</v>
      </c>
    </row>
    <row r="35" customFormat="false" ht="15" hidden="false" customHeight="false" outlineLevel="0" collapsed="false">
      <c r="A35" s="0" t="s">
        <v>145</v>
      </c>
      <c r="B35" s="0" t="s">
        <v>107</v>
      </c>
      <c r="C35" s="0" t="s">
        <v>69</v>
      </c>
      <c r="D35" s="0" t="s">
        <v>56</v>
      </c>
      <c r="E35" s="0" t="str">
        <f aca="false">B35&amp;"|"&amp;C35&amp;"|"&amp;D35</f>
        <v>Mafeteng [#SNU] [#DREAMS] [DiFv5WXIHM5]|25-29|Female</v>
      </c>
      <c r="F35" s="73" t="n">
        <v>43</v>
      </c>
      <c r="G35" s="73" t="n">
        <v>27</v>
      </c>
      <c r="H35" s="73" t="n">
        <f aca="false">INDEX(Cascade!$AE:$AE,MATCH($E35,Cascade!$E:$E,0))</f>
        <v>38</v>
      </c>
      <c r="I35" s="118" t="n">
        <v>25</v>
      </c>
      <c r="J35" s="118" t="n">
        <f aca="false">0.5</f>
        <v>0.5</v>
      </c>
      <c r="K35" s="75" t="n">
        <f aca="false">IFERROR(ROUND($J35*$H35,0),"")</f>
        <v>19</v>
      </c>
    </row>
    <row r="36" customFormat="false" ht="15" hidden="false" customHeight="false" outlineLevel="0" collapsed="false">
      <c r="A36" s="0" t="s">
        <v>145</v>
      </c>
      <c r="B36" s="0" t="s">
        <v>107</v>
      </c>
      <c r="C36" s="0" t="s">
        <v>72</v>
      </c>
      <c r="D36" s="0" t="s">
        <v>56</v>
      </c>
      <c r="E36" s="0" t="str">
        <f aca="false">B36&amp;"|"&amp;C36&amp;"|"&amp;D36</f>
        <v>Mafeteng [#SNU] [#DREAMS] [DiFv5WXIHM5]|30-34|Female</v>
      </c>
      <c r="F36" s="73" t="n">
        <v>21</v>
      </c>
      <c r="G36" s="73" t="n">
        <v>33</v>
      </c>
      <c r="H36" s="73" t="n">
        <f aca="false">INDEX(Cascade!$AE:$AE,MATCH($E36,Cascade!$E:$E,0))</f>
        <v>68</v>
      </c>
      <c r="I36" s="118" t="n">
        <v>35</v>
      </c>
      <c r="J36" s="118" t="n">
        <f aca="false">0.5</f>
        <v>0.5</v>
      </c>
      <c r="K36" s="75" t="n">
        <f aca="false">IFERROR(ROUND($J36*$H36,0),"")</f>
        <v>34</v>
      </c>
    </row>
    <row r="37" customFormat="false" ht="15" hidden="false" customHeight="false" outlineLevel="0" collapsed="false">
      <c r="A37" s="0" t="s">
        <v>145</v>
      </c>
      <c r="B37" s="0" t="s">
        <v>107</v>
      </c>
      <c r="C37" s="0" t="s">
        <v>75</v>
      </c>
      <c r="D37" s="0" t="s">
        <v>56</v>
      </c>
      <c r="E37" s="0" t="str">
        <f aca="false">B37&amp;"|"&amp;C37&amp;"|"&amp;D37</f>
        <v>Mafeteng [#SNU] [#DREAMS] [DiFv5WXIHM5]|35-39|Female</v>
      </c>
      <c r="F37" s="73" t="n">
        <v>2</v>
      </c>
      <c r="G37" s="73" t="n">
        <v>1</v>
      </c>
      <c r="H37" s="73" t="str">
        <f aca="false">INDEX(Cascade!$AE:$AE,MATCH($E37,Cascade!$E:$E,0))</f>
        <v/>
      </c>
      <c r="I37" s="118" t="n">
        <v>36</v>
      </c>
      <c r="J37" s="118" t="n">
        <f aca="false">0.5</f>
        <v>0.5</v>
      </c>
      <c r="K37" s="75" t="str">
        <f aca="false">IFERROR(ROUND($J37*$H37,0),"")</f>
        <v/>
      </c>
    </row>
    <row r="38" customFormat="false" ht="15" hidden="false" customHeight="false" outlineLevel="0" collapsed="false">
      <c r="A38" s="0" t="s">
        <v>145</v>
      </c>
      <c r="B38" s="0" t="s">
        <v>107</v>
      </c>
      <c r="C38" s="0" t="s">
        <v>77</v>
      </c>
      <c r="D38" s="0" t="s">
        <v>56</v>
      </c>
      <c r="E38" s="0" t="str">
        <f aca="false">B38&amp;"|"&amp;C38&amp;"|"&amp;D38</f>
        <v>Mafeteng [#SNU] [#DREAMS] [DiFv5WXIHM5]|40-44|Female</v>
      </c>
      <c r="F38" s="73" t="n">
        <v>8</v>
      </c>
      <c r="G38" s="73" t="n">
        <v>1</v>
      </c>
      <c r="H38" s="73" t="n">
        <f aca="false">INDEX(Cascade!$AE:$AE,MATCH($E38,Cascade!$E:$E,0))</f>
        <v>37</v>
      </c>
      <c r="I38" s="118" t="n">
        <v>21</v>
      </c>
      <c r="J38" s="118" t="n">
        <f aca="false">0.5</f>
        <v>0.5</v>
      </c>
      <c r="K38" s="75" t="n">
        <f aca="false">IFERROR(ROUND($J38*$H38,0),"")</f>
        <v>19</v>
      </c>
    </row>
    <row r="39" customFormat="false" ht="15" hidden="false" customHeight="false" outlineLevel="0" collapsed="false">
      <c r="A39" s="0" t="s">
        <v>145</v>
      </c>
      <c r="B39" s="0" t="s">
        <v>107</v>
      </c>
      <c r="C39" s="0" t="s">
        <v>80</v>
      </c>
      <c r="D39" s="0" t="s">
        <v>56</v>
      </c>
      <c r="E39" s="0" t="str">
        <f aca="false">B39&amp;"|"&amp;C39&amp;"|"&amp;D39</f>
        <v>Mafeteng [#SNU] [#DREAMS] [DiFv5WXIHM5]|45-49|Female</v>
      </c>
      <c r="F39" s="73" t="n">
        <v>15</v>
      </c>
      <c r="G39" s="73" t="n">
        <v>36</v>
      </c>
      <c r="H39" s="73" t="n">
        <f aca="false">INDEX(Cascade!$AE:$AE,MATCH($E39,Cascade!$E:$E,0))</f>
        <v>29</v>
      </c>
      <c r="I39" s="118" t="n">
        <v>26</v>
      </c>
      <c r="J39" s="118" t="n">
        <f aca="false">0.5</f>
        <v>0.5</v>
      </c>
      <c r="K39" s="75" t="n">
        <f aca="false">IFERROR(ROUND($J39*$H39,0),"")</f>
        <v>15</v>
      </c>
    </row>
    <row r="40" customFormat="false" ht="15" hidden="false" customHeight="false" outlineLevel="0" collapsed="false">
      <c r="A40" s="0" t="s">
        <v>146</v>
      </c>
      <c r="B40" s="0" t="s">
        <v>45</v>
      </c>
      <c r="C40" s="0" t="s">
        <v>69</v>
      </c>
      <c r="D40" s="0" t="s">
        <v>56</v>
      </c>
      <c r="E40" s="0" t="str">
        <f aca="false">B40&amp;"|"&amp;C40&amp;"|"&amp;D40</f>
        <v>Maseru [#SNU] [#DREAMS] [tKOXiaNhAyJ]|25-29|Female</v>
      </c>
      <c r="F40" s="73" t="n">
        <v>33</v>
      </c>
      <c r="G40" s="73" t="n">
        <v>28</v>
      </c>
      <c r="H40" s="73" t="n">
        <f aca="false">INDEX(Cascade!$AE:$AE,MATCH($E40,Cascade!$E:$E,0))</f>
        <v>7</v>
      </c>
      <c r="I40" s="118" t="n">
        <v>36</v>
      </c>
      <c r="J40" s="118" t="n">
        <f aca="false">0.5</f>
        <v>0.5</v>
      </c>
      <c r="K40" s="75" t="n">
        <f aca="false">IFERROR(ROUND($J40*$H40,0),"")</f>
        <v>4</v>
      </c>
    </row>
    <row r="41" customFormat="false" ht="15" hidden="false" customHeight="false" outlineLevel="0" collapsed="false">
      <c r="A41" s="0" t="s">
        <v>146</v>
      </c>
      <c r="B41" s="0" t="s">
        <v>45</v>
      </c>
      <c r="C41" s="0" t="s">
        <v>72</v>
      </c>
      <c r="D41" s="0" t="s">
        <v>56</v>
      </c>
      <c r="E41" s="0" t="str">
        <f aca="false">B41&amp;"|"&amp;C41&amp;"|"&amp;D41</f>
        <v>Maseru [#SNU] [#DREAMS] [tKOXiaNhAyJ]|30-34|Female</v>
      </c>
      <c r="F41" s="73" t="n">
        <v>32</v>
      </c>
      <c r="G41" s="73" t="n">
        <v>23</v>
      </c>
      <c r="H41" s="73" t="n">
        <f aca="false">INDEX(Cascade!$AE:$AE,MATCH($E41,Cascade!$E:$E,0))</f>
        <v>38</v>
      </c>
      <c r="I41" s="118" t="n">
        <v>30</v>
      </c>
      <c r="J41" s="118" t="n">
        <f aca="false">0.5</f>
        <v>0.5</v>
      </c>
      <c r="K41" s="75" t="n">
        <f aca="false">IFERROR(ROUND($J41*$H41,0),"")</f>
        <v>19</v>
      </c>
    </row>
    <row r="42" customFormat="false" ht="15" hidden="false" customHeight="false" outlineLevel="0" collapsed="false">
      <c r="A42" s="0" t="s">
        <v>146</v>
      </c>
      <c r="B42" s="0" t="s">
        <v>45</v>
      </c>
      <c r="C42" s="0" t="s">
        <v>75</v>
      </c>
      <c r="D42" s="0" t="s">
        <v>56</v>
      </c>
      <c r="E42" s="0" t="str">
        <f aca="false">B42&amp;"|"&amp;C42&amp;"|"&amp;D42</f>
        <v>Maseru [#SNU] [#DREAMS] [tKOXiaNhAyJ]|35-39|Female</v>
      </c>
      <c r="F42" s="73" t="n">
        <v>41</v>
      </c>
      <c r="G42" s="73" t="n">
        <v>39</v>
      </c>
      <c r="H42" s="73" t="n">
        <f aca="false">INDEX(Cascade!$AE:$AE,MATCH($E42,Cascade!$E:$E,0))</f>
        <v>20</v>
      </c>
      <c r="I42" s="118" t="n">
        <v>0</v>
      </c>
      <c r="J42" s="118" t="n">
        <f aca="false">0.5</f>
        <v>0.5</v>
      </c>
      <c r="K42" s="75" t="n">
        <f aca="false">IFERROR(ROUND($J42*$H42,0),"")</f>
        <v>10</v>
      </c>
    </row>
    <row r="43" customFormat="false" ht="15" hidden="false" customHeight="false" outlineLevel="0" collapsed="false">
      <c r="A43" s="0" t="s">
        <v>146</v>
      </c>
      <c r="B43" s="0" t="s">
        <v>45</v>
      </c>
      <c r="C43" s="0" t="s">
        <v>77</v>
      </c>
      <c r="D43" s="0" t="s">
        <v>56</v>
      </c>
      <c r="E43" s="0" t="str">
        <f aca="false">B43&amp;"|"&amp;C43&amp;"|"&amp;D43</f>
        <v>Maseru [#SNU] [#DREAMS] [tKOXiaNhAyJ]|40-44|Female</v>
      </c>
      <c r="F43" s="73" t="n">
        <v>47</v>
      </c>
      <c r="G43" s="73" t="n">
        <v>40</v>
      </c>
      <c r="H43" s="73" t="n">
        <f aca="false">INDEX(Cascade!$AE:$AE,MATCH($E43,Cascade!$E:$E,0))</f>
        <v>13</v>
      </c>
      <c r="I43" s="118" t="n">
        <v>44</v>
      </c>
      <c r="J43" s="118" t="n">
        <f aca="false">0.5</f>
        <v>0.5</v>
      </c>
      <c r="K43" s="75" t="n">
        <f aca="false">IFERROR(ROUND($J43*$H43,0),"")</f>
        <v>7</v>
      </c>
    </row>
    <row r="44" customFormat="false" ht="15" hidden="false" customHeight="false" outlineLevel="0" collapsed="false">
      <c r="A44" s="0" t="s">
        <v>146</v>
      </c>
      <c r="B44" s="0" t="s">
        <v>45</v>
      </c>
      <c r="C44" s="0" t="s">
        <v>80</v>
      </c>
      <c r="D44" s="0" t="s">
        <v>56</v>
      </c>
      <c r="E44" s="0" t="str">
        <f aca="false">B44&amp;"|"&amp;C44&amp;"|"&amp;D44</f>
        <v>Maseru [#SNU] [#DREAMS] [tKOXiaNhAyJ]|45-49|Female</v>
      </c>
      <c r="F44" s="73" t="n">
        <v>46</v>
      </c>
      <c r="G44" s="73" t="n">
        <v>4</v>
      </c>
      <c r="H44" s="73" t="n">
        <f aca="false">INDEX(Cascade!$AE:$AE,MATCH($E44,Cascade!$E:$E,0))</f>
        <v>17</v>
      </c>
      <c r="I44" s="118" t="n">
        <v>26</v>
      </c>
      <c r="J44" s="118" t="n">
        <f aca="false">0.5</f>
        <v>0.5</v>
      </c>
      <c r="K44" s="75" t="n">
        <f aca="false">IFERROR(ROUND($J44*$H44,0),"")</f>
        <v>9</v>
      </c>
    </row>
    <row r="45" customFormat="false" ht="15" hidden="false" customHeight="false" outlineLevel="0" collapsed="false">
      <c r="A45" s="0" t="s">
        <v>147</v>
      </c>
      <c r="B45" s="0" t="s">
        <v>105</v>
      </c>
      <c r="C45" s="0" t="s">
        <v>69</v>
      </c>
      <c r="D45" s="0" t="s">
        <v>56</v>
      </c>
      <c r="E45" s="0" t="str">
        <f aca="false">B45&amp;"|"&amp;C45&amp;"|"&amp;D45</f>
        <v>Mohale's Hoek [#SNU] [#DREAMS] [YGI7vISD2kJ]|25-29|Female</v>
      </c>
      <c r="F45" s="73" t="n">
        <v>25</v>
      </c>
      <c r="G45" s="73" t="n">
        <v>4</v>
      </c>
      <c r="H45" s="73" t="n">
        <f aca="false">INDEX(Cascade!$AE:$AE,MATCH($E45,Cascade!$E:$E,0))</f>
        <v>2</v>
      </c>
      <c r="I45" s="118" t="n">
        <v>12</v>
      </c>
      <c r="J45" s="118" t="n">
        <f aca="false">0.5</f>
        <v>0.5</v>
      </c>
      <c r="K45" s="75" t="n">
        <f aca="false">IFERROR(ROUND($J45*$H45,0),"")</f>
        <v>1</v>
      </c>
    </row>
    <row r="46" customFormat="false" ht="15" hidden="false" customHeight="false" outlineLevel="0" collapsed="false">
      <c r="A46" s="0" t="s">
        <v>147</v>
      </c>
      <c r="B46" s="0" t="s">
        <v>105</v>
      </c>
      <c r="C46" s="0" t="s">
        <v>72</v>
      </c>
      <c r="D46" s="0" t="s">
        <v>56</v>
      </c>
      <c r="E46" s="0" t="str">
        <f aca="false">B46&amp;"|"&amp;C46&amp;"|"&amp;D46</f>
        <v>Mohale's Hoek [#SNU] [#DREAMS] [YGI7vISD2kJ]|30-34|Female</v>
      </c>
      <c r="F46" s="73" t="n">
        <v>21</v>
      </c>
      <c r="G46" s="73" t="n">
        <v>1</v>
      </c>
      <c r="H46" s="73" t="n">
        <f aca="false">INDEX(Cascade!$AE:$AE,MATCH($E46,Cascade!$E:$E,0))</f>
        <v>20</v>
      </c>
      <c r="I46" s="118" t="n">
        <v>18</v>
      </c>
      <c r="J46" s="118" t="n">
        <f aca="false">0.5</f>
        <v>0.5</v>
      </c>
      <c r="K46" s="75" t="n">
        <f aca="false">IFERROR(ROUND($J46*$H46,0),"")</f>
        <v>10</v>
      </c>
    </row>
    <row r="47" customFormat="false" ht="15" hidden="false" customHeight="false" outlineLevel="0" collapsed="false">
      <c r="A47" s="0" t="s">
        <v>147</v>
      </c>
      <c r="B47" s="0" t="s">
        <v>105</v>
      </c>
      <c r="C47" s="0" t="s">
        <v>75</v>
      </c>
      <c r="D47" s="0" t="s">
        <v>56</v>
      </c>
      <c r="E47" s="0" t="str">
        <f aca="false">B47&amp;"|"&amp;C47&amp;"|"&amp;D47</f>
        <v>Mohale's Hoek [#SNU] [#DREAMS] [YGI7vISD2kJ]|35-39|Female</v>
      </c>
      <c r="F47" s="73" t="n">
        <v>30</v>
      </c>
      <c r="G47" s="73" t="n">
        <v>6</v>
      </c>
      <c r="H47" s="73" t="n">
        <f aca="false">INDEX(Cascade!$AE:$AE,MATCH($E47,Cascade!$E:$E,0))</f>
        <v>19</v>
      </c>
      <c r="I47" s="118" t="n">
        <v>40</v>
      </c>
      <c r="J47" s="118" t="n">
        <f aca="false">0.5</f>
        <v>0.5</v>
      </c>
      <c r="K47" s="75" t="n">
        <f aca="false">IFERROR(ROUND($J47*$H47,0),"")</f>
        <v>10</v>
      </c>
    </row>
    <row r="48" customFormat="false" ht="15" hidden="false" customHeight="false" outlineLevel="0" collapsed="false">
      <c r="A48" s="0" t="s">
        <v>147</v>
      </c>
      <c r="B48" s="0" t="s">
        <v>105</v>
      </c>
      <c r="C48" s="0" t="s">
        <v>77</v>
      </c>
      <c r="D48" s="0" t="s">
        <v>56</v>
      </c>
      <c r="E48" s="0" t="str">
        <f aca="false">B48&amp;"|"&amp;C48&amp;"|"&amp;D48</f>
        <v>Mohale's Hoek [#SNU] [#DREAMS] [YGI7vISD2kJ]|40-44|Female</v>
      </c>
      <c r="F48" s="73" t="n">
        <v>8</v>
      </c>
      <c r="G48" s="73" t="n">
        <v>17</v>
      </c>
      <c r="H48" s="73" t="n">
        <f aca="false">INDEX(Cascade!$AE:$AE,MATCH($E48,Cascade!$E:$E,0))</f>
        <v>44</v>
      </c>
      <c r="I48" s="118" t="n">
        <v>10</v>
      </c>
      <c r="J48" s="118" t="n">
        <f aca="false">0.5</f>
        <v>0.5</v>
      </c>
      <c r="K48" s="75" t="n">
        <f aca="false">IFERROR(ROUND($J48*$H48,0),"")</f>
        <v>22</v>
      </c>
    </row>
    <row r="49" customFormat="false" ht="15" hidden="false" customHeight="false" outlineLevel="0" collapsed="false">
      <c r="A49" s="0" t="s">
        <v>147</v>
      </c>
      <c r="B49" s="0" t="s">
        <v>105</v>
      </c>
      <c r="C49" s="0" t="s">
        <v>80</v>
      </c>
      <c r="D49" s="0" t="s">
        <v>56</v>
      </c>
      <c r="E49" s="0" t="str">
        <f aca="false">B49&amp;"|"&amp;C49&amp;"|"&amp;D49</f>
        <v>Mohale's Hoek [#SNU] [#DREAMS] [YGI7vISD2kJ]|45-49|Female</v>
      </c>
      <c r="F49" s="73" t="n">
        <v>31</v>
      </c>
      <c r="G49" s="73" t="n">
        <v>25</v>
      </c>
      <c r="H49" s="73" t="n">
        <f aca="false">INDEX(Cascade!$AE:$AE,MATCH($E49,Cascade!$E:$E,0))</f>
        <v>21</v>
      </c>
      <c r="I49" s="118" t="n">
        <v>19</v>
      </c>
      <c r="J49" s="118" t="n">
        <f aca="false">0.5</f>
        <v>0.5</v>
      </c>
      <c r="K49" s="75" t="n">
        <f aca="false">IFERROR(ROUND($J49*$H49,0),"")</f>
        <v>11</v>
      </c>
    </row>
    <row r="50" customFormat="false" ht="15" hidden="false" customHeight="false" outlineLevel="0" collapsed="false">
      <c r="A50" s="0" t="s">
        <v>148</v>
      </c>
      <c r="B50" s="0" t="s">
        <v>113</v>
      </c>
      <c r="C50" s="0" t="s">
        <v>69</v>
      </c>
      <c r="D50" s="0" t="s">
        <v>56</v>
      </c>
      <c r="E50" s="0" t="str">
        <f aca="false">B50&amp;"|"&amp;C50&amp;"|"&amp;D50</f>
        <v>Mokhotlong [#SNU] [tjhYqc1MlVo]|25-29|Female</v>
      </c>
      <c r="F50" s="73" t="n">
        <v>10</v>
      </c>
      <c r="G50" s="73" t="n">
        <v>11</v>
      </c>
      <c r="H50" s="73" t="n">
        <f aca="false">INDEX(Cascade!$AE:$AE,MATCH($E50,Cascade!$E:$E,0))</f>
        <v>54</v>
      </c>
      <c r="I50" s="118" t="n">
        <v>46</v>
      </c>
      <c r="J50" s="118" t="n">
        <f aca="false">0.5</f>
        <v>0.5</v>
      </c>
      <c r="K50" s="75" t="n">
        <f aca="false">IFERROR(ROUND($J50*$H50,0),"")</f>
        <v>27</v>
      </c>
    </row>
    <row r="51" customFormat="false" ht="15" hidden="false" customHeight="false" outlineLevel="0" collapsed="false">
      <c r="A51" s="0" t="s">
        <v>148</v>
      </c>
      <c r="B51" s="0" t="s">
        <v>113</v>
      </c>
      <c r="C51" s="0" t="s">
        <v>72</v>
      </c>
      <c r="D51" s="0" t="s">
        <v>56</v>
      </c>
      <c r="E51" s="0" t="str">
        <f aca="false">B51&amp;"|"&amp;C51&amp;"|"&amp;D51</f>
        <v>Mokhotlong [#SNU] [tjhYqc1MlVo]|30-34|Female</v>
      </c>
      <c r="F51" s="73" t="n">
        <v>39</v>
      </c>
      <c r="G51" s="73" t="n">
        <v>16</v>
      </c>
      <c r="H51" s="73" t="n">
        <f aca="false">INDEX(Cascade!$AE:$AE,MATCH($E51,Cascade!$E:$E,0))</f>
        <v>60</v>
      </c>
      <c r="I51" s="118" t="n">
        <v>33</v>
      </c>
      <c r="J51" s="118" t="n">
        <f aca="false">0.5</f>
        <v>0.5</v>
      </c>
      <c r="K51" s="75" t="n">
        <f aca="false">IFERROR(ROUND($J51*$H51,0),"")</f>
        <v>30</v>
      </c>
    </row>
    <row r="52" customFormat="false" ht="15" hidden="false" customHeight="false" outlineLevel="0" collapsed="false">
      <c r="A52" s="0" t="s">
        <v>148</v>
      </c>
      <c r="B52" s="0" t="s">
        <v>113</v>
      </c>
      <c r="C52" s="0" t="s">
        <v>75</v>
      </c>
      <c r="D52" s="0" t="s">
        <v>56</v>
      </c>
      <c r="E52" s="0" t="str">
        <f aca="false">B52&amp;"|"&amp;C52&amp;"|"&amp;D52</f>
        <v>Mokhotlong [#SNU] [tjhYqc1MlVo]|35-39|Female</v>
      </c>
      <c r="F52" s="73" t="n">
        <v>38</v>
      </c>
      <c r="G52" s="73" t="n">
        <v>8</v>
      </c>
      <c r="H52" s="73" t="n">
        <f aca="false">INDEX(Cascade!$AE:$AE,MATCH($E52,Cascade!$E:$E,0))</f>
        <v>14</v>
      </c>
      <c r="I52" s="118" t="n">
        <v>50</v>
      </c>
      <c r="J52" s="118" t="n">
        <f aca="false">0.5</f>
        <v>0.5</v>
      </c>
      <c r="K52" s="75" t="n">
        <f aca="false">IFERROR(ROUND($J52*$H52,0),"")</f>
        <v>7</v>
      </c>
    </row>
    <row r="53" customFormat="false" ht="15" hidden="false" customHeight="false" outlineLevel="0" collapsed="false">
      <c r="A53" s="0" t="s">
        <v>148</v>
      </c>
      <c r="B53" s="0" t="s">
        <v>113</v>
      </c>
      <c r="C53" s="0" t="s">
        <v>77</v>
      </c>
      <c r="D53" s="0" t="s">
        <v>56</v>
      </c>
      <c r="E53" s="0" t="str">
        <f aca="false">B53&amp;"|"&amp;C53&amp;"|"&amp;D53</f>
        <v>Mokhotlong [#SNU] [tjhYqc1MlVo]|40-44|Female</v>
      </c>
      <c r="F53" s="73" t="n">
        <v>38</v>
      </c>
      <c r="G53" s="73" t="n">
        <v>44</v>
      </c>
      <c r="H53" s="73" t="n">
        <f aca="false">INDEX(Cascade!$AE:$AE,MATCH($E53,Cascade!$E:$E,0))</f>
        <v>11</v>
      </c>
      <c r="I53" s="118" t="n">
        <v>10</v>
      </c>
      <c r="J53" s="118" t="n">
        <f aca="false">0.5</f>
        <v>0.5</v>
      </c>
      <c r="K53" s="75" t="n">
        <f aca="false">IFERROR(ROUND($J53*$H53,0),"")</f>
        <v>6</v>
      </c>
    </row>
    <row r="54" customFormat="false" ht="15" hidden="false" customHeight="false" outlineLevel="0" collapsed="false">
      <c r="A54" s="0" t="s">
        <v>148</v>
      </c>
      <c r="B54" s="0" t="s">
        <v>113</v>
      </c>
      <c r="C54" s="0" t="s">
        <v>80</v>
      </c>
      <c r="D54" s="0" t="s">
        <v>56</v>
      </c>
      <c r="E54" s="0" t="str">
        <f aca="false">B54&amp;"|"&amp;C54&amp;"|"&amp;D54</f>
        <v>Mokhotlong [#SNU] [tjhYqc1MlVo]|45-49|Female</v>
      </c>
      <c r="F54" s="73" t="n">
        <v>9</v>
      </c>
      <c r="G54" s="73" t="n">
        <v>24</v>
      </c>
      <c r="H54" s="73" t="n">
        <f aca="false">INDEX(Cascade!$AE:$AE,MATCH($E54,Cascade!$E:$E,0))</f>
        <v>8</v>
      </c>
      <c r="I54" s="118" t="n">
        <v>36</v>
      </c>
      <c r="J54" s="118" t="n">
        <f aca="false">0.5</f>
        <v>0.5</v>
      </c>
      <c r="K54" s="75" t="n">
        <f aca="false">IFERROR(ROUND($J54*$H54,0),"")</f>
        <v>4</v>
      </c>
    </row>
    <row r="55" customFormat="false" ht="15" hidden="false" customHeight="false" outlineLevel="0" collapsed="false">
      <c r="A55" s="0" t="s">
        <v>149</v>
      </c>
      <c r="B55" s="0" t="s">
        <v>111</v>
      </c>
      <c r="C55" s="0" t="s">
        <v>69</v>
      </c>
      <c r="D55" s="0" t="s">
        <v>56</v>
      </c>
      <c r="E55" s="0" t="str">
        <f aca="false">B55&amp;"|"&amp;C55&amp;"|"&amp;D55</f>
        <v>Qacha's Nek [#SNU] [zTaMbxvQtJ6]|25-29|Female</v>
      </c>
      <c r="F55" s="73" t="n">
        <v>25</v>
      </c>
      <c r="G55" s="73" t="n">
        <v>2</v>
      </c>
      <c r="H55" s="73" t="n">
        <f aca="false">INDEX(Cascade!$AE:$AE,MATCH($E55,Cascade!$E:$E,0))</f>
        <v>74</v>
      </c>
      <c r="I55" s="118" t="n">
        <v>36</v>
      </c>
      <c r="J55" s="118" t="n">
        <f aca="false">0.5</f>
        <v>0.5</v>
      </c>
      <c r="K55" s="75" t="n">
        <f aca="false">IFERROR(ROUND($J55*$H55,0),"")</f>
        <v>37</v>
      </c>
    </row>
    <row r="56" customFormat="false" ht="15" hidden="false" customHeight="false" outlineLevel="0" collapsed="false">
      <c r="A56" s="0" t="s">
        <v>149</v>
      </c>
      <c r="B56" s="0" t="s">
        <v>111</v>
      </c>
      <c r="C56" s="0" t="s">
        <v>72</v>
      </c>
      <c r="D56" s="0" t="s">
        <v>56</v>
      </c>
      <c r="E56" s="0" t="str">
        <f aca="false">B56&amp;"|"&amp;C56&amp;"|"&amp;D56</f>
        <v>Qacha's Nek [#SNU] [zTaMbxvQtJ6]|30-34|Female</v>
      </c>
      <c r="F56" s="73" t="n">
        <v>21</v>
      </c>
      <c r="G56" s="73" t="n">
        <v>26</v>
      </c>
      <c r="H56" s="73" t="n">
        <f aca="false">INDEX(Cascade!$AE:$AE,MATCH($E56,Cascade!$E:$E,0))</f>
        <v>37</v>
      </c>
      <c r="I56" s="118" t="n">
        <v>47</v>
      </c>
      <c r="J56" s="118" t="n">
        <f aca="false">0.5</f>
        <v>0.5</v>
      </c>
      <c r="K56" s="75" t="n">
        <f aca="false">IFERROR(ROUND($J56*$H56,0),"")</f>
        <v>19</v>
      </c>
    </row>
    <row r="57" customFormat="false" ht="15" hidden="false" customHeight="false" outlineLevel="0" collapsed="false">
      <c r="A57" s="0" t="s">
        <v>149</v>
      </c>
      <c r="B57" s="0" t="s">
        <v>111</v>
      </c>
      <c r="C57" s="0" t="s">
        <v>75</v>
      </c>
      <c r="D57" s="0" t="s">
        <v>56</v>
      </c>
      <c r="E57" s="0" t="str">
        <f aca="false">B57&amp;"|"&amp;C57&amp;"|"&amp;D57</f>
        <v>Qacha's Nek [#SNU] [zTaMbxvQtJ6]|35-39|Female</v>
      </c>
      <c r="F57" s="73" t="n">
        <v>6</v>
      </c>
      <c r="G57" s="73" t="n">
        <v>3</v>
      </c>
      <c r="H57" s="73" t="n">
        <f aca="false">INDEX(Cascade!$AE:$AE,MATCH($E57,Cascade!$E:$E,0))</f>
        <v>57</v>
      </c>
      <c r="I57" s="118" t="n">
        <v>6</v>
      </c>
      <c r="J57" s="118" t="n">
        <f aca="false">0.5</f>
        <v>0.5</v>
      </c>
      <c r="K57" s="75" t="n">
        <f aca="false">IFERROR(ROUND($J57*$H57,0),"")</f>
        <v>29</v>
      </c>
    </row>
    <row r="58" customFormat="false" ht="15" hidden="false" customHeight="false" outlineLevel="0" collapsed="false">
      <c r="A58" s="0" t="s">
        <v>149</v>
      </c>
      <c r="B58" s="0" t="s">
        <v>111</v>
      </c>
      <c r="C58" s="0" t="s">
        <v>77</v>
      </c>
      <c r="D58" s="0" t="s">
        <v>56</v>
      </c>
      <c r="E58" s="0" t="str">
        <f aca="false">B58&amp;"|"&amp;C58&amp;"|"&amp;D58</f>
        <v>Qacha's Nek [#SNU] [zTaMbxvQtJ6]|40-44|Female</v>
      </c>
      <c r="F58" s="73" t="n">
        <v>14</v>
      </c>
      <c r="G58" s="73" t="n">
        <v>9</v>
      </c>
      <c r="H58" s="73" t="n">
        <f aca="false">INDEX(Cascade!$AE:$AE,MATCH($E58,Cascade!$E:$E,0))</f>
        <v>47</v>
      </c>
      <c r="I58" s="118" t="n">
        <v>39</v>
      </c>
      <c r="J58" s="118" t="n">
        <f aca="false">0.5</f>
        <v>0.5</v>
      </c>
      <c r="K58" s="75" t="n">
        <f aca="false">IFERROR(ROUND($J58*$H58,0),"")</f>
        <v>24</v>
      </c>
    </row>
    <row r="59" customFormat="false" ht="15" hidden="false" customHeight="false" outlineLevel="0" collapsed="false">
      <c r="A59" s="0" t="s">
        <v>149</v>
      </c>
      <c r="B59" s="0" t="s">
        <v>111</v>
      </c>
      <c r="C59" s="0" t="s">
        <v>80</v>
      </c>
      <c r="D59" s="0" t="s">
        <v>56</v>
      </c>
      <c r="E59" s="0" t="str">
        <f aca="false">B59&amp;"|"&amp;C59&amp;"|"&amp;D59</f>
        <v>Qacha's Nek [#SNU] [zTaMbxvQtJ6]|45-49|Female</v>
      </c>
      <c r="F59" s="73" t="n">
        <v>19</v>
      </c>
      <c r="G59" s="73" t="n">
        <v>11</v>
      </c>
      <c r="H59" s="73" t="n">
        <f aca="false">INDEX(Cascade!$AE:$AE,MATCH($E59,Cascade!$E:$E,0))</f>
        <v>39</v>
      </c>
      <c r="I59" s="118" t="n">
        <v>9</v>
      </c>
      <c r="J59" s="118" t="n">
        <f aca="false">0.5</f>
        <v>0.5</v>
      </c>
      <c r="K59" s="75" t="n">
        <f aca="false">IFERROR(ROUND($J59*$H59,0),"")</f>
        <v>20</v>
      </c>
    </row>
    <row r="60" customFormat="false" ht="15" hidden="false" customHeight="false" outlineLevel="0" collapsed="false">
      <c r="A60" s="0" t="s">
        <v>150</v>
      </c>
      <c r="B60" s="0" t="s">
        <v>117</v>
      </c>
      <c r="C60" s="0" t="s">
        <v>69</v>
      </c>
      <c r="D60" s="0" t="s">
        <v>56</v>
      </c>
      <c r="E60" s="0" t="str">
        <f aca="false">B60&amp;"|"&amp;C60&amp;"|"&amp;D60</f>
        <v>Quthing [#SNU] [HuwCoDZG0FY]|25-29|Female</v>
      </c>
      <c r="F60" s="73" t="n">
        <v>27</v>
      </c>
      <c r="G60" s="73" t="n">
        <v>30</v>
      </c>
      <c r="H60" s="73" t="n">
        <f aca="false">INDEX(Cascade!$AE:$AE,MATCH($E60,Cascade!$E:$E,0))</f>
        <v>6</v>
      </c>
      <c r="I60" s="118" t="n">
        <v>1</v>
      </c>
      <c r="J60" s="118" t="n">
        <f aca="false">0.5</f>
        <v>0.5</v>
      </c>
      <c r="K60" s="75" t="n">
        <f aca="false">IFERROR(ROUND($J60*$H60,0),"")</f>
        <v>3</v>
      </c>
    </row>
    <row r="61" customFormat="false" ht="15" hidden="false" customHeight="false" outlineLevel="0" collapsed="false">
      <c r="A61" s="0" t="s">
        <v>150</v>
      </c>
      <c r="B61" s="0" t="s">
        <v>117</v>
      </c>
      <c r="C61" s="0" t="s">
        <v>72</v>
      </c>
      <c r="D61" s="0" t="s">
        <v>56</v>
      </c>
      <c r="E61" s="0" t="str">
        <f aca="false">B61&amp;"|"&amp;C61&amp;"|"&amp;D61</f>
        <v>Quthing [#SNU] [HuwCoDZG0FY]|30-34|Female</v>
      </c>
      <c r="F61" s="73" t="n">
        <v>3</v>
      </c>
      <c r="G61" s="73" t="n">
        <v>11</v>
      </c>
      <c r="H61" s="73" t="n">
        <f aca="false">INDEX(Cascade!$AE:$AE,MATCH($E61,Cascade!$E:$E,0))</f>
        <v>15</v>
      </c>
      <c r="I61" s="118" t="n">
        <v>46</v>
      </c>
      <c r="J61" s="118" t="n">
        <f aca="false">0.5</f>
        <v>0.5</v>
      </c>
      <c r="K61" s="75" t="n">
        <f aca="false">IFERROR(ROUND($J61*$H61,0),"")</f>
        <v>8</v>
      </c>
    </row>
    <row r="62" customFormat="false" ht="15" hidden="false" customHeight="false" outlineLevel="0" collapsed="false">
      <c r="A62" s="0" t="s">
        <v>150</v>
      </c>
      <c r="B62" s="0" t="s">
        <v>117</v>
      </c>
      <c r="C62" s="0" t="s">
        <v>75</v>
      </c>
      <c r="D62" s="0" t="s">
        <v>56</v>
      </c>
      <c r="E62" s="0" t="str">
        <f aca="false">B62&amp;"|"&amp;C62&amp;"|"&amp;D62</f>
        <v>Quthing [#SNU] [HuwCoDZG0FY]|35-39|Female</v>
      </c>
      <c r="F62" s="73" t="n">
        <v>5</v>
      </c>
      <c r="G62" s="73" t="n">
        <v>34</v>
      </c>
      <c r="H62" s="73" t="n">
        <f aca="false">INDEX(Cascade!$AE:$AE,MATCH($E62,Cascade!$E:$E,0))</f>
        <v>54</v>
      </c>
      <c r="I62" s="118" t="n">
        <v>20</v>
      </c>
      <c r="J62" s="118" t="n">
        <f aca="false">0.5</f>
        <v>0.5</v>
      </c>
      <c r="K62" s="75" t="n">
        <f aca="false">IFERROR(ROUND($J62*$H62,0),"")</f>
        <v>27</v>
      </c>
    </row>
    <row r="63" customFormat="false" ht="15" hidden="false" customHeight="false" outlineLevel="0" collapsed="false">
      <c r="A63" s="0" t="s">
        <v>150</v>
      </c>
      <c r="B63" s="0" t="s">
        <v>117</v>
      </c>
      <c r="C63" s="0" t="s">
        <v>77</v>
      </c>
      <c r="D63" s="0" t="s">
        <v>56</v>
      </c>
      <c r="E63" s="0" t="str">
        <f aca="false">B63&amp;"|"&amp;C63&amp;"|"&amp;D63</f>
        <v>Quthing [#SNU] [HuwCoDZG0FY]|40-44|Female</v>
      </c>
      <c r="F63" s="73" t="n">
        <v>43</v>
      </c>
      <c r="G63" s="73" t="n">
        <v>34</v>
      </c>
      <c r="H63" s="73" t="n">
        <f aca="false">INDEX(Cascade!$AE:$AE,MATCH($E63,Cascade!$E:$E,0))</f>
        <v>25</v>
      </c>
      <c r="I63" s="118" t="n">
        <v>44</v>
      </c>
      <c r="J63" s="118" t="n">
        <f aca="false">0.5</f>
        <v>0.5</v>
      </c>
      <c r="K63" s="75" t="n">
        <f aca="false">IFERROR(ROUND($J63*$H63,0),"")</f>
        <v>13</v>
      </c>
    </row>
    <row r="64" customFormat="false" ht="15" hidden="false" customHeight="false" outlineLevel="0" collapsed="false">
      <c r="A64" s="0" t="s">
        <v>150</v>
      </c>
      <c r="B64" s="0" t="s">
        <v>117</v>
      </c>
      <c r="C64" s="0" t="s">
        <v>80</v>
      </c>
      <c r="D64" s="0" t="s">
        <v>56</v>
      </c>
      <c r="E64" s="0" t="str">
        <f aca="false">B64&amp;"|"&amp;C64&amp;"|"&amp;D64</f>
        <v>Quthing [#SNU] [HuwCoDZG0FY]|45-49|Female</v>
      </c>
      <c r="F64" s="73" t="n">
        <v>41</v>
      </c>
      <c r="G64" s="73" t="n">
        <v>25</v>
      </c>
      <c r="H64" s="73" t="n">
        <f aca="false">INDEX(Cascade!$AE:$AE,MATCH($E64,Cascade!$E:$E,0))</f>
        <v>38</v>
      </c>
      <c r="I64" s="118" t="n">
        <v>47</v>
      </c>
      <c r="J64" s="118" t="n">
        <f aca="false">0.5</f>
        <v>0.5</v>
      </c>
      <c r="K64" s="75" t="n">
        <f aca="false">IFERROR(ROUND($J64*$H64,0),"")</f>
        <v>19</v>
      </c>
    </row>
    <row r="65" customFormat="false" ht="15" hidden="false" customHeight="false" outlineLevel="0" collapsed="false">
      <c r="A65" s="0" t="s">
        <v>151</v>
      </c>
      <c r="B65" s="0" t="s">
        <v>101</v>
      </c>
      <c r="C65" s="0" t="s">
        <v>69</v>
      </c>
      <c r="D65" s="0" t="s">
        <v>56</v>
      </c>
      <c r="E65" s="0" t="str">
        <f aca="false">B65&amp;"|"&amp;C65&amp;"|"&amp;D65</f>
        <v>Thaba Tseka [#SNU] [jyhIrCoB31x]|25-29|Female</v>
      </c>
      <c r="F65" s="73" t="n">
        <v>29</v>
      </c>
      <c r="G65" s="73" t="n">
        <v>15</v>
      </c>
      <c r="H65" s="73" t="n">
        <f aca="false">INDEX(Cascade!$AE:$AE,MATCH($E65,Cascade!$E:$E,0))</f>
        <v>42</v>
      </c>
      <c r="I65" s="118" t="n">
        <v>48</v>
      </c>
      <c r="J65" s="118" t="n">
        <f aca="false">0.5</f>
        <v>0.5</v>
      </c>
      <c r="K65" s="75" t="n">
        <f aca="false">IFERROR(ROUND($J65*$H65,0),"")</f>
        <v>21</v>
      </c>
    </row>
    <row r="66" customFormat="false" ht="15" hidden="false" customHeight="false" outlineLevel="0" collapsed="false">
      <c r="A66" s="0" t="s">
        <v>151</v>
      </c>
      <c r="B66" s="0" t="s">
        <v>101</v>
      </c>
      <c r="C66" s="0" t="s">
        <v>72</v>
      </c>
      <c r="D66" s="0" t="s">
        <v>56</v>
      </c>
      <c r="E66" s="0" t="str">
        <f aca="false">B66&amp;"|"&amp;C66&amp;"|"&amp;D66</f>
        <v>Thaba Tseka [#SNU] [jyhIrCoB31x]|30-34|Female</v>
      </c>
      <c r="F66" s="73" t="n">
        <v>34</v>
      </c>
      <c r="G66" s="73" t="n">
        <v>13</v>
      </c>
      <c r="H66" s="73" t="n">
        <f aca="false">INDEX(Cascade!$AE:$AE,MATCH($E66,Cascade!$E:$E,0))</f>
        <v>12</v>
      </c>
      <c r="I66" s="118" t="n">
        <v>47</v>
      </c>
      <c r="J66" s="118" t="n">
        <f aca="false">0.5</f>
        <v>0.5</v>
      </c>
      <c r="K66" s="75" t="n">
        <f aca="false">IFERROR(ROUND($J66*$H66,0),"")</f>
        <v>6</v>
      </c>
    </row>
    <row r="67" customFormat="false" ht="15" hidden="false" customHeight="false" outlineLevel="0" collapsed="false">
      <c r="A67" s="0" t="s">
        <v>151</v>
      </c>
      <c r="B67" s="0" t="s">
        <v>101</v>
      </c>
      <c r="C67" s="0" t="s">
        <v>75</v>
      </c>
      <c r="D67" s="0" t="s">
        <v>56</v>
      </c>
      <c r="E67" s="0" t="str">
        <f aca="false">B67&amp;"|"&amp;C67&amp;"|"&amp;D67</f>
        <v>Thaba Tseka [#SNU] [jyhIrCoB31x]|35-39|Female</v>
      </c>
      <c r="F67" s="73" t="n">
        <v>15</v>
      </c>
      <c r="G67" s="73" t="n">
        <v>21</v>
      </c>
      <c r="H67" s="73" t="n">
        <f aca="false">INDEX(Cascade!$AE:$AE,MATCH($E67,Cascade!$E:$E,0))</f>
        <v>20</v>
      </c>
      <c r="I67" s="118" t="n">
        <v>32</v>
      </c>
      <c r="J67" s="118" t="n">
        <f aca="false">0.5</f>
        <v>0.5</v>
      </c>
      <c r="K67" s="75" t="n">
        <f aca="false">IFERROR(ROUND($J67*$H67,0),"")</f>
        <v>10</v>
      </c>
    </row>
    <row r="68" customFormat="false" ht="15" hidden="false" customHeight="false" outlineLevel="0" collapsed="false">
      <c r="A68" s="0" t="s">
        <v>151</v>
      </c>
      <c r="B68" s="0" t="s">
        <v>101</v>
      </c>
      <c r="C68" s="0" t="s">
        <v>77</v>
      </c>
      <c r="D68" s="0" t="s">
        <v>56</v>
      </c>
      <c r="E68" s="0" t="str">
        <f aca="false">B68&amp;"|"&amp;C68&amp;"|"&amp;D68</f>
        <v>Thaba Tseka [#SNU] [jyhIrCoB31x]|40-44|Female</v>
      </c>
      <c r="F68" s="73" t="n">
        <v>34</v>
      </c>
      <c r="G68" s="73" t="n">
        <v>42</v>
      </c>
      <c r="H68" s="73" t="n">
        <f aca="false">INDEX(Cascade!$AE:$AE,MATCH($E68,Cascade!$E:$E,0))</f>
        <v>5</v>
      </c>
      <c r="I68" s="118" t="n">
        <v>19</v>
      </c>
      <c r="J68" s="118" t="n">
        <f aca="false">0.5</f>
        <v>0.5</v>
      </c>
      <c r="K68" s="75" t="n">
        <f aca="false">IFERROR(ROUND($J68*$H68,0),"")</f>
        <v>3</v>
      </c>
    </row>
    <row r="69" customFormat="false" ht="15" hidden="false" customHeight="false" outlineLevel="0" collapsed="false">
      <c r="A69" s="0" t="s">
        <v>151</v>
      </c>
      <c r="B69" s="0" t="s">
        <v>101</v>
      </c>
      <c r="C69" s="0" t="s">
        <v>80</v>
      </c>
      <c r="D69" s="0" t="s">
        <v>56</v>
      </c>
      <c r="E69" s="0" t="str">
        <f aca="false">B69&amp;"|"&amp;C69&amp;"|"&amp;D69</f>
        <v>Thaba Tseka [#SNU] [jyhIrCoB31x]|45-49|Female</v>
      </c>
      <c r="F69" s="73" t="n">
        <v>34</v>
      </c>
      <c r="G69" s="73" t="n">
        <v>42</v>
      </c>
      <c r="H69" s="73" t="n">
        <f aca="false">INDEX(Cascade!$AE:$AE,MATCH($E69,Cascade!$E:$E,0))</f>
        <v>4</v>
      </c>
      <c r="I69" s="118" t="n">
        <v>33</v>
      </c>
      <c r="J69" s="118" t="n">
        <f aca="false">0.5</f>
        <v>0.5</v>
      </c>
      <c r="K69" s="75" t="n">
        <f aca="false">IFERROR(ROUND($J69*$H69,0),"")</f>
        <v>2</v>
      </c>
    </row>
  </sheetData>
  <mergeCells count="1">
    <mergeCell ref="A2:B3"/>
  </mergeCells>
  <conditionalFormatting sqref="J1:J1048576">
    <cfRule type="expression" priority="2" aboveAverage="0" equalAverage="0" bottom="0" percent="0" rank="0" text="" dxfId="0">
      <formula>AND(ISNUMBER($J1),ROW($J1)&gt;14,ROUND($J1,2)&gt;1)</formula>
    </cfRule>
    <cfRule type="expression" priority="3" aboveAverage="0" equalAverage="0" bottom="0" percent="0" rank="0" text="" dxfId="1">
      <formula>AND(ISNUMBER($J1),ROW($J1)&gt;14,ROUND($J1,2)&lt;0.5)</formula>
    </cfRule>
  </conditionalFormatting>
  <hyperlinks>
    <hyperlink ref="H3" location="Cascade!AE:AE" display="TX_CURR (FY2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H19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11.83"/>
    <col collapsed="false" customWidth="true" hidden="false" outlineLevel="0" max="34" min="6" style="0" width="11.83"/>
    <col collapsed="false" customWidth="true" hidden="false" outlineLevel="0" max="1025" min="35" style="0" width="10.61"/>
  </cols>
  <sheetData>
    <row r="1" customFormat="false" ht="31" hidden="false" customHeight="true" outlineLevel="0" collapsed="false">
      <c r="A1" s="172" t="s">
        <v>703</v>
      </c>
      <c r="B1" s="54"/>
      <c r="C1" s="54"/>
      <c r="D1" s="54"/>
      <c r="E1" s="54"/>
      <c r="F1" s="82" t="s">
        <v>704</v>
      </c>
      <c r="G1" s="76"/>
      <c r="H1" s="82" t="s">
        <v>705</v>
      </c>
      <c r="I1" s="76"/>
      <c r="J1" s="82" t="s">
        <v>706</v>
      </c>
      <c r="K1" s="76"/>
      <c r="L1" s="82" t="s">
        <v>707</v>
      </c>
      <c r="M1" s="76"/>
      <c r="N1" s="82" t="s">
        <v>708</v>
      </c>
      <c r="O1" s="76"/>
      <c r="P1" s="82" t="s">
        <v>709</v>
      </c>
      <c r="Q1" s="76"/>
      <c r="R1" s="82" t="s">
        <v>549</v>
      </c>
      <c r="S1" s="76"/>
      <c r="T1" s="82" t="s">
        <v>552</v>
      </c>
      <c r="U1" s="76"/>
      <c r="V1" s="82" t="s">
        <v>553</v>
      </c>
      <c r="W1" s="76"/>
      <c r="X1" s="82" t="s">
        <v>554</v>
      </c>
      <c r="Y1" s="76"/>
      <c r="Z1" s="82" t="s">
        <v>555</v>
      </c>
      <c r="AA1" s="76"/>
      <c r="AB1" s="82" t="s">
        <v>556</v>
      </c>
      <c r="AC1" s="76"/>
      <c r="AD1" s="82" t="s">
        <v>557</v>
      </c>
      <c r="AE1" s="76"/>
      <c r="AF1" s="80" t="s">
        <v>710</v>
      </c>
      <c r="AG1" s="76"/>
      <c r="AH1" s="81"/>
    </row>
    <row r="2" customFormat="false" ht="19" hidden="false" customHeight="true" outlineLevel="0" collapsed="false">
      <c r="B2" s="57"/>
      <c r="C2" s="57"/>
      <c r="D2" s="57"/>
      <c r="E2" s="57"/>
      <c r="F2" s="91" t="s">
        <v>156</v>
      </c>
      <c r="G2" s="84" t="s">
        <v>121</v>
      </c>
      <c r="H2" s="91" t="s">
        <v>156</v>
      </c>
      <c r="I2" s="84" t="s">
        <v>121</v>
      </c>
      <c r="J2" s="91" t="s">
        <v>156</v>
      </c>
      <c r="K2" s="84" t="s">
        <v>121</v>
      </c>
      <c r="L2" s="91" t="s">
        <v>156</v>
      </c>
      <c r="M2" s="84" t="s">
        <v>121</v>
      </c>
      <c r="N2" s="91" t="s">
        <v>156</v>
      </c>
      <c r="O2" s="84" t="s">
        <v>121</v>
      </c>
      <c r="P2" s="91" t="s">
        <v>156</v>
      </c>
      <c r="Q2" s="84" t="s">
        <v>121</v>
      </c>
      <c r="R2" s="91" t="s">
        <v>156</v>
      </c>
      <c r="S2" s="84" t="s">
        <v>121</v>
      </c>
      <c r="T2" s="91" t="s">
        <v>156</v>
      </c>
      <c r="U2" s="84" t="s">
        <v>121</v>
      </c>
      <c r="V2" s="91" t="s">
        <v>156</v>
      </c>
      <c r="W2" s="84" t="s">
        <v>121</v>
      </c>
      <c r="X2" s="91" t="s">
        <v>156</v>
      </c>
      <c r="Y2" s="84" t="s">
        <v>121</v>
      </c>
      <c r="Z2" s="91" t="s">
        <v>156</v>
      </c>
      <c r="AA2" s="84" t="s">
        <v>121</v>
      </c>
      <c r="AB2" s="91" t="s">
        <v>156</v>
      </c>
      <c r="AC2" s="84" t="s">
        <v>121</v>
      </c>
      <c r="AD2" s="91" t="s">
        <v>156</v>
      </c>
      <c r="AE2" s="84" t="s">
        <v>121</v>
      </c>
      <c r="AF2" s="88" t="s">
        <v>157</v>
      </c>
      <c r="AG2" s="89"/>
      <c r="AH2" s="87"/>
    </row>
    <row r="3" customFormat="false" ht="117" hidden="false" customHeight="true" outlineLevel="0" collapsed="false">
      <c r="D3" s="61"/>
      <c r="E3" s="61"/>
      <c r="F3" s="173" t="s">
        <v>711</v>
      </c>
      <c r="G3" s="100" t="s">
        <v>712</v>
      </c>
      <c r="H3" s="173" t="s">
        <v>711</v>
      </c>
      <c r="I3" s="100" t="s">
        <v>712</v>
      </c>
      <c r="J3" s="173" t="s">
        <v>711</v>
      </c>
      <c r="K3" s="100" t="s">
        <v>712</v>
      </c>
      <c r="L3" s="173" t="s">
        <v>711</v>
      </c>
      <c r="M3" s="100" t="s">
        <v>712</v>
      </c>
      <c r="N3" s="173" t="s">
        <v>711</v>
      </c>
      <c r="O3" s="100" t="s">
        <v>712</v>
      </c>
      <c r="P3" s="173" t="s">
        <v>711</v>
      </c>
      <c r="Q3" s="100" t="s">
        <v>712</v>
      </c>
      <c r="R3" s="173" t="s">
        <v>711</v>
      </c>
      <c r="S3" s="100" t="s">
        <v>712</v>
      </c>
      <c r="T3" s="173" t="s">
        <v>711</v>
      </c>
      <c r="U3" s="100" t="s">
        <v>712</v>
      </c>
      <c r="V3" s="173" t="s">
        <v>711</v>
      </c>
      <c r="W3" s="100" t="s">
        <v>712</v>
      </c>
      <c r="X3" s="173" t="s">
        <v>711</v>
      </c>
      <c r="Y3" s="100" t="s">
        <v>712</v>
      </c>
      <c r="Z3" s="173" t="s">
        <v>711</v>
      </c>
      <c r="AA3" s="100" t="s">
        <v>712</v>
      </c>
      <c r="AB3" s="173" t="s">
        <v>711</v>
      </c>
      <c r="AC3" s="100" t="s">
        <v>712</v>
      </c>
      <c r="AD3" s="173" t="s">
        <v>711</v>
      </c>
      <c r="AE3" s="100" t="s">
        <v>712</v>
      </c>
      <c r="AF3" s="145" t="s">
        <v>713</v>
      </c>
      <c r="AG3" s="142" t="s">
        <v>365</v>
      </c>
      <c r="AH3" s="95" t="s">
        <v>714</v>
      </c>
    </row>
    <row r="4" customFormat="false" ht="15" hidden="false" customHeight="false" outlineLevel="0" collapsed="false">
      <c r="B4" s="65"/>
      <c r="C4" s="65"/>
      <c r="D4" s="65" t="s">
        <v>125</v>
      </c>
      <c r="E4" s="65"/>
      <c r="F4" s="114"/>
      <c r="G4" s="105" t="n">
        <f aca="false">SUBTOTAL(109,G$15:INDEX(G:G,COUNTA($B:$B)+14-COUNTA($B$1:$B$14)))</f>
        <v>-859556</v>
      </c>
      <c r="H4" s="114"/>
      <c r="I4" s="105" t="n">
        <f aca="false">SUBTOTAL(109,I$15:INDEX(I:I,COUNTA($B:$B)+14-COUNTA($B$1:$B$14)))</f>
        <v>0</v>
      </c>
      <c r="J4" s="114"/>
      <c r="K4" s="105" t="n">
        <f aca="false">SUBTOTAL(109,K$15:INDEX(K:K,COUNTA($B:$B)+14-COUNTA($B$1:$B$14)))</f>
        <v>0</v>
      </c>
      <c r="L4" s="114"/>
      <c r="M4" s="105" t="n">
        <f aca="false">SUBTOTAL(109,M$15:INDEX(M:M,COUNTA($B:$B)+14-COUNTA($B$1:$B$14)))</f>
        <v>-17484</v>
      </c>
      <c r="N4" s="114"/>
      <c r="O4" s="105" t="n">
        <f aca="false">SUBTOTAL(109,O$15:INDEX(O:O,COUNTA($B:$B)+14-COUNTA($B$1:$B$14)))</f>
        <v>5773</v>
      </c>
      <c r="P4" s="114"/>
      <c r="Q4" s="105" t="n">
        <f aca="false">SUBTOTAL(109,Q$15:INDEX(Q:Q,COUNTA($B:$B)+14-COUNTA($B$1:$B$14)))</f>
        <v>-5191</v>
      </c>
      <c r="R4" s="114"/>
      <c r="S4" s="105" t="n">
        <f aca="false">SUBTOTAL(109,S$15:INDEX(S:S,COUNTA($B:$B)+14-COUNTA($B$1:$B$14)))</f>
        <v>39423</v>
      </c>
      <c r="T4" s="114"/>
      <c r="U4" s="105" t="n">
        <f aca="false">SUBTOTAL(109,U$15:INDEX(U:U,COUNTA($B:$B)+14-COUNTA($B$1:$B$14)))</f>
        <v>39242</v>
      </c>
      <c r="V4" s="114"/>
      <c r="W4" s="105" t="n">
        <f aca="false">SUBTOTAL(109,W$15:INDEX(W:W,COUNTA($B:$B)+14-COUNTA($B$1:$B$14)))</f>
        <v>49646</v>
      </c>
      <c r="X4" s="114"/>
      <c r="Y4" s="105" t="n">
        <f aca="false">SUBTOTAL(109,Y$15:INDEX(Y:Y,COUNTA($B:$B)+14-COUNTA($B$1:$B$14)))</f>
        <v>40596</v>
      </c>
      <c r="Z4" s="114"/>
      <c r="AA4" s="105" t="n">
        <f aca="false">SUBTOTAL(109,AA$15:INDEX(AA:AA,COUNTA($B:$B)+14-COUNTA($B$1:$B$14)))</f>
        <v>47378</v>
      </c>
      <c r="AB4" s="114"/>
      <c r="AC4" s="105" t="n">
        <f aca="false">SUBTOTAL(109,AC$15:INDEX(AC:AC,COUNTA($B:$B)+14-COUNTA($B$1:$B$14)))</f>
        <v>43121</v>
      </c>
      <c r="AD4" s="114"/>
      <c r="AE4" s="105" t="n">
        <f aca="false">SUBTOTAL(109,AE$15:INDEX(AE:AE,COUNTA($B:$B)+14-COUNTA($B$1:$B$14)))</f>
        <v>53491</v>
      </c>
      <c r="AF4" s="169" t="n">
        <f aca="false">SUBTOTAL(109,AF$15:INDEX(AF:AF,COUNTA($B:$B)+14-COUNTA($B$1:$B$14)))</f>
        <v>-2064638</v>
      </c>
      <c r="AG4" s="110" t="n">
        <f aca="false">SUBTOTAL(109,AG$15:INDEX(AG:AG,COUNTA($B:$B)+14-COUNTA($B$1:$B$14)))</f>
        <v>-1774332</v>
      </c>
      <c r="AH4" s="108" t="n">
        <f aca="false">IF(SUM($AG4)=0,"",$AF4/$AG4)</f>
        <v>1.16361425032068</v>
      </c>
    </row>
    <row r="5" customFormat="false" ht="12.8" hidden="false" customHeight="false" outlineLevel="0" collapsed="false">
      <c r="A5" s="5" t="s">
        <v>126</v>
      </c>
      <c r="B5" s="69" t="s">
        <v>126</v>
      </c>
      <c r="C5" s="69" t="s">
        <v>126</v>
      </c>
      <c r="D5" s="69" t="s">
        <v>126</v>
      </c>
      <c r="E5" s="69" t="s">
        <v>126</v>
      </c>
      <c r="F5" s="125" t="s">
        <v>126</v>
      </c>
      <c r="G5" s="73" t="s">
        <v>225</v>
      </c>
      <c r="H5" s="125" t="s">
        <v>126</v>
      </c>
      <c r="I5" s="73" t="s">
        <v>225</v>
      </c>
      <c r="J5" s="125" t="s">
        <v>126</v>
      </c>
      <c r="K5" s="73" t="s">
        <v>225</v>
      </c>
      <c r="L5" s="125" t="s">
        <v>126</v>
      </c>
      <c r="M5" s="73" t="s">
        <v>225</v>
      </c>
      <c r="N5" s="125" t="s">
        <v>126</v>
      </c>
      <c r="O5" s="73" t="s">
        <v>225</v>
      </c>
      <c r="P5" s="125" t="s">
        <v>126</v>
      </c>
      <c r="Q5" s="73" t="s">
        <v>225</v>
      </c>
      <c r="R5" s="125" t="s">
        <v>126</v>
      </c>
      <c r="S5" s="73" t="s">
        <v>225</v>
      </c>
      <c r="T5" s="125" t="s">
        <v>126</v>
      </c>
      <c r="U5" s="73" t="s">
        <v>225</v>
      </c>
      <c r="V5" s="125" t="s">
        <v>126</v>
      </c>
      <c r="W5" s="73" t="s">
        <v>225</v>
      </c>
      <c r="X5" s="125" t="s">
        <v>126</v>
      </c>
      <c r="Y5" s="73" t="s">
        <v>225</v>
      </c>
      <c r="Z5" s="125" t="s">
        <v>126</v>
      </c>
      <c r="AA5" s="73" t="s">
        <v>225</v>
      </c>
      <c r="AB5" s="125" t="s">
        <v>126</v>
      </c>
      <c r="AC5" s="73" t="s">
        <v>225</v>
      </c>
      <c r="AD5" s="125" t="s">
        <v>126</v>
      </c>
      <c r="AE5" s="73" t="s">
        <v>225</v>
      </c>
      <c r="AF5" s="119" t="s">
        <v>126</v>
      </c>
      <c r="AG5" s="73" t="s">
        <v>126</v>
      </c>
      <c r="AH5" s="118" t="s">
        <v>126</v>
      </c>
    </row>
    <row r="6" customFormat="false" ht="12.8" hidden="false" customHeight="false" outlineLevel="0" collapsed="false">
      <c r="A6" s="5" t="s">
        <v>128</v>
      </c>
      <c r="B6" s="69" t="s">
        <v>128</v>
      </c>
      <c r="C6" s="69" t="s">
        <v>128</v>
      </c>
      <c r="D6" s="69" t="s">
        <v>128</v>
      </c>
      <c r="E6" s="69" t="s">
        <v>128</v>
      </c>
      <c r="F6" s="125" t="s">
        <v>227</v>
      </c>
      <c r="G6" s="73" t="s">
        <v>130</v>
      </c>
      <c r="H6" s="125" t="s">
        <v>227</v>
      </c>
      <c r="I6" s="73" t="s">
        <v>130</v>
      </c>
      <c r="J6" s="125" t="s">
        <v>227</v>
      </c>
      <c r="K6" s="73" t="s">
        <v>130</v>
      </c>
      <c r="L6" s="125" t="s">
        <v>227</v>
      </c>
      <c r="M6" s="73" t="s">
        <v>130</v>
      </c>
      <c r="N6" s="125" t="s">
        <v>227</v>
      </c>
      <c r="O6" s="73" t="s">
        <v>130</v>
      </c>
      <c r="P6" s="125" t="s">
        <v>227</v>
      </c>
      <c r="Q6" s="73" t="s">
        <v>130</v>
      </c>
      <c r="R6" s="125" t="s">
        <v>227</v>
      </c>
      <c r="S6" s="73" t="s">
        <v>130</v>
      </c>
      <c r="T6" s="125" t="s">
        <v>227</v>
      </c>
      <c r="U6" s="73" t="s">
        <v>130</v>
      </c>
      <c r="V6" s="125" t="s">
        <v>227</v>
      </c>
      <c r="W6" s="73" t="s">
        <v>130</v>
      </c>
      <c r="X6" s="125" t="s">
        <v>227</v>
      </c>
      <c r="Y6" s="73" t="s">
        <v>130</v>
      </c>
      <c r="Z6" s="125" t="s">
        <v>227</v>
      </c>
      <c r="AA6" s="73" t="s">
        <v>130</v>
      </c>
      <c r="AB6" s="125" t="s">
        <v>227</v>
      </c>
      <c r="AC6" s="73" t="s">
        <v>130</v>
      </c>
      <c r="AD6" s="125" t="s">
        <v>227</v>
      </c>
      <c r="AE6" s="73" t="s">
        <v>130</v>
      </c>
      <c r="AF6" s="119" t="s">
        <v>131</v>
      </c>
      <c r="AG6" s="73" t="s">
        <v>131</v>
      </c>
      <c r="AH6" s="118" t="s">
        <v>131</v>
      </c>
    </row>
    <row r="7" customFormat="false" ht="12.8" hidden="false" customHeight="false" outlineLevel="0" collapsed="false">
      <c r="A7" s="5" t="s">
        <v>132</v>
      </c>
      <c r="B7" s="69" t="s">
        <v>132</v>
      </c>
      <c r="C7" s="69" t="s">
        <v>132</v>
      </c>
      <c r="D7" s="69" t="s">
        <v>132</v>
      </c>
      <c r="E7" s="69" t="s">
        <v>132</v>
      </c>
      <c r="F7" s="125" t="s">
        <v>229</v>
      </c>
      <c r="G7" s="73" t="s">
        <v>133</v>
      </c>
      <c r="H7" s="125" t="s">
        <v>229</v>
      </c>
      <c r="I7" s="73" t="s">
        <v>133</v>
      </c>
      <c r="J7" s="125" t="s">
        <v>229</v>
      </c>
      <c r="K7" s="73" t="s">
        <v>133</v>
      </c>
      <c r="L7" s="125" t="s">
        <v>229</v>
      </c>
      <c r="M7" s="73" t="s">
        <v>133</v>
      </c>
      <c r="N7" s="125" t="s">
        <v>229</v>
      </c>
      <c r="O7" s="73" t="s">
        <v>133</v>
      </c>
      <c r="P7" s="125" t="s">
        <v>229</v>
      </c>
      <c r="Q7" s="73" t="s">
        <v>133</v>
      </c>
      <c r="R7" s="125" t="s">
        <v>229</v>
      </c>
      <c r="S7" s="73" t="s">
        <v>133</v>
      </c>
      <c r="T7" s="125" t="s">
        <v>229</v>
      </c>
      <c r="U7" s="73" t="s">
        <v>133</v>
      </c>
      <c r="V7" s="125" t="s">
        <v>229</v>
      </c>
      <c r="W7" s="73" t="s">
        <v>133</v>
      </c>
      <c r="X7" s="125" t="s">
        <v>229</v>
      </c>
      <c r="Y7" s="73" t="s">
        <v>133</v>
      </c>
      <c r="Z7" s="125" t="s">
        <v>229</v>
      </c>
      <c r="AA7" s="73" t="s">
        <v>133</v>
      </c>
      <c r="AB7" s="125" t="s">
        <v>229</v>
      </c>
      <c r="AC7" s="73" t="s">
        <v>133</v>
      </c>
      <c r="AD7" s="125" t="s">
        <v>229</v>
      </c>
      <c r="AE7" s="73" t="s">
        <v>133</v>
      </c>
      <c r="AF7" s="119" t="s">
        <v>133</v>
      </c>
      <c r="AG7" s="73" t="s">
        <v>133</v>
      </c>
      <c r="AH7" s="118" t="s">
        <v>229</v>
      </c>
    </row>
    <row r="8" customFormat="false" ht="12.8" hidden="false" customHeight="false" outlineLevel="0" collapsed="false">
      <c r="G8" s="73" t="s">
        <v>715</v>
      </c>
      <c r="I8" s="73" t="s">
        <v>716</v>
      </c>
      <c r="K8" s="73" t="s">
        <v>717</v>
      </c>
      <c r="M8" s="73" t="s">
        <v>718</v>
      </c>
      <c r="O8" s="73" t="s">
        <v>719</v>
      </c>
      <c r="Q8" s="73" t="s">
        <v>720</v>
      </c>
      <c r="S8" s="174" t="s">
        <v>721</v>
      </c>
      <c r="U8" s="73" t="s">
        <v>722</v>
      </c>
      <c r="W8" s="73" t="s">
        <v>723</v>
      </c>
      <c r="Y8" s="73" t="s">
        <v>724</v>
      </c>
      <c r="AA8" s="73" t="s">
        <v>725</v>
      </c>
      <c r="AC8" s="73" t="s">
        <v>726</v>
      </c>
      <c r="AE8" s="73" t="s">
        <v>727</v>
      </c>
      <c r="AF8" s="119"/>
      <c r="AG8" s="73"/>
      <c r="AH8" s="118"/>
    </row>
    <row r="9" customFormat="false" ht="12.8" hidden="false" customHeight="false" outlineLevel="0" collapsed="false">
      <c r="G9" s="73" t="s">
        <v>728</v>
      </c>
      <c r="I9" s="73" t="s">
        <v>729</v>
      </c>
      <c r="K9" s="73" t="s">
        <v>730</v>
      </c>
      <c r="M9" s="73" t="s">
        <v>731</v>
      </c>
      <c r="O9" s="73" t="s">
        <v>732</v>
      </c>
      <c r="Q9" s="73" t="s">
        <v>733</v>
      </c>
      <c r="S9" s="73" t="s">
        <v>734</v>
      </c>
      <c r="U9" s="73" t="s">
        <v>735</v>
      </c>
      <c r="W9" s="73" t="s">
        <v>736</v>
      </c>
      <c r="Y9" s="73" t="s">
        <v>737</v>
      </c>
      <c r="AA9" s="73" t="s">
        <v>738</v>
      </c>
      <c r="AC9" s="73" t="s">
        <v>739</v>
      </c>
      <c r="AE9" s="73" t="s">
        <v>740</v>
      </c>
      <c r="AF9" s="119"/>
      <c r="AG9" s="73"/>
      <c r="AH9" s="118"/>
    </row>
    <row r="10" customFormat="false" ht="12.8" hidden="false" customHeight="false" outlineLevel="0" collapsed="false">
      <c r="G10" s="73" t="s">
        <v>243</v>
      </c>
      <c r="I10" s="73" t="s">
        <v>243</v>
      </c>
      <c r="K10" s="73" t="s">
        <v>243</v>
      </c>
      <c r="M10" s="73" t="s">
        <v>243</v>
      </c>
      <c r="O10" s="73" t="s">
        <v>243</v>
      </c>
      <c r="Q10" s="73" t="s">
        <v>243</v>
      </c>
      <c r="S10" s="73" t="s">
        <v>243</v>
      </c>
      <c r="U10" s="73" t="s">
        <v>243</v>
      </c>
      <c r="W10" s="73" t="s">
        <v>243</v>
      </c>
      <c r="Y10" s="73" t="s">
        <v>243</v>
      </c>
      <c r="AA10" s="73" t="s">
        <v>243</v>
      </c>
      <c r="AC10" s="73" t="s">
        <v>243</v>
      </c>
      <c r="AE10" s="73" t="s">
        <v>243</v>
      </c>
      <c r="AF10" s="119"/>
      <c r="AG10" s="73"/>
      <c r="AH10" s="118"/>
    </row>
    <row r="11" customFormat="false" ht="12.8" hidden="false" customHeight="false" outlineLevel="0" collapsed="false">
      <c r="F11" s="125" t="s">
        <v>248</v>
      </c>
      <c r="G11" s="73" t="s">
        <v>248</v>
      </c>
      <c r="H11" s="125" t="s">
        <v>248</v>
      </c>
      <c r="I11" s="73" t="s">
        <v>248</v>
      </c>
      <c r="J11" s="125" t="s">
        <v>248</v>
      </c>
      <c r="K11" s="73" t="s">
        <v>248</v>
      </c>
      <c r="L11" s="125" t="s">
        <v>248</v>
      </c>
      <c r="M11" s="73" t="s">
        <v>248</v>
      </c>
      <c r="N11" s="125" t="s">
        <v>248</v>
      </c>
      <c r="O11" s="73" t="s">
        <v>248</v>
      </c>
      <c r="P11" s="125" t="s">
        <v>248</v>
      </c>
      <c r="Q11" s="73" t="s">
        <v>248</v>
      </c>
      <c r="R11" s="125" t="s">
        <v>248</v>
      </c>
      <c r="S11" s="73" t="s">
        <v>248</v>
      </c>
      <c r="T11" s="125" t="s">
        <v>248</v>
      </c>
      <c r="U11" s="73" t="s">
        <v>248</v>
      </c>
      <c r="V11" s="125" t="s">
        <v>248</v>
      </c>
      <c r="W11" s="73" t="s">
        <v>248</v>
      </c>
      <c r="X11" s="125" t="s">
        <v>248</v>
      </c>
      <c r="Y11" s="73" t="s">
        <v>248</v>
      </c>
      <c r="Z11" s="125" t="s">
        <v>248</v>
      </c>
      <c r="AA11" s="73" t="s">
        <v>248</v>
      </c>
      <c r="AB11" s="125" t="s">
        <v>248</v>
      </c>
      <c r="AC11" s="73" t="s">
        <v>248</v>
      </c>
      <c r="AD11" s="125" t="s">
        <v>248</v>
      </c>
      <c r="AE11" s="73" t="s">
        <v>248</v>
      </c>
      <c r="AF11" s="119" t="s">
        <v>248</v>
      </c>
      <c r="AG11" s="73" t="s">
        <v>248</v>
      </c>
      <c r="AH11" s="118" t="s">
        <v>248</v>
      </c>
    </row>
    <row r="12" customFormat="false" ht="12.8" hidden="false" customHeight="false" outlineLevel="0" collapsed="false">
      <c r="F12" s="125" t="s">
        <v>250</v>
      </c>
      <c r="G12" s="73" t="s">
        <v>250</v>
      </c>
      <c r="H12" s="125" t="s">
        <v>250</v>
      </c>
      <c r="I12" s="73" t="s">
        <v>250</v>
      </c>
      <c r="J12" s="125" t="s">
        <v>249</v>
      </c>
      <c r="K12" s="73" t="s">
        <v>249</v>
      </c>
      <c r="L12" s="125" t="s">
        <v>251</v>
      </c>
      <c r="M12" s="73" t="s">
        <v>251</v>
      </c>
      <c r="N12" s="125" t="s">
        <v>249</v>
      </c>
      <c r="O12" s="73" t="s">
        <v>249</v>
      </c>
      <c r="P12" s="125" t="s">
        <v>249</v>
      </c>
      <c r="Q12" s="73" t="s">
        <v>249</v>
      </c>
      <c r="R12" s="125" t="s">
        <v>249</v>
      </c>
      <c r="S12" s="73" t="s">
        <v>249</v>
      </c>
      <c r="T12" s="125" t="s">
        <v>249</v>
      </c>
      <c r="U12" s="73" t="s">
        <v>249</v>
      </c>
      <c r="V12" s="125" t="s">
        <v>249</v>
      </c>
      <c r="W12" s="73" t="s">
        <v>249</v>
      </c>
      <c r="X12" s="125" t="s">
        <v>249</v>
      </c>
      <c r="Y12" s="73" t="s">
        <v>249</v>
      </c>
      <c r="Z12" s="125" t="s">
        <v>249</v>
      </c>
      <c r="AA12" s="73" t="s">
        <v>249</v>
      </c>
      <c r="AB12" s="125" t="s">
        <v>249</v>
      </c>
      <c r="AC12" s="73" t="s">
        <v>249</v>
      </c>
      <c r="AD12" s="125" t="s">
        <v>249</v>
      </c>
      <c r="AE12" s="73" t="s">
        <v>249</v>
      </c>
      <c r="AF12" s="119" t="s">
        <v>249</v>
      </c>
      <c r="AG12" s="73" t="s">
        <v>249</v>
      </c>
      <c r="AH12" s="118" t="s">
        <v>249</v>
      </c>
    </row>
    <row r="13" customFormat="false" ht="12.8" hidden="false" customHeight="false" outlineLevel="0" collapsed="false">
      <c r="G13" s="73"/>
      <c r="I13" s="73"/>
      <c r="K13" s="73"/>
      <c r="M13" s="73"/>
      <c r="O13" s="73"/>
      <c r="Q13" s="73"/>
      <c r="S13" s="73"/>
      <c r="U13" s="73"/>
      <c r="W13" s="73"/>
      <c r="Y13" s="73"/>
      <c r="AA13" s="73"/>
      <c r="AC13" s="73"/>
      <c r="AE13" s="73"/>
      <c r="AF13" s="119"/>
      <c r="AG13" s="73"/>
      <c r="AH13" s="118"/>
    </row>
    <row r="14" customFormat="false" ht="15" hidden="false" customHeight="false" outlineLevel="0" collapsed="false">
      <c r="A14" s="70" t="s">
        <v>135</v>
      </c>
      <c r="B14" s="70" t="s">
        <v>136</v>
      </c>
      <c r="C14" s="70" t="s">
        <v>252</v>
      </c>
      <c r="D14" s="70" t="s">
        <v>253</v>
      </c>
      <c r="E14" s="70" t="s">
        <v>42</v>
      </c>
      <c r="F14" s="162" t="s">
        <v>741</v>
      </c>
      <c r="G14" s="131" t="s">
        <v>742</v>
      </c>
      <c r="H14" s="162" t="s">
        <v>743</v>
      </c>
      <c r="I14" s="131" t="s">
        <v>744</v>
      </c>
      <c r="J14" s="162" t="s">
        <v>745</v>
      </c>
      <c r="K14" s="131" t="s">
        <v>746</v>
      </c>
      <c r="L14" s="162" t="s">
        <v>747</v>
      </c>
      <c r="M14" s="131" t="s">
        <v>748</v>
      </c>
      <c r="N14" s="162" t="s">
        <v>749</v>
      </c>
      <c r="O14" s="131" t="s">
        <v>750</v>
      </c>
      <c r="P14" s="162" t="s">
        <v>751</v>
      </c>
      <c r="Q14" s="131" t="s">
        <v>752</v>
      </c>
      <c r="R14" s="162" t="s">
        <v>753</v>
      </c>
      <c r="S14" s="131" t="s">
        <v>754</v>
      </c>
      <c r="T14" s="162" t="s">
        <v>755</v>
      </c>
      <c r="U14" s="131" t="s">
        <v>756</v>
      </c>
      <c r="V14" s="162" t="s">
        <v>757</v>
      </c>
      <c r="W14" s="131" t="s">
        <v>758</v>
      </c>
      <c r="X14" s="162" t="s">
        <v>759</v>
      </c>
      <c r="Y14" s="131" t="s">
        <v>760</v>
      </c>
      <c r="Z14" s="162" t="s">
        <v>761</v>
      </c>
      <c r="AA14" s="131" t="s">
        <v>762</v>
      </c>
      <c r="AB14" s="162" t="s">
        <v>763</v>
      </c>
      <c r="AC14" s="131" t="s">
        <v>764</v>
      </c>
      <c r="AD14" s="162" t="s">
        <v>765</v>
      </c>
      <c r="AE14" s="131" t="s">
        <v>766</v>
      </c>
      <c r="AF14" s="131" t="s">
        <v>767</v>
      </c>
      <c r="AG14" s="131" t="s">
        <v>423</v>
      </c>
      <c r="AH14" s="162" t="s">
        <v>768</v>
      </c>
    </row>
    <row r="15" customFormat="false" ht="15" hidden="false" customHeight="false" outlineLevel="0" collapsed="false">
      <c r="A15" s="0" t="s">
        <v>140</v>
      </c>
      <c r="B15" s="0" t="s">
        <v>141</v>
      </c>
      <c r="C15" s="0" t="s">
        <v>63</v>
      </c>
      <c r="D15" s="0" t="s">
        <v>56</v>
      </c>
      <c r="E15" s="69" t="str">
        <f aca="false">B15&amp;"|"&amp;C15&amp;"|"&amp;D15</f>
        <v>_Military Lesotho [#Military] [dDOqoFnD5Be]|15-19|Female</v>
      </c>
      <c r="F15" s="125" t="n">
        <f aca="false">IF($D15="Female",100%,"")</f>
        <v>1</v>
      </c>
      <c r="G15" s="115" t="str">
        <f aca="false">IFERROR(ROUND($F15*INDEX(PMTCT!$AE:$AE,MATCH($E15,PMTCT!$E:$E,0)),0),"")</f>
        <v/>
      </c>
      <c r="H15" s="125" t="n">
        <f aca="false">IF($D15="Female",100%,"")</f>
        <v>1</v>
      </c>
      <c r="I15" s="115" t="str">
        <f aca="false">IFERROR(ROUND($H15*INDEX(PMTCT!$AU:$AU,MATCH($E15,PMTCT!$E:$E,0)),0),"")</f>
        <v/>
      </c>
      <c r="J15" s="125" t="n">
        <f aca="false">1</f>
        <v>1</v>
      </c>
      <c r="K15" s="115" t="str">
        <f aca="false">IFERROR(ROUND($J15*INDEX(TB!$Q:$Q,MATCH($E15,HTS!$E:$E,0)),0),"")</f>
        <v/>
      </c>
      <c r="L15" s="125" t="str">
        <f aca="false">IF($D15="Male",100%,"")</f>
        <v/>
      </c>
      <c r="M15" s="115" t="str">
        <f aca="false">IFERROR(ROUND($L15*INDEX(VMMC!$AC:$AC,MATCH($E15,VMMC!$E:$E,0)),0),"")</f>
        <v/>
      </c>
      <c r="N15" s="125" t="n">
        <f aca="false">1</f>
        <v>1</v>
      </c>
      <c r="O15" s="115" t="str">
        <f aca="false">IFERROR(ROUND($N15*INDEX(HTS!$Q:$Q,MATCH($E15,HTS!$E:$E,0)),0),"")</f>
        <v/>
      </c>
      <c r="P15" s="125" t="n">
        <f aca="false">1</f>
        <v>1</v>
      </c>
      <c r="Q15" s="115" t="str">
        <f aca="false">IFERROR(ROUND($P15*INDEX(HTS!$S:$S,MATCH($E15,HTS!$E:$E,0)),0),"")</f>
        <v/>
      </c>
      <c r="R15" s="125" t="n">
        <f aca="false">1</f>
        <v>1</v>
      </c>
      <c r="S15" s="115" t="str">
        <f aca="false">IFERROR(ROUND($R15*INDEX(HTS!$AM:$AM,MATCH($E15,HTS!$E:$E,0)),0),"")</f>
        <v/>
      </c>
      <c r="T15" s="125" t="n">
        <f aca="false">1</f>
        <v>1</v>
      </c>
      <c r="U15" s="115" t="str">
        <f aca="false">IFERROR(ROUND($T15*INDEX(HTS!$AV:$AV,MATCH($E15,HTS!$E:$E,0)),0),"")</f>
        <v/>
      </c>
      <c r="V15" s="125" t="n">
        <f aca="false">1</f>
        <v>1</v>
      </c>
      <c r="W15" s="115" t="str">
        <f aca="false">IFERROR(ROUND($V15*INDEX(HTS!$AY:$AY,MATCH($E15,HTS!$E:$E,0)),0),"")</f>
        <v/>
      </c>
      <c r="X15" s="125" t="n">
        <f aca="false">1</f>
        <v>1</v>
      </c>
      <c r="Y15" s="115" t="str">
        <f aca="false">IFERROR(ROUND($X15*INDEX(HTS!$BB:$BB,MATCH($E15,HTS!$E:$E,0)),0),"")</f>
        <v/>
      </c>
      <c r="Z15" s="125" t="n">
        <f aca="false">1</f>
        <v>1</v>
      </c>
      <c r="AA15" s="115" t="str">
        <f aca="false">IFERROR(ROUND($Z15*INDEX(HTS!$BE:$BE,MATCH($E15,HTS!$E:$E,0)),0),"")</f>
        <v/>
      </c>
      <c r="AB15" s="125" t="n">
        <f aca="false">1</f>
        <v>1</v>
      </c>
      <c r="AC15" s="115" t="str">
        <f aca="false">IFERROR(ROUND($AB15*INDEX(HTS!$BH:$BH,MATCH($E15,HTS!$E:$E,0)),0),"")</f>
        <v/>
      </c>
      <c r="AD15" s="125" t="n">
        <f aca="false">1</f>
        <v>1</v>
      </c>
      <c r="AE15" s="115" t="str">
        <f aca="false">IFERROR(ROUND($AD15*INDEX(HTS!$BK:$BK,MATCH($E15,HTS!$E:$E,0)),0),"")</f>
        <v/>
      </c>
      <c r="AF15" s="119" t="str">
        <f aca="false">IF(SUM($O15,$Q15,$S15,$K15,$G15,$I15,$M15,$U15,$W15,$Y15,$AA15,$AC15,$AE15)=0,"",SUM($O15,$Q15,$S15,$K15,$G15,$I15,$M15,$U15,$W15,$Y15,$AA15,$AC15,$AE15))</f>
        <v/>
      </c>
      <c r="AG15" s="73" t="n">
        <f aca="false">INDEX(HTS!$BN:$BN,MATCH($E15,HTS!$E:$E,0))</f>
        <v>0</v>
      </c>
      <c r="AH15" s="118" t="str">
        <f aca="false">IF(SUM($AG15)&lt;=0,"",$AF15/$AG15)</f>
        <v/>
      </c>
    </row>
    <row r="16" customFormat="false" ht="15" hidden="false" customHeight="false" outlineLevel="0" collapsed="false">
      <c r="A16" s="0" t="s">
        <v>140</v>
      </c>
      <c r="B16" s="0" t="s">
        <v>141</v>
      </c>
      <c r="C16" s="0" t="s">
        <v>63</v>
      </c>
      <c r="D16" s="0" t="s">
        <v>58</v>
      </c>
      <c r="E16" s="0" t="str">
        <f aca="false">B16&amp;"|"&amp;C16&amp;"|"&amp;D16</f>
        <v>_Military Lesotho [#Military] [dDOqoFnD5Be]|15-19|Male</v>
      </c>
      <c r="F16" s="118" t="str">
        <f aca="false">IF($D16="Female",100%,"")</f>
        <v/>
      </c>
      <c r="G16" s="75" t="str">
        <f aca="false">IFERROR(ROUND($F16*INDEX(PMTCT!$AE:$AE,MATCH($E16,PMTCT!$E:$E,0)),0),"")</f>
        <v/>
      </c>
      <c r="H16" s="118" t="str">
        <f aca="false">IF($D16="Female",100%,"")</f>
        <v/>
      </c>
      <c r="I16" s="75" t="str">
        <f aca="false">IFERROR(ROUND($H16*INDEX(PMTCT!$AU:$AU,MATCH($E16,PMTCT!$E:$E,0)),0),"")</f>
        <v/>
      </c>
      <c r="J16" s="118" t="n">
        <f aca="false">1</f>
        <v>1</v>
      </c>
      <c r="K16" s="75" t="str">
        <f aca="false">IFERROR(ROUND($J16*INDEX(TB!$Q:$Q,MATCH($E16,HTS!$E:$E,0)),0),"")</f>
        <v/>
      </c>
      <c r="L16" s="118" t="n">
        <f aca="false">IF($D16="Male",100%,"")</f>
        <v>1</v>
      </c>
      <c r="M16" s="75" t="n">
        <f aca="false">IFERROR(ROUND($L16*INDEX(VMMC!$AC:$AC,MATCH($E16,VMMC!$E:$E,0)),0),"")</f>
        <v>-0</v>
      </c>
      <c r="N16" s="118" t="n">
        <f aca="false">1</f>
        <v>1</v>
      </c>
      <c r="O16" s="75" t="str">
        <f aca="false">IFERROR(ROUND($N16*INDEX(HTS!$Q:$Q,MATCH($E16,HTS!$E:$E,0)),0),"")</f>
        <v/>
      </c>
      <c r="P16" s="118" t="n">
        <f aca="false">1</f>
        <v>1</v>
      </c>
      <c r="Q16" s="75" t="str">
        <f aca="false">IFERROR(ROUND($P16*INDEX(HTS!$S:$S,MATCH($E16,HTS!$E:$E,0)),0),"")</f>
        <v/>
      </c>
      <c r="R16" s="118" t="n">
        <f aca="false">1</f>
        <v>1</v>
      </c>
      <c r="S16" s="75" t="str">
        <f aca="false">IFERROR(ROUND($R16*INDEX(HTS!$AM:$AM,MATCH($E16,HTS!$E:$E,0)),0),"")</f>
        <v/>
      </c>
      <c r="T16" s="118" t="n">
        <f aca="false">1</f>
        <v>1</v>
      </c>
      <c r="U16" s="75" t="str">
        <f aca="false">IFERROR(ROUND($T16*INDEX(HTS!$AV:$AV,MATCH($E16,HTS!$E:$E,0)),0),"")</f>
        <v/>
      </c>
      <c r="V16" s="118" t="n">
        <f aca="false">1</f>
        <v>1</v>
      </c>
      <c r="W16" s="75" t="str">
        <f aca="false">IFERROR(ROUND($V16*INDEX(HTS!$AY:$AY,MATCH($E16,HTS!$E:$E,0)),0),"")</f>
        <v/>
      </c>
      <c r="X16" s="118" t="n">
        <f aca="false">1</f>
        <v>1</v>
      </c>
      <c r="Y16" s="75" t="str">
        <f aca="false">IFERROR(ROUND($X16*INDEX(HTS!$BB:$BB,MATCH($E16,HTS!$E:$E,0)),0),"")</f>
        <v/>
      </c>
      <c r="Z16" s="118" t="n">
        <f aca="false">1</f>
        <v>1</v>
      </c>
      <c r="AA16" s="75" t="str">
        <f aca="false">IFERROR(ROUND($Z16*INDEX(HTS!$BE:$BE,MATCH($E16,HTS!$E:$E,0)),0),"")</f>
        <v/>
      </c>
      <c r="AB16" s="118" t="n">
        <f aca="false">1</f>
        <v>1</v>
      </c>
      <c r="AC16" s="75" t="str">
        <f aca="false">IFERROR(ROUND($AB16*INDEX(HTS!$BH:$BH,MATCH($E16,HTS!$E:$E,0)),0),"")</f>
        <v/>
      </c>
      <c r="AD16" s="118" t="n">
        <f aca="false">1</f>
        <v>1</v>
      </c>
      <c r="AE16" s="75" t="str">
        <f aca="false">IFERROR(ROUND($AD16*INDEX(HTS!$BK:$BK,MATCH($E16,HTS!$E:$E,0)),0),"")</f>
        <v/>
      </c>
      <c r="AF16" s="73" t="str">
        <f aca="false">IF(SUM($O16,$Q16,$S16,$K16,$G16,$I16,$M16,$U16,$W16,$Y16,$AA16,$AC16,$AE16)=0,"",SUM($O16,$Q16,$S16,$K16,$G16,$I16,$M16,$U16,$W16,$Y16,$AA16,$AC16,$AE16))</f>
        <v/>
      </c>
      <c r="AG16" s="73" t="n">
        <f aca="false">INDEX(HTS!$BN:$BN,MATCH($E16,HTS!$E:$E,0))</f>
        <v>0</v>
      </c>
      <c r="AH16" s="118" t="str">
        <f aca="false">IF(SUM($AG16)&lt;=0,"",$AF16/$AG16)</f>
        <v/>
      </c>
    </row>
    <row r="17" customFormat="false" ht="15" hidden="false" customHeight="false" outlineLevel="0" collapsed="false">
      <c r="A17" s="0" t="s">
        <v>140</v>
      </c>
      <c r="B17" s="0" t="s">
        <v>141</v>
      </c>
      <c r="C17" s="0" t="s">
        <v>66</v>
      </c>
      <c r="D17" s="0" t="s">
        <v>56</v>
      </c>
      <c r="E17" s="0" t="str">
        <f aca="false">B17&amp;"|"&amp;C17&amp;"|"&amp;D17</f>
        <v>_Military Lesotho [#Military] [dDOqoFnD5Be]|20-24|Female</v>
      </c>
      <c r="F17" s="118" t="n">
        <f aca="false">IF($D17="Female",100%,"")</f>
        <v>1</v>
      </c>
      <c r="G17" s="75" t="str">
        <f aca="false">IFERROR(ROUND($F17*INDEX(PMTCT!$AE:$AE,MATCH($E17,PMTCT!$E:$E,0)),0),"")</f>
        <v/>
      </c>
      <c r="H17" s="118" t="n">
        <f aca="false">IF($D17="Female",100%,"")</f>
        <v>1</v>
      </c>
      <c r="I17" s="75" t="str">
        <f aca="false">IFERROR(ROUND($H17*INDEX(PMTCT!$AU:$AU,MATCH($E17,PMTCT!$E:$E,0)),0),"")</f>
        <v/>
      </c>
      <c r="J17" s="118" t="n">
        <f aca="false">1</f>
        <v>1</v>
      </c>
      <c r="K17" s="75" t="n">
        <f aca="false">IFERROR(ROUND($J17*INDEX(TB!$Q:$Q,MATCH($E17,HTS!$E:$E,0)),0),"")</f>
        <v>-0</v>
      </c>
      <c r="L17" s="118" t="str">
        <f aca="false">IF($D17="Male",100%,"")</f>
        <v/>
      </c>
      <c r="M17" s="75" t="str">
        <f aca="false">IFERROR(ROUND($L17*INDEX(VMMC!$AC:$AC,MATCH($E17,VMMC!$E:$E,0)),0),"")</f>
        <v/>
      </c>
      <c r="N17" s="118" t="n">
        <f aca="false">1</f>
        <v>1</v>
      </c>
      <c r="O17" s="75" t="str">
        <f aca="false">IFERROR(ROUND($N17*INDEX(HTS!$Q:$Q,MATCH($E17,HTS!$E:$E,0)),0),"")</f>
        <v/>
      </c>
      <c r="P17" s="118" t="n">
        <f aca="false">1</f>
        <v>1</v>
      </c>
      <c r="Q17" s="75" t="str">
        <f aca="false">IFERROR(ROUND($P17*INDEX(HTS!$S:$S,MATCH($E17,HTS!$E:$E,0)),0),"")</f>
        <v/>
      </c>
      <c r="R17" s="118" t="n">
        <f aca="false">1</f>
        <v>1</v>
      </c>
      <c r="S17" s="75" t="n">
        <f aca="false">IFERROR(ROUND($R17*INDEX(HTS!$AM:$AM,MATCH($E17,HTS!$E:$E,0)),0),"")</f>
        <v>49</v>
      </c>
      <c r="T17" s="118" t="n">
        <f aca="false">1</f>
        <v>1</v>
      </c>
      <c r="U17" s="75" t="n">
        <f aca="false">IFERROR(ROUND($T17*INDEX(HTS!$AV:$AV,MATCH($E17,HTS!$E:$E,0)),0),"")</f>
        <v>3</v>
      </c>
      <c r="V17" s="118" t="n">
        <f aca="false">1</f>
        <v>1</v>
      </c>
      <c r="W17" s="75" t="n">
        <f aca="false">IFERROR(ROUND($V17*INDEX(HTS!$AY:$AY,MATCH($E17,HTS!$E:$E,0)),0),"")</f>
        <v>6</v>
      </c>
      <c r="X17" s="118" t="n">
        <f aca="false">1</f>
        <v>1</v>
      </c>
      <c r="Y17" s="75" t="n">
        <f aca="false">IFERROR(ROUND($X17*INDEX(HTS!$BB:$BB,MATCH($E17,HTS!$E:$E,0)),0),"")</f>
        <v>9</v>
      </c>
      <c r="Z17" s="118" t="n">
        <f aca="false">1</f>
        <v>1</v>
      </c>
      <c r="AA17" s="75" t="n">
        <f aca="false">IFERROR(ROUND($Z17*INDEX(HTS!$BE:$BE,MATCH($E17,HTS!$E:$E,0)),0),"")</f>
        <v>14</v>
      </c>
      <c r="AB17" s="118" t="n">
        <f aca="false">1</f>
        <v>1</v>
      </c>
      <c r="AC17" s="75" t="n">
        <f aca="false">IFERROR(ROUND($AB17*INDEX(HTS!$BH:$BH,MATCH($E17,HTS!$E:$E,0)),0),"")</f>
        <v>32</v>
      </c>
      <c r="AD17" s="118" t="n">
        <f aca="false">1</f>
        <v>1</v>
      </c>
      <c r="AE17" s="75" t="n">
        <f aca="false">IFERROR(ROUND($AD17*INDEX(HTS!$BK:$BK,MATCH($E17,HTS!$E:$E,0)),0),"")</f>
        <v>38</v>
      </c>
      <c r="AF17" s="73" t="n">
        <f aca="false">IF(SUM($O17,$Q17,$S17,$K17,$G17,$I17,$M17,$U17,$W17,$Y17,$AA17,$AC17,$AE17)=0,"",SUM($O17,$Q17,$S17,$K17,$G17,$I17,$M17,$U17,$W17,$Y17,$AA17,$AC17,$AE17))</f>
        <v>151</v>
      </c>
      <c r="AG17" s="73" t="n">
        <f aca="false">INDEX(HTS!$BN:$BN,MATCH($E17,HTS!$E:$E,0))</f>
        <v>151</v>
      </c>
      <c r="AH17" s="118" t="n">
        <f aca="false">IF(SUM($AG17)&lt;=0,"",$AF17/$AG17)</f>
        <v>1</v>
      </c>
    </row>
    <row r="18" customFormat="false" ht="15" hidden="false" customHeight="false" outlineLevel="0" collapsed="false">
      <c r="A18" s="0" t="s">
        <v>140</v>
      </c>
      <c r="B18" s="0" t="s">
        <v>141</v>
      </c>
      <c r="C18" s="0" t="s">
        <v>66</v>
      </c>
      <c r="D18" s="0" t="s">
        <v>58</v>
      </c>
      <c r="E18" s="0" t="str">
        <f aca="false">B18&amp;"|"&amp;C18&amp;"|"&amp;D18</f>
        <v>_Military Lesotho [#Military] [dDOqoFnD5Be]|20-24|Male</v>
      </c>
      <c r="F18" s="118" t="str">
        <f aca="false">IF($D18="Female",100%,"")</f>
        <v/>
      </c>
      <c r="G18" s="75" t="str">
        <f aca="false">IFERROR(ROUND($F18*INDEX(PMTCT!$AE:$AE,MATCH($E18,PMTCT!$E:$E,0)),0),"")</f>
        <v/>
      </c>
      <c r="H18" s="118" t="str">
        <f aca="false">IF($D18="Female",100%,"")</f>
        <v/>
      </c>
      <c r="I18" s="75" t="str">
        <f aca="false">IFERROR(ROUND($H18*INDEX(PMTCT!$AU:$AU,MATCH($E18,PMTCT!$E:$E,0)),0),"")</f>
        <v/>
      </c>
      <c r="J18" s="118" t="n">
        <f aca="false">1</f>
        <v>1</v>
      </c>
      <c r="K18" s="75" t="str">
        <f aca="false">IFERROR(ROUND($J18*INDEX(TB!$Q:$Q,MATCH($E18,HTS!$E:$E,0)),0),"")</f>
        <v/>
      </c>
      <c r="L18" s="118" t="n">
        <f aca="false">IF($D18="Male",100%,"")</f>
        <v>1</v>
      </c>
      <c r="M18" s="75" t="n">
        <f aca="false">IFERROR(ROUND($L18*INDEX(VMMC!$AC:$AC,MATCH($E18,VMMC!$E:$E,0)),0),"")</f>
        <v>-0</v>
      </c>
      <c r="N18" s="118" t="n">
        <f aca="false">1</f>
        <v>1</v>
      </c>
      <c r="O18" s="75" t="str">
        <f aca="false">IFERROR(ROUND($N18*INDEX(HTS!$Q:$Q,MATCH($E18,HTS!$E:$E,0)),0),"")</f>
        <v/>
      </c>
      <c r="P18" s="118" t="n">
        <f aca="false">1</f>
        <v>1</v>
      </c>
      <c r="Q18" s="75" t="str">
        <f aca="false">IFERROR(ROUND($P18*INDEX(HTS!$S:$S,MATCH($E18,HTS!$E:$E,0)),0),"")</f>
        <v/>
      </c>
      <c r="R18" s="118" t="n">
        <f aca="false">1</f>
        <v>1</v>
      </c>
      <c r="S18" s="75" t="str">
        <f aca="false">IFERROR(ROUND($R18*INDEX(HTS!$AM:$AM,MATCH($E18,HTS!$E:$E,0)),0),"")</f>
        <v/>
      </c>
      <c r="T18" s="118" t="n">
        <f aca="false">1</f>
        <v>1</v>
      </c>
      <c r="U18" s="75" t="str">
        <f aca="false">IFERROR(ROUND($T18*INDEX(HTS!$AV:$AV,MATCH($E18,HTS!$E:$E,0)),0),"")</f>
        <v/>
      </c>
      <c r="V18" s="118" t="n">
        <f aca="false">1</f>
        <v>1</v>
      </c>
      <c r="W18" s="75" t="str">
        <f aca="false">IFERROR(ROUND($V18*INDEX(HTS!$AY:$AY,MATCH($E18,HTS!$E:$E,0)),0),"")</f>
        <v/>
      </c>
      <c r="X18" s="118" t="n">
        <f aca="false">1</f>
        <v>1</v>
      </c>
      <c r="Y18" s="75" t="str">
        <f aca="false">IFERROR(ROUND($X18*INDEX(HTS!$BB:$BB,MATCH($E18,HTS!$E:$E,0)),0),"")</f>
        <v/>
      </c>
      <c r="Z18" s="118" t="n">
        <f aca="false">1</f>
        <v>1</v>
      </c>
      <c r="AA18" s="75" t="str">
        <f aca="false">IFERROR(ROUND($Z18*INDEX(HTS!$BE:$BE,MATCH($E18,HTS!$E:$E,0)),0),"")</f>
        <v/>
      </c>
      <c r="AB18" s="118" t="n">
        <f aca="false">1</f>
        <v>1</v>
      </c>
      <c r="AC18" s="75" t="str">
        <f aca="false">IFERROR(ROUND($AB18*INDEX(HTS!$BH:$BH,MATCH($E18,HTS!$E:$E,0)),0),"")</f>
        <v/>
      </c>
      <c r="AD18" s="118" t="n">
        <f aca="false">1</f>
        <v>1</v>
      </c>
      <c r="AE18" s="75" t="str">
        <f aca="false">IFERROR(ROUND($AD18*INDEX(HTS!$BK:$BK,MATCH($E18,HTS!$E:$E,0)),0),"")</f>
        <v/>
      </c>
      <c r="AF18" s="73" t="str">
        <f aca="false">IF(SUM($O18,$Q18,$S18,$K18,$G18,$I18,$M18,$U18,$W18,$Y18,$AA18,$AC18,$AE18)=0,"",SUM($O18,$Q18,$S18,$K18,$G18,$I18,$M18,$U18,$W18,$Y18,$AA18,$AC18,$AE18))</f>
        <v/>
      </c>
      <c r="AG18" s="73" t="str">
        <f aca="false">INDEX(HTS!$BN:$BN,MATCH($E18,HTS!$E:$E,0))</f>
        <v/>
      </c>
      <c r="AH18" s="118" t="str">
        <f aca="false">IF(SUM($AG18)&lt;=0,"",$AF18/$AG18)</f>
        <v/>
      </c>
    </row>
    <row r="19" customFormat="false" ht="15" hidden="false" customHeight="false" outlineLevel="0" collapsed="false">
      <c r="A19" s="0" t="s">
        <v>140</v>
      </c>
      <c r="B19" s="0" t="s">
        <v>141</v>
      </c>
      <c r="C19" s="0" t="s">
        <v>69</v>
      </c>
      <c r="D19" s="0" t="s">
        <v>56</v>
      </c>
      <c r="E19" s="0" t="str">
        <f aca="false">B19&amp;"|"&amp;C19&amp;"|"&amp;D19</f>
        <v>_Military Lesotho [#Military] [dDOqoFnD5Be]|25-29|Female</v>
      </c>
      <c r="F19" s="118" t="n">
        <f aca="false">IF($D19="Female",100%,"")</f>
        <v>1</v>
      </c>
      <c r="G19" s="75" t="n">
        <f aca="false">IFERROR(ROUND($F19*INDEX(PMTCT!$AE:$AE,MATCH($E19,PMTCT!$E:$E,0)),0),"")</f>
        <v>-5355</v>
      </c>
      <c r="H19" s="118" t="n">
        <f aca="false">IF($D19="Female",100%,"")</f>
        <v>1</v>
      </c>
      <c r="I19" s="75" t="str">
        <f aca="false">IFERROR(ROUND($H19*INDEX(PMTCT!$AU:$AU,MATCH($E19,PMTCT!$E:$E,0)),0),"")</f>
        <v/>
      </c>
      <c r="J19" s="118" t="n">
        <f aca="false">1</f>
        <v>1</v>
      </c>
      <c r="K19" s="75" t="n">
        <f aca="false">IFERROR(ROUND($J19*INDEX(TB!$Q:$Q,MATCH($E19,HTS!$E:$E,0)),0),"")</f>
        <v>-0</v>
      </c>
      <c r="L19" s="118" t="str">
        <f aca="false">IF($D19="Male",100%,"")</f>
        <v/>
      </c>
      <c r="M19" s="75" t="str">
        <f aca="false">IFERROR(ROUND($L19*INDEX(VMMC!$AC:$AC,MATCH($E19,VMMC!$E:$E,0)),0),"")</f>
        <v/>
      </c>
      <c r="N19" s="118" t="n">
        <f aca="false">1</f>
        <v>1</v>
      </c>
      <c r="O19" s="75" t="str">
        <f aca="false">IFERROR(ROUND($N19*INDEX(HTS!$Q:$Q,MATCH($E19,HTS!$E:$E,0)),0),"")</f>
        <v/>
      </c>
      <c r="P19" s="118" t="n">
        <f aca="false">1</f>
        <v>1</v>
      </c>
      <c r="Q19" s="75" t="str">
        <f aca="false">IFERROR(ROUND($P19*INDEX(HTS!$S:$S,MATCH($E19,HTS!$E:$E,0)),0),"")</f>
        <v/>
      </c>
      <c r="R19" s="118" t="n">
        <f aca="false">1</f>
        <v>1</v>
      </c>
      <c r="S19" s="75" t="str">
        <f aca="false">IFERROR(ROUND($R19*INDEX(HTS!$AM:$AM,MATCH($E19,HTS!$E:$E,0)),0),"")</f>
        <v/>
      </c>
      <c r="T19" s="118" t="n">
        <f aca="false">1</f>
        <v>1</v>
      </c>
      <c r="U19" s="75" t="str">
        <f aca="false">IFERROR(ROUND($T19*INDEX(HTS!$AV:$AV,MATCH($E19,HTS!$E:$E,0)),0),"")</f>
        <v/>
      </c>
      <c r="V19" s="118" t="n">
        <f aca="false">1</f>
        <v>1</v>
      </c>
      <c r="W19" s="75" t="str">
        <f aca="false">IFERROR(ROUND($V19*INDEX(HTS!$AY:$AY,MATCH($E19,HTS!$E:$E,0)),0),"")</f>
        <v/>
      </c>
      <c r="X19" s="118" t="n">
        <f aca="false">1</f>
        <v>1</v>
      </c>
      <c r="Y19" s="75" t="str">
        <f aca="false">IFERROR(ROUND($X19*INDEX(HTS!$BB:$BB,MATCH($E19,HTS!$E:$E,0)),0),"")</f>
        <v/>
      </c>
      <c r="Z19" s="118" t="n">
        <f aca="false">1</f>
        <v>1</v>
      </c>
      <c r="AA19" s="75" t="str">
        <f aca="false">IFERROR(ROUND($Z19*INDEX(HTS!$BE:$BE,MATCH($E19,HTS!$E:$E,0)),0),"")</f>
        <v/>
      </c>
      <c r="AB19" s="118" t="n">
        <f aca="false">1</f>
        <v>1</v>
      </c>
      <c r="AC19" s="75" t="str">
        <f aca="false">IFERROR(ROUND($AB19*INDEX(HTS!$BH:$BH,MATCH($E19,HTS!$E:$E,0)),0),"")</f>
        <v/>
      </c>
      <c r="AD19" s="118" t="n">
        <f aca="false">1</f>
        <v>1</v>
      </c>
      <c r="AE19" s="75" t="str">
        <f aca="false">IFERROR(ROUND($AD19*INDEX(HTS!$BK:$BK,MATCH($E19,HTS!$E:$E,0)),0),"")</f>
        <v/>
      </c>
      <c r="AF19" s="73" t="n">
        <f aca="false">IF(SUM($O19,$Q19,$S19,$K19,$G19,$I19,$M19,$U19,$W19,$Y19,$AA19,$AC19,$AE19)=0,"",SUM($O19,$Q19,$S19,$K19,$G19,$I19,$M19,$U19,$W19,$Y19,$AA19,$AC19,$AE19))</f>
        <v>-5355</v>
      </c>
      <c r="AG19" s="73" t="str">
        <f aca="false">INDEX(HTS!$BN:$BN,MATCH($E19,HTS!$E:$E,0))</f>
        <v/>
      </c>
      <c r="AH19" s="118" t="str">
        <f aca="false">IF(SUM($AG19)&lt;=0,"",$AF19/$AG19)</f>
        <v/>
      </c>
    </row>
    <row r="20" customFormat="false" ht="15" hidden="false" customHeight="false" outlineLevel="0" collapsed="false">
      <c r="A20" s="0" t="s">
        <v>140</v>
      </c>
      <c r="B20" s="0" t="s">
        <v>141</v>
      </c>
      <c r="C20" s="0" t="s">
        <v>69</v>
      </c>
      <c r="D20" s="0" t="s">
        <v>58</v>
      </c>
      <c r="E20" s="0" t="str">
        <f aca="false">B20&amp;"|"&amp;C20&amp;"|"&amp;D20</f>
        <v>_Military Lesotho [#Military] [dDOqoFnD5Be]|25-29|Male</v>
      </c>
      <c r="F20" s="118" t="str">
        <f aca="false">IF($D20="Female",100%,"")</f>
        <v/>
      </c>
      <c r="G20" s="75" t="str">
        <f aca="false">IFERROR(ROUND($F20*INDEX(PMTCT!$AE:$AE,MATCH($E20,PMTCT!$E:$E,0)),0),"")</f>
        <v/>
      </c>
      <c r="H20" s="118" t="str">
        <f aca="false">IF($D20="Female",100%,"")</f>
        <v/>
      </c>
      <c r="I20" s="75" t="str">
        <f aca="false">IFERROR(ROUND($H20*INDEX(PMTCT!$AU:$AU,MATCH($E20,PMTCT!$E:$E,0)),0),"")</f>
        <v/>
      </c>
      <c r="J20" s="118" t="n">
        <f aca="false">1</f>
        <v>1</v>
      </c>
      <c r="K20" s="75" t="n">
        <f aca="false">IFERROR(ROUND($J20*INDEX(TB!$Q:$Q,MATCH($E20,HTS!$E:$E,0)),0),"")</f>
        <v>-0</v>
      </c>
      <c r="L20" s="118" t="n">
        <f aca="false">IF($D20="Male",100%,"")</f>
        <v>1</v>
      </c>
      <c r="M20" s="75" t="n">
        <f aca="false">IFERROR(ROUND($L20*INDEX(VMMC!$AC:$AC,MATCH($E20,VMMC!$E:$E,0)),0),"")</f>
        <v>-0</v>
      </c>
      <c r="N20" s="118" t="n">
        <f aca="false">1</f>
        <v>1</v>
      </c>
      <c r="O20" s="75" t="str">
        <f aca="false">IFERROR(ROUND($N20*INDEX(HTS!$Q:$Q,MATCH($E20,HTS!$E:$E,0)),0),"")</f>
        <v/>
      </c>
      <c r="P20" s="118" t="n">
        <f aca="false">1</f>
        <v>1</v>
      </c>
      <c r="Q20" s="75" t="str">
        <f aca="false">IFERROR(ROUND($P20*INDEX(HTS!$S:$S,MATCH($E20,HTS!$E:$E,0)),0),"")</f>
        <v/>
      </c>
      <c r="R20" s="118" t="n">
        <f aca="false">1</f>
        <v>1</v>
      </c>
      <c r="S20" s="75" t="n">
        <f aca="false">IFERROR(ROUND($R20*INDEX(HTS!$AM:$AM,MATCH($E20,HTS!$E:$E,0)),0),"")</f>
        <v>42</v>
      </c>
      <c r="T20" s="118" t="n">
        <f aca="false">1</f>
        <v>1</v>
      </c>
      <c r="U20" s="75" t="n">
        <f aca="false">IFERROR(ROUND($T20*INDEX(HTS!$AV:$AV,MATCH($E20,HTS!$E:$E,0)),0),"")</f>
        <v>44</v>
      </c>
      <c r="V20" s="118" t="n">
        <f aca="false">1</f>
        <v>1</v>
      </c>
      <c r="W20" s="75" t="n">
        <f aca="false">IFERROR(ROUND($V20*INDEX(HTS!$AY:$AY,MATCH($E20,HTS!$E:$E,0)),0),"")</f>
        <v>36</v>
      </c>
      <c r="X20" s="118" t="n">
        <f aca="false">1</f>
        <v>1</v>
      </c>
      <c r="Y20" s="75" t="n">
        <f aca="false">IFERROR(ROUND($X20*INDEX(HTS!$BB:$BB,MATCH($E20,HTS!$E:$E,0)),0),"")</f>
        <v>43</v>
      </c>
      <c r="Z20" s="118" t="n">
        <f aca="false">1</f>
        <v>1</v>
      </c>
      <c r="AA20" s="75" t="n">
        <f aca="false">IFERROR(ROUND($Z20*INDEX(HTS!$BE:$BE,MATCH($E20,HTS!$E:$E,0)),0),"")</f>
        <v>32</v>
      </c>
      <c r="AB20" s="118" t="n">
        <f aca="false">1</f>
        <v>1</v>
      </c>
      <c r="AC20" s="75" t="n">
        <f aca="false">IFERROR(ROUND($AB20*INDEX(HTS!$BH:$BH,MATCH($E20,HTS!$E:$E,0)),0),"")</f>
        <v>23</v>
      </c>
      <c r="AD20" s="118" t="n">
        <f aca="false">1</f>
        <v>1</v>
      </c>
      <c r="AE20" s="75" t="n">
        <f aca="false">IFERROR(ROUND($AD20*INDEX(HTS!$BK:$BK,MATCH($E20,HTS!$E:$E,0)),0),"")</f>
        <v>5</v>
      </c>
      <c r="AF20" s="73" t="n">
        <f aca="false">IF(SUM($O20,$Q20,$S20,$K20,$G20,$I20,$M20,$U20,$W20,$Y20,$AA20,$AC20,$AE20)=0,"",SUM($O20,$Q20,$S20,$K20,$G20,$I20,$M20,$U20,$W20,$Y20,$AA20,$AC20,$AE20))</f>
        <v>225</v>
      </c>
      <c r="AG20" s="73" t="n">
        <f aca="false">INDEX(HTS!$BN:$BN,MATCH($E20,HTS!$E:$E,0))</f>
        <v>225</v>
      </c>
      <c r="AH20" s="118" t="n">
        <f aca="false">IF(SUM($AG20)&lt;=0,"",$AF20/$AG20)</f>
        <v>1</v>
      </c>
    </row>
    <row r="21" customFormat="false" ht="15" hidden="false" customHeight="false" outlineLevel="0" collapsed="false">
      <c r="A21" s="0" t="s">
        <v>140</v>
      </c>
      <c r="B21" s="0" t="s">
        <v>141</v>
      </c>
      <c r="C21" s="0" t="s">
        <v>72</v>
      </c>
      <c r="D21" s="0" t="s">
        <v>56</v>
      </c>
      <c r="E21" s="0" t="str">
        <f aca="false">B21&amp;"|"&amp;C21&amp;"|"&amp;D21</f>
        <v>_Military Lesotho [#Military] [dDOqoFnD5Be]|30-34|Female</v>
      </c>
      <c r="F21" s="118" t="n">
        <f aca="false">IF($D21="Female",100%,"")</f>
        <v>1</v>
      </c>
      <c r="G21" s="75" t="n">
        <f aca="false">IFERROR(ROUND($F21*INDEX(PMTCT!$AE:$AE,MATCH($E21,PMTCT!$E:$E,0)),0),"")</f>
        <v>-27962</v>
      </c>
      <c r="H21" s="118" t="n">
        <f aca="false">IF($D21="Female",100%,"")</f>
        <v>1</v>
      </c>
      <c r="I21" s="75" t="str">
        <f aca="false">IFERROR(ROUND($H21*INDEX(PMTCT!$AU:$AU,MATCH($E21,PMTCT!$E:$E,0)),0),"")</f>
        <v/>
      </c>
      <c r="J21" s="118" t="n">
        <f aca="false">1</f>
        <v>1</v>
      </c>
      <c r="K21" s="75" t="n">
        <f aca="false">IFERROR(ROUND($J21*INDEX(TB!$Q:$Q,MATCH($E21,HTS!$E:$E,0)),0),"")</f>
        <v>0</v>
      </c>
      <c r="L21" s="118" t="str">
        <f aca="false">IF($D21="Male",100%,"")</f>
        <v/>
      </c>
      <c r="M21" s="75" t="str">
        <f aca="false">IFERROR(ROUND($L21*INDEX(VMMC!$AC:$AC,MATCH($E21,VMMC!$E:$E,0)),0),"")</f>
        <v/>
      </c>
      <c r="N21" s="118" t="n">
        <f aca="false">1</f>
        <v>1</v>
      </c>
      <c r="O21" s="75" t="str">
        <f aca="false">IFERROR(ROUND($N21*INDEX(HTS!$Q:$Q,MATCH($E21,HTS!$E:$E,0)),0),"")</f>
        <v/>
      </c>
      <c r="P21" s="118" t="n">
        <f aca="false">1</f>
        <v>1</v>
      </c>
      <c r="Q21" s="75" t="str">
        <f aca="false">IFERROR(ROUND($P21*INDEX(HTS!$S:$S,MATCH($E21,HTS!$E:$E,0)),0),"")</f>
        <v/>
      </c>
      <c r="R21" s="118" t="n">
        <f aca="false">1</f>
        <v>1</v>
      </c>
      <c r="S21" s="75" t="str">
        <f aca="false">IFERROR(ROUND($R21*INDEX(HTS!$AM:$AM,MATCH($E21,HTS!$E:$E,0)),0),"")</f>
        <v/>
      </c>
      <c r="T21" s="118" t="n">
        <f aca="false">1</f>
        <v>1</v>
      </c>
      <c r="U21" s="75" t="str">
        <f aca="false">IFERROR(ROUND($T21*INDEX(HTS!$AV:$AV,MATCH($E21,HTS!$E:$E,0)),0),"")</f>
        <v/>
      </c>
      <c r="V21" s="118" t="n">
        <f aca="false">1</f>
        <v>1</v>
      </c>
      <c r="W21" s="75" t="str">
        <f aca="false">IFERROR(ROUND($V21*INDEX(HTS!$AY:$AY,MATCH($E21,HTS!$E:$E,0)),0),"")</f>
        <v/>
      </c>
      <c r="X21" s="118" t="n">
        <f aca="false">1</f>
        <v>1</v>
      </c>
      <c r="Y21" s="75" t="str">
        <f aca="false">IFERROR(ROUND($X21*INDEX(HTS!$BB:$BB,MATCH($E21,HTS!$E:$E,0)),0),"")</f>
        <v/>
      </c>
      <c r="Z21" s="118" t="n">
        <f aca="false">1</f>
        <v>1</v>
      </c>
      <c r="AA21" s="75" t="str">
        <f aca="false">IFERROR(ROUND($Z21*INDEX(HTS!$BE:$BE,MATCH($E21,HTS!$E:$E,0)),0),"")</f>
        <v/>
      </c>
      <c r="AB21" s="118" t="n">
        <f aca="false">1</f>
        <v>1</v>
      </c>
      <c r="AC21" s="75" t="str">
        <f aca="false">IFERROR(ROUND($AB21*INDEX(HTS!$BH:$BH,MATCH($E21,HTS!$E:$E,0)),0),"")</f>
        <v/>
      </c>
      <c r="AD21" s="118" t="n">
        <f aca="false">1</f>
        <v>1</v>
      </c>
      <c r="AE21" s="75" t="str">
        <f aca="false">IFERROR(ROUND($AD21*INDEX(HTS!$BK:$BK,MATCH($E21,HTS!$E:$E,0)),0),"")</f>
        <v/>
      </c>
      <c r="AF21" s="73" t="n">
        <f aca="false">IF(SUM($O21,$Q21,$S21,$K21,$G21,$I21,$M21,$U21,$W21,$Y21,$AA21,$AC21,$AE21)=0,"",SUM($O21,$Q21,$S21,$K21,$G21,$I21,$M21,$U21,$W21,$Y21,$AA21,$AC21,$AE21))</f>
        <v>-27962</v>
      </c>
      <c r="AG21" s="73" t="str">
        <f aca="false">INDEX(HTS!$BN:$BN,MATCH($E21,HTS!$E:$E,0))</f>
        <v/>
      </c>
      <c r="AH21" s="118" t="str">
        <f aca="false">IF(SUM($AG21)&lt;=0,"",$AF21/$AG21)</f>
        <v/>
      </c>
    </row>
    <row r="22" customFormat="false" ht="15" hidden="false" customHeight="false" outlineLevel="0" collapsed="false">
      <c r="A22" s="0" t="s">
        <v>140</v>
      </c>
      <c r="B22" s="0" t="s">
        <v>141</v>
      </c>
      <c r="C22" s="0" t="s">
        <v>72</v>
      </c>
      <c r="D22" s="0" t="s">
        <v>58</v>
      </c>
      <c r="E22" s="0" t="str">
        <f aca="false">B22&amp;"|"&amp;C22&amp;"|"&amp;D22</f>
        <v>_Military Lesotho [#Military] [dDOqoFnD5Be]|30-34|Male</v>
      </c>
      <c r="F22" s="118" t="str">
        <f aca="false">IF($D22="Female",100%,"")</f>
        <v/>
      </c>
      <c r="G22" s="75" t="str">
        <f aca="false">IFERROR(ROUND($F22*INDEX(PMTCT!$AE:$AE,MATCH($E22,PMTCT!$E:$E,0)),0),"")</f>
        <v/>
      </c>
      <c r="H22" s="118" t="str">
        <f aca="false">IF($D22="Female",100%,"")</f>
        <v/>
      </c>
      <c r="I22" s="75" t="str">
        <f aca="false">IFERROR(ROUND($H22*INDEX(PMTCT!$AU:$AU,MATCH($E22,PMTCT!$E:$E,0)),0),"")</f>
        <v/>
      </c>
      <c r="J22" s="118" t="n">
        <f aca="false">1</f>
        <v>1</v>
      </c>
      <c r="K22" s="75" t="n">
        <f aca="false">IFERROR(ROUND($J22*INDEX(TB!$Q:$Q,MATCH($E22,HTS!$E:$E,0)),0),"")</f>
        <v>-9240</v>
      </c>
      <c r="L22" s="118" t="n">
        <f aca="false">IF($D22="Male",100%,"")</f>
        <v>1</v>
      </c>
      <c r="M22" s="75" t="str">
        <f aca="false">IFERROR(ROUND($L22*INDEX(VMMC!$AC:$AC,MATCH($E22,VMMC!$E:$E,0)),0),"")</f>
        <v/>
      </c>
      <c r="N22" s="118" t="n">
        <f aca="false">1</f>
        <v>1</v>
      </c>
      <c r="O22" s="75" t="str">
        <f aca="false">IFERROR(ROUND($N22*INDEX(HTS!$Q:$Q,MATCH($E22,HTS!$E:$E,0)),0),"")</f>
        <v/>
      </c>
      <c r="P22" s="118" t="n">
        <f aca="false">1</f>
        <v>1</v>
      </c>
      <c r="Q22" s="75" t="str">
        <f aca="false">IFERROR(ROUND($P22*INDEX(HTS!$S:$S,MATCH($E22,HTS!$E:$E,0)),0),"")</f>
        <v/>
      </c>
      <c r="R22" s="118" t="n">
        <f aca="false">1</f>
        <v>1</v>
      </c>
      <c r="S22" s="75" t="str">
        <f aca="false">IFERROR(ROUND($R22*INDEX(HTS!$AM:$AM,MATCH($E22,HTS!$E:$E,0)),0),"")</f>
        <v/>
      </c>
      <c r="T22" s="118" t="n">
        <f aca="false">1</f>
        <v>1</v>
      </c>
      <c r="U22" s="75" t="str">
        <f aca="false">IFERROR(ROUND($T22*INDEX(HTS!$AV:$AV,MATCH($E22,HTS!$E:$E,0)),0),"")</f>
        <v/>
      </c>
      <c r="V22" s="118" t="n">
        <f aca="false">1</f>
        <v>1</v>
      </c>
      <c r="W22" s="75" t="str">
        <f aca="false">IFERROR(ROUND($V22*INDEX(HTS!$AY:$AY,MATCH($E22,HTS!$E:$E,0)),0),"")</f>
        <v/>
      </c>
      <c r="X22" s="118" t="n">
        <f aca="false">1</f>
        <v>1</v>
      </c>
      <c r="Y22" s="75" t="str">
        <f aca="false">IFERROR(ROUND($X22*INDEX(HTS!$BB:$BB,MATCH($E22,HTS!$E:$E,0)),0),"")</f>
        <v/>
      </c>
      <c r="Z22" s="118" t="n">
        <f aca="false">1</f>
        <v>1</v>
      </c>
      <c r="AA22" s="75" t="str">
        <f aca="false">IFERROR(ROUND($Z22*INDEX(HTS!$BE:$BE,MATCH($E22,HTS!$E:$E,0)),0),"")</f>
        <v/>
      </c>
      <c r="AB22" s="118" t="n">
        <f aca="false">1</f>
        <v>1</v>
      </c>
      <c r="AC22" s="75" t="str">
        <f aca="false">IFERROR(ROUND($AB22*INDEX(HTS!$BH:$BH,MATCH($E22,HTS!$E:$E,0)),0),"")</f>
        <v/>
      </c>
      <c r="AD22" s="118" t="n">
        <f aca="false">1</f>
        <v>1</v>
      </c>
      <c r="AE22" s="75" t="str">
        <f aca="false">IFERROR(ROUND($AD22*INDEX(HTS!$BK:$BK,MATCH($E22,HTS!$E:$E,0)),0),"")</f>
        <v/>
      </c>
      <c r="AF22" s="73" t="n">
        <f aca="false">IF(SUM($O22,$Q22,$S22,$K22,$G22,$I22,$M22,$U22,$W22,$Y22,$AA22,$AC22,$AE22)=0,"",SUM($O22,$Q22,$S22,$K22,$G22,$I22,$M22,$U22,$W22,$Y22,$AA22,$AC22,$AE22))</f>
        <v>-9240</v>
      </c>
      <c r="AG22" s="73" t="str">
        <f aca="false">INDEX(HTS!$BN:$BN,MATCH($E22,HTS!$E:$E,0))</f>
        <v/>
      </c>
      <c r="AH22" s="118" t="str">
        <f aca="false">IF(SUM($AG22)&lt;=0,"",$AF22/$AG22)</f>
        <v/>
      </c>
    </row>
    <row r="23" customFormat="false" ht="15" hidden="false" customHeight="false" outlineLevel="0" collapsed="false">
      <c r="A23" s="0" t="s">
        <v>140</v>
      </c>
      <c r="B23" s="0" t="s">
        <v>141</v>
      </c>
      <c r="C23" s="0" t="s">
        <v>75</v>
      </c>
      <c r="D23" s="0" t="s">
        <v>56</v>
      </c>
      <c r="E23" s="0" t="str">
        <f aca="false">B23&amp;"|"&amp;C23&amp;"|"&amp;D23</f>
        <v>_Military Lesotho [#Military] [dDOqoFnD5Be]|35-39|Female</v>
      </c>
      <c r="F23" s="118" t="n">
        <f aca="false">IF($D23="Female",100%,"")</f>
        <v>1</v>
      </c>
      <c r="G23" s="75" t="n">
        <f aca="false">IFERROR(ROUND($F23*INDEX(PMTCT!$AE:$AE,MATCH($E23,PMTCT!$E:$E,0)),0),"")</f>
        <v>-0</v>
      </c>
      <c r="H23" s="118" t="n">
        <f aca="false">IF($D23="Female",100%,"")</f>
        <v>1</v>
      </c>
      <c r="I23" s="75" t="str">
        <f aca="false">IFERROR(ROUND($H23*INDEX(PMTCT!$AU:$AU,MATCH($E23,PMTCT!$E:$E,0)),0),"")</f>
        <v/>
      </c>
      <c r="J23" s="118" t="n">
        <f aca="false">1</f>
        <v>1</v>
      </c>
      <c r="K23" s="75" t="n">
        <f aca="false">IFERROR(ROUND($J23*INDEX(TB!$Q:$Q,MATCH($E23,HTS!$E:$E,0)),0),"")</f>
        <v>403</v>
      </c>
      <c r="L23" s="118" t="str">
        <f aca="false">IF($D23="Male",100%,"")</f>
        <v/>
      </c>
      <c r="M23" s="75" t="str">
        <f aca="false">IFERROR(ROUND($L23*INDEX(VMMC!$AC:$AC,MATCH($E23,VMMC!$E:$E,0)),0),"")</f>
        <v/>
      </c>
      <c r="N23" s="118" t="n">
        <f aca="false">1</f>
        <v>1</v>
      </c>
      <c r="O23" s="75" t="str">
        <f aca="false">IFERROR(ROUND($N23*INDEX(HTS!$Q:$Q,MATCH($E23,HTS!$E:$E,0)),0),"")</f>
        <v/>
      </c>
      <c r="P23" s="118" t="n">
        <f aca="false">1</f>
        <v>1</v>
      </c>
      <c r="Q23" s="75" t="str">
        <f aca="false">IFERROR(ROUND($P23*INDEX(HTS!$S:$S,MATCH($E23,HTS!$E:$E,0)),0),"")</f>
        <v/>
      </c>
      <c r="R23" s="118" t="n">
        <f aca="false">1</f>
        <v>1</v>
      </c>
      <c r="S23" s="75" t="str">
        <f aca="false">IFERROR(ROUND($R23*INDEX(HTS!$AM:$AM,MATCH($E23,HTS!$E:$E,0)),0),"")</f>
        <v/>
      </c>
      <c r="T23" s="118" t="n">
        <f aca="false">1</f>
        <v>1</v>
      </c>
      <c r="U23" s="75" t="str">
        <f aca="false">IFERROR(ROUND($T23*INDEX(HTS!$AV:$AV,MATCH($E23,HTS!$E:$E,0)),0),"")</f>
        <v/>
      </c>
      <c r="V23" s="118" t="n">
        <f aca="false">1</f>
        <v>1</v>
      </c>
      <c r="W23" s="75" t="str">
        <f aca="false">IFERROR(ROUND($V23*INDEX(HTS!$AY:$AY,MATCH($E23,HTS!$E:$E,0)),0),"")</f>
        <v/>
      </c>
      <c r="X23" s="118" t="n">
        <f aca="false">1</f>
        <v>1</v>
      </c>
      <c r="Y23" s="75" t="str">
        <f aca="false">IFERROR(ROUND($X23*INDEX(HTS!$BB:$BB,MATCH($E23,HTS!$E:$E,0)),0),"")</f>
        <v/>
      </c>
      <c r="Z23" s="118" t="n">
        <f aca="false">1</f>
        <v>1</v>
      </c>
      <c r="AA23" s="75" t="str">
        <f aca="false">IFERROR(ROUND($Z23*INDEX(HTS!$BE:$BE,MATCH($E23,HTS!$E:$E,0)),0),"")</f>
        <v/>
      </c>
      <c r="AB23" s="118" t="n">
        <f aca="false">1</f>
        <v>1</v>
      </c>
      <c r="AC23" s="75" t="str">
        <f aca="false">IFERROR(ROUND($AB23*INDEX(HTS!$BH:$BH,MATCH($E23,HTS!$E:$E,0)),0),"")</f>
        <v/>
      </c>
      <c r="AD23" s="118" t="n">
        <f aca="false">1</f>
        <v>1</v>
      </c>
      <c r="AE23" s="75" t="str">
        <f aca="false">IFERROR(ROUND($AD23*INDEX(HTS!$BK:$BK,MATCH($E23,HTS!$E:$E,0)),0),"")</f>
        <v/>
      </c>
      <c r="AF23" s="73" t="n">
        <f aca="false">IF(SUM($O23,$Q23,$S23,$K23,$G23,$I23,$M23,$U23,$W23,$Y23,$AA23,$AC23,$AE23)=0,"",SUM($O23,$Q23,$S23,$K23,$G23,$I23,$M23,$U23,$W23,$Y23,$AA23,$AC23,$AE23))</f>
        <v>403</v>
      </c>
      <c r="AG23" s="73" t="str">
        <f aca="false">INDEX(HTS!$BN:$BN,MATCH($E23,HTS!$E:$E,0))</f>
        <v/>
      </c>
      <c r="AH23" s="118" t="str">
        <f aca="false">IF(SUM($AG23)&lt;=0,"",$AF23/$AG23)</f>
        <v/>
      </c>
    </row>
    <row r="24" customFormat="false" ht="15" hidden="false" customHeight="false" outlineLevel="0" collapsed="false">
      <c r="A24" s="0" t="s">
        <v>140</v>
      </c>
      <c r="B24" s="0" t="s">
        <v>141</v>
      </c>
      <c r="C24" s="0" t="s">
        <v>75</v>
      </c>
      <c r="D24" s="0" t="s">
        <v>58</v>
      </c>
      <c r="E24" s="0" t="str">
        <f aca="false">B24&amp;"|"&amp;C24&amp;"|"&amp;D24</f>
        <v>_Military Lesotho [#Military] [dDOqoFnD5Be]|35-39|Male</v>
      </c>
      <c r="F24" s="118" t="str">
        <f aca="false">IF($D24="Female",100%,"")</f>
        <v/>
      </c>
      <c r="G24" s="75" t="str">
        <f aca="false">IFERROR(ROUND($F24*INDEX(PMTCT!$AE:$AE,MATCH($E24,PMTCT!$E:$E,0)),0),"")</f>
        <v/>
      </c>
      <c r="H24" s="118" t="str">
        <f aca="false">IF($D24="Female",100%,"")</f>
        <v/>
      </c>
      <c r="I24" s="75" t="str">
        <f aca="false">IFERROR(ROUND($H24*INDEX(PMTCT!$AU:$AU,MATCH($E24,PMTCT!$E:$E,0)),0),"")</f>
        <v/>
      </c>
      <c r="J24" s="118" t="n">
        <f aca="false">1</f>
        <v>1</v>
      </c>
      <c r="K24" s="75" t="n">
        <f aca="false">IFERROR(ROUND($J24*INDEX(TB!$Q:$Q,MATCH($E24,HTS!$E:$E,0)),0),"")</f>
        <v>-0</v>
      </c>
      <c r="L24" s="118" t="n">
        <f aca="false">IF($D24="Male",100%,"")</f>
        <v>1</v>
      </c>
      <c r="M24" s="75" t="n">
        <f aca="false">IFERROR(ROUND($L24*INDEX(VMMC!$AC:$AC,MATCH($E24,VMMC!$E:$E,0)),0),"")</f>
        <v>-17484</v>
      </c>
      <c r="N24" s="118" t="n">
        <f aca="false">1</f>
        <v>1</v>
      </c>
      <c r="O24" s="75" t="str">
        <f aca="false">IFERROR(ROUND($N24*INDEX(HTS!$Q:$Q,MATCH($E24,HTS!$E:$E,0)),0),"")</f>
        <v/>
      </c>
      <c r="P24" s="118" t="n">
        <f aca="false">1</f>
        <v>1</v>
      </c>
      <c r="Q24" s="75" t="str">
        <f aca="false">IFERROR(ROUND($P24*INDEX(HTS!$S:$S,MATCH($E24,HTS!$E:$E,0)),0),"")</f>
        <v/>
      </c>
      <c r="R24" s="118" t="n">
        <f aca="false">1</f>
        <v>1</v>
      </c>
      <c r="S24" s="75" t="str">
        <f aca="false">IFERROR(ROUND($R24*INDEX(HTS!$AM:$AM,MATCH($E24,HTS!$E:$E,0)),0),"")</f>
        <v/>
      </c>
      <c r="T24" s="118" t="n">
        <f aca="false">1</f>
        <v>1</v>
      </c>
      <c r="U24" s="75" t="str">
        <f aca="false">IFERROR(ROUND($T24*INDEX(HTS!$AV:$AV,MATCH($E24,HTS!$E:$E,0)),0),"")</f>
        <v/>
      </c>
      <c r="V24" s="118" t="n">
        <f aca="false">1</f>
        <v>1</v>
      </c>
      <c r="W24" s="75" t="str">
        <f aca="false">IFERROR(ROUND($V24*INDEX(HTS!$AY:$AY,MATCH($E24,HTS!$E:$E,0)),0),"")</f>
        <v/>
      </c>
      <c r="X24" s="118" t="n">
        <f aca="false">1</f>
        <v>1</v>
      </c>
      <c r="Y24" s="75" t="str">
        <f aca="false">IFERROR(ROUND($X24*INDEX(HTS!$BB:$BB,MATCH($E24,HTS!$E:$E,0)),0),"")</f>
        <v/>
      </c>
      <c r="Z24" s="118" t="n">
        <f aca="false">1</f>
        <v>1</v>
      </c>
      <c r="AA24" s="75" t="str">
        <f aca="false">IFERROR(ROUND($Z24*INDEX(HTS!$BE:$BE,MATCH($E24,HTS!$E:$E,0)),0),"")</f>
        <v/>
      </c>
      <c r="AB24" s="118" t="n">
        <f aca="false">1</f>
        <v>1</v>
      </c>
      <c r="AC24" s="75" t="str">
        <f aca="false">IFERROR(ROUND($AB24*INDEX(HTS!$BH:$BH,MATCH($E24,HTS!$E:$E,0)),0),"")</f>
        <v/>
      </c>
      <c r="AD24" s="118" t="n">
        <f aca="false">1</f>
        <v>1</v>
      </c>
      <c r="AE24" s="75" t="str">
        <f aca="false">IFERROR(ROUND($AD24*INDEX(HTS!$BK:$BK,MATCH($E24,HTS!$E:$E,0)),0),"")</f>
        <v/>
      </c>
      <c r="AF24" s="73" t="n">
        <f aca="false">IF(SUM($O24,$Q24,$S24,$K24,$G24,$I24,$M24,$U24,$W24,$Y24,$AA24,$AC24,$AE24)=0,"",SUM($O24,$Q24,$S24,$K24,$G24,$I24,$M24,$U24,$W24,$Y24,$AA24,$AC24,$AE24))</f>
        <v>-17484</v>
      </c>
      <c r="AG24" s="73" t="str">
        <f aca="false">INDEX(HTS!$BN:$BN,MATCH($E24,HTS!$E:$E,0))</f>
        <v/>
      </c>
      <c r="AH24" s="118" t="str">
        <f aca="false">IF(SUM($AG24)&lt;=0,"",$AF24/$AG24)</f>
        <v/>
      </c>
    </row>
    <row r="25" customFormat="false" ht="15" hidden="false" customHeight="false" outlineLevel="0" collapsed="false">
      <c r="A25" s="0" t="s">
        <v>140</v>
      </c>
      <c r="B25" s="0" t="s">
        <v>141</v>
      </c>
      <c r="C25" s="0" t="s">
        <v>77</v>
      </c>
      <c r="D25" s="0" t="s">
        <v>56</v>
      </c>
      <c r="E25" s="0" t="str">
        <f aca="false">B25&amp;"|"&amp;C25&amp;"|"&amp;D25</f>
        <v>_Military Lesotho [#Military] [dDOqoFnD5Be]|40-44|Female</v>
      </c>
      <c r="F25" s="118" t="n">
        <f aca="false">IF($D25="Female",100%,"")</f>
        <v>1</v>
      </c>
      <c r="G25" s="75" t="str">
        <f aca="false">IFERROR(ROUND($F25*INDEX(PMTCT!$AE:$AE,MATCH($E25,PMTCT!$E:$E,0)),0),"")</f>
        <v/>
      </c>
      <c r="H25" s="118" t="n">
        <f aca="false">IF($D25="Female",100%,"")</f>
        <v>1</v>
      </c>
      <c r="I25" s="75" t="str">
        <f aca="false">IFERROR(ROUND($H25*INDEX(PMTCT!$AU:$AU,MATCH($E25,PMTCT!$E:$E,0)),0),"")</f>
        <v/>
      </c>
      <c r="J25" s="118" t="n">
        <f aca="false">1</f>
        <v>1</v>
      </c>
      <c r="K25" s="75" t="n">
        <f aca="false">IFERROR(ROUND($J25*INDEX(TB!$Q:$Q,MATCH($E25,HTS!$E:$E,0)),0),"")</f>
        <v>-0</v>
      </c>
      <c r="L25" s="118" t="str">
        <f aca="false">IF($D25="Male",100%,"")</f>
        <v/>
      </c>
      <c r="M25" s="75" t="str">
        <f aca="false">IFERROR(ROUND($L25*INDEX(VMMC!$AC:$AC,MATCH($E25,VMMC!$E:$E,0)),0),"")</f>
        <v/>
      </c>
      <c r="N25" s="118" t="n">
        <f aca="false">1</f>
        <v>1</v>
      </c>
      <c r="O25" s="75" t="str">
        <f aca="false">IFERROR(ROUND($N25*INDEX(HTS!$Q:$Q,MATCH($E25,HTS!$E:$E,0)),0),"")</f>
        <v/>
      </c>
      <c r="P25" s="118" t="n">
        <f aca="false">1</f>
        <v>1</v>
      </c>
      <c r="Q25" s="75" t="str">
        <f aca="false">IFERROR(ROUND($P25*INDEX(HTS!$S:$S,MATCH($E25,HTS!$E:$E,0)),0),"")</f>
        <v/>
      </c>
      <c r="R25" s="118" t="n">
        <f aca="false">1</f>
        <v>1</v>
      </c>
      <c r="S25" s="75" t="str">
        <f aca="false">IFERROR(ROUND($R25*INDEX(HTS!$AM:$AM,MATCH($E25,HTS!$E:$E,0)),0),"")</f>
        <v/>
      </c>
      <c r="T25" s="118" t="n">
        <f aca="false">1</f>
        <v>1</v>
      </c>
      <c r="U25" s="75" t="str">
        <f aca="false">IFERROR(ROUND($T25*INDEX(HTS!$AV:$AV,MATCH($E25,HTS!$E:$E,0)),0),"")</f>
        <v/>
      </c>
      <c r="V25" s="118" t="n">
        <f aca="false">1</f>
        <v>1</v>
      </c>
      <c r="W25" s="75" t="str">
        <f aca="false">IFERROR(ROUND($V25*INDEX(HTS!$AY:$AY,MATCH($E25,HTS!$E:$E,0)),0),"")</f>
        <v/>
      </c>
      <c r="X25" s="118" t="n">
        <f aca="false">1</f>
        <v>1</v>
      </c>
      <c r="Y25" s="75" t="str">
        <f aca="false">IFERROR(ROUND($X25*INDEX(HTS!$BB:$BB,MATCH($E25,HTS!$E:$E,0)),0),"")</f>
        <v/>
      </c>
      <c r="Z25" s="118" t="n">
        <f aca="false">1</f>
        <v>1</v>
      </c>
      <c r="AA25" s="75" t="str">
        <f aca="false">IFERROR(ROUND($Z25*INDEX(HTS!$BE:$BE,MATCH($E25,HTS!$E:$E,0)),0),"")</f>
        <v/>
      </c>
      <c r="AB25" s="118" t="n">
        <f aca="false">1</f>
        <v>1</v>
      </c>
      <c r="AC25" s="75" t="str">
        <f aca="false">IFERROR(ROUND($AB25*INDEX(HTS!$BH:$BH,MATCH($E25,HTS!$E:$E,0)),0),"")</f>
        <v/>
      </c>
      <c r="AD25" s="118" t="n">
        <f aca="false">1</f>
        <v>1</v>
      </c>
      <c r="AE25" s="75" t="str">
        <f aca="false">IFERROR(ROUND($AD25*INDEX(HTS!$BK:$BK,MATCH($E25,HTS!$E:$E,0)),0),"")</f>
        <v/>
      </c>
      <c r="AF25" s="73" t="str">
        <f aca="false">IF(SUM($O25,$Q25,$S25,$K25,$G25,$I25,$M25,$U25,$W25,$Y25,$AA25,$AC25,$AE25)=0,"",SUM($O25,$Q25,$S25,$K25,$G25,$I25,$M25,$U25,$W25,$Y25,$AA25,$AC25,$AE25))</f>
        <v/>
      </c>
      <c r="AG25" s="73" t="str">
        <f aca="false">INDEX(HTS!$BN:$BN,MATCH($E25,HTS!$E:$E,0))</f>
        <v/>
      </c>
      <c r="AH25" s="118" t="str">
        <f aca="false">IF(SUM($AG25)&lt;=0,"",$AF25/$AG25)</f>
        <v/>
      </c>
    </row>
    <row r="26" customFormat="false" ht="15" hidden="false" customHeight="false" outlineLevel="0" collapsed="false">
      <c r="A26" s="0" t="s">
        <v>140</v>
      </c>
      <c r="B26" s="0" t="s">
        <v>141</v>
      </c>
      <c r="C26" s="0" t="s">
        <v>77</v>
      </c>
      <c r="D26" s="0" t="s">
        <v>58</v>
      </c>
      <c r="E26" s="0" t="str">
        <f aca="false">B26&amp;"|"&amp;C26&amp;"|"&amp;D26</f>
        <v>_Military Lesotho [#Military] [dDOqoFnD5Be]|40-44|Male</v>
      </c>
      <c r="F26" s="118" t="str">
        <f aca="false">IF($D26="Female",100%,"")</f>
        <v/>
      </c>
      <c r="G26" s="75" t="str">
        <f aca="false">IFERROR(ROUND($F26*INDEX(PMTCT!$AE:$AE,MATCH($E26,PMTCT!$E:$E,0)),0),"")</f>
        <v/>
      </c>
      <c r="H26" s="118" t="str">
        <f aca="false">IF($D26="Female",100%,"")</f>
        <v/>
      </c>
      <c r="I26" s="75" t="str">
        <f aca="false">IFERROR(ROUND($H26*INDEX(PMTCT!$AU:$AU,MATCH($E26,PMTCT!$E:$E,0)),0),"")</f>
        <v/>
      </c>
      <c r="J26" s="118" t="n">
        <f aca="false">1</f>
        <v>1</v>
      </c>
      <c r="K26" s="75" t="n">
        <f aca="false">IFERROR(ROUND($J26*INDEX(TB!$Q:$Q,MATCH($E26,HTS!$E:$E,0)),0),"")</f>
        <v>45</v>
      </c>
      <c r="L26" s="118" t="n">
        <f aca="false">IF($D26="Male",100%,"")</f>
        <v>1</v>
      </c>
      <c r="M26" s="75" t="n">
        <f aca="false">IFERROR(ROUND($L26*INDEX(VMMC!$AC:$AC,MATCH($E26,VMMC!$E:$E,0)),0),"")</f>
        <v>-0</v>
      </c>
      <c r="N26" s="118" t="n">
        <f aca="false">1</f>
        <v>1</v>
      </c>
      <c r="O26" s="75" t="str">
        <f aca="false">IFERROR(ROUND($N26*INDEX(HTS!$Q:$Q,MATCH($E26,HTS!$E:$E,0)),0),"")</f>
        <v/>
      </c>
      <c r="P26" s="118" t="n">
        <f aca="false">1</f>
        <v>1</v>
      </c>
      <c r="Q26" s="75" t="str">
        <f aca="false">IFERROR(ROUND($P26*INDEX(HTS!$S:$S,MATCH($E26,HTS!$E:$E,0)),0),"")</f>
        <v/>
      </c>
      <c r="R26" s="118" t="n">
        <f aca="false">1</f>
        <v>1</v>
      </c>
      <c r="S26" s="75" t="n">
        <f aca="false">IFERROR(ROUND($R26*INDEX(HTS!$AM:$AM,MATCH($E26,HTS!$E:$E,0)),0),"")</f>
        <v>39</v>
      </c>
      <c r="T26" s="118" t="n">
        <f aca="false">1</f>
        <v>1</v>
      </c>
      <c r="U26" s="75" t="n">
        <f aca="false">IFERROR(ROUND($T26*INDEX(HTS!$AV:$AV,MATCH($E26,HTS!$E:$E,0)),0),"")</f>
        <v>25</v>
      </c>
      <c r="V26" s="118" t="n">
        <f aca="false">1</f>
        <v>1</v>
      </c>
      <c r="W26" s="75" t="n">
        <f aca="false">IFERROR(ROUND($V26*INDEX(HTS!$AY:$AY,MATCH($E26,HTS!$E:$E,0)),0),"")</f>
        <v>32</v>
      </c>
      <c r="X26" s="118" t="n">
        <f aca="false">1</f>
        <v>1</v>
      </c>
      <c r="Y26" s="75" t="n">
        <f aca="false">IFERROR(ROUND($X26*INDEX(HTS!$BB:$BB,MATCH($E26,HTS!$E:$E,0)),0),"")</f>
        <v>2</v>
      </c>
      <c r="Z26" s="118" t="n">
        <f aca="false">1</f>
        <v>1</v>
      </c>
      <c r="AA26" s="75" t="n">
        <f aca="false">IFERROR(ROUND($Z26*INDEX(HTS!$BE:$BE,MATCH($E26,HTS!$E:$E,0)),0),"")</f>
        <v>26</v>
      </c>
      <c r="AB26" s="118" t="n">
        <f aca="false">1</f>
        <v>1</v>
      </c>
      <c r="AC26" s="75" t="n">
        <f aca="false">IFERROR(ROUND($AB26*INDEX(HTS!$BH:$BH,MATCH($E26,HTS!$E:$E,0)),0),"")</f>
        <v>2</v>
      </c>
      <c r="AD26" s="118" t="n">
        <f aca="false">1</f>
        <v>1</v>
      </c>
      <c r="AE26" s="75" t="n">
        <f aca="false">IFERROR(ROUND($AD26*INDEX(HTS!$BK:$BK,MATCH($E26,HTS!$E:$E,0)),0),"")</f>
        <v>48</v>
      </c>
      <c r="AF26" s="73" t="n">
        <f aca="false">IF(SUM($O26,$Q26,$S26,$K26,$G26,$I26,$M26,$U26,$W26,$Y26,$AA26,$AC26,$AE26)=0,"",SUM($O26,$Q26,$S26,$K26,$G26,$I26,$M26,$U26,$W26,$Y26,$AA26,$AC26,$AE26))</f>
        <v>219</v>
      </c>
      <c r="AG26" s="73" t="n">
        <f aca="false">INDEX(HTS!$BN:$BN,MATCH($E26,HTS!$E:$E,0))</f>
        <v>219</v>
      </c>
      <c r="AH26" s="118" t="n">
        <f aca="false">IF(SUM($AG26)&lt;=0,"",$AF26/$AG26)</f>
        <v>1</v>
      </c>
    </row>
    <row r="27" customFormat="false" ht="15" hidden="false" customHeight="false" outlineLevel="0" collapsed="false">
      <c r="A27" s="0" t="s">
        <v>140</v>
      </c>
      <c r="B27" s="0" t="s">
        <v>141</v>
      </c>
      <c r="C27" s="0" t="s">
        <v>80</v>
      </c>
      <c r="D27" s="0" t="s">
        <v>56</v>
      </c>
      <c r="E27" s="0" t="str">
        <f aca="false">B27&amp;"|"&amp;C27&amp;"|"&amp;D27</f>
        <v>_Military Lesotho [#Military] [dDOqoFnD5Be]|45-49|Female</v>
      </c>
      <c r="F27" s="118" t="n">
        <f aca="false">IF($D27="Female",100%,"")</f>
        <v>1</v>
      </c>
      <c r="G27" s="75" t="str">
        <f aca="false">IFERROR(ROUND($F27*INDEX(PMTCT!$AE:$AE,MATCH($E27,PMTCT!$E:$E,0)),0),"")</f>
        <v/>
      </c>
      <c r="H27" s="118" t="n">
        <f aca="false">IF($D27="Female",100%,"")</f>
        <v>1</v>
      </c>
      <c r="I27" s="75" t="str">
        <f aca="false">IFERROR(ROUND($H27*INDEX(PMTCT!$AU:$AU,MATCH($E27,PMTCT!$E:$E,0)),0),"")</f>
        <v/>
      </c>
      <c r="J27" s="118" t="n">
        <f aca="false">1</f>
        <v>1</v>
      </c>
      <c r="K27" s="75" t="n">
        <f aca="false">IFERROR(ROUND($J27*INDEX(TB!$Q:$Q,MATCH($E27,HTS!$E:$E,0)),0),"")</f>
        <v>-0</v>
      </c>
      <c r="L27" s="118" t="str">
        <f aca="false">IF($D27="Male",100%,"")</f>
        <v/>
      </c>
      <c r="M27" s="75" t="str">
        <f aca="false">IFERROR(ROUND($L27*INDEX(VMMC!$AC:$AC,MATCH($E27,VMMC!$E:$E,0)),0),"")</f>
        <v/>
      </c>
      <c r="N27" s="118" t="n">
        <f aca="false">1</f>
        <v>1</v>
      </c>
      <c r="O27" s="75" t="str">
        <f aca="false">IFERROR(ROUND($N27*INDEX(HTS!$Q:$Q,MATCH($E27,HTS!$E:$E,0)),0),"")</f>
        <v/>
      </c>
      <c r="P27" s="118" t="n">
        <f aca="false">1</f>
        <v>1</v>
      </c>
      <c r="Q27" s="75" t="str">
        <f aca="false">IFERROR(ROUND($P27*INDEX(HTS!$S:$S,MATCH($E27,HTS!$E:$E,0)),0),"")</f>
        <v/>
      </c>
      <c r="R27" s="118" t="n">
        <f aca="false">1</f>
        <v>1</v>
      </c>
      <c r="S27" s="75" t="str">
        <f aca="false">IFERROR(ROUND($R27*INDEX(HTS!$AM:$AM,MATCH($E27,HTS!$E:$E,0)),0),"")</f>
        <v/>
      </c>
      <c r="T27" s="118" t="n">
        <f aca="false">1</f>
        <v>1</v>
      </c>
      <c r="U27" s="75" t="str">
        <f aca="false">IFERROR(ROUND($T27*INDEX(HTS!$AV:$AV,MATCH($E27,HTS!$E:$E,0)),0),"")</f>
        <v/>
      </c>
      <c r="V27" s="118" t="n">
        <f aca="false">1</f>
        <v>1</v>
      </c>
      <c r="W27" s="75" t="str">
        <f aca="false">IFERROR(ROUND($V27*INDEX(HTS!$AY:$AY,MATCH($E27,HTS!$E:$E,0)),0),"")</f>
        <v/>
      </c>
      <c r="X27" s="118" t="n">
        <f aca="false">1</f>
        <v>1</v>
      </c>
      <c r="Y27" s="75" t="str">
        <f aca="false">IFERROR(ROUND($X27*INDEX(HTS!$BB:$BB,MATCH($E27,HTS!$E:$E,0)),0),"")</f>
        <v/>
      </c>
      <c r="Z27" s="118" t="n">
        <f aca="false">1</f>
        <v>1</v>
      </c>
      <c r="AA27" s="75" t="str">
        <f aca="false">IFERROR(ROUND($Z27*INDEX(HTS!$BE:$BE,MATCH($E27,HTS!$E:$E,0)),0),"")</f>
        <v/>
      </c>
      <c r="AB27" s="118" t="n">
        <f aca="false">1</f>
        <v>1</v>
      </c>
      <c r="AC27" s="75" t="str">
        <f aca="false">IFERROR(ROUND($AB27*INDEX(HTS!$BH:$BH,MATCH($E27,HTS!$E:$E,0)),0),"")</f>
        <v/>
      </c>
      <c r="AD27" s="118" t="n">
        <f aca="false">1</f>
        <v>1</v>
      </c>
      <c r="AE27" s="75" t="str">
        <f aca="false">IFERROR(ROUND($AD27*INDEX(HTS!$BK:$BK,MATCH($E27,HTS!$E:$E,0)),0),"")</f>
        <v/>
      </c>
      <c r="AF27" s="73" t="str">
        <f aca="false">IF(SUM($O27,$Q27,$S27,$K27,$G27,$I27,$M27,$U27,$W27,$Y27,$AA27,$AC27,$AE27)=0,"",SUM($O27,$Q27,$S27,$K27,$G27,$I27,$M27,$U27,$W27,$Y27,$AA27,$AC27,$AE27))</f>
        <v/>
      </c>
      <c r="AG27" s="73" t="str">
        <f aca="false">INDEX(HTS!$BN:$BN,MATCH($E27,HTS!$E:$E,0))</f>
        <v/>
      </c>
      <c r="AH27" s="118" t="str">
        <f aca="false">IF(SUM($AG27)&lt;=0,"",$AF27/$AG27)</f>
        <v/>
      </c>
    </row>
    <row r="28" customFormat="false" ht="15" hidden="false" customHeight="false" outlineLevel="0" collapsed="false">
      <c r="A28" s="0" t="s">
        <v>140</v>
      </c>
      <c r="B28" s="0" t="s">
        <v>141</v>
      </c>
      <c r="C28" s="0" t="s">
        <v>80</v>
      </c>
      <c r="D28" s="0" t="s">
        <v>58</v>
      </c>
      <c r="E28" s="0" t="str">
        <f aca="false">B28&amp;"|"&amp;C28&amp;"|"&amp;D28</f>
        <v>_Military Lesotho [#Military] [dDOqoFnD5Be]|45-49|Male</v>
      </c>
      <c r="F28" s="118" t="str">
        <f aca="false">IF($D28="Female",100%,"")</f>
        <v/>
      </c>
      <c r="G28" s="75" t="str">
        <f aca="false">IFERROR(ROUND($F28*INDEX(PMTCT!$AE:$AE,MATCH($E28,PMTCT!$E:$E,0)),0),"")</f>
        <v/>
      </c>
      <c r="H28" s="118" t="str">
        <f aca="false">IF($D28="Female",100%,"")</f>
        <v/>
      </c>
      <c r="I28" s="75" t="str">
        <f aca="false">IFERROR(ROUND($H28*INDEX(PMTCT!$AU:$AU,MATCH($E28,PMTCT!$E:$E,0)),0),"")</f>
        <v/>
      </c>
      <c r="J28" s="118" t="n">
        <f aca="false">1</f>
        <v>1</v>
      </c>
      <c r="K28" s="75" t="n">
        <f aca="false">IFERROR(ROUND($J28*INDEX(TB!$Q:$Q,MATCH($E28,HTS!$E:$E,0)),0),"")</f>
        <v>0</v>
      </c>
      <c r="L28" s="118" t="n">
        <f aca="false">IF($D28="Male",100%,"")</f>
        <v>1</v>
      </c>
      <c r="M28" s="75" t="str">
        <f aca="false">IFERROR(ROUND($L28*INDEX(VMMC!$AC:$AC,MATCH($E28,VMMC!$E:$E,0)),0),"")</f>
        <v/>
      </c>
      <c r="N28" s="118" t="n">
        <f aca="false">1</f>
        <v>1</v>
      </c>
      <c r="O28" s="75" t="str">
        <f aca="false">IFERROR(ROUND($N28*INDEX(HTS!$Q:$Q,MATCH($E28,HTS!$E:$E,0)),0),"")</f>
        <v/>
      </c>
      <c r="P28" s="118" t="n">
        <f aca="false">1</f>
        <v>1</v>
      </c>
      <c r="Q28" s="75" t="str">
        <f aca="false">IFERROR(ROUND($P28*INDEX(HTS!$S:$S,MATCH($E28,HTS!$E:$E,0)),0),"")</f>
        <v/>
      </c>
      <c r="R28" s="118" t="n">
        <f aca="false">1</f>
        <v>1</v>
      </c>
      <c r="S28" s="75" t="n">
        <f aca="false">IFERROR(ROUND($R28*INDEX(HTS!$AM:$AM,MATCH($E28,HTS!$E:$E,0)),0),"")</f>
        <v>43</v>
      </c>
      <c r="T28" s="118" t="n">
        <f aca="false">1</f>
        <v>1</v>
      </c>
      <c r="U28" s="75" t="n">
        <f aca="false">IFERROR(ROUND($T28*INDEX(HTS!$AV:$AV,MATCH($E28,HTS!$E:$E,0)),0),"")</f>
        <v>13</v>
      </c>
      <c r="V28" s="118" t="n">
        <f aca="false">1</f>
        <v>1</v>
      </c>
      <c r="W28" s="75" t="n">
        <f aca="false">IFERROR(ROUND($V28*INDEX(HTS!$AY:$AY,MATCH($E28,HTS!$E:$E,0)),0),"")</f>
        <v>12</v>
      </c>
      <c r="X28" s="118" t="n">
        <f aca="false">1</f>
        <v>1</v>
      </c>
      <c r="Y28" s="75" t="n">
        <f aca="false">IFERROR(ROUND($X28*INDEX(HTS!$BB:$BB,MATCH($E28,HTS!$E:$E,0)),0),"")</f>
        <v>43</v>
      </c>
      <c r="Z28" s="118" t="n">
        <f aca="false">1</f>
        <v>1</v>
      </c>
      <c r="AA28" s="75" t="n">
        <f aca="false">IFERROR(ROUND($Z28*INDEX(HTS!$BE:$BE,MATCH($E28,HTS!$E:$E,0)),0),"")</f>
        <v>36</v>
      </c>
      <c r="AB28" s="118" t="n">
        <f aca="false">1</f>
        <v>1</v>
      </c>
      <c r="AC28" s="75" t="n">
        <f aca="false">IFERROR(ROUND($AB28*INDEX(HTS!$BH:$BH,MATCH($E28,HTS!$E:$E,0)),0),"")</f>
        <v>18</v>
      </c>
      <c r="AD28" s="118" t="n">
        <f aca="false">1</f>
        <v>1</v>
      </c>
      <c r="AE28" s="75" t="n">
        <f aca="false">IFERROR(ROUND($AD28*INDEX(HTS!$BK:$BK,MATCH($E28,HTS!$E:$E,0)),0),"")</f>
        <v>18</v>
      </c>
      <c r="AF28" s="73" t="n">
        <f aca="false">IF(SUM($O28,$Q28,$S28,$K28,$G28,$I28,$M28,$U28,$W28,$Y28,$AA28,$AC28,$AE28)=0,"",SUM($O28,$Q28,$S28,$K28,$G28,$I28,$M28,$U28,$W28,$Y28,$AA28,$AC28,$AE28))</f>
        <v>183</v>
      </c>
      <c r="AG28" s="73" t="n">
        <f aca="false">INDEX(HTS!$BN:$BN,MATCH($E28,HTS!$E:$E,0))</f>
        <v>183</v>
      </c>
      <c r="AH28" s="118" t="n">
        <f aca="false">IF(SUM($AG28)&lt;=0,"",$AF28/$AG28)</f>
        <v>1</v>
      </c>
    </row>
    <row r="29" customFormat="false" ht="15" hidden="false" customHeight="false" outlineLevel="0" collapsed="false">
      <c r="A29" s="0" t="s">
        <v>140</v>
      </c>
      <c r="B29" s="0" t="s">
        <v>141</v>
      </c>
      <c r="C29" s="0" t="s">
        <v>86</v>
      </c>
      <c r="D29" s="0" t="s">
        <v>56</v>
      </c>
      <c r="E29" s="0" t="str">
        <f aca="false">B29&amp;"|"&amp;C29&amp;"|"&amp;D29</f>
        <v>_Military Lesotho [#Military] [dDOqoFnD5Be]|50+|Female</v>
      </c>
      <c r="F29" s="118" t="n">
        <f aca="false">IF($D29="Female",100%,"")</f>
        <v>1</v>
      </c>
      <c r="G29" s="75" t="str">
        <f aca="false">IFERROR(ROUND($F29*INDEX(PMTCT!$AE:$AE,MATCH($E29,PMTCT!$E:$E,0)),0),"")</f>
        <v/>
      </c>
      <c r="H29" s="118" t="n">
        <f aca="false">IF($D29="Female",100%,"")</f>
        <v>1</v>
      </c>
      <c r="I29" s="75" t="str">
        <f aca="false">IFERROR(ROUND($H29*INDEX(PMTCT!$AU:$AU,MATCH($E29,PMTCT!$E:$E,0)),0),"")</f>
        <v/>
      </c>
      <c r="J29" s="118" t="n">
        <f aca="false">1</f>
        <v>1</v>
      </c>
      <c r="K29" s="75" t="n">
        <f aca="false">IFERROR(ROUND($J29*INDEX(TB!$Q:$Q,MATCH($E29,HTS!$E:$E,0)),0),"")</f>
        <v>1634</v>
      </c>
      <c r="L29" s="118" t="str">
        <f aca="false">IF($D29="Male",100%,"")</f>
        <v/>
      </c>
      <c r="M29" s="75" t="str">
        <f aca="false">IFERROR(ROUND($L29*INDEX(VMMC!$AC:$AC,MATCH($E29,VMMC!$E:$E,0)),0),"")</f>
        <v/>
      </c>
      <c r="N29" s="118" t="n">
        <f aca="false">1</f>
        <v>1</v>
      </c>
      <c r="O29" s="75" t="str">
        <f aca="false">IFERROR(ROUND($N29*INDEX(HTS!$Q:$Q,MATCH($E29,HTS!$E:$E,0)),0),"")</f>
        <v/>
      </c>
      <c r="P29" s="118" t="n">
        <f aca="false">1</f>
        <v>1</v>
      </c>
      <c r="Q29" s="75" t="str">
        <f aca="false">IFERROR(ROUND($P29*INDEX(HTS!$S:$S,MATCH($E29,HTS!$E:$E,0)),0),"")</f>
        <v/>
      </c>
      <c r="R29" s="118" t="n">
        <f aca="false">1</f>
        <v>1</v>
      </c>
      <c r="S29" s="75" t="n">
        <f aca="false">IFERROR(ROUND($R29*INDEX(HTS!$AM:$AM,MATCH($E29,HTS!$E:$E,0)),0),"")</f>
        <v>37</v>
      </c>
      <c r="T29" s="118" t="n">
        <f aca="false">1</f>
        <v>1</v>
      </c>
      <c r="U29" s="75" t="n">
        <f aca="false">IFERROR(ROUND($T29*INDEX(HTS!$AV:$AV,MATCH($E29,HTS!$E:$E,0)),0),"")</f>
        <v>38</v>
      </c>
      <c r="V29" s="118" t="n">
        <f aca="false">1</f>
        <v>1</v>
      </c>
      <c r="W29" s="75" t="n">
        <f aca="false">IFERROR(ROUND($V29*INDEX(HTS!$AY:$AY,MATCH($E29,HTS!$E:$E,0)),0),"")</f>
        <v>16</v>
      </c>
      <c r="X29" s="118" t="n">
        <f aca="false">1</f>
        <v>1</v>
      </c>
      <c r="Y29" s="75" t="n">
        <f aca="false">IFERROR(ROUND($X29*INDEX(HTS!$BB:$BB,MATCH($E29,HTS!$E:$E,0)),0),"")</f>
        <v>37</v>
      </c>
      <c r="Z29" s="118" t="n">
        <f aca="false">1</f>
        <v>1</v>
      </c>
      <c r="AA29" s="75" t="n">
        <f aca="false">IFERROR(ROUND($Z29*INDEX(HTS!$BE:$BE,MATCH($E29,HTS!$E:$E,0)),0),"")</f>
        <v>40</v>
      </c>
      <c r="AB29" s="118" t="n">
        <f aca="false">1</f>
        <v>1</v>
      </c>
      <c r="AC29" s="75" t="n">
        <f aca="false">IFERROR(ROUND($AB29*INDEX(HTS!$BH:$BH,MATCH($E29,HTS!$E:$E,0)),0),"")</f>
        <v>28</v>
      </c>
      <c r="AD29" s="118" t="n">
        <f aca="false">1</f>
        <v>1</v>
      </c>
      <c r="AE29" s="75" t="n">
        <f aca="false">IFERROR(ROUND($AD29*INDEX(HTS!$BK:$BK,MATCH($E29,HTS!$E:$E,0)),0),"")</f>
        <v>2</v>
      </c>
      <c r="AF29" s="73" t="n">
        <f aca="false">IF(SUM($O29,$Q29,$S29,$K29,$G29,$I29,$M29,$U29,$W29,$Y29,$AA29,$AC29,$AE29)=0,"",SUM($O29,$Q29,$S29,$K29,$G29,$I29,$M29,$U29,$W29,$Y29,$AA29,$AC29,$AE29))</f>
        <v>1832</v>
      </c>
      <c r="AG29" s="73" t="n">
        <f aca="false">INDEX(HTS!$BN:$BN,MATCH($E29,HTS!$E:$E,0))</f>
        <v>1832</v>
      </c>
      <c r="AH29" s="118" t="n">
        <f aca="false">IF(SUM($AG29)&lt;=0,"",$AF29/$AG29)</f>
        <v>1</v>
      </c>
    </row>
    <row r="30" customFormat="false" ht="15" hidden="false" customHeight="false" outlineLevel="0" collapsed="false">
      <c r="A30" s="0" t="s">
        <v>140</v>
      </c>
      <c r="B30" s="0" t="s">
        <v>141</v>
      </c>
      <c r="C30" s="0" t="s">
        <v>86</v>
      </c>
      <c r="D30" s="0" t="s">
        <v>58</v>
      </c>
      <c r="E30" s="0" t="str">
        <f aca="false">B30&amp;"|"&amp;C30&amp;"|"&amp;D30</f>
        <v>_Military Lesotho [#Military] [dDOqoFnD5Be]|50+|Male</v>
      </c>
      <c r="F30" s="118" t="str">
        <f aca="false">IF($D30="Female",100%,"")</f>
        <v/>
      </c>
      <c r="G30" s="75" t="str">
        <f aca="false">IFERROR(ROUND($F30*INDEX(PMTCT!$AE:$AE,MATCH($E30,PMTCT!$E:$E,0)),0),"")</f>
        <v/>
      </c>
      <c r="H30" s="118" t="str">
        <f aca="false">IF($D30="Female",100%,"")</f>
        <v/>
      </c>
      <c r="I30" s="75" t="str">
        <f aca="false">IFERROR(ROUND($H30*INDEX(PMTCT!$AU:$AU,MATCH($E30,PMTCT!$E:$E,0)),0),"")</f>
        <v/>
      </c>
      <c r="J30" s="118" t="n">
        <f aca="false">1</f>
        <v>1</v>
      </c>
      <c r="K30" s="75" t="n">
        <f aca="false">IFERROR(ROUND($J30*INDEX(TB!$Q:$Q,MATCH($E30,HTS!$E:$E,0)),0),"")</f>
        <v>312</v>
      </c>
      <c r="L30" s="118" t="n">
        <f aca="false">IF($D30="Male",100%,"")</f>
        <v>1</v>
      </c>
      <c r="M30" s="75" t="str">
        <f aca="false">IFERROR(ROUND($L30*INDEX(VMMC!$AC:$AC,MATCH($E30,VMMC!$E:$E,0)),0),"")</f>
        <v/>
      </c>
      <c r="N30" s="118" t="n">
        <f aca="false">1</f>
        <v>1</v>
      </c>
      <c r="O30" s="75" t="str">
        <f aca="false">IFERROR(ROUND($N30*INDEX(HTS!$Q:$Q,MATCH($E30,HTS!$E:$E,0)),0),"")</f>
        <v/>
      </c>
      <c r="P30" s="118" t="n">
        <f aca="false">1</f>
        <v>1</v>
      </c>
      <c r="Q30" s="75" t="str">
        <f aca="false">IFERROR(ROUND($P30*INDEX(HTS!$S:$S,MATCH($E30,HTS!$E:$E,0)),0),"")</f>
        <v/>
      </c>
      <c r="R30" s="118" t="n">
        <f aca="false">1</f>
        <v>1</v>
      </c>
      <c r="S30" s="75" t="str">
        <f aca="false">IFERROR(ROUND($R30*INDEX(HTS!$AM:$AM,MATCH($E30,HTS!$E:$E,0)),0),"")</f>
        <v/>
      </c>
      <c r="T30" s="118" t="n">
        <f aca="false">1</f>
        <v>1</v>
      </c>
      <c r="U30" s="75" t="str">
        <f aca="false">IFERROR(ROUND($T30*INDEX(HTS!$AV:$AV,MATCH($E30,HTS!$E:$E,0)),0),"")</f>
        <v/>
      </c>
      <c r="V30" s="118" t="n">
        <f aca="false">1</f>
        <v>1</v>
      </c>
      <c r="W30" s="75" t="str">
        <f aca="false">IFERROR(ROUND($V30*INDEX(HTS!$AY:$AY,MATCH($E30,HTS!$E:$E,0)),0),"")</f>
        <v/>
      </c>
      <c r="X30" s="118" t="n">
        <f aca="false">1</f>
        <v>1</v>
      </c>
      <c r="Y30" s="75" t="str">
        <f aca="false">IFERROR(ROUND($X30*INDEX(HTS!$BB:$BB,MATCH($E30,HTS!$E:$E,0)),0),"")</f>
        <v/>
      </c>
      <c r="Z30" s="118" t="n">
        <f aca="false">1</f>
        <v>1</v>
      </c>
      <c r="AA30" s="75" t="str">
        <f aca="false">IFERROR(ROUND($Z30*INDEX(HTS!$BE:$BE,MATCH($E30,HTS!$E:$E,0)),0),"")</f>
        <v/>
      </c>
      <c r="AB30" s="118" t="n">
        <f aca="false">1</f>
        <v>1</v>
      </c>
      <c r="AC30" s="75" t="str">
        <f aca="false">IFERROR(ROUND($AB30*INDEX(HTS!$BH:$BH,MATCH($E30,HTS!$E:$E,0)),0),"")</f>
        <v/>
      </c>
      <c r="AD30" s="118" t="n">
        <f aca="false">1</f>
        <v>1</v>
      </c>
      <c r="AE30" s="75" t="str">
        <f aca="false">IFERROR(ROUND($AD30*INDEX(HTS!$BK:$BK,MATCH($E30,HTS!$E:$E,0)),0),"")</f>
        <v/>
      </c>
      <c r="AF30" s="73" t="n">
        <f aca="false">IF(SUM($O30,$Q30,$S30,$K30,$G30,$I30,$M30,$U30,$W30,$Y30,$AA30,$AC30,$AE30)=0,"",SUM($O30,$Q30,$S30,$K30,$G30,$I30,$M30,$U30,$W30,$Y30,$AA30,$AC30,$AE30))</f>
        <v>312</v>
      </c>
      <c r="AG30" s="73" t="str">
        <f aca="false">INDEX(HTS!$BN:$BN,MATCH($E30,HTS!$E:$E,0))</f>
        <v/>
      </c>
      <c r="AH30" s="118" t="str">
        <f aca="false">IF(SUM($AG30)&lt;=0,"",$AF30/$AG30)</f>
        <v/>
      </c>
    </row>
    <row r="31" customFormat="false" ht="15" hidden="false" customHeight="false" outlineLevel="0" collapsed="false">
      <c r="A31" s="0" t="s">
        <v>142</v>
      </c>
      <c r="B31" s="0" t="s">
        <v>109</v>
      </c>
      <c r="C31" s="0" t="s">
        <v>63</v>
      </c>
      <c r="D31" s="0" t="s">
        <v>56</v>
      </c>
      <c r="E31" s="0" t="str">
        <f aca="false">B31&amp;"|"&amp;C31&amp;"|"&amp;D31</f>
        <v>Berea [#SNU] [#DREAMS] [wpg5evyl1OL]|15-19|Female</v>
      </c>
      <c r="F31" s="118" t="n">
        <f aca="false">IF($D31="Female",100%,"")</f>
        <v>1</v>
      </c>
      <c r="G31" s="75" t="n">
        <f aca="false">IFERROR(ROUND($F31*INDEX(PMTCT!$AE:$AE,MATCH($E31,PMTCT!$E:$E,0)),0),"")</f>
        <v>-6006</v>
      </c>
      <c r="H31" s="118" t="n">
        <f aca="false">IF($D31="Female",100%,"")</f>
        <v>1</v>
      </c>
      <c r="I31" s="75" t="str">
        <f aca="false">IFERROR(ROUND($H31*INDEX(PMTCT!$AU:$AU,MATCH($E31,PMTCT!$E:$E,0)),0),"")</f>
        <v/>
      </c>
      <c r="J31" s="118" t="n">
        <f aca="false">1</f>
        <v>1</v>
      </c>
      <c r="K31" s="75" t="n">
        <f aca="false">IFERROR(ROUND($J31*INDEX(TB!$Q:$Q,MATCH($E31,HTS!$E:$E,0)),0),"")</f>
        <v>-0</v>
      </c>
      <c r="L31" s="118" t="str">
        <f aca="false">IF($D31="Male",100%,"")</f>
        <v/>
      </c>
      <c r="M31" s="75" t="str">
        <f aca="false">IFERROR(ROUND($L31*INDEX(VMMC!$AC:$AC,MATCH($E31,VMMC!$E:$E,0)),0),"")</f>
        <v/>
      </c>
      <c r="N31" s="118" t="n">
        <f aca="false">1</f>
        <v>1</v>
      </c>
      <c r="O31" s="75" t="n">
        <f aca="false">IFERROR(ROUND($N31*INDEX(HTS!$Q:$Q,MATCH($E31,HTS!$E:$E,0)),0),"")</f>
        <v>9</v>
      </c>
      <c r="P31" s="118" t="n">
        <f aca="false">1</f>
        <v>1</v>
      </c>
      <c r="Q31" s="75" t="n">
        <f aca="false">IFERROR(ROUND($P31*INDEX(HTS!$S:$S,MATCH($E31,HTS!$E:$E,0)),0),"")</f>
        <v>-8</v>
      </c>
      <c r="R31" s="118" t="n">
        <f aca="false">1</f>
        <v>1</v>
      </c>
      <c r="S31" s="75" t="n">
        <f aca="false">IFERROR(ROUND($R31*INDEX(HTS!$AM:$AM,MATCH($E31,HTS!$E:$E,0)),0),"")</f>
        <v>6</v>
      </c>
      <c r="T31" s="118" t="n">
        <f aca="false">1</f>
        <v>1</v>
      </c>
      <c r="U31" s="75" t="n">
        <f aca="false">IFERROR(ROUND($T31*INDEX(HTS!$AV:$AV,MATCH($E31,HTS!$E:$E,0)),0),"")</f>
        <v>9</v>
      </c>
      <c r="V31" s="118" t="n">
        <f aca="false">1</f>
        <v>1</v>
      </c>
      <c r="W31" s="75" t="n">
        <f aca="false">IFERROR(ROUND($V31*INDEX(HTS!$AY:$AY,MATCH($E31,HTS!$E:$E,0)),0),"")</f>
        <v>10</v>
      </c>
      <c r="X31" s="118" t="n">
        <f aca="false">1</f>
        <v>1</v>
      </c>
      <c r="Y31" s="75" t="n">
        <f aca="false">IFERROR(ROUND($X31*INDEX(HTS!$BB:$BB,MATCH($E31,HTS!$E:$E,0)),0),"")</f>
        <v>7</v>
      </c>
      <c r="Z31" s="118" t="n">
        <f aca="false">1</f>
        <v>1</v>
      </c>
      <c r="AA31" s="75" t="n">
        <f aca="false">IFERROR(ROUND($Z31*INDEX(HTS!$BE:$BE,MATCH($E31,HTS!$E:$E,0)),0),"")</f>
        <v>32</v>
      </c>
      <c r="AB31" s="118" t="n">
        <f aca="false">1</f>
        <v>1</v>
      </c>
      <c r="AC31" s="75" t="n">
        <f aca="false">IFERROR(ROUND($AB31*INDEX(HTS!$BH:$BH,MATCH($E31,HTS!$E:$E,0)),0),"")</f>
        <v>32</v>
      </c>
      <c r="AD31" s="118" t="n">
        <f aca="false">1</f>
        <v>1</v>
      </c>
      <c r="AE31" s="75" t="n">
        <f aca="false">IFERROR(ROUND($AD31*INDEX(HTS!$BK:$BK,MATCH($E31,HTS!$E:$E,0)),0),"")</f>
        <v>30</v>
      </c>
      <c r="AF31" s="73" t="n">
        <f aca="false">IF(SUM($O31,$Q31,$S31,$K31,$G31,$I31,$M31,$U31,$W31,$Y31,$AA31,$AC31,$AE31)=0,"",SUM($O31,$Q31,$S31,$K31,$G31,$I31,$M31,$U31,$W31,$Y31,$AA31,$AC31,$AE31))</f>
        <v>-5879</v>
      </c>
      <c r="AG31" s="73" t="n">
        <f aca="false">INDEX(HTS!$BN:$BN,MATCH($E31,HTS!$E:$E,0))</f>
        <v>-5879</v>
      </c>
      <c r="AH31" s="118" t="str">
        <f aca="false">IF(SUM($AG31)&lt;=0,"",$AF31/$AG31)</f>
        <v/>
      </c>
    </row>
    <row r="32" customFormat="false" ht="15" hidden="false" customHeight="false" outlineLevel="0" collapsed="false">
      <c r="A32" s="0" t="s">
        <v>142</v>
      </c>
      <c r="B32" s="0" t="s">
        <v>109</v>
      </c>
      <c r="C32" s="0" t="s">
        <v>63</v>
      </c>
      <c r="D32" s="0" t="s">
        <v>58</v>
      </c>
      <c r="E32" s="0" t="str">
        <f aca="false">B32&amp;"|"&amp;C32&amp;"|"&amp;D32</f>
        <v>Berea [#SNU] [#DREAMS] [wpg5evyl1OL]|15-19|Male</v>
      </c>
      <c r="F32" s="118" t="str">
        <f aca="false">IF($D32="Female",100%,"")</f>
        <v/>
      </c>
      <c r="G32" s="75" t="str">
        <f aca="false">IFERROR(ROUND($F32*INDEX(PMTCT!$AE:$AE,MATCH($E32,PMTCT!$E:$E,0)),0),"")</f>
        <v/>
      </c>
      <c r="H32" s="118" t="str">
        <f aca="false">IF($D32="Female",100%,"")</f>
        <v/>
      </c>
      <c r="I32" s="75" t="str">
        <f aca="false">IFERROR(ROUND($H32*INDEX(PMTCT!$AU:$AU,MATCH($E32,PMTCT!$E:$E,0)),0),"")</f>
        <v/>
      </c>
      <c r="J32" s="118" t="n">
        <f aca="false">1</f>
        <v>1</v>
      </c>
      <c r="K32" s="75" t="n">
        <f aca="false">IFERROR(ROUND($J32*INDEX(TB!$Q:$Q,MATCH($E32,HTS!$E:$E,0)),0),"")</f>
        <v>0</v>
      </c>
      <c r="L32" s="118" t="n">
        <f aca="false">IF($D32="Male",100%,"")</f>
        <v>1</v>
      </c>
      <c r="M32" s="75" t="str">
        <f aca="false">IFERROR(ROUND($L32*INDEX(VMMC!$AC:$AC,MATCH($E32,VMMC!$E:$E,0)),0),"")</f>
        <v/>
      </c>
      <c r="N32" s="118" t="n">
        <f aca="false">1</f>
        <v>1</v>
      </c>
      <c r="O32" s="75" t="str">
        <f aca="false">IFERROR(ROUND($N32*INDEX(HTS!$Q:$Q,MATCH($E32,HTS!$E:$E,0)),0),"")</f>
        <v/>
      </c>
      <c r="P32" s="118" t="n">
        <f aca="false">1</f>
        <v>1</v>
      </c>
      <c r="Q32" s="75" t="str">
        <f aca="false">IFERROR(ROUND($P32*INDEX(HTS!$S:$S,MATCH($E32,HTS!$E:$E,0)),0),"")</f>
        <v/>
      </c>
      <c r="R32" s="118" t="n">
        <f aca="false">1</f>
        <v>1</v>
      </c>
      <c r="S32" s="75" t="str">
        <f aca="false">IFERROR(ROUND($R32*INDEX(HTS!$AM:$AM,MATCH($E32,HTS!$E:$E,0)),0),"")</f>
        <v/>
      </c>
      <c r="T32" s="118" t="n">
        <f aca="false">1</f>
        <v>1</v>
      </c>
      <c r="U32" s="75" t="str">
        <f aca="false">IFERROR(ROUND($T32*INDEX(HTS!$AV:$AV,MATCH($E32,HTS!$E:$E,0)),0),"")</f>
        <v/>
      </c>
      <c r="V32" s="118" t="n">
        <f aca="false">1</f>
        <v>1</v>
      </c>
      <c r="W32" s="75" t="str">
        <f aca="false">IFERROR(ROUND($V32*INDEX(HTS!$AY:$AY,MATCH($E32,HTS!$E:$E,0)),0),"")</f>
        <v/>
      </c>
      <c r="X32" s="118" t="n">
        <f aca="false">1</f>
        <v>1</v>
      </c>
      <c r="Y32" s="75" t="str">
        <f aca="false">IFERROR(ROUND($X32*INDEX(HTS!$BB:$BB,MATCH($E32,HTS!$E:$E,0)),0),"")</f>
        <v/>
      </c>
      <c r="Z32" s="118" t="n">
        <f aca="false">1</f>
        <v>1</v>
      </c>
      <c r="AA32" s="75" t="str">
        <f aca="false">IFERROR(ROUND($Z32*INDEX(HTS!$BE:$BE,MATCH($E32,HTS!$E:$E,0)),0),"")</f>
        <v/>
      </c>
      <c r="AB32" s="118" t="n">
        <f aca="false">1</f>
        <v>1</v>
      </c>
      <c r="AC32" s="75" t="str">
        <f aca="false">IFERROR(ROUND($AB32*INDEX(HTS!$BH:$BH,MATCH($E32,HTS!$E:$E,0)),0),"")</f>
        <v/>
      </c>
      <c r="AD32" s="118" t="n">
        <f aca="false">1</f>
        <v>1</v>
      </c>
      <c r="AE32" s="75" t="str">
        <f aca="false">IFERROR(ROUND($AD32*INDEX(HTS!$BK:$BK,MATCH($E32,HTS!$E:$E,0)),0),"")</f>
        <v/>
      </c>
      <c r="AF32" s="73" t="str">
        <f aca="false">IF(SUM($O32,$Q32,$S32,$K32,$G32,$I32,$M32,$U32,$W32,$Y32,$AA32,$AC32,$AE32)=0,"",SUM($O32,$Q32,$S32,$K32,$G32,$I32,$M32,$U32,$W32,$Y32,$AA32,$AC32,$AE32))</f>
        <v/>
      </c>
      <c r="AG32" s="73" t="str">
        <f aca="false">INDEX(HTS!$BN:$BN,MATCH($E32,HTS!$E:$E,0))</f>
        <v/>
      </c>
      <c r="AH32" s="118" t="str">
        <f aca="false">IF(SUM($AG32)&lt;=0,"",$AF32/$AG32)</f>
        <v/>
      </c>
    </row>
    <row r="33" customFormat="false" ht="15" hidden="false" customHeight="false" outlineLevel="0" collapsed="false">
      <c r="A33" s="0" t="s">
        <v>142</v>
      </c>
      <c r="B33" s="0" t="s">
        <v>109</v>
      </c>
      <c r="C33" s="0" t="s">
        <v>66</v>
      </c>
      <c r="D33" s="0" t="s">
        <v>56</v>
      </c>
      <c r="E33" s="0" t="str">
        <f aca="false">B33&amp;"|"&amp;C33&amp;"|"&amp;D33</f>
        <v>Berea [#SNU] [#DREAMS] [wpg5evyl1OL]|20-24|Female</v>
      </c>
      <c r="F33" s="118" t="n">
        <f aca="false">IF($D33="Female",100%,"")</f>
        <v>1</v>
      </c>
      <c r="G33" s="75" t="n">
        <f aca="false">IFERROR(ROUND($F33*INDEX(PMTCT!$AE:$AE,MATCH($E33,PMTCT!$E:$E,0)),0),"")</f>
        <v>-1872</v>
      </c>
      <c r="H33" s="118" t="n">
        <f aca="false">IF($D33="Female",100%,"")</f>
        <v>1</v>
      </c>
      <c r="I33" s="75" t="str">
        <f aca="false">IFERROR(ROUND($H33*INDEX(PMTCT!$AU:$AU,MATCH($E33,PMTCT!$E:$E,0)),0),"")</f>
        <v/>
      </c>
      <c r="J33" s="118" t="n">
        <f aca="false">1</f>
        <v>1</v>
      </c>
      <c r="K33" s="75" t="n">
        <f aca="false">IFERROR(ROUND($J33*INDEX(TB!$Q:$Q,MATCH($E33,HTS!$E:$E,0)),0),"")</f>
        <v>-3136</v>
      </c>
      <c r="L33" s="118" t="str">
        <f aca="false">IF($D33="Male",100%,"")</f>
        <v/>
      </c>
      <c r="M33" s="75" t="str">
        <f aca="false">IFERROR(ROUND($L33*INDEX(VMMC!$AC:$AC,MATCH($E33,VMMC!$E:$E,0)),0),"")</f>
        <v/>
      </c>
      <c r="N33" s="118" t="n">
        <f aca="false">1</f>
        <v>1</v>
      </c>
      <c r="O33" s="75" t="n">
        <f aca="false">IFERROR(ROUND($N33*INDEX(HTS!$Q:$Q,MATCH($E33,HTS!$E:$E,0)),0),"")</f>
        <v>38</v>
      </c>
      <c r="P33" s="118" t="n">
        <f aca="false">1</f>
        <v>1</v>
      </c>
      <c r="Q33" s="75" t="n">
        <f aca="false">IFERROR(ROUND($P33*INDEX(HTS!$S:$S,MATCH($E33,HTS!$E:$E,0)),0),"")</f>
        <v>-37</v>
      </c>
      <c r="R33" s="118" t="n">
        <f aca="false">1</f>
        <v>1</v>
      </c>
      <c r="S33" s="75" t="n">
        <f aca="false">IFERROR(ROUND($R33*INDEX(HTS!$AM:$AM,MATCH($E33,HTS!$E:$E,0)),0),"")</f>
        <v>196</v>
      </c>
      <c r="T33" s="118" t="n">
        <f aca="false">1</f>
        <v>1</v>
      </c>
      <c r="U33" s="75" t="n">
        <f aca="false">IFERROR(ROUND($T33*INDEX(HTS!$AV:$AV,MATCH($E33,HTS!$E:$E,0)),0),"")</f>
        <v>176</v>
      </c>
      <c r="V33" s="118" t="n">
        <f aca="false">1</f>
        <v>1</v>
      </c>
      <c r="W33" s="75" t="n">
        <f aca="false">IFERROR(ROUND($V33*INDEX(HTS!$AY:$AY,MATCH($E33,HTS!$E:$E,0)),0),"")</f>
        <v>144</v>
      </c>
      <c r="X33" s="118" t="n">
        <f aca="false">1</f>
        <v>1</v>
      </c>
      <c r="Y33" s="75" t="n">
        <f aca="false">IFERROR(ROUND($X33*INDEX(HTS!$BB:$BB,MATCH($E33,HTS!$E:$E,0)),0),"")</f>
        <v>72</v>
      </c>
      <c r="Z33" s="118" t="n">
        <f aca="false">1</f>
        <v>1</v>
      </c>
      <c r="AA33" s="75" t="n">
        <f aca="false">IFERROR(ROUND($Z33*INDEX(HTS!$BE:$BE,MATCH($E33,HTS!$E:$E,0)),0),"")</f>
        <v>44</v>
      </c>
      <c r="AB33" s="118" t="n">
        <f aca="false">1</f>
        <v>1</v>
      </c>
      <c r="AC33" s="75" t="n">
        <f aca="false">IFERROR(ROUND($AB33*INDEX(HTS!$BH:$BH,MATCH($E33,HTS!$E:$E,0)),0),"")</f>
        <v>176</v>
      </c>
      <c r="AD33" s="118" t="n">
        <f aca="false">1</f>
        <v>1</v>
      </c>
      <c r="AE33" s="75" t="n">
        <f aca="false">IFERROR(ROUND($AD33*INDEX(HTS!$BK:$BK,MATCH($E33,HTS!$E:$E,0)),0),"")</f>
        <v>72</v>
      </c>
      <c r="AF33" s="73" t="n">
        <f aca="false">IF(SUM($O33,$Q33,$S33,$K33,$G33,$I33,$M33,$U33,$W33,$Y33,$AA33,$AC33,$AE33)=0,"",SUM($O33,$Q33,$S33,$K33,$G33,$I33,$M33,$U33,$W33,$Y33,$AA33,$AC33,$AE33))</f>
        <v>-4127</v>
      </c>
      <c r="AG33" s="73" t="n">
        <f aca="false">INDEX(HTS!$BN:$BN,MATCH($E33,HTS!$E:$E,0))</f>
        <v>-4127</v>
      </c>
      <c r="AH33" s="118" t="str">
        <f aca="false">IF(SUM($AG33)&lt;=0,"",$AF33/$AG33)</f>
        <v/>
      </c>
    </row>
    <row r="34" customFormat="false" ht="15" hidden="false" customHeight="false" outlineLevel="0" collapsed="false">
      <c r="A34" s="0" t="s">
        <v>142</v>
      </c>
      <c r="B34" s="0" t="s">
        <v>109</v>
      </c>
      <c r="C34" s="0" t="s">
        <v>66</v>
      </c>
      <c r="D34" s="0" t="s">
        <v>58</v>
      </c>
      <c r="E34" s="0" t="str">
        <f aca="false">B34&amp;"|"&amp;C34&amp;"|"&amp;D34</f>
        <v>Berea [#SNU] [#DREAMS] [wpg5evyl1OL]|20-24|Male</v>
      </c>
      <c r="F34" s="118" t="str">
        <f aca="false">IF($D34="Female",100%,"")</f>
        <v/>
      </c>
      <c r="G34" s="75" t="str">
        <f aca="false">IFERROR(ROUND($F34*INDEX(PMTCT!$AE:$AE,MATCH($E34,PMTCT!$E:$E,0)),0),"")</f>
        <v/>
      </c>
      <c r="H34" s="118" t="str">
        <f aca="false">IF($D34="Female",100%,"")</f>
        <v/>
      </c>
      <c r="I34" s="75" t="str">
        <f aca="false">IFERROR(ROUND($H34*INDEX(PMTCT!$AU:$AU,MATCH($E34,PMTCT!$E:$E,0)),0),"")</f>
        <v/>
      </c>
      <c r="J34" s="118" t="n">
        <f aca="false">1</f>
        <v>1</v>
      </c>
      <c r="K34" s="75" t="n">
        <f aca="false">IFERROR(ROUND($J34*INDEX(TB!$Q:$Q,MATCH($E34,HTS!$E:$E,0)),0),"")</f>
        <v>-14144</v>
      </c>
      <c r="L34" s="118" t="n">
        <f aca="false">IF($D34="Male",100%,"")</f>
        <v>1</v>
      </c>
      <c r="M34" s="75" t="str">
        <f aca="false">IFERROR(ROUND($L34*INDEX(VMMC!$AC:$AC,MATCH($E34,VMMC!$E:$E,0)),0),"")</f>
        <v/>
      </c>
      <c r="N34" s="118" t="n">
        <f aca="false">1</f>
        <v>1</v>
      </c>
      <c r="O34" s="75" t="n">
        <f aca="false">IFERROR(ROUND($N34*INDEX(HTS!$Q:$Q,MATCH($E34,HTS!$E:$E,0)),0),"")</f>
        <v>12</v>
      </c>
      <c r="P34" s="118" t="n">
        <f aca="false">1</f>
        <v>1</v>
      </c>
      <c r="Q34" s="75" t="n">
        <f aca="false">IFERROR(ROUND($P34*INDEX(HTS!$S:$S,MATCH($E34,HTS!$E:$E,0)),0),"")</f>
        <v>-11</v>
      </c>
      <c r="R34" s="118" t="n">
        <f aca="false">1</f>
        <v>1</v>
      </c>
      <c r="S34" s="75" t="n">
        <f aca="false">IFERROR(ROUND($R34*INDEX(HTS!$AM:$AM,MATCH($E34,HTS!$E:$E,0)),0),"")</f>
        <v>141</v>
      </c>
      <c r="T34" s="118" t="n">
        <f aca="false">1</f>
        <v>1</v>
      </c>
      <c r="U34" s="75" t="n">
        <f aca="false">IFERROR(ROUND($T34*INDEX(HTS!$AV:$AV,MATCH($E34,HTS!$E:$E,0)),0),"")</f>
        <v>132</v>
      </c>
      <c r="V34" s="118" t="n">
        <f aca="false">1</f>
        <v>1</v>
      </c>
      <c r="W34" s="75" t="n">
        <f aca="false">IFERROR(ROUND($V34*INDEX(HTS!$AY:$AY,MATCH($E34,HTS!$E:$E,0)),0),"")</f>
        <v>81</v>
      </c>
      <c r="X34" s="118" t="n">
        <f aca="false">1</f>
        <v>1</v>
      </c>
      <c r="Y34" s="75" t="n">
        <f aca="false">IFERROR(ROUND($X34*INDEX(HTS!$BB:$BB,MATCH($E34,HTS!$E:$E,0)),0),"")</f>
        <v>18</v>
      </c>
      <c r="Z34" s="118" t="n">
        <f aca="false">1</f>
        <v>1</v>
      </c>
      <c r="AA34" s="75" t="n">
        <f aca="false">IFERROR(ROUND($Z34*INDEX(HTS!$BE:$BE,MATCH($E34,HTS!$E:$E,0)),0),"")</f>
        <v>123</v>
      </c>
      <c r="AB34" s="118" t="n">
        <f aca="false">1</f>
        <v>1</v>
      </c>
      <c r="AC34" s="75" t="n">
        <f aca="false">IFERROR(ROUND($AB34*INDEX(HTS!$BH:$BH,MATCH($E34,HTS!$E:$E,0)),0),"")</f>
        <v>3</v>
      </c>
      <c r="AD34" s="118" t="n">
        <f aca="false">1</f>
        <v>1</v>
      </c>
      <c r="AE34" s="75" t="n">
        <f aca="false">IFERROR(ROUND($AD34*INDEX(HTS!$BK:$BK,MATCH($E34,HTS!$E:$E,0)),0),"")</f>
        <v>57</v>
      </c>
      <c r="AF34" s="73" t="n">
        <f aca="false">IF(SUM($O34,$Q34,$S34,$K34,$G34,$I34,$M34,$U34,$W34,$Y34,$AA34,$AC34,$AE34)=0,"",SUM($O34,$Q34,$S34,$K34,$G34,$I34,$M34,$U34,$W34,$Y34,$AA34,$AC34,$AE34))</f>
        <v>-13588</v>
      </c>
      <c r="AG34" s="73" t="n">
        <f aca="false">INDEX(HTS!$BN:$BN,MATCH($E34,HTS!$E:$E,0))</f>
        <v>-13588</v>
      </c>
      <c r="AH34" s="118" t="str">
        <f aca="false">IF(SUM($AG34)&lt;=0,"",$AF34/$AG34)</f>
        <v/>
      </c>
    </row>
    <row r="35" customFormat="false" ht="15" hidden="false" customHeight="false" outlineLevel="0" collapsed="false">
      <c r="A35" s="0" t="s">
        <v>142</v>
      </c>
      <c r="B35" s="0" t="s">
        <v>109</v>
      </c>
      <c r="C35" s="0" t="s">
        <v>69</v>
      </c>
      <c r="D35" s="0" t="s">
        <v>56</v>
      </c>
      <c r="E35" s="0" t="str">
        <f aca="false">B35&amp;"|"&amp;C35&amp;"|"&amp;D35</f>
        <v>Berea [#SNU] [#DREAMS] [wpg5evyl1OL]|25-29|Female</v>
      </c>
      <c r="F35" s="118" t="n">
        <f aca="false">IF($D35="Female",100%,"")</f>
        <v>1</v>
      </c>
      <c r="G35" s="75" t="n">
        <f aca="false">IFERROR(ROUND($F35*INDEX(PMTCT!$AE:$AE,MATCH($E35,PMTCT!$E:$E,0)),0),"")</f>
        <v>-51084</v>
      </c>
      <c r="H35" s="118" t="n">
        <f aca="false">IF($D35="Female",100%,"")</f>
        <v>1</v>
      </c>
      <c r="I35" s="75" t="str">
        <f aca="false">IFERROR(ROUND($H35*INDEX(PMTCT!$AU:$AU,MATCH($E35,PMTCT!$E:$E,0)),0),"")</f>
        <v/>
      </c>
      <c r="J35" s="118" t="n">
        <f aca="false">1</f>
        <v>1</v>
      </c>
      <c r="K35" s="75" t="n">
        <f aca="false">IFERROR(ROUND($J35*INDEX(TB!$Q:$Q,MATCH($E35,HTS!$E:$E,0)),0),"")</f>
        <v>-16660</v>
      </c>
      <c r="L35" s="118" t="str">
        <f aca="false">IF($D35="Male",100%,"")</f>
        <v/>
      </c>
      <c r="M35" s="75" t="str">
        <f aca="false">IFERROR(ROUND($L35*INDEX(VMMC!$AC:$AC,MATCH($E35,VMMC!$E:$E,0)),0),"")</f>
        <v/>
      </c>
      <c r="N35" s="118" t="n">
        <f aca="false">1</f>
        <v>1</v>
      </c>
      <c r="O35" s="75" t="str">
        <f aca="false">IFERROR(ROUND($N35*INDEX(HTS!$Q:$Q,MATCH($E35,HTS!$E:$E,0)),0),"")</f>
        <v/>
      </c>
      <c r="P35" s="118" t="n">
        <f aca="false">1</f>
        <v>1</v>
      </c>
      <c r="Q35" s="75" t="str">
        <f aca="false">IFERROR(ROUND($P35*INDEX(HTS!$S:$S,MATCH($E35,HTS!$E:$E,0)),0),"")</f>
        <v/>
      </c>
      <c r="R35" s="118" t="n">
        <f aca="false">1</f>
        <v>1</v>
      </c>
      <c r="S35" s="75" t="n">
        <f aca="false">IFERROR(ROUND($R35*INDEX(HTS!$AM:$AM,MATCH($E35,HTS!$E:$E,0)),0),"")</f>
        <v>4</v>
      </c>
      <c r="T35" s="118" t="n">
        <f aca="false">1</f>
        <v>1</v>
      </c>
      <c r="U35" s="75" t="n">
        <f aca="false">IFERROR(ROUND($T35*INDEX(HTS!$AV:$AV,MATCH($E35,HTS!$E:$E,0)),0),"")</f>
        <v>33</v>
      </c>
      <c r="V35" s="118" t="n">
        <f aca="false">1</f>
        <v>1</v>
      </c>
      <c r="W35" s="75" t="n">
        <f aca="false">IFERROR(ROUND($V35*INDEX(HTS!$AY:$AY,MATCH($E35,HTS!$E:$E,0)),0),"")</f>
        <v>17</v>
      </c>
      <c r="X35" s="118" t="n">
        <f aca="false">1</f>
        <v>1</v>
      </c>
      <c r="Y35" s="75" t="n">
        <f aca="false">IFERROR(ROUND($X35*INDEX(HTS!$BB:$BB,MATCH($E35,HTS!$E:$E,0)),0),"")</f>
        <v>23</v>
      </c>
      <c r="Z35" s="118" t="n">
        <f aca="false">1</f>
        <v>1</v>
      </c>
      <c r="AA35" s="75" t="n">
        <f aca="false">IFERROR(ROUND($Z35*INDEX(HTS!$BE:$BE,MATCH($E35,HTS!$E:$E,0)),0),"")</f>
        <v>19</v>
      </c>
      <c r="AB35" s="118" t="n">
        <f aca="false">1</f>
        <v>1</v>
      </c>
      <c r="AC35" s="75" t="n">
        <f aca="false">IFERROR(ROUND($AB35*INDEX(HTS!$BH:$BH,MATCH($E35,HTS!$E:$E,0)),0),"")</f>
        <v>17</v>
      </c>
      <c r="AD35" s="118" t="n">
        <f aca="false">1</f>
        <v>1</v>
      </c>
      <c r="AE35" s="75" t="n">
        <f aca="false">IFERROR(ROUND($AD35*INDEX(HTS!$BK:$BK,MATCH($E35,HTS!$E:$E,0)),0),"")</f>
        <v>22</v>
      </c>
      <c r="AF35" s="73" t="n">
        <f aca="false">IF(SUM($O35,$Q35,$S35,$K35,$G35,$I35,$M35,$U35,$W35,$Y35,$AA35,$AC35,$AE35)=0,"",SUM($O35,$Q35,$S35,$K35,$G35,$I35,$M35,$U35,$W35,$Y35,$AA35,$AC35,$AE35))</f>
        <v>-67609</v>
      </c>
      <c r="AG35" s="73" t="n">
        <f aca="false">INDEX(HTS!$BN:$BN,MATCH($E35,HTS!$E:$E,0))</f>
        <v>-67609</v>
      </c>
      <c r="AH35" s="118" t="str">
        <f aca="false">IF(SUM($AG35)&lt;=0,"",$AF35/$AG35)</f>
        <v/>
      </c>
    </row>
    <row r="36" customFormat="false" ht="15" hidden="false" customHeight="false" outlineLevel="0" collapsed="false">
      <c r="A36" s="0" t="s">
        <v>142</v>
      </c>
      <c r="B36" s="0" t="s">
        <v>109</v>
      </c>
      <c r="C36" s="0" t="s">
        <v>69</v>
      </c>
      <c r="D36" s="0" t="s">
        <v>58</v>
      </c>
      <c r="E36" s="0" t="str">
        <f aca="false">B36&amp;"|"&amp;C36&amp;"|"&amp;D36</f>
        <v>Berea [#SNU] [#DREAMS] [wpg5evyl1OL]|25-29|Male</v>
      </c>
      <c r="F36" s="118" t="str">
        <f aca="false">IF($D36="Female",100%,"")</f>
        <v/>
      </c>
      <c r="G36" s="75" t="str">
        <f aca="false">IFERROR(ROUND($F36*INDEX(PMTCT!$AE:$AE,MATCH($E36,PMTCT!$E:$E,0)),0),"")</f>
        <v/>
      </c>
      <c r="H36" s="118" t="str">
        <f aca="false">IF($D36="Female",100%,"")</f>
        <v/>
      </c>
      <c r="I36" s="75" t="str">
        <f aca="false">IFERROR(ROUND($H36*INDEX(PMTCT!$AU:$AU,MATCH($E36,PMTCT!$E:$E,0)),0),"")</f>
        <v/>
      </c>
      <c r="J36" s="118" t="n">
        <f aca="false">1</f>
        <v>1</v>
      </c>
      <c r="K36" s="75" t="n">
        <f aca="false">IFERROR(ROUND($J36*INDEX(TB!$Q:$Q,MATCH($E36,HTS!$E:$E,0)),0),"")</f>
        <v>-8428</v>
      </c>
      <c r="L36" s="118" t="n">
        <f aca="false">IF($D36="Male",100%,"")</f>
        <v>1</v>
      </c>
      <c r="M36" s="75" t="str">
        <f aca="false">IFERROR(ROUND($L36*INDEX(VMMC!$AC:$AC,MATCH($E36,VMMC!$E:$E,0)),0),"")</f>
        <v/>
      </c>
      <c r="N36" s="118" t="n">
        <f aca="false">1</f>
        <v>1</v>
      </c>
      <c r="O36" s="75" t="n">
        <f aca="false">IFERROR(ROUND($N36*INDEX(HTS!$Q:$Q,MATCH($E36,HTS!$E:$E,0)),0),"")</f>
        <v>196</v>
      </c>
      <c r="P36" s="118" t="n">
        <f aca="false">1</f>
        <v>1</v>
      </c>
      <c r="Q36" s="75" t="n">
        <f aca="false">IFERROR(ROUND($P36*INDEX(HTS!$S:$S,MATCH($E36,HTS!$E:$E,0)),0),"")</f>
        <v>-189</v>
      </c>
      <c r="R36" s="118" t="n">
        <f aca="false">1</f>
        <v>1</v>
      </c>
      <c r="S36" s="75" t="n">
        <f aca="false">IFERROR(ROUND($R36*INDEX(HTS!$AM:$AM,MATCH($E36,HTS!$E:$E,0)),0),"")</f>
        <v>132</v>
      </c>
      <c r="T36" s="118" t="n">
        <f aca="false">1</f>
        <v>1</v>
      </c>
      <c r="U36" s="75" t="n">
        <f aca="false">IFERROR(ROUND($T36*INDEX(HTS!$AV:$AV,MATCH($E36,HTS!$E:$E,0)),0),"")</f>
        <v>110</v>
      </c>
      <c r="V36" s="118" t="n">
        <f aca="false">1</f>
        <v>1</v>
      </c>
      <c r="W36" s="75" t="n">
        <f aca="false">IFERROR(ROUND($V36*INDEX(HTS!$AY:$AY,MATCH($E36,HTS!$E:$E,0)),0),"")</f>
        <v>858</v>
      </c>
      <c r="X36" s="118" t="n">
        <f aca="false">1</f>
        <v>1</v>
      </c>
      <c r="Y36" s="75" t="n">
        <f aca="false">IFERROR(ROUND($X36*INDEX(HTS!$BB:$BB,MATCH($E36,HTS!$E:$E,0)),0),"")</f>
        <v>88</v>
      </c>
      <c r="Z36" s="118" t="n">
        <f aca="false">1</f>
        <v>1</v>
      </c>
      <c r="AA36" s="75" t="n">
        <f aca="false">IFERROR(ROUND($Z36*INDEX(HTS!$BE:$BE,MATCH($E36,HTS!$E:$E,0)),0),"")</f>
        <v>440</v>
      </c>
      <c r="AB36" s="118" t="n">
        <f aca="false">1</f>
        <v>1</v>
      </c>
      <c r="AC36" s="75" t="n">
        <f aca="false">IFERROR(ROUND($AB36*INDEX(HTS!$BH:$BH,MATCH($E36,HTS!$E:$E,0)),0),"")</f>
        <v>1078</v>
      </c>
      <c r="AD36" s="118" t="n">
        <f aca="false">1</f>
        <v>1</v>
      </c>
      <c r="AE36" s="75" t="n">
        <f aca="false">IFERROR(ROUND($AD36*INDEX(HTS!$BK:$BK,MATCH($E36,HTS!$E:$E,0)),0),"")</f>
        <v>550</v>
      </c>
      <c r="AF36" s="73" t="n">
        <f aca="false">IF(SUM($O36,$Q36,$S36,$K36,$G36,$I36,$M36,$U36,$W36,$Y36,$AA36,$AC36,$AE36)=0,"",SUM($O36,$Q36,$S36,$K36,$G36,$I36,$M36,$U36,$W36,$Y36,$AA36,$AC36,$AE36))</f>
        <v>-5165</v>
      </c>
      <c r="AG36" s="73" t="n">
        <f aca="false">INDEX(HTS!$BN:$BN,MATCH($E36,HTS!$E:$E,0))</f>
        <v>-5165</v>
      </c>
      <c r="AH36" s="118" t="str">
        <f aca="false">IF(SUM($AG36)&lt;=0,"",$AF36/$AG36)</f>
        <v/>
      </c>
    </row>
    <row r="37" customFormat="false" ht="15" hidden="false" customHeight="false" outlineLevel="0" collapsed="false">
      <c r="A37" s="0" t="s">
        <v>142</v>
      </c>
      <c r="B37" s="0" t="s">
        <v>109</v>
      </c>
      <c r="C37" s="0" t="s">
        <v>72</v>
      </c>
      <c r="D37" s="0" t="s">
        <v>56</v>
      </c>
      <c r="E37" s="0" t="str">
        <f aca="false">B37&amp;"|"&amp;C37&amp;"|"&amp;D37</f>
        <v>Berea [#SNU] [#DREAMS] [wpg5evyl1OL]|30-34|Female</v>
      </c>
      <c r="F37" s="118" t="n">
        <f aca="false">IF($D37="Female",100%,"")</f>
        <v>1</v>
      </c>
      <c r="G37" s="75" t="n">
        <f aca="false">IFERROR(ROUND($F37*INDEX(PMTCT!$AE:$AE,MATCH($E37,PMTCT!$E:$E,0)),0),"")</f>
        <v>-10656</v>
      </c>
      <c r="H37" s="118" t="n">
        <f aca="false">IF($D37="Female",100%,"")</f>
        <v>1</v>
      </c>
      <c r="I37" s="75" t="str">
        <f aca="false">IFERROR(ROUND($H37*INDEX(PMTCT!$AU:$AU,MATCH($E37,PMTCT!$E:$E,0)),0),"")</f>
        <v/>
      </c>
      <c r="J37" s="118" t="n">
        <f aca="false">1</f>
        <v>1</v>
      </c>
      <c r="K37" s="75" t="n">
        <f aca="false">IFERROR(ROUND($J37*INDEX(TB!$Q:$Q,MATCH($E37,HTS!$E:$E,0)),0),"")</f>
        <v>-21312</v>
      </c>
      <c r="L37" s="118" t="str">
        <f aca="false">IF($D37="Male",100%,"")</f>
        <v/>
      </c>
      <c r="M37" s="75" t="str">
        <f aca="false">IFERROR(ROUND($L37*INDEX(VMMC!$AC:$AC,MATCH($E37,VMMC!$E:$E,0)),0),"")</f>
        <v/>
      </c>
      <c r="N37" s="118" t="n">
        <f aca="false">1</f>
        <v>1</v>
      </c>
      <c r="O37" s="75" t="n">
        <f aca="false">IFERROR(ROUND($N37*INDEX(HTS!$Q:$Q,MATCH($E37,HTS!$E:$E,0)),0),"")</f>
        <v>240</v>
      </c>
      <c r="P37" s="118" t="n">
        <f aca="false">1</f>
        <v>1</v>
      </c>
      <c r="Q37" s="75" t="n">
        <f aca="false">IFERROR(ROUND($P37*INDEX(HTS!$S:$S,MATCH($E37,HTS!$E:$E,0)),0),"")</f>
        <v>-235</v>
      </c>
      <c r="R37" s="118" t="n">
        <f aca="false">1</f>
        <v>1</v>
      </c>
      <c r="S37" s="75" t="n">
        <f aca="false">IFERROR(ROUND($R37*INDEX(HTS!$AM:$AM,MATCH($E37,HTS!$E:$E,0)),0),"")</f>
        <v>666</v>
      </c>
      <c r="T37" s="118" t="n">
        <f aca="false">1</f>
        <v>1</v>
      </c>
      <c r="U37" s="75" t="n">
        <f aca="false">IFERROR(ROUND($T37*INDEX(HTS!$AV:$AV,MATCH($E37,HTS!$E:$E,0)),0),"")</f>
        <v>414</v>
      </c>
      <c r="V37" s="118" t="n">
        <f aca="false">1</f>
        <v>1</v>
      </c>
      <c r="W37" s="75" t="n">
        <f aca="false">IFERROR(ROUND($V37*INDEX(HTS!$AY:$AY,MATCH($E37,HTS!$E:$E,0)),0),"")</f>
        <v>396</v>
      </c>
      <c r="X37" s="118" t="n">
        <f aca="false">1</f>
        <v>1</v>
      </c>
      <c r="Y37" s="75" t="n">
        <f aca="false">IFERROR(ROUND($X37*INDEX(HTS!$BB:$BB,MATCH($E37,HTS!$E:$E,0)),0),"")</f>
        <v>396</v>
      </c>
      <c r="Z37" s="118" t="n">
        <f aca="false">1</f>
        <v>1</v>
      </c>
      <c r="AA37" s="75" t="n">
        <f aca="false">IFERROR(ROUND($Z37*INDEX(HTS!$BE:$BE,MATCH($E37,HTS!$E:$E,0)),0),"")</f>
        <v>342</v>
      </c>
      <c r="AB37" s="118" t="n">
        <f aca="false">1</f>
        <v>1</v>
      </c>
      <c r="AC37" s="75" t="n">
        <f aca="false">IFERROR(ROUND($AB37*INDEX(HTS!$BH:$BH,MATCH($E37,HTS!$E:$E,0)),0),"")</f>
        <v>540</v>
      </c>
      <c r="AD37" s="118" t="n">
        <f aca="false">1</f>
        <v>1</v>
      </c>
      <c r="AE37" s="75" t="n">
        <f aca="false">IFERROR(ROUND($AD37*INDEX(HTS!$BK:$BK,MATCH($E37,HTS!$E:$E,0)),0),"")</f>
        <v>522</v>
      </c>
      <c r="AF37" s="73" t="n">
        <f aca="false">IF(SUM($O37,$Q37,$S37,$K37,$G37,$I37,$M37,$U37,$W37,$Y37,$AA37,$AC37,$AE37)=0,"",SUM($O37,$Q37,$S37,$K37,$G37,$I37,$M37,$U37,$W37,$Y37,$AA37,$AC37,$AE37))</f>
        <v>-28687</v>
      </c>
      <c r="AG37" s="73" t="n">
        <f aca="false">INDEX(HTS!$BN:$BN,MATCH($E37,HTS!$E:$E,0))</f>
        <v>-28687</v>
      </c>
      <c r="AH37" s="118" t="str">
        <f aca="false">IF(SUM($AG37)&lt;=0,"",$AF37/$AG37)</f>
        <v/>
      </c>
    </row>
    <row r="38" customFormat="false" ht="15" hidden="false" customHeight="false" outlineLevel="0" collapsed="false">
      <c r="A38" s="0" t="s">
        <v>142</v>
      </c>
      <c r="B38" s="0" t="s">
        <v>109</v>
      </c>
      <c r="C38" s="0" t="s">
        <v>72</v>
      </c>
      <c r="D38" s="0" t="s">
        <v>58</v>
      </c>
      <c r="E38" s="0" t="str">
        <f aca="false">B38&amp;"|"&amp;C38&amp;"|"&amp;D38</f>
        <v>Berea [#SNU] [#DREAMS] [wpg5evyl1OL]|30-34|Male</v>
      </c>
      <c r="F38" s="118" t="str">
        <f aca="false">IF($D38="Female",100%,"")</f>
        <v/>
      </c>
      <c r="G38" s="75" t="str">
        <f aca="false">IFERROR(ROUND($F38*INDEX(PMTCT!$AE:$AE,MATCH($E38,PMTCT!$E:$E,0)),0),"")</f>
        <v/>
      </c>
      <c r="H38" s="118" t="str">
        <f aca="false">IF($D38="Female",100%,"")</f>
        <v/>
      </c>
      <c r="I38" s="75" t="str">
        <f aca="false">IFERROR(ROUND($H38*INDEX(PMTCT!$AU:$AU,MATCH($E38,PMTCT!$E:$E,0)),0),"")</f>
        <v/>
      </c>
      <c r="J38" s="118" t="n">
        <f aca="false">1</f>
        <v>1</v>
      </c>
      <c r="K38" s="75" t="n">
        <f aca="false">IFERROR(ROUND($J38*INDEX(TB!$Q:$Q,MATCH($E38,HTS!$E:$E,0)),0),"")</f>
        <v>-18432</v>
      </c>
      <c r="L38" s="118" t="n">
        <f aca="false">IF($D38="Male",100%,"")</f>
        <v>1</v>
      </c>
      <c r="M38" s="75" t="str">
        <f aca="false">IFERROR(ROUND($L38*INDEX(VMMC!$AC:$AC,MATCH($E38,VMMC!$E:$E,0)),0),"")</f>
        <v/>
      </c>
      <c r="N38" s="118" t="n">
        <f aca="false">1</f>
        <v>1</v>
      </c>
      <c r="O38" s="75" t="n">
        <f aca="false">IFERROR(ROUND($N38*INDEX(HTS!$Q:$Q,MATCH($E38,HTS!$E:$E,0)),0),"")</f>
        <v>24</v>
      </c>
      <c r="P38" s="118" t="n">
        <f aca="false">1</f>
        <v>1</v>
      </c>
      <c r="Q38" s="75" t="n">
        <f aca="false">IFERROR(ROUND($P38*INDEX(HTS!$S:$S,MATCH($E38,HTS!$E:$E,0)),0),"")</f>
        <v>-23</v>
      </c>
      <c r="R38" s="118" t="n">
        <f aca="false">1</f>
        <v>1</v>
      </c>
      <c r="S38" s="75" t="n">
        <f aca="false">IFERROR(ROUND($R38*INDEX(HTS!$AM:$AM,MATCH($E38,HTS!$E:$E,0)),0),"")</f>
        <v>48</v>
      </c>
      <c r="T38" s="118" t="n">
        <f aca="false">1</f>
        <v>1</v>
      </c>
      <c r="U38" s="75" t="n">
        <f aca="false">IFERROR(ROUND($T38*INDEX(HTS!$AV:$AV,MATCH($E38,HTS!$E:$E,0)),0),"")</f>
        <v>108</v>
      </c>
      <c r="V38" s="118" t="n">
        <f aca="false">1</f>
        <v>1</v>
      </c>
      <c r="W38" s="75" t="n">
        <f aca="false">IFERROR(ROUND($V38*INDEX(HTS!$AY:$AY,MATCH($E38,HTS!$E:$E,0)),0),"")</f>
        <v>88</v>
      </c>
      <c r="X38" s="118" t="n">
        <f aca="false">1</f>
        <v>1</v>
      </c>
      <c r="Y38" s="75" t="n">
        <f aca="false">IFERROR(ROUND($X38*INDEX(HTS!$BB:$BB,MATCH($E38,HTS!$E:$E,0)),0),"")</f>
        <v>20</v>
      </c>
      <c r="Z38" s="118" t="n">
        <f aca="false">1</f>
        <v>1</v>
      </c>
      <c r="AA38" s="75" t="n">
        <f aca="false">IFERROR(ROUND($Z38*INDEX(HTS!$BE:$BE,MATCH($E38,HTS!$E:$E,0)),0),"")</f>
        <v>156</v>
      </c>
      <c r="AB38" s="118" t="n">
        <f aca="false">1</f>
        <v>1</v>
      </c>
      <c r="AC38" s="75" t="n">
        <f aca="false">IFERROR(ROUND($AB38*INDEX(HTS!$BH:$BH,MATCH($E38,HTS!$E:$E,0)),0),"")</f>
        <v>92</v>
      </c>
      <c r="AD38" s="118" t="n">
        <f aca="false">1</f>
        <v>1</v>
      </c>
      <c r="AE38" s="75" t="n">
        <f aca="false">IFERROR(ROUND($AD38*INDEX(HTS!$BK:$BK,MATCH($E38,HTS!$E:$E,0)),0),"")</f>
        <v>32</v>
      </c>
      <c r="AF38" s="73" t="n">
        <f aca="false">IF(SUM($O38,$Q38,$S38,$K38,$G38,$I38,$M38,$U38,$W38,$Y38,$AA38,$AC38,$AE38)=0,"",SUM($O38,$Q38,$S38,$K38,$G38,$I38,$M38,$U38,$W38,$Y38,$AA38,$AC38,$AE38))</f>
        <v>-17887</v>
      </c>
      <c r="AG38" s="73" t="n">
        <f aca="false">INDEX(HTS!$BN:$BN,MATCH($E38,HTS!$E:$E,0))</f>
        <v>-17887</v>
      </c>
      <c r="AH38" s="118" t="str">
        <f aca="false">IF(SUM($AG38)&lt;=0,"",$AF38/$AG38)</f>
        <v/>
      </c>
    </row>
    <row r="39" customFormat="false" ht="15" hidden="false" customHeight="false" outlineLevel="0" collapsed="false">
      <c r="A39" s="0" t="s">
        <v>142</v>
      </c>
      <c r="B39" s="0" t="s">
        <v>109</v>
      </c>
      <c r="C39" s="0" t="s">
        <v>75</v>
      </c>
      <c r="D39" s="0" t="s">
        <v>56</v>
      </c>
      <c r="E39" s="0" t="str">
        <f aca="false">B39&amp;"|"&amp;C39&amp;"|"&amp;D39</f>
        <v>Berea [#SNU] [#DREAMS] [wpg5evyl1OL]|35-39|Female</v>
      </c>
      <c r="F39" s="118" t="n">
        <f aca="false">IF($D39="Female",100%,"")</f>
        <v>1</v>
      </c>
      <c r="G39" s="75" t="n">
        <f aca="false">IFERROR(ROUND($F39*INDEX(PMTCT!$AE:$AE,MATCH($E39,PMTCT!$E:$E,0)),0),"")</f>
        <v>-3300</v>
      </c>
      <c r="H39" s="118" t="n">
        <f aca="false">IF($D39="Female",100%,"")</f>
        <v>1</v>
      </c>
      <c r="I39" s="75" t="str">
        <f aca="false">IFERROR(ROUND($H39*INDEX(PMTCT!$AU:$AU,MATCH($E39,PMTCT!$E:$E,0)),0),"")</f>
        <v/>
      </c>
      <c r="J39" s="118" t="n">
        <f aca="false">1</f>
        <v>1</v>
      </c>
      <c r="K39" s="75" t="n">
        <f aca="false">IFERROR(ROUND($J39*INDEX(TB!$Q:$Q,MATCH($E39,HTS!$E:$E,0)),0),"")</f>
        <v>-13536</v>
      </c>
      <c r="L39" s="118" t="str">
        <f aca="false">IF($D39="Male",100%,"")</f>
        <v/>
      </c>
      <c r="M39" s="75" t="str">
        <f aca="false">IFERROR(ROUND($L39*INDEX(VMMC!$AC:$AC,MATCH($E39,VMMC!$E:$E,0)),0),"")</f>
        <v/>
      </c>
      <c r="N39" s="118" t="n">
        <f aca="false">1</f>
        <v>1</v>
      </c>
      <c r="O39" s="75" t="n">
        <f aca="false">IFERROR(ROUND($N39*INDEX(HTS!$Q:$Q,MATCH($E39,HTS!$E:$E,0)),0),"")</f>
        <v>84</v>
      </c>
      <c r="P39" s="118" t="n">
        <f aca="false">1</f>
        <v>1</v>
      </c>
      <c r="Q39" s="75" t="n">
        <f aca="false">IFERROR(ROUND($P39*INDEX(HTS!$S:$S,MATCH($E39,HTS!$E:$E,0)),0),"")</f>
        <v>-80</v>
      </c>
      <c r="R39" s="118" t="n">
        <f aca="false">1</f>
        <v>1</v>
      </c>
      <c r="S39" s="75" t="n">
        <f aca="false">IFERROR(ROUND($R39*INDEX(HTS!$AM:$AM,MATCH($E39,HTS!$E:$E,0)),0),"")</f>
        <v>168</v>
      </c>
      <c r="T39" s="118" t="n">
        <f aca="false">1</f>
        <v>1</v>
      </c>
      <c r="U39" s="75" t="n">
        <f aca="false">IFERROR(ROUND($T39*INDEX(HTS!$AV:$AV,MATCH($E39,HTS!$E:$E,0)),0),"")</f>
        <v>84</v>
      </c>
      <c r="V39" s="118" t="n">
        <f aca="false">1</f>
        <v>1</v>
      </c>
      <c r="W39" s="75" t="n">
        <f aca="false">IFERROR(ROUND($V39*INDEX(HTS!$AY:$AY,MATCH($E39,HTS!$E:$E,0)),0),"")</f>
        <v>28</v>
      </c>
      <c r="X39" s="118" t="n">
        <f aca="false">1</f>
        <v>1</v>
      </c>
      <c r="Y39" s="75" t="n">
        <f aca="false">IFERROR(ROUND($X39*INDEX(HTS!$BB:$BB,MATCH($E39,HTS!$E:$E,0)),0),"")</f>
        <v>280</v>
      </c>
      <c r="Z39" s="118" t="n">
        <f aca="false">1</f>
        <v>1</v>
      </c>
      <c r="AA39" s="75" t="n">
        <f aca="false">IFERROR(ROUND($Z39*INDEX(HTS!$BE:$BE,MATCH($E39,HTS!$E:$E,0)),0),"")</f>
        <v>294</v>
      </c>
      <c r="AB39" s="118" t="n">
        <f aca="false">1</f>
        <v>1</v>
      </c>
      <c r="AC39" s="75" t="n">
        <f aca="false">IFERROR(ROUND($AB39*INDEX(HTS!$BH:$BH,MATCH($E39,HTS!$E:$E,0)),0),"")</f>
        <v>329</v>
      </c>
      <c r="AD39" s="118" t="n">
        <f aca="false">1</f>
        <v>1</v>
      </c>
      <c r="AE39" s="75" t="n">
        <f aca="false">IFERROR(ROUND($AD39*INDEX(HTS!$BK:$BK,MATCH($E39,HTS!$E:$E,0)),0),"")</f>
        <v>91</v>
      </c>
      <c r="AF39" s="73" t="n">
        <f aca="false">IF(SUM($O39,$Q39,$S39,$K39,$G39,$I39,$M39,$U39,$W39,$Y39,$AA39,$AC39,$AE39)=0,"",SUM($O39,$Q39,$S39,$K39,$G39,$I39,$M39,$U39,$W39,$Y39,$AA39,$AC39,$AE39))</f>
        <v>-15558</v>
      </c>
      <c r="AG39" s="73" t="n">
        <f aca="false">INDEX(HTS!$BN:$BN,MATCH($E39,HTS!$E:$E,0))</f>
        <v>-15558</v>
      </c>
      <c r="AH39" s="118" t="str">
        <f aca="false">IF(SUM($AG39)&lt;=0,"",$AF39/$AG39)</f>
        <v/>
      </c>
    </row>
    <row r="40" customFormat="false" ht="15" hidden="false" customHeight="false" outlineLevel="0" collapsed="false">
      <c r="A40" s="0" t="s">
        <v>142</v>
      </c>
      <c r="B40" s="0" t="s">
        <v>109</v>
      </c>
      <c r="C40" s="0" t="s">
        <v>75</v>
      </c>
      <c r="D40" s="0" t="s">
        <v>58</v>
      </c>
      <c r="E40" s="0" t="str">
        <f aca="false">B40&amp;"|"&amp;C40&amp;"|"&amp;D40</f>
        <v>Berea [#SNU] [#DREAMS] [wpg5evyl1OL]|35-39|Male</v>
      </c>
      <c r="F40" s="118" t="str">
        <f aca="false">IF($D40="Female",100%,"")</f>
        <v/>
      </c>
      <c r="G40" s="75" t="str">
        <f aca="false">IFERROR(ROUND($F40*INDEX(PMTCT!$AE:$AE,MATCH($E40,PMTCT!$E:$E,0)),0),"")</f>
        <v/>
      </c>
      <c r="H40" s="118" t="str">
        <f aca="false">IF($D40="Female",100%,"")</f>
        <v/>
      </c>
      <c r="I40" s="75" t="str">
        <f aca="false">IFERROR(ROUND($H40*INDEX(PMTCT!$AU:$AU,MATCH($E40,PMTCT!$E:$E,0)),0),"")</f>
        <v/>
      </c>
      <c r="J40" s="118" t="n">
        <f aca="false">1</f>
        <v>1</v>
      </c>
      <c r="K40" s="75" t="n">
        <f aca="false">IFERROR(ROUND($J40*INDEX(TB!$Q:$Q,MATCH($E40,HTS!$E:$E,0)),0),"")</f>
        <v>0</v>
      </c>
      <c r="L40" s="118" t="n">
        <f aca="false">IF($D40="Male",100%,"")</f>
        <v>1</v>
      </c>
      <c r="M40" s="75" t="str">
        <f aca="false">IFERROR(ROUND($L40*INDEX(VMMC!$AC:$AC,MATCH($E40,VMMC!$E:$E,0)),0),"")</f>
        <v/>
      </c>
      <c r="N40" s="118" t="n">
        <f aca="false">1</f>
        <v>1</v>
      </c>
      <c r="O40" s="75" t="n">
        <f aca="false">IFERROR(ROUND($N40*INDEX(HTS!$Q:$Q,MATCH($E40,HTS!$E:$E,0)),0),"")</f>
        <v>17</v>
      </c>
      <c r="P40" s="118" t="n">
        <f aca="false">1</f>
        <v>1</v>
      </c>
      <c r="Q40" s="75" t="n">
        <f aca="false">IFERROR(ROUND($P40*INDEX(HTS!$S:$S,MATCH($E40,HTS!$E:$E,0)),0),"")</f>
        <v>-16</v>
      </c>
      <c r="R40" s="118" t="n">
        <f aca="false">1</f>
        <v>1</v>
      </c>
      <c r="S40" s="75" t="n">
        <f aca="false">IFERROR(ROUND($R40*INDEX(HTS!$AM:$AM,MATCH($E40,HTS!$E:$E,0)),0),"")</f>
        <v>128</v>
      </c>
      <c r="T40" s="118" t="n">
        <f aca="false">1</f>
        <v>1</v>
      </c>
      <c r="U40" s="75" t="n">
        <f aca="false">IFERROR(ROUND($T40*INDEX(HTS!$AV:$AV,MATCH($E40,HTS!$E:$E,0)),0),"")</f>
        <v>128</v>
      </c>
      <c r="V40" s="118" t="n">
        <f aca="false">1</f>
        <v>1</v>
      </c>
      <c r="W40" s="75" t="n">
        <f aca="false">IFERROR(ROUND($V40*INDEX(HTS!$AY:$AY,MATCH($E40,HTS!$E:$E,0)),0),"")</f>
        <v>108</v>
      </c>
      <c r="X40" s="118" t="n">
        <f aca="false">1</f>
        <v>1</v>
      </c>
      <c r="Y40" s="75" t="n">
        <f aca="false">IFERROR(ROUND($X40*INDEX(HTS!$BB:$BB,MATCH($E40,HTS!$E:$E,0)),0),"")</f>
        <v>148</v>
      </c>
      <c r="Z40" s="118" t="n">
        <f aca="false">1</f>
        <v>1</v>
      </c>
      <c r="AA40" s="75" t="n">
        <f aca="false">IFERROR(ROUND($Z40*INDEX(HTS!$BE:$BE,MATCH($E40,HTS!$E:$E,0)),0),"")</f>
        <v>140</v>
      </c>
      <c r="AB40" s="118" t="n">
        <f aca="false">1</f>
        <v>1</v>
      </c>
      <c r="AC40" s="75" t="n">
        <f aca="false">IFERROR(ROUND($AB40*INDEX(HTS!$BH:$BH,MATCH($E40,HTS!$E:$E,0)),0),"")</f>
        <v>100</v>
      </c>
      <c r="AD40" s="118" t="n">
        <f aca="false">1</f>
        <v>1</v>
      </c>
      <c r="AE40" s="75" t="n">
        <f aca="false">IFERROR(ROUND($AD40*INDEX(HTS!$BK:$BK,MATCH($E40,HTS!$E:$E,0)),0),"")</f>
        <v>88</v>
      </c>
      <c r="AF40" s="73" t="n">
        <f aca="false">IF(SUM($O40,$Q40,$S40,$K40,$G40,$I40,$M40,$U40,$W40,$Y40,$AA40,$AC40,$AE40)=0,"",SUM($O40,$Q40,$S40,$K40,$G40,$I40,$M40,$U40,$W40,$Y40,$AA40,$AC40,$AE40))</f>
        <v>841</v>
      </c>
      <c r="AG40" s="73" t="n">
        <f aca="false">INDEX(HTS!$BN:$BN,MATCH($E40,HTS!$E:$E,0))</f>
        <v>841</v>
      </c>
      <c r="AH40" s="118" t="n">
        <f aca="false">IF(SUM($AG40)&lt;=0,"",$AF40/$AG40)</f>
        <v>1</v>
      </c>
    </row>
    <row r="41" customFormat="false" ht="15" hidden="false" customHeight="false" outlineLevel="0" collapsed="false">
      <c r="A41" s="0" t="s">
        <v>142</v>
      </c>
      <c r="B41" s="0" t="s">
        <v>109</v>
      </c>
      <c r="C41" s="0" t="s">
        <v>77</v>
      </c>
      <c r="D41" s="0" t="s">
        <v>56</v>
      </c>
      <c r="E41" s="0" t="str">
        <f aca="false">B41&amp;"|"&amp;C41&amp;"|"&amp;D41</f>
        <v>Berea [#SNU] [#DREAMS] [wpg5evyl1OL]|40-44|Female</v>
      </c>
      <c r="F41" s="118" t="n">
        <f aca="false">IF($D41="Female",100%,"")</f>
        <v>1</v>
      </c>
      <c r="G41" s="75" t="n">
        <f aca="false">IFERROR(ROUND($F41*INDEX(PMTCT!$AE:$AE,MATCH($E41,PMTCT!$E:$E,0)),0),"")</f>
        <v>2350</v>
      </c>
      <c r="H41" s="118" t="n">
        <f aca="false">IF($D41="Female",100%,"")</f>
        <v>1</v>
      </c>
      <c r="I41" s="75" t="str">
        <f aca="false">IFERROR(ROUND($H41*INDEX(PMTCT!$AU:$AU,MATCH($E41,PMTCT!$E:$E,0)),0),"")</f>
        <v/>
      </c>
      <c r="J41" s="118" t="n">
        <f aca="false">1</f>
        <v>1</v>
      </c>
      <c r="K41" s="75" t="n">
        <f aca="false">IFERROR(ROUND($J41*INDEX(TB!$Q:$Q,MATCH($E41,HTS!$E:$E,0)),0),"")</f>
        <v>-1680</v>
      </c>
      <c r="L41" s="118" t="str">
        <f aca="false">IF($D41="Male",100%,"")</f>
        <v/>
      </c>
      <c r="M41" s="75" t="str">
        <f aca="false">IFERROR(ROUND($L41*INDEX(VMMC!$AC:$AC,MATCH($E41,VMMC!$E:$E,0)),0),"")</f>
        <v/>
      </c>
      <c r="N41" s="118" t="n">
        <f aca="false">1</f>
        <v>1</v>
      </c>
      <c r="O41" s="75" t="str">
        <f aca="false">IFERROR(ROUND($N41*INDEX(HTS!$Q:$Q,MATCH($E41,HTS!$E:$E,0)),0),"")</f>
        <v/>
      </c>
      <c r="P41" s="118" t="n">
        <f aca="false">1</f>
        <v>1</v>
      </c>
      <c r="Q41" s="75" t="str">
        <f aca="false">IFERROR(ROUND($P41*INDEX(HTS!$S:$S,MATCH($E41,HTS!$E:$E,0)),0),"")</f>
        <v/>
      </c>
      <c r="R41" s="118" t="n">
        <f aca="false">1</f>
        <v>1</v>
      </c>
      <c r="S41" s="75" t="str">
        <f aca="false">IFERROR(ROUND($R41*INDEX(HTS!$AM:$AM,MATCH($E41,HTS!$E:$E,0)),0),"")</f>
        <v/>
      </c>
      <c r="T41" s="118" t="n">
        <f aca="false">1</f>
        <v>1</v>
      </c>
      <c r="U41" s="75" t="str">
        <f aca="false">IFERROR(ROUND($T41*INDEX(HTS!$AV:$AV,MATCH($E41,HTS!$E:$E,0)),0),"")</f>
        <v/>
      </c>
      <c r="V41" s="118" t="n">
        <f aca="false">1</f>
        <v>1</v>
      </c>
      <c r="W41" s="75" t="str">
        <f aca="false">IFERROR(ROUND($V41*INDEX(HTS!$AY:$AY,MATCH($E41,HTS!$E:$E,0)),0),"")</f>
        <v/>
      </c>
      <c r="X41" s="118" t="n">
        <f aca="false">1</f>
        <v>1</v>
      </c>
      <c r="Y41" s="75" t="str">
        <f aca="false">IFERROR(ROUND($X41*INDEX(HTS!$BB:$BB,MATCH($E41,HTS!$E:$E,0)),0),"")</f>
        <v/>
      </c>
      <c r="Z41" s="118" t="n">
        <f aca="false">1</f>
        <v>1</v>
      </c>
      <c r="AA41" s="75" t="str">
        <f aca="false">IFERROR(ROUND($Z41*INDEX(HTS!$BE:$BE,MATCH($E41,HTS!$E:$E,0)),0),"")</f>
        <v/>
      </c>
      <c r="AB41" s="118" t="n">
        <f aca="false">1</f>
        <v>1</v>
      </c>
      <c r="AC41" s="75" t="str">
        <f aca="false">IFERROR(ROUND($AB41*INDEX(HTS!$BH:$BH,MATCH($E41,HTS!$E:$E,0)),0),"")</f>
        <v/>
      </c>
      <c r="AD41" s="118" t="n">
        <f aca="false">1</f>
        <v>1</v>
      </c>
      <c r="AE41" s="75" t="str">
        <f aca="false">IFERROR(ROUND($AD41*INDEX(HTS!$BK:$BK,MATCH($E41,HTS!$E:$E,0)),0),"")</f>
        <v/>
      </c>
      <c r="AF41" s="73" t="n">
        <f aca="false">IF(SUM($O41,$Q41,$S41,$K41,$G41,$I41,$M41,$U41,$W41,$Y41,$AA41,$AC41,$AE41)=0,"",SUM($O41,$Q41,$S41,$K41,$G41,$I41,$M41,$U41,$W41,$Y41,$AA41,$AC41,$AE41))</f>
        <v>670</v>
      </c>
      <c r="AG41" s="73" t="str">
        <f aca="false">INDEX(HTS!$BN:$BN,MATCH($E41,HTS!$E:$E,0))</f>
        <v/>
      </c>
      <c r="AH41" s="118" t="str">
        <f aca="false">IF(SUM($AG41)&lt;=0,"",$AF41/$AG41)</f>
        <v/>
      </c>
    </row>
    <row r="42" customFormat="false" ht="15" hidden="false" customHeight="false" outlineLevel="0" collapsed="false">
      <c r="A42" s="0" t="s">
        <v>142</v>
      </c>
      <c r="B42" s="0" t="s">
        <v>109</v>
      </c>
      <c r="C42" s="0" t="s">
        <v>77</v>
      </c>
      <c r="D42" s="0" t="s">
        <v>58</v>
      </c>
      <c r="E42" s="0" t="str">
        <f aca="false">B42&amp;"|"&amp;C42&amp;"|"&amp;D42</f>
        <v>Berea [#SNU] [#DREAMS] [wpg5evyl1OL]|40-44|Male</v>
      </c>
      <c r="F42" s="118" t="str">
        <f aca="false">IF($D42="Female",100%,"")</f>
        <v/>
      </c>
      <c r="G42" s="75" t="str">
        <f aca="false">IFERROR(ROUND($F42*INDEX(PMTCT!$AE:$AE,MATCH($E42,PMTCT!$E:$E,0)),0),"")</f>
        <v/>
      </c>
      <c r="H42" s="118" t="str">
        <f aca="false">IF($D42="Female",100%,"")</f>
        <v/>
      </c>
      <c r="I42" s="75" t="str">
        <f aca="false">IFERROR(ROUND($H42*INDEX(PMTCT!$AU:$AU,MATCH($E42,PMTCT!$E:$E,0)),0),"")</f>
        <v/>
      </c>
      <c r="J42" s="118" t="n">
        <f aca="false">1</f>
        <v>1</v>
      </c>
      <c r="K42" s="75" t="n">
        <f aca="false">IFERROR(ROUND($J42*INDEX(TB!$Q:$Q,MATCH($E42,HTS!$E:$E,0)),0),"")</f>
        <v>-6664</v>
      </c>
      <c r="L42" s="118" t="n">
        <f aca="false">IF($D42="Male",100%,"")</f>
        <v>1</v>
      </c>
      <c r="M42" s="75" t="str">
        <f aca="false">IFERROR(ROUND($L42*INDEX(VMMC!$AC:$AC,MATCH($E42,VMMC!$E:$E,0)),0),"")</f>
        <v/>
      </c>
      <c r="N42" s="118" t="n">
        <f aca="false">1</f>
        <v>1</v>
      </c>
      <c r="O42" s="75" t="n">
        <f aca="false">IFERROR(ROUND($N42*INDEX(HTS!$Q:$Q,MATCH($E42,HTS!$E:$E,0)),0),"")</f>
        <v>21</v>
      </c>
      <c r="P42" s="118" t="n">
        <f aca="false">1</f>
        <v>1</v>
      </c>
      <c r="Q42" s="75" t="n">
        <f aca="false">IFERROR(ROUND($P42*INDEX(HTS!$S:$S,MATCH($E42,HTS!$E:$E,0)),0),"")</f>
        <v>-18</v>
      </c>
      <c r="R42" s="118" t="n">
        <f aca="false">1</f>
        <v>1</v>
      </c>
      <c r="S42" s="75" t="n">
        <f aca="false">IFERROR(ROUND($R42*INDEX(HTS!$AM:$AM,MATCH($E42,HTS!$E:$E,0)),0),"")</f>
        <v>70</v>
      </c>
      <c r="T42" s="118" t="n">
        <f aca="false">1</f>
        <v>1</v>
      </c>
      <c r="U42" s="75" t="n">
        <f aca="false">IFERROR(ROUND($T42*INDEX(HTS!$AV:$AV,MATCH($E42,HTS!$E:$E,0)),0),"")</f>
        <v>25</v>
      </c>
      <c r="V42" s="118" t="n">
        <f aca="false">1</f>
        <v>1</v>
      </c>
      <c r="W42" s="75" t="n">
        <f aca="false">IFERROR(ROUND($V42*INDEX(HTS!$AY:$AY,MATCH($E42,HTS!$E:$E,0)),0),"")</f>
        <v>155</v>
      </c>
      <c r="X42" s="118" t="n">
        <f aca="false">1</f>
        <v>1</v>
      </c>
      <c r="Y42" s="75" t="n">
        <f aca="false">IFERROR(ROUND($X42*INDEX(HTS!$BB:$BB,MATCH($E42,HTS!$E:$E,0)),0),"")</f>
        <v>210</v>
      </c>
      <c r="Z42" s="118" t="n">
        <f aca="false">1</f>
        <v>1</v>
      </c>
      <c r="AA42" s="75" t="n">
        <f aca="false">IFERROR(ROUND($Z42*INDEX(HTS!$BE:$BE,MATCH($E42,HTS!$E:$E,0)),0),"")</f>
        <v>50</v>
      </c>
      <c r="AB42" s="118" t="n">
        <f aca="false">1</f>
        <v>1</v>
      </c>
      <c r="AC42" s="75" t="n">
        <f aca="false">IFERROR(ROUND($AB42*INDEX(HTS!$BH:$BH,MATCH($E42,HTS!$E:$E,0)),0),"")</f>
        <v>40</v>
      </c>
      <c r="AD42" s="118" t="n">
        <f aca="false">1</f>
        <v>1</v>
      </c>
      <c r="AE42" s="75" t="n">
        <f aca="false">IFERROR(ROUND($AD42*INDEX(HTS!$BK:$BK,MATCH($E42,HTS!$E:$E,0)),0),"")</f>
        <v>235</v>
      </c>
      <c r="AF42" s="73" t="n">
        <f aca="false">IF(SUM($O42,$Q42,$S42,$K42,$G42,$I42,$M42,$U42,$W42,$Y42,$AA42,$AC42,$AE42)=0,"",SUM($O42,$Q42,$S42,$K42,$G42,$I42,$M42,$U42,$W42,$Y42,$AA42,$AC42,$AE42))</f>
        <v>-5876</v>
      </c>
      <c r="AG42" s="73" t="n">
        <f aca="false">INDEX(HTS!$BN:$BN,MATCH($E42,HTS!$E:$E,0))</f>
        <v>-5876</v>
      </c>
      <c r="AH42" s="118" t="str">
        <f aca="false">IF(SUM($AG42)&lt;=0,"",$AF42/$AG42)</f>
        <v/>
      </c>
    </row>
    <row r="43" customFormat="false" ht="15" hidden="false" customHeight="false" outlineLevel="0" collapsed="false">
      <c r="A43" s="0" t="s">
        <v>142</v>
      </c>
      <c r="B43" s="0" t="s">
        <v>109</v>
      </c>
      <c r="C43" s="0" t="s">
        <v>80</v>
      </c>
      <c r="D43" s="0" t="s">
        <v>56</v>
      </c>
      <c r="E43" s="0" t="str">
        <f aca="false">B43&amp;"|"&amp;C43&amp;"|"&amp;D43</f>
        <v>Berea [#SNU] [#DREAMS] [wpg5evyl1OL]|45-49|Female</v>
      </c>
      <c r="F43" s="118" t="n">
        <f aca="false">IF($D43="Female",100%,"")</f>
        <v>1</v>
      </c>
      <c r="G43" s="75" t="str">
        <f aca="false">IFERROR(ROUND($F43*INDEX(PMTCT!$AE:$AE,MATCH($E43,PMTCT!$E:$E,0)),0),"")</f>
        <v/>
      </c>
      <c r="H43" s="118" t="n">
        <f aca="false">IF($D43="Female",100%,"")</f>
        <v>1</v>
      </c>
      <c r="I43" s="75" t="str">
        <f aca="false">IFERROR(ROUND($H43*INDEX(PMTCT!$AU:$AU,MATCH($E43,PMTCT!$E:$E,0)),0),"")</f>
        <v/>
      </c>
      <c r="J43" s="118" t="n">
        <f aca="false">1</f>
        <v>1</v>
      </c>
      <c r="K43" s="75" t="n">
        <f aca="false">IFERROR(ROUND($J43*INDEX(TB!$Q:$Q,MATCH($E43,HTS!$E:$E,0)),0),"")</f>
        <v>-26784</v>
      </c>
      <c r="L43" s="118" t="str">
        <f aca="false">IF($D43="Male",100%,"")</f>
        <v/>
      </c>
      <c r="M43" s="75" t="str">
        <f aca="false">IFERROR(ROUND($L43*INDEX(VMMC!$AC:$AC,MATCH($E43,VMMC!$E:$E,0)),0),"")</f>
        <v/>
      </c>
      <c r="N43" s="118" t="n">
        <f aca="false">1</f>
        <v>1</v>
      </c>
      <c r="O43" s="75" t="str">
        <f aca="false">IFERROR(ROUND($N43*INDEX(HTS!$Q:$Q,MATCH($E43,HTS!$E:$E,0)),0),"")</f>
        <v/>
      </c>
      <c r="P43" s="118" t="n">
        <f aca="false">1</f>
        <v>1</v>
      </c>
      <c r="Q43" s="75" t="str">
        <f aca="false">IFERROR(ROUND($P43*INDEX(HTS!$S:$S,MATCH($E43,HTS!$E:$E,0)),0),"")</f>
        <v/>
      </c>
      <c r="R43" s="118" t="n">
        <f aca="false">1</f>
        <v>1</v>
      </c>
      <c r="S43" s="75" t="str">
        <f aca="false">IFERROR(ROUND($R43*INDEX(HTS!$AM:$AM,MATCH($E43,HTS!$E:$E,0)),0),"")</f>
        <v/>
      </c>
      <c r="T43" s="118" t="n">
        <f aca="false">1</f>
        <v>1</v>
      </c>
      <c r="U43" s="75" t="str">
        <f aca="false">IFERROR(ROUND($T43*INDEX(HTS!$AV:$AV,MATCH($E43,HTS!$E:$E,0)),0),"")</f>
        <v/>
      </c>
      <c r="V43" s="118" t="n">
        <f aca="false">1</f>
        <v>1</v>
      </c>
      <c r="W43" s="75" t="str">
        <f aca="false">IFERROR(ROUND($V43*INDEX(HTS!$AY:$AY,MATCH($E43,HTS!$E:$E,0)),0),"")</f>
        <v/>
      </c>
      <c r="X43" s="118" t="n">
        <f aca="false">1</f>
        <v>1</v>
      </c>
      <c r="Y43" s="75" t="str">
        <f aca="false">IFERROR(ROUND($X43*INDEX(HTS!$BB:$BB,MATCH($E43,HTS!$E:$E,0)),0),"")</f>
        <v/>
      </c>
      <c r="Z43" s="118" t="n">
        <f aca="false">1</f>
        <v>1</v>
      </c>
      <c r="AA43" s="75" t="str">
        <f aca="false">IFERROR(ROUND($Z43*INDEX(HTS!$BE:$BE,MATCH($E43,HTS!$E:$E,0)),0),"")</f>
        <v/>
      </c>
      <c r="AB43" s="118" t="n">
        <f aca="false">1</f>
        <v>1</v>
      </c>
      <c r="AC43" s="75" t="str">
        <f aca="false">IFERROR(ROUND($AB43*INDEX(HTS!$BH:$BH,MATCH($E43,HTS!$E:$E,0)),0),"")</f>
        <v/>
      </c>
      <c r="AD43" s="118" t="n">
        <f aca="false">1</f>
        <v>1</v>
      </c>
      <c r="AE43" s="75" t="str">
        <f aca="false">IFERROR(ROUND($AD43*INDEX(HTS!$BK:$BK,MATCH($E43,HTS!$E:$E,0)),0),"")</f>
        <v/>
      </c>
      <c r="AF43" s="73" t="n">
        <f aca="false">IF(SUM($O43,$Q43,$S43,$K43,$G43,$I43,$M43,$U43,$W43,$Y43,$AA43,$AC43,$AE43)=0,"",SUM($O43,$Q43,$S43,$K43,$G43,$I43,$M43,$U43,$W43,$Y43,$AA43,$AC43,$AE43))</f>
        <v>-26784</v>
      </c>
      <c r="AG43" s="73" t="str">
        <f aca="false">INDEX(HTS!$BN:$BN,MATCH($E43,HTS!$E:$E,0))</f>
        <v/>
      </c>
      <c r="AH43" s="118" t="str">
        <f aca="false">IF(SUM($AG43)&lt;=0,"",$AF43/$AG43)</f>
        <v/>
      </c>
    </row>
    <row r="44" customFormat="false" ht="15" hidden="false" customHeight="false" outlineLevel="0" collapsed="false">
      <c r="A44" s="0" t="s">
        <v>142</v>
      </c>
      <c r="B44" s="0" t="s">
        <v>109</v>
      </c>
      <c r="C44" s="0" t="s">
        <v>80</v>
      </c>
      <c r="D44" s="0" t="s">
        <v>58</v>
      </c>
      <c r="E44" s="0" t="str">
        <f aca="false">B44&amp;"|"&amp;C44&amp;"|"&amp;D44</f>
        <v>Berea [#SNU] [#DREAMS] [wpg5evyl1OL]|45-49|Male</v>
      </c>
      <c r="F44" s="118" t="str">
        <f aca="false">IF($D44="Female",100%,"")</f>
        <v/>
      </c>
      <c r="G44" s="75" t="str">
        <f aca="false">IFERROR(ROUND($F44*INDEX(PMTCT!$AE:$AE,MATCH($E44,PMTCT!$E:$E,0)),0),"")</f>
        <v/>
      </c>
      <c r="H44" s="118" t="str">
        <f aca="false">IF($D44="Female",100%,"")</f>
        <v/>
      </c>
      <c r="I44" s="75" t="str">
        <f aca="false">IFERROR(ROUND($H44*INDEX(PMTCT!$AU:$AU,MATCH($E44,PMTCT!$E:$E,0)),0),"")</f>
        <v/>
      </c>
      <c r="J44" s="118" t="n">
        <f aca="false">1</f>
        <v>1</v>
      </c>
      <c r="K44" s="75" t="n">
        <f aca="false">IFERROR(ROUND($J44*INDEX(TB!$Q:$Q,MATCH($E44,HTS!$E:$E,0)),0),"")</f>
        <v>-7696</v>
      </c>
      <c r="L44" s="118" t="n">
        <f aca="false">IF($D44="Male",100%,"")</f>
        <v>1</v>
      </c>
      <c r="M44" s="75" t="str">
        <f aca="false">IFERROR(ROUND($L44*INDEX(VMMC!$AC:$AC,MATCH($E44,VMMC!$E:$E,0)),0),"")</f>
        <v/>
      </c>
      <c r="N44" s="118" t="n">
        <f aca="false">1</f>
        <v>1</v>
      </c>
      <c r="O44" s="75" t="n">
        <f aca="false">IFERROR(ROUND($N44*INDEX(HTS!$Q:$Q,MATCH($E44,HTS!$E:$E,0)),0),"")</f>
        <v>92</v>
      </c>
      <c r="P44" s="118" t="n">
        <f aca="false">1</f>
        <v>1</v>
      </c>
      <c r="Q44" s="75" t="n">
        <f aca="false">IFERROR(ROUND($P44*INDEX(HTS!$S:$S,MATCH($E44,HTS!$E:$E,0)),0),"")</f>
        <v>-88</v>
      </c>
      <c r="R44" s="118" t="n">
        <f aca="false">1</f>
        <v>1</v>
      </c>
      <c r="S44" s="75" t="n">
        <f aca="false">IFERROR(ROUND($R44*INDEX(HTS!$AM:$AM,MATCH($E44,HTS!$E:$E,0)),0),"")</f>
        <v>240</v>
      </c>
      <c r="T44" s="118" t="n">
        <f aca="false">1</f>
        <v>1</v>
      </c>
      <c r="U44" s="75" t="n">
        <f aca="false">IFERROR(ROUND($T44*INDEX(HTS!$AV:$AV,MATCH($E44,HTS!$E:$E,0)),0),"")</f>
        <v>264</v>
      </c>
      <c r="V44" s="118" t="n">
        <f aca="false">1</f>
        <v>1</v>
      </c>
      <c r="W44" s="75" t="n">
        <f aca="false">IFERROR(ROUND($V44*INDEX(HTS!$AY:$AY,MATCH($E44,HTS!$E:$E,0)),0),"")</f>
        <v>184</v>
      </c>
      <c r="X44" s="118" t="n">
        <f aca="false">1</f>
        <v>1</v>
      </c>
      <c r="Y44" s="75" t="n">
        <f aca="false">IFERROR(ROUND($X44*INDEX(HTS!$BB:$BB,MATCH($E44,HTS!$E:$E,0)),0),"")</f>
        <v>120</v>
      </c>
      <c r="Z44" s="118" t="n">
        <f aca="false">1</f>
        <v>1</v>
      </c>
      <c r="AA44" s="75" t="n">
        <f aca="false">IFERROR(ROUND($Z44*INDEX(HTS!$BE:$BE,MATCH($E44,HTS!$E:$E,0)),0),"")</f>
        <v>320</v>
      </c>
      <c r="AB44" s="118" t="n">
        <f aca="false">1</f>
        <v>1</v>
      </c>
      <c r="AC44" s="75" t="n">
        <f aca="false">IFERROR(ROUND($AB44*INDEX(HTS!$BH:$BH,MATCH($E44,HTS!$E:$E,0)),0),"")</f>
        <v>160</v>
      </c>
      <c r="AD44" s="118" t="n">
        <f aca="false">1</f>
        <v>1</v>
      </c>
      <c r="AE44" s="75" t="n">
        <f aca="false">IFERROR(ROUND($AD44*INDEX(HTS!$BK:$BK,MATCH($E44,HTS!$E:$E,0)),0),"")</f>
        <v>352</v>
      </c>
      <c r="AF44" s="73" t="n">
        <f aca="false">IF(SUM($O44,$Q44,$S44,$K44,$G44,$I44,$M44,$U44,$W44,$Y44,$AA44,$AC44,$AE44)=0,"",SUM($O44,$Q44,$S44,$K44,$G44,$I44,$M44,$U44,$W44,$Y44,$AA44,$AC44,$AE44))</f>
        <v>-6052</v>
      </c>
      <c r="AG44" s="73" t="n">
        <f aca="false">INDEX(HTS!$BN:$BN,MATCH($E44,HTS!$E:$E,0))</f>
        <v>-6052</v>
      </c>
      <c r="AH44" s="118" t="str">
        <f aca="false">IF(SUM($AG44)&lt;=0,"",$AF44/$AG44)</f>
        <v/>
      </c>
    </row>
    <row r="45" customFormat="false" ht="15" hidden="false" customHeight="false" outlineLevel="0" collapsed="false">
      <c r="A45" s="0" t="s">
        <v>142</v>
      </c>
      <c r="B45" s="0" t="s">
        <v>109</v>
      </c>
      <c r="C45" s="0" t="s">
        <v>86</v>
      </c>
      <c r="D45" s="0" t="s">
        <v>56</v>
      </c>
      <c r="E45" s="0" t="str">
        <f aca="false">B45&amp;"|"&amp;C45&amp;"|"&amp;D45</f>
        <v>Berea [#SNU] [#DREAMS] [wpg5evyl1OL]|50+|Female</v>
      </c>
      <c r="F45" s="118" t="n">
        <f aca="false">IF($D45="Female",100%,"")</f>
        <v>1</v>
      </c>
      <c r="G45" s="75" t="str">
        <f aca="false">IFERROR(ROUND($F45*INDEX(PMTCT!$AE:$AE,MATCH($E45,PMTCT!$E:$E,0)),0),"")</f>
        <v/>
      </c>
      <c r="H45" s="118" t="n">
        <f aca="false">IF($D45="Female",100%,"")</f>
        <v>1</v>
      </c>
      <c r="I45" s="75" t="str">
        <f aca="false">IFERROR(ROUND($H45*INDEX(PMTCT!$AU:$AU,MATCH($E45,PMTCT!$E:$E,0)),0),"")</f>
        <v/>
      </c>
      <c r="J45" s="118" t="n">
        <f aca="false">1</f>
        <v>1</v>
      </c>
      <c r="K45" s="75" t="n">
        <f aca="false">IFERROR(ROUND($J45*INDEX(TB!$Q:$Q,MATCH($E45,HTS!$E:$E,0)),0),"")</f>
        <v>-16650</v>
      </c>
      <c r="L45" s="118" t="str">
        <f aca="false">IF($D45="Male",100%,"")</f>
        <v/>
      </c>
      <c r="M45" s="75" t="str">
        <f aca="false">IFERROR(ROUND($L45*INDEX(VMMC!$AC:$AC,MATCH($E45,VMMC!$E:$E,0)),0),"")</f>
        <v/>
      </c>
      <c r="N45" s="118" t="n">
        <f aca="false">1</f>
        <v>1</v>
      </c>
      <c r="O45" s="75" t="str">
        <f aca="false">IFERROR(ROUND($N45*INDEX(HTS!$Q:$Q,MATCH($E45,HTS!$E:$E,0)),0),"")</f>
        <v/>
      </c>
      <c r="P45" s="118" t="n">
        <f aca="false">1</f>
        <v>1</v>
      </c>
      <c r="Q45" s="75" t="str">
        <f aca="false">IFERROR(ROUND($P45*INDEX(HTS!$S:$S,MATCH($E45,HTS!$E:$E,0)),0),"")</f>
        <v/>
      </c>
      <c r="R45" s="118" t="n">
        <f aca="false">1</f>
        <v>1</v>
      </c>
      <c r="S45" s="75" t="str">
        <f aca="false">IFERROR(ROUND($R45*INDEX(HTS!$AM:$AM,MATCH($E45,HTS!$E:$E,0)),0),"")</f>
        <v/>
      </c>
      <c r="T45" s="118" t="n">
        <f aca="false">1</f>
        <v>1</v>
      </c>
      <c r="U45" s="75" t="str">
        <f aca="false">IFERROR(ROUND($T45*INDEX(HTS!$AV:$AV,MATCH($E45,HTS!$E:$E,0)),0),"")</f>
        <v/>
      </c>
      <c r="V45" s="118" t="n">
        <f aca="false">1</f>
        <v>1</v>
      </c>
      <c r="W45" s="75" t="str">
        <f aca="false">IFERROR(ROUND($V45*INDEX(HTS!$AY:$AY,MATCH($E45,HTS!$E:$E,0)),0),"")</f>
        <v/>
      </c>
      <c r="X45" s="118" t="n">
        <f aca="false">1</f>
        <v>1</v>
      </c>
      <c r="Y45" s="75" t="str">
        <f aca="false">IFERROR(ROUND($X45*INDEX(HTS!$BB:$BB,MATCH($E45,HTS!$E:$E,0)),0),"")</f>
        <v/>
      </c>
      <c r="Z45" s="118" t="n">
        <f aca="false">1</f>
        <v>1</v>
      </c>
      <c r="AA45" s="75" t="str">
        <f aca="false">IFERROR(ROUND($Z45*INDEX(HTS!$BE:$BE,MATCH($E45,HTS!$E:$E,0)),0),"")</f>
        <v/>
      </c>
      <c r="AB45" s="118" t="n">
        <f aca="false">1</f>
        <v>1</v>
      </c>
      <c r="AC45" s="75" t="str">
        <f aca="false">IFERROR(ROUND($AB45*INDEX(HTS!$BH:$BH,MATCH($E45,HTS!$E:$E,0)),0),"")</f>
        <v/>
      </c>
      <c r="AD45" s="118" t="n">
        <f aca="false">1</f>
        <v>1</v>
      </c>
      <c r="AE45" s="75" t="str">
        <f aca="false">IFERROR(ROUND($AD45*INDEX(HTS!$BK:$BK,MATCH($E45,HTS!$E:$E,0)),0),"")</f>
        <v/>
      </c>
      <c r="AF45" s="73" t="n">
        <f aca="false">IF(SUM($O45,$Q45,$S45,$K45,$G45,$I45,$M45,$U45,$W45,$Y45,$AA45,$AC45,$AE45)=0,"",SUM($O45,$Q45,$S45,$K45,$G45,$I45,$M45,$U45,$W45,$Y45,$AA45,$AC45,$AE45))</f>
        <v>-16650</v>
      </c>
      <c r="AG45" s="73" t="str">
        <f aca="false">INDEX(HTS!$BN:$BN,MATCH($E45,HTS!$E:$E,0))</f>
        <v/>
      </c>
      <c r="AH45" s="118" t="str">
        <f aca="false">IF(SUM($AG45)&lt;=0,"",$AF45/$AG45)</f>
        <v/>
      </c>
    </row>
    <row r="46" customFormat="false" ht="15" hidden="false" customHeight="false" outlineLevel="0" collapsed="false">
      <c r="A46" s="0" t="s">
        <v>142</v>
      </c>
      <c r="B46" s="0" t="s">
        <v>109</v>
      </c>
      <c r="C46" s="0" t="s">
        <v>86</v>
      </c>
      <c r="D46" s="0" t="s">
        <v>58</v>
      </c>
      <c r="E46" s="0" t="str">
        <f aca="false">B46&amp;"|"&amp;C46&amp;"|"&amp;D46</f>
        <v>Berea [#SNU] [#DREAMS] [wpg5evyl1OL]|50+|Male</v>
      </c>
      <c r="F46" s="118" t="str">
        <f aca="false">IF($D46="Female",100%,"")</f>
        <v/>
      </c>
      <c r="G46" s="75" t="str">
        <f aca="false">IFERROR(ROUND($F46*INDEX(PMTCT!$AE:$AE,MATCH($E46,PMTCT!$E:$E,0)),0),"")</f>
        <v/>
      </c>
      <c r="H46" s="118" t="str">
        <f aca="false">IF($D46="Female",100%,"")</f>
        <v/>
      </c>
      <c r="I46" s="75" t="str">
        <f aca="false">IFERROR(ROUND($H46*INDEX(PMTCT!$AU:$AU,MATCH($E46,PMTCT!$E:$E,0)),0),"")</f>
        <v/>
      </c>
      <c r="J46" s="118" t="n">
        <f aca="false">1</f>
        <v>1</v>
      </c>
      <c r="K46" s="75" t="n">
        <f aca="false">IFERROR(ROUND($J46*INDEX(TB!$Q:$Q,MATCH($E46,HTS!$E:$E,0)),0),"")</f>
        <v>-64500</v>
      </c>
      <c r="L46" s="118" t="n">
        <f aca="false">IF($D46="Male",100%,"")</f>
        <v>1</v>
      </c>
      <c r="M46" s="75" t="str">
        <f aca="false">IFERROR(ROUND($L46*INDEX(VMMC!$AC:$AC,MATCH($E46,VMMC!$E:$E,0)),0),"")</f>
        <v/>
      </c>
      <c r="N46" s="118" t="n">
        <f aca="false">1</f>
        <v>1</v>
      </c>
      <c r="O46" s="75" t="n">
        <f aca="false">IFERROR(ROUND($N46*INDEX(HTS!$Q:$Q,MATCH($E46,HTS!$E:$E,0)),0),"")</f>
        <v>52</v>
      </c>
      <c r="P46" s="118" t="n">
        <f aca="false">1</f>
        <v>1</v>
      </c>
      <c r="Q46" s="75" t="n">
        <f aca="false">IFERROR(ROUND($P46*INDEX(HTS!$S:$S,MATCH($E46,HTS!$E:$E,0)),0),"")</f>
        <v>-48</v>
      </c>
      <c r="R46" s="118" t="n">
        <f aca="false">1</f>
        <v>1</v>
      </c>
      <c r="S46" s="75" t="n">
        <f aca="false">IFERROR(ROUND($R46*INDEX(HTS!$AM:$AM,MATCH($E46,HTS!$E:$E,0)),0),"")</f>
        <v>132</v>
      </c>
      <c r="T46" s="118" t="n">
        <f aca="false">1</f>
        <v>1</v>
      </c>
      <c r="U46" s="75" t="n">
        <f aca="false">IFERROR(ROUND($T46*INDEX(HTS!$AV:$AV,MATCH($E46,HTS!$E:$E,0)),0),"")</f>
        <v>276</v>
      </c>
      <c r="V46" s="118" t="n">
        <f aca="false">1</f>
        <v>1</v>
      </c>
      <c r="W46" s="75" t="n">
        <f aca="false">IFERROR(ROUND($V46*INDEX(HTS!$AY:$AY,MATCH($E46,HTS!$E:$E,0)),0),"")</f>
        <v>528</v>
      </c>
      <c r="X46" s="118" t="n">
        <f aca="false">1</f>
        <v>1</v>
      </c>
      <c r="Y46" s="75" t="n">
        <f aca="false">IFERROR(ROUND($X46*INDEX(HTS!$BB:$BB,MATCH($E46,HTS!$E:$E,0)),0),"")</f>
        <v>468</v>
      </c>
      <c r="Z46" s="118" t="n">
        <f aca="false">1</f>
        <v>1</v>
      </c>
      <c r="AA46" s="75" t="n">
        <f aca="false">IFERROR(ROUND($Z46*INDEX(HTS!$BE:$BE,MATCH($E46,HTS!$E:$E,0)),0),"")</f>
        <v>324</v>
      </c>
      <c r="AB46" s="118" t="n">
        <f aca="false">1</f>
        <v>1</v>
      </c>
      <c r="AC46" s="75" t="n">
        <f aca="false">IFERROR(ROUND($AB46*INDEX(HTS!$BH:$BH,MATCH($E46,HTS!$E:$E,0)),0),"")</f>
        <v>120</v>
      </c>
      <c r="AD46" s="118" t="n">
        <f aca="false">1</f>
        <v>1</v>
      </c>
      <c r="AE46" s="75" t="n">
        <f aca="false">IFERROR(ROUND($AD46*INDEX(HTS!$BK:$BK,MATCH($E46,HTS!$E:$E,0)),0),"")</f>
        <v>228</v>
      </c>
      <c r="AF46" s="73" t="n">
        <f aca="false">IF(SUM($O46,$Q46,$S46,$K46,$G46,$I46,$M46,$U46,$W46,$Y46,$AA46,$AC46,$AE46)=0,"",SUM($O46,$Q46,$S46,$K46,$G46,$I46,$M46,$U46,$W46,$Y46,$AA46,$AC46,$AE46))</f>
        <v>-62420</v>
      </c>
      <c r="AG46" s="73" t="n">
        <f aca="false">INDEX(HTS!$BN:$BN,MATCH($E46,HTS!$E:$E,0))</f>
        <v>-62420</v>
      </c>
      <c r="AH46" s="118" t="str">
        <f aca="false">IF(SUM($AG46)&lt;=0,"",$AF46/$AG46)</f>
        <v/>
      </c>
    </row>
    <row r="47" customFormat="false" ht="15" hidden="false" customHeight="false" outlineLevel="0" collapsed="false">
      <c r="A47" s="0" t="s">
        <v>143</v>
      </c>
      <c r="B47" s="0" t="s">
        <v>115</v>
      </c>
      <c r="C47" s="0" t="s">
        <v>63</v>
      </c>
      <c r="D47" s="0" t="s">
        <v>56</v>
      </c>
      <c r="E47" s="0" t="str">
        <f aca="false">B47&amp;"|"&amp;C47&amp;"|"&amp;D47</f>
        <v>Butha Buthe [#SNU] [mvPRqBFtVC0]|15-19|Female</v>
      </c>
      <c r="F47" s="118" t="n">
        <f aca="false">IF($D47="Female",100%,"")</f>
        <v>1</v>
      </c>
      <c r="G47" s="75" t="n">
        <f aca="false">IFERROR(ROUND($F47*INDEX(PMTCT!$AE:$AE,MATCH($E47,PMTCT!$E:$E,0)),0),"")</f>
        <v>-2961</v>
      </c>
      <c r="H47" s="118" t="n">
        <f aca="false">IF($D47="Female",100%,"")</f>
        <v>1</v>
      </c>
      <c r="I47" s="75" t="str">
        <f aca="false">IFERROR(ROUND($H47*INDEX(PMTCT!$AU:$AU,MATCH($E47,PMTCT!$E:$E,0)),0),"")</f>
        <v/>
      </c>
      <c r="J47" s="118" t="n">
        <f aca="false">1</f>
        <v>1</v>
      </c>
      <c r="K47" s="75" t="n">
        <f aca="false">IFERROR(ROUND($J47*INDEX(TB!$Q:$Q,MATCH($E47,HTS!$E:$E,0)),0),"")</f>
        <v>0</v>
      </c>
      <c r="L47" s="118" t="str">
        <f aca="false">IF($D47="Male",100%,"")</f>
        <v/>
      </c>
      <c r="M47" s="75" t="str">
        <f aca="false">IFERROR(ROUND($L47*INDEX(VMMC!$AC:$AC,MATCH($E47,VMMC!$E:$E,0)),0),"")</f>
        <v/>
      </c>
      <c r="N47" s="118" t="n">
        <f aca="false">1</f>
        <v>1</v>
      </c>
      <c r="O47" s="75" t="str">
        <f aca="false">IFERROR(ROUND($N47*INDEX(HTS!$Q:$Q,MATCH($E47,HTS!$E:$E,0)),0),"")</f>
        <v/>
      </c>
      <c r="P47" s="118" t="n">
        <f aca="false">1</f>
        <v>1</v>
      </c>
      <c r="Q47" s="75" t="n">
        <f aca="false">IFERROR(ROUND($P47*INDEX(HTS!$S:$S,MATCH($E47,HTS!$E:$E,0)),0),"")</f>
        <v>3</v>
      </c>
      <c r="R47" s="118" t="n">
        <f aca="false">1</f>
        <v>1</v>
      </c>
      <c r="S47" s="75" t="n">
        <f aca="false">IFERROR(ROUND($R47*INDEX(HTS!$AM:$AM,MATCH($E47,HTS!$E:$E,0)),0),"")</f>
        <v>264</v>
      </c>
      <c r="T47" s="118" t="n">
        <f aca="false">1</f>
        <v>1</v>
      </c>
      <c r="U47" s="75" t="n">
        <f aca="false">IFERROR(ROUND($T47*INDEX(HTS!$AV:$AV,MATCH($E47,HTS!$E:$E,0)),0),"")</f>
        <v>42</v>
      </c>
      <c r="V47" s="118" t="n">
        <f aca="false">1</f>
        <v>1</v>
      </c>
      <c r="W47" s="75" t="n">
        <f aca="false">IFERROR(ROUND($V47*INDEX(HTS!$AY:$AY,MATCH($E47,HTS!$E:$E,0)),0),"")</f>
        <v>168</v>
      </c>
      <c r="X47" s="118" t="n">
        <f aca="false">1</f>
        <v>1</v>
      </c>
      <c r="Y47" s="75" t="n">
        <f aca="false">IFERROR(ROUND($X47*INDEX(HTS!$BB:$BB,MATCH($E47,HTS!$E:$E,0)),0),"")</f>
        <v>30</v>
      </c>
      <c r="Z47" s="118" t="n">
        <f aca="false">1</f>
        <v>1</v>
      </c>
      <c r="AA47" s="75" t="n">
        <f aca="false">IFERROR(ROUND($Z47*INDEX(HTS!$BE:$BE,MATCH($E47,HTS!$E:$E,0)),0),"")</f>
        <v>96</v>
      </c>
      <c r="AB47" s="118" t="n">
        <f aca="false">1</f>
        <v>1</v>
      </c>
      <c r="AC47" s="75" t="n">
        <f aca="false">IFERROR(ROUND($AB47*INDEX(HTS!$BH:$BH,MATCH($E47,HTS!$E:$E,0)),0),"")</f>
        <v>192</v>
      </c>
      <c r="AD47" s="118" t="n">
        <f aca="false">1</f>
        <v>1</v>
      </c>
      <c r="AE47" s="75" t="n">
        <f aca="false">IFERROR(ROUND($AD47*INDEX(HTS!$BK:$BK,MATCH($E47,HTS!$E:$E,0)),0),"")</f>
        <v>144</v>
      </c>
      <c r="AF47" s="73" t="n">
        <f aca="false">IF(SUM($O47,$Q47,$S47,$K47,$G47,$I47,$M47,$U47,$W47,$Y47,$AA47,$AC47,$AE47)=0,"",SUM($O47,$Q47,$S47,$K47,$G47,$I47,$M47,$U47,$W47,$Y47,$AA47,$AC47,$AE47))</f>
        <v>-2022</v>
      </c>
      <c r="AG47" s="73" t="n">
        <f aca="false">INDEX(HTS!$BN:$BN,MATCH($E47,HTS!$E:$E,0))</f>
        <v>-2022</v>
      </c>
      <c r="AH47" s="118" t="str">
        <f aca="false">IF(SUM($AG47)&lt;=0,"",$AF47/$AG47)</f>
        <v/>
      </c>
    </row>
    <row r="48" customFormat="false" ht="15" hidden="false" customHeight="false" outlineLevel="0" collapsed="false">
      <c r="A48" s="0" t="s">
        <v>143</v>
      </c>
      <c r="B48" s="0" t="s">
        <v>115</v>
      </c>
      <c r="C48" s="0" t="s">
        <v>63</v>
      </c>
      <c r="D48" s="0" t="s">
        <v>58</v>
      </c>
      <c r="E48" s="0" t="str">
        <f aca="false">B48&amp;"|"&amp;C48&amp;"|"&amp;D48</f>
        <v>Butha Buthe [#SNU] [mvPRqBFtVC0]|15-19|Male</v>
      </c>
      <c r="F48" s="118" t="str">
        <f aca="false">IF($D48="Female",100%,"")</f>
        <v/>
      </c>
      <c r="G48" s="75" t="str">
        <f aca="false">IFERROR(ROUND($F48*INDEX(PMTCT!$AE:$AE,MATCH($E48,PMTCT!$E:$E,0)),0),"")</f>
        <v/>
      </c>
      <c r="H48" s="118" t="str">
        <f aca="false">IF($D48="Female",100%,"")</f>
        <v/>
      </c>
      <c r="I48" s="75" t="str">
        <f aca="false">IFERROR(ROUND($H48*INDEX(PMTCT!$AU:$AU,MATCH($E48,PMTCT!$E:$E,0)),0),"")</f>
        <v/>
      </c>
      <c r="J48" s="118" t="n">
        <f aca="false">1</f>
        <v>1</v>
      </c>
      <c r="K48" s="75" t="n">
        <f aca="false">IFERROR(ROUND($J48*INDEX(TB!$Q:$Q,MATCH($E48,HTS!$E:$E,0)),0),"")</f>
        <v>0</v>
      </c>
      <c r="L48" s="118" t="n">
        <f aca="false">IF($D48="Male",100%,"")</f>
        <v>1</v>
      </c>
      <c r="M48" s="75" t="str">
        <f aca="false">IFERROR(ROUND($L48*INDEX(VMMC!$AC:$AC,MATCH($E48,VMMC!$E:$E,0)),0),"")</f>
        <v/>
      </c>
      <c r="N48" s="118" t="n">
        <f aca="false">1</f>
        <v>1</v>
      </c>
      <c r="O48" s="75" t="str">
        <f aca="false">IFERROR(ROUND($N48*INDEX(HTS!$Q:$Q,MATCH($E48,HTS!$E:$E,0)),0),"")</f>
        <v/>
      </c>
      <c r="P48" s="118" t="n">
        <f aca="false">1</f>
        <v>1</v>
      </c>
      <c r="Q48" s="75" t="n">
        <f aca="false">IFERROR(ROUND($P48*INDEX(HTS!$S:$S,MATCH($E48,HTS!$E:$E,0)),0),"")</f>
        <v>1</v>
      </c>
      <c r="R48" s="118" t="n">
        <f aca="false">1</f>
        <v>1</v>
      </c>
      <c r="S48" s="75" t="n">
        <f aca="false">IFERROR(ROUND($R48*INDEX(HTS!$AM:$AM,MATCH($E48,HTS!$E:$E,0)),0),"")</f>
        <v>7</v>
      </c>
      <c r="T48" s="118" t="n">
        <f aca="false">1</f>
        <v>1</v>
      </c>
      <c r="U48" s="75" t="n">
        <f aca="false">IFERROR(ROUND($T48*INDEX(HTS!$AV:$AV,MATCH($E48,HTS!$E:$E,0)),0),"")</f>
        <v>36</v>
      </c>
      <c r="V48" s="118" t="n">
        <f aca="false">1</f>
        <v>1</v>
      </c>
      <c r="W48" s="75" t="n">
        <f aca="false">IFERROR(ROUND($V48*INDEX(HTS!$AY:$AY,MATCH($E48,HTS!$E:$E,0)),0),"")</f>
        <v>47</v>
      </c>
      <c r="X48" s="118" t="n">
        <f aca="false">1</f>
        <v>1</v>
      </c>
      <c r="Y48" s="75" t="str">
        <f aca="false">IFERROR(ROUND($X48*INDEX(HTS!$BB:$BB,MATCH($E48,HTS!$E:$E,0)),0),"")</f>
        <v/>
      </c>
      <c r="Z48" s="118" t="n">
        <f aca="false">1</f>
        <v>1</v>
      </c>
      <c r="AA48" s="75" t="n">
        <f aca="false">IFERROR(ROUND($Z48*INDEX(HTS!$BE:$BE,MATCH($E48,HTS!$E:$E,0)),0),"")</f>
        <v>13</v>
      </c>
      <c r="AB48" s="118" t="n">
        <f aca="false">1</f>
        <v>1</v>
      </c>
      <c r="AC48" s="75" t="n">
        <f aca="false">IFERROR(ROUND($AB48*INDEX(HTS!$BH:$BH,MATCH($E48,HTS!$E:$E,0)),0),"")</f>
        <v>14</v>
      </c>
      <c r="AD48" s="118" t="n">
        <f aca="false">1</f>
        <v>1</v>
      </c>
      <c r="AE48" s="75" t="n">
        <f aca="false">IFERROR(ROUND($AD48*INDEX(HTS!$BK:$BK,MATCH($E48,HTS!$E:$E,0)),0),"")</f>
        <v>15</v>
      </c>
      <c r="AF48" s="73" t="n">
        <f aca="false">IF(SUM($O48,$Q48,$S48,$K48,$G48,$I48,$M48,$U48,$W48,$Y48,$AA48,$AC48,$AE48)=0,"",SUM($O48,$Q48,$S48,$K48,$G48,$I48,$M48,$U48,$W48,$Y48,$AA48,$AC48,$AE48))</f>
        <v>133</v>
      </c>
      <c r="AG48" s="73" t="n">
        <f aca="false">INDEX(HTS!$BN:$BN,MATCH($E48,HTS!$E:$E,0))</f>
        <v>133</v>
      </c>
      <c r="AH48" s="118" t="n">
        <f aca="false">IF(SUM($AG48)&lt;=0,"",$AF48/$AG48)</f>
        <v>1</v>
      </c>
    </row>
    <row r="49" customFormat="false" ht="15" hidden="false" customHeight="false" outlineLevel="0" collapsed="false">
      <c r="A49" s="0" t="s">
        <v>143</v>
      </c>
      <c r="B49" s="0" t="s">
        <v>115</v>
      </c>
      <c r="C49" s="0" t="s">
        <v>66</v>
      </c>
      <c r="D49" s="0" t="s">
        <v>56</v>
      </c>
      <c r="E49" s="0" t="str">
        <f aca="false">B49&amp;"|"&amp;C49&amp;"|"&amp;D49</f>
        <v>Butha Buthe [#SNU] [mvPRqBFtVC0]|20-24|Female</v>
      </c>
      <c r="F49" s="118" t="n">
        <f aca="false">IF($D49="Female",100%,"")</f>
        <v>1</v>
      </c>
      <c r="G49" s="75" t="n">
        <f aca="false">IFERROR(ROUND($F49*INDEX(PMTCT!$AE:$AE,MATCH($E49,PMTCT!$E:$E,0)),0),"")</f>
        <v>-4680</v>
      </c>
      <c r="H49" s="118" t="n">
        <f aca="false">IF($D49="Female",100%,"")</f>
        <v>1</v>
      </c>
      <c r="I49" s="75" t="str">
        <f aca="false">IFERROR(ROUND($H49*INDEX(PMTCT!$AU:$AU,MATCH($E49,PMTCT!$E:$E,0)),0),"")</f>
        <v/>
      </c>
      <c r="J49" s="118" t="n">
        <f aca="false">1</f>
        <v>1</v>
      </c>
      <c r="K49" s="75" t="n">
        <f aca="false">IFERROR(ROUND($J49*INDEX(TB!$Q:$Q,MATCH($E49,HTS!$E:$E,0)),0),"")</f>
        <v>116</v>
      </c>
      <c r="L49" s="118" t="str">
        <f aca="false">IF($D49="Male",100%,"")</f>
        <v/>
      </c>
      <c r="M49" s="75" t="str">
        <f aca="false">IFERROR(ROUND($L49*INDEX(VMMC!$AC:$AC,MATCH($E49,VMMC!$E:$E,0)),0),"")</f>
        <v/>
      </c>
      <c r="N49" s="118" t="n">
        <f aca="false">1</f>
        <v>1</v>
      </c>
      <c r="O49" s="75" t="str">
        <f aca="false">IFERROR(ROUND($N49*INDEX(HTS!$Q:$Q,MATCH($E49,HTS!$E:$E,0)),0),"")</f>
        <v/>
      </c>
      <c r="P49" s="118" t="n">
        <f aca="false">1</f>
        <v>1</v>
      </c>
      <c r="Q49" s="75" t="n">
        <f aca="false">IFERROR(ROUND($P49*INDEX(HTS!$S:$S,MATCH($E49,HTS!$E:$E,0)),0),"")</f>
        <v>5</v>
      </c>
      <c r="R49" s="118" t="n">
        <f aca="false">1</f>
        <v>1</v>
      </c>
      <c r="S49" s="75" t="n">
        <f aca="false">IFERROR(ROUND($R49*INDEX(HTS!$AM:$AM,MATCH($E49,HTS!$E:$E,0)),0),"")</f>
        <v>270</v>
      </c>
      <c r="T49" s="118" t="n">
        <f aca="false">1</f>
        <v>1</v>
      </c>
      <c r="U49" s="75" t="n">
        <f aca="false">IFERROR(ROUND($T49*INDEX(HTS!$AV:$AV,MATCH($E49,HTS!$E:$E,0)),0),"")</f>
        <v>150</v>
      </c>
      <c r="V49" s="118" t="n">
        <f aca="false">1</f>
        <v>1</v>
      </c>
      <c r="W49" s="75" t="n">
        <f aca="false">IFERROR(ROUND($V49*INDEX(HTS!$AY:$AY,MATCH($E49,HTS!$E:$E,0)),0),"")</f>
        <v>420</v>
      </c>
      <c r="X49" s="118" t="n">
        <f aca="false">1</f>
        <v>1</v>
      </c>
      <c r="Y49" s="75" t="n">
        <f aca="false">IFERROR(ROUND($X49*INDEX(HTS!$BB:$BB,MATCH($E49,HTS!$E:$E,0)),0),"")</f>
        <v>195</v>
      </c>
      <c r="Z49" s="118" t="n">
        <f aca="false">1</f>
        <v>1</v>
      </c>
      <c r="AA49" s="75" t="n">
        <f aca="false">IFERROR(ROUND($Z49*INDEX(HTS!$BE:$BE,MATCH($E49,HTS!$E:$E,0)),0),"")</f>
        <v>255</v>
      </c>
      <c r="AB49" s="118" t="n">
        <f aca="false">1</f>
        <v>1</v>
      </c>
      <c r="AC49" s="75" t="n">
        <f aca="false">IFERROR(ROUND($AB49*INDEX(HTS!$BH:$BH,MATCH($E49,HTS!$E:$E,0)),0),"")</f>
        <v>630</v>
      </c>
      <c r="AD49" s="118" t="n">
        <f aca="false">1</f>
        <v>1</v>
      </c>
      <c r="AE49" s="75" t="n">
        <f aca="false">IFERROR(ROUND($AD49*INDEX(HTS!$BK:$BK,MATCH($E49,HTS!$E:$E,0)),0),"")</f>
        <v>585</v>
      </c>
      <c r="AF49" s="73" t="n">
        <f aca="false">IF(SUM($O49,$Q49,$S49,$K49,$G49,$I49,$M49,$U49,$W49,$Y49,$AA49,$AC49,$AE49)=0,"",SUM($O49,$Q49,$S49,$K49,$G49,$I49,$M49,$U49,$W49,$Y49,$AA49,$AC49,$AE49))</f>
        <v>-2054</v>
      </c>
      <c r="AG49" s="73" t="n">
        <f aca="false">INDEX(HTS!$BN:$BN,MATCH($E49,HTS!$E:$E,0))</f>
        <v>-2054</v>
      </c>
      <c r="AH49" s="118" t="str">
        <f aca="false">IF(SUM($AG49)&lt;=0,"",$AF49/$AG49)</f>
        <v/>
      </c>
    </row>
    <row r="50" customFormat="false" ht="15" hidden="false" customHeight="false" outlineLevel="0" collapsed="false">
      <c r="A50" s="0" t="s">
        <v>143</v>
      </c>
      <c r="B50" s="0" t="s">
        <v>115</v>
      </c>
      <c r="C50" s="0" t="s">
        <v>66</v>
      </c>
      <c r="D50" s="0" t="s">
        <v>58</v>
      </c>
      <c r="E50" s="0" t="str">
        <f aca="false">B50&amp;"|"&amp;C50&amp;"|"&amp;D50</f>
        <v>Butha Buthe [#SNU] [mvPRqBFtVC0]|20-24|Male</v>
      </c>
      <c r="F50" s="118" t="str">
        <f aca="false">IF($D50="Female",100%,"")</f>
        <v/>
      </c>
      <c r="G50" s="75" t="str">
        <f aca="false">IFERROR(ROUND($F50*INDEX(PMTCT!$AE:$AE,MATCH($E50,PMTCT!$E:$E,0)),0),"")</f>
        <v/>
      </c>
      <c r="H50" s="118" t="str">
        <f aca="false">IF($D50="Female",100%,"")</f>
        <v/>
      </c>
      <c r="I50" s="75" t="str">
        <f aca="false">IFERROR(ROUND($H50*INDEX(PMTCT!$AU:$AU,MATCH($E50,PMTCT!$E:$E,0)),0),"")</f>
        <v/>
      </c>
      <c r="J50" s="118" t="n">
        <f aca="false">1</f>
        <v>1</v>
      </c>
      <c r="K50" s="75" t="n">
        <f aca="false">IFERROR(ROUND($J50*INDEX(TB!$Q:$Q,MATCH($E50,HTS!$E:$E,0)),0),"")</f>
        <v>-0</v>
      </c>
      <c r="L50" s="118" t="n">
        <f aca="false">IF($D50="Male",100%,"")</f>
        <v>1</v>
      </c>
      <c r="M50" s="75" t="str">
        <f aca="false">IFERROR(ROUND($L50*INDEX(VMMC!$AC:$AC,MATCH($E50,VMMC!$E:$E,0)),0),"")</f>
        <v/>
      </c>
      <c r="N50" s="118" t="n">
        <f aca="false">1</f>
        <v>1</v>
      </c>
      <c r="O50" s="75" t="str">
        <f aca="false">IFERROR(ROUND($N50*INDEX(HTS!$Q:$Q,MATCH($E50,HTS!$E:$E,0)),0),"")</f>
        <v/>
      </c>
      <c r="P50" s="118" t="n">
        <f aca="false">1</f>
        <v>1</v>
      </c>
      <c r="Q50" s="75" t="n">
        <f aca="false">IFERROR(ROUND($P50*INDEX(HTS!$S:$S,MATCH($E50,HTS!$E:$E,0)),0),"")</f>
        <v>1</v>
      </c>
      <c r="R50" s="118" t="n">
        <f aca="false">1</f>
        <v>1</v>
      </c>
      <c r="S50" s="75" t="n">
        <f aca="false">IFERROR(ROUND($R50*INDEX(HTS!$AM:$AM,MATCH($E50,HTS!$E:$E,0)),0),"")</f>
        <v>36</v>
      </c>
      <c r="T50" s="118" t="n">
        <f aca="false">1</f>
        <v>1</v>
      </c>
      <c r="U50" s="75" t="n">
        <f aca="false">IFERROR(ROUND($T50*INDEX(HTS!$AV:$AV,MATCH($E50,HTS!$E:$E,0)),0),"")</f>
        <v>36</v>
      </c>
      <c r="V50" s="118" t="n">
        <f aca="false">1</f>
        <v>1</v>
      </c>
      <c r="W50" s="75" t="n">
        <f aca="false">IFERROR(ROUND($V50*INDEX(HTS!$AY:$AY,MATCH($E50,HTS!$E:$E,0)),0),"")</f>
        <v>188</v>
      </c>
      <c r="X50" s="118" t="n">
        <f aca="false">1</f>
        <v>1</v>
      </c>
      <c r="Y50" s="75" t="n">
        <f aca="false">IFERROR(ROUND($X50*INDEX(HTS!$BB:$BB,MATCH($E50,HTS!$E:$E,0)),0),"")</f>
        <v>108</v>
      </c>
      <c r="Z50" s="118" t="n">
        <f aca="false">1</f>
        <v>1</v>
      </c>
      <c r="AA50" s="75" t="n">
        <f aca="false">IFERROR(ROUND($Z50*INDEX(HTS!$BE:$BE,MATCH($E50,HTS!$E:$E,0)),0),"")</f>
        <v>64</v>
      </c>
      <c r="AB50" s="118" t="n">
        <f aca="false">1</f>
        <v>1</v>
      </c>
      <c r="AC50" s="75" t="n">
        <f aca="false">IFERROR(ROUND($AB50*INDEX(HTS!$BH:$BH,MATCH($E50,HTS!$E:$E,0)),0),"")</f>
        <v>160</v>
      </c>
      <c r="AD50" s="118" t="n">
        <f aca="false">1</f>
        <v>1</v>
      </c>
      <c r="AE50" s="75" t="n">
        <f aca="false">IFERROR(ROUND($AD50*INDEX(HTS!$BK:$BK,MATCH($E50,HTS!$E:$E,0)),0),"")</f>
        <v>100</v>
      </c>
      <c r="AF50" s="73" t="n">
        <f aca="false">IF(SUM($O50,$Q50,$S50,$K50,$G50,$I50,$M50,$U50,$W50,$Y50,$AA50,$AC50,$AE50)=0,"",SUM($O50,$Q50,$S50,$K50,$G50,$I50,$M50,$U50,$W50,$Y50,$AA50,$AC50,$AE50))</f>
        <v>693</v>
      </c>
      <c r="AG50" s="73" t="n">
        <f aca="false">INDEX(HTS!$BN:$BN,MATCH($E50,HTS!$E:$E,0))</f>
        <v>693</v>
      </c>
      <c r="AH50" s="118" t="n">
        <f aca="false">IF(SUM($AG50)&lt;=0,"",$AF50/$AG50)</f>
        <v>1</v>
      </c>
    </row>
    <row r="51" customFormat="false" ht="15" hidden="false" customHeight="false" outlineLevel="0" collapsed="false">
      <c r="A51" s="0" t="s">
        <v>143</v>
      </c>
      <c r="B51" s="0" t="s">
        <v>115</v>
      </c>
      <c r="C51" s="0" t="s">
        <v>69</v>
      </c>
      <c r="D51" s="0" t="s">
        <v>56</v>
      </c>
      <c r="E51" s="0" t="str">
        <f aca="false">B51&amp;"|"&amp;C51&amp;"|"&amp;D51</f>
        <v>Butha Buthe [#SNU] [mvPRqBFtVC0]|25-29|Female</v>
      </c>
      <c r="F51" s="118" t="n">
        <f aca="false">IF($D51="Female",100%,"")</f>
        <v>1</v>
      </c>
      <c r="G51" s="75" t="n">
        <f aca="false">IFERROR(ROUND($F51*INDEX(PMTCT!$AE:$AE,MATCH($E51,PMTCT!$E:$E,0)),0),"")</f>
        <v>-27675</v>
      </c>
      <c r="H51" s="118" t="n">
        <f aca="false">IF($D51="Female",100%,"")</f>
        <v>1</v>
      </c>
      <c r="I51" s="75" t="str">
        <f aca="false">IFERROR(ROUND($H51*INDEX(PMTCT!$AU:$AU,MATCH($E51,PMTCT!$E:$E,0)),0),"")</f>
        <v/>
      </c>
      <c r="J51" s="118" t="n">
        <f aca="false">1</f>
        <v>1</v>
      </c>
      <c r="K51" s="75" t="n">
        <f aca="false">IFERROR(ROUND($J51*INDEX(TB!$Q:$Q,MATCH($E51,HTS!$E:$E,0)),0),"")</f>
        <v>-12100</v>
      </c>
      <c r="L51" s="118" t="str">
        <f aca="false">IF($D51="Male",100%,"")</f>
        <v/>
      </c>
      <c r="M51" s="75" t="str">
        <f aca="false">IFERROR(ROUND($L51*INDEX(VMMC!$AC:$AC,MATCH($E51,VMMC!$E:$E,0)),0),"")</f>
        <v/>
      </c>
      <c r="N51" s="118" t="n">
        <f aca="false">1</f>
        <v>1</v>
      </c>
      <c r="O51" s="75" t="str">
        <f aca="false">IFERROR(ROUND($N51*INDEX(HTS!$Q:$Q,MATCH($E51,HTS!$E:$E,0)),0),"")</f>
        <v/>
      </c>
      <c r="P51" s="118" t="n">
        <f aca="false">1</f>
        <v>1</v>
      </c>
      <c r="Q51" s="75" t="n">
        <f aca="false">IFERROR(ROUND($P51*INDEX(HTS!$S:$S,MATCH($E51,HTS!$E:$E,0)),0),"")</f>
        <v>2</v>
      </c>
      <c r="R51" s="118" t="n">
        <f aca="false">1</f>
        <v>1</v>
      </c>
      <c r="S51" s="75" t="n">
        <f aca="false">IFERROR(ROUND($R51*INDEX(HTS!$AM:$AM,MATCH($E51,HTS!$E:$E,0)),0),"")</f>
        <v>392</v>
      </c>
      <c r="T51" s="118" t="n">
        <f aca="false">1</f>
        <v>1</v>
      </c>
      <c r="U51" s="75" t="n">
        <f aca="false">IFERROR(ROUND($T51*INDEX(HTS!$AV:$AV,MATCH($E51,HTS!$E:$E,0)),0),"")</f>
        <v>104</v>
      </c>
      <c r="V51" s="118" t="n">
        <f aca="false">1</f>
        <v>1</v>
      </c>
      <c r="W51" s="75" t="n">
        <f aca="false">IFERROR(ROUND($V51*INDEX(HTS!$AY:$AY,MATCH($E51,HTS!$E:$E,0)),0),"")</f>
        <v>336</v>
      </c>
      <c r="X51" s="118" t="n">
        <f aca="false">1</f>
        <v>1</v>
      </c>
      <c r="Y51" s="75" t="n">
        <f aca="false">IFERROR(ROUND($X51*INDEX(HTS!$BB:$BB,MATCH($E51,HTS!$E:$E,0)),0),"")</f>
        <v>168</v>
      </c>
      <c r="Z51" s="118" t="n">
        <f aca="false">1</f>
        <v>1</v>
      </c>
      <c r="AA51" s="75" t="n">
        <f aca="false">IFERROR(ROUND($Z51*INDEX(HTS!$BE:$BE,MATCH($E51,HTS!$E:$E,0)),0),"")</f>
        <v>40</v>
      </c>
      <c r="AB51" s="118" t="n">
        <f aca="false">1</f>
        <v>1</v>
      </c>
      <c r="AC51" s="75" t="n">
        <f aca="false">IFERROR(ROUND($AB51*INDEX(HTS!$BH:$BH,MATCH($E51,HTS!$E:$E,0)),0),"")</f>
        <v>56</v>
      </c>
      <c r="AD51" s="118" t="n">
        <f aca="false">1</f>
        <v>1</v>
      </c>
      <c r="AE51" s="75" t="n">
        <f aca="false">IFERROR(ROUND($AD51*INDEX(HTS!$BK:$BK,MATCH($E51,HTS!$E:$E,0)),0),"")</f>
        <v>232</v>
      </c>
      <c r="AF51" s="73" t="n">
        <f aca="false">IF(SUM($O51,$Q51,$S51,$K51,$G51,$I51,$M51,$U51,$W51,$Y51,$AA51,$AC51,$AE51)=0,"",SUM($O51,$Q51,$S51,$K51,$G51,$I51,$M51,$U51,$W51,$Y51,$AA51,$AC51,$AE51))</f>
        <v>-38445</v>
      </c>
      <c r="AG51" s="73" t="n">
        <f aca="false">INDEX(HTS!$BN:$BN,MATCH($E51,HTS!$E:$E,0))</f>
        <v>-38445</v>
      </c>
      <c r="AH51" s="118" t="str">
        <f aca="false">IF(SUM($AG51)&lt;=0,"",$AF51/$AG51)</f>
        <v/>
      </c>
    </row>
    <row r="52" customFormat="false" ht="15" hidden="false" customHeight="false" outlineLevel="0" collapsed="false">
      <c r="A52" s="0" t="s">
        <v>143</v>
      </c>
      <c r="B52" s="0" t="s">
        <v>115</v>
      </c>
      <c r="C52" s="0" t="s">
        <v>69</v>
      </c>
      <c r="D52" s="0" t="s">
        <v>58</v>
      </c>
      <c r="E52" s="0" t="str">
        <f aca="false">B52&amp;"|"&amp;C52&amp;"|"&amp;D52</f>
        <v>Butha Buthe [#SNU] [mvPRqBFtVC0]|25-29|Male</v>
      </c>
      <c r="F52" s="118" t="str">
        <f aca="false">IF($D52="Female",100%,"")</f>
        <v/>
      </c>
      <c r="G52" s="75" t="str">
        <f aca="false">IFERROR(ROUND($F52*INDEX(PMTCT!$AE:$AE,MATCH($E52,PMTCT!$E:$E,0)),0),"")</f>
        <v/>
      </c>
      <c r="H52" s="118" t="str">
        <f aca="false">IF($D52="Female",100%,"")</f>
        <v/>
      </c>
      <c r="I52" s="75" t="str">
        <f aca="false">IFERROR(ROUND($H52*INDEX(PMTCT!$AU:$AU,MATCH($E52,PMTCT!$E:$E,0)),0),"")</f>
        <v/>
      </c>
      <c r="J52" s="118" t="n">
        <f aca="false">1</f>
        <v>1</v>
      </c>
      <c r="K52" s="75" t="n">
        <f aca="false">IFERROR(ROUND($J52*INDEX(TB!$Q:$Q,MATCH($E52,HTS!$E:$E,0)),0),"")</f>
        <v>-29302</v>
      </c>
      <c r="L52" s="118" t="n">
        <f aca="false">IF($D52="Male",100%,"")</f>
        <v>1</v>
      </c>
      <c r="M52" s="75" t="str">
        <f aca="false">IFERROR(ROUND($L52*INDEX(VMMC!$AC:$AC,MATCH($E52,VMMC!$E:$E,0)),0),"")</f>
        <v/>
      </c>
      <c r="N52" s="118" t="n">
        <f aca="false">1</f>
        <v>1</v>
      </c>
      <c r="O52" s="75" t="str">
        <f aca="false">IFERROR(ROUND($N52*INDEX(HTS!$Q:$Q,MATCH($E52,HTS!$E:$E,0)),0),"")</f>
        <v/>
      </c>
      <c r="P52" s="118" t="n">
        <f aca="false">1</f>
        <v>1</v>
      </c>
      <c r="Q52" s="75" t="n">
        <f aca="false">IFERROR(ROUND($P52*INDEX(HTS!$S:$S,MATCH($E52,HTS!$E:$E,0)),0),"")</f>
        <v>5</v>
      </c>
      <c r="R52" s="118" t="n">
        <f aca="false">1</f>
        <v>1</v>
      </c>
      <c r="S52" s="75" t="n">
        <f aca="false">IFERROR(ROUND($R52*INDEX(HTS!$AM:$AM,MATCH($E52,HTS!$E:$E,0)),0),"")</f>
        <v>558</v>
      </c>
      <c r="T52" s="118" t="n">
        <f aca="false">1</f>
        <v>1</v>
      </c>
      <c r="U52" s="75" t="n">
        <f aca="false">IFERROR(ROUND($T52*INDEX(HTS!$AV:$AV,MATCH($E52,HTS!$E:$E,0)),0),"")</f>
        <v>846</v>
      </c>
      <c r="V52" s="118" t="n">
        <f aca="false">1</f>
        <v>1</v>
      </c>
      <c r="W52" s="75" t="n">
        <f aca="false">IFERROR(ROUND($V52*INDEX(HTS!$AY:$AY,MATCH($E52,HTS!$E:$E,0)),0),"")</f>
        <v>756</v>
      </c>
      <c r="X52" s="118" t="n">
        <f aca="false">1</f>
        <v>1</v>
      </c>
      <c r="Y52" s="75" t="n">
        <f aca="false">IFERROR(ROUND($X52*INDEX(HTS!$BB:$BB,MATCH($E52,HTS!$E:$E,0)),0),"")</f>
        <v>702</v>
      </c>
      <c r="Z52" s="118" t="n">
        <f aca="false">1</f>
        <v>1</v>
      </c>
      <c r="AA52" s="75" t="n">
        <f aca="false">IFERROR(ROUND($Z52*INDEX(HTS!$BE:$BE,MATCH($E52,HTS!$E:$E,0)),0),"")</f>
        <v>756</v>
      </c>
      <c r="AB52" s="118" t="n">
        <f aca="false">1</f>
        <v>1</v>
      </c>
      <c r="AC52" s="75" t="n">
        <f aca="false">IFERROR(ROUND($AB52*INDEX(HTS!$BH:$BH,MATCH($E52,HTS!$E:$E,0)),0),"")</f>
        <v>486</v>
      </c>
      <c r="AD52" s="118" t="n">
        <f aca="false">1</f>
        <v>1</v>
      </c>
      <c r="AE52" s="75" t="n">
        <f aca="false">IFERROR(ROUND($AD52*INDEX(HTS!$BK:$BK,MATCH($E52,HTS!$E:$E,0)),0),"")</f>
        <v>468</v>
      </c>
      <c r="AF52" s="73" t="n">
        <f aca="false">IF(SUM($O52,$Q52,$S52,$K52,$G52,$I52,$M52,$U52,$W52,$Y52,$AA52,$AC52,$AE52)=0,"",SUM($O52,$Q52,$S52,$K52,$G52,$I52,$M52,$U52,$W52,$Y52,$AA52,$AC52,$AE52))</f>
        <v>-24725</v>
      </c>
      <c r="AG52" s="73" t="n">
        <f aca="false">INDEX(HTS!$BN:$BN,MATCH($E52,HTS!$E:$E,0))</f>
        <v>-24725</v>
      </c>
      <c r="AH52" s="118" t="str">
        <f aca="false">IF(SUM($AG52)&lt;=0,"",$AF52/$AG52)</f>
        <v/>
      </c>
    </row>
    <row r="53" customFormat="false" ht="15" hidden="false" customHeight="false" outlineLevel="0" collapsed="false">
      <c r="A53" s="0" t="s">
        <v>143</v>
      </c>
      <c r="B53" s="0" t="s">
        <v>115</v>
      </c>
      <c r="C53" s="0" t="s">
        <v>72</v>
      </c>
      <c r="D53" s="0" t="s">
        <v>56</v>
      </c>
      <c r="E53" s="0" t="str">
        <f aca="false">B53&amp;"|"&amp;C53&amp;"|"&amp;D53</f>
        <v>Butha Buthe [#SNU] [mvPRqBFtVC0]|30-34|Female</v>
      </c>
      <c r="F53" s="118" t="n">
        <f aca="false">IF($D53="Female",100%,"")</f>
        <v>1</v>
      </c>
      <c r="G53" s="75" t="n">
        <f aca="false">IFERROR(ROUND($F53*INDEX(PMTCT!$AE:$AE,MATCH($E53,PMTCT!$E:$E,0)),0),"")</f>
        <v>-5655</v>
      </c>
      <c r="H53" s="118" t="n">
        <f aca="false">IF($D53="Female",100%,"")</f>
        <v>1</v>
      </c>
      <c r="I53" s="75" t="str">
        <f aca="false">IFERROR(ROUND($H53*INDEX(PMTCT!$AU:$AU,MATCH($E53,PMTCT!$E:$E,0)),0),"")</f>
        <v/>
      </c>
      <c r="J53" s="118" t="n">
        <f aca="false">1</f>
        <v>1</v>
      </c>
      <c r="K53" s="75" t="n">
        <f aca="false">IFERROR(ROUND($J53*INDEX(TB!$Q:$Q,MATCH($E53,HTS!$E:$E,0)),0),"")</f>
        <v>-7560</v>
      </c>
      <c r="L53" s="118" t="str">
        <f aca="false">IF($D53="Male",100%,"")</f>
        <v/>
      </c>
      <c r="M53" s="75" t="str">
        <f aca="false">IFERROR(ROUND($L53*INDEX(VMMC!$AC:$AC,MATCH($E53,VMMC!$E:$E,0)),0),"")</f>
        <v/>
      </c>
      <c r="N53" s="118" t="n">
        <f aca="false">1</f>
        <v>1</v>
      </c>
      <c r="O53" s="75" t="str">
        <f aca="false">IFERROR(ROUND($N53*INDEX(HTS!$Q:$Q,MATCH($E53,HTS!$E:$E,0)),0),"")</f>
        <v/>
      </c>
      <c r="P53" s="118" t="n">
        <f aca="false">1</f>
        <v>1</v>
      </c>
      <c r="Q53" s="75" t="n">
        <f aca="false">IFERROR(ROUND($P53*INDEX(HTS!$S:$S,MATCH($E53,HTS!$E:$E,0)),0),"")</f>
        <v>5</v>
      </c>
      <c r="R53" s="118" t="n">
        <f aca="false">1</f>
        <v>1</v>
      </c>
      <c r="S53" s="75" t="n">
        <f aca="false">IFERROR(ROUND($R53*INDEX(HTS!$AM:$AM,MATCH($E53,HTS!$E:$E,0)),0),"")</f>
        <v>357</v>
      </c>
      <c r="T53" s="118" t="n">
        <f aca="false">1</f>
        <v>1</v>
      </c>
      <c r="U53" s="75" t="n">
        <f aca="false">IFERROR(ROUND($T53*INDEX(HTS!$AV:$AV,MATCH($E53,HTS!$E:$E,0)),0),"")</f>
        <v>51</v>
      </c>
      <c r="V53" s="118" t="n">
        <f aca="false">1</f>
        <v>1</v>
      </c>
      <c r="W53" s="75" t="n">
        <f aca="false">IFERROR(ROUND($V53*INDEX(HTS!$AY:$AY,MATCH($E53,HTS!$E:$E,0)),0),"")</f>
        <v>782</v>
      </c>
      <c r="X53" s="118" t="n">
        <f aca="false">1</f>
        <v>1</v>
      </c>
      <c r="Y53" s="75" t="n">
        <f aca="false">IFERROR(ROUND($X53*INDEX(HTS!$BB:$BB,MATCH($E53,HTS!$E:$E,0)),0),"")</f>
        <v>493</v>
      </c>
      <c r="Z53" s="118" t="n">
        <f aca="false">1</f>
        <v>1</v>
      </c>
      <c r="AA53" s="75" t="n">
        <f aca="false">IFERROR(ROUND($Z53*INDEX(HTS!$BE:$BE,MATCH($E53,HTS!$E:$E,0)),0),"")</f>
        <v>340</v>
      </c>
      <c r="AB53" s="118" t="n">
        <f aca="false">1</f>
        <v>1</v>
      </c>
      <c r="AC53" s="75" t="n">
        <f aca="false">IFERROR(ROUND($AB53*INDEX(HTS!$BH:$BH,MATCH($E53,HTS!$E:$E,0)),0),"")</f>
        <v>323</v>
      </c>
      <c r="AD53" s="118" t="n">
        <f aca="false">1</f>
        <v>1</v>
      </c>
      <c r="AE53" s="75" t="n">
        <f aca="false">IFERROR(ROUND($AD53*INDEX(HTS!$BK:$BK,MATCH($E53,HTS!$E:$E,0)),0),"")</f>
        <v>170</v>
      </c>
      <c r="AF53" s="73" t="n">
        <f aca="false">IF(SUM($O53,$Q53,$S53,$K53,$G53,$I53,$M53,$U53,$W53,$Y53,$AA53,$AC53,$AE53)=0,"",SUM($O53,$Q53,$S53,$K53,$G53,$I53,$M53,$U53,$W53,$Y53,$AA53,$AC53,$AE53))</f>
        <v>-10694</v>
      </c>
      <c r="AG53" s="73" t="n">
        <f aca="false">INDEX(HTS!$BN:$BN,MATCH($E53,HTS!$E:$E,0))</f>
        <v>-10694</v>
      </c>
      <c r="AH53" s="118" t="str">
        <f aca="false">IF(SUM($AG53)&lt;=0,"",$AF53/$AG53)</f>
        <v/>
      </c>
    </row>
    <row r="54" customFormat="false" ht="15" hidden="false" customHeight="false" outlineLevel="0" collapsed="false">
      <c r="A54" s="0" t="s">
        <v>143</v>
      </c>
      <c r="B54" s="0" t="s">
        <v>115</v>
      </c>
      <c r="C54" s="0" t="s">
        <v>72</v>
      </c>
      <c r="D54" s="0" t="s">
        <v>58</v>
      </c>
      <c r="E54" s="0" t="str">
        <f aca="false">B54&amp;"|"&amp;C54&amp;"|"&amp;D54</f>
        <v>Butha Buthe [#SNU] [mvPRqBFtVC0]|30-34|Male</v>
      </c>
      <c r="F54" s="118" t="str">
        <f aca="false">IF($D54="Female",100%,"")</f>
        <v/>
      </c>
      <c r="G54" s="75" t="str">
        <f aca="false">IFERROR(ROUND($F54*INDEX(PMTCT!$AE:$AE,MATCH($E54,PMTCT!$E:$E,0)),0),"")</f>
        <v/>
      </c>
      <c r="H54" s="118" t="str">
        <f aca="false">IF($D54="Female",100%,"")</f>
        <v/>
      </c>
      <c r="I54" s="75" t="str">
        <f aca="false">IFERROR(ROUND($H54*INDEX(PMTCT!$AU:$AU,MATCH($E54,PMTCT!$E:$E,0)),0),"")</f>
        <v/>
      </c>
      <c r="J54" s="118" t="n">
        <f aca="false">1</f>
        <v>1</v>
      </c>
      <c r="K54" s="75" t="n">
        <f aca="false">IFERROR(ROUND($J54*INDEX(TB!$Q:$Q,MATCH($E54,HTS!$E:$E,0)),0),"")</f>
        <v>-5166</v>
      </c>
      <c r="L54" s="118" t="n">
        <f aca="false">IF($D54="Male",100%,"")</f>
        <v>1</v>
      </c>
      <c r="M54" s="75" t="str">
        <f aca="false">IFERROR(ROUND($L54*INDEX(VMMC!$AC:$AC,MATCH($E54,VMMC!$E:$E,0)),0),"")</f>
        <v/>
      </c>
      <c r="N54" s="118" t="n">
        <f aca="false">1</f>
        <v>1</v>
      </c>
      <c r="O54" s="75" t="str">
        <f aca="false">IFERROR(ROUND($N54*INDEX(HTS!$Q:$Q,MATCH($E54,HTS!$E:$E,0)),0),"")</f>
        <v/>
      </c>
      <c r="P54" s="118" t="n">
        <f aca="false">1</f>
        <v>1</v>
      </c>
      <c r="Q54" s="75" t="n">
        <f aca="false">IFERROR(ROUND($P54*INDEX(HTS!$S:$S,MATCH($E54,HTS!$E:$E,0)),0),"")</f>
        <v>9</v>
      </c>
      <c r="R54" s="118" t="n">
        <f aca="false">1</f>
        <v>1</v>
      </c>
      <c r="S54" s="75" t="n">
        <f aca="false">IFERROR(ROUND($R54*INDEX(HTS!$AM:$AM,MATCH($E54,HTS!$E:$E,0)),0),"")</f>
        <v>1395</v>
      </c>
      <c r="T54" s="118" t="n">
        <f aca="false">1</f>
        <v>1</v>
      </c>
      <c r="U54" s="75" t="n">
        <f aca="false">IFERROR(ROUND($T54*INDEX(HTS!$AV:$AV,MATCH($E54,HTS!$E:$E,0)),0),"")</f>
        <v>279</v>
      </c>
      <c r="V54" s="118" t="n">
        <f aca="false">1</f>
        <v>1</v>
      </c>
      <c r="W54" s="75" t="n">
        <f aca="false">IFERROR(ROUND($V54*INDEX(HTS!$AY:$AY,MATCH($E54,HTS!$E:$E,0)),0),"")</f>
        <v>713</v>
      </c>
      <c r="X54" s="118" t="n">
        <f aca="false">1</f>
        <v>1</v>
      </c>
      <c r="Y54" s="75" t="n">
        <f aca="false">IFERROR(ROUND($X54*INDEX(HTS!$BB:$BB,MATCH($E54,HTS!$E:$E,0)),0),"")</f>
        <v>1519</v>
      </c>
      <c r="Z54" s="118" t="n">
        <f aca="false">1</f>
        <v>1</v>
      </c>
      <c r="AA54" s="75" t="n">
        <f aca="false">IFERROR(ROUND($Z54*INDEX(HTS!$BE:$BE,MATCH($E54,HTS!$E:$E,0)),0),"")</f>
        <v>558</v>
      </c>
      <c r="AB54" s="118" t="n">
        <f aca="false">1</f>
        <v>1</v>
      </c>
      <c r="AC54" s="75" t="n">
        <f aca="false">IFERROR(ROUND($AB54*INDEX(HTS!$BH:$BH,MATCH($E54,HTS!$E:$E,0)),0),"")</f>
        <v>124</v>
      </c>
      <c r="AD54" s="118" t="n">
        <f aca="false">1</f>
        <v>1</v>
      </c>
      <c r="AE54" s="75" t="n">
        <f aca="false">IFERROR(ROUND($AD54*INDEX(HTS!$BK:$BK,MATCH($E54,HTS!$E:$E,0)),0),"")</f>
        <v>558</v>
      </c>
      <c r="AF54" s="73" t="n">
        <f aca="false">IF(SUM($O54,$Q54,$S54,$K54,$G54,$I54,$M54,$U54,$W54,$Y54,$AA54,$AC54,$AE54)=0,"",SUM($O54,$Q54,$S54,$K54,$G54,$I54,$M54,$U54,$W54,$Y54,$AA54,$AC54,$AE54))</f>
        <v>-11</v>
      </c>
      <c r="AG54" s="73" t="n">
        <f aca="false">INDEX(HTS!$BN:$BN,MATCH($E54,HTS!$E:$E,0))</f>
        <v>-11</v>
      </c>
      <c r="AH54" s="118" t="str">
        <f aca="false">IF(SUM($AG54)&lt;=0,"",$AF54/$AG54)</f>
        <v/>
      </c>
    </row>
    <row r="55" customFormat="false" ht="15" hidden="false" customHeight="false" outlineLevel="0" collapsed="false">
      <c r="A55" s="0" t="s">
        <v>143</v>
      </c>
      <c r="B55" s="0" t="s">
        <v>115</v>
      </c>
      <c r="C55" s="0" t="s">
        <v>75</v>
      </c>
      <c r="D55" s="0" t="s">
        <v>56</v>
      </c>
      <c r="E55" s="0" t="str">
        <f aca="false">B55&amp;"|"&amp;C55&amp;"|"&amp;D55</f>
        <v>Butha Buthe [#SNU] [mvPRqBFtVC0]|35-39|Female</v>
      </c>
      <c r="F55" s="118" t="n">
        <f aca="false">IF($D55="Female",100%,"")</f>
        <v>1</v>
      </c>
      <c r="G55" s="75" t="n">
        <f aca="false">IFERROR(ROUND($F55*INDEX(PMTCT!$AE:$AE,MATCH($E55,PMTCT!$E:$E,0)),0),"")</f>
        <v>-16720</v>
      </c>
      <c r="H55" s="118" t="n">
        <f aca="false">IF($D55="Female",100%,"")</f>
        <v>1</v>
      </c>
      <c r="I55" s="75" t="str">
        <f aca="false">IFERROR(ROUND($H55*INDEX(PMTCT!$AU:$AU,MATCH($E55,PMTCT!$E:$E,0)),0),"")</f>
        <v/>
      </c>
      <c r="J55" s="118" t="n">
        <f aca="false">1</f>
        <v>1</v>
      </c>
      <c r="K55" s="75" t="n">
        <f aca="false">IFERROR(ROUND($J55*INDEX(TB!$Q:$Q,MATCH($E55,HTS!$E:$E,0)),0),"")</f>
        <v>-5928</v>
      </c>
      <c r="L55" s="118" t="str">
        <f aca="false">IF($D55="Male",100%,"")</f>
        <v/>
      </c>
      <c r="M55" s="75" t="str">
        <f aca="false">IFERROR(ROUND($L55*INDEX(VMMC!$AC:$AC,MATCH($E55,VMMC!$E:$E,0)),0),"")</f>
        <v/>
      </c>
      <c r="N55" s="118" t="n">
        <f aca="false">1</f>
        <v>1</v>
      </c>
      <c r="O55" s="75" t="str">
        <f aca="false">IFERROR(ROUND($N55*INDEX(HTS!$Q:$Q,MATCH($E55,HTS!$E:$E,0)),0),"")</f>
        <v/>
      </c>
      <c r="P55" s="118" t="n">
        <f aca="false">1</f>
        <v>1</v>
      </c>
      <c r="Q55" s="75" t="n">
        <f aca="false">IFERROR(ROUND($P55*INDEX(HTS!$S:$S,MATCH($E55,HTS!$E:$E,0)),0),"")</f>
        <v>3</v>
      </c>
      <c r="R55" s="118" t="n">
        <f aca="false">1</f>
        <v>1</v>
      </c>
      <c r="S55" s="75" t="n">
        <f aca="false">IFERROR(ROUND($R55*INDEX(HTS!$AM:$AM,MATCH($E55,HTS!$E:$E,0)),0),"")</f>
        <v>156</v>
      </c>
      <c r="T55" s="118" t="n">
        <f aca="false">1</f>
        <v>1</v>
      </c>
      <c r="U55" s="75" t="n">
        <f aca="false">IFERROR(ROUND($T55*INDEX(HTS!$AV:$AV,MATCH($E55,HTS!$E:$E,0)),0),"")</f>
        <v>222</v>
      </c>
      <c r="V55" s="118" t="n">
        <f aca="false">1</f>
        <v>1</v>
      </c>
      <c r="W55" s="75" t="n">
        <f aca="false">IFERROR(ROUND($V55*INDEX(HTS!$AY:$AY,MATCH($E55,HTS!$E:$E,0)),0),"")</f>
        <v>114</v>
      </c>
      <c r="X55" s="118" t="n">
        <f aca="false">1</f>
        <v>1</v>
      </c>
      <c r="Y55" s="75" t="n">
        <f aca="false">IFERROR(ROUND($X55*INDEX(HTS!$BB:$BB,MATCH($E55,HTS!$E:$E,0)),0),"")</f>
        <v>12</v>
      </c>
      <c r="Z55" s="118" t="n">
        <f aca="false">1</f>
        <v>1</v>
      </c>
      <c r="AA55" s="75" t="n">
        <f aca="false">IFERROR(ROUND($Z55*INDEX(HTS!$BE:$BE,MATCH($E55,HTS!$E:$E,0)),0),"")</f>
        <v>6</v>
      </c>
      <c r="AB55" s="118" t="n">
        <f aca="false">1</f>
        <v>1</v>
      </c>
      <c r="AC55" s="75" t="n">
        <f aca="false">IFERROR(ROUND($AB55*INDEX(HTS!$BH:$BH,MATCH($E55,HTS!$E:$E,0)),0),"")</f>
        <v>66</v>
      </c>
      <c r="AD55" s="118" t="n">
        <f aca="false">1</f>
        <v>1</v>
      </c>
      <c r="AE55" s="75" t="n">
        <f aca="false">IFERROR(ROUND($AD55*INDEX(HTS!$BK:$BK,MATCH($E55,HTS!$E:$E,0)),0),"")</f>
        <v>258</v>
      </c>
      <c r="AF55" s="73" t="n">
        <f aca="false">IF(SUM($O55,$Q55,$S55,$K55,$G55,$I55,$M55,$U55,$W55,$Y55,$AA55,$AC55,$AE55)=0,"",SUM($O55,$Q55,$S55,$K55,$G55,$I55,$M55,$U55,$W55,$Y55,$AA55,$AC55,$AE55))</f>
        <v>-21811</v>
      </c>
      <c r="AG55" s="73" t="n">
        <f aca="false">INDEX(HTS!$BN:$BN,MATCH($E55,HTS!$E:$E,0))</f>
        <v>-21811</v>
      </c>
      <c r="AH55" s="118" t="str">
        <f aca="false">IF(SUM($AG55)&lt;=0,"",$AF55/$AG55)</f>
        <v/>
      </c>
    </row>
    <row r="56" customFormat="false" ht="15" hidden="false" customHeight="false" outlineLevel="0" collapsed="false">
      <c r="A56" s="0" t="s">
        <v>143</v>
      </c>
      <c r="B56" s="0" t="s">
        <v>115</v>
      </c>
      <c r="C56" s="0" t="s">
        <v>75</v>
      </c>
      <c r="D56" s="0" t="s">
        <v>58</v>
      </c>
      <c r="E56" s="0" t="str">
        <f aca="false">B56&amp;"|"&amp;C56&amp;"|"&amp;D56</f>
        <v>Butha Buthe [#SNU] [mvPRqBFtVC0]|35-39|Male</v>
      </c>
      <c r="F56" s="118" t="str">
        <f aca="false">IF($D56="Female",100%,"")</f>
        <v/>
      </c>
      <c r="G56" s="75" t="str">
        <f aca="false">IFERROR(ROUND($F56*INDEX(PMTCT!$AE:$AE,MATCH($E56,PMTCT!$E:$E,0)),0),"")</f>
        <v/>
      </c>
      <c r="H56" s="118" t="str">
        <f aca="false">IF($D56="Female",100%,"")</f>
        <v/>
      </c>
      <c r="I56" s="75" t="str">
        <f aca="false">IFERROR(ROUND($H56*INDEX(PMTCT!$AU:$AU,MATCH($E56,PMTCT!$E:$E,0)),0),"")</f>
        <v/>
      </c>
      <c r="J56" s="118" t="n">
        <f aca="false">1</f>
        <v>1</v>
      </c>
      <c r="K56" s="75" t="n">
        <f aca="false">IFERROR(ROUND($J56*INDEX(TB!$Q:$Q,MATCH($E56,HTS!$E:$E,0)),0),"")</f>
        <v>-43953</v>
      </c>
      <c r="L56" s="118" t="n">
        <f aca="false">IF($D56="Male",100%,"")</f>
        <v>1</v>
      </c>
      <c r="M56" s="75" t="str">
        <f aca="false">IFERROR(ROUND($L56*INDEX(VMMC!$AC:$AC,MATCH($E56,VMMC!$E:$E,0)),0),"")</f>
        <v/>
      </c>
      <c r="N56" s="118" t="n">
        <f aca="false">1</f>
        <v>1</v>
      </c>
      <c r="O56" s="75" t="str">
        <f aca="false">IFERROR(ROUND($N56*INDEX(HTS!$Q:$Q,MATCH($E56,HTS!$E:$E,0)),0),"")</f>
        <v/>
      </c>
      <c r="P56" s="118" t="n">
        <f aca="false">1</f>
        <v>1</v>
      </c>
      <c r="Q56" s="75" t="str">
        <f aca="false">IFERROR(ROUND($P56*INDEX(HTS!$S:$S,MATCH($E56,HTS!$E:$E,0)),0),"")</f>
        <v/>
      </c>
      <c r="R56" s="118" t="n">
        <f aca="false">1</f>
        <v>1</v>
      </c>
      <c r="S56" s="75" t="str">
        <f aca="false">IFERROR(ROUND($R56*INDEX(HTS!$AM:$AM,MATCH($E56,HTS!$E:$E,0)),0),"")</f>
        <v/>
      </c>
      <c r="T56" s="118" t="n">
        <f aca="false">1</f>
        <v>1</v>
      </c>
      <c r="U56" s="75" t="str">
        <f aca="false">IFERROR(ROUND($T56*INDEX(HTS!$AV:$AV,MATCH($E56,HTS!$E:$E,0)),0),"")</f>
        <v/>
      </c>
      <c r="V56" s="118" t="n">
        <f aca="false">1</f>
        <v>1</v>
      </c>
      <c r="W56" s="75" t="str">
        <f aca="false">IFERROR(ROUND($V56*INDEX(HTS!$AY:$AY,MATCH($E56,HTS!$E:$E,0)),0),"")</f>
        <v/>
      </c>
      <c r="X56" s="118" t="n">
        <f aca="false">1</f>
        <v>1</v>
      </c>
      <c r="Y56" s="75" t="str">
        <f aca="false">IFERROR(ROUND($X56*INDEX(HTS!$BB:$BB,MATCH($E56,HTS!$E:$E,0)),0),"")</f>
        <v/>
      </c>
      <c r="Z56" s="118" t="n">
        <f aca="false">1</f>
        <v>1</v>
      </c>
      <c r="AA56" s="75" t="str">
        <f aca="false">IFERROR(ROUND($Z56*INDEX(HTS!$BE:$BE,MATCH($E56,HTS!$E:$E,0)),0),"")</f>
        <v/>
      </c>
      <c r="AB56" s="118" t="n">
        <f aca="false">1</f>
        <v>1</v>
      </c>
      <c r="AC56" s="75" t="str">
        <f aca="false">IFERROR(ROUND($AB56*INDEX(HTS!$BH:$BH,MATCH($E56,HTS!$E:$E,0)),0),"")</f>
        <v/>
      </c>
      <c r="AD56" s="118" t="n">
        <f aca="false">1</f>
        <v>1</v>
      </c>
      <c r="AE56" s="75" t="str">
        <f aca="false">IFERROR(ROUND($AD56*INDEX(HTS!$BK:$BK,MATCH($E56,HTS!$E:$E,0)),0),"")</f>
        <v/>
      </c>
      <c r="AF56" s="73" t="n">
        <f aca="false">IF(SUM($O56,$Q56,$S56,$K56,$G56,$I56,$M56,$U56,$W56,$Y56,$AA56,$AC56,$AE56)=0,"",SUM($O56,$Q56,$S56,$K56,$G56,$I56,$M56,$U56,$W56,$Y56,$AA56,$AC56,$AE56))</f>
        <v>-43953</v>
      </c>
      <c r="AG56" s="73" t="str">
        <f aca="false">INDEX(HTS!$BN:$BN,MATCH($E56,HTS!$E:$E,0))</f>
        <v/>
      </c>
      <c r="AH56" s="118" t="str">
        <f aca="false">IF(SUM($AG56)&lt;=0,"",$AF56/$AG56)</f>
        <v/>
      </c>
    </row>
    <row r="57" customFormat="false" ht="15" hidden="false" customHeight="false" outlineLevel="0" collapsed="false">
      <c r="A57" s="0" t="s">
        <v>143</v>
      </c>
      <c r="B57" s="0" t="s">
        <v>115</v>
      </c>
      <c r="C57" s="0" t="s">
        <v>77</v>
      </c>
      <c r="D57" s="0" t="s">
        <v>56</v>
      </c>
      <c r="E57" s="0" t="str">
        <f aca="false">B57&amp;"|"&amp;C57&amp;"|"&amp;D57</f>
        <v>Butha Buthe [#SNU] [mvPRqBFtVC0]|40-44|Female</v>
      </c>
      <c r="F57" s="118" t="n">
        <f aca="false">IF($D57="Female",100%,"")</f>
        <v>1</v>
      </c>
      <c r="G57" s="75" t="n">
        <f aca="false">IFERROR(ROUND($F57*INDEX(PMTCT!$AE:$AE,MATCH($E57,PMTCT!$E:$E,0)),0),"")</f>
        <v>-6720</v>
      </c>
      <c r="H57" s="118" t="n">
        <f aca="false">IF($D57="Female",100%,"")</f>
        <v>1</v>
      </c>
      <c r="I57" s="75" t="str">
        <f aca="false">IFERROR(ROUND($H57*INDEX(PMTCT!$AU:$AU,MATCH($E57,PMTCT!$E:$E,0)),0),"")</f>
        <v/>
      </c>
      <c r="J57" s="118" t="n">
        <f aca="false">1</f>
        <v>1</v>
      </c>
      <c r="K57" s="75" t="n">
        <f aca="false">IFERROR(ROUND($J57*INDEX(TB!$Q:$Q,MATCH($E57,HTS!$E:$E,0)),0),"")</f>
        <v>-8960</v>
      </c>
      <c r="L57" s="118" t="str">
        <f aca="false">IF($D57="Male",100%,"")</f>
        <v/>
      </c>
      <c r="M57" s="75" t="str">
        <f aca="false">IFERROR(ROUND($L57*INDEX(VMMC!$AC:$AC,MATCH($E57,VMMC!$E:$E,0)),0),"")</f>
        <v/>
      </c>
      <c r="N57" s="118" t="n">
        <f aca="false">1</f>
        <v>1</v>
      </c>
      <c r="O57" s="75" t="str">
        <f aca="false">IFERROR(ROUND($N57*INDEX(HTS!$Q:$Q,MATCH($E57,HTS!$E:$E,0)),0),"")</f>
        <v/>
      </c>
      <c r="P57" s="118" t="n">
        <f aca="false">1</f>
        <v>1</v>
      </c>
      <c r="Q57" s="75" t="n">
        <f aca="false">IFERROR(ROUND($P57*INDEX(HTS!$S:$S,MATCH($E57,HTS!$E:$E,0)),0),"")</f>
        <v>1</v>
      </c>
      <c r="R57" s="118" t="n">
        <f aca="false">1</f>
        <v>1</v>
      </c>
      <c r="S57" s="75" t="n">
        <f aca="false">IFERROR(ROUND($R57*INDEX(HTS!$AM:$AM,MATCH($E57,HTS!$E:$E,0)),0),"")</f>
        <v>29</v>
      </c>
      <c r="T57" s="118" t="n">
        <f aca="false">1</f>
        <v>1</v>
      </c>
      <c r="U57" s="75" t="n">
        <f aca="false">IFERROR(ROUND($T57*INDEX(HTS!$AV:$AV,MATCH($E57,HTS!$E:$E,0)),0),"")</f>
        <v>29</v>
      </c>
      <c r="V57" s="118" t="n">
        <f aca="false">1</f>
        <v>1</v>
      </c>
      <c r="W57" s="75" t="n">
        <f aca="false">IFERROR(ROUND($V57*INDEX(HTS!$AY:$AY,MATCH($E57,HTS!$E:$E,0)),0),"")</f>
        <v>8</v>
      </c>
      <c r="X57" s="118" t="n">
        <f aca="false">1</f>
        <v>1</v>
      </c>
      <c r="Y57" s="75" t="n">
        <f aca="false">IFERROR(ROUND($X57*INDEX(HTS!$BB:$BB,MATCH($E57,HTS!$E:$E,0)),0),"")</f>
        <v>20</v>
      </c>
      <c r="Z57" s="118" t="n">
        <f aca="false">1</f>
        <v>1</v>
      </c>
      <c r="AA57" s="75" t="n">
        <f aca="false">IFERROR(ROUND($Z57*INDEX(HTS!$BE:$BE,MATCH($E57,HTS!$E:$E,0)),0),"")</f>
        <v>50</v>
      </c>
      <c r="AB57" s="118" t="n">
        <f aca="false">1</f>
        <v>1</v>
      </c>
      <c r="AC57" s="75" t="n">
        <f aca="false">IFERROR(ROUND($AB57*INDEX(HTS!$BH:$BH,MATCH($E57,HTS!$E:$E,0)),0),"")</f>
        <v>45</v>
      </c>
      <c r="AD57" s="118" t="n">
        <f aca="false">1</f>
        <v>1</v>
      </c>
      <c r="AE57" s="75" t="n">
        <f aca="false">IFERROR(ROUND($AD57*INDEX(HTS!$BK:$BK,MATCH($E57,HTS!$E:$E,0)),0),"")</f>
        <v>45</v>
      </c>
      <c r="AF57" s="73" t="n">
        <f aca="false">IF(SUM($O57,$Q57,$S57,$K57,$G57,$I57,$M57,$U57,$W57,$Y57,$AA57,$AC57,$AE57)=0,"",SUM($O57,$Q57,$S57,$K57,$G57,$I57,$M57,$U57,$W57,$Y57,$AA57,$AC57,$AE57))</f>
        <v>-15453</v>
      </c>
      <c r="AG57" s="73" t="n">
        <f aca="false">INDEX(HTS!$BN:$BN,MATCH($E57,HTS!$E:$E,0))</f>
        <v>-15453</v>
      </c>
      <c r="AH57" s="118" t="str">
        <f aca="false">IF(SUM($AG57)&lt;=0,"",$AF57/$AG57)</f>
        <v/>
      </c>
    </row>
    <row r="58" customFormat="false" ht="15" hidden="false" customHeight="false" outlineLevel="0" collapsed="false">
      <c r="A58" s="0" t="s">
        <v>143</v>
      </c>
      <c r="B58" s="0" t="s">
        <v>115</v>
      </c>
      <c r="C58" s="0" t="s">
        <v>77</v>
      </c>
      <c r="D58" s="0" t="s">
        <v>58</v>
      </c>
      <c r="E58" s="0" t="str">
        <f aca="false">B58&amp;"|"&amp;C58&amp;"|"&amp;D58</f>
        <v>Butha Buthe [#SNU] [mvPRqBFtVC0]|40-44|Male</v>
      </c>
      <c r="F58" s="118" t="str">
        <f aca="false">IF($D58="Female",100%,"")</f>
        <v/>
      </c>
      <c r="G58" s="75" t="str">
        <f aca="false">IFERROR(ROUND($F58*INDEX(PMTCT!$AE:$AE,MATCH($E58,PMTCT!$E:$E,0)),0),"")</f>
        <v/>
      </c>
      <c r="H58" s="118" t="str">
        <f aca="false">IF($D58="Female",100%,"")</f>
        <v/>
      </c>
      <c r="I58" s="75" t="str">
        <f aca="false">IFERROR(ROUND($H58*INDEX(PMTCT!$AU:$AU,MATCH($E58,PMTCT!$E:$E,0)),0),"")</f>
        <v/>
      </c>
      <c r="J58" s="118" t="n">
        <f aca="false">1</f>
        <v>1</v>
      </c>
      <c r="K58" s="75" t="n">
        <f aca="false">IFERROR(ROUND($J58*INDEX(TB!$Q:$Q,MATCH($E58,HTS!$E:$E,0)),0),"")</f>
        <v>-18816</v>
      </c>
      <c r="L58" s="118" t="n">
        <f aca="false">IF($D58="Male",100%,"")</f>
        <v>1</v>
      </c>
      <c r="M58" s="75" t="str">
        <f aca="false">IFERROR(ROUND($L58*INDEX(VMMC!$AC:$AC,MATCH($E58,VMMC!$E:$E,0)),0),"")</f>
        <v/>
      </c>
      <c r="N58" s="118" t="n">
        <f aca="false">1</f>
        <v>1</v>
      </c>
      <c r="O58" s="75" t="str">
        <f aca="false">IFERROR(ROUND($N58*INDEX(HTS!$Q:$Q,MATCH($E58,HTS!$E:$E,0)),0),"")</f>
        <v/>
      </c>
      <c r="P58" s="118" t="n">
        <f aca="false">1</f>
        <v>1</v>
      </c>
      <c r="Q58" s="75" t="n">
        <f aca="false">IFERROR(ROUND($P58*INDEX(HTS!$S:$S,MATCH($E58,HTS!$E:$E,0)),0),"")</f>
        <v>5</v>
      </c>
      <c r="R58" s="118" t="n">
        <f aca="false">1</f>
        <v>1</v>
      </c>
      <c r="S58" s="75" t="str">
        <f aca="false">IFERROR(ROUND($R58*INDEX(HTS!$AM:$AM,MATCH($E58,HTS!$E:$E,0)),0),"")</f>
        <v/>
      </c>
      <c r="T58" s="118" t="n">
        <f aca="false">1</f>
        <v>1</v>
      </c>
      <c r="U58" s="75" t="n">
        <f aca="false">IFERROR(ROUND($T58*INDEX(HTS!$AV:$AV,MATCH($E58,HTS!$E:$E,0)),0),"")</f>
        <v>15</v>
      </c>
      <c r="V58" s="118" t="n">
        <f aca="false">1</f>
        <v>1</v>
      </c>
      <c r="W58" s="75" t="n">
        <f aca="false">IFERROR(ROUND($V58*INDEX(HTS!$AY:$AY,MATCH($E58,HTS!$E:$E,0)),0),"")</f>
        <v>615</v>
      </c>
      <c r="X58" s="118" t="n">
        <f aca="false">1</f>
        <v>1</v>
      </c>
      <c r="Y58" s="75" t="n">
        <f aca="false">IFERROR(ROUND($X58*INDEX(HTS!$BB:$BB,MATCH($E58,HTS!$E:$E,0)),0),"")</f>
        <v>30</v>
      </c>
      <c r="Z58" s="118" t="n">
        <f aca="false">1</f>
        <v>1</v>
      </c>
      <c r="AA58" s="75" t="n">
        <f aca="false">IFERROR(ROUND($Z58*INDEX(HTS!$BE:$BE,MATCH($E58,HTS!$E:$E,0)),0),"")</f>
        <v>735</v>
      </c>
      <c r="AB58" s="118" t="n">
        <f aca="false">1</f>
        <v>1</v>
      </c>
      <c r="AC58" s="75" t="n">
        <f aca="false">IFERROR(ROUND($AB58*INDEX(HTS!$BH:$BH,MATCH($E58,HTS!$E:$E,0)),0),"")</f>
        <v>180</v>
      </c>
      <c r="AD58" s="118" t="n">
        <f aca="false">1</f>
        <v>1</v>
      </c>
      <c r="AE58" s="75" t="n">
        <f aca="false">IFERROR(ROUND($AD58*INDEX(HTS!$BK:$BK,MATCH($E58,HTS!$E:$E,0)),0),"")</f>
        <v>720</v>
      </c>
      <c r="AF58" s="73" t="n">
        <f aca="false">IF(SUM($O58,$Q58,$S58,$K58,$G58,$I58,$M58,$U58,$W58,$Y58,$AA58,$AC58,$AE58)=0,"",SUM($O58,$Q58,$S58,$K58,$G58,$I58,$M58,$U58,$W58,$Y58,$AA58,$AC58,$AE58))</f>
        <v>-16516</v>
      </c>
      <c r="AG58" s="73" t="n">
        <f aca="false">INDEX(HTS!$BN:$BN,MATCH($E58,HTS!$E:$E,0))</f>
        <v>-16516</v>
      </c>
      <c r="AH58" s="118" t="str">
        <f aca="false">IF(SUM($AG58)&lt;=0,"",$AF58/$AG58)</f>
        <v/>
      </c>
    </row>
    <row r="59" customFormat="false" ht="15" hidden="false" customHeight="false" outlineLevel="0" collapsed="false">
      <c r="A59" s="0" t="s">
        <v>143</v>
      </c>
      <c r="B59" s="0" t="s">
        <v>115</v>
      </c>
      <c r="C59" s="0" t="s">
        <v>80</v>
      </c>
      <c r="D59" s="0" t="s">
        <v>56</v>
      </c>
      <c r="E59" s="0" t="str">
        <f aca="false">B59&amp;"|"&amp;C59&amp;"|"&amp;D59</f>
        <v>Butha Buthe [#SNU] [mvPRqBFtVC0]|45-49|Female</v>
      </c>
      <c r="F59" s="118" t="n">
        <f aca="false">IF($D59="Female",100%,"")</f>
        <v>1</v>
      </c>
      <c r="G59" s="75" t="n">
        <f aca="false">IFERROR(ROUND($F59*INDEX(PMTCT!$AE:$AE,MATCH($E59,PMTCT!$E:$E,0)),0),"")</f>
        <v>-0</v>
      </c>
      <c r="H59" s="118" t="n">
        <f aca="false">IF($D59="Female",100%,"")</f>
        <v>1</v>
      </c>
      <c r="I59" s="75" t="str">
        <f aca="false">IFERROR(ROUND($H59*INDEX(PMTCT!$AU:$AU,MATCH($E59,PMTCT!$E:$E,0)),0),"")</f>
        <v/>
      </c>
      <c r="J59" s="118" t="n">
        <f aca="false">1</f>
        <v>1</v>
      </c>
      <c r="K59" s="75" t="n">
        <f aca="false">IFERROR(ROUND($J59*INDEX(TB!$Q:$Q,MATCH($E59,HTS!$E:$E,0)),0),"")</f>
        <v>0</v>
      </c>
      <c r="L59" s="118" t="str">
        <f aca="false">IF($D59="Male",100%,"")</f>
        <v/>
      </c>
      <c r="M59" s="75" t="str">
        <f aca="false">IFERROR(ROUND($L59*INDEX(VMMC!$AC:$AC,MATCH($E59,VMMC!$E:$E,0)),0),"")</f>
        <v/>
      </c>
      <c r="N59" s="118" t="n">
        <f aca="false">1</f>
        <v>1</v>
      </c>
      <c r="O59" s="75" t="str">
        <f aca="false">IFERROR(ROUND($N59*INDEX(HTS!$Q:$Q,MATCH($E59,HTS!$E:$E,0)),0),"")</f>
        <v/>
      </c>
      <c r="P59" s="118" t="n">
        <f aca="false">1</f>
        <v>1</v>
      </c>
      <c r="Q59" s="75" t="n">
        <f aca="false">IFERROR(ROUND($P59*INDEX(HTS!$S:$S,MATCH($E59,HTS!$E:$E,0)),0),"")</f>
        <v>1</v>
      </c>
      <c r="R59" s="118" t="n">
        <f aca="false">1</f>
        <v>1</v>
      </c>
      <c r="S59" s="75" t="n">
        <f aca="false">IFERROR(ROUND($R59*INDEX(HTS!$AM:$AM,MATCH($E59,HTS!$E:$E,0)),0),"")</f>
        <v>19</v>
      </c>
      <c r="T59" s="118" t="n">
        <f aca="false">1</f>
        <v>1</v>
      </c>
      <c r="U59" s="75" t="n">
        <f aca="false">IFERROR(ROUND($T59*INDEX(HTS!$AV:$AV,MATCH($E59,HTS!$E:$E,0)),0),"")</f>
        <v>9</v>
      </c>
      <c r="V59" s="118" t="n">
        <f aca="false">1</f>
        <v>1</v>
      </c>
      <c r="W59" s="75" t="n">
        <f aca="false">IFERROR(ROUND($V59*INDEX(HTS!$AY:$AY,MATCH($E59,HTS!$E:$E,0)),0),"")</f>
        <v>7</v>
      </c>
      <c r="X59" s="118" t="n">
        <f aca="false">1</f>
        <v>1</v>
      </c>
      <c r="Y59" s="75" t="n">
        <f aca="false">IFERROR(ROUND($X59*INDEX(HTS!$BB:$BB,MATCH($E59,HTS!$E:$E,0)),0),"")</f>
        <v>9</v>
      </c>
      <c r="Z59" s="118" t="n">
        <f aca="false">1</f>
        <v>1</v>
      </c>
      <c r="AA59" s="75" t="n">
        <f aca="false">IFERROR(ROUND($Z59*INDEX(HTS!$BE:$BE,MATCH($E59,HTS!$E:$E,0)),0),"")</f>
        <v>15</v>
      </c>
      <c r="AB59" s="118" t="n">
        <f aca="false">1</f>
        <v>1</v>
      </c>
      <c r="AC59" s="75" t="n">
        <f aca="false">IFERROR(ROUND($AB59*INDEX(HTS!$BH:$BH,MATCH($E59,HTS!$E:$E,0)),0),"")</f>
        <v>7</v>
      </c>
      <c r="AD59" s="118" t="n">
        <f aca="false">1</f>
        <v>1</v>
      </c>
      <c r="AE59" s="75" t="n">
        <f aca="false">IFERROR(ROUND($AD59*INDEX(HTS!$BK:$BK,MATCH($E59,HTS!$E:$E,0)),0),"")</f>
        <v>45</v>
      </c>
      <c r="AF59" s="73" t="n">
        <f aca="false">IF(SUM($O59,$Q59,$S59,$K59,$G59,$I59,$M59,$U59,$W59,$Y59,$AA59,$AC59,$AE59)=0,"",SUM($O59,$Q59,$S59,$K59,$G59,$I59,$M59,$U59,$W59,$Y59,$AA59,$AC59,$AE59))</f>
        <v>112</v>
      </c>
      <c r="AG59" s="73" t="n">
        <f aca="false">INDEX(HTS!$BN:$BN,MATCH($E59,HTS!$E:$E,0))</f>
        <v>112</v>
      </c>
      <c r="AH59" s="118" t="n">
        <f aca="false">IF(SUM($AG59)&lt;=0,"",$AF59/$AG59)</f>
        <v>1</v>
      </c>
    </row>
    <row r="60" customFormat="false" ht="15" hidden="false" customHeight="false" outlineLevel="0" collapsed="false">
      <c r="A60" s="0" t="s">
        <v>143</v>
      </c>
      <c r="B60" s="0" t="s">
        <v>115</v>
      </c>
      <c r="C60" s="0" t="s">
        <v>80</v>
      </c>
      <c r="D60" s="0" t="s">
        <v>58</v>
      </c>
      <c r="E60" s="0" t="str">
        <f aca="false">B60&amp;"|"&amp;C60&amp;"|"&amp;D60</f>
        <v>Butha Buthe [#SNU] [mvPRqBFtVC0]|45-49|Male</v>
      </c>
      <c r="F60" s="118" t="str">
        <f aca="false">IF($D60="Female",100%,"")</f>
        <v/>
      </c>
      <c r="G60" s="75" t="str">
        <f aca="false">IFERROR(ROUND($F60*INDEX(PMTCT!$AE:$AE,MATCH($E60,PMTCT!$E:$E,0)),0),"")</f>
        <v/>
      </c>
      <c r="H60" s="118" t="str">
        <f aca="false">IF($D60="Female",100%,"")</f>
        <v/>
      </c>
      <c r="I60" s="75" t="str">
        <f aca="false">IFERROR(ROUND($H60*INDEX(PMTCT!$AU:$AU,MATCH($E60,PMTCT!$E:$E,0)),0),"")</f>
        <v/>
      </c>
      <c r="J60" s="118" t="n">
        <f aca="false">1</f>
        <v>1</v>
      </c>
      <c r="K60" s="75" t="n">
        <f aca="false">IFERROR(ROUND($J60*INDEX(TB!$Q:$Q,MATCH($E60,HTS!$E:$E,0)),0),"")</f>
        <v>-17640</v>
      </c>
      <c r="L60" s="118" t="n">
        <f aca="false">IF($D60="Male",100%,"")</f>
        <v>1</v>
      </c>
      <c r="M60" s="75" t="str">
        <f aca="false">IFERROR(ROUND($L60*INDEX(VMMC!$AC:$AC,MATCH($E60,VMMC!$E:$E,0)),0),"")</f>
        <v/>
      </c>
      <c r="N60" s="118" t="n">
        <f aca="false">1</f>
        <v>1</v>
      </c>
      <c r="O60" s="75" t="str">
        <f aca="false">IFERROR(ROUND($N60*INDEX(HTS!$Q:$Q,MATCH($E60,HTS!$E:$E,0)),0),"")</f>
        <v/>
      </c>
      <c r="P60" s="118" t="n">
        <f aca="false">1</f>
        <v>1</v>
      </c>
      <c r="Q60" s="75" t="n">
        <f aca="false">IFERROR(ROUND($P60*INDEX(HTS!$S:$S,MATCH($E60,HTS!$E:$E,0)),0),"")</f>
        <v>2</v>
      </c>
      <c r="R60" s="118" t="n">
        <f aca="false">1</f>
        <v>1</v>
      </c>
      <c r="S60" s="75" t="n">
        <f aca="false">IFERROR(ROUND($R60*INDEX(HTS!$AM:$AM,MATCH($E60,HTS!$E:$E,0)),0),"")</f>
        <v>123</v>
      </c>
      <c r="T60" s="118" t="n">
        <f aca="false">1</f>
        <v>1</v>
      </c>
      <c r="U60" s="75" t="n">
        <f aca="false">IFERROR(ROUND($T60*INDEX(HTS!$AV:$AV,MATCH($E60,HTS!$E:$E,0)),0),"")</f>
        <v>9</v>
      </c>
      <c r="V60" s="118" t="n">
        <f aca="false">1</f>
        <v>1</v>
      </c>
      <c r="W60" s="75" t="n">
        <f aca="false">IFERROR(ROUND($V60*INDEX(HTS!$AY:$AY,MATCH($E60,HTS!$E:$E,0)),0),"")</f>
        <v>39</v>
      </c>
      <c r="X60" s="118" t="n">
        <f aca="false">1</f>
        <v>1</v>
      </c>
      <c r="Y60" s="75" t="n">
        <f aca="false">IFERROR(ROUND($X60*INDEX(HTS!$BB:$BB,MATCH($E60,HTS!$E:$E,0)),0),"")</f>
        <v>72</v>
      </c>
      <c r="Z60" s="118" t="n">
        <f aca="false">1</f>
        <v>1</v>
      </c>
      <c r="AA60" s="75" t="n">
        <f aca="false">IFERROR(ROUND($Z60*INDEX(HTS!$BE:$BE,MATCH($E60,HTS!$E:$E,0)),0),"")</f>
        <v>69</v>
      </c>
      <c r="AB60" s="118" t="n">
        <f aca="false">1</f>
        <v>1</v>
      </c>
      <c r="AC60" s="75" t="n">
        <f aca="false">IFERROR(ROUND($AB60*INDEX(HTS!$BH:$BH,MATCH($E60,HTS!$E:$E,0)),0),"")</f>
        <v>69</v>
      </c>
      <c r="AD60" s="118" t="n">
        <f aca="false">1</f>
        <v>1</v>
      </c>
      <c r="AE60" s="75" t="n">
        <f aca="false">IFERROR(ROUND($AD60*INDEX(HTS!$BK:$BK,MATCH($E60,HTS!$E:$E,0)),0),"")</f>
        <v>51</v>
      </c>
      <c r="AF60" s="73" t="n">
        <f aca="false">IF(SUM($O60,$Q60,$S60,$K60,$G60,$I60,$M60,$U60,$W60,$Y60,$AA60,$AC60,$AE60)=0,"",SUM($O60,$Q60,$S60,$K60,$G60,$I60,$M60,$U60,$W60,$Y60,$AA60,$AC60,$AE60))</f>
        <v>-17206</v>
      </c>
      <c r="AG60" s="73" t="n">
        <f aca="false">INDEX(HTS!$BN:$BN,MATCH($E60,HTS!$E:$E,0))</f>
        <v>-17206</v>
      </c>
      <c r="AH60" s="118" t="str">
        <f aca="false">IF(SUM($AG60)&lt;=0,"",$AF60/$AG60)</f>
        <v/>
      </c>
    </row>
    <row r="61" customFormat="false" ht="15" hidden="false" customHeight="false" outlineLevel="0" collapsed="false">
      <c r="A61" s="0" t="s">
        <v>143</v>
      </c>
      <c r="B61" s="0" t="s">
        <v>115</v>
      </c>
      <c r="C61" s="0" t="s">
        <v>86</v>
      </c>
      <c r="D61" s="0" t="s">
        <v>56</v>
      </c>
      <c r="E61" s="0" t="str">
        <f aca="false">B61&amp;"|"&amp;C61&amp;"|"&amp;D61</f>
        <v>Butha Buthe [#SNU] [mvPRqBFtVC0]|50+|Female</v>
      </c>
      <c r="F61" s="118" t="n">
        <f aca="false">IF($D61="Female",100%,"")</f>
        <v>1</v>
      </c>
      <c r="G61" s="75" t="str">
        <f aca="false">IFERROR(ROUND($F61*INDEX(PMTCT!$AE:$AE,MATCH($E61,PMTCT!$E:$E,0)),0),"")</f>
        <v/>
      </c>
      <c r="H61" s="118" t="n">
        <f aca="false">IF($D61="Female",100%,"")</f>
        <v>1</v>
      </c>
      <c r="I61" s="75" t="str">
        <f aca="false">IFERROR(ROUND($H61*INDEX(PMTCT!$AU:$AU,MATCH($E61,PMTCT!$E:$E,0)),0),"")</f>
        <v/>
      </c>
      <c r="J61" s="118" t="n">
        <f aca="false">1</f>
        <v>1</v>
      </c>
      <c r="K61" s="75" t="n">
        <f aca="false">IFERROR(ROUND($J61*INDEX(TB!$Q:$Q,MATCH($E61,HTS!$E:$E,0)),0),"")</f>
        <v>432</v>
      </c>
      <c r="L61" s="118" t="str">
        <f aca="false">IF($D61="Male",100%,"")</f>
        <v/>
      </c>
      <c r="M61" s="75" t="str">
        <f aca="false">IFERROR(ROUND($L61*INDEX(VMMC!$AC:$AC,MATCH($E61,VMMC!$E:$E,0)),0),"")</f>
        <v/>
      </c>
      <c r="N61" s="118" t="n">
        <f aca="false">1</f>
        <v>1</v>
      </c>
      <c r="O61" s="75" t="str">
        <f aca="false">IFERROR(ROUND($N61*INDEX(HTS!$Q:$Q,MATCH($E61,HTS!$E:$E,0)),0),"")</f>
        <v/>
      </c>
      <c r="P61" s="118" t="n">
        <f aca="false">1</f>
        <v>1</v>
      </c>
      <c r="Q61" s="75" t="n">
        <f aca="false">IFERROR(ROUND($P61*INDEX(HTS!$S:$S,MATCH($E61,HTS!$E:$E,0)),0),"")</f>
        <v>3</v>
      </c>
      <c r="R61" s="118" t="n">
        <f aca="false">1</f>
        <v>1</v>
      </c>
      <c r="S61" s="75" t="n">
        <f aca="false">IFERROR(ROUND($R61*INDEX(HTS!$AM:$AM,MATCH($E61,HTS!$E:$E,0)),0),"")</f>
        <v>48</v>
      </c>
      <c r="T61" s="118" t="n">
        <f aca="false">1</f>
        <v>1</v>
      </c>
      <c r="U61" s="75" t="n">
        <f aca="false">IFERROR(ROUND($T61*INDEX(HTS!$AV:$AV,MATCH($E61,HTS!$E:$E,0)),0),"")</f>
        <v>282</v>
      </c>
      <c r="V61" s="118" t="n">
        <f aca="false">1</f>
        <v>1</v>
      </c>
      <c r="W61" s="75" t="n">
        <f aca="false">IFERROR(ROUND($V61*INDEX(HTS!$AY:$AY,MATCH($E61,HTS!$E:$E,0)),0),"")</f>
        <v>12</v>
      </c>
      <c r="X61" s="118" t="n">
        <f aca="false">1</f>
        <v>1</v>
      </c>
      <c r="Y61" s="75" t="n">
        <f aca="false">IFERROR(ROUND($X61*INDEX(HTS!$BB:$BB,MATCH($E61,HTS!$E:$E,0)),0),"")</f>
        <v>168</v>
      </c>
      <c r="Z61" s="118" t="n">
        <f aca="false">1</f>
        <v>1</v>
      </c>
      <c r="AA61" s="75" t="n">
        <f aca="false">IFERROR(ROUND($Z61*INDEX(HTS!$BE:$BE,MATCH($E61,HTS!$E:$E,0)),0),"")</f>
        <v>54</v>
      </c>
      <c r="AB61" s="118" t="n">
        <f aca="false">1</f>
        <v>1</v>
      </c>
      <c r="AC61" s="75" t="n">
        <f aca="false">IFERROR(ROUND($AB61*INDEX(HTS!$BH:$BH,MATCH($E61,HTS!$E:$E,0)),0),"")</f>
        <v>246</v>
      </c>
      <c r="AD61" s="118" t="n">
        <f aca="false">1</f>
        <v>1</v>
      </c>
      <c r="AE61" s="75" t="n">
        <f aca="false">IFERROR(ROUND($AD61*INDEX(HTS!$BK:$BK,MATCH($E61,HTS!$E:$E,0)),0),"")</f>
        <v>24</v>
      </c>
      <c r="AF61" s="73" t="n">
        <f aca="false">IF(SUM($O61,$Q61,$S61,$K61,$G61,$I61,$M61,$U61,$W61,$Y61,$AA61,$AC61,$AE61)=0,"",SUM($O61,$Q61,$S61,$K61,$G61,$I61,$M61,$U61,$W61,$Y61,$AA61,$AC61,$AE61))</f>
        <v>1269</v>
      </c>
      <c r="AG61" s="73" t="n">
        <f aca="false">INDEX(HTS!$BN:$BN,MATCH($E61,HTS!$E:$E,0))</f>
        <v>1269</v>
      </c>
      <c r="AH61" s="118" t="n">
        <f aca="false">IF(SUM($AG61)&lt;=0,"",$AF61/$AG61)</f>
        <v>1</v>
      </c>
    </row>
    <row r="62" customFormat="false" ht="15" hidden="false" customHeight="false" outlineLevel="0" collapsed="false">
      <c r="A62" s="0" t="s">
        <v>143</v>
      </c>
      <c r="B62" s="0" t="s">
        <v>115</v>
      </c>
      <c r="C62" s="0" t="s">
        <v>86</v>
      </c>
      <c r="D62" s="0" t="s">
        <v>58</v>
      </c>
      <c r="E62" s="0" t="str">
        <f aca="false">B62&amp;"|"&amp;C62&amp;"|"&amp;D62</f>
        <v>Butha Buthe [#SNU] [mvPRqBFtVC0]|50+|Male</v>
      </c>
      <c r="F62" s="118" t="str">
        <f aca="false">IF($D62="Female",100%,"")</f>
        <v/>
      </c>
      <c r="G62" s="75" t="str">
        <f aca="false">IFERROR(ROUND($F62*INDEX(PMTCT!$AE:$AE,MATCH($E62,PMTCT!$E:$E,0)),0),"")</f>
        <v/>
      </c>
      <c r="H62" s="118" t="str">
        <f aca="false">IF($D62="Female",100%,"")</f>
        <v/>
      </c>
      <c r="I62" s="75" t="str">
        <f aca="false">IFERROR(ROUND($H62*INDEX(PMTCT!$AU:$AU,MATCH($E62,PMTCT!$E:$E,0)),0),"")</f>
        <v/>
      </c>
      <c r="J62" s="118" t="n">
        <f aca="false">1</f>
        <v>1</v>
      </c>
      <c r="K62" s="75" t="n">
        <f aca="false">IFERROR(ROUND($J62*INDEX(TB!$Q:$Q,MATCH($E62,HTS!$E:$E,0)),0),"")</f>
        <v>-14520</v>
      </c>
      <c r="L62" s="118" t="n">
        <f aca="false">IF($D62="Male",100%,"")</f>
        <v>1</v>
      </c>
      <c r="M62" s="75" t="str">
        <f aca="false">IFERROR(ROUND($L62*INDEX(VMMC!$AC:$AC,MATCH($E62,VMMC!$E:$E,0)),0),"")</f>
        <v/>
      </c>
      <c r="N62" s="118" t="n">
        <f aca="false">1</f>
        <v>1</v>
      </c>
      <c r="O62" s="75" t="str">
        <f aca="false">IFERROR(ROUND($N62*INDEX(HTS!$Q:$Q,MATCH($E62,HTS!$E:$E,0)),0),"")</f>
        <v/>
      </c>
      <c r="P62" s="118" t="n">
        <f aca="false">1</f>
        <v>1</v>
      </c>
      <c r="Q62" s="75" t="n">
        <f aca="false">IFERROR(ROUND($P62*INDEX(HTS!$S:$S,MATCH($E62,HTS!$E:$E,0)),0),"")</f>
        <v>7</v>
      </c>
      <c r="R62" s="118" t="n">
        <f aca="false">1</f>
        <v>1</v>
      </c>
      <c r="S62" s="75" t="n">
        <f aca="false">IFERROR(ROUND($R62*INDEX(HTS!$AM:$AM,MATCH($E62,HTS!$E:$E,0)),0),"")</f>
        <v>312</v>
      </c>
      <c r="T62" s="118" t="n">
        <f aca="false">1</f>
        <v>1</v>
      </c>
      <c r="U62" s="75" t="n">
        <f aca="false">IFERROR(ROUND($T62*INDEX(HTS!$AV:$AV,MATCH($E62,HTS!$E:$E,0)),0),"")</f>
        <v>624</v>
      </c>
      <c r="V62" s="118" t="n">
        <f aca="false">1</f>
        <v>1</v>
      </c>
      <c r="W62" s="75" t="n">
        <f aca="false">IFERROR(ROUND($V62*INDEX(HTS!$AY:$AY,MATCH($E62,HTS!$E:$E,0)),0),"")</f>
        <v>312</v>
      </c>
      <c r="X62" s="118" t="n">
        <f aca="false">1</f>
        <v>1</v>
      </c>
      <c r="Y62" s="75" t="n">
        <f aca="false">IFERROR(ROUND($X62*INDEX(HTS!$BB:$BB,MATCH($E62,HTS!$E:$E,0)),0),"")</f>
        <v>52</v>
      </c>
      <c r="Z62" s="118" t="n">
        <f aca="false">1</f>
        <v>1</v>
      </c>
      <c r="AA62" s="75" t="n">
        <f aca="false">IFERROR(ROUND($Z62*INDEX(HTS!$BE:$BE,MATCH($E62,HTS!$E:$E,0)),0),"")</f>
        <v>208</v>
      </c>
      <c r="AB62" s="118" t="n">
        <f aca="false">1</f>
        <v>1</v>
      </c>
      <c r="AC62" s="75" t="n">
        <f aca="false">IFERROR(ROUND($AB62*INDEX(HTS!$BH:$BH,MATCH($E62,HTS!$E:$E,0)),0),"")</f>
        <v>377</v>
      </c>
      <c r="AD62" s="118" t="n">
        <f aca="false">1</f>
        <v>1</v>
      </c>
      <c r="AE62" s="75" t="n">
        <f aca="false">IFERROR(ROUND($AD62*INDEX(HTS!$BK:$BK,MATCH($E62,HTS!$E:$E,0)),0),"")</f>
        <v>325</v>
      </c>
      <c r="AF62" s="73" t="n">
        <f aca="false">IF(SUM($O62,$Q62,$S62,$K62,$G62,$I62,$M62,$U62,$W62,$Y62,$AA62,$AC62,$AE62)=0,"",SUM($O62,$Q62,$S62,$K62,$G62,$I62,$M62,$U62,$W62,$Y62,$AA62,$AC62,$AE62))</f>
        <v>-12303</v>
      </c>
      <c r="AG62" s="73" t="n">
        <f aca="false">INDEX(HTS!$BN:$BN,MATCH($E62,HTS!$E:$E,0))</f>
        <v>-12303</v>
      </c>
      <c r="AH62" s="118" t="str">
        <f aca="false">IF(SUM($AG62)&lt;=0,"",$AF62/$AG62)</f>
        <v/>
      </c>
    </row>
    <row r="63" customFormat="false" ht="15" hidden="false" customHeight="false" outlineLevel="0" collapsed="false">
      <c r="A63" s="0" t="s">
        <v>144</v>
      </c>
      <c r="B63" s="0" t="s">
        <v>103</v>
      </c>
      <c r="C63" s="0" t="s">
        <v>63</v>
      </c>
      <c r="D63" s="0" t="s">
        <v>56</v>
      </c>
      <c r="E63" s="0" t="str">
        <f aca="false">B63&amp;"|"&amp;C63&amp;"|"&amp;D63</f>
        <v>Leribe [#SNU] [FjSmRywOWUp]|15-19|Female</v>
      </c>
      <c r="F63" s="118" t="n">
        <f aca="false">IF($D63="Female",100%,"")</f>
        <v>1</v>
      </c>
      <c r="G63" s="75" t="n">
        <f aca="false">IFERROR(ROUND($F63*INDEX(PMTCT!$AE:$AE,MATCH($E63,PMTCT!$E:$E,0)),0),"")</f>
        <v>-1178</v>
      </c>
      <c r="H63" s="118" t="n">
        <f aca="false">IF($D63="Female",100%,"")</f>
        <v>1</v>
      </c>
      <c r="I63" s="75" t="str">
        <f aca="false">IFERROR(ROUND($H63*INDEX(PMTCT!$AU:$AU,MATCH($E63,PMTCT!$E:$E,0)),0),"")</f>
        <v/>
      </c>
      <c r="J63" s="118" t="n">
        <f aca="false">1</f>
        <v>1</v>
      </c>
      <c r="K63" s="75" t="n">
        <f aca="false">IFERROR(ROUND($J63*INDEX(TB!$Q:$Q,MATCH($E63,HTS!$E:$E,0)),0),"")</f>
        <v>-11319</v>
      </c>
      <c r="L63" s="118" t="str">
        <f aca="false">IF($D63="Male",100%,"")</f>
        <v/>
      </c>
      <c r="M63" s="75" t="str">
        <f aca="false">IFERROR(ROUND($L63*INDEX(VMMC!$AC:$AC,MATCH($E63,VMMC!$E:$E,0)),0),"")</f>
        <v/>
      </c>
      <c r="N63" s="118" t="n">
        <f aca="false">1</f>
        <v>1</v>
      </c>
      <c r="O63" s="75" t="n">
        <f aca="false">IFERROR(ROUND($N63*INDEX(HTS!$Q:$Q,MATCH($E63,HTS!$E:$E,0)),0),"")</f>
        <v>8</v>
      </c>
      <c r="P63" s="118" t="n">
        <f aca="false">1</f>
        <v>1</v>
      </c>
      <c r="Q63" s="75" t="n">
        <f aca="false">IFERROR(ROUND($P63*INDEX(HTS!$S:$S,MATCH($E63,HTS!$E:$E,0)),0),"")</f>
        <v>-7</v>
      </c>
      <c r="R63" s="118" t="n">
        <f aca="false">1</f>
        <v>1</v>
      </c>
      <c r="S63" s="75" t="n">
        <f aca="false">IFERROR(ROUND($R63*INDEX(HTS!$AM:$AM,MATCH($E63,HTS!$E:$E,0)),0),"")</f>
        <v>88</v>
      </c>
      <c r="T63" s="118" t="n">
        <f aca="false">1</f>
        <v>1</v>
      </c>
      <c r="U63" s="75" t="n">
        <f aca="false">IFERROR(ROUND($T63*INDEX(HTS!$AV:$AV,MATCH($E63,HTS!$E:$E,0)),0),"")</f>
        <v>36</v>
      </c>
      <c r="V63" s="118" t="n">
        <f aca="false">1</f>
        <v>1</v>
      </c>
      <c r="W63" s="75" t="n">
        <f aca="false">IFERROR(ROUND($V63*INDEX(HTS!$AY:$AY,MATCH($E63,HTS!$E:$E,0)),0),"")</f>
        <v>82</v>
      </c>
      <c r="X63" s="118" t="n">
        <f aca="false">1</f>
        <v>1</v>
      </c>
      <c r="Y63" s="75" t="str">
        <f aca="false">IFERROR(ROUND($X63*INDEX(HTS!$BB:$BB,MATCH($E63,HTS!$E:$E,0)),0),"")</f>
        <v/>
      </c>
      <c r="Z63" s="118" t="n">
        <f aca="false">1</f>
        <v>1</v>
      </c>
      <c r="AA63" s="75" t="n">
        <f aca="false">IFERROR(ROUND($Z63*INDEX(HTS!$BE:$BE,MATCH($E63,HTS!$E:$E,0)),0),"")</f>
        <v>48</v>
      </c>
      <c r="AB63" s="118" t="n">
        <f aca="false">1</f>
        <v>1</v>
      </c>
      <c r="AC63" s="75" t="n">
        <f aca="false">IFERROR(ROUND($AB63*INDEX(HTS!$BH:$BH,MATCH($E63,HTS!$E:$E,0)),0),"")</f>
        <v>98</v>
      </c>
      <c r="AD63" s="118" t="n">
        <f aca="false">1</f>
        <v>1</v>
      </c>
      <c r="AE63" s="75" t="n">
        <f aca="false">IFERROR(ROUND($AD63*INDEX(HTS!$BK:$BK,MATCH($E63,HTS!$E:$E,0)),0),"")</f>
        <v>88</v>
      </c>
      <c r="AF63" s="73" t="n">
        <f aca="false">IF(SUM($O63,$Q63,$S63,$K63,$G63,$I63,$M63,$U63,$W63,$Y63,$AA63,$AC63,$AE63)=0,"",SUM($O63,$Q63,$S63,$K63,$G63,$I63,$M63,$U63,$W63,$Y63,$AA63,$AC63,$AE63))</f>
        <v>-12056</v>
      </c>
      <c r="AG63" s="73" t="n">
        <f aca="false">INDEX(HTS!$BN:$BN,MATCH($E63,HTS!$E:$E,0))</f>
        <v>-12056</v>
      </c>
      <c r="AH63" s="118" t="str">
        <f aca="false">IF(SUM($AG63)&lt;=0,"",$AF63/$AG63)</f>
        <v/>
      </c>
    </row>
    <row r="64" customFormat="false" ht="15" hidden="false" customHeight="false" outlineLevel="0" collapsed="false">
      <c r="A64" s="0" t="s">
        <v>144</v>
      </c>
      <c r="B64" s="0" t="s">
        <v>103</v>
      </c>
      <c r="C64" s="0" t="s">
        <v>63</v>
      </c>
      <c r="D64" s="0" t="s">
        <v>58</v>
      </c>
      <c r="E64" s="0" t="str">
        <f aca="false">B64&amp;"|"&amp;C64&amp;"|"&amp;D64</f>
        <v>Leribe [#SNU] [FjSmRywOWUp]|15-19|Male</v>
      </c>
      <c r="F64" s="118" t="str">
        <f aca="false">IF($D64="Female",100%,"")</f>
        <v/>
      </c>
      <c r="G64" s="75" t="str">
        <f aca="false">IFERROR(ROUND($F64*INDEX(PMTCT!$AE:$AE,MATCH($E64,PMTCT!$E:$E,0)),0),"")</f>
        <v/>
      </c>
      <c r="H64" s="118" t="str">
        <f aca="false">IF($D64="Female",100%,"")</f>
        <v/>
      </c>
      <c r="I64" s="75" t="str">
        <f aca="false">IFERROR(ROUND($H64*INDEX(PMTCT!$AU:$AU,MATCH($E64,PMTCT!$E:$E,0)),0),"")</f>
        <v/>
      </c>
      <c r="J64" s="118" t="n">
        <f aca="false">1</f>
        <v>1</v>
      </c>
      <c r="K64" s="75" t="n">
        <f aca="false">IFERROR(ROUND($J64*INDEX(TB!$Q:$Q,MATCH($E64,HTS!$E:$E,0)),0),"")</f>
        <v>-30888</v>
      </c>
      <c r="L64" s="118" t="n">
        <f aca="false">IF($D64="Male",100%,"")</f>
        <v>1</v>
      </c>
      <c r="M64" s="75" t="str">
        <f aca="false">IFERROR(ROUND($L64*INDEX(VMMC!$AC:$AC,MATCH($E64,VMMC!$E:$E,0)),0),"")</f>
        <v/>
      </c>
      <c r="N64" s="118" t="n">
        <f aca="false">1</f>
        <v>1</v>
      </c>
      <c r="O64" s="75" t="str">
        <f aca="false">IFERROR(ROUND($N64*INDEX(HTS!$Q:$Q,MATCH($E64,HTS!$E:$E,0)),0),"")</f>
        <v/>
      </c>
      <c r="P64" s="118" t="n">
        <f aca="false">1</f>
        <v>1</v>
      </c>
      <c r="Q64" s="75" t="n">
        <f aca="false">IFERROR(ROUND($P64*INDEX(HTS!$S:$S,MATCH($E64,HTS!$E:$E,0)),0),"")</f>
        <v>1</v>
      </c>
      <c r="R64" s="118" t="n">
        <f aca="false">1</f>
        <v>1</v>
      </c>
      <c r="S64" s="75" t="n">
        <f aca="false">IFERROR(ROUND($R64*INDEX(HTS!$AM:$AM,MATCH($E64,HTS!$E:$E,0)),0),"")</f>
        <v>50</v>
      </c>
      <c r="T64" s="118" t="n">
        <f aca="false">1</f>
        <v>1</v>
      </c>
      <c r="U64" s="75" t="n">
        <f aca="false">IFERROR(ROUND($T64*INDEX(HTS!$AV:$AV,MATCH($E64,HTS!$E:$E,0)),0),"")</f>
        <v>1</v>
      </c>
      <c r="V64" s="118" t="n">
        <f aca="false">1</f>
        <v>1</v>
      </c>
      <c r="W64" s="75" t="n">
        <f aca="false">IFERROR(ROUND($V64*INDEX(HTS!$AY:$AY,MATCH($E64,HTS!$E:$E,0)),0),"")</f>
        <v>28</v>
      </c>
      <c r="X64" s="118" t="n">
        <f aca="false">1</f>
        <v>1</v>
      </c>
      <c r="Y64" s="75" t="n">
        <f aca="false">IFERROR(ROUND($X64*INDEX(HTS!$BB:$BB,MATCH($E64,HTS!$E:$E,0)),0),"")</f>
        <v>27</v>
      </c>
      <c r="Z64" s="118" t="n">
        <f aca="false">1</f>
        <v>1</v>
      </c>
      <c r="AA64" s="75" t="n">
        <f aca="false">IFERROR(ROUND($Z64*INDEX(HTS!$BE:$BE,MATCH($E64,HTS!$E:$E,0)),0),"")</f>
        <v>10</v>
      </c>
      <c r="AB64" s="118" t="n">
        <f aca="false">1</f>
        <v>1</v>
      </c>
      <c r="AC64" s="75" t="n">
        <f aca="false">IFERROR(ROUND($AB64*INDEX(HTS!$BH:$BH,MATCH($E64,HTS!$E:$E,0)),0),"")</f>
        <v>41</v>
      </c>
      <c r="AD64" s="118" t="n">
        <f aca="false">1</f>
        <v>1</v>
      </c>
      <c r="AE64" s="75" t="n">
        <f aca="false">IFERROR(ROUND($AD64*INDEX(HTS!$BK:$BK,MATCH($E64,HTS!$E:$E,0)),0),"")</f>
        <v>15</v>
      </c>
      <c r="AF64" s="73" t="n">
        <f aca="false">IF(SUM($O64,$Q64,$S64,$K64,$G64,$I64,$M64,$U64,$W64,$Y64,$AA64,$AC64,$AE64)=0,"",SUM($O64,$Q64,$S64,$K64,$G64,$I64,$M64,$U64,$W64,$Y64,$AA64,$AC64,$AE64))</f>
        <v>-30715</v>
      </c>
      <c r="AG64" s="73" t="n">
        <f aca="false">INDEX(HTS!$BN:$BN,MATCH($E64,HTS!$E:$E,0))</f>
        <v>-30715</v>
      </c>
      <c r="AH64" s="118" t="str">
        <f aca="false">IF(SUM($AG64)&lt;=0,"",$AF64/$AG64)</f>
        <v/>
      </c>
    </row>
    <row r="65" customFormat="false" ht="15" hidden="false" customHeight="false" outlineLevel="0" collapsed="false">
      <c r="A65" s="0" t="s">
        <v>144</v>
      </c>
      <c r="B65" s="0" t="s">
        <v>103</v>
      </c>
      <c r="C65" s="0" t="s">
        <v>66</v>
      </c>
      <c r="D65" s="0" t="s">
        <v>56</v>
      </c>
      <c r="E65" s="0" t="str">
        <f aca="false">B65&amp;"|"&amp;C65&amp;"|"&amp;D65</f>
        <v>Leribe [#SNU] [FjSmRywOWUp]|20-24|Female</v>
      </c>
      <c r="F65" s="118" t="n">
        <f aca="false">IF($D65="Female",100%,"")</f>
        <v>1</v>
      </c>
      <c r="G65" s="75" t="n">
        <f aca="false">IFERROR(ROUND($F65*INDEX(PMTCT!$AE:$AE,MATCH($E65,PMTCT!$E:$E,0)),0),"")</f>
        <v>-20</v>
      </c>
      <c r="H65" s="118" t="n">
        <f aca="false">IF($D65="Female",100%,"")</f>
        <v>1</v>
      </c>
      <c r="I65" s="75" t="str">
        <f aca="false">IFERROR(ROUND($H65*INDEX(PMTCT!$AU:$AU,MATCH($E65,PMTCT!$E:$E,0)),0),"")</f>
        <v/>
      </c>
      <c r="J65" s="118" t="n">
        <f aca="false">1</f>
        <v>1</v>
      </c>
      <c r="K65" s="75" t="n">
        <f aca="false">IFERROR(ROUND($J65*INDEX(TB!$Q:$Q,MATCH($E65,HTS!$E:$E,0)),0),"")</f>
        <v>-0</v>
      </c>
      <c r="L65" s="118" t="str">
        <f aca="false">IF($D65="Male",100%,"")</f>
        <v/>
      </c>
      <c r="M65" s="75" t="str">
        <f aca="false">IFERROR(ROUND($L65*INDEX(VMMC!$AC:$AC,MATCH($E65,VMMC!$E:$E,0)),0),"")</f>
        <v/>
      </c>
      <c r="N65" s="118" t="n">
        <f aca="false">1</f>
        <v>1</v>
      </c>
      <c r="O65" s="75" t="n">
        <f aca="false">IFERROR(ROUND($N65*INDEX(HTS!$Q:$Q,MATCH($E65,HTS!$E:$E,0)),0),"")</f>
        <v>75</v>
      </c>
      <c r="P65" s="118" t="n">
        <f aca="false">1</f>
        <v>1</v>
      </c>
      <c r="Q65" s="75" t="n">
        <f aca="false">IFERROR(ROUND($P65*INDEX(HTS!$S:$S,MATCH($E65,HTS!$E:$E,0)),0),"")</f>
        <v>-70</v>
      </c>
      <c r="R65" s="118" t="n">
        <f aca="false">1</f>
        <v>1</v>
      </c>
      <c r="S65" s="75" t="n">
        <f aca="false">IFERROR(ROUND($R65*INDEX(HTS!$AM:$AM,MATCH($E65,HTS!$E:$E,0)),0),"")</f>
        <v>714</v>
      </c>
      <c r="T65" s="118" t="n">
        <f aca="false">1</f>
        <v>1</v>
      </c>
      <c r="U65" s="75" t="n">
        <f aca="false">IFERROR(ROUND($T65*INDEX(HTS!$AV:$AV,MATCH($E65,HTS!$E:$E,0)),0),"")</f>
        <v>442</v>
      </c>
      <c r="V65" s="118" t="n">
        <f aca="false">1</f>
        <v>1</v>
      </c>
      <c r="W65" s="75" t="n">
        <f aca="false">IFERROR(ROUND($V65*INDEX(HTS!$AY:$AY,MATCH($E65,HTS!$E:$E,0)),0),"")</f>
        <v>340</v>
      </c>
      <c r="X65" s="118" t="n">
        <f aca="false">1</f>
        <v>1</v>
      </c>
      <c r="Y65" s="75" t="n">
        <f aca="false">IFERROR(ROUND($X65*INDEX(HTS!$BB:$BB,MATCH($E65,HTS!$E:$E,0)),0),"")</f>
        <v>680</v>
      </c>
      <c r="Z65" s="118" t="n">
        <f aca="false">1</f>
        <v>1</v>
      </c>
      <c r="AA65" s="75" t="n">
        <f aca="false">IFERROR(ROUND($Z65*INDEX(HTS!$BE:$BE,MATCH($E65,HTS!$E:$E,0)),0),"")</f>
        <v>476</v>
      </c>
      <c r="AB65" s="118" t="n">
        <f aca="false">1</f>
        <v>1</v>
      </c>
      <c r="AC65" s="75" t="n">
        <f aca="false">IFERROR(ROUND($AB65*INDEX(HTS!$BH:$BH,MATCH($E65,HTS!$E:$E,0)),0),"")</f>
        <v>272</v>
      </c>
      <c r="AD65" s="118" t="n">
        <f aca="false">1</f>
        <v>1</v>
      </c>
      <c r="AE65" s="75" t="n">
        <f aca="false">IFERROR(ROUND($AD65*INDEX(HTS!$BK:$BK,MATCH($E65,HTS!$E:$E,0)),0),"")</f>
        <v>833</v>
      </c>
      <c r="AF65" s="73" t="n">
        <f aca="false">IF(SUM($O65,$Q65,$S65,$K65,$G65,$I65,$M65,$U65,$W65,$Y65,$AA65,$AC65,$AE65)=0,"",SUM($O65,$Q65,$S65,$K65,$G65,$I65,$M65,$U65,$W65,$Y65,$AA65,$AC65,$AE65))</f>
        <v>3742</v>
      </c>
      <c r="AG65" s="73" t="n">
        <f aca="false">INDEX(HTS!$BN:$BN,MATCH($E65,HTS!$E:$E,0))</f>
        <v>3742</v>
      </c>
      <c r="AH65" s="118" t="n">
        <f aca="false">IF(SUM($AG65)&lt;=0,"",$AF65/$AG65)</f>
        <v>1</v>
      </c>
    </row>
    <row r="66" customFormat="false" ht="15" hidden="false" customHeight="false" outlineLevel="0" collapsed="false">
      <c r="A66" s="0" t="s">
        <v>144</v>
      </c>
      <c r="B66" s="0" t="s">
        <v>103</v>
      </c>
      <c r="C66" s="0" t="s">
        <v>66</v>
      </c>
      <c r="D66" s="0" t="s">
        <v>58</v>
      </c>
      <c r="E66" s="0" t="str">
        <f aca="false">B66&amp;"|"&amp;C66&amp;"|"&amp;D66</f>
        <v>Leribe [#SNU] [FjSmRywOWUp]|20-24|Male</v>
      </c>
      <c r="F66" s="118" t="str">
        <f aca="false">IF($D66="Female",100%,"")</f>
        <v/>
      </c>
      <c r="G66" s="75" t="str">
        <f aca="false">IFERROR(ROUND($F66*INDEX(PMTCT!$AE:$AE,MATCH($E66,PMTCT!$E:$E,0)),0),"")</f>
        <v/>
      </c>
      <c r="H66" s="118" t="str">
        <f aca="false">IF($D66="Female",100%,"")</f>
        <v/>
      </c>
      <c r="I66" s="75" t="str">
        <f aca="false">IFERROR(ROUND($H66*INDEX(PMTCT!$AU:$AU,MATCH($E66,PMTCT!$E:$E,0)),0),"")</f>
        <v/>
      </c>
      <c r="J66" s="118" t="n">
        <f aca="false">1</f>
        <v>1</v>
      </c>
      <c r="K66" s="75" t="n">
        <f aca="false">IFERROR(ROUND($J66*INDEX(TB!$Q:$Q,MATCH($E66,HTS!$E:$E,0)),0),"")</f>
        <v>-0</v>
      </c>
      <c r="L66" s="118" t="n">
        <f aca="false">IF($D66="Male",100%,"")</f>
        <v>1</v>
      </c>
      <c r="M66" s="75" t="str">
        <f aca="false">IFERROR(ROUND($L66*INDEX(VMMC!$AC:$AC,MATCH($E66,VMMC!$E:$E,0)),0),"")</f>
        <v/>
      </c>
      <c r="N66" s="118" t="n">
        <f aca="false">1</f>
        <v>1</v>
      </c>
      <c r="O66" s="75" t="str">
        <f aca="false">IFERROR(ROUND($N66*INDEX(HTS!$Q:$Q,MATCH($E66,HTS!$E:$E,0)),0),"")</f>
        <v/>
      </c>
      <c r="P66" s="118" t="n">
        <f aca="false">1</f>
        <v>1</v>
      </c>
      <c r="Q66" s="75" t="str">
        <f aca="false">IFERROR(ROUND($P66*INDEX(HTS!$S:$S,MATCH($E66,HTS!$E:$E,0)),0),"")</f>
        <v/>
      </c>
      <c r="R66" s="118" t="n">
        <f aca="false">1</f>
        <v>1</v>
      </c>
      <c r="S66" s="75" t="n">
        <f aca="false">IFERROR(ROUND($R66*INDEX(HTS!$AM:$AM,MATCH($E66,HTS!$E:$E,0)),0),"")</f>
        <v>32</v>
      </c>
      <c r="T66" s="118" t="n">
        <f aca="false">1</f>
        <v>1</v>
      </c>
      <c r="U66" s="75" t="n">
        <f aca="false">IFERROR(ROUND($T66*INDEX(HTS!$AV:$AV,MATCH($E66,HTS!$E:$E,0)),0),"")</f>
        <v>26</v>
      </c>
      <c r="V66" s="118" t="n">
        <f aca="false">1</f>
        <v>1</v>
      </c>
      <c r="W66" s="75" t="n">
        <f aca="false">IFERROR(ROUND($V66*INDEX(HTS!$AY:$AY,MATCH($E66,HTS!$E:$E,0)),0),"")</f>
        <v>11</v>
      </c>
      <c r="X66" s="118" t="n">
        <f aca="false">1</f>
        <v>1</v>
      </c>
      <c r="Y66" s="75" t="n">
        <f aca="false">IFERROR(ROUND($X66*INDEX(HTS!$BB:$BB,MATCH($E66,HTS!$E:$E,0)),0),"")</f>
        <v>20</v>
      </c>
      <c r="Z66" s="118" t="n">
        <f aca="false">1</f>
        <v>1</v>
      </c>
      <c r="AA66" s="75" t="n">
        <f aca="false">IFERROR(ROUND($Z66*INDEX(HTS!$BE:$BE,MATCH($E66,HTS!$E:$E,0)),0),"")</f>
        <v>16</v>
      </c>
      <c r="AB66" s="118" t="n">
        <f aca="false">1</f>
        <v>1</v>
      </c>
      <c r="AC66" s="75" t="n">
        <f aca="false">IFERROR(ROUND($AB66*INDEX(HTS!$BH:$BH,MATCH($E66,HTS!$E:$E,0)),0),"")</f>
        <v>48</v>
      </c>
      <c r="AD66" s="118" t="n">
        <f aca="false">1</f>
        <v>1</v>
      </c>
      <c r="AE66" s="75" t="n">
        <f aca="false">IFERROR(ROUND($AD66*INDEX(HTS!$BK:$BK,MATCH($E66,HTS!$E:$E,0)),0),"")</f>
        <v>18</v>
      </c>
      <c r="AF66" s="73" t="n">
        <f aca="false">IF(SUM($O66,$Q66,$S66,$K66,$G66,$I66,$M66,$U66,$W66,$Y66,$AA66,$AC66,$AE66)=0,"",SUM($O66,$Q66,$S66,$K66,$G66,$I66,$M66,$U66,$W66,$Y66,$AA66,$AC66,$AE66))</f>
        <v>171</v>
      </c>
      <c r="AG66" s="73" t="n">
        <f aca="false">INDEX(HTS!$BN:$BN,MATCH($E66,HTS!$E:$E,0))</f>
        <v>171</v>
      </c>
      <c r="AH66" s="118" t="n">
        <f aca="false">IF(SUM($AG66)&lt;=0,"",$AF66/$AG66)</f>
        <v>1</v>
      </c>
    </row>
    <row r="67" customFormat="false" ht="15" hidden="false" customHeight="false" outlineLevel="0" collapsed="false">
      <c r="A67" s="0" t="s">
        <v>144</v>
      </c>
      <c r="B67" s="0" t="s">
        <v>103</v>
      </c>
      <c r="C67" s="0" t="s">
        <v>69</v>
      </c>
      <c r="D67" s="0" t="s">
        <v>56</v>
      </c>
      <c r="E67" s="0" t="str">
        <f aca="false">B67&amp;"|"&amp;C67&amp;"|"&amp;D67</f>
        <v>Leribe [#SNU] [FjSmRywOWUp]|25-29|Female</v>
      </c>
      <c r="F67" s="118" t="n">
        <f aca="false">IF($D67="Female",100%,"")</f>
        <v>1</v>
      </c>
      <c r="G67" s="75" t="n">
        <f aca="false">IFERROR(ROUND($F67*INDEX(PMTCT!$AE:$AE,MATCH($E67,PMTCT!$E:$E,0)),0),"")</f>
        <v>-20592</v>
      </c>
      <c r="H67" s="118" t="n">
        <f aca="false">IF($D67="Female",100%,"")</f>
        <v>1</v>
      </c>
      <c r="I67" s="75" t="str">
        <f aca="false">IFERROR(ROUND($H67*INDEX(PMTCT!$AU:$AU,MATCH($E67,PMTCT!$E:$E,0)),0),"")</f>
        <v/>
      </c>
      <c r="J67" s="118" t="n">
        <f aca="false">1</f>
        <v>1</v>
      </c>
      <c r="K67" s="75" t="n">
        <f aca="false">IFERROR(ROUND($J67*INDEX(TB!$Q:$Q,MATCH($E67,HTS!$E:$E,0)),0),"")</f>
        <v>-12005</v>
      </c>
      <c r="L67" s="118" t="str">
        <f aca="false">IF($D67="Male",100%,"")</f>
        <v/>
      </c>
      <c r="M67" s="75" t="str">
        <f aca="false">IFERROR(ROUND($L67*INDEX(VMMC!$AC:$AC,MATCH($E67,VMMC!$E:$E,0)),0),"")</f>
        <v/>
      </c>
      <c r="N67" s="118" t="n">
        <f aca="false">1</f>
        <v>1</v>
      </c>
      <c r="O67" s="75" t="n">
        <f aca="false">IFERROR(ROUND($N67*INDEX(HTS!$Q:$Q,MATCH($E67,HTS!$E:$E,0)),0),"")</f>
        <v>70</v>
      </c>
      <c r="P67" s="118" t="n">
        <f aca="false">1</f>
        <v>1</v>
      </c>
      <c r="Q67" s="75" t="n">
        <f aca="false">IFERROR(ROUND($P67*INDEX(HTS!$S:$S,MATCH($E67,HTS!$E:$E,0)),0),"")</f>
        <v>-68</v>
      </c>
      <c r="R67" s="118" t="n">
        <f aca="false">1</f>
        <v>1</v>
      </c>
      <c r="S67" s="75" t="n">
        <f aca="false">IFERROR(ROUND($R67*INDEX(HTS!$AM:$AM,MATCH($E67,HTS!$E:$E,0)),0),"")</f>
        <v>150</v>
      </c>
      <c r="T67" s="118" t="n">
        <f aca="false">1</f>
        <v>1</v>
      </c>
      <c r="U67" s="75" t="n">
        <f aca="false">IFERROR(ROUND($T67*INDEX(HTS!$AV:$AV,MATCH($E67,HTS!$E:$E,0)),0),"")</f>
        <v>186</v>
      </c>
      <c r="V67" s="118" t="n">
        <f aca="false">1</f>
        <v>1</v>
      </c>
      <c r="W67" s="75" t="n">
        <f aca="false">IFERROR(ROUND($V67*INDEX(HTS!$AY:$AY,MATCH($E67,HTS!$E:$E,0)),0),"")</f>
        <v>192</v>
      </c>
      <c r="X67" s="118" t="n">
        <f aca="false">1</f>
        <v>1</v>
      </c>
      <c r="Y67" s="75" t="n">
        <f aca="false">IFERROR(ROUND($X67*INDEX(HTS!$BB:$BB,MATCH($E67,HTS!$E:$E,0)),0),"")</f>
        <v>246</v>
      </c>
      <c r="Z67" s="118" t="n">
        <f aca="false">1</f>
        <v>1</v>
      </c>
      <c r="AA67" s="75" t="str">
        <f aca="false">IFERROR(ROUND($Z67*INDEX(HTS!$BE:$BE,MATCH($E67,HTS!$E:$E,0)),0),"")</f>
        <v/>
      </c>
      <c r="AB67" s="118" t="n">
        <f aca="false">1</f>
        <v>1</v>
      </c>
      <c r="AC67" s="75" t="n">
        <f aca="false">IFERROR(ROUND($AB67*INDEX(HTS!$BH:$BH,MATCH($E67,HTS!$E:$E,0)),0),"")</f>
        <v>66</v>
      </c>
      <c r="AD67" s="118" t="n">
        <f aca="false">1</f>
        <v>1</v>
      </c>
      <c r="AE67" s="75" t="n">
        <f aca="false">IFERROR(ROUND($AD67*INDEX(HTS!$BK:$BK,MATCH($E67,HTS!$E:$E,0)),0),"")</f>
        <v>294</v>
      </c>
      <c r="AF67" s="73" t="n">
        <f aca="false">IF(SUM($O67,$Q67,$S67,$K67,$G67,$I67,$M67,$U67,$W67,$Y67,$AA67,$AC67,$AE67)=0,"",SUM($O67,$Q67,$S67,$K67,$G67,$I67,$M67,$U67,$W67,$Y67,$AA67,$AC67,$AE67))</f>
        <v>-31461</v>
      </c>
      <c r="AG67" s="73" t="n">
        <f aca="false">INDEX(HTS!$BN:$BN,MATCH($E67,HTS!$E:$E,0))</f>
        <v>-31461</v>
      </c>
      <c r="AH67" s="118" t="str">
        <f aca="false">IF(SUM($AG67)&lt;=0,"",$AF67/$AG67)</f>
        <v/>
      </c>
    </row>
    <row r="68" customFormat="false" ht="15" hidden="false" customHeight="false" outlineLevel="0" collapsed="false">
      <c r="A68" s="0" t="s">
        <v>144</v>
      </c>
      <c r="B68" s="0" t="s">
        <v>103</v>
      </c>
      <c r="C68" s="0" t="s">
        <v>69</v>
      </c>
      <c r="D68" s="0" t="s">
        <v>58</v>
      </c>
      <c r="E68" s="0" t="str">
        <f aca="false">B68&amp;"|"&amp;C68&amp;"|"&amp;D68</f>
        <v>Leribe [#SNU] [FjSmRywOWUp]|25-29|Male</v>
      </c>
      <c r="F68" s="118" t="str">
        <f aca="false">IF($D68="Female",100%,"")</f>
        <v/>
      </c>
      <c r="G68" s="75" t="str">
        <f aca="false">IFERROR(ROUND($F68*INDEX(PMTCT!$AE:$AE,MATCH($E68,PMTCT!$E:$E,0)),0),"")</f>
        <v/>
      </c>
      <c r="H68" s="118" t="str">
        <f aca="false">IF($D68="Female",100%,"")</f>
        <v/>
      </c>
      <c r="I68" s="75" t="str">
        <f aca="false">IFERROR(ROUND($H68*INDEX(PMTCT!$AU:$AU,MATCH($E68,PMTCT!$E:$E,0)),0),"")</f>
        <v/>
      </c>
      <c r="J68" s="118" t="n">
        <f aca="false">1</f>
        <v>1</v>
      </c>
      <c r="K68" s="75" t="n">
        <f aca="false">IFERROR(ROUND($J68*INDEX(TB!$Q:$Q,MATCH($E68,HTS!$E:$E,0)),0),"")</f>
        <v>-20832</v>
      </c>
      <c r="L68" s="118" t="n">
        <f aca="false">IF($D68="Male",100%,"")</f>
        <v>1</v>
      </c>
      <c r="M68" s="75" t="str">
        <f aca="false">IFERROR(ROUND($L68*INDEX(VMMC!$AC:$AC,MATCH($E68,VMMC!$E:$E,0)),0),"")</f>
        <v/>
      </c>
      <c r="N68" s="118" t="n">
        <f aca="false">1</f>
        <v>1</v>
      </c>
      <c r="O68" s="75" t="n">
        <f aca="false">IFERROR(ROUND($N68*INDEX(HTS!$Q:$Q,MATCH($E68,HTS!$E:$E,0)),0),"")</f>
        <v>72</v>
      </c>
      <c r="P68" s="118" t="n">
        <f aca="false">1</f>
        <v>1</v>
      </c>
      <c r="Q68" s="75" t="n">
        <f aca="false">IFERROR(ROUND($P68*INDEX(HTS!$S:$S,MATCH($E68,HTS!$E:$E,0)),0),"")</f>
        <v>-70</v>
      </c>
      <c r="R68" s="118" t="n">
        <f aca="false">1</f>
        <v>1</v>
      </c>
      <c r="S68" s="75" t="n">
        <f aca="false">IFERROR(ROUND($R68*INDEX(HTS!$AM:$AM,MATCH($E68,HTS!$E:$E,0)),0),"")</f>
        <v>40</v>
      </c>
      <c r="T68" s="118" t="n">
        <f aca="false">1</f>
        <v>1</v>
      </c>
      <c r="U68" s="75" t="n">
        <f aca="false">IFERROR(ROUND($T68*INDEX(HTS!$AV:$AV,MATCH($E68,HTS!$E:$E,0)),0),"")</f>
        <v>195</v>
      </c>
      <c r="V68" s="118" t="n">
        <f aca="false">1</f>
        <v>1</v>
      </c>
      <c r="W68" s="75" t="n">
        <f aca="false">IFERROR(ROUND($V68*INDEX(HTS!$AY:$AY,MATCH($E68,HTS!$E:$E,0)),0),"")</f>
        <v>100</v>
      </c>
      <c r="X68" s="118" t="n">
        <f aca="false">1</f>
        <v>1</v>
      </c>
      <c r="Y68" s="75" t="n">
        <f aca="false">IFERROR(ROUND($X68*INDEX(HTS!$BB:$BB,MATCH($E68,HTS!$E:$E,0)),0),"")</f>
        <v>20</v>
      </c>
      <c r="Z68" s="118" t="n">
        <f aca="false">1</f>
        <v>1</v>
      </c>
      <c r="AA68" s="75" t="n">
        <f aca="false">IFERROR(ROUND($Z68*INDEX(HTS!$BE:$BE,MATCH($E68,HTS!$E:$E,0)),0),"")</f>
        <v>35</v>
      </c>
      <c r="AB68" s="118" t="n">
        <f aca="false">1</f>
        <v>1</v>
      </c>
      <c r="AC68" s="75" t="n">
        <f aca="false">IFERROR(ROUND($AB68*INDEX(HTS!$BH:$BH,MATCH($E68,HTS!$E:$E,0)),0),"")</f>
        <v>180</v>
      </c>
      <c r="AD68" s="118" t="n">
        <f aca="false">1</f>
        <v>1</v>
      </c>
      <c r="AE68" s="75" t="n">
        <f aca="false">IFERROR(ROUND($AD68*INDEX(HTS!$BK:$BK,MATCH($E68,HTS!$E:$E,0)),0),"")</f>
        <v>50</v>
      </c>
      <c r="AF68" s="73" t="n">
        <f aca="false">IF(SUM($O68,$Q68,$S68,$K68,$G68,$I68,$M68,$U68,$W68,$Y68,$AA68,$AC68,$AE68)=0,"",SUM($O68,$Q68,$S68,$K68,$G68,$I68,$M68,$U68,$W68,$Y68,$AA68,$AC68,$AE68))</f>
        <v>-20210</v>
      </c>
      <c r="AG68" s="73" t="n">
        <f aca="false">INDEX(HTS!$BN:$BN,MATCH($E68,HTS!$E:$E,0))</f>
        <v>-20210</v>
      </c>
      <c r="AH68" s="118" t="str">
        <f aca="false">IF(SUM($AG68)&lt;=0,"",$AF68/$AG68)</f>
        <v/>
      </c>
    </row>
    <row r="69" customFormat="false" ht="15" hidden="false" customHeight="false" outlineLevel="0" collapsed="false">
      <c r="A69" s="0" t="s">
        <v>144</v>
      </c>
      <c r="B69" s="0" t="s">
        <v>103</v>
      </c>
      <c r="C69" s="0" t="s">
        <v>72</v>
      </c>
      <c r="D69" s="0" t="s">
        <v>56</v>
      </c>
      <c r="E69" s="0" t="str">
        <f aca="false">B69&amp;"|"&amp;C69&amp;"|"&amp;D69</f>
        <v>Leribe [#SNU] [FjSmRywOWUp]|30-34|Female</v>
      </c>
      <c r="F69" s="118" t="n">
        <f aca="false">IF($D69="Female",100%,"")</f>
        <v>1</v>
      </c>
      <c r="G69" s="75" t="n">
        <f aca="false">IFERROR(ROUND($F69*INDEX(PMTCT!$AE:$AE,MATCH($E69,PMTCT!$E:$E,0)),0),"")</f>
        <v>-32683</v>
      </c>
      <c r="H69" s="118" t="n">
        <f aca="false">IF($D69="Female",100%,"")</f>
        <v>1</v>
      </c>
      <c r="I69" s="75" t="str">
        <f aca="false">IFERROR(ROUND($H69*INDEX(PMTCT!$AU:$AU,MATCH($E69,PMTCT!$E:$E,0)),0),"")</f>
        <v/>
      </c>
      <c r="J69" s="118" t="n">
        <f aca="false">1</f>
        <v>1</v>
      </c>
      <c r="K69" s="75" t="n">
        <f aca="false">IFERROR(ROUND($J69*INDEX(TB!$Q:$Q,MATCH($E69,HTS!$E:$E,0)),0),"")</f>
        <v>-288</v>
      </c>
      <c r="L69" s="118" t="str">
        <f aca="false">IF($D69="Male",100%,"")</f>
        <v/>
      </c>
      <c r="M69" s="75" t="str">
        <f aca="false">IFERROR(ROUND($L69*INDEX(VMMC!$AC:$AC,MATCH($E69,VMMC!$E:$E,0)),0),"")</f>
        <v/>
      </c>
      <c r="N69" s="118" t="n">
        <f aca="false">1</f>
        <v>1</v>
      </c>
      <c r="O69" s="75" t="n">
        <f aca="false">IFERROR(ROUND($N69*INDEX(HTS!$Q:$Q,MATCH($E69,HTS!$E:$E,0)),0),"")</f>
        <v>70</v>
      </c>
      <c r="P69" s="118" t="n">
        <f aca="false">1</f>
        <v>1</v>
      </c>
      <c r="Q69" s="75" t="n">
        <f aca="false">IFERROR(ROUND($P69*INDEX(HTS!$S:$S,MATCH($E69,HTS!$E:$E,0)),0),"")</f>
        <v>-65</v>
      </c>
      <c r="R69" s="118" t="n">
        <f aca="false">1</f>
        <v>1</v>
      </c>
      <c r="S69" s="75" t="n">
        <f aca="false">IFERROR(ROUND($R69*INDEX(HTS!$AM:$AM,MATCH($E69,HTS!$E:$E,0)),0),"")</f>
        <v>828</v>
      </c>
      <c r="T69" s="118" t="n">
        <f aca="false">1</f>
        <v>1</v>
      </c>
      <c r="U69" s="75" t="n">
        <f aca="false">IFERROR(ROUND($T69*INDEX(HTS!$AV:$AV,MATCH($E69,HTS!$E:$E,0)),0),"")</f>
        <v>396</v>
      </c>
      <c r="V69" s="118" t="n">
        <f aca="false">1</f>
        <v>1</v>
      </c>
      <c r="W69" s="75" t="n">
        <f aca="false">IFERROR(ROUND($V69*INDEX(HTS!$AY:$AY,MATCH($E69,HTS!$E:$E,0)),0),"")</f>
        <v>324</v>
      </c>
      <c r="X69" s="118" t="n">
        <f aca="false">1</f>
        <v>1</v>
      </c>
      <c r="Y69" s="75" t="n">
        <f aca="false">IFERROR(ROUND($X69*INDEX(HTS!$BB:$BB,MATCH($E69,HTS!$E:$E,0)),0),"")</f>
        <v>486</v>
      </c>
      <c r="Z69" s="118" t="n">
        <f aca="false">1</f>
        <v>1</v>
      </c>
      <c r="AA69" s="75" t="n">
        <f aca="false">IFERROR(ROUND($Z69*INDEX(HTS!$BE:$BE,MATCH($E69,HTS!$E:$E,0)),0),"")</f>
        <v>36</v>
      </c>
      <c r="AB69" s="118" t="n">
        <f aca="false">1</f>
        <v>1</v>
      </c>
      <c r="AC69" s="75" t="n">
        <f aca="false">IFERROR(ROUND($AB69*INDEX(HTS!$BH:$BH,MATCH($E69,HTS!$E:$E,0)),0),"")</f>
        <v>792</v>
      </c>
      <c r="AD69" s="118" t="n">
        <f aca="false">1</f>
        <v>1</v>
      </c>
      <c r="AE69" s="75" t="n">
        <f aca="false">IFERROR(ROUND($AD69*INDEX(HTS!$BK:$BK,MATCH($E69,HTS!$E:$E,0)),0),"")</f>
        <v>828</v>
      </c>
      <c r="AF69" s="73" t="n">
        <f aca="false">IF(SUM($O69,$Q69,$S69,$K69,$G69,$I69,$M69,$U69,$W69,$Y69,$AA69,$AC69,$AE69)=0,"",SUM($O69,$Q69,$S69,$K69,$G69,$I69,$M69,$U69,$W69,$Y69,$AA69,$AC69,$AE69))</f>
        <v>-29276</v>
      </c>
      <c r="AG69" s="73" t="n">
        <f aca="false">INDEX(HTS!$BN:$BN,MATCH($E69,HTS!$E:$E,0))</f>
        <v>-29276</v>
      </c>
      <c r="AH69" s="118" t="str">
        <f aca="false">IF(SUM($AG69)&lt;=0,"",$AF69/$AG69)</f>
        <v/>
      </c>
    </row>
    <row r="70" customFormat="false" ht="15" hidden="false" customHeight="false" outlineLevel="0" collapsed="false">
      <c r="A70" s="0" t="s">
        <v>144</v>
      </c>
      <c r="B70" s="0" t="s">
        <v>103</v>
      </c>
      <c r="C70" s="0" t="s">
        <v>72</v>
      </c>
      <c r="D70" s="0" t="s">
        <v>58</v>
      </c>
      <c r="E70" s="0" t="str">
        <f aca="false">B70&amp;"|"&amp;C70&amp;"|"&amp;D70</f>
        <v>Leribe [#SNU] [FjSmRywOWUp]|30-34|Male</v>
      </c>
      <c r="F70" s="118" t="str">
        <f aca="false">IF($D70="Female",100%,"")</f>
        <v/>
      </c>
      <c r="G70" s="75" t="str">
        <f aca="false">IFERROR(ROUND($F70*INDEX(PMTCT!$AE:$AE,MATCH($E70,PMTCT!$E:$E,0)),0),"")</f>
        <v/>
      </c>
      <c r="H70" s="118" t="str">
        <f aca="false">IF($D70="Female",100%,"")</f>
        <v/>
      </c>
      <c r="I70" s="75" t="str">
        <f aca="false">IFERROR(ROUND($H70*INDEX(PMTCT!$AU:$AU,MATCH($E70,PMTCT!$E:$E,0)),0),"")</f>
        <v/>
      </c>
      <c r="J70" s="118" t="n">
        <f aca="false">1</f>
        <v>1</v>
      </c>
      <c r="K70" s="75" t="n">
        <f aca="false">IFERROR(ROUND($J70*INDEX(TB!$Q:$Q,MATCH($E70,HTS!$E:$E,0)),0),"")</f>
        <v>-35420</v>
      </c>
      <c r="L70" s="118" t="n">
        <f aca="false">IF($D70="Male",100%,"")</f>
        <v>1</v>
      </c>
      <c r="M70" s="75" t="str">
        <f aca="false">IFERROR(ROUND($L70*INDEX(VMMC!$AC:$AC,MATCH($E70,VMMC!$E:$E,0)),0),"")</f>
        <v/>
      </c>
      <c r="N70" s="118" t="n">
        <f aca="false">1</f>
        <v>1</v>
      </c>
      <c r="O70" s="75" t="n">
        <f aca="false">IFERROR(ROUND($N70*INDEX(HTS!$Q:$Q,MATCH($E70,HTS!$E:$E,0)),0),"")</f>
        <v>369</v>
      </c>
      <c r="P70" s="118" t="n">
        <f aca="false">1</f>
        <v>1</v>
      </c>
      <c r="Q70" s="75" t="n">
        <f aca="false">IFERROR(ROUND($P70*INDEX(HTS!$S:$S,MATCH($E70,HTS!$E:$E,0)),0),"")</f>
        <v>-360</v>
      </c>
      <c r="R70" s="118" t="n">
        <f aca="false">1</f>
        <v>1</v>
      </c>
      <c r="S70" s="75" t="n">
        <f aca="false">IFERROR(ROUND($R70*INDEX(HTS!$AM:$AM,MATCH($E70,HTS!$E:$E,0)),0),"")</f>
        <v>62</v>
      </c>
      <c r="T70" s="118" t="n">
        <f aca="false">1</f>
        <v>1</v>
      </c>
      <c r="U70" s="75" t="n">
        <f aca="false">IFERROR(ROUND($T70*INDEX(HTS!$AV:$AV,MATCH($E70,HTS!$E:$E,0)),0),"")</f>
        <v>124</v>
      </c>
      <c r="V70" s="118" t="n">
        <f aca="false">1</f>
        <v>1</v>
      </c>
      <c r="W70" s="75" t="n">
        <f aca="false">IFERROR(ROUND($V70*INDEX(HTS!$AY:$AY,MATCH($E70,HTS!$E:$E,0)),0),"")</f>
        <v>1240</v>
      </c>
      <c r="X70" s="118" t="n">
        <f aca="false">1</f>
        <v>1</v>
      </c>
      <c r="Y70" s="75" t="n">
        <f aca="false">IFERROR(ROUND($X70*INDEX(HTS!$BB:$BB,MATCH($E70,HTS!$E:$E,0)),0),"")</f>
        <v>310</v>
      </c>
      <c r="Z70" s="118" t="n">
        <f aca="false">1</f>
        <v>1</v>
      </c>
      <c r="AA70" s="75" t="n">
        <f aca="false">IFERROR(ROUND($Z70*INDEX(HTS!$BE:$BE,MATCH($E70,HTS!$E:$E,0)),0),"")</f>
        <v>1457</v>
      </c>
      <c r="AB70" s="118" t="n">
        <f aca="false">1</f>
        <v>1</v>
      </c>
      <c r="AC70" s="75" t="n">
        <f aca="false">IFERROR(ROUND($AB70*INDEX(HTS!$BH:$BH,MATCH($E70,HTS!$E:$E,0)),0),"")</f>
        <v>682</v>
      </c>
      <c r="AD70" s="118" t="n">
        <f aca="false">1</f>
        <v>1</v>
      </c>
      <c r="AE70" s="75" t="n">
        <f aca="false">IFERROR(ROUND($AD70*INDEX(HTS!$BK:$BK,MATCH($E70,HTS!$E:$E,0)),0),"")</f>
        <v>248</v>
      </c>
      <c r="AF70" s="73" t="n">
        <f aca="false">IF(SUM($O70,$Q70,$S70,$K70,$G70,$I70,$M70,$U70,$W70,$Y70,$AA70,$AC70,$AE70)=0,"",SUM($O70,$Q70,$S70,$K70,$G70,$I70,$M70,$U70,$W70,$Y70,$AA70,$AC70,$AE70))</f>
        <v>-31288</v>
      </c>
      <c r="AG70" s="73" t="n">
        <f aca="false">INDEX(HTS!$BN:$BN,MATCH($E70,HTS!$E:$E,0))</f>
        <v>-31288</v>
      </c>
      <c r="AH70" s="118" t="str">
        <f aca="false">IF(SUM($AG70)&lt;=0,"",$AF70/$AG70)</f>
        <v/>
      </c>
    </row>
    <row r="71" customFormat="false" ht="15" hidden="false" customHeight="false" outlineLevel="0" collapsed="false">
      <c r="A71" s="0" t="s">
        <v>144</v>
      </c>
      <c r="B71" s="0" t="s">
        <v>103</v>
      </c>
      <c r="C71" s="0" t="s">
        <v>75</v>
      </c>
      <c r="D71" s="0" t="s">
        <v>56</v>
      </c>
      <c r="E71" s="0" t="str">
        <f aca="false">B71&amp;"|"&amp;C71&amp;"|"&amp;D71</f>
        <v>Leribe [#SNU] [FjSmRywOWUp]|35-39|Female</v>
      </c>
      <c r="F71" s="118" t="n">
        <f aca="false">IF($D71="Female",100%,"")</f>
        <v>1</v>
      </c>
      <c r="G71" s="75" t="n">
        <f aca="false">IFERROR(ROUND($F71*INDEX(PMTCT!$AE:$AE,MATCH($E71,PMTCT!$E:$E,0)),0),"")</f>
        <v>-5850</v>
      </c>
      <c r="H71" s="118" t="n">
        <f aca="false">IF($D71="Female",100%,"")</f>
        <v>1</v>
      </c>
      <c r="I71" s="75" t="str">
        <f aca="false">IFERROR(ROUND($H71*INDEX(PMTCT!$AU:$AU,MATCH($E71,PMTCT!$E:$E,0)),0),"")</f>
        <v/>
      </c>
      <c r="J71" s="118" t="n">
        <f aca="false">1</f>
        <v>1</v>
      </c>
      <c r="K71" s="75" t="n">
        <f aca="false">IFERROR(ROUND($J71*INDEX(TB!$Q:$Q,MATCH($E71,HTS!$E:$E,0)),0),"")</f>
        <v>-2460</v>
      </c>
      <c r="L71" s="118" t="str">
        <f aca="false">IF($D71="Male",100%,"")</f>
        <v/>
      </c>
      <c r="M71" s="75" t="str">
        <f aca="false">IFERROR(ROUND($L71*INDEX(VMMC!$AC:$AC,MATCH($E71,VMMC!$E:$E,0)),0),"")</f>
        <v/>
      </c>
      <c r="N71" s="118" t="n">
        <f aca="false">1</f>
        <v>1</v>
      </c>
      <c r="O71" s="75" t="n">
        <f aca="false">IFERROR(ROUND($N71*INDEX(HTS!$Q:$Q,MATCH($E71,HTS!$E:$E,0)),0),"")</f>
        <v>19</v>
      </c>
      <c r="P71" s="118" t="n">
        <f aca="false">1</f>
        <v>1</v>
      </c>
      <c r="Q71" s="75" t="n">
        <f aca="false">IFERROR(ROUND($P71*INDEX(HTS!$S:$S,MATCH($E71,HTS!$E:$E,0)),0),"")</f>
        <v>-18</v>
      </c>
      <c r="R71" s="118" t="n">
        <f aca="false">1</f>
        <v>1</v>
      </c>
      <c r="S71" s="75" t="n">
        <f aca="false">IFERROR(ROUND($R71*INDEX(HTS!$AM:$AM,MATCH($E71,HTS!$E:$E,0)),0),"")</f>
        <v>96</v>
      </c>
      <c r="T71" s="118" t="n">
        <f aca="false">1</f>
        <v>1</v>
      </c>
      <c r="U71" s="75" t="n">
        <f aca="false">IFERROR(ROUND($T71*INDEX(HTS!$AV:$AV,MATCH($E71,HTS!$E:$E,0)),0),"")</f>
        <v>2</v>
      </c>
      <c r="V71" s="118" t="n">
        <f aca="false">1</f>
        <v>1</v>
      </c>
      <c r="W71" s="75" t="n">
        <f aca="false">IFERROR(ROUND($V71*INDEX(HTS!$AY:$AY,MATCH($E71,HTS!$E:$E,0)),0),"")</f>
        <v>20</v>
      </c>
      <c r="X71" s="118" t="n">
        <f aca="false">1</f>
        <v>1</v>
      </c>
      <c r="Y71" s="75" t="n">
        <f aca="false">IFERROR(ROUND($X71*INDEX(HTS!$BB:$BB,MATCH($E71,HTS!$E:$E,0)),0),"")</f>
        <v>98</v>
      </c>
      <c r="Z71" s="118" t="n">
        <f aca="false">1</f>
        <v>1</v>
      </c>
      <c r="AA71" s="75" t="n">
        <f aca="false">IFERROR(ROUND($Z71*INDEX(HTS!$BE:$BE,MATCH($E71,HTS!$E:$E,0)),0),"")</f>
        <v>64</v>
      </c>
      <c r="AB71" s="118" t="n">
        <f aca="false">1</f>
        <v>1</v>
      </c>
      <c r="AC71" s="75" t="n">
        <f aca="false">IFERROR(ROUND($AB71*INDEX(HTS!$BH:$BH,MATCH($E71,HTS!$E:$E,0)),0),"")</f>
        <v>96</v>
      </c>
      <c r="AD71" s="118" t="n">
        <f aca="false">1</f>
        <v>1</v>
      </c>
      <c r="AE71" s="75" t="n">
        <f aca="false">IFERROR(ROUND($AD71*INDEX(HTS!$BK:$BK,MATCH($E71,HTS!$E:$E,0)),0),"")</f>
        <v>100</v>
      </c>
      <c r="AF71" s="73" t="n">
        <f aca="false">IF(SUM($O71,$Q71,$S71,$K71,$G71,$I71,$M71,$U71,$W71,$Y71,$AA71,$AC71,$AE71)=0,"",SUM($O71,$Q71,$S71,$K71,$G71,$I71,$M71,$U71,$W71,$Y71,$AA71,$AC71,$AE71))</f>
        <v>-7833</v>
      </c>
      <c r="AG71" s="73" t="n">
        <f aca="false">INDEX(HTS!$BN:$BN,MATCH($E71,HTS!$E:$E,0))</f>
        <v>-7833</v>
      </c>
      <c r="AH71" s="118" t="str">
        <f aca="false">IF(SUM($AG71)&lt;=0,"",$AF71/$AG71)</f>
        <v/>
      </c>
    </row>
    <row r="72" customFormat="false" ht="15" hidden="false" customHeight="false" outlineLevel="0" collapsed="false">
      <c r="A72" s="0" t="s">
        <v>144</v>
      </c>
      <c r="B72" s="0" t="s">
        <v>103</v>
      </c>
      <c r="C72" s="0" t="s">
        <v>75</v>
      </c>
      <c r="D72" s="0" t="s">
        <v>58</v>
      </c>
      <c r="E72" s="0" t="str">
        <f aca="false">B72&amp;"|"&amp;C72&amp;"|"&amp;D72</f>
        <v>Leribe [#SNU] [FjSmRywOWUp]|35-39|Male</v>
      </c>
      <c r="F72" s="118" t="str">
        <f aca="false">IF($D72="Female",100%,"")</f>
        <v/>
      </c>
      <c r="G72" s="75" t="str">
        <f aca="false">IFERROR(ROUND($F72*INDEX(PMTCT!$AE:$AE,MATCH($E72,PMTCT!$E:$E,0)),0),"")</f>
        <v/>
      </c>
      <c r="H72" s="118" t="str">
        <f aca="false">IF($D72="Female",100%,"")</f>
        <v/>
      </c>
      <c r="I72" s="75" t="str">
        <f aca="false">IFERROR(ROUND($H72*INDEX(PMTCT!$AU:$AU,MATCH($E72,PMTCT!$E:$E,0)),0),"")</f>
        <v/>
      </c>
      <c r="J72" s="118" t="n">
        <f aca="false">1</f>
        <v>1</v>
      </c>
      <c r="K72" s="75" t="n">
        <f aca="false">IFERROR(ROUND($J72*INDEX(TB!$Q:$Q,MATCH($E72,HTS!$E:$E,0)),0),"")</f>
        <v>-3321</v>
      </c>
      <c r="L72" s="118" t="n">
        <f aca="false">IF($D72="Male",100%,"")</f>
        <v>1</v>
      </c>
      <c r="M72" s="75" t="str">
        <f aca="false">IFERROR(ROUND($L72*INDEX(VMMC!$AC:$AC,MATCH($E72,VMMC!$E:$E,0)),0),"")</f>
        <v/>
      </c>
      <c r="N72" s="118" t="n">
        <f aca="false">1</f>
        <v>1</v>
      </c>
      <c r="O72" s="75" t="str">
        <f aca="false">IFERROR(ROUND($N72*INDEX(HTS!$Q:$Q,MATCH($E72,HTS!$E:$E,0)),0),"")</f>
        <v/>
      </c>
      <c r="P72" s="118" t="n">
        <f aca="false">1</f>
        <v>1</v>
      </c>
      <c r="Q72" s="75" t="str">
        <f aca="false">IFERROR(ROUND($P72*INDEX(HTS!$S:$S,MATCH($E72,HTS!$E:$E,0)),0),"")</f>
        <v/>
      </c>
      <c r="R72" s="118" t="n">
        <f aca="false">1</f>
        <v>1</v>
      </c>
      <c r="S72" s="75" t="str">
        <f aca="false">IFERROR(ROUND($R72*INDEX(HTS!$AM:$AM,MATCH($E72,HTS!$E:$E,0)),0),"")</f>
        <v/>
      </c>
      <c r="T72" s="118" t="n">
        <f aca="false">1</f>
        <v>1</v>
      </c>
      <c r="U72" s="75" t="str">
        <f aca="false">IFERROR(ROUND($T72*INDEX(HTS!$AV:$AV,MATCH($E72,HTS!$E:$E,0)),0),"")</f>
        <v/>
      </c>
      <c r="V72" s="118" t="n">
        <f aca="false">1</f>
        <v>1</v>
      </c>
      <c r="W72" s="75" t="str">
        <f aca="false">IFERROR(ROUND($V72*INDEX(HTS!$AY:$AY,MATCH($E72,HTS!$E:$E,0)),0),"")</f>
        <v/>
      </c>
      <c r="X72" s="118" t="n">
        <f aca="false">1</f>
        <v>1</v>
      </c>
      <c r="Y72" s="75" t="str">
        <f aca="false">IFERROR(ROUND($X72*INDEX(HTS!$BB:$BB,MATCH($E72,HTS!$E:$E,0)),0),"")</f>
        <v/>
      </c>
      <c r="Z72" s="118" t="n">
        <f aca="false">1</f>
        <v>1</v>
      </c>
      <c r="AA72" s="75" t="str">
        <f aca="false">IFERROR(ROUND($Z72*INDEX(HTS!$BE:$BE,MATCH($E72,HTS!$E:$E,0)),0),"")</f>
        <v/>
      </c>
      <c r="AB72" s="118" t="n">
        <f aca="false">1</f>
        <v>1</v>
      </c>
      <c r="AC72" s="75" t="str">
        <f aca="false">IFERROR(ROUND($AB72*INDEX(HTS!$BH:$BH,MATCH($E72,HTS!$E:$E,0)),0),"")</f>
        <v/>
      </c>
      <c r="AD72" s="118" t="n">
        <f aca="false">1</f>
        <v>1</v>
      </c>
      <c r="AE72" s="75" t="str">
        <f aca="false">IFERROR(ROUND($AD72*INDEX(HTS!$BK:$BK,MATCH($E72,HTS!$E:$E,0)),0),"")</f>
        <v/>
      </c>
      <c r="AF72" s="73" t="n">
        <f aca="false">IF(SUM($O72,$Q72,$S72,$K72,$G72,$I72,$M72,$U72,$W72,$Y72,$AA72,$AC72,$AE72)=0,"",SUM($O72,$Q72,$S72,$K72,$G72,$I72,$M72,$U72,$W72,$Y72,$AA72,$AC72,$AE72))</f>
        <v>-3321</v>
      </c>
      <c r="AG72" s="73" t="str">
        <f aca="false">INDEX(HTS!$BN:$BN,MATCH($E72,HTS!$E:$E,0))</f>
        <v/>
      </c>
      <c r="AH72" s="118" t="str">
        <f aca="false">IF(SUM($AG72)&lt;=0,"",$AF72/$AG72)</f>
        <v/>
      </c>
    </row>
    <row r="73" customFormat="false" ht="15" hidden="false" customHeight="false" outlineLevel="0" collapsed="false">
      <c r="A73" s="0" t="s">
        <v>144</v>
      </c>
      <c r="B73" s="0" t="s">
        <v>103</v>
      </c>
      <c r="C73" s="0" t="s">
        <v>77</v>
      </c>
      <c r="D73" s="0" t="s">
        <v>56</v>
      </c>
      <c r="E73" s="0" t="str">
        <f aca="false">B73&amp;"|"&amp;C73&amp;"|"&amp;D73</f>
        <v>Leribe [#SNU] [FjSmRywOWUp]|40-44|Female</v>
      </c>
      <c r="F73" s="118" t="n">
        <f aca="false">IF($D73="Female",100%,"")</f>
        <v>1</v>
      </c>
      <c r="G73" s="75" t="n">
        <f aca="false">IFERROR(ROUND($F73*INDEX(PMTCT!$AE:$AE,MATCH($E73,PMTCT!$E:$E,0)),0),"")</f>
        <v>-90</v>
      </c>
      <c r="H73" s="118" t="n">
        <f aca="false">IF($D73="Female",100%,"")</f>
        <v>1</v>
      </c>
      <c r="I73" s="75" t="str">
        <f aca="false">IFERROR(ROUND($H73*INDEX(PMTCT!$AU:$AU,MATCH($E73,PMTCT!$E:$E,0)),0),"")</f>
        <v/>
      </c>
      <c r="J73" s="118" t="n">
        <f aca="false">1</f>
        <v>1</v>
      </c>
      <c r="K73" s="75" t="n">
        <f aca="false">IFERROR(ROUND($J73*INDEX(TB!$Q:$Q,MATCH($E73,HTS!$E:$E,0)),0),"")</f>
        <v>-12250</v>
      </c>
      <c r="L73" s="118" t="str">
        <f aca="false">IF($D73="Male",100%,"")</f>
        <v/>
      </c>
      <c r="M73" s="75" t="str">
        <f aca="false">IFERROR(ROUND($L73*INDEX(VMMC!$AC:$AC,MATCH($E73,VMMC!$E:$E,0)),0),"")</f>
        <v/>
      </c>
      <c r="N73" s="118" t="n">
        <f aca="false">1</f>
        <v>1</v>
      </c>
      <c r="O73" s="75" t="str">
        <f aca="false">IFERROR(ROUND($N73*INDEX(HTS!$Q:$Q,MATCH($E73,HTS!$E:$E,0)),0),"")</f>
        <v/>
      </c>
      <c r="P73" s="118" t="n">
        <f aca="false">1</f>
        <v>1</v>
      </c>
      <c r="Q73" s="75" t="str">
        <f aca="false">IFERROR(ROUND($P73*INDEX(HTS!$S:$S,MATCH($E73,HTS!$E:$E,0)),0),"")</f>
        <v/>
      </c>
      <c r="R73" s="118" t="n">
        <f aca="false">1</f>
        <v>1</v>
      </c>
      <c r="S73" s="75" t="str">
        <f aca="false">IFERROR(ROUND($R73*INDEX(HTS!$AM:$AM,MATCH($E73,HTS!$E:$E,0)),0),"")</f>
        <v/>
      </c>
      <c r="T73" s="118" t="n">
        <f aca="false">1</f>
        <v>1</v>
      </c>
      <c r="U73" s="75" t="str">
        <f aca="false">IFERROR(ROUND($T73*INDEX(HTS!$AV:$AV,MATCH($E73,HTS!$E:$E,0)),0),"")</f>
        <v/>
      </c>
      <c r="V73" s="118" t="n">
        <f aca="false">1</f>
        <v>1</v>
      </c>
      <c r="W73" s="75" t="str">
        <f aca="false">IFERROR(ROUND($V73*INDEX(HTS!$AY:$AY,MATCH($E73,HTS!$E:$E,0)),0),"")</f>
        <v/>
      </c>
      <c r="X73" s="118" t="n">
        <f aca="false">1</f>
        <v>1</v>
      </c>
      <c r="Y73" s="75" t="str">
        <f aca="false">IFERROR(ROUND($X73*INDEX(HTS!$BB:$BB,MATCH($E73,HTS!$E:$E,0)),0),"")</f>
        <v/>
      </c>
      <c r="Z73" s="118" t="n">
        <f aca="false">1</f>
        <v>1</v>
      </c>
      <c r="AA73" s="75" t="str">
        <f aca="false">IFERROR(ROUND($Z73*INDEX(HTS!$BE:$BE,MATCH($E73,HTS!$E:$E,0)),0),"")</f>
        <v/>
      </c>
      <c r="AB73" s="118" t="n">
        <f aca="false">1</f>
        <v>1</v>
      </c>
      <c r="AC73" s="75" t="str">
        <f aca="false">IFERROR(ROUND($AB73*INDEX(HTS!$BH:$BH,MATCH($E73,HTS!$E:$E,0)),0),"")</f>
        <v/>
      </c>
      <c r="AD73" s="118" t="n">
        <f aca="false">1</f>
        <v>1</v>
      </c>
      <c r="AE73" s="75" t="str">
        <f aca="false">IFERROR(ROUND($AD73*INDEX(HTS!$BK:$BK,MATCH($E73,HTS!$E:$E,0)),0),"")</f>
        <v/>
      </c>
      <c r="AF73" s="73" t="n">
        <f aca="false">IF(SUM($O73,$Q73,$S73,$K73,$G73,$I73,$M73,$U73,$W73,$Y73,$AA73,$AC73,$AE73)=0,"",SUM($O73,$Q73,$S73,$K73,$G73,$I73,$M73,$U73,$W73,$Y73,$AA73,$AC73,$AE73))</f>
        <v>-12340</v>
      </c>
      <c r="AG73" s="73" t="str">
        <f aca="false">INDEX(HTS!$BN:$BN,MATCH($E73,HTS!$E:$E,0))</f>
        <v/>
      </c>
      <c r="AH73" s="118" t="str">
        <f aca="false">IF(SUM($AG73)&lt;=0,"",$AF73/$AG73)</f>
        <v/>
      </c>
    </row>
    <row r="74" customFormat="false" ht="15" hidden="false" customHeight="false" outlineLevel="0" collapsed="false">
      <c r="A74" s="0" t="s">
        <v>144</v>
      </c>
      <c r="B74" s="0" t="s">
        <v>103</v>
      </c>
      <c r="C74" s="0" t="s">
        <v>77</v>
      </c>
      <c r="D74" s="0" t="s">
        <v>58</v>
      </c>
      <c r="E74" s="0" t="str">
        <f aca="false">B74&amp;"|"&amp;C74&amp;"|"&amp;D74</f>
        <v>Leribe [#SNU] [FjSmRywOWUp]|40-44|Male</v>
      </c>
      <c r="F74" s="118" t="str">
        <f aca="false">IF($D74="Female",100%,"")</f>
        <v/>
      </c>
      <c r="G74" s="75" t="str">
        <f aca="false">IFERROR(ROUND($F74*INDEX(PMTCT!$AE:$AE,MATCH($E74,PMTCT!$E:$E,0)),0),"")</f>
        <v/>
      </c>
      <c r="H74" s="118" t="str">
        <f aca="false">IF($D74="Female",100%,"")</f>
        <v/>
      </c>
      <c r="I74" s="75" t="str">
        <f aca="false">IFERROR(ROUND($H74*INDEX(PMTCT!$AU:$AU,MATCH($E74,PMTCT!$E:$E,0)),0),"")</f>
        <v/>
      </c>
      <c r="J74" s="118" t="n">
        <f aca="false">1</f>
        <v>1</v>
      </c>
      <c r="K74" s="75" t="n">
        <f aca="false">IFERROR(ROUND($J74*INDEX(TB!$Q:$Q,MATCH($E74,HTS!$E:$E,0)),0),"")</f>
        <v>-16800</v>
      </c>
      <c r="L74" s="118" t="n">
        <f aca="false">IF($D74="Male",100%,"")</f>
        <v>1</v>
      </c>
      <c r="M74" s="75" t="str">
        <f aca="false">IFERROR(ROUND($L74*INDEX(VMMC!$AC:$AC,MATCH($E74,VMMC!$E:$E,0)),0),"")</f>
        <v/>
      </c>
      <c r="N74" s="118" t="n">
        <f aca="false">1</f>
        <v>1</v>
      </c>
      <c r="O74" s="75" t="n">
        <f aca="false">IFERROR(ROUND($N74*INDEX(HTS!$Q:$Q,MATCH($E74,HTS!$E:$E,0)),0),"")</f>
        <v>210</v>
      </c>
      <c r="P74" s="118" t="n">
        <f aca="false">1</f>
        <v>1</v>
      </c>
      <c r="Q74" s="75" t="n">
        <f aca="false">IFERROR(ROUND($P74*INDEX(HTS!$S:$S,MATCH($E74,HTS!$E:$E,0)),0),"")</f>
        <v>-203</v>
      </c>
      <c r="R74" s="118" t="n">
        <f aca="false">1</f>
        <v>1</v>
      </c>
      <c r="S74" s="75" t="n">
        <f aca="false">IFERROR(ROUND($R74*INDEX(HTS!$AM:$AM,MATCH($E74,HTS!$E:$E,0)),0),"")</f>
        <v>273</v>
      </c>
      <c r="T74" s="118" t="n">
        <f aca="false">1</f>
        <v>1</v>
      </c>
      <c r="U74" s="75" t="n">
        <f aca="false">IFERROR(ROUND($T74*INDEX(HTS!$AV:$AV,MATCH($E74,HTS!$E:$E,0)),0),"")</f>
        <v>429</v>
      </c>
      <c r="V74" s="118" t="n">
        <f aca="false">1</f>
        <v>1</v>
      </c>
      <c r="W74" s="75" t="n">
        <f aca="false">IFERROR(ROUND($V74*INDEX(HTS!$AY:$AY,MATCH($E74,HTS!$E:$E,0)),0),"")</f>
        <v>455</v>
      </c>
      <c r="X74" s="118" t="n">
        <f aca="false">1</f>
        <v>1</v>
      </c>
      <c r="Y74" s="75" t="n">
        <f aca="false">IFERROR(ROUND($X74*INDEX(HTS!$BB:$BB,MATCH($E74,HTS!$E:$E,0)),0),"")</f>
        <v>585</v>
      </c>
      <c r="Z74" s="118" t="n">
        <f aca="false">1</f>
        <v>1</v>
      </c>
      <c r="AA74" s="75" t="n">
        <f aca="false">IFERROR(ROUND($Z74*INDEX(HTS!$BE:$BE,MATCH($E74,HTS!$E:$E,0)),0),"")</f>
        <v>364</v>
      </c>
      <c r="AB74" s="118" t="n">
        <f aca="false">1</f>
        <v>1</v>
      </c>
      <c r="AC74" s="75" t="n">
        <f aca="false">IFERROR(ROUND($AB74*INDEX(HTS!$BH:$BH,MATCH($E74,HTS!$E:$E,0)),0),"")</f>
        <v>273</v>
      </c>
      <c r="AD74" s="118" t="n">
        <f aca="false">1</f>
        <v>1</v>
      </c>
      <c r="AE74" s="75" t="n">
        <f aca="false">IFERROR(ROUND($AD74*INDEX(HTS!$BK:$BK,MATCH($E74,HTS!$E:$E,0)),0),"")</f>
        <v>338</v>
      </c>
      <c r="AF74" s="73" t="n">
        <f aca="false">IF(SUM($O74,$Q74,$S74,$K74,$G74,$I74,$M74,$U74,$W74,$Y74,$AA74,$AC74,$AE74)=0,"",SUM($O74,$Q74,$S74,$K74,$G74,$I74,$M74,$U74,$W74,$Y74,$AA74,$AC74,$AE74))</f>
        <v>-14076</v>
      </c>
      <c r="AG74" s="73" t="n">
        <f aca="false">INDEX(HTS!$BN:$BN,MATCH($E74,HTS!$E:$E,0))</f>
        <v>-14076</v>
      </c>
      <c r="AH74" s="118" t="str">
        <f aca="false">IF(SUM($AG74)&lt;=0,"",$AF74/$AG74)</f>
        <v/>
      </c>
    </row>
    <row r="75" customFormat="false" ht="15" hidden="false" customHeight="false" outlineLevel="0" collapsed="false">
      <c r="A75" s="0" t="s">
        <v>144</v>
      </c>
      <c r="B75" s="0" t="s">
        <v>103</v>
      </c>
      <c r="C75" s="0" t="s">
        <v>80</v>
      </c>
      <c r="D75" s="0" t="s">
        <v>56</v>
      </c>
      <c r="E75" s="0" t="str">
        <f aca="false">B75&amp;"|"&amp;C75&amp;"|"&amp;D75</f>
        <v>Leribe [#SNU] [FjSmRywOWUp]|45-49|Female</v>
      </c>
      <c r="F75" s="118" t="n">
        <f aca="false">IF($D75="Female",100%,"")</f>
        <v>1</v>
      </c>
      <c r="G75" s="75" t="n">
        <f aca="false">IFERROR(ROUND($F75*INDEX(PMTCT!$AE:$AE,MATCH($E75,PMTCT!$E:$E,0)),0),"")</f>
        <v>-0</v>
      </c>
      <c r="H75" s="118" t="n">
        <f aca="false">IF($D75="Female",100%,"")</f>
        <v>1</v>
      </c>
      <c r="I75" s="75" t="str">
        <f aca="false">IFERROR(ROUND($H75*INDEX(PMTCT!$AU:$AU,MATCH($E75,PMTCT!$E:$E,0)),0),"")</f>
        <v/>
      </c>
      <c r="J75" s="118" t="n">
        <f aca="false">1</f>
        <v>1</v>
      </c>
      <c r="K75" s="75" t="n">
        <f aca="false">IFERROR(ROUND($J75*INDEX(TB!$Q:$Q,MATCH($E75,HTS!$E:$E,0)),0),"")</f>
        <v>-3780</v>
      </c>
      <c r="L75" s="118" t="str">
        <f aca="false">IF($D75="Male",100%,"")</f>
        <v/>
      </c>
      <c r="M75" s="75" t="str">
        <f aca="false">IFERROR(ROUND($L75*INDEX(VMMC!$AC:$AC,MATCH($E75,VMMC!$E:$E,0)),0),"")</f>
        <v/>
      </c>
      <c r="N75" s="118" t="n">
        <f aca="false">1</f>
        <v>1</v>
      </c>
      <c r="O75" s="75" t="n">
        <f aca="false">IFERROR(ROUND($N75*INDEX(HTS!$Q:$Q,MATCH($E75,HTS!$E:$E,0)),0),"")</f>
        <v>1</v>
      </c>
      <c r="P75" s="118" t="n">
        <f aca="false">1</f>
        <v>1</v>
      </c>
      <c r="Q75" s="75" t="n">
        <f aca="false">IFERROR(ROUND($P75*INDEX(HTS!$S:$S,MATCH($E75,HTS!$E:$E,0)),0),"")</f>
        <v>0</v>
      </c>
      <c r="R75" s="118" t="n">
        <f aca="false">1</f>
        <v>1</v>
      </c>
      <c r="S75" s="75" t="n">
        <f aca="false">IFERROR(ROUND($R75*INDEX(HTS!$AM:$AM,MATCH($E75,HTS!$E:$E,0)),0),"")</f>
        <v>3</v>
      </c>
      <c r="T75" s="118" t="n">
        <f aca="false">1</f>
        <v>1</v>
      </c>
      <c r="U75" s="75" t="n">
        <f aca="false">IFERROR(ROUND($T75*INDEX(HTS!$AV:$AV,MATCH($E75,HTS!$E:$E,0)),0),"")</f>
        <v>16</v>
      </c>
      <c r="V75" s="118" t="n">
        <f aca="false">1</f>
        <v>1</v>
      </c>
      <c r="W75" s="75" t="n">
        <f aca="false">IFERROR(ROUND($V75*INDEX(HTS!$AY:$AY,MATCH($E75,HTS!$E:$E,0)),0),"")</f>
        <v>49</v>
      </c>
      <c r="X75" s="118" t="n">
        <f aca="false">1</f>
        <v>1</v>
      </c>
      <c r="Y75" s="75" t="n">
        <f aca="false">IFERROR(ROUND($X75*INDEX(HTS!$BB:$BB,MATCH($E75,HTS!$E:$E,0)),0),"")</f>
        <v>4</v>
      </c>
      <c r="Z75" s="118" t="n">
        <f aca="false">1</f>
        <v>1</v>
      </c>
      <c r="AA75" s="75" t="n">
        <f aca="false">IFERROR(ROUND($Z75*INDEX(HTS!$BE:$BE,MATCH($E75,HTS!$E:$E,0)),0),"")</f>
        <v>17</v>
      </c>
      <c r="AB75" s="118" t="n">
        <f aca="false">1</f>
        <v>1</v>
      </c>
      <c r="AC75" s="75" t="n">
        <f aca="false">IFERROR(ROUND($AB75*INDEX(HTS!$BH:$BH,MATCH($E75,HTS!$E:$E,0)),0),"")</f>
        <v>28</v>
      </c>
      <c r="AD75" s="118" t="n">
        <f aca="false">1</f>
        <v>1</v>
      </c>
      <c r="AE75" s="75" t="n">
        <f aca="false">IFERROR(ROUND($AD75*INDEX(HTS!$BK:$BK,MATCH($E75,HTS!$E:$E,0)),0),"")</f>
        <v>12</v>
      </c>
      <c r="AF75" s="73" t="n">
        <f aca="false">IF(SUM($O75,$Q75,$S75,$K75,$G75,$I75,$M75,$U75,$W75,$Y75,$AA75,$AC75,$AE75)=0,"",SUM($O75,$Q75,$S75,$K75,$G75,$I75,$M75,$U75,$W75,$Y75,$AA75,$AC75,$AE75))</f>
        <v>-3650</v>
      </c>
      <c r="AG75" s="73" t="n">
        <f aca="false">INDEX(HTS!$BN:$BN,MATCH($E75,HTS!$E:$E,0))</f>
        <v>-3650</v>
      </c>
      <c r="AH75" s="118" t="str">
        <f aca="false">IF(SUM($AG75)&lt;=0,"",$AF75/$AG75)</f>
        <v/>
      </c>
    </row>
    <row r="76" customFormat="false" ht="15" hidden="false" customHeight="false" outlineLevel="0" collapsed="false">
      <c r="A76" s="0" t="s">
        <v>144</v>
      </c>
      <c r="B76" s="0" t="s">
        <v>103</v>
      </c>
      <c r="C76" s="0" t="s">
        <v>80</v>
      </c>
      <c r="D76" s="0" t="s">
        <v>58</v>
      </c>
      <c r="E76" s="0" t="str">
        <f aca="false">B76&amp;"|"&amp;C76&amp;"|"&amp;D76</f>
        <v>Leribe [#SNU] [FjSmRywOWUp]|45-49|Male</v>
      </c>
      <c r="F76" s="118" t="str">
        <f aca="false">IF($D76="Female",100%,"")</f>
        <v/>
      </c>
      <c r="G76" s="75" t="str">
        <f aca="false">IFERROR(ROUND($F76*INDEX(PMTCT!$AE:$AE,MATCH($E76,PMTCT!$E:$E,0)),0),"")</f>
        <v/>
      </c>
      <c r="H76" s="118" t="str">
        <f aca="false">IF($D76="Female",100%,"")</f>
        <v/>
      </c>
      <c r="I76" s="75" t="str">
        <f aca="false">IFERROR(ROUND($H76*INDEX(PMTCT!$AU:$AU,MATCH($E76,PMTCT!$E:$E,0)),0),"")</f>
        <v/>
      </c>
      <c r="J76" s="118" t="n">
        <f aca="false">1</f>
        <v>1</v>
      </c>
      <c r="K76" s="75" t="n">
        <f aca="false">IFERROR(ROUND($J76*INDEX(TB!$Q:$Q,MATCH($E76,HTS!$E:$E,0)),0),"")</f>
        <v>1530</v>
      </c>
      <c r="L76" s="118" t="n">
        <f aca="false">IF($D76="Male",100%,"")</f>
        <v>1</v>
      </c>
      <c r="M76" s="75" t="str">
        <f aca="false">IFERROR(ROUND($L76*INDEX(VMMC!$AC:$AC,MATCH($E76,VMMC!$E:$E,0)),0),"")</f>
        <v/>
      </c>
      <c r="N76" s="118" t="n">
        <f aca="false">1</f>
        <v>1</v>
      </c>
      <c r="O76" s="75" t="n">
        <f aca="false">IFERROR(ROUND($N76*INDEX(HTS!$Q:$Q,MATCH($E76,HTS!$E:$E,0)),0),"")</f>
        <v>72</v>
      </c>
      <c r="P76" s="118" t="n">
        <f aca="false">1</f>
        <v>1</v>
      </c>
      <c r="Q76" s="75" t="n">
        <f aca="false">IFERROR(ROUND($P76*INDEX(HTS!$S:$S,MATCH($E76,HTS!$E:$E,0)),0),"")</f>
        <v>-69</v>
      </c>
      <c r="R76" s="118" t="n">
        <f aca="false">1</f>
        <v>1</v>
      </c>
      <c r="S76" s="75" t="n">
        <f aca="false">IFERROR(ROUND($R76*INDEX(HTS!$AM:$AM,MATCH($E76,HTS!$E:$E,0)),0),"")</f>
        <v>160</v>
      </c>
      <c r="T76" s="118" t="n">
        <f aca="false">1</f>
        <v>1</v>
      </c>
      <c r="U76" s="75" t="n">
        <f aca="false">IFERROR(ROUND($T76*INDEX(HTS!$AV:$AV,MATCH($E76,HTS!$E:$E,0)),0),"")</f>
        <v>75</v>
      </c>
      <c r="V76" s="118" t="n">
        <f aca="false">1</f>
        <v>1</v>
      </c>
      <c r="W76" s="75" t="n">
        <f aca="false">IFERROR(ROUND($V76*INDEX(HTS!$AY:$AY,MATCH($E76,HTS!$E:$E,0)),0),"")</f>
        <v>80</v>
      </c>
      <c r="X76" s="118" t="n">
        <f aca="false">1</f>
        <v>1</v>
      </c>
      <c r="Y76" s="75" t="n">
        <f aca="false">IFERROR(ROUND($X76*INDEX(HTS!$BB:$BB,MATCH($E76,HTS!$E:$E,0)),0),"")</f>
        <v>150</v>
      </c>
      <c r="Z76" s="118" t="n">
        <f aca="false">1</f>
        <v>1</v>
      </c>
      <c r="AA76" s="75" t="n">
        <f aca="false">IFERROR(ROUND($Z76*INDEX(HTS!$BE:$BE,MATCH($E76,HTS!$E:$E,0)),0),"")</f>
        <v>210</v>
      </c>
      <c r="AB76" s="118" t="n">
        <f aca="false">1</f>
        <v>1</v>
      </c>
      <c r="AC76" s="75" t="n">
        <f aca="false">IFERROR(ROUND($AB76*INDEX(HTS!$BH:$BH,MATCH($E76,HTS!$E:$E,0)),0),"")</f>
        <v>120</v>
      </c>
      <c r="AD76" s="118" t="n">
        <f aca="false">1</f>
        <v>1</v>
      </c>
      <c r="AE76" s="75" t="n">
        <f aca="false">IFERROR(ROUND($AD76*INDEX(HTS!$BK:$BK,MATCH($E76,HTS!$E:$E,0)),0),"")</f>
        <v>65</v>
      </c>
      <c r="AF76" s="73" t="n">
        <f aca="false">IF(SUM($O76,$Q76,$S76,$K76,$G76,$I76,$M76,$U76,$W76,$Y76,$AA76,$AC76,$AE76)=0,"",SUM($O76,$Q76,$S76,$K76,$G76,$I76,$M76,$U76,$W76,$Y76,$AA76,$AC76,$AE76))</f>
        <v>2393</v>
      </c>
      <c r="AG76" s="73" t="n">
        <f aca="false">INDEX(HTS!$BN:$BN,MATCH($E76,HTS!$E:$E,0))</f>
        <v>2393</v>
      </c>
      <c r="AH76" s="118" t="n">
        <f aca="false">IF(SUM($AG76)&lt;=0,"",$AF76/$AG76)</f>
        <v>1</v>
      </c>
    </row>
    <row r="77" customFormat="false" ht="15" hidden="false" customHeight="false" outlineLevel="0" collapsed="false">
      <c r="A77" s="0" t="s">
        <v>144</v>
      </c>
      <c r="B77" s="0" t="s">
        <v>103</v>
      </c>
      <c r="C77" s="0" t="s">
        <v>86</v>
      </c>
      <c r="D77" s="0" t="s">
        <v>56</v>
      </c>
      <c r="E77" s="0" t="str">
        <f aca="false">B77&amp;"|"&amp;C77&amp;"|"&amp;D77</f>
        <v>Leribe [#SNU] [FjSmRywOWUp]|50+|Female</v>
      </c>
      <c r="F77" s="118" t="n">
        <f aca="false">IF($D77="Female",100%,"")</f>
        <v>1</v>
      </c>
      <c r="G77" s="75" t="str">
        <f aca="false">IFERROR(ROUND($F77*INDEX(PMTCT!$AE:$AE,MATCH($E77,PMTCT!$E:$E,0)),0),"")</f>
        <v/>
      </c>
      <c r="H77" s="118" t="n">
        <f aca="false">IF($D77="Female",100%,"")</f>
        <v>1</v>
      </c>
      <c r="I77" s="75" t="str">
        <f aca="false">IFERROR(ROUND($H77*INDEX(PMTCT!$AU:$AU,MATCH($E77,PMTCT!$E:$E,0)),0),"")</f>
        <v/>
      </c>
      <c r="J77" s="118" t="n">
        <f aca="false">1</f>
        <v>1</v>
      </c>
      <c r="K77" s="75" t="n">
        <f aca="false">IFERROR(ROUND($J77*INDEX(TB!$Q:$Q,MATCH($E77,HTS!$E:$E,0)),0),"")</f>
        <v>-1935</v>
      </c>
      <c r="L77" s="118" t="str">
        <f aca="false">IF($D77="Male",100%,"")</f>
        <v/>
      </c>
      <c r="M77" s="75" t="str">
        <f aca="false">IFERROR(ROUND($L77*INDEX(VMMC!$AC:$AC,MATCH($E77,VMMC!$E:$E,0)),0),"")</f>
        <v/>
      </c>
      <c r="N77" s="118" t="n">
        <f aca="false">1</f>
        <v>1</v>
      </c>
      <c r="O77" s="75" t="str">
        <f aca="false">IFERROR(ROUND($N77*INDEX(HTS!$Q:$Q,MATCH($E77,HTS!$E:$E,0)),0),"")</f>
        <v/>
      </c>
      <c r="P77" s="118" t="n">
        <f aca="false">1</f>
        <v>1</v>
      </c>
      <c r="Q77" s="75" t="n">
        <f aca="false">IFERROR(ROUND($P77*INDEX(HTS!$S:$S,MATCH($E77,HTS!$E:$E,0)),0),"")</f>
        <v>4</v>
      </c>
      <c r="R77" s="118" t="n">
        <f aca="false">1</f>
        <v>1</v>
      </c>
      <c r="S77" s="75" t="n">
        <f aca="false">IFERROR(ROUND($R77*INDEX(HTS!$AM:$AM,MATCH($E77,HTS!$E:$E,0)),0),"")</f>
        <v>224</v>
      </c>
      <c r="T77" s="118" t="n">
        <f aca="false">1</f>
        <v>1</v>
      </c>
      <c r="U77" s="75" t="n">
        <f aca="false">IFERROR(ROUND($T77*INDEX(HTS!$AV:$AV,MATCH($E77,HTS!$E:$E,0)),0),"")</f>
        <v>308</v>
      </c>
      <c r="V77" s="118" t="n">
        <f aca="false">1</f>
        <v>1</v>
      </c>
      <c r="W77" s="75" t="n">
        <f aca="false">IFERROR(ROUND($V77*INDEX(HTS!$AY:$AY,MATCH($E77,HTS!$E:$E,0)),0),"")</f>
        <v>266</v>
      </c>
      <c r="X77" s="118" t="n">
        <f aca="false">1</f>
        <v>1</v>
      </c>
      <c r="Y77" s="75" t="n">
        <f aca="false">IFERROR(ROUND($X77*INDEX(HTS!$BB:$BB,MATCH($E77,HTS!$E:$E,0)),0),"")</f>
        <v>105</v>
      </c>
      <c r="Z77" s="118" t="n">
        <f aca="false">1</f>
        <v>1</v>
      </c>
      <c r="AA77" s="75" t="n">
        <f aca="false">IFERROR(ROUND($Z77*INDEX(HTS!$BE:$BE,MATCH($E77,HTS!$E:$E,0)),0),"")</f>
        <v>210</v>
      </c>
      <c r="AB77" s="118" t="n">
        <f aca="false">1</f>
        <v>1</v>
      </c>
      <c r="AC77" s="75" t="n">
        <f aca="false">IFERROR(ROUND($AB77*INDEX(HTS!$BH:$BH,MATCH($E77,HTS!$E:$E,0)),0),"")</f>
        <v>70</v>
      </c>
      <c r="AD77" s="118" t="n">
        <f aca="false">1</f>
        <v>1</v>
      </c>
      <c r="AE77" s="75" t="n">
        <f aca="false">IFERROR(ROUND($AD77*INDEX(HTS!$BK:$BK,MATCH($E77,HTS!$E:$E,0)),0),"")</f>
        <v>147</v>
      </c>
      <c r="AF77" s="73" t="n">
        <f aca="false">IF(SUM($O77,$Q77,$S77,$K77,$G77,$I77,$M77,$U77,$W77,$Y77,$AA77,$AC77,$AE77)=0,"",SUM($O77,$Q77,$S77,$K77,$G77,$I77,$M77,$U77,$W77,$Y77,$AA77,$AC77,$AE77))</f>
        <v>-601</v>
      </c>
      <c r="AG77" s="73" t="n">
        <f aca="false">INDEX(HTS!$BN:$BN,MATCH($E77,HTS!$E:$E,0))</f>
        <v>-601</v>
      </c>
      <c r="AH77" s="118" t="str">
        <f aca="false">IF(SUM($AG77)&lt;=0,"",$AF77/$AG77)</f>
        <v/>
      </c>
    </row>
    <row r="78" customFormat="false" ht="15" hidden="false" customHeight="false" outlineLevel="0" collapsed="false">
      <c r="A78" s="0" t="s">
        <v>144</v>
      </c>
      <c r="B78" s="0" t="s">
        <v>103</v>
      </c>
      <c r="C78" s="0" t="s">
        <v>86</v>
      </c>
      <c r="D78" s="0" t="s">
        <v>58</v>
      </c>
      <c r="E78" s="0" t="str">
        <f aca="false">B78&amp;"|"&amp;C78&amp;"|"&amp;D78</f>
        <v>Leribe [#SNU] [FjSmRywOWUp]|50+|Male</v>
      </c>
      <c r="F78" s="118" t="str">
        <f aca="false">IF($D78="Female",100%,"")</f>
        <v/>
      </c>
      <c r="G78" s="75" t="str">
        <f aca="false">IFERROR(ROUND($F78*INDEX(PMTCT!$AE:$AE,MATCH($E78,PMTCT!$E:$E,0)),0),"")</f>
        <v/>
      </c>
      <c r="H78" s="118" t="str">
        <f aca="false">IF($D78="Female",100%,"")</f>
        <v/>
      </c>
      <c r="I78" s="75" t="str">
        <f aca="false">IFERROR(ROUND($H78*INDEX(PMTCT!$AU:$AU,MATCH($E78,PMTCT!$E:$E,0)),0),"")</f>
        <v/>
      </c>
      <c r="J78" s="118" t="n">
        <f aca="false">1</f>
        <v>1</v>
      </c>
      <c r="K78" s="75" t="n">
        <f aca="false">IFERROR(ROUND($J78*INDEX(TB!$Q:$Q,MATCH($E78,HTS!$E:$E,0)),0),"")</f>
        <v>-1800</v>
      </c>
      <c r="L78" s="118" t="n">
        <f aca="false">IF($D78="Male",100%,"")</f>
        <v>1</v>
      </c>
      <c r="M78" s="75" t="str">
        <f aca="false">IFERROR(ROUND($L78*INDEX(VMMC!$AC:$AC,MATCH($E78,VMMC!$E:$E,0)),0),"")</f>
        <v/>
      </c>
      <c r="N78" s="118" t="n">
        <f aca="false">1</f>
        <v>1</v>
      </c>
      <c r="O78" s="75" t="n">
        <f aca="false">IFERROR(ROUND($N78*INDEX(HTS!$Q:$Q,MATCH($E78,HTS!$E:$E,0)),0),"")</f>
        <v>82</v>
      </c>
      <c r="P78" s="118" t="n">
        <f aca="false">1</f>
        <v>1</v>
      </c>
      <c r="Q78" s="75" t="n">
        <f aca="false">IFERROR(ROUND($P78*INDEX(HTS!$S:$S,MATCH($E78,HTS!$E:$E,0)),0),"")</f>
        <v>-80</v>
      </c>
      <c r="R78" s="118" t="n">
        <f aca="false">1</f>
        <v>1</v>
      </c>
      <c r="S78" s="75" t="n">
        <f aca="false">IFERROR(ROUND($R78*INDEX(HTS!$AM:$AM,MATCH($E78,HTS!$E:$E,0)),0),"")</f>
        <v>115</v>
      </c>
      <c r="T78" s="118" t="n">
        <f aca="false">1</f>
        <v>1</v>
      </c>
      <c r="U78" s="75" t="n">
        <f aca="false">IFERROR(ROUND($T78*INDEX(HTS!$AV:$AV,MATCH($E78,HTS!$E:$E,0)),0),"")</f>
        <v>125</v>
      </c>
      <c r="V78" s="118" t="n">
        <f aca="false">1</f>
        <v>1</v>
      </c>
      <c r="W78" s="75" t="n">
        <f aca="false">IFERROR(ROUND($V78*INDEX(HTS!$AY:$AY,MATCH($E78,HTS!$E:$E,0)),0),"")</f>
        <v>100</v>
      </c>
      <c r="X78" s="118" t="n">
        <f aca="false">1</f>
        <v>1</v>
      </c>
      <c r="Y78" s="75" t="n">
        <f aca="false">IFERROR(ROUND($X78*INDEX(HTS!$BB:$BB,MATCH($E78,HTS!$E:$E,0)),0),"")</f>
        <v>45</v>
      </c>
      <c r="Z78" s="118" t="n">
        <f aca="false">1</f>
        <v>1</v>
      </c>
      <c r="AA78" s="75" t="n">
        <f aca="false">IFERROR(ROUND($Z78*INDEX(HTS!$BE:$BE,MATCH($E78,HTS!$E:$E,0)),0),"")</f>
        <v>25</v>
      </c>
      <c r="AB78" s="118" t="n">
        <f aca="false">1</f>
        <v>1</v>
      </c>
      <c r="AC78" s="75" t="n">
        <f aca="false">IFERROR(ROUND($AB78*INDEX(HTS!$BH:$BH,MATCH($E78,HTS!$E:$E,0)),0),"")</f>
        <v>190</v>
      </c>
      <c r="AD78" s="118" t="n">
        <f aca="false">1</f>
        <v>1</v>
      </c>
      <c r="AE78" s="75" t="n">
        <f aca="false">IFERROR(ROUND($AD78*INDEX(HTS!$BK:$BK,MATCH($E78,HTS!$E:$E,0)),0),"")</f>
        <v>245</v>
      </c>
      <c r="AF78" s="73" t="n">
        <f aca="false">IF(SUM($O78,$Q78,$S78,$K78,$G78,$I78,$M78,$U78,$W78,$Y78,$AA78,$AC78,$AE78)=0,"",SUM($O78,$Q78,$S78,$K78,$G78,$I78,$M78,$U78,$W78,$Y78,$AA78,$AC78,$AE78))</f>
        <v>-953</v>
      </c>
      <c r="AG78" s="73" t="n">
        <f aca="false">INDEX(HTS!$BN:$BN,MATCH($E78,HTS!$E:$E,0))</f>
        <v>-953</v>
      </c>
      <c r="AH78" s="118" t="str">
        <f aca="false">IF(SUM($AG78)&lt;=0,"",$AF78/$AG78)</f>
        <v/>
      </c>
    </row>
    <row r="79" customFormat="false" ht="15" hidden="false" customHeight="false" outlineLevel="0" collapsed="false">
      <c r="A79" s="0" t="s">
        <v>145</v>
      </c>
      <c r="B79" s="0" t="s">
        <v>107</v>
      </c>
      <c r="C79" s="0" t="s">
        <v>63</v>
      </c>
      <c r="D79" s="0" t="s">
        <v>56</v>
      </c>
      <c r="E79" s="0" t="str">
        <f aca="false">B79&amp;"|"&amp;C79&amp;"|"&amp;D79</f>
        <v>Mafeteng [#SNU] [#DREAMS] [DiFv5WXIHM5]|15-19|Female</v>
      </c>
      <c r="F79" s="118" t="n">
        <f aca="false">IF($D79="Female",100%,"")</f>
        <v>1</v>
      </c>
      <c r="G79" s="75" t="n">
        <f aca="false">IFERROR(ROUND($F79*INDEX(PMTCT!$AE:$AE,MATCH($E79,PMTCT!$E:$E,0)),0),"")</f>
        <v>-2600</v>
      </c>
      <c r="H79" s="118" t="n">
        <f aca="false">IF($D79="Female",100%,"")</f>
        <v>1</v>
      </c>
      <c r="I79" s="75" t="str">
        <f aca="false">IFERROR(ROUND($H79*INDEX(PMTCT!$AU:$AU,MATCH($E79,PMTCT!$E:$E,0)),0),"")</f>
        <v/>
      </c>
      <c r="J79" s="118" t="n">
        <f aca="false">1</f>
        <v>1</v>
      </c>
      <c r="K79" s="75" t="n">
        <f aca="false">IFERROR(ROUND($J79*INDEX(TB!$Q:$Q,MATCH($E79,HTS!$E:$E,0)),0),"")</f>
        <v>-0</v>
      </c>
      <c r="L79" s="118" t="str">
        <f aca="false">IF($D79="Male",100%,"")</f>
        <v/>
      </c>
      <c r="M79" s="75" t="str">
        <f aca="false">IFERROR(ROUND($L79*INDEX(VMMC!$AC:$AC,MATCH($E79,VMMC!$E:$E,0)),0),"")</f>
        <v/>
      </c>
      <c r="N79" s="118" t="n">
        <f aca="false">1</f>
        <v>1</v>
      </c>
      <c r="O79" s="75" t="n">
        <f aca="false">IFERROR(ROUND($N79*INDEX(HTS!$Q:$Q,MATCH($E79,HTS!$E:$E,0)),0),"")</f>
        <v>222</v>
      </c>
      <c r="P79" s="118" t="n">
        <f aca="false">1</f>
        <v>1</v>
      </c>
      <c r="Q79" s="75" t="n">
        <f aca="false">IFERROR(ROUND($P79*INDEX(HTS!$S:$S,MATCH($E79,HTS!$E:$E,0)),0),"")</f>
        <v>-216</v>
      </c>
      <c r="R79" s="118" t="n">
        <f aca="false">1</f>
        <v>1</v>
      </c>
      <c r="S79" s="75" t="n">
        <f aca="false">IFERROR(ROUND($R79*INDEX(HTS!$AM:$AM,MATCH($E79,HTS!$E:$E,0)),0),"")</f>
        <v>228</v>
      </c>
      <c r="T79" s="118" t="n">
        <f aca="false">1</f>
        <v>1</v>
      </c>
      <c r="U79" s="75" t="n">
        <f aca="false">IFERROR(ROUND($T79*INDEX(HTS!$AV:$AV,MATCH($E79,HTS!$E:$E,0)),0),"")</f>
        <v>252</v>
      </c>
      <c r="V79" s="118" t="n">
        <f aca="false">1</f>
        <v>1</v>
      </c>
      <c r="W79" s="75" t="n">
        <f aca="false">IFERROR(ROUND($V79*INDEX(HTS!$AY:$AY,MATCH($E79,HTS!$E:$E,0)),0),"")</f>
        <v>564</v>
      </c>
      <c r="X79" s="118" t="n">
        <f aca="false">1</f>
        <v>1</v>
      </c>
      <c r="Y79" s="75" t="n">
        <f aca="false">IFERROR(ROUND($X79*INDEX(HTS!$BB:$BB,MATCH($E79,HTS!$E:$E,0)),0),"")</f>
        <v>216</v>
      </c>
      <c r="Z79" s="118" t="n">
        <f aca="false">1</f>
        <v>1</v>
      </c>
      <c r="AA79" s="75" t="n">
        <f aca="false">IFERROR(ROUND($Z79*INDEX(HTS!$BE:$BE,MATCH($E79,HTS!$E:$E,0)),0),"")</f>
        <v>108</v>
      </c>
      <c r="AB79" s="118" t="n">
        <f aca="false">1</f>
        <v>1</v>
      </c>
      <c r="AC79" s="75" t="n">
        <f aca="false">IFERROR(ROUND($AB79*INDEX(HTS!$BH:$BH,MATCH($E79,HTS!$E:$E,0)),0),"")</f>
        <v>456</v>
      </c>
      <c r="AD79" s="118" t="n">
        <f aca="false">1</f>
        <v>1</v>
      </c>
      <c r="AE79" s="75" t="n">
        <f aca="false">IFERROR(ROUND($AD79*INDEX(HTS!$BK:$BK,MATCH($E79,HTS!$E:$E,0)),0),"")</f>
        <v>24</v>
      </c>
      <c r="AF79" s="73" t="n">
        <f aca="false">IF(SUM($O79,$Q79,$S79,$K79,$G79,$I79,$M79,$U79,$W79,$Y79,$AA79,$AC79,$AE79)=0,"",SUM($O79,$Q79,$S79,$K79,$G79,$I79,$M79,$U79,$W79,$Y79,$AA79,$AC79,$AE79))</f>
        <v>-746</v>
      </c>
      <c r="AG79" s="73" t="n">
        <f aca="false">INDEX(HTS!$BN:$BN,MATCH($E79,HTS!$E:$E,0))</f>
        <v>-746</v>
      </c>
      <c r="AH79" s="118" t="str">
        <f aca="false">IF(SUM($AG79)&lt;=0,"",$AF79/$AG79)</f>
        <v/>
      </c>
    </row>
    <row r="80" customFormat="false" ht="15" hidden="false" customHeight="false" outlineLevel="0" collapsed="false">
      <c r="A80" s="0" t="s">
        <v>145</v>
      </c>
      <c r="B80" s="0" t="s">
        <v>107</v>
      </c>
      <c r="C80" s="0" t="s">
        <v>63</v>
      </c>
      <c r="D80" s="0" t="s">
        <v>58</v>
      </c>
      <c r="E80" s="0" t="str">
        <f aca="false">B80&amp;"|"&amp;C80&amp;"|"&amp;D80</f>
        <v>Mafeteng [#SNU] [#DREAMS] [DiFv5WXIHM5]|15-19|Male</v>
      </c>
      <c r="F80" s="118" t="str">
        <f aca="false">IF($D80="Female",100%,"")</f>
        <v/>
      </c>
      <c r="G80" s="75" t="str">
        <f aca="false">IFERROR(ROUND($F80*INDEX(PMTCT!$AE:$AE,MATCH($E80,PMTCT!$E:$E,0)),0),"")</f>
        <v/>
      </c>
      <c r="H80" s="118" t="str">
        <f aca="false">IF($D80="Female",100%,"")</f>
        <v/>
      </c>
      <c r="I80" s="75" t="str">
        <f aca="false">IFERROR(ROUND($H80*INDEX(PMTCT!$AU:$AU,MATCH($E80,PMTCT!$E:$E,0)),0),"")</f>
        <v/>
      </c>
      <c r="J80" s="118" t="n">
        <f aca="false">1</f>
        <v>1</v>
      </c>
      <c r="K80" s="75" t="n">
        <f aca="false">IFERROR(ROUND($J80*INDEX(TB!$Q:$Q,MATCH($E80,HTS!$E:$E,0)),0),"")</f>
        <v>-0</v>
      </c>
      <c r="L80" s="118" t="n">
        <f aca="false">IF($D80="Male",100%,"")</f>
        <v>1</v>
      </c>
      <c r="M80" s="75" t="str">
        <f aca="false">IFERROR(ROUND($L80*INDEX(VMMC!$AC:$AC,MATCH($E80,VMMC!$E:$E,0)),0),"")</f>
        <v/>
      </c>
      <c r="N80" s="118" t="n">
        <f aca="false">1</f>
        <v>1</v>
      </c>
      <c r="O80" s="75" t="str">
        <f aca="false">IFERROR(ROUND($N80*INDEX(HTS!$Q:$Q,MATCH($E80,HTS!$E:$E,0)),0),"")</f>
        <v/>
      </c>
      <c r="P80" s="118" t="n">
        <f aca="false">1</f>
        <v>1</v>
      </c>
      <c r="Q80" s="75" t="str">
        <f aca="false">IFERROR(ROUND($P80*INDEX(HTS!$S:$S,MATCH($E80,HTS!$E:$E,0)),0),"")</f>
        <v/>
      </c>
      <c r="R80" s="118" t="n">
        <f aca="false">1</f>
        <v>1</v>
      </c>
      <c r="S80" s="75" t="str">
        <f aca="false">IFERROR(ROUND($R80*INDEX(HTS!$AM:$AM,MATCH($E80,HTS!$E:$E,0)),0),"")</f>
        <v/>
      </c>
      <c r="T80" s="118" t="n">
        <f aca="false">1</f>
        <v>1</v>
      </c>
      <c r="U80" s="75" t="str">
        <f aca="false">IFERROR(ROUND($T80*INDEX(HTS!$AV:$AV,MATCH($E80,HTS!$E:$E,0)),0),"")</f>
        <v/>
      </c>
      <c r="V80" s="118" t="n">
        <f aca="false">1</f>
        <v>1</v>
      </c>
      <c r="W80" s="75" t="str">
        <f aca="false">IFERROR(ROUND($V80*INDEX(HTS!$AY:$AY,MATCH($E80,HTS!$E:$E,0)),0),"")</f>
        <v/>
      </c>
      <c r="X80" s="118" t="n">
        <f aca="false">1</f>
        <v>1</v>
      </c>
      <c r="Y80" s="75" t="str">
        <f aca="false">IFERROR(ROUND($X80*INDEX(HTS!$BB:$BB,MATCH($E80,HTS!$E:$E,0)),0),"")</f>
        <v/>
      </c>
      <c r="Z80" s="118" t="n">
        <f aca="false">1</f>
        <v>1</v>
      </c>
      <c r="AA80" s="75" t="str">
        <f aca="false">IFERROR(ROUND($Z80*INDEX(HTS!$BE:$BE,MATCH($E80,HTS!$E:$E,0)),0),"")</f>
        <v/>
      </c>
      <c r="AB80" s="118" t="n">
        <f aca="false">1</f>
        <v>1</v>
      </c>
      <c r="AC80" s="75" t="str">
        <f aca="false">IFERROR(ROUND($AB80*INDEX(HTS!$BH:$BH,MATCH($E80,HTS!$E:$E,0)),0),"")</f>
        <v/>
      </c>
      <c r="AD80" s="118" t="n">
        <f aca="false">1</f>
        <v>1</v>
      </c>
      <c r="AE80" s="75" t="str">
        <f aca="false">IFERROR(ROUND($AD80*INDEX(HTS!$BK:$BK,MATCH($E80,HTS!$E:$E,0)),0),"")</f>
        <v/>
      </c>
      <c r="AF80" s="73" t="str">
        <f aca="false">IF(SUM($O80,$Q80,$S80,$K80,$G80,$I80,$M80,$U80,$W80,$Y80,$AA80,$AC80,$AE80)=0,"",SUM($O80,$Q80,$S80,$K80,$G80,$I80,$M80,$U80,$W80,$Y80,$AA80,$AC80,$AE80))</f>
        <v/>
      </c>
      <c r="AG80" s="73" t="str">
        <f aca="false">INDEX(HTS!$BN:$BN,MATCH($E80,HTS!$E:$E,0))</f>
        <v/>
      </c>
      <c r="AH80" s="118" t="str">
        <f aca="false">IF(SUM($AG80)&lt;=0,"",$AF80/$AG80)</f>
        <v/>
      </c>
    </row>
    <row r="81" customFormat="false" ht="15" hidden="false" customHeight="false" outlineLevel="0" collapsed="false">
      <c r="A81" s="0" t="s">
        <v>145</v>
      </c>
      <c r="B81" s="0" t="s">
        <v>107</v>
      </c>
      <c r="C81" s="0" t="s">
        <v>66</v>
      </c>
      <c r="D81" s="0" t="s">
        <v>56</v>
      </c>
      <c r="E81" s="0" t="str">
        <f aca="false">B81&amp;"|"&amp;C81&amp;"|"&amp;D81</f>
        <v>Mafeteng [#SNU] [#DREAMS] [DiFv5WXIHM5]|20-24|Female</v>
      </c>
      <c r="F81" s="118" t="n">
        <f aca="false">IF($D81="Female",100%,"")</f>
        <v>1</v>
      </c>
      <c r="G81" s="75" t="n">
        <f aca="false">IFERROR(ROUND($F81*INDEX(PMTCT!$AE:$AE,MATCH($E81,PMTCT!$E:$E,0)),0),"")</f>
        <v>-24928</v>
      </c>
      <c r="H81" s="118" t="n">
        <f aca="false">IF($D81="Female",100%,"")</f>
        <v>1</v>
      </c>
      <c r="I81" s="75" t="str">
        <f aca="false">IFERROR(ROUND($H81*INDEX(PMTCT!$AU:$AU,MATCH($E81,PMTCT!$E:$E,0)),0),"")</f>
        <v/>
      </c>
      <c r="J81" s="118" t="n">
        <f aca="false">1</f>
        <v>1</v>
      </c>
      <c r="K81" s="75" t="n">
        <f aca="false">IFERROR(ROUND($J81*INDEX(TB!$Q:$Q,MATCH($E81,HTS!$E:$E,0)),0),"")</f>
        <v>-24682</v>
      </c>
      <c r="L81" s="118" t="str">
        <f aca="false">IF($D81="Male",100%,"")</f>
        <v/>
      </c>
      <c r="M81" s="75" t="str">
        <f aca="false">IFERROR(ROUND($L81*INDEX(VMMC!$AC:$AC,MATCH($E81,VMMC!$E:$E,0)),0),"")</f>
        <v/>
      </c>
      <c r="N81" s="118" t="n">
        <f aca="false">1</f>
        <v>1</v>
      </c>
      <c r="O81" s="75" t="n">
        <f aca="false">IFERROR(ROUND($N81*INDEX(HTS!$Q:$Q,MATCH($E81,HTS!$E:$E,0)),0),"")</f>
        <v>210</v>
      </c>
      <c r="P81" s="118" t="n">
        <f aca="false">1</f>
        <v>1</v>
      </c>
      <c r="Q81" s="75" t="n">
        <f aca="false">IFERROR(ROUND($P81*INDEX(HTS!$S:$S,MATCH($E81,HTS!$E:$E,0)),0),"")</f>
        <v>-205</v>
      </c>
      <c r="R81" s="118" t="n">
        <f aca="false">1</f>
        <v>1</v>
      </c>
      <c r="S81" s="75" t="n">
        <f aca="false">IFERROR(ROUND($R81*INDEX(HTS!$AM:$AM,MATCH($E81,HTS!$E:$E,0)),0),"")</f>
        <v>828</v>
      </c>
      <c r="T81" s="118" t="n">
        <f aca="false">1</f>
        <v>1</v>
      </c>
      <c r="U81" s="75" t="n">
        <f aca="false">IFERROR(ROUND($T81*INDEX(HTS!$AV:$AV,MATCH($E81,HTS!$E:$E,0)),0),"")</f>
        <v>90</v>
      </c>
      <c r="V81" s="118" t="n">
        <f aca="false">1</f>
        <v>1</v>
      </c>
      <c r="W81" s="75" t="n">
        <f aca="false">IFERROR(ROUND($V81*INDEX(HTS!$AY:$AY,MATCH($E81,HTS!$E:$E,0)),0),"")</f>
        <v>198</v>
      </c>
      <c r="X81" s="118" t="n">
        <f aca="false">1</f>
        <v>1</v>
      </c>
      <c r="Y81" s="75" t="n">
        <f aca="false">IFERROR(ROUND($X81*INDEX(HTS!$BB:$BB,MATCH($E81,HTS!$E:$E,0)),0),"")</f>
        <v>18</v>
      </c>
      <c r="Z81" s="118" t="n">
        <f aca="false">1</f>
        <v>1</v>
      </c>
      <c r="AA81" s="75" t="n">
        <f aca="false">IFERROR(ROUND($Z81*INDEX(HTS!$BE:$BE,MATCH($E81,HTS!$E:$E,0)),0),"")</f>
        <v>630</v>
      </c>
      <c r="AB81" s="118" t="n">
        <f aca="false">1</f>
        <v>1</v>
      </c>
      <c r="AC81" s="75" t="n">
        <f aca="false">IFERROR(ROUND($AB81*INDEX(HTS!$BH:$BH,MATCH($E81,HTS!$E:$E,0)),0),"")</f>
        <v>468</v>
      </c>
      <c r="AD81" s="118" t="n">
        <f aca="false">1</f>
        <v>1</v>
      </c>
      <c r="AE81" s="75" t="n">
        <f aca="false">IFERROR(ROUND($AD81*INDEX(HTS!$BK:$BK,MATCH($E81,HTS!$E:$E,0)),0),"")</f>
        <v>900</v>
      </c>
      <c r="AF81" s="73" t="n">
        <f aca="false">IF(SUM($O81,$Q81,$S81,$K81,$G81,$I81,$M81,$U81,$W81,$Y81,$AA81,$AC81,$AE81)=0,"",SUM($O81,$Q81,$S81,$K81,$G81,$I81,$M81,$U81,$W81,$Y81,$AA81,$AC81,$AE81))</f>
        <v>-46473</v>
      </c>
      <c r="AG81" s="73" t="n">
        <f aca="false">INDEX(HTS!$BN:$BN,MATCH($E81,HTS!$E:$E,0))</f>
        <v>-46473</v>
      </c>
      <c r="AH81" s="118" t="str">
        <f aca="false">IF(SUM($AG81)&lt;=0,"",$AF81/$AG81)</f>
        <v/>
      </c>
    </row>
    <row r="82" customFormat="false" ht="15" hidden="false" customHeight="false" outlineLevel="0" collapsed="false">
      <c r="A82" s="0" t="s">
        <v>145</v>
      </c>
      <c r="B82" s="0" t="s">
        <v>107</v>
      </c>
      <c r="C82" s="0" t="s">
        <v>66</v>
      </c>
      <c r="D82" s="0" t="s">
        <v>58</v>
      </c>
      <c r="E82" s="0" t="str">
        <f aca="false">B82&amp;"|"&amp;C82&amp;"|"&amp;D82</f>
        <v>Mafeteng [#SNU] [#DREAMS] [DiFv5WXIHM5]|20-24|Male</v>
      </c>
      <c r="F82" s="118" t="str">
        <f aca="false">IF($D82="Female",100%,"")</f>
        <v/>
      </c>
      <c r="G82" s="75" t="str">
        <f aca="false">IFERROR(ROUND($F82*INDEX(PMTCT!$AE:$AE,MATCH($E82,PMTCT!$E:$E,0)),0),"")</f>
        <v/>
      </c>
      <c r="H82" s="118" t="str">
        <f aca="false">IF($D82="Female",100%,"")</f>
        <v/>
      </c>
      <c r="I82" s="75" t="str">
        <f aca="false">IFERROR(ROUND($H82*INDEX(PMTCT!$AU:$AU,MATCH($E82,PMTCT!$E:$E,0)),0),"")</f>
        <v/>
      </c>
      <c r="J82" s="118" t="n">
        <f aca="false">1</f>
        <v>1</v>
      </c>
      <c r="K82" s="75" t="n">
        <f aca="false">IFERROR(ROUND($J82*INDEX(TB!$Q:$Q,MATCH($E82,HTS!$E:$E,0)),0),"")</f>
        <v>-18900</v>
      </c>
      <c r="L82" s="118" t="n">
        <f aca="false">IF($D82="Male",100%,"")</f>
        <v>1</v>
      </c>
      <c r="M82" s="75" t="str">
        <f aca="false">IFERROR(ROUND($L82*INDEX(VMMC!$AC:$AC,MATCH($E82,VMMC!$E:$E,0)),0),"")</f>
        <v/>
      </c>
      <c r="N82" s="118" t="n">
        <f aca="false">1</f>
        <v>1</v>
      </c>
      <c r="O82" s="75" t="n">
        <f aca="false">IFERROR(ROUND($N82*INDEX(HTS!$Q:$Q,MATCH($E82,HTS!$E:$E,0)),0),"")</f>
        <v>29</v>
      </c>
      <c r="P82" s="118" t="n">
        <f aca="false">1</f>
        <v>1</v>
      </c>
      <c r="Q82" s="75" t="n">
        <f aca="false">IFERROR(ROUND($P82*INDEX(HTS!$S:$S,MATCH($E82,HTS!$E:$E,0)),0),"")</f>
        <v>-28</v>
      </c>
      <c r="R82" s="118" t="n">
        <f aca="false">1</f>
        <v>1</v>
      </c>
      <c r="S82" s="75" t="n">
        <f aca="false">IFERROR(ROUND($R82*INDEX(HTS!$AM:$AM,MATCH($E82,HTS!$E:$E,0)),0),"")</f>
        <v>88</v>
      </c>
      <c r="T82" s="118" t="n">
        <f aca="false">1</f>
        <v>1</v>
      </c>
      <c r="U82" s="75" t="str">
        <f aca="false">IFERROR(ROUND($T82*INDEX(HTS!$AV:$AV,MATCH($E82,HTS!$E:$E,0)),0),"")</f>
        <v/>
      </c>
      <c r="V82" s="118" t="n">
        <f aca="false">1</f>
        <v>1</v>
      </c>
      <c r="W82" s="75" t="n">
        <f aca="false">IFERROR(ROUND($V82*INDEX(HTS!$AY:$AY,MATCH($E82,HTS!$E:$E,0)),0),"")</f>
        <v>16</v>
      </c>
      <c r="X82" s="118" t="n">
        <f aca="false">1</f>
        <v>1</v>
      </c>
      <c r="Y82" s="75" t="n">
        <f aca="false">IFERROR(ROUND($X82*INDEX(HTS!$BB:$BB,MATCH($E82,HTS!$E:$E,0)),0),"")</f>
        <v>164</v>
      </c>
      <c r="Z82" s="118" t="n">
        <f aca="false">1</f>
        <v>1</v>
      </c>
      <c r="AA82" s="75" t="n">
        <f aca="false">IFERROR(ROUND($Z82*INDEX(HTS!$BE:$BE,MATCH($E82,HTS!$E:$E,0)),0),"")</f>
        <v>196</v>
      </c>
      <c r="AB82" s="118" t="n">
        <f aca="false">1</f>
        <v>1</v>
      </c>
      <c r="AC82" s="75" t="n">
        <f aca="false">IFERROR(ROUND($AB82*INDEX(HTS!$BH:$BH,MATCH($E82,HTS!$E:$E,0)),0),"")</f>
        <v>112</v>
      </c>
      <c r="AD82" s="118" t="n">
        <f aca="false">1</f>
        <v>1</v>
      </c>
      <c r="AE82" s="75" t="n">
        <f aca="false">IFERROR(ROUND($AD82*INDEX(HTS!$BK:$BK,MATCH($E82,HTS!$E:$E,0)),0),"")</f>
        <v>84</v>
      </c>
      <c r="AF82" s="73" t="n">
        <f aca="false">IF(SUM($O82,$Q82,$S82,$K82,$G82,$I82,$M82,$U82,$W82,$Y82,$AA82,$AC82,$AE82)=0,"",SUM($O82,$Q82,$S82,$K82,$G82,$I82,$M82,$U82,$W82,$Y82,$AA82,$AC82,$AE82))</f>
        <v>-18239</v>
      </c>
      <c r="AG82" s="73" t="n">
        <f aca="false">INDEX(HTS!$BN:$BN,MATCH($E82,HTS!$E:$E,0))</f>
        <v>-18239</v>
      </c>
      <c r="AH82" s="118" t="str">
        <f aca="false">IF(SUM($AG82)&lt;=0,"",$AF82/$AG82)</f>
        <v/>
      </c>
    </row>
    <row r="83" customFormat="false" ht="15" hidden="false" customHeight="false" outlineLevel="0" collapsed="false">
      <c r="A83" s="0" t="s">
        <v>145</v>
      </c>
      <c r="B83" s="0" t="s">
        <v>107</v>
      </c>
      <c r="C83" s="0" t="s">
        <v>69</v>
      </c>
      <c r="D83" s="0" t="s">
        <v>56</v>
      </c>
      <c r="E83" s="0" t="str">
        <f aca="false">B83&amp;"|"&amp;C83&amp;"|"&amp;D83</f>
        <v>Mafeteng [#SNU] [#DREAMS] [DiFv5WXIHM5]|25-29|Female</v>
      </c>
      <c r="F83" s="118" t="n">
        <f aca="false">IF($D83="Female",100%,"")</f>
        <v>1</v>
      </c>
      <c r="G83" s="75" t="n">
        <f aca="false">IFERROR(ROUND($F83*INDEX(PMTCT!$AE:$AE,MATCH($E83,PMTCT!$E:$E,0)),0),"")</f>
        <v>-16740</v>
      </c>
      <c r="H83" s="118" t="n">
        <f aca="false">IF($D83="Female",100%,"")</f>
        <v>1</v>
      </c>
      <c r="I83" s="75" t="str">
        <f aca="false">IFERROR(ROUND($H83*INDEX(PMTCT!$AU:$AU,MATCH($E83,PMTCT!$E:$E,0)),0),"")</f>
        <v/>
      </c>
      <c r="J83" s="118" t="n">
        <f aca="false">1</f>
        <v>1</v>
      </c>
      <c r="K83" s="75" t="n">
        <f aca="false">IFERROR(ROUND($J83*INDEX(TB!$Q:$Q,MATCH($E83,HTS!$E:$E,0)),0),"")</f>
        <v>-23408</v>
      </c>
      <c r="L83" s="118" t="str">
        <f aca="false">IF($D83="Male",100%,"")</f>
        <v/>
      </c>
      <c r="M83" s="75" t="str">
        <f aca="false">IFERROR(ROUND($L83*INDEX(VMMC!$AC:$AC,MATCH($E83,VMMC!$E:$E,0)),0),"")</f>
        <v/>
      </c>
      <c r="N83" s="118" t="n">
        <f aca="false">1</f>
        <v>1</v>
      </c>
      <c r="O83" s="75" t="n">
        <f aca="false">IFERROR(ROUND($N83*INDEX(HTS!$Q:$Q,MATCH($E83,HTS!$E:$E,0)),0),"")</f>
        <v>112</v>
      </c>
      <c r="P83" s="118" t="n">
        <f aca="false">1</f>
        <v>1</v>
      </c>
      <c r="Q83" s="75" t="n">
        <f aca="false">IFERROR(ROUND($P83*INDEX(HTS!$S:$S,MATCH($E83,HTS!$E:$E,0)),0),"")</f>
        <v>-108</v>
      </c>
      <c r="R83" s="118" t="n">
        <f aca="false">1</f>
        <v>1</v>
      </c>
      <c r="S83" s="75" t="n">
        <f aca="false">IFERROR(ROUND($R83*INDEX(HTS!$AM:$AM,MATCH($E83,HTS!$E:$E,0)),0),"")</f>
        <v>494</v>
      </c>
      <c r="T83" s="118" t="n">
        <f aca="false">1</f>
        <v>1</v>
      </c>
      <c r="U83" s="75" t="n">
        <f aca="false">IFERROR(ROUND($T83*INDEX(HTS!$AV:$AV,MATCH($E83,HTS!$E:$E,0)),0),"")</f>
        <v>169</v>
      </c>
      <c r="V83" s="118" t="n">
        <f aca="false">1</f>
        <v>1</v>
      </c>
      <c r="W83" s="75" t="n">
        <f aca="false">IFERROR(ROUND($V83*INDEX(HTS!$AY:$AY,MATCH($E83,HTS!$E:$E,0)),0),"")</f>
        <v>494</v>
      </c>
      <c r="X83" s="118" t="n">
        <f aca="false">1</f>
        <v>1</v>
      </c>
      <c r="Y83" s="75" t="n">
        <f aca="false">IFERROR(ROUND($X83*INDEX(HTS!$BB:$BB,MATCH($E83,HTS!$E:$E,0)),0),"")</f>
        <v>117</v>
      </c>
      <c r="Z83" s="118" t="n">
        <f aca="false">1</f>
        <v>1</v>
      </c>
      <c r="AA83" s="75" t="n">
        <f aca="false">IFERROR(ROUND($Z83*INDEX(HTS!$BE:$BE,MATCH($E83,HTS!$E:$E,0)),0),"")</f>
        <v>117</v>
      </c>
      <c r="AB83" s="118" t="n">
        <f aca="false">1</f>
        <v>1</v>
      </c>
      <c r="AC83" s="75" t="n">
        <f aca="false">IFERROR(ROUND($AB83*INDEX(HTS!$BH:$BH,MATCH($E83,HTS!$E:$E,0)),0),"")</f>
        <v>78</v>
      </c>
      <c r="AD83" s="118" t="n">
        <f aca="false">1</f>
        <v>1</v>
      </c>
      <c r="AE83" s="75" t="n">
        <f aca="false">IFERROR(ROUND($AD83*INDEX(HTS!$BK:$BK,MATCH($E83,HTS!$E:$E,0)),0),"")</f>
        <v>104</v>
      </c>
      <c r="AF83" s="73" t="n">
        <f aca="false">IF(SUM($O83,$Q83,$S83,$K83,$G83,$I83,$M83,$U83,$W83,$Y83,$AA83,$AC83,$AE83)=0,"",SUM($O83,$Q83,$S83,$K83,$G83,$I83,$M83,$U83,$W83,$Y83,$AA83,$AC83,$AE83))</f>
        <v>-38571</v>
      </c>
      <c r="AG83" s="73" t="n">
        <f aca="false">INDEX(HTS!$BN:$BN,MATCH($E83,HTS!$E:$E,0))</f>
        <v>-38571</v>
      </c>
      <c r="AH83" s="118" t="str">
        <f aca="false">IF(SUM($AG83)&lt;=0,"",$AF83/$AG83)</f>
        <v/>
      </c>
    </row>
    <row r="84" customFormat="false" ht="15" hidden="false" customHeight="false" outlineLevel="0" collapsed="false">
      <c r="A84" s="0" t="s">
        <v>145</v>
      </c>
      <c r="B84" s="0" t="s">
        <v>107</v>
      </c>
      <c r="C84" s="0" t="s">
        <v>69</v>
      </c>
      <c r="D84" s="0" t="s">
        <v>58</v>
      </c>
      <c r="E84" s="0" t="str">
        <f aca="false">B84&amp;"|"&amp;C84&amp;"|"&amp;D84</f>
        <v>Mafeteng [#SNU] [#DREAMS] [DiFv5WXIHM5]|25-29|Male</v>
      </c>
      <c r="F84" s="118" t="str">
        <f aca="false">IF($D84="Female",100%,"")</f>
        <v/>
      </c>
      <c r="G84" s="75" t="str">
        <f aca="false">IFERROR(ROUND($F84*INDEX(PMTCT!$AE:$AE,MATCH($E84,PMTCT!$E:$E,0)),0),"")</f>
        <v/>
      </c>
      <c r="H84" s="118" t="str">
        <f aca="false">IF($D84="Female",100%,"")</f>
        <v/>
      </c>
      <c r="I84" s="75" t="str">
        <f aca="false">IFERROR(ROUND($H84*INDEX(PMTCT!$AU:$AU,MATCH($E84,PMTCT!$E:$E,0)),0),"")</f>
        <v/>
      </c>
      <c r="J84" s="118" t="n">
        <f aca="false">1</f>
        <v>1</v>
      </c>
      <c r="K84" s="75" t="n">
        <f aca="false">IFERROR(ROUND($J84*INDEX(TB!$Q:$Q,MATCH($E84,HTS!$E:$E,0)),0),"")</f>
        <v>-10824</v>
      </c>
      <c r="L84" s="118" t="n">
        <f aca="false">IF($D84="Male",100%,"")</f>
        <v>1</v>
      </c>
      <c r="M84" s="75" t="str">
        <f aca="false">IFERROR(ROUND($L84*INDEX(VMMC!$AC:$AC,MATCH($E84,VMMC!$E:$E,0)),0),"")</f>
        <v/>
      </c>
      <c r="N84" s="118" t="n">
        <f aca="false">1</f>
        <v>1</v>
      </c>
      <c r="O84" s="75" t="str">
        <f aca="false">IFERROR(ROUND($N84*INDEX(HTS!$Q:$Q,MATCH($E84,HTS!$E:$E,0)),0),"")</f>
        <v/>
      </c>
      <c r="P84" s="118" t="n">
        <f aca="false">1</f>
        <v>1</v>
      </c>
      <c r="Q84" s="75" t="n">
        <f aca="false">IFERROR(ROUND($P84*INDEX(HTS!$S:$S,MATCH($E84,HTS!$E:$E,0)),0),"")</f>
        <v>6</v>
      </c>
      <c r="R84" s="118" t="n">
        <f aca="false">1</f>
        <v>1</v>
      </c>
      <c r="S84" s="75" t="n">
        <f aca="false">IFERROR(ROUND($R84*INDEX(HTS!$AM:$AM,MATCH($E84,HTS!$E:$E,0)),0),"")</f>
        <v>560</v>
      </c>
      <c r="T84" s="118" t="n">
        <f aca="false">1</f>
        <v>1</v>
      </c>
      <c r="U84" s="75" t="n">
        <f aca="false">IFERROR(ROUND($T84*INDEX(HTS!$AV:$AV,MATCH($E84,HTS!$E:$E,0)),0),"")</f>
        <v>180</v>
      </c>
      <c r="V84" s="118" t="n">
        <f aca="false">1</f>
        <v>1</v>
      </c>
      <c r="W84" s="75" t="n">
        <f aca="false">IFERROR(ROUND($V84*INDEX(HTS!$AY:$AY,MATCH($E84,HTS!$E:$E,0)),0),"")</f>
        <v>320</v>
      </c>
      <c r="X84" s="118" t="n">
        <f aca="false">1</f>
        <v>1</v>
      </c>
      <c r="Y84" s="75" t="n">
        <f aca="false">IFERROR(ROUND($X84*INDEX(HTS!$BB:$BB,MATCH($E84,HTS!$E:$E,0)),0),"")</f>
        <v>560</v>
      </c>
      <c r="Z84" s="118" t="n">
        <f aca="false">1</f>
        <v>1</v>
      </c>
      <c r="AA84" s="75" t="n">
        <f aca="false">IFERROR(ROUND($Z84*INDEX(HTS!$BE:$BE,MATCH($E84,HTS!$E:$E,0)),0),"")</f>
        <v>400</v>
      </c>
      <c r="AB84" s="118" t="n">
        <f aca="false">1</f>
        <v>1</v>
      </c>
      <c r="AC84" s="75" t="n">
        <f aca="false">IFERROR(ROUND($AB84*INDEX(HTS!$BH:$BH,MATCH($E84,HTS!$E:$E,0)),0),"")</f>
        <v>660</v>
      </c>
      <c r="AD84" s="118" t="n">
        <f aca="false">1</f>
        <v>1</v>
      </c>
      <c r="AE84" s="75" t="n">
        <f aca="false">IFERROR(ROUND($AD84*INDEX(HTS!$BK:$BK,MATCH($E84,HTS!$E:$E,0)),0),"")</f>
        <v>420</v>
      </c>
      <c r="AF84" s="73" t="n">
        <f aca="false">IF(SUM($O84,$Q84,$S84,$K84,$G84,$I84,$M84,$U84,$W84,$Y84,$AA84,$AC84,$AE84)=0,"",SUM($O84,$Q84,$S84,$K84,$G84,$I84,$M84,$U84,$W84,$Y84,$AA84,$AC84,$AE84))</f>
        <v>-7718</v>
      </c>
      <c r="AG84" s="73" t="n">
        <f aca="false">INDEX(HTS!$BN:$BN,MATCH($E84,HTS!$E:$E,0))</f>
        <v>-7718</v>
      </c>
      <c r="AH84" s="118" t="str">
        <f aca="false">IF(SUM($AG84)&lt;=0,"",$AF84/$AG84)</f>
        <v/>
      </c>
    </row>
    <row r="85" customFormat="false" ht="15" hidden="false" customHeight="false" outlineLevel="0" collapsed="false">
      <c r="A85" s="0" t="s">
        <v>145</v>
      </c>
      <c r="B85" s="0" t="s">
        <v>107</v>
      </c>
      <c r="C85" s="0" t="s">
        <v>72</v>
      </c>
      <c r="D85" s="0" t="s">
        <v>56</v>
      </c>
      <c r="E85" s="0" t="str">
        <f aca="false">B85&amp;"|"&amp;C85&amp;"|"&amp;D85</f>
        <v>Mafeteng [#SNU] [#DREAMS] [DiFv5WXIHM5]|30-34|Female</v>
      </c>
      <c r="F85" s="118" t="n">
        <f aca="false">IF($D85="Female",100%,"")</f>
        <v>1</v>
      </c>
      <c r="G85" s="75" t="n">
        <f aca="false">IFERROR(ROUND($F85*INDEX(PMTCT!$AE:$AE,MATCH($E85,PMTCT!$E:$E,0)),0),"")</f>
        <v>-360</v>
      </c>
      <c r="H85" s="118" t="n">
        <f aca="false">IF($D85="Female",100%,"")</f>
        <v>1</v>
      </c>
      <c r="I85" s="75" t="str">
        <f aca="false">IFERROR(ROUND($H85*INDEX(PMTCT!$AU:$AU,MATCH($E85,PMTCT!$E:$E,0)),0),"")</f>
        <v/>
      </c>
      <c r="J85" s="118" t="n">
        <f aca="false">1</f>
        <v>1</v>
      </c>
      <c r="K85" s="75" t="n">
        <f aca="false">IFERROR(ROUND($J85*INDEX(TB!$Q:$Q,MATCH($E85,HTS!$E:$E,0)),0),"")</f>
        <v>-5184</v>
      </c>
      <c r="L85" s="118" t="str">
        <f aca="false">IF($D85="Male",100%,"")</f>
        <v/>
      </c>
      <c r="M85" s="75" t="str">
        <f aca="false">IFERROR(ROUND($L85*INDEX(VMMC!$AC:$AC,MATCH($E85,VMMC!$E:$E,0)),0),"")</f>
        <v/>
      </c>
      <c r="N85" s="118" t="n">
        <f aca="false">1</f>
        <v>1</v>
      </c>
      <c r="O85" s="75" t="n">
        <f aca="false">IFERROR(ROUND($N85*INDEX(HTS!$Q:$Q,MATCH($E85,HTS!$E:$E,0)),0),"")</f>
        <v>154</v>
      </c>
      <c r="P85" s="118" t="n">
        <f aca="false">1</f>
        <v>1</v>
      </c>
      <c r="Q85" s="75" t="n">
        <f aca="false">IFERROR(ROUND($P85*INDEX(HTS!$S:$S,MATCH($E85,HTS!$E:$E,0)),0),"")</f>
        <v>-147</v>
      </c>
      <c r="R85" s="118" t="n">
        <f aca="false">1</f>
        <v>1</v>
      </c>
      <c r="S85" s="75" t="n">
        <f aca="false">IFERROR(ROUND($R85*INDEX(HTS!$AM:$AM,MATCH($E85,HTS!$E:$E,0)),0),"")</f>
        <v>456</v>
      </c>
      <c r="T85" s="118" t="n">
        <f aca="false">1</f>
        <v>1</v>
      </c>
      <c r="U85" s="75" t="n">
        <f aca="false">IFERROR(ROUND($T85*INDEX(HTS!$AV:$AV,MATCH($E85,HTS!$E:$E,0)),0),"")</f>
        <v>312</v>
      </c>
      <c r="V85" s="118" t="n">
        <f aca="false">1</f>
        <v>1</v>
      </c>
      <c r="W85" s="75" t="n">
        <f aca="false">IFERROR(ROUND($V85*INDEX(HTS!$AY:$AY,MATCH($E85,HTS!$E:$E,0)),0),"")</f>
        <v>1008</v>
      </c>
      <c r="X85" s="118" t="n">
        <f aca="false">1</f>
        <v>1</v>
      </c>
      <c r="Y85" s="75" t="n">
        <f aca="false">IFERROR(ROUND($X85*INDEX(HTS!$BB:$BB,MATCH($E85,HTS!$E:$E,0)),0),"")</f>
        <v>288</v>
      </c>
      <c r="Z85" s="118" t="n">
        <f aca="false">1</f>
        <v>1</v>
      </c>
      <c r="AA85" s="75" t="n">
        <f aca="false">IFERROR(ROUND($Z85*INDEX(HTS!$BE:$BE,MATCH($E85,HTS!$E:$E,0)),0),"")</f>
        <v>624</v>
      </c>
      <c r="AB85" s="118" t="n">
        <f aca="false">1</f>
        <v>1</v>
      </c>
      <c r="AC85" s="75" t="n">
        <f aca="false">IFERROR(ROUND($AB85*INDEX(HTS!$BH:$BH,MATCH($E85,HTS!$E:$E,0)),0),"")</f>
        <v>96</v>
      </c>
      <c r="AD85" s="118" t="n">
        <f aca="false">1</f>
        <v>1</v>
      </c>
      <c r="AE85" s="75" t="n">
        <f aca="false">IFERROR(ROUND($AD85*INDEX(HTS!$BK:$BK,MATCH($E85,HTS!$E:$E,0)),0),"")</f>
        <v>720</v>
      </c>
      <c r="AF85" s="73" t="n">
        <f aca="false">IF(SUM($O85,$Q85,$S85,$K85,$G85,$I85,$M85,$U85,$W85,$Y85,$AA85,$AC85,$AE85)=0,"",SUM($O85,$Q85,$S85,$K85,$G85,$I85,$M85,$U85,$W85,$Y85,$AA85,$AC85,$AE85))</f>
        <v>-2033</v>
      </c>
      <c r="AG85" s="73" t="n">
        <f aca="false">INDEX(HTS!$BN:$BN,MATCH($E85,HTS!$E:$E,0))</f>
        <v>-2033</v>
      </c>
      <c r="AH85" s="118" t="str">
        <f aca="false">IF(SUM($AG85)&lt;=0,"",$AF85/$AG85)</f>
        <v/>
      </c>
    </row>
    <row r="86" customFormat="false" ht="15" hidden="false" customHeight="false" outlineLevel="0" collapsed="false">
      <c r="A86" s="0" t="s">
        <v>145</v>
      </c>
      <c r="B86" s="0" t="s">
        <v>107</v>
      </c>
      <c r="C86" s="0" t="s">
        <v>72</v>
      </c>
      <c r="D86" s="0" t="s">
        <v>58</v>
      </c>
      <c r="E86" s="0" t="str">
        <f aca="false">B86&amp;"|"&amp;C86&amp;"|"&amp;D86</f>
        <v>Mafeteng [#SNU] [#DREAMS] [DiFv5WXIHM5]|30-34|Male</v>
      </c>
      <c r="F86" s="118" t="str">
        <f aca="false">IF($D86="Female",100%,"")</f>
        <v/>
      </c>
      <c r="G86" s="75" t="str">
        <f aca="false">IFERROR(ROUND($F86*INDEX(PMTCT!$AE:$AE,MATCH($E86,PMTCT!$E:$E,0)),0),"")</f>
        <v/>
      </c>
      <c r="H86" s="118" t="str">
        <f aca="false">IF($D86="Female",100%,"")</f>
        <v/>
      </c>
      <c r="I86" s="75" t="str">
        <f aca="false">IFERROR(ROUND($H86*INDEX(PMTCT!$AU:$AU,MATCH($E86,PMTCT!$E:$E,0)),0),"")</f>
        <v/>
      </c>
      <c r="J86" s="118" t="n">
        <f aca="false">1</f>
        <v>1</v>
      </c>
      <c r="K86" s="75" t="n">
        <f aca="false">IFERROR(ROUND($J86*INDEX(TB!$Q:$Q,MATCH($E86,HTS!$E:$E,0)),0),"")</f>
        <v>-39560</v>
      </c>
      <c r="L86" s="118" t="n">
        <f aca="false">IF($D86="Male",100%,"")</f>
        <v>1</v>
      </c>
      <c r="M86" s="75" t="str">
        <f aca="false">IFERROR(ROUND($L86*INDEX(VMMC!$AC:$AC,MATCH($E86,VMMC!$E:$E,0)),0),"")</f>
        <v/>
      </c>
      <c r="N86" s="118" t="n">
        <f aca="false">1</f>
        <v>1</v>
      </c>
      <c r="O86" s="75" t="n">
        <f aca="false">IFERROR(ROUND($N86*INDEX(HTS!$Q:$Q,MATCH($E86,HTS!$E:$E,0)),0),"")</f>
        <v>264</v>
      </c>
      <c r="P86" s="118" t="n">
        <f aca="false">1</f>
        <v>1</v>
      </c>
      <c r="Q86" s="75" t="n">
        <f aca="false">IFERROR(ROUND($P86*INDEX(HTS!$S:$S,MATCH($E86,HTS!$E:$E,0)),0),"")</f>
        <v>-252</v>
      </c>
      <c r="R86" s="118" t="n">
        <f aca="false">1</f>
        <v>1</v>
      </c>
      <c r="S86" s="75" t="n">
        <f aca="false">IFERROR(ROUND($R86*INDEX(HTS!$AM:$AM,MATCH($E86,HTS!$E:$E,0)),0),"")</f>
        <v>936</v>
      </c>
      <c r="T86" s="118" t="n">
        <f aca="false">1</f>
        <v>1</v>
      </c>
      <c r="U86" s="75" t="n">
        <f aca="false">IFERROR(ROUND($T86*INDEX(HTS!$AV:$AV,MATCH($E86,HTS!$E:$E,0)),0),"")</f>
        <v>1911</v>
      </c>
      <c r="V86" s="118" t="n">
        <f aca="false">1</f>
        <v>1</v>
      </c>
      <c r="W86" s="75" t="n">
        <f aca="false">IFERROR(ROUND($V86*INDEX(HTS!$AY:$AY,MATCH($E86,HTS!$E:$E,0)),0),"")</f>
        <v>1599</v>
      </c>
      <c r="X86" s="118" t="n">
        <f aca="false">1</f>
        <v>1</v>
      </c>
      <c r="Y86" s="75" t="n">
        <f aca="false">IFERROR(ROUND($X86*INDEX(HTS!$BB:$BB,MATCH($E86,HTS!$E:$E,0)),0),"")</f>
        <v>1599</v>
      </c>
      <c r="Z86" s="118" t="n">
        <f aca="false">1</f>
        <v>1</v>
      </c>
      <c r="AA86" s="75" t="n">
        <f aca="false">IFERROR(ROUND($Z86*INDEX(HTS!$BE:$BE,MATCH($E86,HTS!$E:$E,0)),0),"")</f>
        <v>858</v>
      </c>
      <c r="AB86" s="118" t="n">
        <f aca="false">1</f>
        <v>1</v>
      </c>
      <c r="AC86" s="75" t="n">
        <f aca="false">IFERROR(ROUND($AB86*INDEX(HTS!$BH:$BH,MATCH($E86,HTS!$E:$E,0)),0),"")</f>
        <v>1755</v>
      </c>
      <c r="AD86" s="118" t="n">
        <f aca="false">1</f>
        <v>1</v>
      </c>
      <c r="AE86" s="75" t="n">
        <f aca="false">IFERROR(ROUND($AD86*INDEX(HTS!$BK:$BK,MATCH($E86,HTS!$E:$E,0)),0),"")</f>
        <v>1092</v>
      </c>
      <c r="AF86" s="73" t="n">
        <f aca="false">IF(SUM($O86,$Q86,$S86,$K86,$G86,$I86,$M86,$U86,$W86,$Y86,$AA86,$AC86,$AE86)=0,"",SUM($O86,$Q86,$S86,$K86,$G86,$I86,$M86,$U86,$W86,$Y86,$AA86,$AC86,$AE86))</f>
        <v>-29798</v>
      </c>
      <c r="AG86" s="73" t="n">
        <f aca="false">INDEX(HTS!$BN:$BN,MATCH($E86,HTS!$E:$E,0))</f>
        <v>-29798</v>
      </c>
      <c r="AH86" s="118" t="str">
        <f aca="false">IF(SUM($AG86)&lt;=0,"",$AF86/$AG86)</f>
        <v/>
      </c>
    </row>
    <row r="87" customFormat="false" ht="15" hidden="false" customHeight="false" outlineLevel="0" collapsed="false">
      <c r="A87" s="0" t="s">
        <v>145</v>
      </c>
      <c r="B87" s="0" t="s">
        <v>107</v>
      </c>
      <c r="C87" s="0" t="s">
        <v>75</v>
      </c>
      <c r="D87" s="0" t="s">
        <v>56</v>
      </c>
      <c r="E87" s="0" t="str">
        <f aca="false">B87&amp;"|"&amp;C87&amp;"|"&amp;D87</f>
        <v>Mafeteng [#SNU] [#DREAMS] [DiFv5WXIHM5]|35-39|Female</v>
      </c>
      <c r="F87" s="118" t="n">
        <f aca="false">IF($D87="Female",100%,"")</f>
        <v>1</v>
      </c>
      <c r="G87" s="75" t="n">
        <f aca="false">IFERROR(ROUND($F87*INDEX(PMTCT!$AE:$AE,MATCH($E87,PMTCT!$E:$E,0)),0),"")</f>
        <v>-74925</v>
      </c>
      <c r="H87" s="118" t="n">
        <f aca="false">IF($D87="Female",100%,"")</f>
        <v>1</v>
      </c>
      <c r="I87" s="75" t="str">
        <f aca="false">IFERROR(ROUND($H87*INDEX(PMTCT!$AU:$AU,MATCH($E87,PMTCT!$E:$E,0)),0),"")</f>
        <v/>
      </c>
      <c r="J87" s="118" t="n">
        <f aca="false">1</f>
        <v>1</v>
      </c>
      <c r="K87" s="75" t="n">
        <f aca="false">IFERROR(ROUND($J87*INDEX(TB!$Q:$Q,MATCH($E87,HTS!$E:$E,0)),0),"")</f>
        <v>-8970</v>
      </c>
      <c r="L87" s="118" t="str">
        <f aca="false">IF($D87="Male",100%,"")</f>
        <v/>
      </c>
      <c r="M87" s="75" t="str">
        <f aca="false">IFERROR(ROUND($L87*INDEX(VMMC!$AC:$AC,MATCH($E87,VMMC!$E:$E,0)),0),"")</f>
        <v/>
      </c>
      <c r="N87" s="118" t="n">
        <f aca="false">1</f>
        <v>1</v>
      </c>
      <c r="O87" s="75" t="str">
        <f aca="false">IFERROR(ROUND($N87*INDEX(HTS!$Q:$Q,MATCH($E87,HTS!$E:$E,0)),0),"")</f>
        <v/>
      </c>
      <c r="P87" s="118" t="n">
        <f aca="false">1</f>
        <v>1</v>
      </c>
      <c r="Q87" s="75" t="str">
        <f aca="false">IFERROR(ROUND($P87*INDEX(HTS!$S:$S,MATCH($E87,HTS!$E:$E,0)),0),"")</f>
        <v/>
      </c>
      <c r="R87" s="118" t="n">
        <f aca="false">1</f>
        <v>1</v>
      </c>
      <c r="S87" s="75" t="str">
        <f aca="false">IFERROR(ROUND($R87*INDEX(HTS!$AM:$AM,MATCH($E87,HTS!$E:$E,0)),0),"")</f>
        <v/>
      </c>
      <c r="T87" s="118" t="n">
        <f aca="false">1</f>
        <v>1</v>
      </c>
      <c r="U87" s="75" t="str">
        <f aca="false">IFERROR(ROUND($T87*INDEX(HTS!$AV:$AV,MATCH($E87,HTS!$E:$E,0)),0),"")</f>
        <v/>
      </c>
      <c r="V87" s="118" t="n">
        <f aca="false">1</f>
        <v>1</v>
      </c>
      <c r="W87" s="75" t="str">
        <f aca="false">IFERROR(ROUND($V87*INDEX(HTS!$AY:$AY,MATCH($E87,HTS!$E:$E,0)),0),"")</f>
        <v/>
      </c>
      <c r="X87" s="118" t="n">
        <f aca="false">1</f>
        <v>1</v>
      </c>
      <c r="Y87" s="75" t="str">
        <f aca="false">IFERROR(ROUND($X87*INDEX(HTS!$BB:$BB,MATCH($E87,HTS!$E:$E,0)),0),"")</f>
        <v/>
      </c>
      <c r="Z87" s="118" t="n">
        <f aca="false">1</f>
        <v>1</v>
      </c>
      <c r="AA87" s="75" t="str">
        <f aca="false">IFERROR(ROUND($Z87*INDEX(HTS!$BE:$BE,MATCH($E87,HTS!$E:$E,0)),0),"")</f>
        <v/>
      </c>
      <c r="AB87" s="118" t="n">
        <f aca="false">1</f>
        <v>1</v>
      </c>
      <c r="AC87" s="75" t="str">
        <f aca="false">IFERROR(ROUND($AB87*INDEX(HTS!$BH:$BH,MATCH($E87,HTS!$E:$E,0)),0),"")</f>
        <v/>
      </c>
      <c r="AD87" s="118" t="n">
        <f aca="false">1</f>
        <v>1</v>
      </c>
      <c r="AE87" s="75" t="str">
        <f aca="false">IFERROR(ROUND($AD87*INDEX(HTS!$BK:$BK,MATCH($E87,HTS!$E:$E,0)),0),"")</f>
        <v/>
      </c>
      <c r="AF87" s="73" t="n">
        <f aca="false">IF(SUM($O87,$Q87,$S87,$K87,$G87,$I87,$M87,$U87,$W87,$Y87,$AA87,$AC87,$AE87)=0,"",SUM($O87,$Q87,$S87,$K87,$G87,$I87,$M87,$U87,$W87,$Y87,$AA87,$AC87,$AE87))</f>
        <v>-83895</v>
      </c>
      <c r="AG87" s="73" t="str">
        <f aca="false">INDEX(HTS!$BN:$BN,MATCH($E87,HTS!$E:$E,0))</f>
        <v/>
      </c>
      <c r="AH87" s="118" t="str">
        <f aca="false">IF(SUM($AG87)&lt;=0,"",$AF87/$AG87)</f>
        <v/>
      </c>
    </row>
    <row r="88" customFormat="false" ht="15" hidden="false" customHeight="false" outlineLevel="0" collapsed="false">
      <c r="A88" s="0" t="s">
        <v>145</v>
      </c>
      <c r="B88" s="0" t="s">
        <v>107</v>
      </c>
      <c r="C88" s="0" t="s">
        <v>75</v>
      </c>
      <c r="D88" s="0" t="s">
        <v>58</v>
      </c>
      <c r="E88" s="0" t="str">
        <f aca="false">B88&amp;"|"&amp;C88&amp;"|"&amp;D88</f>
        <v>Mafeteng [#SNU] [#DREAMS] [DiFv5WXIHM5]|35-39|Male</v>
      </c>
      <c r="F88" s="118" t="str">
        <f aca="false">IF($D88="Female",100%,"")</f>
        <v/>
      </c>
      <c r="G88" s="75" t="str">
        <f aca="false">IFERROR(ROUND($F88*INDEX(PMTCT!$AE:$AE,MATCH($E88,PMTCT!$E:$E,0)),0),"")</f>
        <v/>
      </c>
      <c r="H88" s="118" t="str">
        <f aca="false">IF($D88="Female",100%,"")</f>
        <v/>
      </c>
      <c r="I88" s="75" t="str">
        <f aca="false">IFERROR(ROUND($H88*INDEX(PMTCT!$AU:$AU,MATCH($E88,PMTCT!$E:$E,0)),0),"")</f>
        <v/>
      </c>
      <c r="J88" s="118" t="n">
        <f aca="false">1</f>
        <v>1</v>
      </c>
      <c r="K88" s="75" t="n">
        <f aca="false">IFERROR(ROUND($J88*INDEX(TB!$Q:$Q,MATCH($E88,HTS!$E:$E,0)),0),"")</f>
        <v>-3330</v>
      </c>
      <c r="L88" s="118" t="n">
        <f aca="false">IF($D88="Male",100%,"")</f>
        <v>1</v>
      </c>
      <c r="M88" s="75" t="str">
        <f aca="false">IFERROR(ROUND($L88*INDEX(VMMC!$AC:$AC,MATCH($E88,VMMC!$E:$E,0)),0),"")</f>
        <v/>
      </c>
      <c r="N88" s="118" t="n">
        <f aca="false">1</f>
        <v>1</v>
      </c>
      <c r="O88" s="75" t="n">
        <f aca="false">IFERROR(ROUND($N88*INDEX(HTS!$Q:$Q,MATCH($E88,HTS!$E:$E,0)),0),"")</f>
        <v>120</v>
      </c>
      <c r="P88" s="118" t="n">
        <f aca="false">1</f>
        <v>1</v>
      </c>
      <c r="Q88" s="75" t="n">
        <f aca="false">IFERROR(ROUND($P88*INDEX(HTS!$S:$S,MATCH($E88,HTS!$E:$E,0)),0),"")</f>
        <v>-114</v>
      </c>
      <c r="R88" s="118" t="n">
        <f aca="false">1</f>
        <v>1</v>
      </c>
      <c r="S88" s="75" t="n">
        <f aca="false">IFERROR(ROUND($R88*INDEX(HTS!$AM:$AM,MATCH($E88,HTS!$E:$E,0)),0),"")</f>
        <v>570</v>
      </c>
      <c r="T88" s="118" t="n">
        <f aca="false">1</f>
        <v>1</v>
      </c>
      <c r="U88" s="75" t="n">
        <f aca="false">IFERROR(ROUND($T88*INDEX(HTS!$AV:$AV,MATCH($E88,HTS!$E:$E,0)),0),"")</f>
        <v>266</v>
      </c>
      <c r="V88" s="118" t="n">
        <f aca="false">1</f>
        <v>1</v>
      </c>
      <c r="W88" s="75" t="n">
        <f aca="false">IFERROR(ROUND($V88*INDEX(HTS!$AY:$AY,MATCH($E88,HTS!$E:$E,0)),0),"")</f>
        <v>323</v>
      </c>
      <c r="X88" s="118" t="n">
        <f aca="false">1</f>
        <v>1</v>
      </c>
      <c r="Y88" s="75" t="n">
        <f aca="false">IFERROR(ROUND($X88*INDEX(HTS!$BB:$BB,MATCH($E88,HTS!$E:$E,0)),0),"")</f>
        <v>608</v>
      </c>
      <c r="Z88" s="118" t="n">
        <f aca="false">1</f>
        <v>1</v>
      </c>
      <c r="AA88" s="75" t="n">
        <f aca="false">IFERROR(ROUND($Z88*INDEX(HTS!$BE:$BE,MATCH($E88,HTS!$E:$E,0)),0),"")</f>
        <v>931</v>
      </c>
      <c r="AB88" s="118" t="n">
        <f aca="false">1</f>
        <v>1</v>
      </c>
      <c r="AC88" s="75" t="n">
        <f aca="false">IFERROR(ROUND($AB88*INDEX(HTS!$BH:$BH,MATCH($E88,HTS!$E:$E,0)),0),"")</f>
        <v>285</v>
      </c>
      <c r="AD88" s="118" t="n">
        <f aca="false">1</f>
        <v>1</v>
      </c>
      <c r="AE88" s="75" t="n">
        <f aca="false">IFERROR(ROUND($AD88*INDEX(HTS!$BK:$BK,MATCH($E88,HTS!$E:$E,0)),0),"")</f>
        <v>285</v>
      </c>
      <c r="AF88" s="73" t="n">
        <f aca="false">IF(SUM($O88,$Q88,$S88,$K88,$G88,$I88,$M88,$U88,$W88,$Y88,$AA88,$AC88,$AE88)=0,"",SUM($O88,$Q88,$S88,$K88,$G88,$I88,$M88,$U88,$W88,$Y88,$AA88,$AC88,$AE88))</f>
        <v>-56</v>
      </c>
      <c r="AG88" s="73" t="n">
        <f aca="false">INDEX(HTS!$BN:$BN,MATCH($E88,HTS!$E:$E,0))</f>
        <v>-56</v>
      </c>
      <c r="AH88" s="118" t="str">
        <f aca="false">IF(SUM($AG88)&lt;=0,"",$AF88/$AG88)</f>
        <v/>
      </c>
    </row>
    <row r="89" customFormat="false" ht="15" hidden="false" customHeight="false" outlineLevel="0" collapsed="false">
      <c r="A89" s="0" t="s">
        <v>145</v>
      </c>
      <c r="B89" s="0" t="s">
        <v>107</v>
      </c>
      <c r="C89" s="0" t="s">
        <v>77</v>
      </c>
      <c r="D89" s="0" t="s">
        <v>56</v>
      </c>
      <c r="E89" s="0" t="str">
        <f aca="false">B89&amp;"|"&amp;C89&amp;"|"&amp;D89</f>
        <v>Mafeteng [#SNU] [#DREAMS] [DiFv5WXIHM5]|40-44|Female</v>
      </c>
      <c r="F89" s="118" t="n">
        <f aca="false">IF($D89="Female",100%,"")</f>
        <v>1</v>
      </c>
      <c r="G89" s="75" t="n">
        <f aca="false">IFERROR(ROUND($F89*INDEX(PMTCT!$AE:$AE,MATCH($E89,PMTCT!$E:$E,0)),0),"")</f>
        <v>-5600</v>
      </c>
      <c r="H89" s="118" t="n">
        <f aca="false">IF($D89="Female",100%,"")</f>
        <v>1</v>
      </c>
      <c r="I89" s="75" t="str">
        <f aca="false">IFERROR(ROUND($H89*INDEX(PMTCT!$AU:$AU,MATCH($E89,PMTCT!$E:$E,0)),0),"")</f>
        <v/>
      </c>
      <c r="J89" s="118" t="n">
        <f aca="false">1</f>
        <v>1</v>
      </c>
      <c r="K89" s="75" t="n">
        <f aca="false">IFERROR(ROUND($J89*INDEX(TB!$Q:$Q,MATCH($E89,HTS!$E:$E,0)),0),"")</f>
        <v>-0</v>
      </c>
      <c r="L89" s="118" t="str">
        <f aca="false">IF($D89="Male",100%,"")</f>
        <v/>
      </c>
      <c r="M89" s="75" t="str">
        <f aca="false">IFERROR(ROUND($L89*INDEX(VMMC!$AC:$AC,MATCH($E89,VMMC!$E:$E,0)),0),"")</f>
        <v/>
      </c>
      <c r="N89" s="118" t="n">
        <f aca="false">1</f>
        <v>1</v>
      </c>
      <c r="O89" s="75" t="n">
        <f aca="false">IFERROR(ROUND($N89*INDEX(HTS!$Q:$Q,MATCH($E89,HTS!$E:$E,0)),0),"")</f>
        <v>40</v>
      </c>
      <c r="P89" s="118" t="n">
        <f aca="false">1</f>
        <v>1</v>
      </c>
      <c r="Q89" s="75" t="n">
        <f aca="false">IFERROR(ROUND($P89*INDEX(HTS!$S:$S,MATCH($E89,HTS!$E:$E,0)),0),"")</f>
        <v>-39</v>
      </c>
      <c r="R89" s="118" t="n">
        <f aca="false">1</f>
        <v>1</v>
      </c>
      <c r="S89" s="75" t="n">
        <f aca="false">IFERROR(ROUND($R89*INDEX(HTS!$AM:$AM,MATCH($E89,HTS!$E:$E,0)),0),"")</f>
        <v>31</v>
      </c>
      <c r="T89" s="118" t="n">
        <f aca="false">1</f>
        <v>1</v>
      </c>
      <c r="U89" s="75" t="n">
        <f aca="false">IFERROR(ROUND($T89*INDEX(HTS!$AV:$AV,MATCH($E89,HTS!$E:$E,0)),0),"")</f>
        <v>49</v>
      </c>
      <c r="V89" s="118" t="n">
        <f aca="false">1</f>
        <v>1</v>
      </c>
      <c r="W89" s="75" t="n">
        <f aca="false">IFERROR(ROUND($V89*INDEX(HTS!$AY:$AY,MATCH($E89,HTS!$E:$E,0)),0),"")</f>
        <v>14</v>
      </c>
      <c r="X89" s="118" t="n">
        <f aca="false">1</f>
        <v>1</v>
      </c>
      <c r="Y89" s="75" t="n">
        <f aca="false">IFERROR(ROUND($X89*INDEX(HTS!$BB:$BB,MATCH($E89,HTS!$E:$E,0)),0),"")</f>
        <v>10</v>
      </c>
      <c r="Z89" s="118" t="n">
        <f aca="false">1</f>
        <v>1</v>
      </c>
      <c r="AA89" s="75" t="n">
        <f aca="false">IFERROR(ROUND($Z89*INDEX(HTS!$BE:$BE,MATCH($E89,HTS!$E:$E,0)),0),"")</f>
        <v>34</v>
      </c>
      <c r="AB89" s="118" t="n">
        <f aca="false">1</f>
        <v>1</v>
      </c>
      <c r="AC89" s="75" t="n">
        <f aca="false">IFERROR(ROUND($AB89*INDEX(HTS!$BH:$BH,MATCH($E89,HTS!$E:$E,0)),0),"")</f>
        <v>34</v>
      </c>
      <c r="AD89" s="118" t="n">
        <f aca="false">1</f>
        <v>1</v>
      </c>
      <c r="AE89" s="75" t="n">
        <f aca="false">IFERROR(ROUND($AD89*INDEX(HTS!$BK:$BK,MATCH($E89,HTS!$E:$E,0)),0),"")</f>
        <v>3</v>
      </c>
      <c r="AF89" s="73" t="n">
        <f aca="false">IF(SUM($O89,$Q89,$S89,$K89,$G89,$I89,$M89,$U89,$W89,$Y89,$AA89,$AC89,$AE89)=0,"",SUM($O89,$Q89,$S89,$K89,$G89,$I89,$M89,$U89,$W89,$Y89,$AA89,$AC89,$AE89))</f>
        <v>-5424</v>
      </c>
      <c r="AG89" s="73" t="n">
        <f aca="false">INDEX(HTS!$BN:$BN,MATCH($E89,HTS!$E:$E,0))</f>
        <v>-5424</v>
      </c>
      <c r="AH89" s="118" t="str">
        <f aca="false">IF(SUM($AG89)&lt;=0,"",$AF89/$AG89)</f>
        <v/>
      </c>
    </row>
    <row r="90" customFormat="false" ht="15" hidden="false" customHeight="false" outlineLevel="0" collapsed="false">
      <c r="A90" s="0" t="s">
        <v>145</v>
      </c>
      <c r="B90" s="0" t="s">
        <v>107</v>
      </c>
      <c r="C90" s="0" t="s">
        <v>77</v>
      </c>
      <c r="D90" s="0" t="s">
        <v>58</v>
      </c>
      <c r="E90" s="0" t="str">
        <f aca="false">B90&amp;"|"&amp;C90&amp;"|"&amp;D90</f>
        <v>Mafeteng [#SNU] [#DREAMS] [DiFv5WXIHM5]|40-44|Male</v>
      </c>
      <c r="F90" s="118" t="str">
        <f aca="false">IF($D90="Female",100%,"")</f>
        <v/>
      </c>
      <c r="G90" s="75" t="str">
        <f aca="false">IFERROR(ROUND($F90*INDEX(PMTCT!$AE:$AE,MATCH($E90,PMTCT!$E:$E,0)),0),"")</f>
        <v/>
      </c>
      <c r="H90" s="118" t="str">
        <f aca="false">IF($D90="Female",100%,"")</f>
        <v/>
      </c>
      <c r="I90" s="75" t="str">
        <f aca="false">IFERROR(ROUND($H90*INDEX(PMTCT!$AU:$AU,MATCH($E90,PMTCT!$E:$E,0)),0),"")</f>
        <v/>
      </c>
      <c r="J90" s="118" t="n">
        <f aca="false">1</f>
        <v>1</v>
      </c>
      <c r="K90" s="75" t="n">
        <f aca="false">IFERROR(ROUND($J90*INDEX(TB!$Q:$Q,MATCH($E90,HTS!$E:$E,0)),0),"")</f>
        <v>-32538</v>
      </c>
      <c r="L90" s="118" t="n">
        <f aca="false">IF($D90="Male",100%,"")</f>
        <v>1</v>
      </c>
      <c r="M90" s="75" t="str">
        <f aca="false">IFERROR(ROUND($L90*INDEX(VMMC!$AC:$AC,MATCH($E90,VMMC!$E:$E,0)),0),"")</f>
        <v/>
      </c>
      <c r="N90" s="118" t="n">
        <f aca="false">1</f>
        <v>1</v>
      </c>
      <c r="O90" s="75" t="n">
        <f aca="false">IFERROR(ROUND($N90*INDEX(HTS!$Q:$Q,MATCH($E90,HTS!$E:$E,0)),0),"")</f>
        <v>136</v>
      </c>
      <c r="P90" s="118" t="n">
        <f aca="false">1</f>
        <v>1</v>
      </c>
      <c r="Q90" s="75" t="n">
        <f aca="false">IFERROR(ROUND($P90*INDEX(HTS!$S:$S,MATCH($E90,HTS!$E:$E,0)),0),"")</f>
        <v>-132</v>
      </c>
      <c r="R90" s="118" t="n">
        <f aca="false">1</f>
        <v>1</v>
      </c>
      <c r="S90" s="75" t="n">
        <f aca="false">IFERROR(ROUND($R90*INDEX(HTS!$AM:$AM,MATCH($E90,HTS!$E:$E,0)),0),"")</f>
        <v>210</v>
      </c>
      <c r="T90" s="118" t="n">
        <f aca="false">1</f>
        <v>1</v>
      </c>
      <c r="U90" s="75" t="n">
        <f aca="false">IFERROR(ROUND($T90*INDEX(HTS!$AV:$AV,MATCH($E90,HTS!$E:$E,0)),0),"")</f>
        <v>504</v>
      </c>
      <c r="V90" s="118" t="n">
        <f aca="false">1</f>
        <v>1</v>
      </c>
      <c r="W90" s="75" t="n">
        <f aca="false">IFERROR(ROUND($V90*INDEX(HTS!$AY:$AY,MATCH($E90,HTS!$E:$E,0)),0),"")</f>
        <v>504</v>
      </c>
      <c r="X90" s="118" t="n">
        <f aca="false">1</f>
        <v>1</v>
      </c>
      <c r="Y90" s="75" t="n">
        <f aca="false">IFERROR(ROUND($X90*INDEX(HTS!$BB:$BB,MATCH($E90,HTS!$E:$E,0)),0),"")</f>
        <v>294</v>
      </c>
      <c r="Z90" s="118" t="n">
        <f aca="false">1</f>
        <v>1</v>
      </c>
      <c r="AA90" s="75" t="n">
        <f aca="false">IFERROR(ROUND($Z90*INDEX(HTS!$BE:$BE,MATCH($E90,HTS!$E:$E,0)),0),"")</f>
        <v>308</v>
      </c>
      <c r="AB90" s="118" t="n">
        <f aca="false">1</f>
        <v>1</v>
      </c>
      <c r="AC90" s="75" t="n">
        <f aca="false">IFERROR(ROUND($AB90*INDEX(HTS!$BH:$BH,MATCH($E90,HTS!$E:$E,0)),0),"")</f>
        <v>420</v>
      </c>
      <c r="AD90" s="118" t="n">
        <f aca="false">1</f>
        <v>1</v>
      </c>
      <c r="AE90" s="75" t="n">
        <f aca="false">IFERROR(ROUND($AD90*INDEX(HTS!$BK:$BK,MATCH($E90,HTS!$E:$E,0)),0),"")</f>
        <v>280</v>
      </c>
      <c r="AF90" s="73" t="n">
        <f aca="false">IF(SUM($O90,$Q90,$S90,$K90,$G90,$I90,$M90,$U90,$W90,$Y90,$AA90,$AC90,$AE90)=0,"",SUM($O90,$Q90,$S90,$K90,$G90,$I90,$M90,$U90,$W90,$Y90,$AA90,$AC90,$AE90))</f>
        <v>-30014</v>
      </c>
      <c r="AG90" s="73" t="n">
        <f aca="false">INDEX(HTS!$BN:$BN,MATCH($E90,HTS!$E:$E,0))</f>
        <v>-30014</v>
      </c>
      <c r="AH90" s="118" t="str">
        <f aca="false">IF(SUM($AG90)&lt;=0,"",$AF90/$AG90)</f>
        <v/>
      </c>
    </row>
    <row r="91" customFormat="false" ht="15" hidden="false" customHeight="false" outlineLevel="0" collapsed="false">
      <c r="A91" s="0" t="s">
        <v>145</v>
      </c>
      <c r="B91" s="0" t="s">
        <v>107</v>
      </c>
      <c r="C91" s="0" t="s">
        <v>80</v>
      </c>
      <c r="D91" s="0" t="s">
        <v>56</v>
      </c>
      <c r="E91" s="0" t="str">
        <f aca="false">B91&amp;"|"&amp;C91&amp;"|"&amp;D91</f>
        <v>Mafeteng [#SNU] [#DREAMS] [DiFv5WXIHM5]|45-49|Female</v>
      </c>
      <c r="F91" s="118" t="n">
        <f aca="false">IF($D91="Female",100%,"")</f>
        <v>1</v>
      </c>
      <c r="G91" s="75" t="n">
        <f aca="false">IFERROR(ROUND($F91*INDEX(PMTCT!$AE:$AE,MATCH($E91,PMTCT!$E:$E,0)),0),"")</f>
        <v>-0</v>
      </c>
      <c r="H91" s="118" t="n">
        <f aca="false">IF($D91="Female",100%,"")</f>
        <v>1</v>
      </c>
      <c r="I91" s="75" t="str">
        <f aca="false">IFERROR(ROUND($H91*INDEX(PMTCT!$AU:$AU,MATCH($E91,PMTCT!$E:$E,0)),0),"")</f>
        <v/>
      </c>
      <c r="J91" s="118" t="n">
        <f aca="false">1</f>
        <v>1</v>
      </c>
      <c r="K91" s="75" t="n">
        <f aca="false">IFERROR(ROUND($J91*INDEX(TB!$Q:$Q,MATCH($E91,HTS!$E:$E,0)),0),"")</f>
        <v>-9594</v>
      </c>
      <c r="L91" s="118" t="str">
        <f aca="false">IF($D91="Male",100%,"")</f>
        <v/>
      </c>
      <c r="M91" s="75" t="str">
        <f aca="false">IFERROR(ROUND($L91*INDEX(VMMC!$AC:$AC,MATCH($E91,VMMC!$E:$E,0)),0),"")</f>
        <v/>
      </c>
      <c r="N91" s="118" t="n">
        <f aca="false">1</f>
        <v>1</v>
      </c>
      <c r="O91" s="75" t="n">
        <f aca="false">IFERROR(ROUND($N91*INDEX(HTS!$Q:$Q,MATCH($E91,HTS!$E:$E,0)),0),"")</f>
        <v>44</v>
      </c>
      <c r="P91" s="118" t="n">
        <f aca="false">1</f>
        <v>1</v>
      </c>
      <c r="Q91" s="75" t="n">
        <f aca="false">IFERROR(ROUND($P91*INDEX(HTS!$S:$S,MATCH($E91,HTS!$E:$E,0)),0),"")</f>
        <v>-43</v>
      </c>
      <c r="R91" s="118" t="n">
        <f aca="false">1</f>
        <v>1</v>
      </c>
      <c r="S91" s="75" t="n">
        <f aca="false">IFERROR(ROUND($R91*INDEX(HTS!$AM:$AM,MATCH($E91,HTS!$E:$E,0)),0),"")</f>
        <v>9</v>
      </c>
      <c r="T91" s="118" t="n">
        <f aca="false">1</f>
        <v>1</v>
      </c>
      <c r="U91" s="75" t="n">
        <f aca="false">IFERROR(ROUND($T91*INDEX(HTS!$AV:$AV,MATCH($E91,HTS!$E:$E,0)),0),"")</f>
        <v>17</v>
      </c>
      <c r="V91" s="118" t="n">
        <f aca="false">1</f>
        <v>1</v>
      </c>
      <c r="W91" s="75" t="n">
        <f aca="false">IFERROR(ROUND($V91*INDEX(HTS!$AY:$AY,MATCH($E91,HTS!$E:$E,0)),0),"")</f>
        <v>46</v>
      </c>
      <c r="X91" s="118" t="n">
        <f aca="false">1</f>
        <v>1</v>
      </c>
      <c r="Y91" s="75" t="n">
        <f aca="false">IFERROR(ROUND($X91*INDEX(HTS!$BB:$BB,MATCH($E91,HTS!$E:$E,0)),0),"")</f>
        <v>12</v>
      </c>
      <c r="Z91" s="118" t="n">
        <f aca="false">1</f>
        <v>1</v>
      </c>
      <c r="AA91" s="75" t="n">
        <f aca="false">IFERROR(ROUND($Z91*INDEX(HTS!$BE:$BE,MATCH($E91,HTS!$E:$E,0)),0),"")</f>
        <v>6</v>
      </c>
      <c r="AB91" s="118" t="n">
        <f aca="false">1</f>
        <v>1</v>
      </c>
      <c r="AC91" s="75" t="n">
        <f aca="false">IFERROR(ROUND($AB91*INDEX(HTS!$BH:$BH,MATCH($E91,HTS!$E:$E,0)),0),"")</f>
        <v>8</v>
      </c>
      <c r="AD91" s="118" t="n">
        <f aca="false">1</f>
        <v>1</v>
      </c>
      <c r="AE91" s="75" t="n">
        <f aca="false">IFERROR(ROUND($AD91*INDEX(HTS!$BK:$BK,MATCH($E91,HTS!$E:$E,0)),0),"")</f>
        <v>22</v>
      </c>
      <c r="AF91" s="73" t="n">
        <f aca="false">IF(SUM($O91,$Q91,$S91,$K91,$G91,$I91,$M91,$U91,$W91,$Y91,$AA91,$AC91,$AE91)=0,"",SUM($O91,$Q91,$S91,$K91,$G91,$I91,$M91,$U91,$W91,$Y91,$AA91,$AC91,$AE91))</f>
        <v>-9473</v>
      </c>
      <c r="AG91" s="73" t="n">
        <f aca="false">INDEX(HTS!$BN:$BN,MATCH($E91,HTS!$E:$E,0))</f>
        <v>-9473</v>
      </c>
      <c r="AH91" s="118" t="str">
        <f aca="false">IF(SUM($AG91)&lt;=0,"",$AF91/$AG91)</f>
        <v/>
      </c>
    </row>
    <row r="92" customFormat="false" ht="15" hidden="false" customHeight="false" outlineLevel="0" collapsed="false">
      <c r="A92" s="0" t="s">
        <v>145</v>
      </c>
      <c r="B92" s="0" t="s">
        <v>107</v>
      </c>
      <c r="C92" s="0" t="s">
        <v>80</v>
      </c>
      <c r="D92" s="0" t="s">
        <v>58</v>
      </c>
      <c r="E92" s="0" t="str">
        <f aca="false">B92&amp;"|"&amp;C92&amp;"|"&amp;D92</f>
        <v>Mafeteng [#SNU] [#DREAMS] [DiFv5WXIHM5]|45-49|Male</v>
      </c>
      <c r="F92" s="118" t="str">
        <f aca="false">IF($D92="Female",100%,"")</f>
        <v/>
      </c>
      <c r="G92" s="75" t="str">
        <f aca="false">IFERROR(ROUND($F92*INDEX(PMTCT!$AE:$AE,MATCH($E92,PMTCT!$E:$E,0)),0),"")</f>
        <v/>
      </c>
      <c r="H92" s="118" t="str">
        <f aca="false">IF($D92="Female",100%,"")</f>
        <v/>
      </c>
      <c r="I92" s="75" t="str">
        <f aca="false">IFERROR(ROUND($H92*INDEX(PMTCT!$AU:$AU,MATCH($E92,PMTCT!$E:$E,0)),0),"")</f>
        <v/>
      </c>
      <c r="J92" s="118" t="n">
        <f aca="false">1</f>
        <v>1</v>
      </c>
      <c r="K92" s="75" t="n">
        <f aca="false">IFERROR(ROUND($J92*INDEX(TB!$Q:$Q,MATCH($E92,HTS!$E:$E,0)),0),"")</f>
        <v>-3654</v>
      </c>
      <c r="L92" s="118" t="n">
        <f aca="false">IF($D92="Male",100%,"")</f>
        <v>1</v>
      </c>
      <c r="M92" s="75" t="str">
        <f aca="false">IFERROR(ROUND($L92*INDEX(VMMC!$AC:$AC,MATCH($E92,VMMC!$E:$E,0)),0),"")</f>
        <v/>
      </c>
      <c r="N92" s="118" t="n">
        <f aca="false">1</f>
        <v>1</v>
      </c>
      <c r="O92" s="75" t="n">
        <f aca="false">IFERROR(ROUND($N92*INDEX(HTS!$Q:$Q,MATCH($E92,HTS!$E:$E,0)),0),"")</f>
        <v>10</v>
      </c>
      <c r="P92" s="118" t="n">
        <f aca="false">1</f>
        <v>1</v>
      </c>
      <c r="Q92" s="75" t="n">
        <f aca="false">IFERROR(ROUND($P92*INDEX(HTS!$S:$S,MATCH($E92,HTS!$E:$E,0)),0),"")</f>
        <v>-9</v>
      </c>
      <c r="R92" s="118" t="n">
        <f aca="false">1</f>
        <v>1</v>
      </c>
      <c r="S92" s="75" t="n">
        <f aca="false">IFERROR(ROUND($R92*INDEX(HTS!$AM:$AM,MATCH($E92,HTS!$E:$E,0)),0),"")</f>
        <v>72</v>
      </c>
      <c r="T92" s="118" t="n">
        <f aca="false">1</f>
        <v>1</v>
      </c>
      <c r="U92" s="75" t="n">
        <f aca="false">IFERROR(ROUND($T92*INDEX(HTS!$AV:$AV,MATCH($E92,HTS!$E:$E,0)),0),"")</f>
        <v>48</v>
      </c>
      <c r="V92" s="118" t="n">
        <f aca="false">1</f>
        <v>1</v>
      </c>
      <c r="W92" s="75" t="n">
        <f aca="false">IFERROR(ROUND($V92*INDEX(HTS!$AY:$AY,MATCH($E92,HTS!$E:$E,0)),0),"")</f>
        <v>88</v>
      </c>
      <c r="X92" s="118" t="n">
        <f aca="false">1</f>
        <v>1</v>
      </c>
      <c r="Y92" s="75" t="n">
        <f aca="false">IFERROR(ROUND($X92*INDEX(HTS!$BB:$BB,MATCH($E92,HTS!$E:$E,0)),0),"")</f>
        <v>18</v>
      </c>
      <c r="Z92" s="118" t="n">
        <f aca="false">1</f>
        <v>1</v>
      </c>
      <c r="AA92" s="75" t="n">
        <f aca="false">IFERROR(ROUND($Z92*INDEX(HTS!$BE:$BE,MATCH($E92,HTS!$E:$E,0)),0),"")</f>
        <v>28</v>
      </c>
      <c r="AB92" s="118" t="n">
        <f aca="false">1</f>
        <v>1</v>
      </c>
      <c r="AC92" s="75" t="n">
        <f aca="false">IFERROR(ROUND($AB92*INDEX(HTS!$BH:$BH,MATCH($E92,HTS!$E:$E,0)),0),"")</f>
        <v>22</v>
      </c>
      <c r="AD92" s="118" t="n">
        <f aca="false">1</f>
        <v>1</v>
      </c>
      <c r="AE92" s="75" t="n">
        <f aca="false">IFERROR(ROUND($AD92*INDEX(HTS!$BK:$BK,MATCH($E92,HTS!$E:$E,0)),0),"")</f>
        <v>62</v>
      </c>
      <c r="AF92" s="73" t="n">
        <f aca="false">IF(SUM($O92,$Q92,$S92,$K92,$G92,$I92,$M92,$U92,$W92,$Y92,$AA92,$AC92,$AE92)=0,"",SUM($O92,$Q92,$S92,$K92,$G92,$I92,$M92,$U92,$W92,$Y92,$AA92,$AC92,$AE92))</f>
        <v>-3315</v>
      </c>
      <c r="AG92" s="73" t="n">
        <f aca="false">INDEX(HTS!$BN:$BN,MATCH($E92,HTS!$E:$E,0))</f>
        <v>-3315</v>
      </c>
      <c r="AH92" s="118" t="str">
        <f aca="false">IF(SUM($AG92)&lt;=0,"",$AF92/$AG92)</f>
        <v/>
      </c>
    </row>
    <row r="93" customFormat="false" ht="15" hidden="false" customHeight="false" outlineLevel="0" collapsed="false">
      <c r="A93" s="0" t="s">
        <v>145</v>
      </c>
      <c r="B93" s="0" t="s">
        <v>107</v>
      </c>
      <c r="C93" s="0" t="s">
        <v>86</v>
      </c>
      <c r="D93" s="0" t="s">
        <v>56</v>
      </c>
      <c r="E93" s="0" t="str">
        <f aca="false">B93&amp;"|"&amp;C93&amp;"|"&amp;D93</f>
        <v>Mafeteng [#SNU] [#DREAMS] [DiFv5WXIHM5]|50+|Female</v>
      </c>
      <c r="F93" s="118" t="n">
        <f aca="false">IF($D93="Female",100%,"")</f>
        <v>1</v>
      </c>
      <c r="G93" s="75" t="str">
        <f aca="false">IFERROR(ROUND($F93*INDEX(PMTCT!$AE:$AE,MATCH($E93,PMTCT!$E:$E,0)),0),"")</f>
        <v/>
      </c>
      <c r="H93" s="118" t="n">
        <f aca="false">IF($D93="Female",100%,"")</f>
        <v>1</v>
      </c>
      <c r="I93" s="75" t="str">
        <f aca="false">IFERROR(ROUND($H93*INDEX(PMTCT!$AU:$AU,MATCH($E93,PMTCT!$E:$E,0)),0),"")</f>
        <v/>
      </c>
      <c r="J93" s="118" t="n">
        <f aca="false">1</f>
        <v>1</v>
      </c>
      <c r="K93" s="75" t="n">
        <f aca="false">IFERROR(ROUND($J93*INDEX(TB!$Q:$Q,MATCH($E93,HTS!$E:$E,0)),0),"")</f>
        <v>-0</v>
      </c>
      <c r="L93" s="118" t="str">
        <f aca="false">IF($D93="Male",100%,"")</f>
        <v/>
      </c>
      <c r="M93" s="75" t="str">
        <f aca="false">IFERROR(ROUND($L93*INDEX(VMMC!$AC:$AC,MATCH($E93,VMMC!$E:$E,0)),0),"")</f>
        <v/>
      </c>
      <c r="N93" s="118" t="n">
        <f aca="false">1</f>
        <v>1</v>
      </c>
      <c r="O93" s="75" t="n">
        <f aca="false">IFERROR(ROUND($N93*INDEX(HTS!$Q:$Q,MATCH($E93,HTS!$E:$E,0)),0),"")</f>
        <v>52</v>
      </c>
      <c r="P93" s="118" t="n">
        <f aca="false">1</f>
        <v>1</v>
      </c>
      <c r="Q93" s="75" t="n">
        <f aca="false">IFERROR(ROUND($P93*INDEX(HTS!$S:$S,MATCH($E93,HTS!$E:$E,0)),0),"")</f>
        <v>-50</v>
      </c>
      <c r="R93" s="118" t="n">
        <f aca="false">1</f>
        <v>1</v>
      </c>
      <c r="S93" s="75" t="n">
        <f aca="false">IFERROR(ROUND($R93*INDEX(HTS!$AM:$AM,MATCH($E93,HTS!$E:$E,0)),0),"")</f>
        <v>32</v>
      </c>
      <c r="T93" s="118" t="n">
        <f aca="false">1</f>
        <v>1</v>
      </c>
      <c r="U93" s="75" t="n">
        <f aca="false">IFERROR(ROUND($T93*INDEX(HTS!$AV:$AV,MATCH($E93,HTS!$E:$E,0)),0),"")</f>
        <v>76</v>
      </c>
      <c r="V93" s="118" t="n">
        <f aca="false">1</f>
        <v>1</v>
      </c>
      <c r="W93" s="75" t="n">
        <f aca="false">IFERROR(ROUND($V93*INDEX(HTS!$AY:$AY,MATCH($E93,HTS!$E:$E,0)),0),"")</f>
        <v>92</v>
      </c>
      <c r="X93" s="118" t="n">
        <f aca="false">1</f>
        <v>1</v>
      </c>
      <c r="Y93" s="75" t="n">
        <f aca="false">IFERROR(ROUND($X93*INDEX(HTS!$BB:$BB,MATCH($E93,HTS!$E:$E,0)),0),"")</f>
        <v>124</v>
      </c>
      <c r="Z93" s="118" t="n">
        <f aca="false">1</f>
        <v>1</v>
      </c>
      <c r="AA93" s="75" t="n">
        <f aca="false">IFERROR(ROUND($Z93*INDEX(HTS!$BE:$BE,MATCH($E93,HTS!$E:$E,0)),0),"")</f>
        <v>80</v>
      </c>
      <c r="AB93" s="118" t="n">
        <f aca="false">1</f>
        <v>1</v>
      </c>
      <c r="AC93" s="75" t="n">
        <f aca="false">IFERROR(ROUND($AB93*INDEX(HTS!$BH:$BH,MATCH($E93,HTS!$E:$E,0)),0),"")</f>
        <v>196</v>
      </c>
      <c r="AD93" s="118" t="n">
        <f aca="false">1</f>
        <v>1</v>
      </c>
      <c r="AE93" s="75" t="n">
        <f aca="false">IFERROR(ROUND($AD93*INDEX(HTS!$BK:$BK,MATCH($E93,HTS!$E:$E,0)),0),"")</f>
        <v>196</v>
      </c>
      <c r="AF93" s="73" t="n">
        <f aca="false">IF(SUM($O93,$Q93,$S93,$K93,$G93,$I93,$M93,$U93,$W93,$Y93,$AA93,$AC93,$AE93)=0,"",SUM($O93,$Q93,$S93,$K93,$G93,$I93,$M93,$U93,$W93,$Y93,$AA93,$AC93,$AE93))</f>
        <v>798</v>
      </c>
      <c r="AG93" s="73" t="n">
        <f aca="false">INDEX(HTS!$BN:$BN,MATCH($E93,HTS!$E:$E,0))</f>
        <v>798</v>
      </c>
      <c r="AH93" s="118" t="n">
        <f aca="false">IF(SUM($AG93)&lt;=0,"",$AF93/$AG93)</f>
        <v>1</v>
      </c>
    </row>
    <row r="94" customFormat="false" ht="15" hidden="false" customHeight="false" outlineLevel="0" collapsed="false">
      <c r="A94" s="0" t="s">
        <v>145</v>
      </c>
      <c r="B94" s="0" t="s">
        <v>107</v>
      </c>
      <c r="C94" s="0" t="s">
        <v>86</v>
      </c>
      <c r="D94" s="0" t="s">
        <v>58</v>
      </c>
      <c r="E94" s="0" t="str">
        <f aca="false">B94&amp;"|"&amp;C94&amp;"|"&amp;D94</f>
        <v>Mafeteng [#SNU] [#DREAMS] [DiFv5WXIHM5]|50+|Male</v>
      </c>
      <c r="F94" s="118" t="str">
        <f aca="false">IF($D94="Female",100%,"")</f>
        <v/>
      </c>
      <c r="G94" s="75" t="str">
        <f aca="false">IFERROR(ROUND($F94*INDEX(PMTCT!$AE:$AE,MATCH($E94,PMTCT!$E:$E,0)),0),"")</f>
        <v/>
      </c>
      <c r="H94" s="118" t="str">
        <f aca="false">IF($D94="Female",100%,"")</f>
        <v/>
      </c>
      <c r="I94" s="75" t="str">
        <f aca="false">IFERROR(ROUND($H94*INDEX(PMTCT!$AU:$AU,MATCH($E94,PMTCT!$E:$E,0)),0),"")</f>
        <v/>
      </c>
      <c r="J94" s="118" t="n">
        <f aca="false">1</f>
        <v>1</v>
      </c>
      <c r="K94" s="75" t="n">
        <f aca="false">IFERROR(ROUND($J94*INDEX(TB!$Q:$Q,MATCH($E94,HTS!$E:$E,0)),0),"")</f>
        <v>-2610</v>
      </c>
      <c r="L94" s="118" t="n">
        <f aca="false">IF($D94="Male",100%,"")</f>
        <v>1</v>
      </c>
      <c r="M94" s="75" t="str">
        <f aca="false">IFERROR(ROUND($L94*INDEX(VMMC!$AC:$AC,MATCH($E94,VMMC!$E:$E,0)),0),"")</f>
        <v/>
      </c>
      <c r="N94" s="118" t="n">
        <f aca="false">1</f>
        <v>1</v>
      </c>
      <c r="O94" s="75" t="n">
        <f aca="false">IFERROR(ROUND($N94*INDEX(HTS!$Q:$Q,MATCH($E94,HTS!$E:$E,0)),0),"")</f>
        <v>8</v>
      </c>
      <c r="P94" s="118" t="n">
        <f aca="false">1</f>
        <v>1</v>
      </c>
      <c r="Q94" s="75" t="n">
        <f aca="false">IFERROR(ROUND($P94*INDEX(HTS!$S:$S,MATCH($E94,HTS!$E:$E,0)),0),"")</f>
        <v>-7</v>
      </c>
      <c r="R94" s="118" t="n">
        <f aca="false">1</f>
        <v>1</v>
      </c>
      <c r="S94" s="75" t="n">
        <f aca="false">IFERROR(ROUND($R94*INDEX(HTS!$AM:$AM,MATCH($E94,HTS!$E:$E,0)),0),"")</f>
        <v>28</v>
      </c>
      <c r="T94" s="118" t="n">
        <f aca="false">1</f>
        <v>1</v>
      </c>
      <c r="U94" s="75" t="n">
        <f aca="false">IFERROR(ROUND($T94*INDEX(HTS!$AV:$AV,MATCH($E94,HTS!$E:$E,0)),0),"")</f>
        <v>200</v>
      </c>
      <c r="V94" s="118" t="n">
        <f aca="false">1</f>
        <v>1</v>
      </c>
      <c r="W94" s="75" t="n">
        <f aca="false">IFERROR(ROUND($V94*INDEX(HTS!$AY:$AY,MATCH($E94,HTS!$E:$E,0)),0),"")</f>
        <v>36</v>
      </c>
      <c r="X94" s="118" t="n">
        <f aca="false">1</f>
        <v>1</v>
      </c>
      <c r="Y94" s="75" t="n">
        <f aca="false">IFERROR(ROUND($X94*INDEX(HTS!$BB:$BB,MATCH($E94,HTS!$E:$E,0)),0),"")</f>
        <v>132</v>
      </c>
      <c r="Z94" s="118" t="n">
        <f aca="false">1</f>
        <v>1</v>
      </c>
      <c r="AA94" s="75" t="n">
        <f aca="false">IFERROR(ROUND($Z94*INDEX(HTS!$BE:$BE,MATCH($E94,HTS!$E:$E,0)),0),"")</f>
        <v>76</v>
      </c>
      <c r="AB94" s="118" t="n">
        <f aca="false">1</f>
        <v>1</v>
      </c>
      <c r="AC94" s="75" t="n">
        <f aca="false">IFERROR(ROUND($AB94*INDEX(HTS!$BH:$BH,MATCH($E94,HTS!$E:$E,0)),0),"")</f>
        <v>96</v>
      </c>
      <c r="AD94" s="118" t="n">
        <f aca="false">1</f>
        <v>1</v>
      </c>
      <c r="AE94" s="75" t="n">
        <f aca="false">IFERROR(ROUND($AD94*INDEX(HTS!$BK:$BK,MATCH($E94,HTS!$E:$E,0)),0),"")</f>
        <v>28</v>
      </c>
      <c r="AF94" s="73" t="n">
        <f aca="false">IF(SUM($O94,$Q94,$S94,$K94,$G94,$I94,$M94,$U94,$W94,$Y94,$AA94,$AC94,$AE94)=0,"",SUM($O94,$Q94,$S94,$K94,$G94,$I94,$M94,$U94,$W94,$Y94,$AA94,$AC94,$AE94))</f>
        <v>-2013</v>
      </c>
      <c r="AG94" s="73" t="n">
        <f aca="false">INDEX(HTS!$BN:$BN,MATCH($E94,HTS!$E:$E,0))</f>
        <v>-2013</v>
      </c>
      <c r="AH94" s="118" t="str">
        <f aca="false">IF(SUM($AG94)&lt;=0,"",$AF94/$AG94)</f>
        <v/>
      </c>
    </row>
    <row r="95" customFormat="false" ht="15" hidden="false" customHeight="false" outlineLevel="0" collapsed="false">
      <c r="A95" s="0" t="s">
        <v>146</v>
      </c>
      <c r="B95" s="0" t="s">
        <v>45</v>
      </c>
      <c r="C95" s="0" t="s">
        <v>63</v>
      </c>
      <c r="D95" s="0" t="s">
        <v>56</v>
      </c>
      <c r="E95" s="0" t="str">
        <f aca="false">B95&amp;"|"&amp;C95&amp;"|"&amp;D95</f>
        <v>Maseru [#SNU] [#DREAMS] [tKOXiaNhAyJ]|15-19|Female</v>
      </c>
      <c r="F95" s="118" t="n">
        <f aca="false">IF($D95="Female",100%,"")</f>
        <v>1</v>
      </c>
      <c r="G95" s="75" t="n">
        <f aca="false">IFERROR(ROUND($F95*INDEX(PMTCT!$AE:$AE,MATCH($E95,PMTCT!$E:$E,0)),0),"")</f>
        <v>-3876</v>
      </c>
      <c r="H95" s="118" t="n">
        <f aca="false">IF($D95="Female",100%,"")</f>
        <v>1</v>
      </c>
      <c r="I95" s="75" t="str">
        <f aca="false">IFERROR(ROUND($H95*INDEX(PMTCT!$AU:$AU,MATCH($E95,PMTCT!$E:$E,0)),0),"")</f>
        <v/>
      </c>
      <c r="J95" s="118" t="n">
        <f aca="false">1</f>
        <v>1</v>
      </c>
      <c r="K95" s="75" t="n">
        <f aca="false">IFERROR(ROUND($J95*INDEX(TB!$Q:$Q,MATCH($E95,HTS!$E:$E,0)),0),"")</f>
        <v>-2145</v>
      </c>
      <c r="L95" s="118" t="str">
        <f aca="false">IF($D95="Male",100%,"")</f>
        <v/>
      </c>
      <c r="M95" s="75" t="str">
        <f aca="false">IFERROR(ROUND($L95*INDEX(VMMC!$AC:$AC,MATCH($E95,VMMC!$E:$E,0)),0),"")</f>
        <v/>
      </c>
      <c r="N95" s="118" t="n">
        <f aca="false">1</f>
        <v>1</v>
      </c>
      <c r="O95" s="75" t="n">
        <f aca="false">IFERROR(ROUND($N95*INDEX(HTS!$Q:$Q,MATCH($E95,HTS!$E:$E,0)),0),"")</f>
        <v>108</v>
      </c>
      <c r="P95" s="118" t="n">
        <f aca="false">1</f>
        <v>1</v>
      </c>
      <c r="Q95" s="75" t="n">
        <f aca="false">IFERROR(ROUND($P95*INDEX(HTS!$S:$S,MATCH($E95,HTS!$E:$E,0)),0),"")</f>
        <v>-104</v>
      </c>
      <c r="R95" s="118" t="n">
        <f aca="false">1</f>
        <v>1</v>
      </c>
      <c r="S95" s="75" t="n">
        <f aca="false">IFERROR(ROUND($R95*INDEX(HTS!$AM:$AM,MATCH($E95,HTS!$E:$E,0)),0),"")</f>
        <v>308</v>
      </c>
      <c r="T95" s="118" t="n">
        <f aca="false">1</f>
        <v>1</v>
      </c>
      <c r="U95" s="75" t="n">
        <f aca="false">IFERROR(ROUND($T95*INDEX(HTS!$AV:$AV,MATCH($E95,HTS!$E:$E,0)),0),"")</f>
        <v>182</v>
      </c>
      <c r="V95" s="118" t="n">
        <f aca="false">1</f>
        <v>1</v>
      </c>
      <c r="W95" s="75" t="n">
        <f aca="false">IFERROR(ROUND($V95*INDEX(HTS!$AY:$AY,MATCH($E95,HTS!$E:$E,0)),0),"")</f>
        <v>686</v>
      </c>
      <c r="X95" s="118" t="n">
        <f aca="false">1</f>
        <v>1</v>
      </c>
      <c r="Y95" s="75" t="n">
        <f aca="false">IFERROR(ROUND($X95*INDEX(HTS!$BB:$BB,MATCH($E95,HTS!$E:$E,0)),0),"")</f>
        <v>504</v>
      </c>
      <c r="Z95" s="118" t="n">
        <f aca="false">1</f>
        <v>1</v>
      </c>
      <c r="AA95" s="75" t="n">
        <f aca="false">IFERROR(ROUND($Z95*INDEX(HTS!$BE:$BE,MATCH($E95,HTS!$E:$E,0)),0),"")</f>
        <v>434</v>
      </c>
      <c r="AB95" s="118" t="n">
        <f aca="false">1</f>
        <v>1</v>
      </c>
      <c r="AC95" s="75" t="n">
        <f aca="false">IFERROR(ROUND($AB95*INDEX(HTS!$BH:$BH,MATCH($E95,HTS!$E:$E,0)),0),"")</f>
        <v>588</v>
      </c>
      <c r="AD95" s="118" t="n">
        <f aca="false">1</f>
        <v>1</v>
      </c>
      <c r="AE95" s="75" t="n">
        <f aca="false">IFERROR(ROUND($AD95*INDEX(HTS!$BK:$BK,MATCH($E95,HTS!$E:$E,0)),0),"")</f>
        <v>476</v>
      </c>
      <c r="AF95" s="73" t="n">
        <f aca="false">IF(SUM($O95,$Q95,$S95,$K95,$G95,$I95,$M95,$U95,$W95,$Y95,$AA95,$AC95,$AE95)=0,"",SUM($O95,$Q95,$S95,$K95,$G95,$I95,$M95,$U95,$W95,$Y95,$AA95,$AC95,$AE95))</f>
        <v>-2839</v>
      </c>
      <c r="AG95" s="73" t="n">
        <f aca="false">INDEX(HTS!$BN:$BN,MATCH($E95,HTS!$E:$E,0))</f>
        <v>-2839</v>
      </c>
      <c r="AH95" s="118" t="str">
        <f aca="false">IF(SUM($AG95)&lt;=0,"",$AF95/$AG95)</f>
        <v/>
      </c>
    </row>
    <row r="96" customFormat="false" ht="15" hidden="false" customHeight="false" outlineLevel="0" collapsed="false">
      <c r="A96" s="0" t="s">
        <v>146</v>
      </c>
      <c r="B96" s="0" t="s">
        <v>45</v>
      </c>
      <c r="C96" s="0" t="s">
        <v>63</v>
      </c>
      <c r="D96" s="0" t="s">
        <v>58</v>
      </c>
      <c r="E96" s="0" t="str">
        <f aca="false">B96&amp;"|"&amp;C96&amp;"|"&amp;D96</f>
        <v>Maseru [#SNU] [#DREAMS] [tKOXiaNhAyJ]|15-19|Male</v>
      </c>
      <c r="F96" s="118" t="str">
        <f aca="false">IF($D96="Female",100%,"")</f>
        <v/>
      </c>
      <c r="G96" s="75" t="str">
        <f aca="false">IFERROR(ROUND($F96*INDEX(PMTCT!$AE:$AE,MATCH($E96,PMTCT!$E:$E,0)),0),"")</f>
        <v/>
      </c>
      <c r="H96" s="118" t="str">
        <f aca="false">IF($D96="Female",100%,"")</f>
        <v/>
      </c>
      <c r="I96" s="75" t="str">
        <f aca="false">IFERROR(ROUND($H96*INDEX(PMTCT!$AU:$AU,MATCH($E96,PMTCT!$E:$E,0)),0),"")</f>
        <v/>
      </c>
      <c r="J96" s="118" t="n">
        <f aca="false">1</f>
        <v>1</v>
      </c>
      <c r="K96" s="75" t="n">
        <f aca="false">IFERROR(ROUND($J96*INDEX(TB!$Q:$Q,MATCH($E96,HTS!$E:$E,0)),0),"")</f>
        <v>-0</v>
      </c>
      <c r="L96" s="118" t="n">
        <f aca="false">IF($D96="Male",100%,"")</f>
        <v>1</v>
      </c>
      <c r="M96" s="75" t="str">
        <f aca="false">IFERROR(ROUND($L96*INDEX(VMMC!$AC:$AC,MATCH($E96,VMMC!$E:$E,0)),0),"")</f>
        <v/>
      </c>
      <c r="N96" s="118" t="n">
        <f aca="false">1</f>
        <v>1</v>
      </c>
      <c r="O96" s="75" t="str">
        <f aca="false">IFERROR(ROUND($N96*INDEX(HTS!$Q:$Q,MATCH($E96,HTS!$E:$E,0)),0),"")</f>
        <v/>
      </c>
      <c r="P96" s="118" t="n">
        <f aca="false">1</f>
        <v>1</v>
      </c>
      <c r="Q96" s="75" t="n">
        <f aca="false">IFERROR(ROUND($P96*INDEX(HTS!$S:$S,MATCH($E96,HTS!$E:$E,0)),0),"")</f>
        <v>1</v>
      </c>
      <c r="R96" s="118" t="n">
        <f aca="false">1</f>
        <v>1</v>
      </c>
      <c r="S96" s="75" t="n">
        <f aca="false">IFERROR(ROUND($R96*INDEX(HTS!$AM:$AM,MATCH($E96,HTS!$E:$E,0)),0),"")</f>
        <v>1</v>
      </c>
      <c r="T96" s="118" t="n">
        <f aca="false">1</f>
        <v>1</v>
      </c>
      <c r="U96" s="75" t="n">
        <f aca="false">IFERROR(ROUND($T96*INDEX(HTS!$AV:$AV,MATCH($E96,HTS!$E:$E,0)),0),"")</f>
        <v>33</v>
      </c>
      <c r="V96" s="118" t="n">
        <f aca="false">1</f>
        <v>1</v>
      </c>
      <c r="W96" s="75" t="n">
        <f aca="false">IFERROR(ROUND($V96*INDEX(HTS!$AY:$AY,MATCH($E96,HTS!$E:$E,0)),0),"")</f>
        <v>2</v>
      </c>
      <c r="X96" s="118" t="n">
        <f aca="false">1</f>
        <v>1</v>
      </c>
      <c r="Y96" s="75" t="n">
        <f aca="false">IFERROR(ROUND($X96*INDEX(HTS!$BB:$BB,MATCH($E96,HTS!$E:$E,0)),0),"")</f>
        <v>23</v>
      </c>
      <c r="Z96" s="118" t="n">
        <f aca="false">1</f>
        <v>1</v>
      </c>
      <c r="AA96" s="75" t="n">
        <f aca="false">IFERROR(ROUND($Z96*INDEX(HTS!$BE:$BE,MATCH($E96,HTS!$E:$E,0)),0),"")</f>
        <v>17</v>
      </c>
      <c r="AB96" s="118" t="n">
        <f aca="false">1</f>
        <v>1</v>
      </c>
      <c r="AC96" s="75" t="n">
        <f aca="false">IFERROR(ROUND($AB96*INDEX(HTS!$BH:$BH,MATCH($E96,HTS!$E:$E,0)),0),"")</f>
        <v>27</v>
      </c>
      <c r="AD96" s="118" t="n">
        <f aca="false">1</f>
        <v>1</v>
      </c>
      <c r="AE96" s="75" t="n">
        <f aca="false">IFERROR(ROUND($AD96*INDEX(HTS!$BK:$BK,MATCH($E96,HTS!$E:$E,0)),0),"")</f>
        <v>4</v>
      </c>
      <c r="AF96" s="73" t="n">
        <f aca="false">IF(SUM($O96,$Q96,$S96,$K96,$G96,$I96,$M96,$U96,$W96,$Y96,$AA96,$AC96,$AE96)=0,"",SUM($O96,$Q96,$S96,$K96,$G96,$I96,$M96,$U96,$W96,$Y96,$AA96,$AC96,$AE96))</f>
        <v>108</v>
      </c>
      <c r="AG96" s="73" t="n">
        <f aca="false">INDEX(HTS!$BN:$BN,MATCH($E96,HTS!$E:$E,0))</f>
        <v>108</v>
      </c>
      <c r="AH96" s="118" t="n">
        <f aca="false">IF(SUM($AG96)&lt;=0,"",$AF96/$AG96)</f>
        <v>1</v>
      </c>
    </row>
    <row r="97" customFormat="false" ht="15" hidden="false" customHeight="false" outlineLevel="0" collapsed="false">
      <c r="A97" s="0" t="s">
        <v>146</v>
      </c>
      <c r="B97" s="0" t="s">
        <v>45</v>
      </c>
      <c r="C97" s="0" t="s">
        <v>66</v>
      </c>
      <c r="D97" s="0" t="s">
        <v>56</v>
      </c>
      <c r="E97" s="0" t="str">
        <f aca="false">B97&amp;"|"&amp;C97&amp;"|"&amp;D97</f>
        <v>Maseru [#SNU] [#DREAMS] [tKOXiaNhAyJ]|20-24|Female</v>
      </c>
      <c r="F97" s="118" t="n">
        <f aca="false">IF($D97="Female",100%,"")</f>
        <v>1</v>
      </c>
      <c r="G97" s="75" t="n">
        <f aca="false">IFERROR(ROUND($F97*INDEX(PMTCT!$AE:$AE,MATCH($E97,PMTCT!$E:$E,0)),0),"")</f>
        <v>-414</v>
      </c>
      <c r="H97" s="118" t="n">
        <f aca="false">IF($D97="Female",100%,"")</f>
        <v>1</v>
      </c>
      <c r="I97" s="75" t="str">
        <f aca="false">IFERROR(ROUND($H97*INDEX(PMTCT!$AU:$AU,MATCH($E97,PMTCT!$E:$E,0)),0),"")</f>
        <v/>
      </c>
      <c r="J97" s="118" t="n">
        <f aca="false">1</f>
        <v>1</v>
      </c>
      <c r="K97" s="75" t="str">
        <f aca="false">IFERROR(ROUND($J97*INDEX(TB!$Q:$Q,MATCH($E97,HTS!$E:$E,0)),0),"")</f>
        <v/>
      </c>
      <c r="L97" s="118" t="str">
        <f aca="false">IF($D97="Male",100%,"")</f>
        <v/>
      </c>
      <c r="M97" s="75" t="str">
        <f aca="false">IFERROR(ROUND($L97*INDEX(VMMC!$AC:$AC,MATCH($E97,VMMC!$E:$E,0)),0),"")</f>
        <v/>
      </c>
      <c r="N97" s="118" t="n">
        <f aca="false">1</f>
        <v>1</v>
      </c>
      <c r="O97" s="75" t="n">
        <f aca="false">IFERROR(ROUND($N97*INDEX(HTS!$Q:$Q,MATCH($E97,HTS!$E:$E,0)),0),"")</f>
        <v>9</v>
      </c>
      <c r="P97" s="118" t="n">
        <f aca="false">1</f>
        <v>1</v>
      </c>
      <c r="Q97" s="75" t="n">
        <f aca="false">IFERROR(ROUND($P97*INDEX(HTS!$S:$S,MATCH($E97,HTS!$E:$E,0)),0),"")</f>
        <v>-6</v>
      </c>
      <c r="R97" s="118" t="n">
        <f aca="false">1</f>
        <v>1</v>
      </c>
      <c r="S97" s="75" t="n">
        <f aca="false">IFERROR(ROUND($R97*INDEX(HTS!$AM:$AM,MATCH($E97,HTS!$E:$E,0)),0),"")</f>
        <v>135</v>
      </c>
      <c r="T97" s="118" t="n">
        <f aca="false">1</f>
        <v>1</v>
      </c>
      <c r="U97" s="75" t="n">
        <f aca="false">IFERROR(ROUND($T97*INDEX(HTS!$AV:$AV,MATCH($E97,HTS!$E:$E,0)),0),"")</f>
        <v>252</v>
      </c>
      <c r="V97" s="118" t="n">
        <f aca="false">1</f>
        <v>1</v>
      </c>
      <c r="W97" s="75" t="n">
        <f aca="false">IFERROR(ROUND($V97*INDEX(HTS!$AY:$AY,MATCH($E97,HTS!$E:$E,0)),0),"")</f>
        <v>279</v>
      </c>
      <c r="X97" s="118" t="n">
        <f aca="false">1</f>
        <v>1</v>
      </c>
      <c r="Y97" s="75" t="n">
        <f aca="false">IFERROR(ROUND($X97*INDEX(HTS!$BB:$BB,MATCH($E97,HTS!$E:$E,0)),0),"")</f>
        <v>270</v>
      </c>
      <c r="Z97" s="118" t="n">
        <f aca="false">1</f>
        <v>1</v>
      </c>
      <c r="AA97" s="75" t="n">
        <f aca="false">IFERROR(ROUND($Z97*INDEX(HTS!$BE:$BE,MATCH($E97,HTS!$E:$E,0)),0),"")</f>
        <v>27</v>
      </c>
      <c r="AB97" s="118" t="n">
        <f aca="false">1</f>
        <v>1</v>
      </c>
      <c r="AC97" s="75" t="n">
        <f aca="false">IFERROR(ROUND($AB97*INDEX(HTS!$BH:$BH,MATCH($E97,HTS!$E:$E,0)),0),"")</f>
        <v>306</v>
      </c>
      <c r="AD97" s="118" t="n">
        <f aca="false">1</f>
        <v>1</v>
      </c>
      <c r="AE97" s="75" t="n">
        <f aca="false">IFERROR(ROUND($AD97*INDEX(HTS!$BK:$BK,MATCH($E97,HTS!$E:$E,0)),0),"")</f>
        <v>396</v>
      </c>
      <c r="AF97" s="73" t="n">
        <f aca="false">IF(SUM($O97,$Q97,$S97,$K97,$G97,$I97,$M97,$U97,$W97,$Y97,$AA97,$AC97,$AE97)=0,"",SUM($O97,$Q97,$S97,$K97,$G97,$I97,$M97,$U97,$W97,$Y97,$AA97,$AC97,$AE97))</f>
        <v>1254</v>
      </c>
      <c r="AG97" s="73" t="n">
        <f aca="false">INDEX(HTS!$BN:$BN,MATCH($E97,HTS!$E:$E,0))</f>
        <v>1254</v>
      </c>
      <c r="AH97" s="118" t="n">
        <f aca="false">IF(SUM($AG97)&lt;=0,"",$AF97/$AG97)</f>
        <v>1</v>
      </c>
    </row>
    <row r="98" customFormat="false" ht="15" hidden="false" customHeight="false" outlineLevel="0" collapsed="false">
      <c r="A98" s="0" t="s">
        <v>146</v>
      </c>
      <c r="B98" s="0" t="s">
        <v>45</v>
      </c>
      <c r="C98" s="0" t="s">
        <v>66</v>
      </c>
      <c r="D98" s="0" t="s">
        <v>58</v>
      </c>
      <c r="E98" s="0" t="str">
        <f aca="false">B98&amp;"|"&amp;C98&amp;"|"&amp;D98</f>
        <v>Maseru [#SNU] [#DREAMS] [tKOXiaNhAyJ]|20-24|Male</v>
      </c>
      <c r="F98" s="118" t="str">
        <f aca="false">IF($D98="Female",100%,"")</f>
        <v/>
      </c>
      <c r="G98" s="75" t="str">
        <f aca="false">IFERROR(ROUND($F98*INDEX(PMTCT!$AE:$AE,MATCH($E98,PMTCT!$E:$E,0)),0),"")</f>
        <v/>
      </c>
      <c r="H98" s="118" t="str">
        <f aca="false">IF($D98="Female",100%,"")</f>
        <v/>
      </c>
      <c r="I98" s="75" t="str">
        <f aca="false">IFERROR(ROUND($H98*INDEX(PMTCT!$AU:$AU,MATCH($E98,PMTCT!$E:$E,0)),0),"")</f>
        <v/>
      </c>
      <c r="J98" s="118" t="n">
        <f aca="false">1</f>
        <v>1</v>
      </c>
      <c r="K98" s="75" t="n">
        <f aca="false">IFERROR(ROUND($J98*INDEX(TB!$Q:$Q,MATCH($E98,HTS!$E:$E,0)),0),"")</f>
        <v>-63140</v>
      </c>
      <c r="L98" s="118" t="n">
        <f aca="false">IF($D98="Male",100%,"")</f>
        <v>1</v>
      </c>
      <c r="M98" s="75" t="str">
        <f aca="false">IFERROR(ROUND($L98*INDEX(VMMC!$AC:$AC,MATCH($E98,VMMC!$E:$E,0)),0),"")</f>
        <v/>
      </c>
      <c r="N98" s="118" t="n">
        <f aca="false">1</f>
        <v>1</v>
      </c>
      <c r="O98" s="75" t="n">
        <f aca="false">IFERROR(ROUND($N98*INDEX(HTS!$Q:$Q,MATCH($E98,HTS!$E:$E,0)),0),"")</f>
        <v>72</v>
      </c>
      <c r="P98" s="118" t="n">
        <f aca="false">1</f>
        <v>1</v>
      </c>
      <c r="Q98" s="75" t="n">
        <f aca="false">IFERROR(ROUND($P98*INDEX(HTS!$S:$S,MATCH($E98,HTS!$E:$E,0)),0),"")</f>
        <v>-69</v>
      </c>
      <c r="R98" s="118" t="n">
        <f aca="false">1</f>
        <v>1</v>
      </c>
      <c r="S98" s="75" t="n">
        <f aca="false">IFERROR(ROUND($R98*INDEX(HTS!$AM:$AM,MATCH($E98,HTS!$E:$E,0)),0),"")</f>
        <v>405</v>
      </c>
      <c r="T98" s="118" t="n">
        <f aca="false">1</f>
        <v>1</v>
      </c>
      <c r="U98" s="75" t="n">
        <f aca="false">IFERROR(ROUND($T98*INDEX(HTS!$AV:$AV,MATCH($E98,HTS!$E:$E,0)),0),"")</f>
        <v>315</v>
      </c>
      <c r="V98" s="118" t="n">
        <f aca="false">1</f>
        <v>1</v>
      </c>
      <c r="W98" s="75" t="n">
        <f aca="false">IFERROR(ROUND($V98*INDEX(HTS!$AY:$AY,MATCH($E98,HTS!$E:$E,0)),0),"")</f>
        <v>234</v>
      </c>
      <c r="X98" s="118" t="n">
        <f aca="false">1</f>
        <v>1</v>
      </c>
      <c r="Y98" s="75" t="str">
        <f aca="false">IFERROR(ROUND($X98*INDEX(HTS!$BB:$BB,MATCH($E98,HTS!$E:$E,0)),0),"")</f>
        <v/>
      </c>
      <c r="Z98" s="118" t="n">
        <f aca="false">1</f>
        <v>1</v>
      </c>
      <c r="AA98" s="75" t="n">
        <f aca="false">IFERROR(ROUND($Z98*INDEX(HTS!$BE:$BE,MATCH($E98,HTS!$E:$E,0)),0),"")</f>
        <v>126</v>
      </c>
      <c r="AB98" s="118" t="n">
        <f aca="false">1</f>
        <v>1</v>
      </c>
      <c r="AC98" s="75" t="n">
        <f aca="false">IFERROR(ROUND($AB98*INDEX(HTS!$BH:$BH,MATCH($E98,HTS!$E:$E,0)),0),"")</f>
        <v>162</v>
      </c>
      <c r="AD98" s="118" t="n">
        <f aca="false">1</f>
        <v>1</v>
      </c>
      <c r="AE98" s="75" t="n">
        <f aca="false">IFERROR(ROUND($AD98*INDEX(HTS!$BK:$BK,MATCH($E98,HTS!$E:$E,0)),0),"")</f>
        <v>414</v>
      </c>
      <c r="AF98" s="73" t="n">
        <f aca="false">IF(SUM($O98,$Q98,$S98,$K98,$G98,$I98,$M98,$U98,$W98,$Y98,$AA98,$AC98,$AE98)=0,"",SUM($O98,$Q98,$S98,$K98,$G98,$I98,$M98,$U98,$W98,$Y98,$AA98,$AC98,$AE98))</f>
        <v>-61481</v>
      </c>
      <c r="AG98" s="73" t="n">
        <f aca="false">INDEX(HTS!$BN:$BN,MATCH($E98,HTS!$E:$E,0))</f>
        <v>-61481</v>
      </c>
      <c r="AH98" s="118" t="str">
        <f aca="false">IF(SUM($AG98)&lt;=0,"",$AF98/$AG98)</f>
        <v/>
      </c>
    </row>
    <row r="99" customFormat="false" ht="15" hidden="false" customHeight="false" outlineLevel="0" collapsed="false">
      <c r="A99" s="0" t="s">
        <v>146</v>
      </c>
      <c r="B99" s="0" t="s">
        <v>45</v>
      </c>
      <c r="C99" s="0" t="s">
        <v>69</v>
      </c>
      <c r="D99" s="0" t="s">
        <v>56</v>
      </c>
      <c r="E99" s="0" t="str">
        <f aca="false">B99&amp;"|"&amp;C99&amp;"|"&amp;D99</f>
        <v>Maseru [#SNU] [#DREAMS] [tKOXiaNhAyJ]|25-29|Female</v>
      </c>
      <c r="F99" s="118" t="n">
        <f aca="false">IF($D99="Female",100%,"")</f>
        <v>1</v>
      </c>
      <c r="G99" s="75" t="n">
        <f aca="false">IFERROR(ROUND($F99*INDEX(PMTCT!$AE:$AE,MATCH($E99,PMTCT!$E:$E,0)),0),"")</f>
        <v>-63640</v>
      </c>
      <c r="H99" s="118" t="n">
        <f aca="false">IF($D99="Female",100%,"")</f>
        <v>1</v>
      </c>
      <c r="I99" s="75" t="str">
        <f aca="false">IFERROR(ROUND($H99*INDEX(PMTCT!$AU:$AU,MATCH($E99,PMTCT!$E:$E,0)),0),"")</f>
        <v/>
      </c>
      <c r="J99" s="118" t="n">
        <f aca="false">1</f>
        <v>1</v>
      </c>
      <c r="K99" s="75" t="n">
        <f aca="false">IFERROR(ROUND($J99*INDEX(TB!$Q:$Q,MATCH($E99,HTS!$E:$E,0)),0),"")</f>
        <v>-2520</v>
      </c>
      <c r="L99" s="118" t="str">
        <f aca="false">IF($D99="Male",100%,"")</f>
        <v/>
      </c>
      <c r="M99" s="75" t="str">
        <f aca="false">IFERROR(ROUND($L99*INDEX(VMMC!$AC:$AC,MATCH($E99,VMMC!$E:$E,0)),0),"")</f>
        <v/>
      </c>
      <c r="N99" s="118" t="n">
        <f aca="false">1</f>
        <v>1</v>
      </c>
      <c r="O99" s="75" t="n">
        <f aca="false">IFERROR(ROUND($N99*INDEX(HTS!$Q:$Q,MATCH($E99,HTS!$E:$E,0)),0),"")</f>
        <v>23</v>
      </c>
      <c r="P99" s="118" t="n">
        <f aca="false">1</f>
        <v>1</v>
      </c>
      <c r="Q99" s="75" t="n">
        <f aca="false">IFERROR(ROUND($P99*INDEX(HTS!$S:$S,MATCH($E99,HTS!$E:$E,0)),0),"")</f>
        <v>-22</v>
      </c>
      <c r="R99" s="118" t="n">
        <f aca="false">1</f>
        <v>1</v>
      </c>
      <c r="S99" s="75" t="n">
        <f aca="false">IFERROR(ROUND($R99*INDEX(HTS!$AM:$AM,MATCH($E99,HTS!$E:$E,0)),0),"")</f>
        <v>54</v>
      </c>
      <c r="T99" s="118" t="n">
        <f aca="false">1</f>
        <v>1</v>
      </c>
      <c r="U99" s="75" t="n">
        <f aca="false">IFERROR(ROUND($T99*INDEX(HTS!$AV:$AV,MATCH($E99,HTS!$E:$E,0)),0),"")</f>
        <v>16</v>
      </c>
      <c r="V99" s="118" t="n">
        <f aca="false">1</f>
        <v>1</v>
      </c>
      <c r="W99" s="75" t="n">
        <f aca="false">IFERROR(ROUND($V99*INDEX(HTS!$AY:$AY,MATCH($E99,HTS!$E:$E,0)),0),"")</f>
        <v>46</v>
      </c>
      <c r="X99" s="118" t="n">
        <f aca="false">1</f>
        <v>1</v>
      </c>
      <c r="Y99" s="75" t="n">
        <f aca="false">IFERROR(ROUND($X99*INDEX(HTS!$BB:$BB,MATCH($E99,HTS!$E:$E,0)),0),"")</f>
        <v>68</v>
      </c>
      <c r="Z99" s="118" t="n">
        <f aca="false">1</f>
        <v>1</v>
      </c>
      <c r="AA99" s="75" t="n">
        <f aca="false">IFERROR(ROUND($Z99*INDEX(HTS!$BE:$BE,MATCH($E99,HTS!$E:$E,0)),0),"")</f>
        <v>26</v>
      </c>
      <c r="AB99" s="118" t="n">
        <f aca="false">1</f>
        <v>1</v>
      </c>
      <c r="AC99" s="75" t="n">
        <f aca="false">IFERROR(ROUND($AB99*INDEX(HTS!$BH:$BH,MATCH($E99,HTS!$E:$E,0)),0),"")</f>
        <v>12</v>
      </c>
      <c r="AD99" s="118" t="n">
        <f aca="false">1</f>
        <v>1</v>
      </c>
      <c r="AE99" s="75" t="n">
        <f aca="false">IFERROR(ROUND($AD99*INDEX(HTS!$BK:$BK,MATCH($E99,HTS!$E:$E,0)),0),"")</f>
        <v>14</v>
      </c>
      <c r="AF99" s="73" t="n">
        <f aca="false">IF(SUM($O99,$Q99,$S99,$K99,$G99,$I99,$M99,$U99,$W99,$Y99,$AA99,$AC99,$AE99)=0,"",SUM($O99,$Q99,$S99,$K99,$G99,$I99,$M99,$U99,$W99,$Y99,$AA99,$AC99,$AE99))</f>
        <v>-65923</v>
      </c>
      <c r="AG99" s="73" t="n">
        <f aca="false">INDEX(HTS!$BN:$BN,MATCH($E99,HTS!$E:$E,0))</f>
        <v>-65923</v>
      </c>
      <c r="AH99" s="118" t="str">
        <f aca="false">IF(SUM($AG99)&lt;=0,"",$AF99/$AG99)</f>
        <v/>
      </c>
    </row>
    <row r="100" customFormat="false" ht="15" hidden="false" customHeight="false" outlineLevel="0" collapsed="false">
      <c r="A100" s="0" t="s">
        <v>146</v>
      </c>
      <c r="B100" s="0" t="s">
        <v>45</v>
      </c>
      <c r="C100" s="0" t="s">
        <v>69</v>
      </c>
      <c r="D100" s="0" t="s">
        <v>58</v>
      </c>
      <c r="E100" s="0" t="str">
        <f aca="false">B100&amp;"|"&amp;C100&amp;"|"&amp;D100</f>
        <v>Maseru [#SNU] [#DREAMS] [tKOXiaNhAyJ]|25-29|Male</v>
      </c>
      <c r="F100" s="118" t="str">
        <f aca="false">IF($D100="Female",100%,"")</f>
        <v/>
      </c>
      <c r="G100" s="75" t="str">
        <f aca="false">IFERROR(ROUND($F100*INDEX(PMTCT!$AE:$AE,MATCH($E100,PMTCT!$E:$E,0)),0),"")</f>
        <v/>
      </c>
      <c r="H100" s="118" t="str">
        <f aca="false">IF($D100="Female",100%,"")</f>
        <v/>
      </c>
      <c r="I100" s="75" t="str">
        <f aca="false">IFERROR(ROUND($H100*INDEX(PMTCT!$AU:$AU,MATCH($E100,PMTCT!$E:$E,0)),0),"")</f>
        <v/>
      </c>
      <c r="J100" s="118" t="n">
        <f aca="false">1</f>
        <v>1</v>
      </c>
      <c r="K100" s="75" t="n">
        <f aca="false">IFERROR(ROUND($J100*INDEX(TB!$Q:$Q,MATCH($E100,HTS!$E:$E,0)),0),"")</f>
        <v>-54648</v>
      </c>
      <c r="L100" s="118" t="n">
        <f aca="false">IF($D100="Male",100%,"")</f>
        <v>1</v>
      </c>
      <c r="M100" s="75" t="str">
        <f aca="false">IFERROR(ROUND($L100*INDEX(VMMC!$AC:$AC,MATCH($E100,VMMC!$E:$E,0)),0),"")</f>
        <v/>
      </c>
      <c r="N100" s="118" t="n">
        <f aca="false">1</f>
        <v>1</v>
      </c>
      <c r="O100" s="75" t="n">
        <f aca="false">IFERROR(ROUND($N100*INDEX(HTS!$Q:$Q,MATCH($E100,HTS!$E:$E,0)),0),"")</f>
        <v>90</v>
      </c>
      <c r="P100" s="118" t="n">
        <f aca="false">1</f>
        <v>1</v>
      </c>
      <c r="Q100" s="75" t="n">
        <f aca="false">IFERROR(ROUND($P100*INDEX(HTS!$S:$S,MATCH($E100,HTS!$E:$E,0)),0),"")</f>
        <v>-84</v>
      </c>
      <c r="R100" s="118" t="n">
        <f aca="false">1</f>
        <v>1</v>
      </c>
      <c r="S100" s="75" t="n">
        <f aca="false">IFERROR(ROUND($R100*INDEX(HTS!$AM:$AM,MATCH($E100,HTS!$E:$E,0)),0),"")</f>
        <v>240</v>
      </c>
      <c r="T100" s="118" t="n">
        <f aca="false">1</f>
        <v>1</v>
      </c>
      <c r="U100" s="75" t="n">
        <f aca="false">IFERROR(ROUND($T100*INDEX(HTS!$AV:$AV,MATCH($E100,HTS!$E:$E,0)),0),"")</f>
        <v>480</v>
      </c>
      <c r="V100" s="118" t="n">
        <f aca="false">1</f>
        <v>1</v>
      </c>
      <c r="W100" s="75" t="n">
        <f aca="false">IFERROR(ROUND($V100*INDEX(HTS!$AY:$AY,MATCH($E100,HTS!$E:$E,0)),0),"")</f>
        <v>280</v>
      </c>
      <c r="X100" s="118" t="n">
        <f aca="false">1</f>
        <v>1</v>
      </c>
      <c r="Y100" s="75" t="n">
        <f aca="false">IFERROR(ROUND($X100*INDEX(HTS!$BB:$BB,MATCH($E100,HTS!$E:$E,0)),0),"")</f>
        <v>360</v>
      </c>
      <c r="Z100" s="118" t="n">
        <f aca="false">1</f>
        <v>1</v>
      </c>
      <c r="AA100" s="75" t="n">
        <f aca="false">IFERROR(ROUND($Z100*INDEX(HTS!$BE:$BE,MATCH($E100,HTS!$E:$E,0)),0),"")</f>
        <v>880</v>
      </c>
      <c r="AB100" s="118" t="n">
        <f aca="false">1</f>
        <v>1</v>
      </c>
      <c r="AC100" s="75" t="n">
        <f aca="false">IFERROR(ROUND($AB100*INDEX(HTS!$BH:$BH,MATCH($E100,HTS!$E:$E,0)),0),"")</f>
        <v>940</v>
      </c>
      <c r="AD100" s="118" t="n">
        <f aca="false">1</f>
        <v>1</v>
      </c>
      <c r="AE100" s="75" t="n">
        <f aca="false">IFERROR(ROUND($AD100*INDEX(HTS!$BK:$BK,MATCH($E100,HTS!$E:$E,0)),0),"")</f>
        <v>260</v>
      </c>
      <c r="AF100" s="73" t="n">
        <f aca="false">IF(SUM($O100,$Q100,$S100,$K100,$G100,$I100,$M100,$U100,$W100,$Y100,$AA100,$AC100,$AE100)=0,"",SUM($O100,$Q100,$S100,$K100,$G100,$I100,$M100,$U100,$W100,$Y100,$AA100,$AC100,$AE100))</f>
        <v>-51202</v>
      </c>
      <c r="AG100" s="73" t="n">
        <f aca="false">INDEX(HTS!$BN:$BN,MATCH($E100,HTS!$E:$E,0))</f>
        <v>-51202</v>
      </c>
      <c r="AH100" s="118" t="str">
        <f aca="false">IF(SUM($AG100)&lt;=0,"",$AF100/$AG100)</f>
        <v/>
      </c>
    </row>
    <row r="101" customFormat="false" ht="15" hidden="false" customHeight="false" outlineLevel="0" collapsed="false">
      <c r="A101" s="0" t="s">
        <v>146</v>
      </c>
      <c r="B101" s="0" t="s">
        <v>45</v>
      </c>
      <c r="C101" s="0" t="s">
        <v>72</v>
      </c>
      <c r="D101" s="0" t="s">
        <v>56</v>
      </c>
      <c r="E101" s="0" t="str">
        <f aca="false">B101&amp;"|"&amp;C101&amp;"|"&amp;D101</f>
        <v>Maseru [#SNU] [#DREAMS] [tKOXiaNhAyJ]|30-34|Female</v>
      </c>
      <c r="F101" s="118" t="n">
        <f aca="false">IF($D101="Female",100%,"")</f>
        <v>1</v>
      </c>
      <c r="G101" s="75" t="n">
        <f aca="false">IFERROR(ROUND($F101*INDEX(PMTCT!$AE:$AE,MATCH($E101,PMTCT!$E:$E,0)),0),"")</f>
        <v>-25530</v>
      </c>
      <c r="H101" s="118" t="n">
        <f aca="false">IF($D101="Female",100%,"")</f>
        <v>1</v>
      </c>
      <c r="I101" s="75" t="str">
        <f aca="false">IFERROR(ROUND($H101*INDEX(PMTCT!$AU:$AU,MATCH($E101,PMTCT!$E:$E,0)),0),"")</f>
        <v/>
      </c>
      <c r="J101" s="118" t="n">
        <f aca="false">1</f>
        <v>1</v>
      </c>
      <c r="K101" s="75" t="n">
        <f aca="false">IFERROR(ROUND($J101*INDEX(TB!$Q:$Q,MATCH($E101,HTS!$E:$E,0)),0),"")</f>
        <v>-1620</v>
      </c>
      <c r="L101" s="118" t="str">
        <f aca="false">IF($D101="Male",100%,"")</f>
        <v/>
      </c>
      <c r="M101" s="75" t="str">
        <f aca="false">IFERROR(ROUND($L101*INDEX(VMMC!$AC:$AC,MATCH($E101,VMMC!$E:$E,0)),0),"")</f>
        <v/>
      </c>
      <c r="N101" s="118" t="n">
        <f aca="false">1</f>
        <v>1</v>
      </c>
      <c r="O101" s="75" t="n">
        <f aca="false">IFERROR(ROUND($N101*INDEX(HTS!$Q:$Q,MATCH($E101,HTS!$E:$E,0)),0),"")</f>
        <v>172</v>
      </c>
      <c r="P101" s="118" t="n">
        <f aca="false">1</f>
        <v>1</v>
      </c>
      <c r="Q101" s="75" t="n">
        <f aca="false">IFERROR(ROUND($P101*INDEX(HTS!$S:$S,MATCH($E101,HTS!$E:$E,0)),0),"")</f>
        <v>-168</v>
      </c>
      <c r="R101" s="118" t="n">
        <f aca="false">1</f>
        <v>1</v>
      </c>
      <c r="S101" s="75" t="n">
        <f aca="false">IFERROR(ROUND($R101*INDEX(HTS!$AM:$AM,MATCH($E101,HTS!$E:$E,0)),0),"")</f>
        <v>192</v>
      </c>
      <c r="T101" s="118" t="n">
        <f aca="false">1</f>
        <v>1</v>
      </c>
      <c r="U101" s="75" t="n">
        <f aca="false">IFERROR(ROUND($T101*INDEX(HTS!$AV:$AV,MATCH($E101,HTS!$E:$E,0)),0),"")</f>
        <v>72</v>
      </c>
      <c r="V101" s="118" t="n">
        <f aca="false">1</f>
        <v>1</v>
      </c>
      <c r="W101" s="75" t="n">
        <f aca="false">IFERROR(ROUND($V101*INDEX(HTS!$AY:$AY,MATCH($E101,HTS!$E:$E,0)),0),"")</f>
        <v>444</v>
      </c>
      <c r="X101" s="118" t="n">
        <f aca="false">1</f>
        <v>1</v>
      </c>
      <c r="Y101" s="75" t="n">
        <f aca="false">IFERROR(ROUND($X101*INDEX(HTS!$BB:$BB,MATCH($E101,HTS!$E:$E,0)),0),"")</f>
        <v>420</v>
      </c>
      <c r="Z101" s="118" t="n">
        <f aca="false">1</f>
        <v>1</v>
      </c>
      <c r="AA101" s="75" t="n">
        <f aca="false">IFERROR(ROUND($Z101*INDEX(HTS!$BE:$BE,MATCH($E101,HTS!$E:$E,0)),0),"")</f>
        <v>132</v>
      </c>
      <c r="AB101" s="118" t="n">
        <f aca="false">1</f>
        <v>1</v>
      </c>
      <c r="AC101" s="75" t="n">
        <f aca="false">IFERROR(ROUND($AB101*INDEX(HTS!$BH:$BH,MATCH($E101,HTS!$E:$E,0)),0),"")</f>
        <v>48</v>
      </c>
      <c r="AD101" s="118" t="n">
        <f aca="false">1</f>
        <v>1</v>
      </c>
      <c r="AE101" s="75" t="n">
        <f aca="false">IFERROR(ROUND($AD101*INDEX(HTS!$BK:$BK,MATCH($E101,HTS!$E:$E,0)),0),"")</f>
        <v>276</v>
      </c>
      <c r="AF101" s="73" t="n">
        <f aca="false">IF(SUM($O101,$Q101,$S101,$K101,$G101,$I101,$M101,$U101,$W101,$Y101,$AA101,$AC101,$AE101)=0,"",SUM($O101,$Q101,$S101,$K101,$G101,$I101,$M101,$U101,$W101,$Y101,$AA101,$AC101,$AE101))</f>
        <v>-25562</v>
      </c>
      <c r="AG101" s="73" t="n">
        <f aca="false">INDEX(HTS!$BN:$BN,MATCH($E101,HTS!$E:$E,0))</f>
        <v>-25562</v>
      </c>
      <c r="AH101" s="118" t="str">
        <f aca="false">IF(SUM($AG101)&lt;=0,"",$AF101/$AG101)</f>
        <v/>
      </c>
    </row>
    <row r="102" customFormat="false" ht="15" hidden="false" customHeight="false" outlineLevel="0" collapsed="false">
      <c r="A102" s="0" t="s">
        <v>146</v>
      </c>
      <c r="B102" s="0" t="s">
        <v>45</v>
      </c>
      <c r="C102" s="0" t="s">
        <v>72</v>
      </c>
      <c r="D102" s="0" t="s">
        <v>58</v>
      </c>
      <c r="E102" s="0" t="str">
        <f aca="false">B102&amp;"|"&amp;C102&amp;"|"&amp;D102</f>
        <v>Maseru [#SNU] [#DREAMS] [tKOXiaNhAyJ]|30-34|Male</v>
      </c>
      <c r="F102" s="118" t="str">
        <f aca="false">IF($D102="Female",100%,"")</f>
        <v/>
      </c>
      <c r="G102" s="75" t="str">
        <f aca="false">IFERROR(ROUND($F102*INDEX(PMTCT!$AE:$AE,MATCH($E102,PMTCT!$E:$E,0)),0),"")</f>
        <v/>
      </c>
      <c r="H102" s="118" t="str">
        <f aca="false">IF($D102="Female",100%,"")</f>
        <v/>
      </c>
      <c r="I102" s="75" t="str">
        <f aca="false">IFERROR(ROUND($H102*INDEX(PMTCT!$AU:$AU,MATCH($E102,PMTCT!$E:$E,0)),0),"")</f>
        <v/>
      </c>
      <c r="J102" s="118" t="n">
        <f aca="false">1</f>
        <v>1</v>
      </c>
      <c r="K102" s="75" t="n">
        <f aca="false">IFERROR(ROUND($J102*INDEX(TB!$Q:$Q,MATCH($E102,HTS!$E:$E,0)),0),"")</f>
        <v>-57684</v>
      </c>
      <c r="L102" s="118" t="n">
        <f aca="false">IF($D102="Male",100%,"")</f>
        <v>1</v>
      </c>
      <c r="M102" s="75" t="str">
        <f aca="false">IFERROR(ROUND($L102*INDEX(VMMC!$AC:$AC,MATCH($E102,VMMC!$E:$E,0)),0),"")</f>
        <v/>
      </c>
      <c r="N102" s="118" t="n">
        <f aca="false">1</f>
        <v>1</v>
      </c>
      <c r="O102" s="75" t="n">
        <f aca="false">IFERROR(ROUND($N102*INDEX(HTS!$Q:$Q,MATCH($E102,HTS!$E:$E,0)),0),"")</f>
        <v>126</v>
      </c>
      <c r="P102" s="118" t="n">
        <f aca="false">1</f>
        <v>1</v>
      </c>
      <c r="Q102" s="75" t="n">
        <f aca="false">IFERROR(ROUND($P102*INDEX(HTS!$S:$S,MATCH($E102,HTS!$E:$E,0)),0),"")</f>
        <v>-120</v>
      </c>
      <c r="R102" s="118" t="n">
        <f aca="false">1</f>
        <v>1</v>
      </c>
      <c r="S102" s="75" t="n">
        <f aca="false">IFERROR(ROUND($R102*INDEX(HTS!$AM:$AM,MATCH($E102,HTS!$E:$E,0)),0),"")</f>
        <v>651</v>
      </c>
      <c r="T102" s="118" t="n">
        <f aca="false">1</f>
        <v>1</v>
      </c>
      <c r="U102" s="75" t="n">
        <f aca="false">IFERROR(ROUND($T102*INDEX(HTS!$AV:$AV,MATCH($E102,HTS!$E:$E,0)),0),"")</f>
        <v>567</v>
      </c>
      <c r="V102" s="118" t="n">
        <f aca="false">1</f>
        <v>1</v>
      </c>
      <c r="W102" s="75" t="n">
        <f aca="false">IFERROR(ROUND($V102*INDEX(HTS!$AY:$AY,MATCH($E102,HTS!$E:$E,0)),0),"")</f>
        <v>1029</v>
      </c>
      <c r="X102" s="118" t="n">
        <f aca="false">1</f>
        <v>1</v>
      </c>
      <c r="Y102" s="75" t="n">
        <f aca="false">IFERROR(ROUND($X102*INDEX(HTS!$BB:$BB,MATCH($E102,HTS!$E:$E,0)),0),"")</f>
        <v>168</v>
      </c>
      <c r="Z102" s="118" t="n">
        <f aca="false">1</f>
        <v>1</v>
      </c>
      <c r="AA102" s="75" t="n">
        <f aca="false">IFERROR(ROUND($Z102*INDEX(HTS!$BE:$BE,MATCH($E102,HTS!$E:$E,0)),0),"")</f>
        <v>819</v>
      </c>
      <c r="AB102" s="118" t="n">
        <f aca="false">1</f>
        <v>1</v>
      </c>
      <c r="AC102" s="75" t="n">
        <f aca="false">IFERROR(ROUND($AB102*INDEX(HTS!$BH:$BH,MATCH($E102,HTS!$E:$E,0)),0),"")</f>
        <v>378</v>
      </c>
      <c r="AD102" s="118" t="n">
        <f aca="false">1</f>
        <v>1</v>
      </c>
      <c r="AE102" s="75" t="n">
        <f aca="false">IFERROR(ROUND($AD102*INDEX(HTS!$BK:$BK,MATCH($E102,HTS!$E:$E,0)),0),"")</f>
        <v>609</v>
      </c>
      <c r="AF102" s="73" t="n">
        <f aca="false">IF(SUM($O102,$Q102,$S102,$K102,$G102,$I102,$M102,$U102,$W102,$Y102,$AA102,$AC102,$AE102)=0,"",SUM($O102,$Q102,$S102,$K102,$G102,$I102,$M102,$U102,$W102,$Y102,$AA102,$AC102,$AE102))</f>
        <v>-53457</v>
      </c>
      <c r="AG102" s="73" t="n">
        <f aca="false">INDEX(HTS!$BN:$BN,MATCH($E102,HTS!$E:$E,0))</f>
        <v>-53457</v>
      </c>
      <c r="AH102" s="118" t="str">
        <f aca="false">IF(SUM($AG102)&lt;=0,"",$AF102/$AG102)</f>
        <v/>
      </c>
    </row>
    <row r="103" customFormat="false" ht="15" hidden="false" customHeight="false" outlineLevel="0" collapsed="false">
      <c r="A103" s="0" t="s">
        <v>146</v>
      </c>
      <c r="B103" s="0" t="s">
        <v>45</v>
      </c>
      <c r="C103" s="0" t="s">
        <v>75</v>
      </c>
      <c r="D103" s="0" t="s">
        <v>56</v>
      </c>
      <c r="E103" s="0" t="str">
        <f aca="false">B103&amp;"|"&amp;C103&amp;"|"&amp;D103</f>
        <v>Maseru [#SNU] [#DREAMS] [tKOXiaNhAyJ]|35-39|Female</v>
      </c>
      <c r="F103" s="118" t="n">
        <f aca="false">IF($D103="Female",100%,"")</f>
        <v>1</v>
      </c>
      <c r="G103" s="75" t="n">
        <f aca="false">IFERROR(ROUND($F103*INDEX(PMTCT!$AE:$AE,MATCH($E103,PMTCT!$E:$E,0)),0),"")</f>
        <v>-9324</v>
      </c>
      <c r="H103" s="118" t="n">
        <f aca="false">IF($D103="Female",100%,"")</f>
        <v>1</v>
      </c>
      <c r="I103" s="75" t="str">
        <f aca="false">IFERROR(ROUND($H103*INDEX(PMTCT!$AU:$AU,MATCH($E103,PMTCT!$E:$E,0)),0),"")</f>
        <v/>
      </c>
      <c r="J103" s="118" t="n">
        <f aca="false">1</f>
        <v>1</v>
      </c>
      <c r="K103" s="75" t="n">
        <f aca="false">IFERROR(ROUND($J103*INDEX(TB!$Q:$Q,MATCH($E103,HTS!$E:$E,0)),0),"")</f>
        <v>-0</v>
      </c>
      <c r="L103" s="118" t="str">
        <f aca="false">IF($D103="Male",100%,"")</f>
        <v/>
      </c>
      <c r="M103" s="75" t="str">
        <f aca="false">IFERROR(ROUND($L103*INDEX(VMMC!$AC:$AC,MATCH($E103,VMMC!$E:$E,0)),0),"")</f>
        <v/>
      </c>
      <c r="N103" s="118" t="n">
        <f aca="false">1</f>
        <v>1</v>
      </c>
      <c r="O103" s="75" t="n">
        <f aca="false">IFERROR(ROUND($N103*INDEX(HTS!$Q:$Q,MATCH($E103,HTS!$E:$E,0)),0),"")</f>
        <v>98</v>
      </c>
      <c r="P103" s="118" t="n">
        <f aca="false">1</f>
        <v>1</v>
      </c>
      <c r="Q103" s="75" t="n">
        <f aca="false">IFERROR(ROUND($P103*INDEX(HTS!$S:$S,MATCH($E103,HTS!$E:$E,0)),0),"")</f>
        <v>-96</v>
      </c>
      <c r="R103" s="118" t="n">
        <f aca="false">1</f>
        <v>1</v>
      </c>
      <c r="S103" s="75" t="n">
        <f aca="false">IFERROR(ROUND($R103*INDEX(HTS!$AM:$AM,MATCH($E103,HTS!$E:$E,0)),0),"")</f>
        <v>90</v>
      </c>
      <c r="T103" s="118" t="n">
        <f aca="false">1</f>
        <v>1</v>
      </c>
      <c r="U103" s="75" t="n">
        <f aca="false">IFERROR(ROUND($T103*INDEX(HTS!$AV:$AV,MATCH($E103,HTS!$E:$E,0)),0),"")</f>
        <v>78</v>
      </c>
      <c r="V103" s="118" t="n">
        <f aca="false">1</f>
        <v>1</v>
      </c>
      <c r="W103" s="75" t="n">
        <f aca="false">IFERROR(ROUND($V103*INDEX(HTS!$AY:$AY,MATCH($E103,HTS!$E:$E,0)),0),"")</f>
        <v>64</v>
      </c>
      <c r="X103" s="118" t="n">
        <f aca="false">1</f>
        <v>1</v>
      </c>
      <c r="Y103" s="75" t="n">
        <f aca="false">IFERROR(ROUND($X103*INDEX(HTS!$BB:$BB,MATCH($E103,HTS!$E:$E,0)),0),"")</f>
        <v>50</v>
      </c>
      <c r="Z103" s="118" t="n">
        <f aca="false">1</f>
        <v>1</v>
      </c>
      <c r="AA103" s="75" t="n">
        <f aca="false">IFERROR(ROUND($Z103*INDEX(HTS!$BE:$BE,MATCH($E103,HTS!$E:$E,0)),0),"")</f>
        <v>14</v>
      </c>
      <c r="AB103" s="118" t="n">
        <f aca="false">1</f>
        <v>1</v>
      </c>
      <c r="AC103" s="75" t="n">
        <f aca="false">IFERROR(ROUND($AB103*INDEX(HTS!$BH:$BH,MATCH($E103,HTS!$E:$E,0)),0),"")</f>
        <v>46</v>
      </c>
      <c r="AD103" s="118" t="n">
        <f aca="false">1</f>
        <v>1</v>
      </c>
      <c r="AE103" s="75" t="n">
        <f aca="false">IFERROR(ROUND($AD103*INDEX(HTS!$BK:$BK,MATCH($E103,HTS!$E:$E,0)),0),"")</f>
        <v>80</v>
      </c>
      <c r="AF103" s="73" t="n">
        <f aca="false">IF(SUM($O103,$Q103,$S103,$K103,$G103,$I103,$M103,$U103,$W103,$Y103,$AA103,$AC103,$AE103)=0,"",SUM($O103,$Q103,$S103,$K103,$G103,$I103,$M103,$U103,$W103,$Y103,$AA103,$AC103,$AE103))</f>
        <v>-8900</v>
      </c>
      <c r="AG103" s="73" t="n">
        <f aca="false">INDEX(HTS!$BN:$BN,MATCH($E103,HTS!$E:$E,0))</f>
        <v>-8900</v>
      </c>
      <c r="AH103" s="118" t="str">
        <f aca="false">IF(SUM($AG103)&lt;=0,"",$AF103/$AG103)</f>
        <v/>
      </c>
    </row>
    <row r="104" customFormat="false" ht="15" hidden="false" customHeight="false" outlineLevel="0" collapsed="false">
      <c r="A104" s="0" t="s">
        <v>146</v>
      </c>
      <c r="B104" s="0" t="s">
        <v>45</v>
      </c>
      <c r="C104" s="0" t="s">
        <v>75</v>
      </c>
      <c r="D104" s="0" t="s">
        <v>58</v>
      </c>
      <c r="E104" s="0" t="str">
        <f aca="false">B104&amp;"|"&amp;C104&amp;"|"&amp;D104</f>
        <v>Maseru [#SNU] [#DREAMS] [tKOXiaNhAyJ]|35-39|Male</v>
      </c>
      <c r="F104" s="118" t="str">
        <f aca="false">IF($D104="Female",100%,"")</f>
        <v/>
      </c>
      <c r="G104" s="75" t="str">
        <f aca="false">IFERROR(ROUND($F104*INDEX(PMTCT!$AE:$AE,MATCH($E104,PMTCT!$E:$E,0)),0),"")</f>
        <v/>
      </c>
      <c r="H104" s="118" t="str">
        <f aca="false">IF($D104="Female",100%,"")</f>
        <v/>
      </c>
      <c r="I104" s="75" t="str">
        <f aca="false">IFERROR(ROUND($H104*INDEX(PMTCT!$AU:$AU,MATCH($E104,PMTCT!$E:$E,0)),0),"")</f>
        <v/>
      </c>
      <c r="J104" s="118" t="n">
        <f aca="false">1</f>
        <v>1</v>
      </c>
      <c r="K104" s="75" t="n">
        <f aca="false">IFERROR(ROUND($J104*INDEX(TB!$Q:$Q,MATCH($E104,HTS!$E:$E,0)),0),"")</f>
        <v>-18870</v>
      </c>
      <c r="L104" s="118" t="n">
        <f aca="false">IF($D104="Male",100%,"")</f>
        <v>1</v>
      </c>
      <c r="M104" s="75" t="str">
        <f aca="false">IFERROR(ROUND($L104*INDEX(VMMC!$AC:$AC,MATCH($E104,VMMC!$E:$E,0)),0),"")</f>
        <v/>
      </c>
      <c r="N104" s="118" t="n">
        <f aca="false">1</f>
        <v>1</v>
      </c>
      <c r="O104" s="75" t="n">
        <f aca="false">IFERROR(ROUND($N104*INDEX(HTS!$Q:$Q,MATCH($E104,HTS!$E:$E,0)),0),"")</f>
        <v>20</v>
      </c>
      <c r="P104" s="118" t="n">
        <f aca="false">1</f>
        <v>1</v>
      </c>
      <c r="Q104" s="75" t="n">
        <f aca="false">IFERROR(ROUND($P104*INDEX(HTS!$S:$S,MATCH($E104,HTS!$E:$E,0)),0),"")</f>
        <v>-15</v>
      </c>
      <c r="R104" s="118" t="n">
        <f aca="false">1</f>
        <v>1</v>
      </c>
      <c r="S104" s="75" t="n">
        <f aca="false">IFERROR(ROUND($R104*INDEX(HTS!$AM:$AM,MATCH($E104,HTS!$E:$E,0)),0),"")</f>
        <v>522</v>
      </c>
      <c r="T104" s="118" t="n">
        <f aca="false">1</f>
        <v>1</v>
      </c>
      <c r="U104" s="75" t="n">
        <f aca="false">IFERROR(ROUND($T104*INDEX(HTS!$AV:$AV,MATCH($E104,HTS!$E:$E,0)),0),"")</f>
        <v>612</v>
      </c>
      <c r="V104" s="118" t="n">
        <f aca="false">1</f>
        <v>1</v>
      </c>
      <c r="W104" s="75" t="n">
        <f aca="false">IFERROR(ROUND($V104*INDEX(HTS!$AY:$AY,MATCH($E104,HTS!$E:$E,0)),0),"")</f>
        <v>630</v>
      </c>
      <c r="X104" s="118" t="n">
        <f aca="false">1</f>
        <v>1</v>
      </c>
      <c r="Y104" s="75" t="n">
        <f aca="false">IFERROR(ROUND($X104*INDEX(HTS!$BB:$BB,MATCH($E104,HTS!$E:$E,0)),0),"")</f>
        <v>342</v>
      </c>
      <c r="Z104" s="118" t="n">
        <f aca="false">1</f>
        <v>1</v>
      </c>
      <c r="AA104" s="75" t="n">
        <f aca="false">IFERROR(ROUND($Z104*INDEX(HTS!$BE:$BE,MATCH($E104,HTS!$E:$E,0)),0),"")</f>
        <v>558</v>
      </c>
      <c r="AB104" s="118" t="n">
        <f aca="false">1</f>
        <v>1</v>
      </c>
      <c r="AC104" s="75" t="n">
        <f aca="false">IFERROR(ROUND($AB104*INDEX(HTS!$BH:$BH,MATCH($E104,HTS!$E:$E,0)),0),"")</f>
        <v>864</v>
      </c>
      <c r="AD104" s="118" t="n">
        <f aca="false">1</f>
        <v>1</v>
      </c>
      <c r="AE104" s="75" t="n">
        <f aca="false">IFERROR(ROUND($AD104*INDEX(HTS!$BK:$BK,MATCH($E104,HTS!$E:$E,0)),0),"")</f>
        <v>144</v>
      </c>
      <c r="AF104" s="73" t="n">
        <f aca="false">IF(SUM($O104,$Q104,$S104,$K104,$G104,$I104,$M104,$U104,$W104,$Y104,$AA104,$AC104,$AE104)=0,"",SUM($O104,$Q104,$S104,$K104,$G104,$I104,$M104,$U104,$W104,$Y104,$AA104,$AC104,$AE104))</f>
        <v>-15193</v>
      </c>
      <c r="AG104" s="73" t="n">
        <f aca="false">INDEX(HTS!$BN:$BN,MATCH($E104,HTS!$E:$E,0))</f>
        <v>-15193</v>
      </c>
      <c r="AH104" s="118" t="str">
        <f aca="false">IF(SUM($AG104)&lt;=0,"",$AF104/$AG104)</f>
        <v/>
      </c>
    </row>
    <row r="105" customFormat="false" ht="15" hidden="false" customHeight="false" outlineLevel="0" collapsed="false">
      <c r="A105" s="0" t="s">
        <v>146</v>
      </c>
      <c r="B105" s="0" t="s">
        <v>45</v>
      </c>
      <c r="C105" s="0" t="s">
        <v>77</v>
      </c>
      <c r="D105" s="0" t="s">
        <v>56</v>
      </c>
      <c r="E105" s="0" t="str">
        <f aca="false">B105&amp;"|"&amp;C105&amp;"|"&amp;D105</f>
        <v>Maseru [#SNU] [#DREAMS] [tKOXiaNhAyJ]|40-44|Female</v>
      </c>
      <c r="F105" s="118" t="n">
        <f aca="false">IF($D105="Female",100%,"")</f>
        <v>1</v>
      </c>
      <c r="G105" s="75" t="n">
        <f aca="false">IFERROR(ROUND($F105*INDEX(PMTCT!$AE:$AE,MATCH($E105,PMTCT!$E:$E,0)),0),"")</f>
        <v>-3952</v>
      </c>
      <c r="H105" s="118" t="n">
        <f aca="false">IF($D105="Female",100%,"")</f>
        <v>1</v>
      </c>
      <c r="I105" s="75" t="str">
        <f aca="false">IFERROR(ROUND($H105*INDEX(PMTCT!$AU:$AU,MATCH($E105,PMTCT!$E:$E,0)),0),"")</f>
        <v/>
      </c>
      <c r="J105" s="118" t="n">
        <f aca="false">1</f>
        <v>1</v>
      </c>
      <c r="K105" s="75" t="n">
        <f aca="false">IFERROR(ROUND($J105*INDEX(TB!$Q:$Q,MATCH($E105,HTS!$E:$E,0)),0),"")</f>
        <v>-6776</v>
      </c>
      <c r="L105" s="118" t="str">
        <f aca="false">IF($D105="Male",100%,"")</f>
        <v/>
      </c>
      <c r="M105" s="75" t="str">
        <f aca="false">IFERROR(ROUND($L105*INDEX(VMMC!$AC:$AC,MATCH($E105,VMMC!$E:$E,0)),0),"")</f>
        <v/>
      </c>
      <c r="N105" s="118" t="n">
        <f aca="false">1</f>
        <v>1</v>
      </c>
      <c r="O105" s="75" t="str">
        <f aca="false">IFERROR(ROUND($N105*INDEX(HTS!$Q:$Q,MATCH($E105,HTS!$E:$E,0)),0),"")</f>
        <v/>
      </c>
      <c r="P105" s="118" t="n">
        <f aca="false">1</f>
        <v>1</v>
      </c>
      <c r="Q105" s="75" t="str">
        <f aca="false">IFERROR(ROUND($P105*INDEX(HTS!$S:$S,MATCH($E105,HTS!$E:$E,0)),0),"")</f>
        <v/>
      </c>
      <c r="R105" s="118" t="n">
        <f aca="false">1</f>
        <v>1</v>
      </c>
      <c r="S105" s="75" t="str">
        <f aca="false">IFERROR(ROUND($R105*INDEX(HTS!$AM:$AM,MATCH($E105,HTS!$E:$E,0)),0),"")</f>
        <v/>
      </c>
      <c r="T105" s="118" t="n">
        <f aca="false">1</f>
        <v>1</v>
      </c>
      <c r="U105" s="75" t="str">
        <f aca="false">IFERROR(ROUND($T105*INDEX(HTS!$AV:$AV,MATCH($E105,HTS!$E:$E,0)),0),"")</f>
        <v/>
      </c>
      <c r="V105" s="118" t="n">
        <f aca="false">1</f>
        <v>1</v>
      </c>
      <c r="W105" s="75" t="str">
        <f aca="false">IFERROR(ROUND($V105*INDEX(HTS!$AY:$AY,MATCH($E105,HTS!$E:$E,0)),0),"")</f>
        <v/>
      </c>
      <c r="X105" s="118" t="n">
        <f aca="false">1</f>
        <v>1</v>
      </c>
      <c r="Y105" s="75" t="str">
        <f aca="false">IFERROR(ROUND($X105*INDEX(HTS!$BB:$BB,MATCH($E105,HTS!$E:$E,0)),0),"")</f>
        <v/>
      </c>
      <c r="Z105" s="118" t="n">
        <f aca="false">1</f>
        <v>1</v>
      </c>
      <c r="AA105" s="75" t="str">
        <f aca="false">IFERROR(ROUND($Z105*INDEX(HTS!$BE:$BE,MATCH($E105,HTS!$E:$E,0)),0),"")</f>
        <v/>
      </c>
      <c r="AB105" s="118" t="n">
        <f aca="false">1</f>
        <v>1</v>
      </c>
      <c r="AC105" s="75" t="str">
        <f aca="false">IFERROR(ROUND($AB105*INDEX(HTS!$BH:$BH,MATCH($E105,HTS!$E:$E,0)),0),"")</f>
        <v/>
      </c>
      <c r="AD105" s="118" t="n">
        <f aca="false">1</f>
        <v>1</v>
      </c>
      <c r="AE105" s="75" t="str">
        <f aca="false">IFERROR(ROUND($AD105*INDEX(HTS!$BK:$BK,MATCH($E105,HTS!$E:$E,0)),0),"")</f>
        <v/>
      </c>
      <c r="AF105" s="73" t="n">
        <f aca="false">IF(SUM($O105,$Q105,$S105,$K105,$G105,$I105,$M105,$U105,$W105,$Y105,$AA105,$AC105,$AE105)=0,"",SUM($O105,$Q105,$S105,$K105,$G105,$I105,$M105,$U105,$W105,$Y105,$AA105,$AC105,$AE105))</f>
        <v>-10728</v>
      </c>
      <c r="AG105" s="73" t="str">
        <f aca="false">INDEX(HTS!$BN:$BN,MATCH($E105,HTS!$E:$E,0))</f>
        <v/>
      </c>
      <c r="AH105" s="118" t="str">
        <f aca="false">IF(SUM($AG105)&lt;=0,"",$AF105/$AG105)</f>
        <v/>
      </c>
    </row>
    <row r="106" customFormat="false" ht="15" hidden="false" customHeight="false" outlineLevel="0" collapsed="false">
      <c r="A106" s="0" t="s">
        <v>146</v>
      </c>
      <c r="B106" s="0" t="s">
        <v>45</v>
      </c>
      <c r="C106" s="0" t="s">
        <v>77</v>
      </c>
      <c r="D106" s="0" t="s">
        <v>58</v>
      </c>
      <c r="E106" s="0" t="str">
        <f aca="false">B106&amp;"|"&amp;C106&amp;"|"&amp;D106</f>
        <v>Maseru [#SNU] [#DREAMS] [tKOXiaNhAyJ]|40-44|Male</v>
      </c>
      <c r="F106" s="118" t="str">
        <f aca="false">IF($D106="Female",100%,"")</f>
        <v/>
      </c>
      <c r="G106" s="75" t="str">
        <f aca="false">IFERROR(ROUND($F106*INDEX(PMTCT!$AE:$AE,MATCH($E106,PMTCT!$E:$E,0)),0),"")</f>
        <v/>
      </c>
      <c r="H106" s="118" t="str">
        <f aca="false">IF($D106="Female",100%,"")</f>
        <v/>
      </c>
      <c r="I106" s="75" t="str">
        <f aca="false">IFERROR(ROUND($H106*INDEX(PMTCT!$AU:$AU,MATCH($E106,PMTCT!$E:$E,0)),0),"")</f>
        <v/>
      </c>
      <c r="J106" s="118" t="n">
        <f aca="false">1</f>
        <v>1</v>
      </c>
      <c r="K106" s="75" t="n">
        <f aca="false">IFERROR(ROUND($J106*INDEX(TB!$Q:$Q,MATCH($E106,HTS!$E:$E,0)),0),"")</f>
        <v>-1144</v>
      </c>
      <c r="L106" s="118" t="n">
        <f aca="false">IF($D106="Male",100%,"")</f>
        <v>1</v>
      </c>
      <c r="M106" s="75" t="str">
        <f aca="false">IFERROR(ROUND($L106*INDEX(VMMC!$AC:$AC,MATCH($E106,VMMC!$E:$E,0)),0),"")</f>
        <v/>
      </c>
      <c r="N106" s="118" t="n">
        <f aca="false">1</f>
        <v>1</v>
      </c>
      <c r="O106" s="75" t="n">
        <f aca="false">IFERROR(ROUND($N106*INDEX(HTS!$Q:$Q,MATCH($E106,HTS!$E:$E,0)),0),"")</f>
        <v>172</v>
      </c>
      <c r="P106" s="118" t="n">
        <f aca="false">1</f>
        <v>1</v>
      </c>
      <c r="Q106" s="75" t="n">
        <f aca="false">IFERROR(ROUND($P106*INDEX(HTS!$S:$S,MATCH($E106,HTS!$E:$E,0)),0),"")</f>
        <v>-168</v>
      </c>
      <c r="R106" s="118" t="n">
        <f aca="false">1</f>
        <v>1</v>
      </c>
      <c r="S106" s="75" t="n">
        <f aca="false">IFERROR(ROUND($R106*INDEX(HTS!$AM:$AM,MATCH($E106,HTS!$E:$E,0)),0),"")</f>
        <v>65</v>
      </c>
      <c r="T106" s="118" t="n">
        <f aca="false">1</f>
        <v>1</v>
      </c>
      <c r="U106" s="75" t="n">
        <f aca="false">IFERROR(ROUND($T106*INDEX(HTS!$AV:$AV,MATCH($E106,HTS!$E:$E,0)),0),"")</f>
        <v>30</v>
      </c>
      <c r="V106" s="118" t="n">
        <f aca="false">1</f>
        <v>1</v>
      </c>
      <c r="W106" s="75" t="n">
        <f aca="false">IFERROR(ROUND($V106*INDEX(HTS!$AY:$AY,MATCH($E106,HTS!$E:$E,0)),0),"")</f>
        <v>70</v>
      </c>
      <c r="X106" s="118" t="n">
        <f aca="false">1</f>
        <v>1</v>
      </c>
      <c r="Y106" s="75" t="n">
        <f aca="false">IFERROR(ROUND($X106*INDEX(HTS!$BB:$BB,MATCH($E106,HTS!$E:$E,0)),0),"")</f>
        <v>40</v>
      </c>
      <c r="Z106" s="118" t="n">
        <f aca="false">1</f>
        <v>1</v>
      </c>
      <c r="AA106" s="75" t="n">
        <f aca="false">IFERROR(ROUND($Z106*INDEX(HTS!$BE:$BE,MATCH($E106,HTS!$E:$E,0)),0),"")</f>
        <v>40</v>
      </c>
      <c r="AB106" s="118" t="n">
        <f aca="false">1</f>
        <v>1</v>
      </c>
      <c r="AC106" s="75" t="n">
        <f aca="false">IFERROR(ROUND($AB106*INDEX(HTS!$BH:$BH,MATCH($E106,HTS!$E:$E,0)),0),"")</f>
        <v>110</v>
      </c>
      <c r="AD106" s="118" t="n">
        <f aca="false">1</f>
        <v>1</v>
      </c>
      <c r="AE106" s="75" t="n">
        <f aca="false">IFERROR(ROUND($AD106*INDEX(HTS!$BK:$BK,MATCH($E106,HTS!$E:$E,0)),0),"")</f>
        <v>110</v>
      </c>
      <c r="AF106" s="73" t="n">
        <f aca="false">IF(SUM($O106,$Q106,$S106,$K106,$G106,$I106,$M106,$U106,$W106,$Y106,$AA106,$AC106,$AE106)=0,"",SUM($O106,$Q106,$S106,$K106,$G106,$I106,$M106,$U106,$W106,$Y106,$AA106,$AC106,$AE106))</f>
        <v>-675</v>
      </c>
      <c r="AG106" s="73" t="n">
        <f aca="false">INDEX(HTS!$BN:$BN,MATCH($E106,HTS!$E:$E,0))</f>
        <v>-675</v>
      </c>
      <c r="AH106" s="118" t="str">
        <f aca="false">IF(SUM($AG106)&lt;=0,"",$AF106/$AG106)</f>
        <v/>
      </c>
    </row>
    <row r="107" customFormat="false" ht="15" hidden="false" customHeight="false" outlineLevel="0" collapsed="false">
      <c r="A107" s="0" t="s">
        <v>146</v>
      </c>
      <c r="B107" s="0" t="s">
        <v>45</v>
      </c>
      <c r="C107" s="0" t="s">
        <v>80</v>
      </c>
      <c r="D107" s="0" t="s">
        <v>56</v>
      </c>
      <c r="E107" s="0" t="str">
        <f aca="false">B107&amp;"|"&amp;C107&amp;"|"&amp;D107</f>
        <v>Maseru [#SNU] [#DREAMS] [tKOXiaNhAyJ]|45-49|Female</v>
      </c>
      <c r="F107" s="118" t="n">
        <f aca="false">IF($D107="Female",100%,"")</f>
        <v>1</v>
      </c>
      <c r="G107" s="75" t="n">
        <f aca="false">IFERROR(ROUND($F107*INDEX(PMTCT!$AE:$AE,MATCH($E107,PMTCT!$E:$E,0)),0),"")</f>
        <v>-0</v>
      </c>
      <c r="H107" s="118" t="n">
        <f aca="false">IF($D107="Female",100%,"")</f>
        <v>1</v>
      </c>
      <c r="I107" s="75" t="str">
        <f aca="false">IFERROR(ROUND($H107*INDEX(PMTCT!$AU:$AU,MATCH($E107,PMTCT!$E:$E,0)),0),"")</f>
        <v/>
      </c>
      <c r="J107" s="118" t="n">
        <f aca="false">1</f>
        <v>1</v>
      </c>
      <c r="K107" s="75" t="n">
        <f aca="false">IFERROR(ROUND($J107*INDEX(TB!$Q:$Q,MATCH($E107,HTS!$E:$E,0)),0),"")</f>
        <v>-588</v>
      </c>
      <c r="L107" s="118" t="str">
        <f aca="false">IF($D107="Male",100%,"")</f>
        <v/>
      </c>
      <c r="M107" s="75" t="str">
        <f aca="false">IFERROR(ROUND($L107*INDEX(VMMC!$AC:$AC,MATCH($E107,VMMC!$E:$E,0)),0),"")</f>
        <v/>
      </c>
      <c r="N107" s="118" t="n">
        <f aca="false">1</f>
        <v>1</v>
      </c>
      <c r="O107" s="75" t="str">
        <f aca="false">IFERROR(ROUND($N107*INDEX(HTS!$Q:$Q,MATCH($E107,HTS!$E:$E,0)),0),"")</f>
        <v/>
      </c>
      <c r="P107" s="118" t="n">
        <f aca="false">1</f>
        <v>1</v>
      </c>
      <c r="Q107" s="75" t="str">
        <f aca="false">IFERROR(ROUND($P107*INDEX(HTS!$S:$S,MATCH($E107,HTS!$E:$E,0)),0),"")</f>
        <v/>
      </c>
      <c r="R107" s="118" t="n">
        <f aca="false">1</f>
        <v>1</v>
      </c>
      <c r="S107" s="75" t="str">
        <f aca="false">IFERROR(ROUND($R107*INDEX(HTS!$AM:$AM,MATCH($E107,HTS!$E:$E,0)),0),"")</f>
        <v/>
      </c>
      <c r="T107" s="118" t="n">
        <f aca="false">1</f>
        <v>1</v>
      </c>
      <c r="U107" s="75" t="str">
        <f aca="false">IFERROR(ROUND($T107*INDEX(HTS!$AV:$AV,MATCH($E107,HTS!$E:$E,0)),0),"")</f>
        <v/>
      </c>
      <c r="V107" s="118" t="n">
        <f aca="false">1</f>
        <v>1</v>
      </c>
      <c r="W107" s="75" t="str">
        <f aca="false">IFERROR(ROUND($V107*INDEX(HTS!$AY:$AY,MATCH($E107,HTS!$E:$E,0)),0),"")</f>
        <v/>
      </c>
      <c r="X107" s="118" t="n">
        <f aca="false">1</f>
        <v>1</v>
      </c>
      <c r="Y107" s="75" t="str">
        <f aca="false">IFERROR(ROUND($X107*INDEX(HTS!$BB:$BB,MATCH($E107,HTS!$E:$E,0)),0),"")</f>
        <v/>
      </c>
      <c r="Z107" s="118" t="n">
        <f aca="false">1</f>
        <v>1</v>
      </c>
      <c r="AA107" s="75" t="str">
        <f aca="false">IFERROR(ROUND($Z107*INDEX(HTS!$BE:$BE,MATCH($E107,HTS!$E:$E,0)),0),"")</f>
        <v/>
      </c>
      <c r="AB107" s="118" t="n">
        <f aca="false">1</f>
        <v>1</v>
      </c>
      <c r="AC107" s="75" t="str">
        <f aca="false">IFERROR(ROUND($AB107*INDEX(HTS!$BH:$BH,MATCH($E107,HTS!$E:$E,0)),0),"")</f>
        <v/>
      </c>
      <c r="AD107" s="118" t="n">
        <f aca="false">1</f>
        <v>1</v>
      </c>
      <c r="AE107" s="75" t="str">
        <f aca="false">IFERROR(ROUND($AD107*INDEX(HTS!$BK:$BK,MATCH($E107,HTS!$E:$E,0)),0),"")</f>
        <v/>
      </c>
      <c r="AF107" s="73" t="n">
        <f aca="false">IF(SUM($O107,$Q107,$S107,$K107,$G107,$I107,$M107,$U107,$W107,$Y107,$AA107,$AC107,$AE107)=0,"",SUM($O107,$Q107,$S107,$K107,$G107,$I107,$M107,$U107,$W107,$Y107,$AA107,$AC107,$AE107))</f>
        <v>-588</v>
      </c>
      <c r="AG107" s="73" t="str">
        <f aca="false">INDEX(HTS!$BN:$BN,MATCH($E107,HTS!$E:$E,0))</f>
        <v/>
      </c>
      <c r="AH107" s="118" t="str">
        <f aca="false">IF(SUM($AG107)&lt;=0,"",$AF107/$AG107)</f>
        <v/>
      </c>
    </row>
    <row r="108" customFormat="false" ht="15" hidden="false" customHeight="false" outlineLevel="0" collapsed="false">
      <c r="A108" s="0" t="s">
        <v>146</v>
      </c>
      <c r="B108" s="0" t="s">
        <v>45</v>
      </c>
      <c r="C108" s="0" t="s">
        <v>80</v>
      </c>
      <c r="D108" s="0" t="s">
        <v>58</v>
      </c>
      <c r="E108" s="0" t="str">
        <f aca="false">B108&amp;"|"&amp;C108&amp;"|"&amp;D108</f>
        <v>Maseru [#SNU] [#DREAMS] [tKOXiaNhAyJ]|45-49|Male</v>
      </c>
      <c r="F108" s="118" t="str">
        <f aca="false">IF($D108="Female",100%,"")</f>
        <v/>
      </c>
      <c r="G108" s="75" t="str">
        <f aca="false">IFERROR(ROUND($F108*INDEX(PMTCT!$AE:$AE,MATCH($E108,PMTCT!$E:$E,0)),0),"")</f>
        <v/>
      </c>
      <c r="H108" s="118" t="str">
        <f aca="false">IF($D108="Female",100%,"")</f>
        <v/>
      </c>
      <c r="I108" s="75" t="str">
        <f aca="false">IFERROR(ROUND($H108*INDEX(PMTCT!$AU:$AU,MATCH($E108,PMTCT!$E:$E,0)),0),"")</f>
        <v/>
      </c>
      <c r="J108" s="118" t="n">
        <f aca="false">1</f>
        <v>1</v>
      </c>
      <c r="K108" s="75" t="n">
        <f aca="false">IFERROR(ROUND($J108*INDEX(TB!$Q:$Q,MATCH($E108,HTS!$E:$E,0)),0),"")</f>
        <v>-8514</v>
      </c>
      <c r="L108" s="118" t="n">
        <f aca="false">IF($D108="Male",100%,"")</f>
        <v>1</v>
      </c>
      <c r="M108" s="75" t="str">
        <f aca="false">IFERROR(ROUND($L108*INDEX(VMMC!$AC:$AC,MATCH($E108,VMMC!$E:$E,0)),0),"")</f>
        <v/>
      </c>
      <c r="N108" s="118" t="n">
        <f aca="false">1</f>
        <v>1</v>
      </c>
      <c r="O108" s="75" t="n">
        <f aca="false">IFERROR(ROUND($N108*INDEX(HTS!$Q:$Q,MATCH($E108,HTS!$E:$E,0)),0),"")</f>
        <v>92</v>
      </c>
      <c r="P108" s="118" t="n">
        <f aca="false">1</f>
        <v>1</v>
      </c>
      <c r="Q108" s="75" t="n">
        <f aca="false">IFERROR(ROUND($P108*INDEX(HTS!$S:$S,MATCH($E108,HTS!$E:$E,0)),0),"")</f>
        <v>-88</v>
      </c>
      <c r="R108" s="118" t="n">
        <f aca="false">1</f>
        <v>1</v>
      </c>
      <c r="S108" s="75" t="n">
        <f aca="false">IFERROR(ROUND($R108*INDEX(HTS!$AM:$AM,MATCH($E108,HTS!$E:$E,0)),0),"")</f>
        <v>70</v>
      </c>
      <c r="T108" s="118" t="n">
        <f aca="false">1</f>
        <v>1</v>
      </c>
      <c r="U108" s="75" t="n">
        <f aca="false">IFERROR(ROUND($T108*INDEX(HTS!$AV:$AV,MATCH($E108,HTS!$E:$E,0)),0),"")</f>
        <v>56</v>
      </c>
      <c r="V108" s="118" t="n">
        <f aca="false">1</f>
        <v>1</v>
      </c>
      <c r="W108" s="75" t="n">
        <f aca="false">IFERROR(ROUND($V108*INDEX(HTS!$AY:$AY,MATCH($E108,HTS!$E:$E,0)),0),"")</f>
        <v>154</v>
      </c>
      <c r="X108" s="118" t="n">
        <f aca="false">1</f>
        <v>1</v>
      </c>
      <c r="Y108" s="75" t="n">
        <f aca="false">IFERROR(ROUND($X108*INDEX(HTS!$BB:$BB,MATCH($E108,HTS!$E:$E,0)),0),"")</f>
        <v>14</v>
      </c>
      <c r="Z108" s="118" t="n">
        <f aca="false">1</f>
        <v>1</v>
      </c>
      <c r="AA108" s="75" t="n">
        <f aca="false">IFERROR(ROUND($Z108*INDEX(HTS!$BE:$BE,MATCH($E108,HTS!$E:$E,0)),0),"")</f>
        <v>91</v>
      </c>
      <c r="AB108" s="118" t="n">
        <f aca="false">1</f>
        <v>1</v>
      </c>
      <c r="AC108" s="75" t="n">
        <f aca="false">IFERROR(ROUND($AB108*INDEX(HTS!$BH:$BH,MATCH($E108,HTS!$E:$E,0)),0),"")</f>
        <v>329</v>
      </c>
      <c r="AD108" s="118" t="n">
        <f aca="false">1</f>
        <v>1</v>
      </c>
      <c r="AE108" s="75" t="n">
        <f aca="false">IFERROR(ROUND($AD108*INDEX(HTS!$BK:$BK,MATCH($E108,HTS!$E:$E,0)),0),"")</f>
        <v>231</v>
      </c>
      <c r="AF108" s="73" t="n">
        <f aca="false">IF(SUM($O108,$Q108,$S108,$K108,$G108,$I108,$M108,$U108,$W108,$Y108,$AA108,$AC108,$AE108)=0,"",SUM($O108,$Q108,$S108,$K108,$G108,$I108,$M108,$U108,$W108,$Y108,$AA108,$AC108,$AE108))</f>
        <v>-7565</v>
      </c>
      <c r="AG108" s="73" t="n">
        <f aca="false">INDEX(HTS!$BN:$BN,MATCH($E108,HTS!$E:$E,0))</f>
        <v>-7565</v>
      </c>
      <c r="AH108" s="118" t="str">
        <f aca="false">IF(SUM($AG108)&lt;=0,"",$AF108/$AG108)</f>
        <v/>
      </c>
    </row>
    <row r="109" customFormat="false" ht="15" hidden="false" customHeight="false" outlineLevel="0" collapsed="false">
      <c r="A109" s="0" t="s">
        <v>146</v>
      </c>
      <c r="B109" s="0" t="s">
        <v>45</v>
      </c>
      <c r="C109" s="0" t="s">
        <v>86</v>
      </c>
      <c r="D109" s="0" t="s">
        <v>56</v>
      </c>
      <c r="E109" s="0" t="str">
        <f aca="false">B109&amp;"|"&amp;C109&amp;"|"&amp;D109</f>
        <v>Maseru [#SNU] [#DREAMS] [tKOXiaNhAyJ]|50+|Female</v>
      </c>
      <c r="F109" s="118" t="n">
        <f aca="false">IF($D109="Female",100%,"")</f>
        <v>1</v>
      </c>
      <c r="G109" s="75" t="str">
        <f aca="false">IFERROR(ROUND($F109*INDEX(PMTCT!$AE:$AE,MATCH($E109,PMTCT!$E:$E,0)),0),"")</f>
        <v/>
      </c>
      <c r="H109" s="118" t="n">
        <f aca="false">IF($D109="Female",100%,"")</f>
        <v>1</v>
      </c>
      <c r="I109" s="75" t="str">
        <f aca="false">IFERROR(ROUND($H109*INDEX(PMTCT!$AU:$AU,MATCH($E109,PMTCT!$E:$E,0)),0),"")</f>
        <v/>
      </c>
      <c r="J109" s="118" t="n">
        <f aca="false">1</f>
        <v>1</v>
      </c>
      <c r="K109" s="75" t="n">
        <f aca="false">IFERROR(ROUND($J109*INDEX(TB!$Q:$Q,MATCH($E109,HTS!$E:$E,0)),0),"")</f>
        <v>-1786</v>
      </c>
      <c r="L109" s="118" t="str">
        <f aca="false">IF($D109="Male",100%,"")</f>
        <v/>
      </c>
      <c r="M109" s="75" t="str">
        <f aca="false">IFERROR(ROUND($L109*INDEX(VMMC!$AC:$AC,MATCH($E109,VMMC!$E:$E,0)),0),"")</f>
        <v/>
      </c>
      <c r="N109" s="118" t="n">
        <f aca="false">1</f>
        <v>1</v>
      </c>
      <c r="O109" s="75" t="n">
        <f aca="false">IFERROR(ROUND($N109*INDEX(HTS!$Q:$Q,MATCH($E109,HTS!$E:$E,0)),0),"")</f>
        <v>215</v>
      </c>
      <c r="P109" s="118" t="n">
        <f aca="false">1</f>
        <v>1</v>
      </c>
      <c r="Q109" s="75" t="n">
        <f aca="false">IFERROR(ROUND($P109*INDEX(HTS!$S:$S,MATCH($E109,HTS!$E:$E,0)),0),"")</f>
        <v>-210</v>
      </c>
      <c r="R109" s="118" t="n">
        <f aca="false">1</f>
        <v>1</v>
      </c>
      <c r="S109" s="75" t="n">
        <f aca="false">IFERROR(ROUND($R109*INDEX(HTS!$AM:$AM,MATCH($E109,HTS!$E:$E,0)),0),"")</f>
        <v>180</v>
      </c>
      <c r="T109" s="118" t="n">
        <f aca="false">1</f>
        <v>1</v>
      </c>
      <c r="U109" s="75" t="n">
        <f aca="false">IFERROR(ROUND($T109*INDEX(HTS!$AV:$AV,MATCH($E109,HTS!$E:$E,0)),0),"")</f>
        <v>126</v>
      </c>
      <c r="V109" s="118" t="n">
        <f aca="false">1</f>
        <v>1</v>
      </c>
      <c r="W109" s="75" t="n">
        <f aca="false">IFERROR(ROUND($V109*INDEX(HTS!$AY:$AY,MATCH($E109,HTS!$E:$E,0)),0),"")</f>
        <v>333</v>
      </c>
      <c r="X109" s="118" t="n">
        <f aca="false">1</f>
        <v>1</v>
      </c>
      <c r="Y109" s="75" t="n">
        <f aca="false">IFERROR(ROUND($X109*INDEX(HTS!$BB:$BB,MATCH($E109,HTS!$E:$E,0)),0),"")</f>
        <v>63</v>
      </c>
      <c r="Z109" s="118" t="n">
        <f aca="false">1</f>
        <v>1</v>
      </c>
      <c r="AA109" s="75" t="n">
        <f aca="false">IFERROR(ROUND($Z109*INDEX(HTS!$BE:$BE,MATCH($E109,HTS!$E:$E,0)),0),"")</f>
        <v>144</v>
      </c>
      <c r="AB109" s="118" t="n">
        <f aca="false">1</f>
        <v>1</v>
      </c>
      <c r="AC109" s="75" t="n">
        <f aca="false">IFERROR(ROUND($AB109*INDEX(HTS!$BH:$BH,MATCH($E109,HTS!$E:$E,0)),0),"")</f>
        <v>54</v>
      </c>
      <c r="AD109" s="118" t="n">
        <f aca="false">1</f>
        <v>1</v>
      </c>
      <c r="AE109" s="75" t="n">
        <f aca="false">IFERROR(ROUND($AD109*INDEX(HTS!$BK:$BK,MATCH($E109,HTS!$E:$E,0)),0),"")</f>
        <v>207</v>
      </c>
      <c r="AF109" s="73" t="n">
        <f aca="false">IF(SUM($O109,$Q109,$S109,$K109,$G109,$I109,$M109,$U109,$W109,$Y109,$AA109,$AC109,$AE109)=0,"",SUM($O109,$Q109,$S109,$K109,$G109,$I109,$M109,$U109,$W109,$Y109,$AA109,$AC109,$AE109))</f>
        <v>-674</v>
      </c>
      <c r="AG109" s="73" t="n">
        <f aca="false">INDEX(HTS!$BN:$BN,MATCH($E109,HTS!$E:$E,0))</f>
        <v>-674</v>
      </c>
      <c r="AH109" s="118" t="str">
        <f aca="false">IF(SUM($AG109)&lt;=0,"",$AF109/$AG109)</f>
        <v/>
      </c>
    </row>
    <row r="110" customFormat="false" ht="15" hidden="false" customHeight="false" outlineLevel="0" collapsed="false">
      <c r="A110" s="0" t="s">
        <v>146</v>
      </c>
      <c r="B110" s="0" t="s">
        <v>45</v>
      </c>
      <c r="C110" s="0" t="s">
        <v>86</v>
      </c>
      <c r="D110" s="0" t="s">
        <v>58</v>
      </c>
      <c r="E110" s="0" t="str">
        <f aca="false">B110&amp;"|"&amp;C110&amp;"|"&amp;D110</f>
        <v>Maseru [#SNU] [#DREAMS] [tKOXiaNhAyJ]|50+|Male</v>
      </c>
      <c r="F110" s="118" t="str">
        <f aca="false">IF($D110="Female",100%,"")</f>
        <v/>
      </c>
      <c r="G110" s="75" t="str">
        <f aca="false">IFERROR(ROUND($F110*INDEX(PMTCT!$AE:$AE,MATCH($E110,PMTCT!$E:$E,0)),0),"")</f>
        <v/>
      </c>
      <c r="H110" s="118" t="str">
        <f aca="false">IF($D110="Female",100%,"")</f>
        <v/>
      </c>
      <c r="I110" s="75" t="str">
        <f aca="false">IFERROR(ROUND($H110*INDEX(PMTCT!$AU:$AU,MATCH($E110,PMTCT!$E:$E,0)),0),"")</f>
        <v/>
      </c>
      <c r="J110" s="118" t="n">
        <f aca="false">1</f>
        <v>1</v>
      </c>
      <c r="K110" s="75" t="n">
        <f aca="false">IFERROR(ROUND($J110*INDEX(TB!$Q:$Q,MATCH($E110,HTS!$E:$E,0)),0),"")</f>
        <v>-2640</v>
      </c>
      <c r="L110" s="118" t="n">
        <f aca="false">IF($D110="Male",100%,"")</f>
        <v>1</v>
      </c>
      <c r="M110" s="75" t="str">
        <f aca="false">IFERROR(ROUND($L110*INDEX(VMMC!$AC:$AC,MATCH($E110,VMMC!$E:$E,0)),0),"")</f>
        <v/>
      </c>
      <c r="N110" s="118" t="n">
        <f aca="false">1</f>
        <v>1</v>
      </c>
      <c r="O110" s="75" t="n">
        <f aca="false">IFERROR(ROUND($N110*INDEX(HTS!$Q:$Q,MATCH($E110,HTS!$E:$E,0)),0),"")</f>
        <v>10</v>
      </c>
      <c r="P110" s="118" t="n">
        <f aca="false">1</f>
        <v>1</v>
      </c>
      <c r="Q110" s="75" t="n">
        <f aca="false">IFERROR(ROUND($P110*INDEX(HTS!$S:$S,MATCH($E110,HTS!$E:$E,0)),0),"")</f>
        <v>-8</v>
      </c>
      <c r="R110" s="118" t="n">
        <f aca="false">1</f>
        <v>1</v>
      </c>
      <c r="S110" s="75" t="n">
        <f aca="false">IFERROR(ROUND($R110*INDEX(HTS!$AM:$AM,MATCH($E110,HTS!$E:$E,0)),0),"")</f>
        <v>60</v>
      </c>
      <c r="T110" s="118" t="n">
        <f aca="false">1</f>
        <v>1</v>
      </c>
      <c r="U110" s="75" t="n">
        <f aca="false">IFERROR(ROUND($T110*INDEX(HTS!$AV:$AV,MATCH($E110,HTS!$E:$E,0)),0),"")</f>
        <v>100</v>
      </c>
      <c r="V110" s="118" t="n">
        <f aca="false">1</f>
        <v>1</v>
      </c>
      <c r="W110" s="75" t="n">
        <f aca="false">IFERROR(ROUND($V110*INDEX(HTS!$AY:$AY,MATCH($E110,HTS!$E:$E,0)),0),"")</f>
        <v>168</v>
      </c>
      <c r="X110" s="118" t="n">
        <f aca="false">1</f>
        <v>1</v>
      </c>
      <c r="Y110" s="75" t="n">
        <f aca="false">IFERROR(ROUND($X110*INDEX(HTS!$BB:$BB,MATCH($E110,HTS!$E:$E,0)),0),"")</f>
        <v>152</v>
      </c>
      <c r="Z110" s="118" t="n">
        <f aca="false">1</f>
        <v>1</v>
      </c>
      <c r="AA110" s="75" t="n">
        <f aca="false">IFERROR(ROUND($Z110*INDEX(HTS!$BE:$BE,MATCH($E110,HTS!$E:$E,0)),0),"")</f>
        <v>148</v>
      </c>
      <c r="AB110" s="118" t="n">
        <f aca="false">1</f>
        <v>1</v>
      </c>
      <c r="AC110" s="75" t="n">
        <f aca="false">IFERROR(ROUND($AB110*INDEX(HTS!$BH:$BH,MATCH($E110,HTS!$E:$E,0)),0),"")</f>
        <v>68</v>
      </c>
      <c r="AD110" s="118" t="n">
        <f aca="false">1</f>
        <v>1</v>
      </c>
      <c r="AE110" s="75" t="n">
        <f aca="false">IFERROR(ROUND($AD110*INDEX(HTS!$BK:$BK,MATCH($E110,HTS!$E:$E,0)),0),"")</f>
        <v>196</v>
      </c>
      <c r="AF110" s="73" t="n">
        <f aca="false">IF(SUM($O110,$Q110,$S110,$K110,$G110,$I110,$M110,$U110,$W110,$Y110,$AA110,$AC110,$AE110)=0,"",SUM($O110,$Q110,$S110,$K110,$G110,$I110,$M110,$U110,$W110,$Y110,$AA110,$AC110,$AE110))</f>
        <v>-1746</v>
      </c>
      <c r="AG110" s="73" t="n">
        <f aca="false">INDEX(HTS!$BN:$BN,MATCH($E110,HTS!$E:$E,0))</f>
        <v>-1746</v>
      </c>
      <c r="AH110" s="118" t="str">
        <f aca="false">IF(SUM($AG110)&lt;=0,"",$AF110/$AG110)</f>
        <v/>
      </c>
    </row>
    <row r="111" customFormat="false" ht="15" hidden="false" customHeight="false" outlineLevel="0" collapsed="false">
      <c r="A111" s="0" t="s">
        <v>147</v>
      </c>
      <c r="B111" s="0" t="s">
        <v>105</v>
      </c>
      <c r="C111" s="0" t="s">
        <v>63</v>
      </c>
      <c r="D111" s="0" t="s">
        <v>56</v>
      </c>
      <c r="E111" s="0" t="str">
        <f aca="false">B111&amp;"|"&amp;C111&amp;"|"&amp;D111</f>
        <v>Mohale's Hoek [#SNU] [#DREAMS] [YGI7vISD2kJ]|15-19|Female</v>
      </c>
      <c r="F111" s="118" t="n">
        <f aca="false">IF($D111="Female",100%,"")</f>
        <v>1</v>
      </c>
      <c r="G111" s="75" t="n">
        <f aca="false">IFERROR(ROUND($F111*INDEX(PMTCT!$AE:$AE,MATCH($E111,PMTCT!$E:$E,0)),0),"")</f>
        <v>-3024</v>
      </c>
      <c r="H111" s="118" t="n">
        <f aca="false">IF($D111="Female",100%,"")</f>
        <v>1</v>
      </c>
      <c r="I111" s="75" t="str">
        <f aca="false">IFERROR(ROUND($H111*INDEX(PMTCT!$AU:$AU,MATCH($E111,PMTCT!$E:$E,0)),0),"")</f>
        <v/>
      </c>
      <c r="J111" s="118" t="n">
        <f aca="false">1</f>
        <v>1</v>
      </c>
      <c r="K111" s="75" t="n">
        <f aca="false">IFERROR(ROUND($J111*INDEX(TB!$Q:$Q,MATCH($E111,HTS!$E:$E,0)),0),"")</f>
        <v>-0</v>
      </c>
      <c r="L111" s="118" t="str">
        <f aca="false">IF($D111="Male",100%,"")</f>
        <v/>
      </c>
      <c r="M111" s="75" t="str">
        <f aca="false">IFERROR(ROUND($L111*INDEX(VMMC!$AC:$AC,MATCH($E111,VMMC!$E:$E,0)),0),"")</f>
        <v/>
      </c>
      <c r="N111" s="118" t="n">
        <f aca="false">1</f>
        <v>1</v>
      </c>
      <c r="O111" s="75" t="str">
        <f aca="false">IFERROR(ROUND($N111*INDEX(HTS!$Q:$Q,MATCH($E111,HTS!$E:$E,0)),0),"")</f>
        <v/>
      </c>
      <c r="P111" s="118" t="n">
        <f aca="false">1</f>
        <v>1</v>
      </c>
      <c r="Q111" s="75" t="n">
        <f aca="false">IFERROR(ROUND($P111*INDEX(HTS!$S:$S,MATCH($E111,HTS!$E:$E,0)),0),"")</f>
        <v>2</v>
      </c>
      <c r="R111" s="118" t="n">
        <f aca="false">1</f>
        <v>1</v>
      </c>
      <c r="S111" s="75" t="n">
        <f aca="false">IFERROR(ROUND($R111*INDEX(HTS!$AM:$AM,MATCH($E111,HTS!$E:$E,0)),0),"")</f>
        <v>168</v>
      </c>
      <c r="T111" s="118" t="n">
        <f aca="false">1</f>
        <v>1</v>
      </c>
      <c r="U111" s="75" t="n">
        <f aca="false">IFERROR(ROUND($T111*INDEX(HTS!$AV:$AV,MATCH($E111,HTS!$E:$E,0)),0),"")</f>
        <v>70</v>
      </c>
      <c r="V111" s="118" t="n">
        <f aca="false">1</f>
        <v>1</v>
      </c>
      <c r="W111" s="75" t="n">
        <f aca="false">IFERROR(ROUND($V111*INDEX(HTS!$AY:$AY,MATCH($E111,HTS!$E:$E,0)),0),"")</f>
        <v>133</v>
      </c>
      <c r="X111" s="118" t="n">
        <f aca="false">1</f>
        <v>1</v>
      </c>
      <c r="Y111" s="75" t="n">
        <f aca="false">IFERROR(ROUND($X111*INDEX(HTS!$BB:$BB,MATCH($E111,HTS!$E:$E,0)),0),"")</f>
        <v>336</v>
      </c>
      <c r="Z111" s="118" t="n">
        <f aca="false">1</f>
        <v>1</v>
      </c>
      <c r="AA111" s="75" t="n">
        <f aca="false">IFERROR(ROUND($Z111*INDEX(HTS!$BE:$BE,MATCH($E111,HTS!$E:$E,0)),0),"")</f>
        <v>49</v>
      </c>
      <c r="AB111" s="118" t="n">
        <f aca="false">1</f>
        <v>1</v>
      </c>
      <c r="AC111" s="75" t="n">
        <f aca="false">IFERROR(ROUND($AB111*INDEX(HTS!$BH:$BH,MATCH($E111,HTS!$E:$E,0)),0),"")</f>
        <v>112</v>
      </c>
      <c r="AD111" s="118" t="n">
        <f aca="false">1</f>
        <v>1</v>
      </c>
      <c r="AE111" s="75" t="n">
        <f aca="false">IFERROR(ROUND($AD111*INDEX(HTS!$BK:$BK,MATCH($E111,HTS!$E:$E,0)),0),"")</f>
        <v>343</v>
      </c>
      <c r="AF111" s="73" t="n">
        <f aca="false">IF(SUM($O111,$Q111,$S111,$K111,$G111,$I111,$M111,$U111,$W111,$Y111,$AA111,$AC111,$AE111)=0,"",SUM($O111,$Q111,$S111,$K111,$G111,$I111,$M111,$U111,$W111,$Y111,$AA111,$AC111,$AE111))</f>
        <v>-1811</v>
      </c>
      <c r="AG111" s="73" t="n">
        <f aca="false">INDEX(HTS!$BN:$BN,MATCH($E111,HTS!$E:$E,0))</f>
        <v>-1811</v>
      </c>
      <c r="AH111" s="118" t="str">
        <f aca="false">IF(SUM($AG111)&lt;=0,"",$AF111/$AG111)</f>
        <v/>
      </c>
    </row>
    <row r="112" customFormat="false" ht="15" hidden="false" customHeight="false" outlineLevel="0" collapsed="false">
      <c r="A112" s="0" t="s">
        <v>147</v>
      </c>
      <c r="B112" s="0" t="s">
        <v>105</v>
      </c>
      <c r="C112" s="0" t="s">
        <v>63</v>
      </c>
      <c r="D112" s="0" t="s">
        <v>58</v>
      </c>
      <c r="E112" s="0" t="str">
        <f aca="false">B112&amp;"|"&amp;C112&amp;"|"&amp;D112</f>
        <v>Mohale's Hoek [#SNU] [#DREAMS] [YGI7vISD2kJ]|15-19|Male</v>
      </c>
      <c r="F112" s="118" t="str">
        <f aca="false">IF($D112="Female",100%,"")</f>
        <v/>
      </c>
      <c r="G112" s="75" t="str">
        <f aca="false">IFERROR(ROUND($F112*INDEX(PMTCT!$AE:$AE,MATCH($E112,PMTCT!$E:$E,0)),0),"")</f>
        <v/>
      </c>
      <c r="H112" s="118" t="str">
        <f aca="false">IF($D112="Female",100%,"")</f>
        <v/>
      </c>
      <c r="I112" s="75" t="str">
        <f aca="false">IFERROR(ROUND($H112*INDEX(PMTCT!$AU:$AU,MATCH($E112,PMTCT!$E:$E,0)),0),"")</f>
        <v/>
      </c>
      <c r="J112" s="118" t="n">
        <f aca="false">1</f>
        <v>1</v>
      </c>
      <c r="K112" s="75" t="n">
        <f aca="false">IFERROR(ROUND($J112*INDEX(TB!$Q:$Q,MATCH($E112,HTS!$E:$E,0)),0),"")</f>
        <v>-0</v>
      </c>
      <c r="L112" s="118" t="n">
        <f aca="false">IF($D112="Male",100%,"")</f>
        <v>1</v>
      </c>
      <c r="M112" s="75" t="str">
        <f aca="false">IFERROR(ROUND($L112*INDEX(VMMC!$AC:$AC,MATCH($E112,VMMC!$E:$E,0)),0),"")</f>
        <v/>
      </c>
      <c r="N112" s="118" t="n">
        <f aca="false">1</f>
        <v>1</v>
      </c>
      <c r="O112" s="75" t="str">
        <f aca="false">IFERROR(ROUND($N112*INDEX(HTS!$Q:$Q,MATCH($E112,HTS!$E:$E,0)),0),"")</f>
        <v/>
      </c>
      <c r="P112" s="118" t="n">
        <f aca="false">1</f>
        <v>1</v>
      </c>
      <c r="Q112" s="75" t="n">
        <f aca="false">IFERROR(ROUND($P112*INDEX(HTS!$S:$S,MATCH($E112,HTS!$E:$E,0)),0),"")</f>
        <v>1</v>
      </c>
      <c r="R112" s="118" t="n">
        <f aca="false">1</f>
        <v>1</v>
      </c>
      <c r="S112" s="75" t="n">
        <f aca="false">IFERROR(ROUND($R112*INDEX(HTS!$AM:$AM,MATCH($E112,HTS!$E:$E,0)),0),"")</f>
        <v>1</v>
      </c>
      <c r="T112" s="118" t="n">
        <f aca="false">1</f>
        <v>1</v>
      </c>
      <c r="U112" s="75" t="n">
        <f aca="false">IFERROR(ROUND($T112*INDEX(HTS!$AV:$AV,MATCH($E112,HTS!$E:$E,0)),0),"")</f>
        <v>44</v>
      </c>
      <c r="V112" s="118" t="n">
        <f aca="false">1</f>
        <v>1</v>
      </c>
      <c r="W112" s="75" t="str">
        <f aca="false">IFERROR(ROUND($V112*INDEX(HTS!$AY:$AY,MATCH($E112,HTS!$E:$E,0)),0),"")</f>
        <v/>
      </c>
      <c r="X112" s="118" t="n">
        <f aca="false">1</f>
        <v>1</v>
      </c>
      <c r="Y112" s="75" t="n">
        <f aca="false">IFERROR(ROUND($X112*INDEX(HTS!$BB:$BB,MATCH($E112,HTS!$E:$E,0)),0),"")</f>
        <v>35</v>
      </c>
      <c r="Z112" s="118" t="n">
        <f aca="false">1</f>
        <v>1</v>
      </c>
      <c r="AA112" s="75" t="n">
        <f aca="false">IFERROR(ROUND($Z112*INDEX(HTS!$BE:$BE,MATCH($E112,HTS!$E:$E,0)),0),"")</f>
        <v>37</v>
      </c>
      <c r="AB112" s="118" t="n">
        <f aca="false">1</f>
        <v>1</v>
      </c>
      <c r="AC112" s="75" t="n">
        <f aca="false">IFERROR(ROUND($AB112*INDEX(HTS!$BH:$BH,MATCH($E112,HTS!$E:$E,0)),0),"")</f>
        <v>33</v>
      </c>
      <c r="AD112" s="118" t="n">
        <f aca="false">1</f>
        <v>1</v>
      </c>
      <c r="AE112" s="75" t="n">
        <f aca="false">IFERROR(ROUND($AD112*INDEX(HTS!$BK:$BK,MATCH($E112,HTS!$E:$E,0)),0),"")</f>
        <v>36</v>
      </c>
      <c r="AF112" s="73" t="n">
        <f aca="false">IF(SUM($O112,$Q112,$S112,$K112,$G112,$I112,$M112,$U112,$W112,$Y112,$AA112,$AC112,$AE112)=0,"",SUM($O112,$Q112,$S112,$K112,$G112,$I112,$M112,$U112,$W112,$Y112,$AA112,$AC112,$AE112))</f>
        <v>187</v>
      </c>
      <c r="AG112" s="73" t="n">
        <f aca="false">INDEX(HTS!$BN:$BN,MATCH($E112,HTS!$E:$E,0))</f>
        <v>187</v>
      </c>
      <c r="AH112" s="118" t="n">
        <f aca="false">IF(SUM($AG112)&lt;=0,"",$AF112/$AG112)</f>
        <v>1</v>
      </c>
    </row>
    <row r="113" customFormat="false" ht="15" hidden="false" customHeight="false" outlineLevel="0" collapsed="false">
      <c r="A113" s="0" t="s">
        <v>147</v>
      </c>
      <c r="B113" s="0" t="s">
        <v>105</v>
      </c>
      <c r="C113" s="0" t="s">
        <v>66</v>
      </c>
      <c r="D113" s="0" t="s">
        <v>56</v>
      </c>
      <c r="E113" s="0" t="str">
        <f aca="false">B113&amp;"|"&amp;C113&amp;"|"&amp;D113</f>
        <v>Mohale's Hoek [#SNU] [#DREAMS] [YGI7vISD2kJ]|20-24|Female</v>
      </c>
      <c r="F113" s="118" t="n">
        <f aca="false">IF($D113="Female",100%,"")</f>
        <v>1</v>
      </c>
      <c r="G113" s="75" t="n">
        <f aca="false">IFERROR(ROUND($F113*INDEX(PMTCT!$AE:$AE,MATCH($E113,PMTCT!$E:$E,0)),0),"")</f>
        <v>-5355</v>
      </c>
      <c r="H113" s="118" t="n">
        <f aca="false">IF($D113="Female",100%,"")</f>
        <v>1</v>
      </c>
      <c r="I113" s="75" t="str">
        <f aca="false">IFERROR(ROUND($H113*INDEX(PMTCT!$AU:$AU,MATCH($E113,PMTCT!$E:$E,0)),0),"")</f>
        <v/>
      </c>
      <c r="J113" s="118" t="n">
        <f aca="false">1</f>
        <v>1</v>
      </c>
      <c r="K113" s="75" t="n">
        <f aca="false">IFERROR(ROUND($J113*INDEX(TB!$Q:$Q,MATCH($E113,HTS!$E:$E,0)),0),"")</f>
        <v>-0</v>
      </c>
      <c r="L113" s="118" t="str">
        <f aca="false">IF($D113="Male",100%,"")</f>
        <v/>
      </c>
      <c r="M113" s="75" t="str">
        <f aca="false">IFERROR(ROUND($L113*INDEX(VMMC!$AC:$AC,MATCH($E113,VMMC!$E:$E,0)),0),"")</f>
        <v/>
      </c>
      <c r="N113" s="118" t="n">
        <f aca="false">1</f>
        <v>1</v>
      </c>
      <c r="O113" s="75" t="n">
        <f aca="false">IFERROR(ROUND($N113*INDEX(HTS!$Q:$Q,MATCH($E113,HTS!$E:$E,0)),0),"")</f>
        <v>195</v>
      </c>
      <c r="P113" s="118" t="n">
        <f aca="false">1</f>
        <v>1</v>
      </c>
      <c r="Q113" s="75" t="n">
        <f aca="false">IFERROR(ROUND($P113*INDEX(HTS!$S:$S,MATCH($E113,HTS!$E:$E,0)),0),"")</f>
        <v>-190</v>
      </c>
      <c r="R113" s="118" t="n">
        <f aca="false">1</f>
        <v>1</v>
      </c>
      <c r="S113" s="75" t="n">
        <f aca="false">IFERROR(ROUND($R113*INDEX(HTS!$AM:$AM,MATCH($E113,HTS!$E:$E,0)),0),"")</f>
        <v>285</v>
      </c>
      <c r="T113" s="118" t="n">
        <f aca="false">1</f>
        <v>1</v>
      </c>
      <c r="U113" s="75" t="n">
        <f aca="false">IFERROR(ROUND($T113*INDEX(HTS!$AV:$AV,MATCH($E113,HTS!$E:$E,0)),0),"")</f>
        <v>105</v>
      </c>
      <c r="V113" s="118" t="n">
        <f aca="false">1</f>
        <v>1</v>
      </c>
      <c r="W113" s="75" t="n">
        <f aca="false">IFERROR(ROUND($V113*INDEX(HTS!$AY:$AY,MATCH($E113,HTS!$E:$E,0)),0),"")</f>
        <v>375</v>
      </c>
      <c r="X113" s="118" t="n">
        <f aca="false">1</f>
        <v>1</v>
      </c>
      <c r="Y113" s="75" t="n">
        <f aca="false">IFERROR(ROUND($X113*INDEX(HTS!$BB:$BB,MATCH($E113,HTS!$E:$E,0)),0),"")</f>
        <v>315</v>
      </c>
      <c r="Z113" s="118" t="n">
        <f aca="false">1</f>
        <v>1</v>
      </c>
      <c r="AA113" s="75" t="n">
        <f aca="false">IFERROR(ROUND($Z113*INDEX(HTS!$BE:$BE,MATCH($E113,HTS!$E:$E,0)),0),"")</f>
        <v>135</v>
      </c>
      <c r="AB113" s="118" t="n">
        <f aca="false">1</f>
        <v>1</v>
      </c>
      <c r="AC113" s="75" t="n">
        <f aca="false">IFERROR(ROUND($AB113*INDEX(HTS!$BH:$BH,MATCH($E113,HTS!$E:$E,0)),0),"")</f>
        <v>270</v>
      </c>
      <c r="AD113" s="118" t="n">
        <f aca="false">1</f>
        <v>1</v>
      </c>
      <c r="AE113" s="75" t="n">
        <f aca="false">IFERROR(ROUND($AD113*INDEX(HTS!$BK:$BK,MATCH($E113,HTS!$E:$E,0)),0),"")</f>
        <v>435</v>
      </c>
      <c r="AF113" s="73" t="n">
        <f aca="false">IF(SUM($O113,$Q113,$S113,$K113,$G113,$I113,$M113,$U113,$W113,$Y113,$AA113,$AC113,$AE113)=0,"",SUM($O113,$Q113,$S113,$K113,$G113,$I113,$M113,$U113,$W113,$Y113,$AA113,$AC113,$AE113))</f>
        <v>-3430</v>
      </c>
      <c r="AG113" s="73" t="n">
        <f aca="false">INDEX(HTS!$BN:$BN,MATCH($E113,HTS!$E:$E,0))</f>
        <v>-3430</v>
      </c>
      <c r="AH113" s="118" t="str">
        <f aca="false">IF(SUM($AG113)&lt;=0,"",$AF113/$AG113)</f>
        <v/>
      </c>
    </row>
    <row r="114" customFormat="false" ht="15" hidden="false" customHeight="false" outlineLevel="0" collapsed="false">
      <c r="A114" s="0" t="s">
        <v>147</v>
      </c>
      <c r="B114" s="0" t="s">
        <v>105</v>
      </c>
      <c r="C114" s="0" t="s">
        <v>66</v>
      </c>
      <c r="D114" s="0" t="s">
        <v>58</v>
      </c>
      <c r="E114" s="0" t="str">
        <f aca="false">B114&amp;"|"&amp;C114&amp;"|"&amp;D114</f>
        <v>Mohale's Hoek [#SNU] [#DREAMS] [YGI7vISD2kJ]|20-24|Male</v>
      </c>
      <c r="F114" s="118" t="str">
        <f aca="false">IF($D114="Female",100%,"")</f>
        <v/>
      </c>
      <c r="G114" s="75" t="str">
        <f aca="false">IFERROR(ROUND($F114*INDEX(PMTCT!$AE:$AE,MATCH($E114,PMTCT!$E:$E,0)),0),"")</f>
        <v/>
      </c>
      <c r="H114" s="118" t="str">
        <f aca="false">IF($D114="Female",100%,"")</f>
        <v/>
      </c>
      <c r="I114" s="75" t="str">
        <f aca="false">IFERROR(ROUND($H114*INDEX(PMTCT!$AU:$AU,MATCH($E114,PMTCT!$E:$E,0)),0),"")</f>
        <v/>
      </c>
      <c r="J114" s="118" t="n">
        <f aca="false">1</f>
        <v>1</v>
      </c>
      <c r="K114" s="75" t="n">
        <f aca="false">IFERROR(ROUND($J114*INDEX(TB!$Q:$Q,MATCH($E114,HTS!$E:$E,0)),0),"")</f>
        <v>1000</v>
      </c>
      <c r="L114" s="118" t="n">
        <f aca="false">IF($D114="Male",100%,"")</f>
        <v>1</v>
      </c>
      <c r="M114" s="75" t="str">
        <f aca="false">IFERROR(ROUND($L114*INDEX(VMMC!$AC:$AC,MATCH($E114,VMMC!$E:$E,0)),0),"")</f>
        <v/>
      </c>
      <c r="N114" s="118" t="n">
        <f aca="false">1</f>
        <v>1</v>
      </c>
      <c r="O114" s="75" t="n">
        <f aca="false">IFERROR(ROUND($N114*INDEX(HTS!$Q:$Q,MATCH($E114,HTS!$E:$E,0)),0),"")</f>
        <v>110</v>
      </c>
      <c r="P114" s="118" t="n">
        <f aca="false">1</f>
        <v>1</v>
      </c>
      <c r="Q114" s="75" t="n">
        <f aca="false">IFERROR(ROUND($P114*INDEX(HTS!$S:$S,MATCH($E114,HTS!$E:$E,0)),0),"")</f>
        <v>-100</v>
      </c>
      <c r="R114" s="118" t="n">
        <f aca="false">1</f>
        <v>1</v>
      </c>
      <c r="S114" s="75" t="n">
        <f aca="false">IFERROR(ROUND($R114*INDEX(HTS!$AM:$AM,MATCH($E114,HTS!$E:$E,0)),0),"")</f>
        <v>561</v>
      </c>
      <c r="T114" s="118" t="n">
        <f aca="false">1</f>
        <v>1</v>
      </c>
      <c r="U114" s="75" t="n">
        <f aca="false">IFERROR(ROUND($T114*INDEX(HTS!$AV:$AV,MATCH($E114,HTS!$E:$E,0)),0),"")</f>
        <v>297</v>
      </c>
      <c r="V114" s="118" t="n">
        <f aca="false">1</f>
        <v>1</v>
      </c>
      <c r="W114" s="75" t="n">
        <f aca="false">IFERROR(ROUND($V114*INDEX(HTS!$AY:$AY,MATCH($E114,HTS!$E:$E,0)),0),"")</f>
        <v>462</v>
      </c>
      <c r="X114" s="118" t="n">
        <f aca="false">1</f>
        <v>1</v>
      </c>
      <c r="Y114" s="75" t="n">
        <f aca="false">IFERROR(ROUND($X114*INDEX(HTS!$BB:$BB,MATCH($E114,HTS!$E:$E,0)),0),"")</f>
        <v>561</v>
      </c>
      <c r="Z114" s="118" t="n">
        <f aca="false">1</f>
        <v>1</v>
      </c>
      <c r="AA114" s="75" t="n">
        <f aca="false">IFERROR(ROUND($Z114*INDEX(HTS!$BE:$BE,MATCH($E114,HTS!$E:$E,0)),0),"")</f>
        <v>1254</v>
      </c>
      <c r="AB114" s="118" t="n">
        <f aca="false">1</f>
        <v>1</v>
      </c>
      <c r="AC114" s="75" t="n">
        <f aca="false">IFERROR(ROUND($AB114*INDEX(HTS!$BH:$BH,MATCH($E114,HTS!$E:$E,0)),0),"")</f>
        <v>627</v>
      </c>
      <c r="AD114" s="118" t="n">
        <f aca="false">1</f>
        <v>1</v>
      </c>
      <c r="AE114" s="75" t="n">
        <f aca="false">IFERROR(ROUND($AD114*INDEX(HTS!$BK:$BK,MATCH($E114,HTS!$E:$E,0)),0),"")</f>
        <v>1320</v>
      </c>
      <c r="AF114" s="73" t="n">
        <f aca="false">IF(SUM($O114,$Q114,$S114,$K114,$G114,$I114,$M114,$U114,$W114,$Y114,$AA114,$AC114,$AE114)=0,"",SUM($O114,$Q114,$S114,$K114,$G114,$I114,$M114,$U114,$W114,$Y114,$AA114,$AC114,$AE114))</f>
        <v>6092</v>
      </c>
      <c r="AG114" s="73" t="n">
        <f aca="false">INDEX(HTS!$BN:$BN,MATCH($E114,HTS!$E:$E,0))</f>
        <v>6092</v>
      </c>
      <c r="AH114" s="118" t="n">
        <f aca="false">IF(SUM($AG114)&lt;=0,"",$AF114/$AG114)</f>
        <v>1</v>
      </c>
    </row>
    <row r="115" customFormat="false" ht="15" hidden="false" customHeight="false" outlineLevel="0" collapsed="false">
      <c r="A115" s="0" t="s">
        <v>147</v>
      </c>
      <c r="B115" s="0" t="s">
        <v>105</v>
      </c>
      <c r="C115" s="0" t="s">
        <v>69</v>
      </c>
      <c r="D115" s="0" t="s">
        <v>56</v>
      </c>
      <c r="E115" s="0" t="str">
        <f aca="false">B115&amp;"|"&amp;C115&amp;"|"&amp;D115</f>
        <v>Mohale's Hoek [#SNU] [#DREAMS] [YGI7vISD2kJ]|25-29|Female</v>
      </c>
      <c r="F115" s="118" t="n">
        <f aca="false">IF($D115="Female",100%,"")</f>
        <v>1</v>
      </c>
      <c r="G115" s="75" t="n">
        <f aca="false">IFERROR(ROUND($F115*INDEX(PMTCT!$AE:$AE,MATCH($E115,PMTCT!$E:$E,0)),0),"")</f>
        <v>-512</v>
      </c>
      <c r="H115" s="118" t="n">
        <f aca="false">IF($D115="Female",100%,"")</f>
        <v>1</v>
      </c>
      <c r="I115" s="75" t="str">
        <f aca="false">IFERROR(ROUND($H115*INDEX(PMTCT!$AU:$AU,MATCH($E115,PMTCT!$E:$E,0)),0),"")</f>
        <v/>
      </c>
      <c r="J115" s="118" t="n">
        <f aca="false">1</f>
        <v>1</v>
      </c>
      <c r="K115" s="75" t="n">
        <f aca="false">IFERROR(ROUND($J115*INDEX(TB!$Q:$Q,MATCH($E115,HTS!$E:$E,0)),0),"")</f>
        <v>-10584</v>
      </c>
      <c r="L115" s="118" t="str">
        <f aca="false">IF($D115="Male",100%,"")</f>
        <v/>
      </c>
      <c r="M115" s="75" t="str">
        <f aca="false">IFERROR(ROUND($L115*INDEX(VMMC!$AC:$AC,MATCH($E115,VMMC!$E:$E,0)),0),"")</f>
        <v/>
      </c>
      <c r="N115" s="118" t="n">
        <f aca="false">1</f>
        <v>1</v>
      </c>
      <c r="O115" s="75" t="str">
        <f aca="false">IFERROR(ROUND($N115*INDEX(HTS!$Q:$Q,MATCH($E115,HTS!$E:$E,0)),0),"")</f>
        <v/>
      </c>
      <c r="P115" s="118" t="n">
        <f aca="false">1</f>
        <v>1</v>
      </c>
      <c r="Q115" s="75" t="str">
        <f aca="false">IFERROR(ROUND($P115*INDEX(HTS!$S:$S,MATCH($E115,HTS!$E:$E,0)),0),"")</f>
        <v/>
      </c>
      <c r="R115" s="118" t="n">
        <f aca="false">1</f>
        <v>1</v>
      </c>
      <c r="S115" s="75" t="n">
        <f aca="false">IFERROR(ROUND($R115*INDEX(HTS!$AM:$AM,MATCH($E115,HTS!$E:$E,0)),0),"")</f>
        <v>44</v>
      </c>
      <c r="T115" s="118" t="n">
        <f aca="false">1</f>
        <v>1</v>
      </c>
      <c r="U115" s="75" t="n">
        <f aca="false">IFERROR(ROUND($T115*INDEX(HTS!$AV:$AV,MATCH($E115,HTS!$E:$E,0)),0),"")</f>
        <v>4</v>
      </c>
      <c r="V115" s="118" t="n">
        <f aca="false">1</f>
        <v>1</v>
      </c>
      <c r="W115" s="75" t="n">
        <f aca="false">IFERROR(ROUND($V115*INDEX(HTS!$AY:$AY,MATCH($E115,HTS!$E:$E,0)),0),"")</f>
        <v>27</v>
      </c>
      <c r="X115" s="118" t="n">
        <f aca="false">1</f>
        <v>1</v>
      </c>
      <c r="Y115" s="75" t="n">
        <f aca="false">IFERROR(ROUND($X115*INDEX(HTS!$BB:$BB,MATCH($E115,HTS!$E:$E,0)),0),"")</f>
        <v>38</v>
      </c>
      <c r="Z115" s="118" t="n">
        <f aca="false">1</f>
        <v>1</v>
      </c>
      <c r="AA115" s="75" t="n">
        <f aca="false">IFERROR(ROUND($Z115*INDEX(HTS!$BE:$BE,MATCH($E115,HTS!$E:$E,0)),0),"")</f>
        <v>3</v>
      </c>
      <c r="AB115" s="118" t="n">
        <f aca="false">1</f>
        <v>1</v>
      </c>
      <c r="AC115" s="75" t="n">
        <f aca="false">IFERROR(ROUND($AB115*INDEX(HTS!$BH:$BH,MATCH($E115,HTS!$E:$E,0)),0),"")</f>
        <v>8</v>
      </c>
      <c r="AD115" s="118" t="n">
        <f aca="false">1</f>
        <v>1</v>
      </c>
      <c r="AE115" s="75" t="n">
        <f aca="false">IFERROR(ROUND($AD115*INDEX(HTS!$BK:$BK,MATCH($E115,HTS!$E:$E,0)),0),"")</f>
        <v>16</v>
      </c>
      <c r="AF115" s="73" t="n">
        <f aca="false">IF(SUM($O115,$Q115,$S115,$K115,$G115,$I115,$M115,$U115,$W115,$Y115,$AA115,$AC115,$AE115)=0,"",SUM($O115,$Q115,$S115,$K115,$G115,$I115,$M115,$U115,$W115,$Y115,$AA115,$AC115,$AE115))</f>
        <v>-10956</v>
      </c>
      <c r="AG115" s="73" t="n">
        <f aca="false">INDEX(HTS!$BN:$BN,MATCH($E115,HTS!$E:$E,0))</f>
        <v>-10956</v>
      </c>
      <c r="AH115" s="118" t="str">
        <f aca="false">IF(SUM($AG115)&lt;=0,"",$AF115/$AG115)</f>
        <v/>
      </c>
    </row>
    <row r="116" customFormat="false" ht="15" hidden="false" customHeight="false" outlineLevel="0" collapsed="false">
      <c r="A116" s="0" t="s">
        <v>147</v>
      </c>
      <c r="B116" s="0" t="s">
        <v>105</v>
      </c>
      <c r="C116" s="0" t="s">
        <v>69</v>
      </c>
      <c r="D116" s="0" t="s">
        <v>58</v>
      </c>
      <c r="E116" s="0" t="str">
        <f aca="false">B116&amp;"|"&amp;C116&amp;"|"&amp;D116</f>
        <v>Mohale's Hoek [#SNU] [#DREAMS] [YGI7vISD2kJ]|25-29|Male</v>
      </c>
      <c r="F116" s="118" t="str">
        <f aca="false">IF($D116="Female",100%,"")</f>
        <v/>
      </c>
      <c r="G116" s="75" t="str">
        <f aca="false">IFERROR(ROUND($F116*INDEX(PMTCT!$AE:$AE,MATCH($E116,PMTCT!$E:$E,0)),0),"")</f>
        <v/>
      </c>
      <c r="H116" s="118" t="str">
        <f aca="false">IF($D116="Female",100%,"")</f>
        <v/>
      </c>
      <c r="I116" s="75" t="str">
        <f aca="false">IFERROR(ROUND($H116*INDEX(PMTCT!$AU:$AU,MATCH($E116,PMTCT!$E:$E,0)),0),"")</f>
        <v/>
      </c>
      <c r="J116" s="118" t="n">
        <f aca="false">1</f>
        <v>1</v>
      </c>
      <c r="K116" s="75" t="n">
        <f aca="false">IFERROR(ROUND($J116*INDEX(TB!$Q:$Q,MATCH($E116,HTS!$E:$E,0)),0),"")</f>
        <v>-8619</v>
      </c>
      <c r="L116" s="118" t="n">
        <f aca="false">IF($D116="Male",100%,"")</f>
        <v>1</v>
      </c>
      <c r="M116" s="75" t="str">
        <f aca="false">IFERROR(ROUND($L116*INDEX(VMMC!$AC:$AC,MATCH($E116,VMMC!$E:$E,0)),0),"")</f>
        <v/>
      </c>
      <c r="N116" s="118" t="n">
        <f aca="false">1</f>
        <v>1</v>
      </c>
      <c r="O116" s="75" t="n">
        <f aca="false">IFERROR(ROUND($N116*INDEX(HTS!$Q:$Q,MATCH($E116,HTS!$E:$E,0)),0),"")</f>
        <v>84</v>
      </c>
      <c r="P116" s="118" t="n">
        <f aca="false">1</f>
        <v>1</v>
      </c>
      <c r="Q116" s="75" t="n">
        <f aca="false">IFERROR(ROUND($P116*INDEX(HTS!$S:$S,MATCH($E116,HTS!$E:$E,0)),0),"")</f>
        <v>-82</v>
      </c>
      <c r="R116" s="118" t="n">
        <f aca="false">1</f>
        <v>1</v>
      </c>
      <c r="S116" s="75" t="n">
        <f aca="false">IFERROR(ROUND($R116*INDEX(HTS!$AM:$AM,MATCH($E116,HTS!$E:$E,0)),0),"")</f>
        <v>344</v>
      </c>
      <c r="T116" s="118" t="n">
        <f aca="false">1</f>
        <v>1</v>
      </c>
      <c r="U116" s="75" t="n">
        <f aca="false">IFERROR(ROUND($T116*INDEX(HTS!$AV:$AV,MATCH($E116,HTS!$E:$E,0)),0),"")</f>
        <v>368</v>
      </c>
      <c r="V116" s="118" t="n">
        <f aca="false">1</f>
        <v>1</v>
      </c>
      <c r="W116" s="75" t="n">
        <f aca="false">IFERROR(ROUND($V116*INDEX(HTS!$AY:$AY,MATCH($E116,HTS!$E:$E,0)),0),"")</f>
        <v>368</v>
      </c>
      <c r="X116" s="118" t="n">
        <f aca="false">1</f>
        <v>1</v>
      </c>
      <c r="Y116" s="75" t="n">
        <f aca="false">IFERROR(ROUND($X116*INDEX(HTS!$BB:$BB,MATCH($E116,HTS!$E:$E,0)),0),"")</f>
        <v>352</v>
      </c>
      <c r="Z116" s="118" t="n">
        <f aca="false">1</f>
        <v>1</v>
      </c>
      <c r="AA116" s="75" t="n">
        <f aca="false">IFERROR(ROUND($Z116*INDEX(HTS!$BE:$BE,MATCH($E116,HTS!$E:$E,0)),0),"")</f>
        <v>48</v>
      </c>
      <c r="AB116" s="118" t="n">
        <f aca="false">1</f>
        <v>1</v>
      </c>
      <c r="AC116" s="75" t="n">
        <f aca="false">IFERROR(ROUND($AB116*INDEX(HTS!$BH:$BH,MATCH($E116,HTS!$E:$E,0)),0),"")</f>
        <v>328</v>
      </c>
      <c r="AD116" s="118" t="n">
        <f aca="false">1</f>
        <v>1</v>
      </c>
      <c r="AE116" s="75" t="n">
        <f aca="false">IFERROR(ROUND($AD116*INDEX(HTS!$BK:$BK,MATCH($E116,HTS!$E:$E,0)),0),"")</f>
        <v>360</v>
      </c>
      <c r="AF116" s="73" t="n">
        <f aca="false">IF(SUM($O116,$Q116,$S116,$K116,$G116,$I116,$M116,$U116,$W116,$Y116,$AA116,$AC116,$AE116)=0,"",SUM($O116,$Q116,$S116,$K116,$G116,$I116,$M116,$U116,$W116,$Y116,$AA116,$AC116,$AE116))</f>
        <v>-6449</v>
      </c>
      <c r="AG116" s="73" t="n">
        <f aca="false">INDEX(HTS!$BN:$BN,MATCH($E116,HTS!$E:$E,0))</f>
        <v>-6449</v>
      </c>
      <c r="AH116" s="118" t="str">
        <f aca="false">IF(SUM($AG116)&lt;=0,"",$AF116/$AG116)</f>
        <v/>
      </c>
    </row>
    <row r="117" customFormat="false" ht="15" hidden="false" customHeight="false" outlineLevel="0" collapsed="false">
      <c r="A117" s="0" t="s">
        <v>147</v>
      </c>
      <c r="B117" s="0" t="s">
        <v>105</v>
      </c>
      <c r="C117" s="0" t="s">
        <v>72</v>
      </c>
      <c r="D117" s="0" t="s">
        <v>56</v>
      </c>
      <c r="E117" s="0" t="str">
        <f aca="false">B117&amp;"|"&amp;C117&amp;"|"&amp;D117</f>
        <v>Mohale's Hoek [#SNU] [#DREAMS] [YGI7vISD2kJ]|30-34|Female</v>
      </c>
      <c r="F117" s="118" t="n">
        <f aca="false">IF($D117="Female",100%,"")</f>
        <v>1</v>
      </c>
      <c r="G117" s="75" t="n">
        <f aca="false">IFERROR(ROUND($F117*INDEX(PMTCT!$AE:$AE,MATCH($E117,PMTCT!$E:$E,0)),0),"")</f>
        <v>-23736</v>
      </c>
      <c r="H117" s="118" t="n">
        <f aca="false">IF($D117="Female",100%,"")</f>
        <v>1</v>
      </c>
      <c r="I117" s="75" t="str">
        <f aca="false">IFERROR(ROUND($H117*INDEX(PMTCT!$AU:$AU,MATCH($E117,PMTCT!$E:$E,0)),0),"")</f>
        <v/>
      </c>
      <c r="J117" s="118" t="n">
        <f aca="false">1</f>
        <v>1</v>
      </c>
      <c r="K117" s="75" t="n">
        <f aca="false">IFERROR(ROUND($J117*INDEX(TB!$Q:$Q,MATCH($E117,HTS!$E:$E,0)),0),"")</f>
        <v>-26013</v>
      </c>
      <c r="L117" s="118" t="str">
        <f aca="false">IF($D117="Male",100%,"")</f>
        <v/>
      </c>
      <c r="M117" s="75" t="str">
        <f aca="false">IFERROR(ROUND($L117*INDEX(VMMC!$AC:$AC,MATCH($E117,VMMC!$E:$E,0)),0),"")</f>
        <v/>
      </c>
      <c r="N117" s="118" t="n">
        <f aca="false">1</f>
        <v>1</v>
      </c>
      <c r="O117" s="75" t="n">
        <f aca="false">IFERROR(ROUND($N117*INDEX(HTS!$Q:$Q,MATCH($E117,HTS!$E:$E,0)),0),"")</f>
        <v>2</v>
      </c>
      <c r="P117" s="118" t="n">
        <f aca="false">1</f>
        <v>1</v>
      </c>
      <c r="Q117" s="75" t="n">
        <f aca="false">IFERROR(ROUND($P117*INDEX(HTS!$S:$S,MATCH($E117,HTS!$E:$E,0)),0),"")</f>
        <v>0</v>
      </c>
      <c r="R117" s="118" t="n">
        <f aca="false">1</f>
        <v>1</v>
      </c>
      <c r="S117" s="75" t="n">
        <f aca="false">IFERROR(ROUND($R117*INDEX(HTS!$AM:$AM,MATCH($E117,HTS!$E:$E,0)),0),"")</f>
        <v>203</v>
      </c>
      <c r="T117" s="118" t="n">
        <f aca="false">1</f>
        <v>1</v>
      </c>
      <c r="U117" s="75" t="n">
        <f aca="false">IFERROR(ROUND($T117*INDEX(HTS!$AV:$AV,MATCH($E117,HTS!$E:$E,0)),0),"")</f>
        <v>336</v>
      </c>
      <c r="V117" s="118" t="n">
        <f aca="false">1</f>
        <v>1</v>
      </c>
      <c r="W117" s="75" t="n">
        <f aca="false">IFERROR(ROUND($V117*INDEX(HTS!$AY:$AY,MATCH($E117,HTS!$E:$E,0)),0),"")</f>
        <v>70</v>
      </c>
      <c r="X117" s="118" t="n">
        <f aca="false">1</f>
        <v>1</v>
      </c>
      <c r="Y117" s="75" t="n">
        <f aca="false">IFERROR(ROUND($X117*INDEX(HTS!$BB:$BB,MATCH($E117,HTS!$E:$E,0)),0),"")</f>
        <v>266</v>
      </c>
      <c r="Z117" s="118" t="n">
        <f aca="false">1</f>
        <v>1</v>
      </c>
      <c r="AA117" s="75" t="n">
        <f aca="false">IFERROR(ROUND($Z117*INDEX(HTS!$BE:$BE,MATCH($E117,HTS!$E:$E,0)),0),"")</f>
        <v>77</v>
      </c>
      <c r="AB117" s="118" t="n">
        <f aca="false">1</f>
        <v>1</v>
      </c>
      <c r="AC117" s="75" t="n">
        <f aca="false">IFERROR(ROUND($AB117*INDEX(HTS!$BH:$BH,MATCH($E117,HTS!$E:$E,0)),0),"")</f>
        <v>343</v>
      </c>
      <c r="AD117" s="118" t="n">
        <f aca="false">1</f>
        <v>1</v>
      </c>
      <c r="AE117" s="75" t="n">
        <f aca="false">IFERROR(ROUND($AD117*INDEX(HTS!$BK:$BK,MATCH($E117,HTS!$E:$E,0)),0),"")</f>
        <v>70</v>
      </c>
      <c r="AF117" s="73" t="n">
        <f aca="false">IF(SUM($O117,$Q117,$S117,$K117,$G117,$I117,$M117,$U117,$W117,$Y117,$AA117,$AC117,$AE117)=0,"",SUM($O117,$Q117,$S117,$K117,$G117,$I117,$M117,$U117,$W117,$Y117,$AA117,$AC117,$AE117))</f>
        <v>-48382</v>
      </c>
      <c r="AG117" s="73" t="n">
        <f aca="false">INDEX(HTS!$BN:$BN,MATCH($E117,HTS!$E:$E,0))</f>
        <v>-48382</v>
      </c>
      <c r="AH117" s="118" t="str">
        <f aca="false">IF(SUM($AG117)&lt;=0,"",$AF117/$AG117)</f>
        <v/>
      </c>
    </row>
    <row r="118" customFormat="false" ht="15" hidden="false" customHeight="false" outlineLevel="0" collapsed="false">
      <c r="A118" s="0" t="s">
        <v>147</v>
      </c>
      <c r="B118" s="0" t="s">
        <v>105</v>
      </c>
      <c r="C118" s="0" t="s">
        <v>72</v>
      </c>
      <c r="D118" s="0" t="s">
        <v>58</v>
      </c>
      <c r="E118" s="0" t="str">
        <f aca="false">B118&amp;"|"&amp;C118&amp;"|"&amp;D118</f>
        <v>Mohale's Hoek [#SNU] [#DREAMS] [YGI7vISD2kJ]|30-34|Male</v>
      </c>
      <c r="F118" s="118" t="str">
        <f aca="false">IF($D118="Female",100%,"")</f>
        <v/>
      </c>
      <c r="G118" s="75" t="str">
        <f aca="false">IFERROR(ROUND($F118*INDEX(PMTCT!$AE:$AE,MATCH($E118,PMTCT!$E:$E,0)),0),"")</f>
        <v/>
      </c>
      <c r="H118" s="118" t="str">
        <f aca="false">IF($D118="Female",100%,"")</f>
        <v/>
      </c>
      <c r="I118" s="75" t="str">
        <f aca="false">IFERROR(ROUND($H118*INDEX(PMTCT!$AU:$AU,MATCH($E118,PMTCT!$E:$E,0)),0),"")</f>
        <v/>
      </c>
      <c r="J118" s="118" t="n">
        <f aca="false">1</f>
        <v>1</v>
      </c>
      <c r="K118" s="75" t="n">
        <f aca="false">IFERROR(ROUND($J118*INDEX(TB!$Q:$Q,MATCH($E118,HTS!$E:$E,0)),0),"")</f>
        <v>-48510</v>
      </c>
      <c r="L118" s="118" t="n">
        <f aca="false">IF($D118="Male",100%,"")</f>
        <v>1</v>
      </c>
      <c r="M118" s="75" t="str">
        <f aca="false">IFERROR(ROUND($L118*INDEX(VMMC!$AC:$AC,MATCH($E118,VMMC!$E:$E,0)),0),"")</f>
        <v/>
      </c>
      <c r="N118" s="118" t="n">
        <f aca="false">1</f>
        <v>1</v>
      </c>
      <c r="O118" s="75" t="n">
        <f aca="false">IFERROR(ROUND($N118*INDEX(HTS!$Q:$Q,MATCH($E118,HTS!$E:$E,0)),0),"")</f>
        <v>20</v>
      </c>
      <c r="P118" s="118" t="n">
        <f aca="false">1</f>
        <v>1</v>
      </c>
      <c r="Q118" s="75" t="n">
        <f aca="false">IFERROR(ROUND($P118*INDEX(HTS!$S:$S,MATCH($E118,HTS!$E:$E,0)),0),"")</f>
        <v>-15</v>
      </c>
      <c r="R118" s="118" t="n">
        <f aca="false">1</f>
        <v>1</v>
      </c>
      <c r="S118" s="75" t="n">
        <f aca="false">IFERROR(ROUND($R118*INDEX(HTS!$AM:$AM,MATCH($E118,HTS!$E:$E,0)),0),"")</f>
        <v>448</v>
      </c>
      <c r="T118" s="118" t="n">
        <f aca="false">1</f>
        <v>1</v>
      </c>
      <c r="U118" s="75" t="n">
        <f aca="false">IFERROR(ROUND($T118*INDEX(HTS!$AV:$AV,MATCH($E118,HTS!$E:$E,0)),0),"")</f>
        <v>80</v>
      </c>
      <c r="V118" s="118" t="n">
        <f aca="false">1</f>
        <v>1</v>
      </c>
      <c r="W118" s="75" t="n">
        <f aca="false">IFERROR(ROUND($V118*INDEX(HTS!$AY:$AY,MATCH($E118,HTS!$E:$E,0)),0),"")</f>
        <v>112</v>
      </c>
      <c r="X118" s="118" t="n">
        <f aca="false">1</f>
        <v>1</v>
      </c>
      <c r="Y118" s="75" t="n">
        <f aca="false">IFERROR(ROUND($X118*INDEX(HTS!$BB:$BB,MATCH($E118,HTS!$E:$E,0)),0),"")</f>
        <v>352</v>
      </c>
      <c r="Z118" s="118" t="n">
        <f aca="false">1</f>
        <v>1</v>
      </c>
      <c r="AA118" s="75" t="n">
        <f aca="false">IFERROR(ROUND($Z118*INDEX(HTS!$BE:$BE,MATCH($E118,HTS!$E:$E,0)),0),"")</f>
        <v>272</v>
      </c>
      <c r="AB118" s="118" t="n">
        <f aca="false">1</f>
        <v>1</v>
      </c>
      <c r="AC118" s="75" t="n">
        <f aca="false">IFERROR(ROUND($AB118*INDEX(HTS!$BH:$BH,MATCH($E118,HTS!$E:$E,0)),0),"")</f>
        <v>416</v>
      </c>
      <c r="AD118" s="118" t="n">
        <f aca="false">1</f>
        <v>1</v>
      </c>
      <c r="AE118" s="75" t="n">
        <f aca="false">IFERROR(ROUND($AD118*INDEX(HTS!$BK:$BK,MATCH($E118,HTS!$E:$E,0)),0),"")</f>
        <v>704</v>
      </c>
      <c r="AF118" s="73" t="n">
        <f aca="false">IF(SUM($O118,$Q118,$S118,$K118,$G118,$I118,$M118,$U118,$W118,$Y118,$AA118,$AC118,$AE118)=0,"",SUM($O118,$Q118,$S118,$K118,$G118,$I118,$M118,$U118,$W118,$Y118,$AA118,$AC118,$AE118))</f>
        <v>-46121</v>
      </c>
      <c r="AG118" s="73" t="n">
        <f aca="false">INDEX(HTS!$BN:$BN,MATCH($E118,HTS!$E:$E,0))</f>
        <v>-46121</v>
      </c>
      <c r="AH118" s="118" t="str">
        <f aca="false">IF(SUM($AG118)&lt;=0,"",$AF118/$AG118)</f>
        <v/>
      </c>
    </row>
    <row r="119" customFormat="false" ht="15" hidden="false" customHeight="false" outlineLevel="0" collapsed="false">
      <c r="A119" s="0" t="s">
        <v>147</v>
      </c>
      <c r="B119" s="0" t="s">
        <v>105</v>
      </c>
      <c r="C119" s="0" t="s">
        <v>75</v>
      </c>
      <c r="D119" s="0" t="s">
        <v>56</v>
      </c>
      <c r="E119" s="0" t="str">
        <f aca="false">B119&amp;"|"&amp;C119&amp;"|"&amp;D119</f>
        <v>Mohale's Hoek [#SNU] [#DREAMS] [YGI7vISD2kJ]|35-39|Female</v>
      </c>
      <c r="F119" s="118" t="n">
        <f aca="false">IF($D119="Female",100%,"")</f>
        <v>1</v>
      </c>
      <c r="G119" s="75" t="n">
        <f aca="false">IFERROR(ROUND($F119*INDEX(PMTCT!$AE:$AE,MATCH($E119,PMTCT!$E:$E,0)),0),"")</f>
        <v>-392</v>
      </c>
      <c r="H119" s="118" t="n">
        <f aca="false">IF($D119="Female",100%,"")</f>
        <v>1</v>
      </c>
      <c r="I119" s="75" t="str">
        <f aca="false">IFERROR(ROUND($H119*INDEX(PMTCT!$AU:$AU,MATCH($E119,PMTCT!$E:$E,0)),0),"")</f>
        <v/>
      </c>
      <c r="J119" s="118" t="n">
        <f aca="false">1</f>
        <v>1</v>
      </c>
      <c r="K119" s="75" t="n">
        <f aca="false">IFERROR(ROUND($J119*INDEX(TB!$Q:$Q,MATCH($E119,HTS!$E:$E,0)),0),"")</f>
        <v>-12375</v>
      </c>
      <c r="L119" s="118" t="str">
        <f aca="false">IF($D119="Male",100%,"")</f>
        <v/>
      </c>
      <c r="M119" s="75" t="str">
        <f aca="false">IFERROR(ROUND($L119*INDEX(VMMC!$AC:$AC,MATCH($E119,VMMC!$E:$E,0)),0),"")</f>
        <v/>
      </c>
      <c r="N119" s="118" t="n">
        <f aca="false">1</f>
        <v>1</v>
      </c>
      <c r="O119" s="75" t="n">
        <f aca="false">IFERROR(ROUND($N119*INDEX(HTS!$Q:$Q,MATCH($E119,HTS!$E:$E,0)),0),"")</f>
        <v>58</v>
      </c>
      <c r="P119" s="118" t="n">
        <f aca="false">1</f>
        <v>1</v>
      </c>
      <c r="Q119" s="75" t="n">
        <f aca="false">IFERROR(ROUND($P119*INDEX(HTS!$S:$S,MATCH($E119,HTS!$E:$E,0)),0),"")</f>
        <v>-56</v>
      </c>
      <c r="R119" s="118" t="n">
        <f aca="false">1</f>
        <v>1</v>
      </c>
      <c r="S119" s="75" t="n">
        <f aca="false">IFERROR(ROUND($R119*INDEX(HTS!$AM:$AM,MATCH($E119,HTS!$E:$E,0)),0),"")</f>
        <v>160</v>
      </c>
      <c r="T119" s="118" t="n">
        <f aca="false">1</f>
        <v>1</v>
      </c>
      <c r="U119" s="75" t="n">
        <f aca="false">IFERROR(ROUND($T119*INDEX(HTS!$AV:$AV,MATCH($E119,HTS!$E:$E,0)),0),"")</f>
        <v>136</v>
      </c>
      <c r="V119" s="118" t="n">
        <f aca="false">1</f>
        <v>1</v>
      </c>
      <c r="W119" s="75" t="n">
        <f aca="false">IFERROR(ROUND($V119*INDEX(HTS!$AY:$AY,MATCH($E119,HTS!$E:$E,0)),0),"")</f>
        <v>144</v>
      </c>
      <c r="X119" s="118" t="n">
        <f aca="false">1</f>
        <v>1</v>
      </c>
      <c r="Y119" s="75" t="n">
        <f aca="false">IFERROR(ROUND($X119*INDEX(HTS!$BB:$BB,MATCH($E119,HTS!$E:$E,0)),0),"")</f>
        <v>64</v>
      </c>
      <c r="Z119" s="118" t="n">
        <f aca="false">1</f>
        <v>1</v>
      </c>
      <c r="AA119" s="75" t="n">
        <f aca="false">IFERROR(ROUND($Z119*INDEX(HTS!$BE:$BE,MATCH($E119,HTS!$E:$E,0)),0),"")</f>
        <v>92</v>
      </c>
      <c r="AB119" s="118" t="n">
        <f aca="false">1</f>
        <v>1</v>
      </c>
      <c r="AC119" s="75" t="n">
        <f aca="false">IFERROR(ROUND($AB119*INDEX(HTS!$BH:$BH,MATCH($E119,HTS!$E:$E,0)),0),"")</f>
        <v>136</v>
      </c>
      <c r="AD119" s="118" t="n">
        <f aca="false">1</f>
        <v>1</v>
      </c>
      <c r="AE119" s="75" t="n">
        <f aca="false">IFERROR(ROUND($AD119*INDEX(HTS!$BK:$BK,MATCH($E119,HTS!$E:$E,0)),0),"")</f>
        <v>144</v>
      </c>
      <c r="AF119" s="73" t="n">
        <f aca="false">IF(SUM($O119,$Q119,$S119,$K119,$G119,$I119,$M119,$U119,$W119,$Y119,$AA119,$AC119,$AE119)=0,"",SUM($O119,$Q119,$S119,$K119,$G119,$I119,$M119,$U119,$W119,$Y119,$AA119,$AC119,$AE119))</f>
        <v>-11889</v>
      </c>
      <c r="AG119" s="73" t="n">
        <f aca="false">INDEX(HTS!$BN:$BN,MATCH($E119,HTS!$E:$E,0))</f>
        <v>-11889</v>
      </c>
      <c r="AH119" s="118" t="str">
        <f aca="false">IF(SUM($AG119)&lt;=0,"",$AF119/$AG119)</f>
        <v/>
      </c>
    </row>
    <row r="120" customFormat="false" ht="15" hidden="false" customHeight="false" outlineLevel="0" collapsed="false">
      <c r="A120" s="0" t="s">
        <v>147</v>
      </c>
      <c r="B120" s="0" t="s">
        <v>105</v>
      </c>
      <c r="C120" s="0" t="s">
        <v>75</v>
      </c>
      <c r="D120" s="0" t="s">
        <v>58</v>
      </c>
      <c r="E120" s="0" t="str">
        <f aca="false">B120&amp;"|"&amp;C120&amp;"|"&amp;D120</f>
        <v>Mohale's Hoek [#SNU] [#DREAMS] [YGI7vISD2kJ]|35-39|Male</v>
      </c>
      <c r="F120" s="118" t="str">
        <f aca="false">IF($D120="Female",100%,"")</f>
        <v/>
      </c>
      <c r="G120" s="75" t="str">
        <f aca="false">IFERROR(ROUND($F120*INDEX(PMTCT!$AE:$AE,MATCH($E120,PMTCT!$E:$E,0)),0),"")</f>
        <v/>
      </c>
      <c r="H120" s="118" t="str">
        <f aca="false">IF($D120="Female",100%,"")</f>
        <v/>
      </c>
      <c r="I120" s="75" t="str">
        <f aca="false">IFERROR(ROUND($H120*INDEX(PMTCT!$AU:$AU,MATCH($E120,PMTCT!$E:$E,0)),0),"")</f>
        <v/>
      </c>
      <c r="J120" s="118" t="n">
        <f aca="false">1</f>
        <v>1</v>
      </c>
      <c r="K120" s="75" t="n">
        <f aca="false">IFERROR(ROUND($J120*INDEX(TB!$Q:$Q,MATCH($E120,HTS!$E:$E,0)),0),"")</f>
        <v>-60</v>
      </c>
      <c r="L120" s="118" t="n">
        <f aca="false">IF($D120="Male",100%,"")</f>
        <v>1</v>
      </c>
      <c r="M120" s="75" t="str">
        <f aca="false">IFERROR(ROUND($L120*INDEX(VMMC!$AC:$AC,MATCH($E120,VMMC!$E:$E,0)),0),"")</f>
        <v/>
      </c>
      <c r="N120" s="118" t="n">
        <f aca="false">1</f>
        <v>1</v>
      </c>
      <c r="O120" s="75" t="n">
        <f aca="false">IFERROR(ROUND($N120*INDEX(HTS!$Q:$Q,MATCH($E120,HTS!$E:$E,0)),0),"")</f>
        <v>280</v>
      </c>
      <c r="P120" s="118" t="n">
        <f aca="false">1</f>
        <v>1</v>
      </c>
      <c r="Q120" s="75" t="n">
        <f aca="false">IFERROR(ROUND($P120*INDEX(HTS!$S:$S,MATCH($E120,HTS!$E:$E,0)),0),"")</f>
        <v>-273</v>
      </c>
      <c r="R120" s="118" t="n">
        <f aca="false">1</f>
        <v>1</v>
      </c>
      <c r="S120" s="75" t="n">
        <f aca="false">IFERROR(ROUND($R120*INDEX(HTS!$AM:$AM,MATCH($E120,HTS!$E:$E,0)),0),"")</f>
        <v>432</v>
      </c>
      <c r="T120" s="118" t="n">
        <f aca="false">1</f>
        <v>1</v>
      </c>
      <c r="U120" s="75" t="n">
        <f aca="false">IFERROR(ROUND($T120*INDEX(HTS!$AV:$AV,MATCH($E120,HTS!$E:$E,0)),0),"")</f>
        <v>552</v>
      </c>
      <c r="V120" s="118" t="n">
        <f aca="false">1</f>
        <v>1</v>
      </c>
      <c r="W120" s="75" t="n">
        <f aca="false">IFERROR(ROUND($V120*INDEX(HTS!$AY:$AY,MATCH($E120,HTS!$E:$E,0)),0),"")</f>
        <v>336</v>
      </c>
      <c r="X120" s="118" t="n">
        <f aca="false">1</f>
        <v>1</v>
      </c>
      <c r="Y120" s="75" t="n">
        <f aca="false">IFERROR(ROUND($X120*INDEX(HTS!$BB:$BB,MATCH($E120,HTS!$E:$E,0)),0),"")</f>
        <v>840</v>
      </c>
      <c r="Z120" s="118" t="n">
        <f aca="false">1</f>
        <v>1</v>
      </c>
      <c r="AA120" s="75" t="n">
        <f aca="false">IFERROR(ROUND($Z120*INDEX(HTS!$BE:$BE,MATCH($E120,HTS!$E:$E,0)),0),"")</f>
        <v>96</v>
      </c>
      <c r="AB120" s="118" t="n">
        <f aca="false">1</f>
        <v>1</v>
      </c>
      <c r="AC120" s="75" t="n">
        <f aca="false">IFERROR(ROUND($AB120*INDEX(HTS!$BH:$BH,MATCH($E120,HTS!$E:$E,0)),0),"")</f>
        <v>1008</v>
      </c>
      <c r="AD120" s="118" t="n">
        <f aca="false">1</f>
        <v>1</v>
      </c>
      <c r="AE120" s="75" t="n">
        <f aca="false">IFERROR(ROUND($AD120*INDEX(HTS!$BK:$BK,MATCH($E120,HTS!$E:$E,0)),0),"")</f>
        <v>552</v>
      </c>
      <c r="AF120" s="73" t="n">
        <f aca="false">IF(SUM($O120,$Q120,$S120,$K120,$G120,$I120,$M120,$U120,$W120,$Y120,$AA120,$AC120,$AE120)=0,"",SUM($O120,$Q120,$S120,$K120,$G120,$I120,$M120,$U120,$W120,$Y120,$AA120,$AC120,$AE120))</f>
        <v>3763</v>
      </c>
      <c r="AG120" s="73" t="n">
        <f aca="false">INDEX(HTS!$BN:$BN,MATCH($E120,HTS!$E:$E,0))</f>
        <v>3763</v>
      </c>
      <c r="AH120" s="118" t="n">
        <f aca="false">IF(SUM($AG120)&lt;=0,"",$AF120/$AG120)</f>
        <v>1</v>
      </c>
    </row>
    <row r="121" customFormat="false" ht="15" hidden="false" customHeight="false" outlineLevel="0" collapsed="false">
      <c r="A121" s="0" t="s">
        <v>147</v>
      </c>
      <c r="B121" s="0" t="s">
        <v>105</v>
      </c>
      <c r="C121" s="0" t="s">
        <v>77</v>
      </c>
      <c r="D121" s="0" t="s">
        <v>56</v>
      </c>
      <c r="E121" s="0" t="str">
        <f aca="false">B121&amp;"|"&amp;C121&amp;"|"&amp;D121</f>
        <v>Mohale's Hoek [#SNU] [#DREAMS] [YGI7vISD2kJ]|40-44|Female</v>
      </c>
      <c r="F121" s="118" t="n">
        <f aca="false">IF($D121="Female",100%,"")</f>
        <v>1</v>
      </c>
      <c r="G121" s="75" t="n">
        <f aca="false">IFERROR(ROUND($F121*INDEX(PMTCT!$AE:$AE,MATCH($E121,PMTCT!$E:$E,0)),0),"")</f>
        <v>-28710</v>
      </c>
      <c r="H121" s="118" t="n">
        <f aca="false">IF($D121="Female",100%,"")</f>
        <v>1</v>
      </c>
      <c r="I121" s="75" t="str">
        <f aca="false">IFERROR(ROUND($H121*INDEX(PMTCT!$AU:$AU,MATCH($E121,PMTCT!$E:$E,0)),0),"")</f>
        <v/>
      </c>
      <c r="J121" s="118" t="n">
        <f aca="false">1</f>
        <v>1</v>
      </c>
      <c r="K121" s="75" t="n">
        <f aca="false">IFERROR(ROUND($J121*INDEX(TB!$Q:$Q,MATCH($E121,HTS!$E:$E,0)),0),"")</f>
        <v>-19140</v>
      </c>
      <c r="L121" s="118" t="str">
        <f aca="false">IF($D121="Male",100%,"")</f>
        <v/>
      </c>
      <c r="M121" s="75" t="str">
        <f aca="false">IFERROR(ROUND($L121*INDEX(VMMC!$AC:$AC,MATCH($E121,VMMC!$E:$E,0)),0),"")</f>
        <v/>
      </c>
      <c r="N121" s="118" t="n">
        <f aca="false">1</f>
        <v>1</v>
      </c>
      <c r="O121" s="75" t="n">
        <f aca="false">IFERROR(ROUND($N121*INDEX(HTS!$Q:$Q,MATCH($E121,HTS!$E:$E,0)),0),"")</f>
        <v>48</v>
      </c>
      <c r="P121" s="118" t="n">
        <f aca="false">1</f>
        <v>1</v>
      </c>
      <c r="Q121" s="75" t="n">
        <f aca="false">IFERROR(ROUND($P121*INDEX(HTS!$S:$S,MATCH($E121,HTS!$E:$E,0)),0),"")</f>
        <v>-46</v>
      </c>
      <c r="R121" s="118" t="n">
        <f aca="false">1</f>
        <v>1</v>
      </c>
      <c r="S121" s="75" t="n">
        <f aca="false">IFERROR(ROUND($R121*INDEX(HTS!$AM:$AM,MATCH($E121,HTS!$E:$E,0)),0),"")</f>
        <v>70</v>
      </c>
      <c r="T121" s="118" t="n">
        <f aca="false">1</f>
        <v>1</v>
      </c>
      <c r="U121" s="75" t="n">
        <f aca="false">IFERROR(ROUND($T121*INDEX(HTS!$AV:$AV,MATCH($E121,HTS!$E:$E,0)),0),"")</f>
        <v>16</v>
      </c>
      <c r="V121" s="118" t="n">
        <f aca="false">1</f>
        <v>1</v>
      </c>
      <c r="W121" s="75" t="n">
        <f aca="false">IFERROR(ROUND($V121*INDEX(HTS!$AY:$AY,MATCH($E121,HTS!$E:$E,0)),0),"")</f>
        <v>2</v>
      </c>
      <c r="X121" s="118" t="n">
        <f aca="false">1</f>
        <v>1</v>
      </c>
      <c r="Y121" s="75" t="n">
        <f aca="false">IFERROR(ROUND($X121*INDEX(HTS!$BB:$BB,MATCH($E121,HTS!$E:$E,0)),0),"")</f>
        <v>52</v>
      </c>
      <c r="Z121" s="118" t="n">
        <f aca="false">1</f>
        <v>1</v>
      </c>
      <c r="AA121" s="75" t="n">
        <f aca="false">IFERROR(ROUND($Z121*INDEX(HTS!$BE:$BE,MATCH($E121,HTS!$E:$E,0)),0),"")</f>
        <v>12</v>
      </c>
      <c r="AB121" s="118" t="n">
        <f aca="false">1</f>
        <v>1</v>
      </c>
      <c r="AC121" s="75" t="n">
        <f aca="false">IFERROR(ROUND($AB121*INDEX(HTS!$BH:$BH,MATCH($E121,HTS!$E:$E,0)),0),"")</f>
        <v>30</v>
      </c>
      <c r="AD121" s="118" t="n">
        <f aca="false">1</f>
        <v>1</v>
      </c>
      <c r="AE121" s="75" t="n">
        <f aca="false">IFERROR(ROUND($AD121*INDEX(HTS!$BK:$BK,MATCH($E121,HTS!$E:$E,0)),0),"")</f>
        <v>74</v>
      </c>
      <c r="AF121" s="73" t="n">
        <f aca="false">IF(SUM($O121,$Q121,$S121,$K121,$G121,$I121,$M121,$U121,$W121,$Y121,$AA121,$AC121,$AE121)=0,"",SUM($O121,$Q121,$S121,$K121,$G121,$I121,$M121,$U121,$W121,$Y121,$AA121,$AC121,$AE121))</f>
        <v>-47592</v>
      </c>
      <c r="AG121" s="73" t="n">
        <f aca="false">INDEX(HTS!$BN:$BN,MATCH($E121,HTS!$E:$E,0))</f>
        <v>-47592</v>
      </c>
      <c r="AH121" s="118" t="str">
        <f aca="false">IF(SUM($AG121)&lt;=0,"",$AF121/$AG121)</f>
        <v/>
      </c>
    </row>
    <row r="122" customFormat="false" ht="15" hidden="false" customHeight="false" outlineLevel="0" collapsed="false">
      <c r="A122" s="0" t="s">
        <v>147</v>
      </c>
      <c r="B122" s="0" t="s">
        <v>105</v>
      </c>
      <c r="C122" s="0" t="s">
        <v>77</v>
      </c>
      <c r="D122" s="0" t="s">
        <v>58</v>
      </c>
      <c r="E122" s="0" t="str">
        <f aca="false">B122&amp;"|"&amp;C122&amp;"|"&amp;D122</f>
        <v>Mohale's Hoek [#SNU] [#DREAMS] [YGI7vISD2kJ]|40-44|Male</v>
      </c>
      <c r="F122" s="118" t="str">
        <f aca="false">IF($D122="Female",100%,"")</f>
        <v/>
      </c>
      <c r="G122" s="75" t="str">
        <f aca="false">IFERROR(ROUND($F122*INDEX(PMTCT!$AE:$AE,MATCH($E122,PMTCT!$E:$E,0)),0),"")</f>
        <v/>
      </c>
      <c r="H122" s="118" t="str">
        <f aca="false">IF($D122="Female",100%,"")</f>
        <v/>
      </c>
      <c r="I122" s="75" t="str">
        <f aca="false">IFERROR(ROUND($H122*INDEX(PMTCT!$AU:$AU,MATCH($E122,PMTCT!$E:$E,0)),0),"")</f>
        <v/>
      </c>
      <c r="J122" s="118" t="n">
        <f aca="false">1</f>
        <v>1</v>
      </c>
      <c r="K122" s="75" t="n">
        <f aca="false">IFERROR(ROUND($J122*INDEX(TB!$Q:$Q,MATCH($E122,HTS!$E:$E,0)),0),"")</f>
        <v>-8742</v>
      </c>
      <c r="L122" s="118" t="n">
        <f aca="false">IF($D122="Male",100%,"")</f>
        <v>1</v>
      </c>
      <c r="M122" s="75" t="str">
        <f aca="false">IFERROR(ROUND($L122*INDEX(VMMC!$AC:$AC,MATCH($E122,VMMC!$E:$E,0)),0),"")</f>
        <v/>
      </c>
      <c r="N122" s="118" t="n">
        <f aca="false">1</f>
        <v>1</v>
      </c>
      <c r="O122" s="75" t="n">
        <f aca="false">IFERROR(ROUND($N122*INDEX(HTS!$Q:$Q,MATCH($E122,HTS!$E:$E,0)),0),"")</f>
        <v>258</v>
      </c>
      <c r="P122" s="118" t="n">
        <f aca="false">1</f>
        <v>1</v>
      </c>
      <c r="Q122" s="75" t="n">
        <f aca="false">IFERROR(ROUND($P122*INDEX(HTS!$S:$S,MATCH($E122,HTS!$E:$E,0)),0),"")</f>
        <v>-252</v>
      </c>
      <c r="R122" s="118" t="n">
        <f aca="false">1</f>
        <v>1</v>
      </c>
      <c r="S122" s="75" t="n">
        <f aca="false">IFERROR(ROUND($R122*INDEX(HTS!$AM:$AM,MATCH($E122,HTS!$E:$E,0)),0),"")</f>
        <v>693</v>
      </c>
      <c r="T122" s="118" t="n">
        <f aca="false">1</f>
        <v>1</v>
      </c>
      <c r="U122" s="75" t="n">
        <f aca="false">IFERROR(ROUND($T122*INDEX(HTS!$AV:$AV,MATCH($E122,HTS!$E:$E,0)),0),"")</f>
        <v>567</v>
      </c>
      <c r="V122" s="118" t="n">
        <f aca="false">1</f>
        <v>1</v>
      </c>
      <c r="W122" s="75" t="n">
        <f aca="false">IFERROR(ROUND($V122*INDEX(HTS!$AY:$AY,MATCH($E122,HTS!$E:$E,0)),0),"")</f>
        <v>945</v>
      </c>
      <c r="X122" s="118" t="n">
        <f aca="false">1</f>
        <v>1</v>
      </c>
      <c r="Y122" s="75" t="n">
        <f aca="false">IFERROR(ROUND($X122*INDEX(HTS!$BB:$BB,MATCH($E122,HTS!$E:$E,0)),0),"")</f>
        <v>252</v>
      </c>
      <c r="Z122" s="118" t="n">
        <f aca="false">1</f>
        <v>1</v>
      </c>
      <c r="AA122" s="75" t="n">
        <f aca="false">IFERROR(ROUND($Z122*INDEX(HTS!$BE:$BE,MATCH($E122,HTS!$E:$E,0)),0),"")</f>
        <v>966</v>
      </c>
      <c r="AB122" s="118" t="n">
        <f aca="false">1</f>
        <v>1</v>
      </c>
      <c r="AC122" s="75" t="n">
        <f aca="false">IFERROR(ROUND($AB122*INDEX(HTS!$BH:$BH,MATCH($E122,HTS!$E:$E,0)),0),"")</f>
        <v>126</v>
      </c>
      <c r="AD122" s="118" t="n">
        <f aca="false">1</f>
        <v>1</v>
      </c>
      <c r="AE122" s="75" t="n">
        <f aca="false">IFERROR(ROUND($AD122*INDEX(HTS!$BK:$BK,MATCH($E122,HTS!$E:$E,0)),0),"")</f>
        <v>567</v>
      </c>
      <c r="AF122" s="73" t="n">
        <f aca="false">IF(SUM($O122,$Q122,$S122,$K122,$G122,$I122,$M122,$U122,$W122,$Y122,$AA122,$AC122,$AE122)=0,"",SUM($O122,$Q122,$S122,$K122,$G122,$I122,$M122,$U122,$W122,$Y122,$AA122,$AC122,$AE122))</f>
        <v>-4620</v>
      </c>
      <c r="AG122" s="73" t="n">
        <f aca="false">INDEX(HTS!$BN:$BN,MATCH($E122,HTS!$E:$E,0))</f>
        <v>-4620</v>
      </c>
      <c r="AH122" s="118" t="str">
        <f aca="false">IF(SUM($AG122)&lt;=0,"",$AF122/$AG122)</f>
        <v/>
      </c>
    </row>
    <row r="123" customFormat="false" ht="15" hidden="false" customHeight="false" outlineLevel="0" collapsed="false">
      <c r="A123" s="0" t="s">
        <v>147</v>
      </c>
      <c r="B123" s="0" t="s">
        <v>105</v>
      </c>
      <c r="C123" s="0" t="s">
        <v>80</v>
      </c>
      <c r="D123" s="0" t="s">
        <v>56</v>
      </c>
      <c r="E123" s="0" t="str">
        <f aca="false">B123&amp;"|"&amp;C123&amp;"|"&amp;D123</f>
        <v>Mohale's Hoek [#SNU] [#DREAMS] [YGI7vISD2kJ]|45-49|Female</v>
      </c>
      <c r="F123" s="118" t="n">
        <f aca="false">IF($D123="Female",100%,"")</f>
        <v>1</v>
      </c>
      <c r="G123" s="75" t="n">
        <f aca="false">IFERROR(ROUND($F123*INDEX(PMTCT!$AE:$AE,MATCH($E123,PMTCT!$E:$E,0)),0),"")</f>
        <v>0</v>
      </c>
      <c r="H123" s="118" t="n">
        <f aca="false">IF($D123="Female",100%,"")</f>
        <v>1</v>
      </c>
      <c r="I123" s="75" t="n">
        <f aca="false">IFERROR(ROUND($H123*INDEX(PMTCT!$AU:$AU,MATCH($E123,PMTCT!$E:$E,0)),0),"")</f>
        <v>0</v>
      </c>
      <c r="J123" s="118" t="n">
        <f aca="false">1</f>
        <v>1</v>
      </c>
      <c r="K123" s="75" t="n">
        <f aca="false">IFERROR(ROUND($J123*INDEX(TB!$Q:$Q,MATCH($E123,HTS!$E:$E,0)),0),"")</f>
        <v>-0</v>
      </c>
      <c r="L123" s="118" t="str">
        <f aca="false">IF($D123="Male",100%,"")</f>
        <v/>
      </c>
      <c r="M123" s="75" t="str">
        <f aca="false">IFERROR(ROUND($L123*INDEX(VMMC!$AC:$AC,MATCH($E123,VMMC!$E:$E,0)),0),"")</f>
        <v/>
      </c>
      <c r="N123" s="118" t="n">
        <f aca="false">1</f>
        <v>1</v>
      </c>
      <c r="O123" s="75" t="str">
        <f aca="false">IFERROR(ROUND($N123*INDEX(HTS!$Q:$Q,MATCH($E123,HTS!$E:$E,0)),0),"")</f>
        <v/>
      </c>
      <c r="P123" s="118" t="n">
        <f aca="false">1</f>
        <v>1</v>
      </c>
      <c r="Q123" s="75" t="str">
        <f aca="false">IFERROR(ROUND($P123*INDEX(HTS!$S:$S,MATCH($E123,HTS!$E:$E,0)),0),"")</f>
        <v/>
      </c>
      <c r="R123" s="118" t="n">
        <f aca="false">1</f>
        <v>1</v>
      </c>
      <c r="S123" s="75" t="str">
        <f aca="false">IFERROR(ROUND($R123*INDEX(HTS!$AM:$AM,MATCH($E123,HTS!$E:$E,0)),0),"")</f>
        <v/>
      </c>
      <c r="T123" s="118" t="n">
        <f aca="false">1</f>
        <v>1</v>
      </c>
      <c r="U123" s="75" t="str">
        <f aca="false">IFERROR(ROUND($T123*INDEX(HTS!$AV:$AV,MATCH($E123,HTS!$E:$E,0)),0),"")</f>
        <v/>
      </c>
      <c r="V123" s="118" t="n">
        <f aca="false">1</f>
        <v>1</v>
      </c>
      <c r="W123" s="75" t="str">
        <f aca="false">IFERROR(ROUND($V123*INDEX(HTS!$AY:$AY,MATCH($E123,HTS!$E:$E,0)),0),"")</f>
        <v/>
      </c>
      <c r="X123" s="118" t="n">
        <f aca="false">1</f>
        <v>1</v>
      </c>
      <c r="Y123" s="75" t="str">
        <f aca="false">IFERROR(ROUND($X123*INDEX(HTS!$BB:$BB,MATCH($E123,HTS!$E:$E,0)),0),"")</f>
        <v/>
      </c>
      <c r="Z123" s="118" t="n">
        <f aca="false">1</f>
        <v>1</v>
      </c>
      <c r="AA123" s="75" t="str">
        <f aca="false">IFERROR(ROUND($Z123*INDEX(HTS!$BE:$BE,MATCH($E123,HTS!$E:$E,0)),0),"")</f>
        <v/>
      </c>
      <c r="AB123" s="118" t="n">
        <f aca="false">1</f>
        <v>1</v>
      </c>
      <c r="AC123" s="75" t="str">
        <f aca="false">IFERROR(ROUND($AB123*INDEX(HTS!$BH:$BH,MATCH($E123,HTS!$E:$E,0)),0),"")</f>
        <v/>
      </c>
      <c r="AD123" s="118" t="n">
        <f aca="false">1</f>
        <v>1</v>
      </c>
      <c r="AE123" s="75" t="str">
        <f aca="false">IFERROR(ROUND($AD123*INDEX(HTS!$BK:$BK,MATCH($E123,HTS!$E:$E,0)),0),"")</f>
        <v/>
      </c>
      <c r="AF123" s="73" t="str">
        <f aca="false">IF(SUM($O123,$Q123,$S123,$K123,$G123,$I123,$M123,$U123,$W123,$Y123,$AA123,$AC123,$AE123)=0,"",SUM($O123,$Q123,$S123,$K123,$G123,$I123,$M123,$U123,$W123,$Y123,$AA123,$AC123,$AE123))</f>
        <v/>
      </c>
      <c r="AG123" s="73" t="str">
        <f aca="false">INDEX(HTS!$BN:$BN,MATCH($E123,HTS!$E:$E,0))</f>
        <v/>
      </c>
      <c r="AH123" s="118" t="str">
        <f aca="false">IF(SUM($AG123)&lt;=0,"",$AF123/$AG123)</f>
        <v/>
      </c>
    </row>
    <row r="124" customFormat="false" ht="15" hidden="false" customHeight="false" outlineLevel="0" collapsed="false">
      <c r="A124" s="0" t="s">
        <v>147</v>
      </c>
      <c r="B124" s="0" t="s">
        <v>105</v>
      </c>
      <c r="C124" s="0" t="s">
        <v>80</v>
      </c>
      <c r="D124" s="0" t="s">
        <v>58</v>
      </c>
      <c r="E124" s="0" t="str">
        <f aca="false">B124&amp;"|"&amp;C124&amp;"|"&amp;D124</f>
        <v>Mohale's Hoek [#SNU] [#DREAMS] [YGI7vISD2kJ]|45-49|Male</v>
      </c>
      <c r="F124" s="118" t="str">
        <f aca="false">IF($D124="Female",100%,"")</f>
        <v/>
      </c>
      <c r="G124" s="75" t="str">
        <f aca="false">IFERROR(ROUND($F124*INDEX(PMTCT!$AE:$AE,MATCH($E124,PMTCT!$E:$E,0)),0),"")</f>
        <v/>
      </c>
      <c r="H124" s="118" t="str">
        <f aca="false">IF($D124="Female",100%,"")</f>
        <v/>
      </c>
      <c r="I124" s="75" t="str">
        <f aca="false">IFERROR(ROUND($H124*INDEX(PMTCT!$AU:$AU,MATCH($E124,PMTCT!$E:$E,0)),0),"")</f>
        <v/>
      </c>
      <c r="J124" s="118" t="n">
        <f aca="false">1</f>
        <v>1</v>
      </c>
      <c r="K124" s="75" t="n">
        <f aca="false">IFERROR(ROUND($J124*INDEX(TB!$Q:$Q,MATCH($E124,HTS!$E:$E,0)),0),"")</f>
        <v>-27720</v>
      </c>
      <c r="L124" s="118" t="n">
        <f aca="false">IF($D124="Male",100%,"")</f>
        <v>1</v>
      </c>
      <c r="M124" s="75" t="str">
        <f aca="false">IFERROR(ROUND($L124*INDEX(VMMC!$AC:$AC,MATCH($E124,VMMC!$E:$E,0)),0),"")</f>
        <v/>
      </c>
      <c r="N124" s="118" t="n">
        <f aca="false">1</f>
        <v>1</v>
      </c>
      <c r="O124" s="75" t="n">
        <f aca="false">IFERROR(ROUND($N124*INDEX(HTS!$Q:$Q,MATCH($E124,HTS!$E:$E,0)),0),"")</f>
        <v>5</v>
      </c>
      <c r="P124" s="118" t="n">
        <f aca="false">1</f>
        <v>1</v>
      </c>
      <c r="Q124" s="75" t="n">
        <f aca="false">IFERROR(ROUND($P124*INDEX(HTS!$S:$S,MATCH($E124,HTS!$E:$E,0)),0),"")</f>
        <v>-4</v>
      </c>
      <c r="R124" s="118" t="n">
        <f aca="false">1</f>
        <v>1</v>
      </c>
      <c r="S124" s="75" t="n">
        <f aca="false">IFERROR(ROUND($R124*INDEX(HTS!$AM:$AM,MATCH($E124,HTS!$E:$E,0)),0),"")</f>
        <v>92</v>
      </c>
      <c r="T124" s="118" t="n">
        <f aca="false">1</f>
        <v>1</v>
      </c>
      <c r="U124" s="75" t="n">
        <f aca="false">IFERROR(ROUND($T124*INDEX(HTS!$AV:$AV,MATCH($E124,HTS!$E:$E,0)),0),"")</f>
        <v>82</v>
      </c>
      <c r="V124" s="118" t="n">
        <f aca="false">1</f>
        <v>1</v>
      </c>
      <c r="W124" s="75" t="n">
        <f aca="false">IFERROR(ROUND($V124*INDEX(HTS!$AY:$AY,MATCH($E124,HTS!$E:$E,0)),0),"")</f>
        <v>84</v>
      </c>
      <c r="X124" s="118" t="n">
        <f aca="false">1</f>
        <v>1</v>
      </c>
      <c r="Y124" s="75" t="n">
        <f aca="false">IFERROR(ROUND($X124*INDEX(HTS!$BB:$BB,MATCH($E124,HTS!$E:$E,0)),0),"")</f>
        <v>8</v>
      </c>
      <c r="Z124" s="118" t="n">
        <f aca="false">1</f>
        <v>1</v>
      </c>
      <c r="AA124" s="75" t="n">
        <f aca="false">IFERROR(ROUND($Z124*INDEX(HTS!$BE:$BE,MATCH($E124,HTS!$E:$E,0)),0),"")</f>
        <v>88</v>
      </c>
      <c r="AB124" s="118" t="n">
        <f aca="false">1</f>
        <v>1</v>
      </c>
      <c r="AC124" s="75" t="n">
        <f aca="false">IFERROR(ROUND($AB124*INDEX(HTS!$BH:$BH,MATCH($E124,HTS!$E:$E,0)),0),"")</f>
        <v>4</v>
      </c>
      <c r="AD124" s="118" t="n">
        <f aca="false">1</f>
        <v>1</v>
      </c>
      <c r="AE124" s="75" t="n">
        <f aca="false">IFERROR(ROUND($AD124*INDEX(HTS!$BK:$BK,MATCH($E124,HTS!$E:$E,0)),0),"")</f>
        <v>56</v>
      </c>
      <c r="AF124" s="73" t="n">
        <f aca="false">IF(SUM($O124,$Q124,$S124,$K124,$G124,$I124,$M124,$U124,$W124,$Y124,$AA124,$AC124,$AE124)=0,"",SUM($O124,$Q124,$S124,$K124,$G124,$I124,$M124,$U124,$W124,$Y124,$AA124,$AC124,$AE124))</f>
        <v>-27305</v>
      </c>
      <c r="AG124" s="73" t="n">
        <f aca="false">INDEX(HTS!$BN:$BN,MATCH($E124,HTS!$E:$E,0))</f>
        <v>-27305</v>
      </c>
      <c r="AH124" s="118" t="str">
        <f aca="false">IF(SUM($AG124)&lt;=0,"",$AF124/$AG124)</f>
        <v/>
      </c>
    </row>
    <row r="125" customFormat="false" ht="15" hidden="false" customHeight="false" outlineLevel="0" collapsed="false">
      <c r="A125" s="0" t="s">
        <v>147</v>
      </c>
      <c r="B125" s="0" t="s">
        <v>105</v>
      </c>
      <c r="C125" s="0" t="s">
        <v>86</v>
      </c>
      <c r="D125" s="0" t="s">
        <v>56</v>
      </c>
      <c r="E125" s="0" t="str">
        <f aca="false">B125&amp;"|"&amp;C125&amp;"|"&amp;D125</f>
        <v>Mohale's Hoek [#SNU] [#DREAMS] [YGI7vISD2kJ]|50+|Female</v>
      </c>
      <c r="F125" s="118" t="n">
        <f aca="false">IF($D125="Female",100%,"")</f>
        <v>1</v>
      </c>
      <c r="G125" s="75" t="str">
        <f aca="false">IFERROR(ROUND($F125*INDEX(PMTCT!$AE:$AE,MATCH($E125,PMTCT!$E:$E,0)),0),"")</f>
        <v/>
      </c>
      <c r="H125" s="118" t="n">
        <f aca="false">IF($D125="Female",100%,"")</f>
        <v>1</v>
      </c>
      <c r="I125" s="75" t="str">
        <f aca="false">IFERROR(ROUND($H125*INDEX(PMTCT!$AU:$AU,MATCH($E125,PMTCT!$E:$E,0)),0),"")</f>
        <v/>
      </c>
      <c r="J125" s="118" t="n">
        <f aca="false">1</f>
        <v>1</v>
      </c>
      <c r="K125" s="75" t="n">
        <f aca="false">IFERROR(ROUND($J125*INDEX(TB!$Q:$Q,MATCH($E125,HTS!$E:$E,0)),0),"")</f>
        <v>-19320</v>
      </c>
      <c r="L125" s="118" t="str">
        <f aca="false">IF($D125="Male",100%,"")</f>
        <v/>
      </c>
      <c r="M125" s="75" t="str">
        <f aca="false">IFERROR(ROUND($L125*INDEX(VMMC!$AC:$AC,MATCH($E125,VMMC!$E:$E,0)),0),"")</f>
        <v/>
      </c>
      <c r="N125" s="118" t="n">
        <f aca="false">1</f>
        <v>1</v>
      </c>
      <c r="O125" s="75" t="n">
        <f aca="false">IFERROR(ROUND($N125*INDEX(HTS!$Q:$Q,MATCH($E125,HTS!$E:$E,0)),0),"")</f>
        <v>270</v>
      </c>
      <c r="P125" s="118" t="n">
        <f aca="false">1</f>
        <v>1</v>
      </c>
      <c r="Q125" s="75" t="n">
        <f aca="false">IFERROR(ROUND($P125*INDEX(HTS!$S:$S,MATCH($E125,HTS!$E:$E,0)),0),"")</f>
        <v>-264</v>
      </c>
      <c r="R125" s="118" t="n">
        <f aca="false">1</f>
        <v>1</v>
      </c>
      <c r="S125" s="75" t="n">
        <f aca="false">IFERROR(ROUND($R125*INDEX(HTS!$AM:$AM,MATCH($E125,HTS!$E:$E,0)),0),"")</f>
        <v>48</v>
      </c>
      <c r="T125" s="118" t="n">
        <f aca="false">1</f>
        <v>1</v>
      </c>
      <c r="U125" s="75" t="n">
        <f aca="false">IFERROR(ROUND($T125*INDEX(HTS!$AV:$AV,MATCH($E125,HTS!$E:$E,0)),0),"")</f>
        <v>156</v>
      </c>
      <c r="V125" s="118" t="n">
        <f aca="false">1</f>
        <v>1</v>
      </c>
      <c r="W125" s="75" t="n">
        <f aca="false">IFERROR(ROUND($V125*INDEX(HTS!$AY:$AY,MATCH($E125,HTS!$E:$E,0)),0),"")</f>
        <v>504</v>
      </c>
      <c r="X125" s="118" t="n">
        <f aca="false">1</f>
        <v>1</v>
      </c>
      <c r="Y125" s="75" t="n">
        <f aca="false">IFERROR(ROUND($X125*INDEX(HTS!$BB:$BB,MATCH($E125,HTS!$E:$E,0)),0),"")</f>
        <v>36</v>
      </c>
      <c r="Z125" s="118" t="n">
        <f aca="false">1</f>
        <v>1</v>
      </c>
      <c r="AA125" s="75" t="n">
        <f aca="false">IFERROR(ROUND($Z125*INDEX(HTS!$BE:$BE,MATCH($E125,HTS!$E:$E,0)),0),"")</f>
        <v>36</v>
      </c>
      <c r="AB125" s="118" t="n">
        <f aca="false">1</f>
        <v>1</v>
      </c>
      <c r="AC125" s="75" t="n">
        <f aca="false">IFERROR(ROUND($AB125*INDEX(HTS!$BH:$BH,MATCH($E125,HTS!$E:$E,0)),0),"")</f>
        <v>384</v>
      </c>
      <c r="AD125" s="118" t="n">
        <f aca="false">1</f>
        <v>1</v>
      </c>
      <c r="AE125" s="75" t="n">
        <f aca="false">IFERROR(ROUND($AD125*INDEX(HTS!$BK:$BK,MATCH($E125,HTS!$E:$E,0)),0),"")</f>
        <v>36</v>
      </c>
      <c r="AF125" s="73" t="n">
        <f aca="false">IF(SUM($O125,$Q125,$S125,$K125,$G125,$I125,$M125,$U125,$W125,$Y125,$AA125,$AC125,$AE125)=0,"",SUM($O125,$Q125,$S125,$K125,$G125,$I125,$M125,$U125,$W125,$Y125,$AA125,$AC125,$AE125))</f>
        <v>-18114</v>
      </c>
      <c r="AG125" s="73" t="n">
        <f aca="false">INDEX(HTS!$BN:$BN,MATCH($E125,HTS!$E:$E,0))</f>
        <v>-18114</v>
      </c>
      <c r="AH125" s="118" t="str">
        <f aca="false">IF(SUM($AG125)&lt;=0,"",$AF125/$AG125)</f>
        <v/>
      </c>
    </row>
    <row r="126" customFormat="false" ht="15" hidden="false" customHeight="false" outlineLevel="0" collapsed="false">
      <c r="A126" s="0" t="s">
        <v>147</v>
      </c>
      <c r="B126" s="0" t="s">
        <v>105</v>
      </c>
      <c r="C126" s="0" t="s">
        <v>86</v>
      </c>
      <c r="D126" s="0" t="s">
        <v>58</v>
      </c>
      <c r="E126" s="0" t="str">
        <f aca="false">B126&amp;"|"&amp;C126&amp;"|"&amp;D126</f>
        <v>Mohale's Hoek [#SNU] [#DREAMS] [YGI7vISD2kJ]|50+|Male</v>
      </c>
      <c r="F126" s="118" t="str">
        <f aca="false">IF($D126="Female",100%,"")</f>
        <v/>
      </c>
      <c r="G126" s="75" t="str">
        <f aca="false">IFERROR(ROUND($F126*INDEX(PMTCT!$AE:$AE,MATCH($E126,PMTCT!$E:$E,0)),0),"")</f>
        <v/>
      </c>
      <c r="H126" s="118" t="str">
        <f aca="false">IF($D126="Female",100%,"")</f>
        <v/>
      </c>
      <c r="I126" s="75" t="str">
        <f aca="false">IFERROR(ROUND($H126*INDEX(PMTCT!$AU:$AU,MATCH($E126,PMTCT!$E:$E,0)),0),"")</f>
        <v/>
      </c>
      <c r="J126" s="118" t="n">
        <f aca="false">1</f>
        <v>1</v>
      </c>
      <c r="K126" s="75" t="n">
        <f aca="false">IFERROR(ROUND($J126*INDEX(TB!$Q:$Q,MATCH($E126,HTS!$E:$E,0)),0),"")</f>
        <v>0</v>
      </c>
      <c r="L126" s="118" t="n">
        <f aca="false">IF($D126="Male",100%,"")</f>
        <v>1</v>
      </c>
      <c r="M126" s="75" t="str">
        <f aca="false">IFERROR(ROUND($L126*INDEX(VMMC!$AC:$AC,MATCH($E126,VMMC!$E:$E,0)),0),"")</f>
        <v/>
      </c>
      <c r="N126" s="118" t="n">
        <f aca="false">1</f>
        <v>1</v>
      </c>
      <c r="O126" s="75" t="n">
        <f aca="false">IFERROR(ROUND($N126*INDEX(HTS!$Q:$Q,MATCH($E126,HTS!$E:$E,0)),0),"")</f>
        <v>2</v>
      </c>
      <c r="P126" s="118" t="n">
        <f aca="false">1</f>
        <v>1</v>
      </c>
      <c r="Q126" s="75" t="n">
        <f aca="false">IFERROR(ROUND($P126*INDEX(HTS!$S:$S,MATCH($E126,HTS!$E:$E,0)),0),"")</f>
        <v>0</v>
      </c>
      <c r="R126" s="118" t="n">
        <f aca="false">1</f>
        <v>1</v>
      </c>
      <c r="S126" s="75" t="n">
        <f aca="false">IFERROR(ROUND($R126*INDEX(HTS!$AM:$AM,MATCH($E126,HTS!$E:$E,0)),0),"")</f>
        <v>312</v>
      </c>
      <c r="T126" s="118" t="n">
        <f aca="false">1</f>
        <v>1</v>
      </c>
      <c r="U126" s="75" t="n">
        <f aca="false">IFERROR(ROUND($T126*INDEX(HTS!$AV:$AV,MATCH($E126,HTS!$E:$E,0)),0),"")</f>
        <v>160</v>
      </c>
      <c r="V126" s="118" t="n">
        <f aca="false">1</f>
        <v>1</v>
      </c>
      <c r="W126" s="75" t="n">
        <f aca="false">IFERROR(ROUND($V126*INDEX(HTS!$AY:$AY,MATCH($E126,HTS!$E:$E,0)),0),"")</f>
        <v>248</v>
      </c>
      <c r="X126" s="118" t="n">
        <f aca="false">1</f>
        <v>1</v>
      </c>
      <c r="Y126" s="75" t="n">
        <f aca="false">IFERROR(ROUND($X126*INDEX(HTS!$BB:$BB,MATCH($E126,HTS!$E:$E,0)),0),"")</f>
        <v>376</v>
      </c>
      <c r="Z126" s="118" t="n">
        <f aca="false">1</f>
        <v>1</v>
      </c>
      <c r="AA126" s="75" t="n">
        <f aca="false">IFERROR(ROUND($Z126*INDEX(HTS!$BE:$BE,MATCH($E126,HTS!$E:$E,0)),0),"")</f>
        <v>400</v>
      </c>
      <c r="AB126" s="118" t="n">
        <f aca="false">1</f>
        <v>1</v>
      </c>
      <c r="AC126" s="75" t="n">
        <f aca="false">IFERROR(ROUND($AB126*INDEX(HTS!$BH:$BH,MATCH($E126,HTS!$E:$E,0)),0),"")</f>
        <v>144</v>
      </c>
      <c r="AD126" s="118" t="n">
        <f aca="false">1</f>
        <v>1</v>
      </c>
      <c r="AE126" s="75" t="n">
        <f aca="false">IFERROR(ROUND($AD126*INDEX(HTS!$BK:$BK,MATCH($E126,HTS!$E:$E,0)),0),"")</f>
        <v>312</v>
      </c>
      <c r="AF126" s="73" t="n">
        <f aca="false">IF(SUM($O126,$Q126,$S126,$K126,$G126,$I126,$M126,$U126,$W126,$Y126,$AA126,$AC126,$AE126)=0,"",SUM($O126,$Q126,$S126,$K126,$G126,$I126,$M126,$U126,$W126,$Y126,$AA126,$AC126,$AE126))</f>
        <v>1954</v>
      </c>
      <c r="AG126" s="73" t="n">
        <f aca="false">INDEX(HTS!$BN:$BN,MATCH($E126,HTS!$E:$E,0))</f>
        <v>1954</v>
      </c>
      <c r="AH126" s="118" t="n">
        <f aca="false">IF(SUM($AG126)&lt;=0,"",$AF126/$AG126)</f>
        <v>1</v>
      </c>
    </row>
    <row r="127" customFormat="false" ht="15" hidden="false" customHeight="false" outlineLevel="0" collapsed="false">
      <c r="A127" s="0" t="s">
        <v>148</v>
      </c>
      <c r="B127" s="0" t="s">
        <v>113</v>
      </c>
      <c r="C127" s="0" t="s">
        <v>63</v>
      </c>
      <c r="D127" s="0" t="s">
        <v>56</v>
      </c>
      <c r="E127" s="0" t="str">
        <f aca="false">B127&amp;"|"&amp;C127&amp;"|"&amp;D127</f>
        <v>Mokhotlong [#SNU] [tjhYqc1MlVo]|15-19|Female</v>
      </c>
      <c r="F127" s="118" t="n">
        <f aca="false">IF($D127="Female",100%,"")</f>
        <v>1</v>
      </c>
      <c r="G127" s="75" t="n">
        <f aca="false">IFERROR(ROUND($F127*INDEX(PMTCT!$AE:$AE,MATCH($E127,PMTCT!$E:$E,0)),0),"")</f>
        <v>-1296</v>
      </c>
      <c r="H127" s="118" t="n">
        <f aca="false">IF($D127="Female",100%,"")</f>
        <v>1</v>
      </c>
      <c r="I127" s="75" t="str">
        <f aca="false">IFERROR(ROUND($H127*INDEX(PMTCT!$AU:$AU,MATCH($E127,PMTCT!$E:$E,0)),0),"")</f>
        <v/>
      </c>
      <c r="J127" s="118" t="n">
        <f aca="false">1</f>
        <v>1</v>
      </c>
      <c r="K127" s="75" t="n">
        <f aca="false">IFERROR(ROUND($J127*INDEX(TB!$Q:$Q,MATCH($E127,HTS!$E:$E,0)),0),"")</f>
        <v>-0</v>
      </c>
      <c r="L127" s="118" t="str">
        <f aca="false">IF($D127="Male",100%,"")</f>
        <v/>
      </c>
      <c r="M127" s="75" t="str">
        <f aca="false">IFERROR(ROUND($L127*INDEX(VMMC!$AC:$AC,MATCH($E127,VMMC!$E:$E,0)),0),"")</f>
        <v/>
      </c>
      <c r="N127" s="118" t="n">
        <f aca="false">1</f>
        <v>1</v>
      </c>
      <c r="O127" s="75" t="str">
        <f aca="false">IFERROR(ROUND($N127*INDEX(HTS!$Q:$Q,MATCH($E127,HTS!$E:$E,0)),0),"")</f>
        <v/>
      </c>
      <c r="P127" s="118" t="n">
        <f aca="false">1</f>
        <v>1</v>
      </c>
      <c r="Q127" s="75" t="n">
        <f aca="false">IFERROR(ROUND($P127*INDEX(HTS!$S:$S,MATCH($E127,HTS!$E:$E,0)),0),"")</f>
        <v>6</v>
      </c>
      <c r="R127" s="118" t="n">
        <f aca="false">1</f>
        <v>1</v>
      </c>
      <c r="S127" s="75" t="n">
        <f aca="false">IFERROR(ROUND($R127*INDEX(HTS!$AM:$AM,MATCH($E127,HTS!$E:$E,0)),0),"")</f>
        <v>220</v>
      </c>
      <c r="T127" s="118" t="n">
        <f aca="false">1</f>
        <v>1</v>
      </c>
      <c r="U127" s="75" t="n">
        <f aca="false">IFERROR(ROUND($T127*INDEX(HTS!$AV:$AV,MATCH($E127,HTS!$E:$E,0)),0),"")</f>
        <v>700</v>
      </c>
      <c r="V127" s="118" t="n">
        <f aca="false">1</f>
        <v>1</v>
      </c>
      <c r="W127" s="75" t="n">
        <f aca="false">IFERROR(ROUND($V127*INDEX(HTS!$AY:$AY,MATCH($E127,HTS!$E:$E,0)),0),"")</f>
        <v>80</v>
      </c>
      <c r="X127" s="118" t="n">
        <f aca="false">1</f>
        <v>1</v>
      </c>
      <c r="Y127" s="75" t="n">
        <f aca="false">IFERROR(ROUND($X127*INDEX(HTS!$BB:$BB,MATCH($E127,HTS!$E:$E,0)),0),"")</f>
        <v>520</v>
      </c>
      <c r="Z127" s="118" t="n">
        <f aca="false">1</f>
        <v>1</v>
      </c>
      <c r="AA127" s="75" t="n">
        <f aca="false">IFERROR(ROUND($Z127*INDEX(HTS!$BE:$BE,MATCH($E127,HTS!$E:$E,0)),0),"")</f>
        <v>720</v>
      </c>
      <c r="AB127" s="118" t="n">
        <f aca="false">1</f>
        <v>1</v>
      </c>
      <c r="AC127" s="75" t="n">
        <f aca="false">IFERROR(ROUND($AB127*INDEX(HTS!$BH:$BH,MATCH($E127,HTS!$E:$E,0)),0),"")</f>
        <v>700</v>
      </c>
      <c r="AD127" s="118" t="n">
        <f aca="false">1</f>
        <v>1</v>
      </c>
      <c r="AE127" s="75" t="n">
        <f aca="false">IFERROR(ROUND($AD127*INDEX(HTS!$BK:$BK,MATCH($E127,HTS!$E:$E,0)),0),"")</f>
        <v>860</v>
      </c>
      <c r="AF127" s="73" t="n">
        <f aca="false">IF(SUM($O127,$Q127,$S127,$K127,$G127,$I127,$M127,$U127,$W127,$Y127,$AA127,$AC127,$AE127)=0,"",SUM($O127,$Q127,$S127,$K127,$G127,$I127,$M127,$U127,$W127,$Y127,$AA127,$AC127,$AE127))</f>
        <v>2510</v>
      </c>
      <c r="AG127" s="73" t="n">
        <f aca="false">INDEX(HTS!$BN:$BN,MATCH($E127,HTS!$E:$E,0))</f>
        <v>2510</v>
      </c>
      <c r="AH127" s="118" t="n">
        <f aca="false">IF(SUM($AG127)&lt;=0,"",$AF127/$AG127)</f>
        <v>1</v>
      </c>
    </row>
    <row r="128" customFormat="false" ht="15" hidden="false" customHeight="false" outlineLevel="0" collapsed="false">
      <c r="A128" s="0" t="s">
        <v>148</v>
      </c>
      <c r="B128" s="0" t="s">
        <v>113</v>
      </c>
      <c r="C128" s="0" t="s">
        <v>63</v>
      </c>
      <c r="D128" s="0" t="s">
        <v>58</v>
      </c>
      <c r="E128" s="0" t="str">
        <f aca="false">B128&amp;"|"&amp;C128&amp;"|"&amp;D128</f>
        <v>Mokhotlong [#SNU] [tjhYqc1MlVo]|15-19|Male</v>
      </c>
      <c r="F128" s="118" t="str">
        <f aca="false">IF($D128="Female",100%,"")</f>
        <v/>
      </c>
      <c r="G128" s="75" t="str">
        <f aca="false">IFERROR(ROUND($F128*INDEX(PMTCT!$AE:$AE,MATCH($E128,PMTCT!$E:$E,0)),0),"")</f>
        <v/>
      </c>
      <c r="H128" s="118" t="str">
        <f aca="false">IF($D128="Female",100%,"")</f>
        <v/>
      </c>
      <c r="I128" s="75" t="str">
        <f aca="false">IFERROR(ROUND($H128*INDEX(PMTCT!$AU:$AU,MATCH($E128,PMTCT!$E:$E,0)),0),"")</f>
        <v/>
      </c>
      <c r="J128" s="118" t="n">
        <f aca="false">1</f>
        <v>1</v>
      </c>
      <c r="K128" s="75" t="n">
        <f aca="false">IFERROR(ROUND($J128*INDEX(TB!$Q:$Q,MATCH($E128,HTS!$E:$E,0)),0),"")</f>
        <v>0</v>
      </c>
      <c r="L128" s="118" t="n">
        <f aca="false">IF($D128="Male",100%,"")</f>
        <v>1</v>
      </c>
      <c r="M128" s="75" t="str">
        <f aca="false">IFERROR(ROUND($L128*INDEX(VMMC!$AC:$AC,MATCH($E128,VMMC!$E:$E,0)),0),"")</f>
        <v/>
      </c>
      <c r="N128" s="118" t="n">
        <f aca="false">1</f>
        <v>1</v>
      </c>
      <c r="O128" s="75" t="str">
        <f aca="false">IFERROR(ROUND($N128*INDEX(HTS!$Q:$Q,MATCH($E128,HTS!$E:$E,0)),0),"")</f>
        <v/>
      </c>
      <c r="P128" s="118" t="n">
        <f aca="false">1</f>
        <v>1</v>
      </c>
      <c r="Q128" s="75" t="n">
        <f aca="false">IFERROR(ROUND($P128*INDEX(HTS!$S:$S,MATCH($E128,HTS!$E:$E,0)),0),"")</f>
        <v>2</v>
      </c>
      <c r="R128" s="118" t="n">
        <f aca="false">1</f>
        <v>1</v>
      </c>
      <c r="S128" s="75" t="n">
        <f aca="false">IFERROR(ROUND($R128*INDEX(HTS!$AM:$AM,MATCH($E128,HTS!$E:$E,0)),0),"")</f>
        <v>74</v>
      </c>
      <c r="T128" s="118" t="n">
        <f aca="false">1</f>
        <v>1</v>
      </c>
      <c r="U128" s="75" t="n">
        <f aca="false">IFERROR(ROUND($T128*INDEX(HTS!$AV:$AV,MATCH($E128,HTS!$E:$E,0)),0),"")</f>
        <v>4</v>
      </c>
      <c r="V128" s="118" t="n">
        <f aca="false">1</f>
        <v>1</v>
      </c>
      <c r="W128" s="75" t="n">
        <f aca="false">IFERROR(ROUND($V128*INDEX(HTS!$AY:$AY,MATCH($E128,HTS!$E:$E,0)),0),"")</f>
        <v>6</v>
      </c>
      <c r="X128" s="118" t="n">
        <f aca="false">1</f>
        <v>1</v>
      </c>
      <c r="Y128" s="75" t="n">
        <f aca="false">IFERROR(ROUND($X128*INDEX(HTS!$BB:$BB,MATCH($E128,HTS!$E:$E,0)),0),"")</f>
        <v>46</v>
      </c>
      <c r="Z128" s="118" t="n">
        <f aca="false">1</f>
        <v>1</v>
      </c>
      <c r="AA128" s="75" t="n">
        <f aca="false">IFERROR(ROUND($Z128*INDEX(HTS!$BE:$BE,MATCH($E128,HTS!$E:$E,0)),0),"")</f>
        <v>94</v>
      </c>
      <c r="AB128" s="118" t="n">
        <f aca="false">1</f>
        <v>1</v>
      </c>
      <c r="AC128" s="75" t="n">
        <f aca="false">IFERROR(ROUND($AB128*INDEX(HTS!$BH:$BH,MATCH($E128,HTS!$E:$E,0)),0),"")</f>
        <v>80</v>
      </c>
      <c r="AD128" s="118" t="n">
        <f aca="false">1</f>
        <v>1</v>
      </c>
      <c r="AE128" s="75" t="n">
        <f aca="false">IFERROR(ROUND($AD128*INDEX(HTS!$BK:$BK,MATCH($E128,HTS!$E:$E,0)),0),"")</f>
        <v>78</v>
      </c>
      <c r="AF128" s="73" t="n">
        <f aca="false">IF(SUM($O128,$Q128,$S128,$K128,$G128,$I128,$M128,$U128,$W128,$Y128,$AA128,$AC128,$AE128)=0,"",SUM($O128,$Q128,$S128,$K128,$G128,$I128,$M128,$U128,$W128,$Y128,$AA128,$AC128,$AE128))</f>
        <v>384</v>
      </c>
      <c r="AG128" s="73" t="n">
        <f aca="false">INDEX(HTS!$BN:$BN,MATCH($E128,HTS!$E:$E,0))</f>
        <v>384</v>
      </c>
      <c r="AH128" s="118" t="n">
        <f aca="false">IF(SUM($AG128)&lt;=0,"",$AF128/$AG128)</f>
        <v>1</v>
      </c>
    </row>
    <row r="129" customFormat="false" ht="15" hidden="false" customHeight="false" outlineLevel="0" collapsed="false">
      <c r="A129" s="0" t="s">
        <v>148</v>
      </c>
      <c r="B129" s="0" t="s">
        <v>113</v>
      </c>
      <c r="C129" s="0" t="s">
        <v>66</v>
      </c>
      <c r="D129" s="0" t="s">
        <v>56</v>
      </c>
      <c r="E129" s="0" t="str">
        <f aca="false">B129&amp;"|"&amp;C129&amp;"|"&amp;D129</f>
        <v>Mokhotlong [#SNU] [tjhYqc1MlVo]|20-24|Female</v>
      </c>
      <c r="F129" s="118" t="n">
        <f aca="false">IF($D129="Female",100%,"")</f>
        <v>1</v>
      </c>
      <c r="G129" s="75" t="n">
        <f aca="false">IFERROR(ROUND($F129*INDEX(PMTCT!$AE:$AE,MATCH($E129,PMTCT!$E:$E,0)),0),"")</f>
        <v>-15120</v>
      </c>
      <c r="H129" s="118" t="n">
        <f aca="false">IF($D129="Female",100%,"")</f>
        <v>1</v>
      </c>
      <c r="I129" s="75" t="str">
        <f aca="false">IFERROR(ROUND($H129*INDEX(PMTCT!$AU:$AU,MATCH($E129,PMTCT!$E:$E,0)),0),"")</f>
        <v/>
      </c>
      <c r="J129" s="118" t="n">
        <f aca="false">1</f>
        <v>1</v>
      </c>
      <c r="K129" s="75" t="n">
        <f aca="false">IFERROR(ROUND($J129*INDEX(TB!$Q:$Q,MATCH($E129,HTS!$E:$E,0)),0),"")</f>
        <v>-44640</v>
      </c>
      <c r="L129" s="118" t="str">
        <f aca="false">IF($D129="Male",100%,"")</f>
        <v/>
      </c>
      <c r="M129" s="75" t="str">
        <f aca="false">IFERROR(ROUND($L129*INDEX(VMMC!$AC:$AC,MATCH($E129,VMMC!$E:$E,0)),0),"")</f>
        <v/>
      </c>
      <c r="N129" s="118" t="n">
        <f aca="false">1</f>
        <v>1</v>
      </c>
      <c r="O129" s="75" t="str">
        <f aca="false">IFERROR(ROUND($N129*INDEX(HTS!$Q:$Q,MATCH($E129,HTS!$E:$E,0)),0),"")</f>
        <v/>
      </c>
      <c r="P129" s="118" t="n">
        <f aca="false">1</f>
        <v>1</v>
      </c>
      <c r="Q129" s="75" t="n">
        <f aca="false">IFERROR(ROUND($P129*INDEX(HTS!$S:$S,MATCH($E129,HTS!$E:$E,0)),0),"")</f>
        <v>1</v>
      </c>
      <c r="R129" s="118" t="n">
        <f aca="false">1</f>
        <v>1</v>
      </c>
      <c r="S129" s="75" t="n">
        <f aca="false">IFERROR(ROUND($R129*INDEX(HTS!$AM:$AM,MATCH($E129,HTS!$E:$E,0)),0),"")</f>
        <v>24</v>
      </c>
      <c r="T129" s="118" t="n">
        <f aca="false">1</f>
        <v>1</v>
      </c>
      <c r="U129" s="75" t="n">
        <f aca="false">IFERROR(ROUND($T129*INDEX(HTS!$AV:$AV,MATCH($E129,HTS!$E:$E,0)),0),"")</f>
        <v>74</v>
      </c>
      <c r="V129" s="118" t="n">
        <f aca="false">1</f>
        <v>1</v>
      </c>
      <c r="W129" s="75" t="n">
        <f aca="false">IFERROR(ROUND($V129*INDEX(HTS!$AY:$AY,MATCH($E129,HTS!$E:$E,0)),0),"")</f>
        <v>38</v>
      </c>
      <c r="X129" s="118" t="n">
        <f aca="false">1</f>
        <v>1</v>
      </c>
      <c r="Y129" s="75" t="n">
        <f aca="false">IFERROR(ROUND($X129*INDEX(HTS!$BB:$BB,MATCH($E129,HTS!$E:$E,0)),0),"")</f>
        <v>56</v>
      </c>
      <c r="Z129" s="118" t="n">
        <f aca="false">1</f>
        <v>1</v>
      </c>
      <c r="AA129" s="75" t="n">
        <f aca="false">IFERROR(ROUND($Z129*INDEX(HTS!$BE:$BE,MATCH($E129,HTS!$E:$E,0)),0),"")</f>
        <v>42</v>
      </c>
      <c r="AB129" s="118" t="n">
        <f aca="false">1</f>
        <v>1</v>
      </c>
      <c r="AC129" s="75" t="n">
        <f aca="false">IFERROR(ROUND($AB129*INDEX(HTS!$BH:$BH,MATCH($E129,HTS!$E:$E,0)),0),"")</f>
        <v>6</v>
      </c>
      <c r="AD129" s="118" t="n">
        <f aca="false">1</f>
        <v>1</v>
      </c>
      <c r="AE129" s="75" t="n">
        <f aca="false">IFERROR(ROUND($AD129*INDEX(HTS!$BK:$BK,MATCH($E129,HTS!$E:$E,0)),0),"")</f>
        <v>64</v>
      </c>
      <c r="AF129" s="73" t="n">
        <f aca="false">IF(SUM($O129,$Q129,$S129,$K129,$G129,$I129,$M129,$U129,$W129,$Y129,$AA129,$AC129,$AE129)=0,"",SUM($O129,$Q129,$S129,$K129,$G129,$I129,$M129,$U129,$W129,$Y129,$AA129,$AC129,$AE129))</f>
        <v>-59455</v>
      </c>
      <c r="AG129" s="73" t="n">
        <f aca="false">INDEX(HTS!$BN:$BN,MATCH($E129,HTS!$E:$E,0))</f>
        <v>-59455</v>
      </c>
      <c r="AH129" s="118" t="str">
        <f aca="false">IF(SUM($AG129)&lt;=0,"",$AF129/$AG129)</f>
        <v/>
      </c>
    </row>
    <row r="130" customFormat="false" ht="15" hidden="false" customHeight="false" outlineLevel="0" collapsed="false">
      <c r="A130" s="0" t="s">
        <v>148</v>
      </c>
      <c r="B130" s="0" t="s">
        <v>113</v>
      </c>
      <c r="C130" s="0" t="s">
        <v>66</v>
      </c>
      <c r="D130" s="0" t="s">
        <v>58</v>
      </c>
      <c r="E130" s="0" t="str">
        <f aca="false">B130&amp;"|"&amp;C130&amp;"|"&amp;D130</f>
        <v>Mokhotlong [#SNU] [tjhYqc1MlVo]|20-24|Male</v>
      </c>
      <c r="F130" s="118" t="str">
        <f aca="false">IF($D130="Female",100%,"")</f>
        <v/>
      </c>
      <c r="G130" s="75" t="str">
        <f aca="false">IFERROR(ROUND($F130*INDEX(PMTCT!$AE:$AE,MATCH($E130,PMTCT!$E:$E,0)),0),"")</f>
        <v/>
      </c>
      <c r="H130" s="118" t="str">
        <f aca="false">IF($D130="Female",100%,"")</f>
        <v/>
      </c>
      <c r="I130" s="75" t="str">
        <f aca="false">IFERROR(ROUND($H130*INDEX(PMTCT!$AU:$AU,MATCH($E130,PMTCT!$E:$E,0)),0),"")</f>
        <v/>
      </c>
      <c r="J130" s="118" t="n">
        <f aca="false">1</f>
        <v>1</v>
      </c>
      <c r="K130" s="75" t="n">
        <f aca="false">IFERROR(ROUND($J130*INDEX(TB!$Q:$Q,MATCH($E130,HTS!$E:$E,0)),0),"")</f>
        <v>0</v>
      </c>
      <c r="L130" s="118" t="n">
        <f aca="false">IF($D130="Male",100%,"")</f>
        <v>1</v>
      </c>
      <c r="M130" s="75" t="str">
        <f aca="false">IFERROR(ROUND($L130*INDEX(VMMC!$AC:$AC,MATCH($E130,VMMC!$E:$E,0)),0),"")</f>
        <v/>
      </c>
      <c r="N130" s="118" t="n">
        <f aca="false">1</f>
        <v>1</v>
      </c>
      <c r="O130" s="75" t="str">
        <f aca="false">IFERROR(ROUND($N130*INDEX(HTS!$Q:$Q,MATCH($E130,HTS!$E:$E,0)),0),"")</f>
        <v/>
      </c>
      <c r="P130" s="118" t="n">
        <f aca="false">1</f>
        <v>1</v>
      </c>
      <c r="Q130" s="75" t="n">
        <f aca="false">IFERROR(ROUND($P130*INDEX(HTS!$S:$S,MATCH($E130,HTS!$E:$E,0)),0),"")</f>
        <v>7</v>
      </c>
      <c r="R130" s="118" t="n">
        <f aca="false">1</f>
        <v>1</v>
      </c>
      <c r="S130" s="75" t="n">
        <f aca="false">IFERROR(ROUND($R130*INDEX(HTS!$AM:$AM,MATCH($E130,HTS!$E:$E,0)),0),"")</f>
        <v>984</v>
      </c>
      <c r="T130" s="118" t="n">
        <f aca="false">1</f>
        <v>1</v>
      </c>
      <c r="U130" s="75" t="n">
        <f aca="false">IFERROR(ROUND($T130*INDEX(HTS!$AV:$AV,MATCH($E130,HTS!$E:$E,0)),0),"")</f>
        <v>168</v>
      </c>
      <c r="V130" s="118" t="n">
        <f aca="false">1</f>
        <v>1</v>
      </c>
      <c r="W130" s="75" t="n">
        <f aca="false">IFERROR(ROUND($V130*INDEX(HTS!$AY:$AY,MATCH($E130,HTS!$E:$E,0)),0),"")</f>
        <v>840</v>
      </c>
      <c r="X130" s="118" t="n">
        <f aca="false">1</f>
        <v>1</v>
      </c>
      <c r="Y130" s="75" t="n">
        <f aca="false">IFERROR(ROUND($X130*INDEX(HTS!$BB:$BB,MATCH($E130,HTS!$E:$E,0)),0),"")</f>
        <v>1080</v>
      </c>
      <c r="Z130" s="118" t="n">
        <f aca="false">1</f>
        <v>1</v>
      </c>
      <c r="AA130" s="75" t="n">
        <f aca="false">IFERROR(ROUND($Z130*INDEX(HTS!$BE:$BE,MATCH($E130,HTS!$E:$E,0)),0),"")</f>
        <v>984</v>
      </c>
      <c r="AB130" s="118" t="n">
        <f aca="false">1</f>
        <v>1</v>
      </c>
      <c r="AC130" s="75" t="n">
        <f aca="false">IFERROR(ROUND($AB130*INDEX(HTS!$BH:$BH,MATCH($E130,HTS!$E:$E,0)),0),"")</f>
        <v>552</v>
      </c>
      <c r="AD130" s="118" t="n">
        <f aca="false">1</f>
        <v>1</v>
      </c>
      <c r="AE130" s="75" t="n">
        <f aca="false">IFERROR(ROUND($AD130*INDEX(HTS!$BK:$BK,MATCH($E130,HTS!$E:$E,0)),0),"")</f>
        <v>696</v>
      </c>
      <c r="AF130" s="73" t="n">
        <f aca="false">IF(SUM($O130,$Q130,$S130,$K130,$G130,$I130,$M130,$U130,$W130,$Y130,$AA130,$AC130,$AE130)=0,"",SUM($O130,$Q130,$S130,$K130,$G130,$I130,$M130,$U130,$W130,$Y130,$AA130,$AC130,$AE130))</f>
        <v>5311</v>
      </c>
      <c r="AG130" s="73" t="n">
        <f aca="false">INDEX(HTS!$BN:$BN,MATCH($E130,HTS!$E:$E,0))</f>
        <v>5311</v>
      </c>
      <c r="AH130" s="118" t="n">
        <f aca="false">IF(SUM($AG130)&lt;=0,"",$AF130/$AG130)</f>
        <v>1</v>
      </c>
    </row>
    <row r="131" customFormat="false" ht="15" hidden="false" customHeight="false" outlineLevel="0" collapsed="false">
      <c r="A131" s="0" t="s">
        <v>148</v>
      </c>
      <c r="B131" s="0" t="s">
        <v>113</v>
      </c>
      <c r="C131" s="0" t="s">
        <v>69</v>
      </c>
      <c r="D131" s="0" t="s">
        <v>56</v>
      </c>
      <c r="E131" s="0" t="str">
        <f aca="false">B131&amp;"|"&amp;C131&amp;"|"&amp;D131</f>
        <v>Mokhotlong [#SNU] [tjhYqc1MlVo]|25-29|Female</v>
      </c>
      <c r="F131" s="118" t="n">
        <f aca="false">IF($D131="Female",100%,"")</f>
        <v>1</v>
      </c>
      <c r="G131" s="75" t="n">
        <f aca="false">IFERROR(ROUND($F131*INDEX(PMTCT!$AE:$AE,MATCH($E131,PMTCT!$E:$E,0)),0),"")</f>
        <v>-12580</v>
      </c>
      <c r="H131" s="118" t="n">
        <f aca="false">IF($D131="Female",100%,"")</f>
        <v>1</v>
      </c>
      <c r="I131" s="75" t="str">
        <f aca="false">IFERROR(ROUND($H131*INDEX(PMTCT!$AU:$AU,MATCH($E131,PMTCT!$E:$E,0)),0),"")</f>
        <v/>
      </c>
      <c r="J131" s="118" t="n">
        <f aca="false">1</f>
        <v>1</v>
      </c>
      <c r="K131" s="75" t="n">
        <f aca="false">IFERROR(ROUND($J131*INDEX(TB!$Q:$Q,MATCH($E131,HTS!$E:$E,0)),0),"")</f>
        <v>-210</v>
      </c>
      <c r="L131" s="118" t="str">
        <f aca="false">IF($D131="Male",100%,"")</f>
        <v/>
      </c>
      <c r="M131" s="75" t="str">
        <f aca="false">IFERROR(ROUND($L131*INDEX(VMMC!$AC:$AC,MATCH($E131,VMMC!$E:$E,0)),0),"")</f>
        <v/>
      </c>
      <c r="N131" s="118" t="n">
        <f aca="false">1</f>
        <v>1</v>
      </c>
      <c r="O131" s="75" t="str">
        <f aca="false">IFERROR(ROUND($N131*INDEX(HTS!$Q:$Q,MATCH($E131,HTS!$E:$E,0)),0),"")</f>
        <v/>
      </c>
      <c r="P131" s="118" t="n">
        <f aca="false">1</f>
        <v>1</v>
      </c>
      <c r="Q131" s="75" t="n">
        <f aca="false">IFERROR(ROUND($P131*INDEX(HTS!$S:$S,MATCH($E131,HTS!$E:$E,0)),0),"")</f>
        <v>6</v>
      </c>
      <c r="R131" s="118" t="n">
        <f aca="false">1</f>
        <v>1</v>
      </c>
      <c r="S131" s="75" t="n">
        <f aca="false">IFERROR(ROUND($R131*INDEX(HTS!$AM:$AM,MATCH($E131,HTS!$E:$E,0)),0),"")</f>
        <v>240</v>
      </c>
      <c r="T131" s="118" t="n">
        <f aca="false">1</f>
        <v>1</v>
      </c>
      <c r="U131" s="75" t="n">
        <f aca="false">IFERROR(ROUND($T131*INDEX(HTS!$AV:$AV,MATCH($E131,HTS!$E:$E,0)),0),"")</f>
        <v>920</v>
      </c>
      <c r="V131" s="118" t="n">
        <f aca="false">1</f>
        <v>1</v>
      </c>
      <c r="W131" s="75" t="n">
        <f aca="false">IFERROR(ROUND($V131*INDEX(HTS!$AY:$AY,MATCH($E131,HTS!$E:$E,0)),0),"")</f>
        <v>400</v>
      </c>
      <c r="X131" s="118" t="n">
        <f aca="false">1</f>
        <v>1</v>
      </c>
      <c r="Y131" s="75" t="n">
        <f aca="false">IFERROR(ROUND($X131*INDEX(HTS!$BB:$BB,MATCH($E131,HTS!$E:$E,0)),0),"")</f>
        <v>320</v>
      </c>
      <c r="Z131" s="118" t="n">
        <f aca="false">1</f>
        <v>1</v>
      </c>
      <c r="AA131" s="75" t="n">
        <f aca="false">IFERROR(ROUND($Z131*INDEX(HTS!$BE:$BE,MATCH($E131,HTS!$E:$E,0)),0),"")</f>
        <v>780</v>
      </c>
      <c r="AB131" s="118" t="n">
        <f aca="false">1</f>
        <v>1</v>
      </c>
      <c r="AC131" s="75" t="n">
        <f aca="false">IFERROR(ROUND($AB131*INDEX(HTS!$BH:$BH,MATCH($E131,HTS!$E:$E,0)),0),"")</f>
        <v>380</v>
      </c>
      <c r="AD131" s="118" t="n">
        <f aca="false">1</f>
        <v>1</v>
      </c>
      <c r="AE131" s="75" t="n">
        <f aca="false">IFERROR(ROUND($AD131*INDEX(HTS!$BK:$BK,MATCH($E131,HTS!$E:$E,0)),0),"")</f>
        <v>240</v>
      </c>
      <c r="AF131" s="73" t="n">
        <f aca="false">IF(SUM($O131,$Q131,$S131,$K131,$G131,$I131,$M131,$U131,$W131,$Y131,$AA131,$AC131,$AE131)=0,"",SUM($O131,$Q131,$S131,$K131,$G131,$I131,$M131,$U131,$W131,$Y131,$AA131,$AC131,$AE131))</f>
        <v>-9504</v>
      </c>
      <c r="AG131" s="73" t="n">
        <f aca="false">INDEX(HTS!$BN:$BN,MATCH($E131,HTS!$E:$E,0))</f>
        <v>-9504</v>
      </c>
      <c r="AH131" s="118" t="str">
        <f aca="false">IF(SUM($AG131)&lt;=0,"",$AF131/$AG131)</f>
        <v/>
      </c>
    </row>
    <row r="132" customFormat="false" ht="15" hidden="false" customHeight="false" outlineLevel="0" collapsed="false">
      <c r="A132" s="0" t="s">
        <v>148</v>
      </c>
      <c r="B132" s="0" t="s">
        <v>113</v>
      </c>
      <c r="C132" s="0" t="s">
        <v>69</v>
      </c>
      <c r="D132" s="0" t="s">
        <v>58</v>
      </c>
      <c r="E132" s="0" t="str">
        <f aca="false">B132&amp;"|"&amp;C132&amp;"|"&amp;D132</f>
        <v>Mokhotlong [#SNU] [tjhYqc1MlVo]|25-29|Male</v>
      </c>
      <c r="F132" s="118" t="str">
        <f aca="false">IF($D132="Female",100%,"")</f>
        <v/>
      </c>
      <c r="G132" s="75" t="str">
        <f aca="false">IFERROR(ROUND($F132*INDEX(PMTCT!$AE:$AE,MATCH($E132,PMTCT!$E:$E,0)),0),"")</f>
        <v/>
      </c>
      <c r="H132" s="118" t="str">
        <f aca="false">IF($D132="Female",100%,"")</f>
        <v/>
      </c>
      <c r="I132" s="75" t="str">
        <f aca="false">IFERROR(ROUND($H132*INDEX(PMTCT!$AU:$AU,MATCH($E132,PMTCT!$E:$E,0)),0),"")</f>
        <v/>
      </c>
      <c r="J132" s="118" t="n">
        <f aca="false">1</f>
        <v>1</v>
      </c>
      <c r="K132" s="75" t="n">
        <f aca="false">IFERROR(ROUND($J132*INDEX(TB!$Q:$Q,MATCH($E132,HTS!$E:$E,0)),0),"")</f>
        <v>-29716</v>
      </c>
      <c r="L132" s="118" t="n">
        <f aca="false">IF($D132="Male",100%,"")</f>
        <v>1</v>
      </c>
      <c r="M132" s="75" t="str">
        <f aca="false">IFERROR(ROUND($L132*INDEX(VMMC!$AC:$AC,MATCH($E132,VMMC!$E:$E,0)),0),"")</f>
        <v/>
      </c>
      <c r="N132" s="118" t="n">
        <f aca="false">1</f>
        <v>1</v>
      </c>
      <c r="O132" s="75" t="str">
        <f aca="false">IFERROR(ROUND($N132*INDEX(HTS!$Q:$Q,MATCH($E132,HTS!$E:$E,0)),0),"")</f>
        <v/>
      </c>
      <c r="P132" s="118" t="n">
        <f aca="false">1</f>
        <v>1</v>
      </c>
      <c r="Q132" s="75" t="n">
        <f aca="false">IFERROR(ROUND($P132*INDEX(HTS!$S:$S,MATCH($E132,HTS!$E:$E,0)),0),"")</f>
        <v>14</v>
      </c>
      <c r="R132" s="118" t="n">
        <f aca="false">1</f>
        <v>1</v>
      </c>
      <c r="S132" s="75" t="n">
        <f aca="false">IFERROR(ROUND($R132*INDEX(HTS!$AM:$AM,MATCH($E132,HTS!$E:$E,0)),0),"")</f>
        <v>1932</v>
      </c>
      <c r="T132" s="118" t="n">
        <f aca="false">1</f>
        <v>1</v>
      </c>
      <c r="U132" s="75" t="n">
        <f aca="false">IFERROR(ROUND($T132*INDEX(HTS!$AV:$AV,MATCH($E132,HTS!$E:$E,0)),0),"")</f>
        <v>1288</v>
      </c>
      <c r="V132" s="118" t="n">
        <f aca="false">1</f>
        <v>1</v>
      </c>
      <c r="W132" s="75" t="n">
        <f aca="false">IFERROR(ROUND($V132*INDEX(HTS!$AY:$AY,MATCH($E132,HTS!$E:$E,0)),0),"")</f>
        <v>1564</v>
      </c>
      <c r="X132" s="118" t="n">
        <f aca="false">1</f>
        <v>1</v>
      </c>
      <c r="Y132" s="75" t="n">
        <f aca="false">IFERROR(ROUND($X132*INDEX(HTS!$BB:$BB,MATCH($E132,HTS!$E:$E,0)),0),"")</f>
        <v>552</v>
      </c>
      <c r="Z132" s="118" t="n">
        <f aca="false">1</f>
        <v>1</v>
      </c>
      <c r="AA132" s="75" t="n">
        <f aca="false">IFERROR(ROUND($Z132*INDEX(HTS!$BE:$BE,MATCH($E132,HTS!$E:$E,0)),0),"")</f>
        <v>2300</v>
      </c>
      <c r="AB132" s="118" t="n">
        <f aca="false">1</f>
        <v>1</v>
      </c>
      <c r="AC132" s="75" t="n">
        <f aca="false">IFERROR(ROUND($AB132*INDEX(HTS!$BH:$BH,MATCH($E132,HTS!$E:$E,0)),0),"")</f>
        <v>874</v>
      </c>
      <c r="AD132" s="118" t="n">
        <f aca="false">1</f>
        <v>1</v>
      </c>
      <c r="AE132" s="75" t="n">
        <f aca="false">IFERROR(ROUND($AD132*INDEX(HTS!$BK:$BK,MATCH($E132,HTS!$E:$E,0)),0),"")</f>
        <v>1196</v>
      </c>
      <c r="AF132" s="73" t="n">
        <f aca="false">IF(SUM($O132,$Q132,$S132,$K132,$G132,$I132,$M132,$U132,$W132,$Y132,$AA132,$AC132,$AE132)=0,"",SUM($O132,$Q132,$S132,$K132,$G132,$I132,$M132,$U132,$W132,$Y132,$AA132,$AC132,$AE132))</f>
        <v>-19996</v>
      </c>
      <c r="AG132" s="73" t="n">
        <f aca="false">INDEX(HTS!$BN:$BN,MATCH($E132,HTS!$E:$E,0))</f>
        <v>-19996</v>
      </c>
      <c r="AH132" s="118" t="str">
        <f aca="false">IF(SUM($AG132)&lt;=0,"",$AF132/$AG132)</f>
        <v/>
      </c>
    </row>
    <row r="133" customFormat="false" ht="15" hidden="false" customHeight="false" outlineLevel="0" collapsed="false">
      <c r="A133" s="0" t="s">
        <v>148</v>
      </c>
      <c r="B133" s="0" t="s">
        <v>113</v>
      </c>
      <c r="C133" s="0" t="s">
        <v>72</v>
      </c>
      <c r="D133" s="0" t="s">
        <v>56</v>
      </c>
      <c r="E133" s="0" t="str">
        <f aca="false">B133&amp;"|"&amp;C133&amp;"|"&amp;D133</f>
        <v>Mokhotlong [#SNU] [tjhYqc1MlVo]|30-34|Female</v>
      </c>
      <c r="F133" s="118" t="n">
        <f aca="false">IF($D133="Female",100%,"")</f>
        <v>1</v>
      </c>
      <c r="G133" s="75" t="n">
        <f aca="false">IFERROR(ROUND($F133*INDEX(PMTCT!$AE:$AE,MATCH($E133,PMTCT!$E:$E,0)),0),"")</f>
        <v>-5236</v>
      </c>
      <c r="H133" s="118" t="n">
        <f aca="false">IF($D133="Female",100%,"")</f>
        <v>1</v>
      </c>
      <c r="I133" s="75" t="str">
        <f aca="false">IFERROR(ROUND($H133*INDEX(PMTCT!$AU:$AU,MATCH($E133,PMTCT!$E:$E,0)),0),"")</f>
        <v/>
      </c>
      <c r="J133" s="118" t="n">
        <f aca="false">1</f>
        <v>1</v>
      </c>
      <c r="K133" s="75" t="n">
        <f aca="false">IFERROR(ROUND($J133*INDEX(TB!$Q:$Q,MATCH($E133,HTS!$E:$E,0)),0),"")</f>
        <v>-0</v>
      </c>
      <c r="L133" s="118" t="str">
        <f aca="false">IF($D133="Male",100%,"")</f>
        <v/>
      </c>
      <c r="M133" s="75" t="str">
        <f aca="false">IFERROR(ROUND($L133*INDEX(VMMC!$AC:$AC,MATCH($E133,VMMC!$E:$E,0)),0),"")</f>
        <v/>
      </c>
      <c r="N133" s="118" t="n">
        <f aca="false">1</f>
        <v>1</v>
      </c>
      <c r="O133" s="75" t="str">
        <f aca="false">IFERROR(ROUND($N133*INDEX(HTS!$Q:$Q,MATCH($E133,HTS!$E:$E,0)),0),"")</f>
        <v/>
      </c>
      <c r="P133" s="118" t="n">
        <f aca="false">1</f>
        <v>1</v>
      </c>
      <c r="Q133" s="75" t="n">
        <f aca="false">IFERROR(ROUND($P133*INDEX(HTS!$S:$S,MATCH($E133,HTS!$E:$E,0)),0),"")</f>
        <v>7</v>
      </c>
      <c r="R133" s="118" t="n">
        <f aca="false">1</f>
        <v>1</v>
      </c>
      <c r="S133" s="75" t="n">
        <f aca="false">IFERROR(ROUND($R133*INDEX(HTS!$AM:$AM,MATCH($E133,HTS!$E:$E,0)),0),"")</f>
        <v>198</v>
      </c>
      <c r="T133" s="118" t="n">
        <f aca="false">1</f>
        <v>1</v>
      </c>
      <c r="U133" s="75" t="n">
        <f aca="false">IFERROR(ROUND($T133*INDEX(HTS!$AV:$AV,MATCH($E133,HTS!$E:$E,0)),0),"")</f>
        <v>484</v>
      </c>
      <c r="V133" s="118" t="n">
        <f aca="false">1</f>
        <v>1</v>
      </c>
      <c r="W133" s="75" t="n">
        <f aca="false">IFERROR(ROUND($V133*INDEX(HTS!$AY:$AY,MATCH($E133,HTS!$E:$E,0)),0),"")</f>
        <v>1056</v>
      </c>
      <c r="X133" s="118" t="n">
        <f aca="false">1</f>
        <v>1</v>
      </c>
      <c r="Y133" s="75" t="n">
        <f aca="false">IFERROR(ROUND($X133*INDEX(HTS!$BB:$BB,MATCH($E133,HTS!$E:$E,0)),0),"")</f>
        <v>990</v>
      </c>
      <c r="Z133" s="118" t="n">
        <f aca="false">1</f>
        <v>1</v>
      </c>
      <c r="AA133" s="75" t="n">
        <f aca="false">IFERROR(ROUND($Z133*INDEX(HTS!$BE:$BE,MATCH($E133,HTS!$E:$E,0)),0),"")</f>
        <v>968</v>
      </c>
      <c r="AB133" s="118" t="n">
        <f aca="false">1</f>
        <v>1</v>
      </c>
      <c r="AC133" s="75" t="n">
        <f aca="false">IFERROR(ROUND($AB133*INDEX(HTS!$BH:$BH,MATCH($E133,HTS!$E:$E,0)),0),"")</f>
        <v>286</v>
      </c>
      <c r="AD133" s="118" t="n">
        <f aca="false">1</f>
        <v>1</v>
      </c>
      <c r="AE133" s="75" t="n">
        <f aca="false">IFERROR(ROUND($AD133*INDEX(HTS!$BK:$BK,MATCH($E133,HTS!$E:$E,0)),0),"")</f>
        <v>1100</v>
      </c>
      <c r="AF133" s="73" t="n">
        <f aca="false">IF(SUM($O133,$Q133,$S133,$K133,$G133,$I133,$M133,$U133,$W133,$Y133,$AA133,$AC133,$AE133)=0,"",SUM($O133,$Q133,$S133,$K133,$G133,$I133,$M133,$U133,$W133,$Y133,$AA133,$AC133,$AE133))</f>
        <v>-147</v>
      </c>
      <c r="AG133" s="73" t="n">
        <f aca="false">INDEX(HTS!$BN:$BN,MATCH($E133,HTS!$E:$E,0))</f>
        <v>-147</v>
      </c>
      <c r="AH133" s="118" t="str">
        <f aca="false">IF(SUM($AG133)&lt;=0,"",$AF133/$AG133)</f>
        <v/>
      </c>
    </row>
    <row r="134" customFormat="false" ht="15" hidden="false" customHeight="false" outlineLevel="0" collapsed="false">
      <c r="A134" s="0" t="s">
        <v>148</v>
      </c>
      <c r="B134" s="0" t="s">
        <v>113</v>
      </c>
      <c r="C134" s="0" t="s">
        <v>72</v>
      </c>
      <c r="D134" s="0" t="s">
        <v>58</v>
      </c>
      <c r="E134" s="0" t="str">
        <f aca="false">B134&amp;"|"&amp;C134&amp;"|"&amp;D134</f>
        <v>Mokhotlong [#SNU] [tjhYqc1MlVo]|30-34|Male</v>
      </c>
      <c r="F134" s="118" t="str">
        <f aca="false">IF($D134="Female",100%,"")</f>
        <v/>
      </c>
      <c r="G134" s="75" t="str">
        <f aca="false">IFERROR(ROUND($F134*INDEX(PMTCT!$AE:$AE,MATCH($E134,PMTCT!$E:$E,0)),0),"")</f>
        <v/>
      </c>
      <c r="H134" s="118" t="str">
        <f aca="false">IF($D134="Female",100%,"")</f>
        <v/>
      </c>
      <c r="I134" s="75" t="str">
        <f aca="false">IFERROR(ROUND($H134*INDEX(PMTCT!$AU:$AU,MATCH($E134,PMTCT!$E:$E,0)),0),"")</f>
        <v/>
      </c>
      <c r="J134" s="118" t="n">
        <f aca="false">1</f>
        <v>1</v>
      </c>
      <c r="K134" s="75" t="n">
        <f aca="false">IFERROR(ROUND($J134*INDEX(TB!$Q:$Q,MATCH($E134,HTS!$E:$E,0)),0),"")</f>
        <v>-0</v>
      </c>
      <c r="L134" s="118" t="n">
        <f aca="false">IF($D134="Male",100%,"")</f>
        <v>1</v>
      </c>
      <c r="M134" s="75" t="str">
        <f aca="false">IFERROR(ROUND($L134*INDEX(VMMC!$AC:$AC,MATCH($E134,VMMC!$E:$E,0)),0),"")</f>
        <v/>
      </c>
      <c r="N134" s="118" t="n">
        <f aca="false">1</f>
        <v>1</v>
      </c>
      <c r="O134" s="75" t="str">
        <f aca="false">IFERROR(ROUND($N134*INDEX(HTS!$Q:$Q,MATCH($E134,HTS!$E:$E,0)),0),"")</f>
        <v/>
      </c>
      <c r="P134" s="118" t="n">
        <f aca="false">1</f>
        <v>1</v>
      </c>
      <c r="Q134" s="75" t="n">
        <f aca="false">IFERROR(ROUND($P134*INDEX(HTS!$S:$S,MATCH($E134,HTS!$E:$E,0)),0),"")</f>
        <v>1</v>
      </c>
      <c r="R134" s="118" t="n">
        <f aca="false">1</f>
        <v>1</v>
      </c>
      <c r="S134" s="75" t="n">
        <f aca="false">IFERROR(ROUND($R134*INDEX(HTS!$AM:$AM,MATCH($E134,HTS!$E:$E,0)),0),"")</f>
        <v>44</v>
      </c>
      <c r="T134" s="118" t="n">
        <f aca="false">1</f>
        <v>1</v>
      </c>
      <c r="U134" s="75" t="n">
        <f aca="false">IFERROR(ROUND($T134*INDEX(HTS!$AV:$AV,MATCH($E134,HTS!$E:$E,0)),0),"")</f>
        <v>144</v>
      </c>
      <c r="V134" s="118" t="n">
        <f aca="false">1</f>
        <v>1</v>
      </c>
      <c r="W134" s="75" t="n">
        <f aca="false">IFERROR(ROUND($V134*INDEX(HTS!$AY:$AY,MATCH($E134,HTS!$E:$E,0)),0),"")</f>
        <v>116</v>
      </c>
      <c r="X134" s="118" t="n">
        <f aca="false">1</f>
        <v>1</v>
      </c>
      <c r="Y134" s="75" t="n">
        <f aca="false">IFERROR(ROUND($X134*INDEX(HTS!$BB:$BB,MATCH($E134,HTS!$E:$E,0)),0),"")</f>
        <v>80</v>
      </c>
      <c r="Z134" s="118" t="n">
        <f aca="false">1</f>
        <v>1</v>
      </c>
      <c r="AA134" s="75" t="n">
        <f aca="false">IFERROR(ROUND($Z134*INDEX(HTS!$BE:$BE,MATCH($E134,HTS!$E:$E,0)),0),"")</f>
        <v>64</v>
      </c>
      <c r="AB134" s="118" t="n">
        <f aca="false">1</f>
        <v>1</v>
      </c>
      <c r="AC134" s="75" t="n">
        <f aca="false">IFERROR(ROUND($AB134*INDEX(HTS!$BH:$BH,MATCH($E134,HTS!$E:$E,0)),0),"")</f>
        <v>40</v>
      </c>
      <c r="AD134" s="118" t="n">
        <f aca="false">1</f>
        <v>1</v>
      </c>
      <c r="AE134" s="75" t="n">
        <f aca="false">IFERROR(ROUND($AD134*INDEX(HTS!$BK:$BK,MATCH($E134,HTS!$E:$E,0)),0),"")</f>
        <v>136</v>
      </c>
      <c r="AF134" s="73" t="n">
        <f aca="false">IF(SUM($O134,$Q134,$S134,$K134,$G134,$I134,$M134,$U134,$W134,$Y134,$AA134,$AC134,$AE134)=0,"",SUM($O134,$Q134,$S134,$K134,$G134,$I134,$M134,$U134,$W134,$Y134,$AA134,$AC134,$AE134))</f>
        <v>625</v>
      </c>
      <c r="AG134" s="73" t="n">
        <f aca="false">INDEX(HTS!$BN:$BN,MATCH($E134,HTS!$E:$E,0))</f>
        <v>625</v>
      </c>
      <c r="AH134" s="118" t="n">
        <f aca="false">IF(SUM($AG134)&lt;=0,"",$AF134/$AG134)</f>
        <v>1</v>
      </c>
    </row>
    <row r="135" customFormat="false" ht="15" hidden="false" customHeight="false" outlineLevel="0" collapsed="false">
      <c r="A135" s="0" t="s">
        <v>148</v>
      </c>
      <c r="B135" s="0" t="s">
        <v>113</v>
      </c>
      <c r="C135" s="0" t="s">
        <v>75</v>
      </c>
      <c r="D135" s="0" t="s">
        <v>56</v>
      </c>
      <c r="E135" s="0" t="str">
        <f aca="false">B135&amp;"|"&amp;C135&amp;"|"&amp;D135</f>
        <v>Mokhotlong [#SNU] [tjhYqc1MlVo]|35-39|Female</v>
      </c>
      <c r="F135" s="118" t="n">
        <f aca="false">IF($D135="Female",100%,"")</f>
        <v>1</v>
      </c>
      <c r="G135" s="75" t="n">
        <f aca="false">IFERROR(ROUND($F135*INDEX(PMTCT!$AE:$AE,MATCH($E135,PMTCT!$E:$E,0)),0),"")</f>
        <v>-792</v>
      </c>
      <c r="H135" s="118" t="n">
        <f aca="false">IF($D135="Female",100%,"")</f>
        <v>1</v>
      </c>
      <c r="I135" s="75" t="str">
        <f aca="false">IFERROR(ROUND($H135*INDEX(PMTCT!$AU:$AU,MATCH($E135,PMTCT!$E:$E,0)),0),"")</f>
        <v/>
      </c>
      <c r="J135" s="118" t="n">
        <f aca="false">1</f>
        <v>1</v>
      </c>
      <c r="K135" s="75" t="n">
        <f aca="false">IFERROR(ROUND($J135*INDEX(TB!$Q:$Q,MATCH($E135,HTS!$E:$E,0)),0),"")</f>
        <v>-0</v>
      </c>
      <c r="L135" s="118" t="str">
        <f aca="false">IF($D135="Male",100%,"")</f>
        <v/>
      </c>
      <c r="M135" s="75" t="str">
        <f aca="false">IFERROR(ROUND($L135*INDEX(VMMC!$AC:$AC,MATCH($E135,VMMC!$E:$E,0)),0),"")</f>
        <v/>
      </c>
      <c r="N135" s="118" t="n">
        <f aca="false">1</f>
        <v>1</v>
      </c>
      <c r="O135" s="75" t="str">
        <f aca="false">IFERROR(ROUND($N135*INDEX(HTS!$Q:$Q,MATCH($E135,HTS!$E:$E,0)),0),"")</f>
        <v/>
      </c>
      <c r="P135" s="118" t="n">
        <f aca="false">1</f>
        <v>1</v>
      </c>
      <c r="Q135" s="75" t="n">
        <f aca="false">IFERROR(ROUND($P135*INDEX(HTS!$S:$S,MATCH($E135,HTS!$E:$E,0)),0),"")</f>
        <v>2</v>
      </c>
      <c r="R135" s="118" t="n">
        <f aca="false">1</f>
        <v>1</v>
      </c>
      <c r="S135" s="75" t="n">
        <f aca="false">IFERROR(ROUND($R135*INDEX(HTS!$AM:$AM,MATCH($E135,HTS!$E:$E,0)),0),"")</f>
        <v>78</v>
      </c>
      <c r="T135" s="118" t="n">
        <f aca="false">1</f>
        <v>1</v>
      </c>
      <c r="U135" s="75" t="n">
        <f aca="false">IFERROR(ROUND($T135*INDEX(HTS!$AV:$AV,MATCH($E135,HTS!$E:$E,0)),0),"")</f>
        <v>33</v>
      </c>
      <c r="V135" s="118" t="n">
        <f aca="false">1</f>
        <v>1</v>
      </c>
      <c r="W135" s="75" t="n">
        <f aca="false">IFERROR(ROUND($V135*INDEX(HTS!$AY:$AY,MATCH($E135,HTS!$E:$E,0)),0),"")</f>
        <v>39</v>
      </c>
      <c r="X135" s="118" t="n">
        <f aca="false">1</f>
        <v>1</v>
      </c>
      <c r="Y135" s="75" t="n">
        <f aca="false">IFERROR(ROUND($X135*INDEX(HTS!$BB:$BB,MATCH($E135,HTS!$E:$E,0)),0),"")</f>
        <v>87</v>
      </c>
      <c r="Z135" s="118" t="n">
        <f aca="false">1</f>
        <v>1</v>
      </c>
      <c r="AA135" s="75" t="n">
        <f aca="false">IFERROR(ROUND($Z135*INDEX(HTS!$BE:$BE,MATCH($E135,HTS!$E:$E,0)),0),"")</f>
        <v>138</v>
      </c>
      <c r="AB135" s="118" t="n">
        <f aca="false">1</f>
        <v>1</v>
      </c>
      <c r="AC135" s="75" t="n">
        <f aca="false">IFERROR(ROUND($AB135*INDEX(HTS!$BH:$BH,MATCH($E135,HTS!$E:$E,0)),0),"")</f>
        <v>96</v>
      </c>
      <c r="AD135" s="118" t="n">
        <f aca="false">1</f>
        <v>1</v>
      </c>
      <c r="AE135" s="75" t="n">
        <f aca="false">IFERROR(ROUND($AD135*INDEX(HTS!$BK:$BK,MATCH($E135,HTS!$E:$E,0)),0),"")</f>
        <v>39</v>
      </c>
      <c r="AF135" s="73" t="n">
        <f aca="false">IF(SUM($O135,$Q135,$S135,$K135,$G135,$I135,$M135,$U135,$W135,$Y135,$AA135,$AC135,$AE135)=0,"",SUM($O135,$Q135,$S135,$K135,$G135,$I135,$M135,$U135,$W135,$Y135,$AA135,$AC135,$AE135))</f>
        <v>-280</v>
      </c>
      <c r="AG135" s="73" t="n">
        <f aca="false">INDEX(HTS!$BN:$BN,MATCH($E135,HTS!$E:$E,0))</f>
        <v>-280</v>
      </c>
      <c r="AH135" s="118" t="str">
        <f aca="false">IF(SUM($AG135)&lt;=0,"",$AF135/$AG135)</f>
        <v/>
      </c>
    </row>
    <row r="136" customFormat="false" ht="15" hidden="false" customHeight="false" outlineLevel="0" collapsed="false">
      <c r="A136" s="0" t="s">
        <v>148</v>
      </c>
      <c r="B136" s="0" t="s">
        <v>113</v>
      </c>
      <c r="C136" s="0" t="s">
        <v>75</v>
      </c>
      <c r="D136" s="0" t="s">
        <v>58</v>
      </c>
      <c r="E136" s="0" t="str">
        <f aca="false">B136&amp;"|"&amp;C136&amp;"|"&amp;D136</f>
        <v>Mokhotlong [#SNU] [tjhYqc1MlVo]|35-39|Male</v>
      </c>
      <c r="F136" s="118" t="str">
        <f aca="false">IF($D136="Female",100%,"")</f>
        <v/>
      </c>
      <c r="G136" s="75" t="str">
        <f aca="false">IFERROR(ROUND($F136*INDEX(PMTCT!$AE:$AE,MATCH($E136,PMTCT!$E:$E,0)),0),"")</f>
        <v/>
      </c>
      <c r="H136" s="118" t="str">
        <f aca="false">IF($D136="Female",100%,"")</f>
        <v/>
      </c>
      <c r="I136" s="75" t="str">
        <f aca="false">IFERROR(ROUND($H136*INDEX(PMTCT!$AU:$AU,MATCH($E136,PMTCT!$E:$E,0)),0),"")</f>
        <v/>
      </c>
      <c r="J136" s="118" t="n">
        <f aca="false">1</f>
        <v>1</v>
      </c>
      <c r="K136" s="75" t="n">
        <f aca="false">IFERROR(ROUND($J136*INDEX(TB!$Q:$Q,MATCH($E136,HTS!$E:$E,0)),0),"")</f>
        <v>-19656</v>
      </c>
      <c r="L136" s="118" t="n">
        <f aca="false">IF($D136="Male",100%,"")</f>
        <v>1</v>
      </c>
      <c r="M136" s="75" t="str">
        <f aca="false">IFERROR(ROUND($L136*INDEX(VMMC!$AC:$AC,MATCH($E136,VMMC!$E:$E,0)),0),"")</f>
        <v/>
      </c>
      <c r="N136" s="118" t="n">
        <f aca="false">1</f>
        <v>1</v>
      </c>
      <c r="O136" s="75" t="str">
        <f aca="false">IFERROR(ROUND($N136*INDEX(HTS!$Q:$Q,MATCH($E136,HTS!$E:$E,0)),0),"")</f>
        <v/>
      </c>
      <c r="P136" s="118" t="n">
        <f aca="false">1</f>
        <v>1</v>
      </c>
      <c r="Q136" s="75" t="n">
        <f aca="false">IFERROR(ROUND($P136*INDEX(HTS!$S:$S,MATCH($E136,HTS!$E:$E,0)),0),"")</f>
        <v>6</v>
      </c>
      <c r="R136" s="118" t="n">
        <f aca="false">1</f>
        <v>1</v>
      </c>
      <c r="S136" s="75" t="n">
        <f aca="false">IFERROR(ROUND($R136*INDEX(HTS!$AM:$AM,MATCH($E136,HTS!$E:$E,0)),0),"")</f>
        <v>588</v>
      </c>
      <c r="T136" s="118" t="n">
        <f aca="false">1</f>
        <v>1</v>
      </c>
      <c r="U136" s="75" t="n">
        <f aca="false">IFERROR(ROUND($T136*INDEX(HTS!$AV:$AV,MATCH($E136,HTS!$E:$E,0)),0),"")</f>
        <v>1050</v>
      </c>
      <c r="V136" s="118" t="n">
        <f aca="false">1</f>
        <v>1</v>
      </c>
      <c r="W136" s="75" t="n">
        <f aca="false">IFERROR(ROUND($V136*INDEX(HTS!$AY:$AY,MATCH($E136,HTS!$E:$E,0)),0),"")</f>
        <v>567</v>
      </c>
      <c r="X136" s="118" t="n">
        <f aca="false">1</f>
        <v>1</v>
      </c>
      <c r="Y136" s="75" t="n">
        <f aca="false">IFERROR(ROUND($X136*INDEX(HTS!$BB:$BB,MATCH($E136,HTS!$E:$E,0)),0),"")</f>
        <v>42</v>
      </c>
      <c r="Z136" s="118" t="n">
        <f aca="false">1</f>
        <v>1</v>
      </c>
      <c r="AA136" s="75" t="n">
        <f aca="false">IFERROR(ROUND($Z136*INDEX(HTS!$BE:$BE,MATCH($E136,HTS!$E:$E,0)),0),"")</f>
        <v>630</v>
      </c>
      <c r="AB136" s="118" t="n">
        <f aca="false">1</f>
        <v>1</v>
      </c>
      <c r="AC136" s="75" t="n">
        <f aca="false">IFERROR(ROUND($AB136*INDEX(HTS!$BH:$BH,MATCH($E136,HTS!$E:$E,0)),0),"")</f>
        <v>126</v>
      </c>
      <c r="AD136" s="118" t="n">
        <f aca="false">1</f>
        <v>1</v>
      </c>
      <c r="AE136" s="75" t="n">
        <f aca="false">IFERROR(ROUND($AD136*INDEX(HTS!$BK:$BK,MATCH($E136,HTS!$E:$E,0)),0),"")</f>
        <v>672</v>
      </c>
      <c r="AF136" s="73" t="n">
        <f aca="false">IF(SUM($O136,$Q136,$S136,$K136,$G136,$I136,$M136,$U136,$W136,$Y136,$AA136,$AC136,$AE136)=0,"",SUM($O136,$Q136,$S136,$K136,$G136,$I136,$M136,$U136,$W136,$Y136,$AA136,$AC136,$AE136))</f>
        <v>-15975</v>
      </c>
      <c r="AG136" s="73" t="n">
        <f aca="false">INDEX(HTS!$BN:$BN,MATCH($E136,HTS!$E:$E,0))</f>
        <v>-15975</v>
      </c>
      <c r="AH136" s="118" t="str">
        <f aca="false">IF(SUM($AG136)&lt;=0,"",$AF136/$AG136)</f>
        <v/>
      </c>
    </row>
    <row r="137" customFormat="false" ht="15" hidden="false" customHeight="false" outlineLevel="0" collapsed="false">
      <c r="A137" s="0" t="s">
        <v>148</v>
      </c>
      <c r="B137" s="0" t="s">
        <v>113</v>
      </c>
      <c r="C137" s="0" t="s">
        <v>77</v>
      </c>
      <c r="D137" s="0" t="s">
        <v>56</v>
      </c>
      <c r="E137" s="0" t="str">
        <f aca="false">B137&amp;"|"&amp;C137&amp;"|"&amp;D137</f>
        <v>Mokhotlong [#SNU] [tjhYqc1MlVo]|40-44|Female</v>
      </c>
      <c r="F137" s="118" t="n">
        <f aca="false">IF($D137="Female",100%,"")</f>
        <v>1</v>
      </c>
      <c r="G137" s="75" t="n">
        <f aca="false">IFERROR(ROUND($F137*INDEX(PMTCT!$AE:$AE,MATCH($E137,PMTCT!$E:$E,0)),0),"")</f>
        <v>-9500</v>
      </c>
      <c r="H137" s="118" t="n">
        <f aca="false">IF($D137="Female",100%,"")</f>
        <v>1</v>
      </c>
      <c r="I137" s="75" t="str">
        <f aca="false">IFERROR(ROUND($H137*INDEX(PMTCT!$AU:$AU,MATCH($E137,PMTCT!$E:$E,0)),0),"")</f>
        <v/>
      </c>
      <c r="J137" s="118" t="n">
        <f aca="false">1</f>
        <v>1</v>
      </c>
      <c r="K137" s="75" t="n">
        <f aca="false">IFERROR(ROUND($J137*INDEX(TB!$Q:$Q,MATCH($E137,HTS!$E:$E,0)),0),"")</f>
        <v>-0</v>
      </c>
      <c r="L137" s="118" t="str">
        <f aca="false">IF($D137="Male",100%,"")</f>
        <v/>
      </c>
      <c r="M137" s="75" t="str">
        <f aca="false">IFERROR(ROUND($L137*INDEX(VMMC!$AC:$AC,MATCH($E137,VMMC!$E:$E,0)),0),"")</f>
        <v/>
      </c>
      <c r="N137" s="118" t="n">
        <f aca="false">1</f>
        <v>1</v>
      </c>
      <c r="O137" s="75" t="str">
        <f aca="false">IFERROR(ROUND($N137*INDEX(HTS!$Q:$Q,MATCH($E137,HTS!$E:$E,0)),0),"")</f>
        <v/>
      </c>
      <c r="P137" s="118" t="n">
        <f aca="false">1</f>
        <v>1</v>
      </c>
      <c r="Q137" s="75" t="str">
        <f aca="false">IFERROR(ROUND($P137*INDEX(HTS!$S:$S,MATCH($E137,HTS!$E:$E,0)),0),"")</f>
        <v/>
      </c>
      <c r="R137" s="118" t="n">
        <f aca="false">1</f>
        <v>1</v>
      </c>
      <c r="S137" s="75" t="str">
        <f aca="false">IFERROR(ROUND($R137*INDEX(HTS!$AM:$AM,MATCH($E137,HTS!$E:$E,0)),0),"")</f>
        <v/>
      </c>
      <c r="T137" s="118" t="n">
        <f aca="false">1</f>
        <v>1</v>
      </c>
      <c r="U137" s="75" t="str">
        <f aca="false">IFERROR(ROUND($T137*INDEX(HTS!$AV:$AV,MATCH($E137,HTS!$E:$E,0)),0),"")</f>
        <v/>
      </c>
      <c r="V137" s="118" t="n">
        <f aca="false">1</f>
        <v>1</v>
      </c>
      <c r="W137" s="75" t="str">
        <f aca="false">IFERROR(ROUND($V137*INDEX(HTS!$AY:$AY,MATCH($E137,HTS!$E:$E,0)),0),"")</f>
        <v/>
      </c>
      <c r="X137" s="118" t="n">
        <f aca="false">1</f>
        <v>1</v>
      </c>
      <c r="Y137" s="75" t="str">
        <f aca="false">IFERROR(ROUND($X137*INDEX(HTS!$BB:$BB,MATCH($E137,HTS!$E:$E,0)),0),"")</f>
        <v/>
      </c>
      <c r="Z137" s="118" t="n">
        <f aca="false">1</f>
        <v>1</v>
      </c>
      <c r="AA137" s="75" t="str">
        <f aca="false">IFERROR(ROUND($Z137*INDEX(HTS!$BE:$BE,MATCH($E137,HTS!$E:$E,0)),0),"")</f>
        <v/>
      </c>
      <c r="AB137" s="118" t="n">
        <f aca="false">1</f>
        <v>1</v>
      </c>
      <c r="AC137" s="75" t="str">
        <f aca="false">IFERROR(ROUND($AB137*INDEX(HTS!$BH:$BH,MATCH($E137,HTS!$E:$E,0)),0),"")</f>
        <v/>
      </c>
      <c r="AD137" s="118" t="n">
        <f aca="false">1</f>
        <v>1</v>
      </c>
      <c r="AE137" s="75" t="str">
        <f aca="false">IFERROR(ROUND($AD137*INDEX(HTS!$BK:$BK,MATCH($E137,HTS!$E:$E,0)),0),"")</f>
        <v/>
      </c>
      <c r="AF137" s="73" t="n">
        <f aca="false">IF(SUM($O137,$Q137,$S137,$K137,$G137,$I137,$M137,$U137,$W137,$Y137,$AA137,$AC137,$AE137)=0,"",SUM($O137,$Q137,$S137,$K137,$G137,$I137,$M137,$U137,$W137,$Y137,$AA137,$AC137,$AE137))</f>
        <v>-9500</v>
      </c>
      <c r="AG137" s="73" t="str">
        <f aca="false">INDEX(HTS!$BN:$BN,MATCH($E137,HTS!$E:$E,0))</f>
        <v/>
      </c>
      <c r="AH137" s="118" t="str">
        <f aca="false">IF(SUM($AG137)&lt;=0,"",$AF137/$AG137)</f>
        <v/>
      </c>
    </row>
    <row r="138" customFormat="false" ht="15" hidden="false" customHeight="false" outlineLevel="0" collapsed="false">
      <c r="A138" s="0" t="s">
        <v>148</v>
      </c>
      <c r="B138" s="0" t="s">
        <v>113</v>
      </c>
      <c r="C138" s="0" t="s">
        <v>77</v>
      </c>
      <c r="D138" s="0" t="s">
        <v>58</v>
      </c>
      <c r="E138" s="0" t="str">
        <f aca="false">B138&amp;"|"&amp;C138&amp;"|"&amp;D138</f>
        <v>Mokhotlong [#SNU] [tjhYqc1MlVo]|40-44|Male</v>
      </c>
      <c r="F138" s="118" t="str">
        <f aca="false">IF($D138="Female",100%,"")</f>
        <v/>
      </c>
      <c r="G138" s="75" t="str">
        <f aca="false">IFERROR(ROUND($F138*INDEX(PMTCT!$AE:$AE,MATCH($E138,PMTCT!$E:$E,0)),0),"")</f>
        <v/>
      </c>
      <c r="H138" s="118" t="str">
        <f aca="false">IF($D138="Female",100%,"")</f>
        <v/>
      </c>
      <c r="I138" s="75" t="str">
        <f aca="false">IFERROR(ROUND($H138*INDEX(PMTCT!$AU:$AU,MATCH($E138,PMTCT!$E:$E,0)),0),"")</f>
        <v/>
      </c>
      <c r="J138" s="118" t="n">
        <f aca="false">1</f>
        <v>1</v>
      </c>
      <c r="K138" s="75" t="n">
        <f aca="false">IFERROR(ROUND($J138*INDEX(TB!$Q:$Q,MATCH($E138,HTS!$E:$E,0)),0),"")</f>
        <v>-0</v>
      </c>
      <c r="L138" s="118" t="n">
        <f aca="false">IF($D138="Male",100%,"")</f>
        <v>1</v>
      </c>
      <c r="M138" s="75" t="str">
        <f aca="false">IFERROR(ROUND($L138*INDEX(VMMC!$AC:$AC,MATCH($E138,VMMC!$E:$E,0)),0),"")</f>
        <v/>
      </c>
      <c r="N138" s="118" t="n">
        <f aca="false">1</f>
        <v>1</v>
      </c>
      <c r="O138" s="75" t="str">
        <f aca="false">IFERROR(ROUND($N138*INDEX(HTS!$Q:$Q,MATCH($E138,HTS!$E:$E,0)),0),"")</f>
        <v/>
      </c>
      <c r="P138" s="118" t="n">
        <f aca="false">1</f>
        <v>1</v>
      </c>
      <c r="Q138" s="75" t="str">
        <f aca="false">IFERROR(ROUND($P138*INDEX(HTS!$S:$S,MATCH($E138,HTS!$E:$E,0)),0),"")</f>
        <v/>
      </c>
      <c r="R138" s="118" t="n">
        <f aca="false">1</f>
        <v>1</v>
      </c>
      <c r="S138" s="75" t="str">
        <f aca="false">IFERROR(ROUND($R138*INDEX(HTS!$AM:$AM,MATCH($E138,HTS!$E:$E,0)),0),"")</f>
        <v/>
      </c>
      <c r="T138" s="118" t="n">
        <f aca="false">1</f>
        <v>1</v>
      </c>
      <c r="U138" s="75" t="str">
        <f aca="false">IFERROR(ROUND($T138*INDEX(HTS!$AV:$AV,MATCH($E138,HTS!$E:$E,0)),0),"")</f>
        <v/>
      </c>
      <c r="V138" s="118" t="n">
        <f aca="false">1</f>
        <v>1</v>
      </c>
      <c r="W138" s="75" t="str">
        <f aca="false">IFERROR(ROUND($V138*INDEX(HTS!$AY:$AY,MATCH($E138,HTS!$E:$E,0)),0),"")</f>
        <v/>
      </c>
      <c r="X138" s="118" t="n">
        <f aca="false">1</f>
        <v>1</v>
      </c>
      <c r="Y138" s="75" t="str">
        <f aca="false">IFERROR(ROUND($X138*INDEX(HTS!$BB:$BB,MATCH($E138,HTS!$E:$E,0)),0),"")</f>
        <v/>
      </c>
      <c r="Z138" s="118" t="n">
        <f aca="false">1</f>
        <v>1</v>
      </c>
      <c r="AA138" s="75" t="str">
        <f aca="false">IFERROR(ROUND($Z138*INDEX(HTS!$BE:$BE,MATCH($E138,HTS!$E:$E,0)),0),"")</f>
        <v/>
      </c>
      <c r="AB138" s="118" t="n">
        <f aca="false">1</f>
        <v>1</v>
      </c>
      <c r="AC138" s="75" t="str">
        <f aca="false">IFERROR(ROUND($AB138*INDEX(HTS!$BH:$BH,MATCH($E138,HTS!$E:$E,0)),0),"")</f>
        <v/>
      </c>
      <c r="AD138" s="118" t="n">
        <f aca="false">1</f>
        <v>1</v>
      </c>
      <c r="AE138" s="75" t="str">
        <f aca="false">IFERROR(ROUND($AD138*INDEX(HTS!$BK:$BK,MATCH($E138,HTS!$E:$E,0)),0),"")</f>
        <v/>
      </c>
      <c r="AF138" s="73" t="str">
        <f aca="false">IF(SUM($O138,$Q138,$S138,$K138,$G138,$I138,$M138,$U138,$W138,$Y138,$AA138,$AC138,$AE138)=0,"",SUM($O138,$Q138,$S138,$K138,$G138,$I138,$M138,$U138,$W138,$Y138,$AA138,$AC138,$AE138))</f>
        <v/>
      </c>
      <c r="AG138" s="73" t="str">
        <f aca="false">INDEX(HTS!$BN:$BN,MATCH($E138,HTS!$E:$E,0))</f>
        <v/>
      </c>
      <c r="AH138" s="118" t="str">
        <f aca="false">IF(SUM($AG138)&lt;=0,"",$AF138/$AG138)</f>
        <v/>
      </c>
    </row>
    <row r="139" customFormat="false" ht="15" hidden="false" customHeight="false" outlineLevel="0" collapsed="false">
      <c r="A139" s="0" t="s">
        <v>148</v>
      </c>
      <c r="B139" s="0" t="s">
        <v>113</v>
      </c>
      <c r="C139" s="0" t="s">
        <v>80</v>
      </c>
      <c r="D139" s="0" t="s">
        <v>56</v>
      </c>
      <c r="E139" s="0" t="str">
        <f aca="false">B139&amp;"|"&amp;C139&amp;"|"&amp;D139</f>
        <v>Mokhotlong [#SNU] [tjhYqc1MlVo]|45-49|Female</v>
      </c>
      <c r="F139" s="118" t="n">
        <f aca="false">IF($D139="Female",100%,"")</f>
        <v>1</v>
      </c>
      <c r="G139" s="75" t="n">
        <f aca="false">IFERROR(ROUND($F139*INDEX(PMTCT!$AE:$AE,MATCH($E139,PMTCT!$E:$E,0)),0),"")</f>
        <v>-0</v>
      </c>
      <c r="H139" s="118" t="n">
        <f aca="false">IF($D139="Female",100%,"")</f>
        <v>1</v>
      </c>
      <c r="I139" s="75" t="str">
        <f aca="false">IFERROR(ROUND($H139*INDEX(PMTCT!$AU:$AU,MATCH($E139,PMTCT!$E:$E,0)),0),"")</f>
        <v/>
      </c>
      <c r="J139" s="118" t="n">
        <f aca="false">1</f>
        <v>1</v>
      </c>
      <c r="K139" s="75" t="n">
        <f aca="false">IFERROR(ROUND($J139*INDEX(TB!$Q:$Q,MATCH($E139,HTS!$E:$E,0)),0),"")</f>
        <v>-6721</v>
      </c>
      <c r="L139" s="118" t="str">
        <f aca="false">IF($D139="Male",100%,"")</f>
        <v/>
      </c>
      <c r="M139" s="75" t="str">
        <f aca="false">IFERROR(ROUND($L139*INDEX(VMMC!$AC:$AC,MATCH($E139,VMMC!$E:$E,0)),0),"")</f>
        <v/>
      </c>
      <c r="N139" s="118" t="n">
        <f aca="false">1</f>
        <v>1</v>
      </c>
      <c r="O139" s="75" t="str">
        <f aca="false">IFERROR(ROUND($N139*INDEX(HTS!$Q:$Q,MATCH($E139,HTS!$E:$E,0)),0),"")</f>
        <v/>
      </c>
      <c r="P139" s="118" t="n">
        <f aca="false">1</f>
        <v>1</v>
      </c>
      <c r="Q139" s="75" t="str">
        <f aca="false">IFERROR(ROUND($P139*INDEX(HTS!$S:$S,MATCH($E139,HTS!$E:$E,0)),0),"")</f>
        <v/>
      </c>
      <c r="R139" s="118" t="n">
        <f aca="false">1</f>
        <v>1</v>
      </c>
      <c r="S139" s="75" t="str">
        <f aca="false">IFERROR(ROUND($R139*INDEX(HTS!$AM:$AM,MATCH($E139,HTS!$E:$E,0)),0),"")</f>
        <v/>
      </c>
      <c r="T139" s="118" t="n">
        <f aca="false">1</f>
        <v>1</v>
      </c>
      <c r="U139" s="75" t="str">
        <f aca="false">IFERROR(ROUND($T139*INDEX(HTS!$AV:$AV,MATCH($E139,HTS!$E:$E,0)),0),"")</f>
        <v/>
      </c>
      <c r="V139" s="118" t="n">
        <f aca="false">1</f>
        <v>1</v>
      </c>
      <c r="W139" s="75" t="str">
        <f aca="false">IFERROR(ROUND($V139*INDEX(HTS!$AY:$AY,MATCH($E139,HTS!$E:$E,0)),0),"")</f>
        <v/>
      </c>
      <c r="X139" s="118" t="n">
        <f aca="false">1</f>
        <v>1</v>
      </c>
      <c r="Y139" s="75" t="str">
        <f aca="false">IFERROR(ROUND($X139*INDEX(HTS!$BB:$BB,MATCH($E139,HTS!$E:$E,0)),0),"")</f>
        <v/>
      </c>
      <c r="Z139" s="118" t="n">
        <f aca="false">1</f>
        <v>1</v>
      </c>
      <c r="AA139" s="75" t="str">
        <f aca="false">IFERROR(ROUND($Z139*INDEX(HTS!$BE:$BE,MATCH($E139,HTS!$E:$E,0)),0),"")</f>
        <v/>
      </c>
      <c r="AB139" s="118" t="n">
        <f aca="false">1</f>
        <v>1</v>
      </c>
      <c r="AC139" s="75" t="str">
        <f aca="false">IFERROR(ROUND($AB139*INDEX(HTS!$BH:$BH,MATCH($E139,HTS!$E:$E,0)),0),"")</f>
        <v/>
      </c>
      <c r="AD139" s="118" t="n">
        <f aca="false">1</f>
        <v>1</v>
      </c>
      <c r="AE139" s="75" t="str">
        <f aca="false">IFERROR(ROUND($AD139*INDEX(HTS!$BK:$BK,MATCH($E139,HTS!$E:$E,0)),0),"")</f>
        <v/>
      </c>
      <c r="AF139" s="73" t="n">
        <f aca="false">IF(SUM($O139,$Q139,$S139,$K139,$G139,$I139,$M139,$U139,$W139,$Y139,$AA139,$AC139,$AE139)=0,"",SUM($O139,$Q139,$S139,$K139,$G139,$I139,$M139,$U139,$W139,$Y139,$AA139,$AC139,$AE139))</f>
        <v>-6721</v>
      </c>
      <c r="AG139" s="73" t="str">
        <f aca="false">INDEX(HTS!$BN:$BN,MATCH($E139,HTS!$E:$E,0))</f>
        <v/>
      </c>
      <c r="AH139" s="118" t="str">
        <f aca="false">IF(SUM($AG139)&lt;=0,"",$AF139/$AG139)</f>
        <v/>
      </c>
    </row>
    <row r="140" customFormat="false" ht="15" hidden="false" customHeight="false" outlineLevel="0" collapsed="false">
      <c r="A140" s="0" t="s">
        <v>148</v>
      </c>
      <c r="B140" s="0" t="s">
        <v>113</v>
      </c>
      <c r="C140" s="0" t="s">
        <v>80</v>
      </c>
      <c r="D140" s="0" t="s">
        <v>58</v>
      </c>
      <c r="E140" s="0" t="str">
        <f aca="false">B140&amp;"|"&amp;C140&amp;"|"&amp;D140</f>
        <v>Mokhotlong [#SNU] [tjhYqc1MlVo]|45-49|Male</v>
      </c>
      <c r="F140" s="118" t="str">
        <f aca="false">IF($D140="Female",100%,"")</f>
        <v/>
      </c>
      <c r="G140" s="75" t="str">
        <f aca="false">IFERROR(ROUND($F140*INDEX(PMTCT!$AE:$AE,MATCH($E140,PMTCT!$E:$E,0)),0),"")</f>
        <v/>
      </c>
      <c r="H140" s="118" t="str">
        <f aca="false">IF($D140="Female",100%,"")</f>
        <v/>
      </c>
      <c r="I140" s="75" t="str">
        <f aca="false">IFERROR(ROUND($H140*INDEX(PMTCT!$AU:$AU,MATCH($E140,PMTCT!$E:$E,0)),0),"")</f>
        <v/>
      </c>
      <c r="J140" s="118" t="n">
        <f aca="false">1</f>
        <v>1</v>
      </c>
      <c r="K140" s="75" t="n">
        <f aca="false">IFERROR(ROUND($J140*INDEX(TB!$Q:$Q,MATCH($E140,HTS!$E:$E,0)),0),"")</f>
        <v>-7200</v>
      </c>
      <c r="L140" s="118" t="n">
        <f aca="false">IF($D140="Male",100%,"")</f>
        <v>1</v>
      </c>
      <c r="M140" s="75" t="str">
        <f aca="false">IFERROR(ROUND($L140*INDEX(VMMC!$AC:$AC,MATCH($E140,VMMC!$E:$E,0)),0),"")</f>
        <v/>
      </c>
      <c r="N140" s="118" t="n">
        <f aca="false">1</f>
        <v>1</v>
      </c>
      <c r="O140" s="75" t="str">
        <f aca="false">IFERROR(ROUND($N140*INDEX(HTS!$Q:$Q,MATCH($E140,HTS!$E:$E,0)),0),"")</f>
        <v/>
      </c>
      <c r="P140" s="118" t="n">
        <f aca="false">1</f>
        <v>1</v>
      </c>
      <c r="Q140" s="75" t="n">
        <f aca="false">IFERROR(ROUND($P140*INDEX(HTS!$S:$S,MATCH($E140,HTS!$E:$E,0)),0),"")</f>
        <v>5</v>
      </c>
      <c r="R140" s="118" t="n">
        <f aca="false">1</f>
        <v>1</v>
      </c>
      <c r="S140" s="75" t="n">
        <f aca="false">IFERROR(ROUND($R140*INDEX(HTS!$AM:$AM,MATCH($E140,HTS!$E:$E,0)),0),"")</f>
        <v>342</v>
      </c>
      <c r="T140" s="118" t="n">
        <f aca="false">1</f>
        <v>1</v>
      </c>
      <c r="U140" s="75" t="n">
        <f aca="false">IFERROR(ROUND($T140*INDEX(HTS!$AV:$AV,MATCH($E140,HTS!$E:$E,0)),0),"")</f>
        <v>261</v>
      </c>
      <c r="V140" s="118" t="n">
        <f aca="false">1</f>
        <v>1</v>
      </c>
      <c r="W140" s="75" t="n">
        <f aca="false">IFERROR(ROUND($V140*INDEX(HTS!$AY:$AY,MATCH($E140,HTS!$E:$E,0)),0),"")</f>
        <v>117</v>
      </c>
      <c r="X140" s="118" t="n">
        <f aca="false">1</f>
        <v>1</v>
      </c>
      <c r="Y140" s="75" t="n">
        <f aca="false">IFERROR(ROUND($X140*INDEX(HTS!$BB:$BB,MATCH($E140,HTS!$E:$E,0)),0),"")</f>
        <v>270</v>
      </c>
      <c r="Z140" s="118" t="n">
        <f aca="false">1</f>
        <v>1</v>
      </c>
      <c r="AA140" s="75" t="n">
        <f aca="false">IFERROR(ROUND($Z140*INDEX(HTS!$BE:$BE,MATCH($E140,HTS!$E:$E,0)),0),"")</f>
        <v>81</v>
      </c>
      <c r="AB140" s="118" t="n">
        <f aca="false">1</f>
        <v>1</v>
      </c>
      <c r="AC140" s="75" t="n">
        <f aca="false">IFERROR(ROUND($AB140*INDEX(HTS!$BH:$BH,MATCH($E140,HTS!$E:$E,0)),0),"")</f>
        <v>333</v>
      </c>
      <c r="AD140" s="118" t="n">
        <f aca="false">1</f>
        <v>1</v>
      </c>
      <c r="AE140" s="75" t="n">
        <f aca="false">IFERROR(ROUND($AD140*INDEX(HTS!$BK:$BK,MATCH($E140,HTS!$E:$E,0)),0),"")</f>
        <v>360</v>
      </c>
      <c r="AF140" s="73" t="n">
        <f aca="false">IF(SUM($O140,$Q140,$S140,$K140,$G140,$I140,$M140,$U140,$W140,$Y140,$AA140,$AC140,$AE140)=0,"",SUM($O140,$Q140,$S140,$K140,$G140,$I140,$M140,$U140,$W140,$Y140,$AA140,$AC140,$AE140))</f>
        <v>-5431</v>
      </c>
      <c r="AG140" s="73" t="n">
        <f aca="false">INDEX(HTS!$BN:$BN,MATCH($E140,HTS!$E:$E,0))</f>
        <v>-5431</v>
      </c>
      <c r="AH140" s="118" t="str">
        <f aca="false">IF(SUM($AG140)&lt;=0,"",$AF140/$AG140)</f>
        <v/>
      </c>
    </row>
    <row r="141" customFormat="false" ht="15" hidden="false" customHeight="false" outlineLevel="0" collapsed="false">
      <c r="A141" s="0" t="s">
        <v>148</v>
      </c>
      <c r="B141" s="0" t="s">
        <v>113</v>
      </c>
      <c r="C141" s="0" t="s">
        <v>86</v>
      </c>
      <c r="D141" s="0" t="s">
        <v>56</v>
      </c>
      <c r="E141" s="0" t="str">
        <f aca="false">B141&amp;"|"&amp;C141&amp;"|"&amp;D141</f>
        <v>Mokhotlong [#SNU] [tjhYqc1MlVo]|50+|Female</v>
      </c>
      <c r="F141" s="118" t="n">
        <f aca="false">IF($D141="Female",100%,"")</f>
        <v>1</v>
      </c>
      <c r="G141" s="75" t="str">
        <f aca="false">IFERROR(ROUND($F141*INDEX(PMTCT!$AE:$AE,MATCH($E141,PMTCT!$E:$E,0)),0),"")</f>
        <v/>
      </c>
      <c r="H141" s="118" t="n">
        <f aca="false">IF($D141="Female",100%,"")</f>
        <v>1</v>
      </c>
      <c r="I141" s="75" t="str">
        <f aca="false">IFERROR(ROUND($H141*INDEX(PMTCT!$AU:$AU,MATCH($E141,PMTCT!$E:$E,0)),0),"")</f>
        <v/>
      </c>
      <c r="J141" s="118" t="n">
        <f aca="false">1</f>
        <v>1</v>
      </c>
      <c r="K141" s="75" t="n">
        <f aca="false">IFERROR(ROUND($J141*INDEX(TB!$Q:$Q,MATCH($E141,HTS!$E:$E,0)),0),"")</f>
        <v>-0</v>
      </c>
      <c r="L141" s="118" t="str">
        <f aca="false">IF($D141="Male",100%,"")</f>
        <v/>
      </c>
      <c r="M141" s="75" t="str">
        <f aca="false">IFERROR(ROUND($L141*INDEX(VMMC!$AC:$AC,MATCH($E141,VMMC!$E:$E,0)),0),"")</f>
        <v/>
      </c>
      <c r="N141" s="118" t="n">
        <f aca="false">1</f>
        <v>1</v>
      </c>
      <c r="O141" s="75" t="str">
        <f aca="false">IFERROR(ROUND($N141*INDEX(HTS!$Q:$Q,MATCH($E141,HTS!$E:$E,0)),0),"")</f>
        <v/>
      </c>
      <c r="P141" s="118" t="n">
        <f aca="false">1</f>
        <v>1</v>
      </c>
      <c r="Q141" s="75" t="n">
        <f aca="false">IFERROR(ROUND($P141*INDEX(HTS!$S:$S,MATCH($E141,HTS!$E:$E,0)),0),"")</f>
        <v>5</v>
      </c>
      <c r="R141" s="118" t="n">
        <f aca="false">1</f>
        <v>1</v>
      </c>
      <c r="S141" s="75" t="n">
        <f aca="false">IFERROR(ROUND($R141*INDEX(HTS!$AM:$AM,MATCH($E141,HTS!$E:$E,0)),0),"")</f>
        <v>297</v>
      </c>
      <c r="T141" s="118" t="n">
        <f aca="false">1</f>
        <v>1</v>
      </c>
      <c r="U141" s="75" t="n">
        <f aca="false">IFERROR(ROUND($T141*INDEX(HTS!$AV:$AV,MATCH($E141,HTS!$E:$E,0)),0),"")</f>
        <v>297</v>
      </c>
      <c r="V141" s="118" t="n">
        <f aca="false">1</f>
        <v>1</v>
      </c>
      <c r="W141" s="75" t="n">
        <f aca="false">IFERROR(ROUND($V141*INDEX(HTS!$AY:$AY,MATCH($E141,HTS!$E:$E,0)),0),"")</f>
        <v>261</v>
      </c>
      <c r="X141" s="118" t="n">
        <f aca="false">1</f>
        <v>1</v>
      </c>
      <c r="Y141" s="75" t="n">
        <f aca="false">IFERROR(ROUND($X141*INDEX(HTS!$BB:$BB,MATCH($E141,HTS!$E:$E,0)),0),"")</f>
        <v>144</v>
      </c>
      <c r="Z141" s="118" t="n">
        <f aca="false">1</f>
        <v>1</v>
      </c>
      <c r="AA141" s="75" t="n">
        <f aca="false">IFERROR(ROUND($Z141*INDEX(HTS!$BE:$BE,MATCH($E141,HTS!$E:$E,0)),0),"")</f>
        <v>198</v>
      </c>
      <c r="AB141" s="118" t="n">
        <f aca="false">1</f>
        <v>1</v>
      </c>
      <c r="AC141" s="75" t="n">
        <f aca="false">IFERROR(ROUND($AB141*INDEX(HTS!$BH:$BH,MATCH($E141,HTS!$E:$E,0)),0),"")</f>
        <v>270</v>
      </c>
      <c r="AD141" s="118" t="n">
        <f aca="false">1</f>
        <v>1</v>
      </c>
      <c r="AE141" s="75" t="n">
        <f aca="false">IFERROR(ROUND($AD141*INDEX(HTS!$BK:$BK,MATCH($E141,HTS!$E:$E,0)),0),"")</f>
        <v>243</v>
      </c>
      <c r="AF141" s="73" t="n">
        <f aca="false">IF(SUM($O141,$Q141,$S141,$K141,$G141,$I141,$M141,$U141,$W141,$Y141,$AA141,$AC141,$AE141)=0,"",SUM($O141,$Q141,$S141,$K141,$G141,$I141,$M141,$U141,$W141,$Y141,$AA141,$AC141,$AE141))</f>
        <v>1715</v>
      </c>
      <c r="AG141" s="73" t="n">
        <f aca="false">INDEX(HTS!$BN:$BN,MATCH($E141,HTS!$E:$E,0))</f>
        <v>1715</v>
      </c>
      <c r="AH141" s="118" t="n">
        <f aca="false">IF(SUM($AG141)&lt;=0,"",$AF141/$AG141)</f>
        <v>1</v>
      </c>
    </row>
    <row r="142" customFormat="false" ht="15" hidden="false" customHeight="false" outlineLevel="0" collapsed="false">
      <c r="A142" s="0" t="s">
        <v>148</v>
      </c>
      <c r="B142" s="0" t="s">
        <v>113</v>
      </c>
      <c r="C142" s="0" t="s">
        <v>86</v>
      </c>
      <c r="D142" s="0" t="s">
        <v>58</v>
      </c>
      <c r="E142" s="0" t="str">
        <f aca="false">B142&amp;"|"&amp;C142&amp;"|"&amp;D142</f>
        <v>Mokhotlong [#SNU] [tjhYqc1MlVo]|50+|Male</v>
      </c>
      <c r="F142" s="118" t="str">
        <f aca="false">IF($D142="Female",100%,"")</f>
        <v/>
      </c>
      <c r="G142" s="75" t="str">
        <f aca="false">IFERROR(ROUND($F142*INDEX(PMTCT!$AE:$AE,MATCH($E142,PMTCT!$E:$E,0)),0),"")</f>
        <v/>
      </c>
      <c r="H142" s="118" t="str">
        <f aca="false">IF($D142="Female",100%,"")</f>
        <v/>
      </c>
      <c r="I142" s="75" t="str">
        <f aca="false">IFERROR(ROUND($H142*INDEX(PMTCT!$AU:$AU,MATCH($E142,PMTCT!$E:$E,0)),0),"")</f>
        <v/>
      </c>
      <c r="J142" s="118" t="n">
        <f aca="false">1</f>
        <v>1</v>
      </c>
      <c r="K142" s="75" t="n">
        <f aca="false">IFERROR(ROUND($J142*INDEX(TB!$Q:$Q,MATCH($E142,HTS!$E:$E,0)),0),"")</f>
        <v>-0</v>
      </c>
      <c r="L142" s="118" t="n">
        <f aca="false">IF($D142="Male",100%,"")</f>
        <v>1</v>
      </c>
      <c r="M142" s="75" t="str">
        <f aca="false">IFERROR(ROUND($L142*INDEX(VMMC!$AC:$AC,MATCH($E142,VMMC!$E:$E,0)),0),"")</f>
        <v/>
      </c>
      <c r="N142" s="118" t="n">
        <f aca="false">1</f>
        <v>1</v>
      </c>
      <c r="O142" s="75" t="str">
        <f aca="false">IFERROR(ROUND($N142*INDEX(HTS!$Q:$Q,MATCH($E142,HTS!$E:$E,0)),0),"")</f>
        <v/>
      </c>
      <c r="P142" s="118" t="n">
        <f aca="false">1</f>
        <v>1</v>
      </c>
      <c r="Q142" s="75" t="n">
        <f aca="false">IFERROR(ROUND($P142*INDEX(HTS!$S:$S,MATCH($E142,HTS!$E:$E,0)),0),"")</f>
        <v>1</v>
      </c>
      <c r="R142" s="118" t="n">
        <f aca="false">1</f>
        <v>1</v>
      </c>
      <c r="S142" s="75" t="n">
        <f aca="false">IFERROR(ROUND($R142*INDEX(HTS!$AM:$AM,MATCH($E142,HTS!$E:$E,0)),0),"")</f>
        <v>62</v>
      </c>
      <c r="T142" s="118" t="n">
        <f aca="false">1</f>
        <v>1</v>
      </c>
      <c r="U142" s="75" t="n">
        <f aca="false">IFERROR(ROUND($T142*INDEX(HTS!$AV:$AV,MATCH($E142,HTS!$E:$E,0)),0),"")</f>
        <v>22</v>
      </c>
      <c r="V142" s="118" t="n">
        <f aca="false">1</f>
        <v>1</v>
      </c>
      <c r="W142" s="75" t="n">
        <f aca="false">IFERROR(ROUND($V142*INDEX(HTS!$AY:$AY,MATCH($E142,HTS!$E:$E,0)),0),"")</f>
        <v>90</v>
      </c>
      <c r="X142" s="118" t="n">
        <f aca="false">1</f>
        <v>1</v>
      </c>
      <c r="Y142" s="75" t="n">
        <f aca="false">IFERROR(ROUND($X142*INDEX(HTS!$BB:$BB,MATCH($E142,HTS!$E:$E,0)),0),"")</f>
        <v>36</v>
      </c>
      <c r="Z142" s="118" t="n">
        <f aca="false">1</f>
        <v>1</v>
      </c>
      <c r="AA142" s="75" t="n">
        <f aca="false">IFERROR(ROUND($Z142*INDEX(HTS!$BE:$BE,MATCH($E142,HTS!$E:$E,0)),0),"")</f>
        <v>66</v>
      </c>
      <c r="AB142" s="118" t="n">
        <f aca="false">1</f>
        <v>1</v>
      </c>
      <c r="AC142" s="75" t="n">
        <f aca="false">IFERROR(ROUND($AB142*INDEX(HTS!$BH:$BH,MATCH($E142,HTS!$E:$E,0)),0),"")</f>
        <v>54</v>
      </c>
      <c r="AD142" s="118" t="n">
        <f aca="false">1</f>
        <v>1</v>
      </c>
      <c r="AE142" s="75" t="n">
        <f aca="false">IFERROR(ROUND($AD142*INDEX(HTS!$BK:$BK,MATCH($E142,HTS!$E:$E,0)),0),"")</f>
        <v>42</v>
      </c>
      <c r="AF142" s="73" t="n">
        <f aca="false">IF(SUM($O142,$Q142,$S142,$K142,$G142,$I142,$M142,$U142,$W142,$Y142,$AA142,$AC142,$AE142)=0,"",SUM($O142,$Q142,$S142,$K142,$G142,$I142,$M142,$U142,$W142,$Y142,$AA142,$AC142,$AE142))</f>
        <v>373</v>
      </c>
      <c r="AG142" s="73" t="n">
        <f aca="false">INDEX(HTS!$BN:$BN,MATCH($E142,HTS!$E:$E,0))</f>
        <v>373</v>
      </c>
      <c r="AH142" s="118" t="n">
        <f aca="false">IF(SUM($AG142)&lt;=0,"",$AF142/$AG142)</f>
        <v>1</v>
      </c>
    </row>
    <row r="143" customFormat="false" ht="15" hidden="false" customHeight="false" outlineLevel="0" collapsed="false">
      <c r="A143" s="0" t="s">
        <v>149</v>
      </c>
      <c r="B143" s="0" t="s">
        <v>111</v>
      </c>
      <c r="C143" s="0" t="s">
        <v>63</v>
      </c>
      <c r="D143" s="0" t="s">
        <v>56</v>
      </c>
      <c r="E143" s="0" t="str">
        <f aca="false">B143&amp;"|"&amp;C143&amp;"|"&amp;D143</f>
        <v>Qacha's Nek [#SNU] [zTaMbxvQtJ6]|15-19|Female</v>
      </c>
      <c r="F143" s="118" t="n">
        <f aca="false">IF($D143="Female",100%,"")</f>
        <v>1</v>
      </c>
      <c r="G143" s="75" t="n">
        <f aca="false">IFERROR(ROUND($F143*INDEX(PMTCT!$AE:$AE,MATCH($E143,PMTCT!$E:$E,0)),0),"")</f>
        <v>-14040</v>
      </c>
      <c r="H143" s="118" t="n">
        <f aca="false">IF($D143="Female",100%,"")</f>
        <v>1</v>
      </c>
      <c r="I143" s="75" t="str">
        <f aca="false">IFERROR(ROUND($H143*INDEX(PMTCT!$AU:$AU,MATCH($E143,PMTCT!$E:$E,0)),0),"")</f>
        <v/>
      </c>
      <c r="J143" s="118" t="n">
        <f aca="false">1</f>
        <v>1</v>
      </c>
      <c r="K143" s="75" t="n">
        <f aca="false">IFERROR(ROUND($J143*INDEX(TB!$Q:$Q,MATCH($E143,HTS!$E:$E,0)),0),"")</f>
        <v>-0</v>
      </c>
      <c r="L143" s="118" t="str">
        <f aca="false">IF($D143="Male",100%,"")</f>
        <v/>
      </c>
      <c r="M143" s="75" t="str">
        <f aca="false">IFERROR(ROUND($L143*INDEX(VMMC!$AC:$AC,MATCH($E143,VMMC!$E:$E,0)),0),"")</f>
        <v/>
      </c>
      <c r="N143" s="118" t="n">
        <f aca="false">1</f>
        <v>1</v>
      </c>
      <c r="O143" s="75" t="str">
        <f aca="false">IFERROR(ROUND($N143*INDEX(HTS!$Q:$Q,MATCH($E143,HTS!$E:$E,0)),0),"")</f>
        <v/>
      </c>
      <c r="P143" s="118" t="n">
        <f aca="false">1</f>
        <v>1</v>
      </c>
      <c r="Q143" s="75" t="n">
        <f aca="false">IFERROR(ROUND($P143*INDEX(HTS!$S:$S,MATCH($E143,HTS!$E:$E,0)),0),"")</f>
        <v>5</v>
      </c>
      <c r="R143" s="118" t="n">
        <f aca="false">1</f>
        <v>1</v>
      </c>
      <c r="S143" s="75" t="str">
        <f aca="false">IFERROR(ROUND($R143*INDEX(HTS!$AM:$AM,MATCH($E143,HTS!$E:$E,0)),0),"")</f>
        <v/>
      </c>
      <c r="T143" s="118" t="n">
        <f aca="false">1</f>
        <v>1</v>
      </c>
      <c r="U143" s="75" t="n">
        <f aca="false">IFERROR(ROUND($T143*INDEX(HTS!$AV:$AV,MATCH($E143,HTS!$E:$E,0)),0),"")</f>
        <v>153</v>
      </c>
      <c r="V143" s="118" t="n">
        <f aca="false">1</f>
        <v>1</v>
      </c>
      <c r="W143" s="75" t="n">
        <f aca="false">IFERROR(ROUND($V143*INDEX(HTS!$AY:$AY,MATCH($E143,HTS!$E:$E,0)),0),"")</f>
        <v>252</v>
      </c>
      <c r="X143" s="118" t="n">
        <f aca="false">1</f>
        <v>1</v>
      </c>
      <c r="Y143" s="75" t="n">
        <f aca="false">IFERROR(ROUND($X143*INDEX(HTS!$BB:$BB,MATCH($E143,HTS!$E:$E,0)),0),"")</f>
        <v>45</v>
      </c>
      <c r="Z143" s="118" t="n">
        <f aca="false">1</f>
        <v>1</v>
      </c>
      <c r="AA143" s="75" t="n">
        <f aca="false">IFERROR(ROUND($Z143*INDEX(HTS!$BE:$BE,MATCH($E143,HTS!$E:$E,0)),0),"")</f>
        <v>45</v>
      </c>
      <c r="AB143" s="118" t="n">
        <f aca="false">1</f>
        <v>1</v>
      </c>
      <c r="AC143" s="75" t="n">
        <f aca="false">IFERROR(ROUND($AB143*INDEX(HTS!$BH:$BH,MATCH($E143,HTS!$E:$E,0)),0),"")</f>
        <v>18</v>
      </c>
      <c r="AD143" s="118" t="n">
        <f aca="false">1</f>
        <v>1</v>
      </c>
      <c r="AE143" s="75" t="n">
        <f aca="false">IFERROR(ROUND($AD143*INDEX(HTS!$BK:$BK,MATCH($E143,HTS!$E:$E,0)),0),"")</f>
        <v>243</v>
      </c>
      <c r="AF143" s="73" t="n">
        <f aca="false">IF(SUM($O143,$Q143,$S143,$K143,$G143,$I143,$M143,$U143,$W143,$Y143,$AA143,$AC143,$AE143)=0,"",SUM($O143,$Q143,$S143,$K143,$G143,$I143,$M143,$U143,$W143,$Y143,$AA143,$AC143,$AE143))</f>
        <v>-13279</v>
      </c>
      <c r="AG143" s="73" t="n">
        <f aca="false">INDEX(HTS!$BN:$BN,MATCH($E143,HTS!$E:$E,0))</f>
        <v>-13279</v>
      </c>
      <c r="AH143" s="118" t="str">
        <f aca="false">IF(SUM($AG143)&lt;=0,"",$AF143/$AG143)</f>
        <v/>
      </c>
    </row>
    <row r="144" customFormat="false" ht="15" hidden="false" customHeight="false" outlineLevel="0" collapsed="false">
      <c r="A144" s="0" t="s">
        <v>149</v>
      </c>
      <c r="B144" s="0" t="s">
        <v>111</v>
      </c>
      <c r="C144" s="0" t="s">
        <v>63</v>
      </c>
      <c r="D144" s="0" t="s">
        <v>58</v>
      </c>
      <c r="E144" s="0" t="str">
        <f aca="false">B144&amp;"|"&amp;C144&amp;"|"&amp;D144</f>
        <v>Qacha's Nek [#SNU] [zTaMbxvQtJ6]|15-19|Male</v>
      </c>
      <c r="F144" s="118" t="str">
        <f aca="false">IF($D144="Female",100%,"")</f>
        <v/>
      </c>
      <c r="G144" s="75" t="str">
        <f aca="false">IFERROR(ROUND($F144*INDEX(PMTCT!$AE:$AE,MATCH($E144,PMTCT!$E:$E,0)),0),"")</f>
        <v/>
      </c>
      <c r="H144" s="118" t="str">
        <f aca="false">IF($D144="Female",100%,"")</f>
        <v/>
      </c>
      <c r="I144" s="75" t="str">
        <f aca="false">IFERROR(ROUND($H144*INDEX(PMTCT!$AU:$AU,MATCH($E144,PMTCT!$E:$E,0)),0),"")</f>
        <v/>
      </c>
      <c r="J144" s="118" t="n">
        <f aca="false">1</f>
        <v>1</v>
      </c>
      <c r="K144" s="75" t="n">
        <f aca="false">IFERROR(ROUND($J144*INDEX(TB!$Q:$Q,MATCH($E144,HTS!$E:$E,0)),0),"")</f>
        <v>0</v>
      </c>
      <c r="L144" s="118" t="n">
        <f aca="false">IF($D144="Male",100%,"")</f>
        <v>1</v>
      </c>
      <c r="M144" s="75" t="str">
        <f aca="false">IFERROR(ROUND($L144*INDEX(VMMC!$AC:$AC,MATCH($E144,VMMC!$E:$E,0)),0),"")</f>
        <v/>
      </c>
      <c r="N144" s="118" t="n">
        <f aca="false">1</f>
        <v>1</v>
      </c>
      <c r="O144" s="75" t="str">
        <f aca="false">IFERROR(ROUND($N144*INDEX(HTS!$Q:$Q,MATCH($E144,HTS!$E:$E,0)),0),"")</f>
        <v/>
      </c>
      <c r="P144" s="118" t="n">
        <f aca="false">1</f>
        <v>1</v>
      </c>
      <c r="Q144" s="75" t="n">
        <f aca="false">IFERROR(ROUND($P144*INDEX(HTS!$S:$S,MATCH($E144,HTS!$E:$E,0)),0),"")</f>
        <v>1</v>
      </c>
      <c r="R144" s="118" t="n">
        <f aca="false">1</f>
        <v>1</v>
      </c>
      <c r="S144" s="75" t="n">
        <f aca="false">IFERROR(ROUND($R144*INDEX(HTS!$AM:$AM,MATCH($E144,HTS!$E:$E,0)),0),"")</f>
        <v>24</v>
      </c>
      <c r="T144" s="118" t="n">
        <f aca="false">1</f>
        <v>1</v>
      </c>
      <c r="U144" s="75" t="str">
        <f aca="false">IFERROR(ROUND($T144*INDEX(HTS!$AV:$AV,MATCH($E144,HTS!$E:$E,0)),0),"")</f>
        <v/>
      </c>
      <c r="V144" s="118" t="n">
        <f aca="false">1</f>
        <v>1</v>
      </c>
      <c r="W144" s="75" t="n">
        <f aca="false">IFERROR(ROUND($V144*INDEX(HTS!$AY:$AY,MATCH($E144,HTS!$E:$E,0)),0),"")</f>
        <v>27</v>
      </c>
      <c r="X144" s="118" t="n">
        <f aca="false">1</f>
        <v>1</v>
      </c>
      <c r="Y144" s="75" t="n">
        <f aca="false">IFERROR(ROUND($X144*INDEX(HTS!$BB:$BB,MATCH($E144,HTS!$E:$E,0)),0),"")</f>
        <v>44</v>
      </c>
      <c r="Z144" s="118" t="n">
        <f aca="false">1</f>
        <v>1</v>
      </c>
      <c r="AA144" s="75" t="n">
        <f aca="false">IFERROR(ROUND($Z144*INDEX(HTS!$BE:$BE,MATCH($E144,HTS!$E:$E,0)),0),"")</f>
        <v>47</v>
      </c>
      <c r="AB144" s="118" t="n">
        <f aca="false">1</f>
        <v>1</v>
      </c>
      <c r="AC144" s="75" t="n">
        <f aca="false">IFERROR(ROUND($AB144*INDEX(HTS!$BH:$BH,MATCH($E144,HTS!$E:$E,0)),0),"")</f>
        <v>18</v>
      </c>
      <c r="AD144" s="118" t="n">
        <f aca="false">1</f>
        <v>1</v>
      </c>
      <c r="AE144" s="75" t="n">
        <f aca="false">IFERROR(ROUND($AD144*INDEX(HTS!$BK:$BK,MATCH($E144,HTS!$E:$E,0)),0),"")</f>
        <v>38</v>
      </c>
      <c r="AF144" s="73" t="n">
        <f aca="false">IF(SUM($O144,$Q144,$S144,$K144,$G144,$I144,$M144,$U144,$W144,$Y144,$AA144,$AC144,$AE144)=0,"",SUM($O144,$Q144,$S144,$K144,$G144,$I144,$M144,$U144,$W144,$Y144,$AA144,$AC144,$AE144))</f>
        <v>199</v>
      </c>
      <c r="AG144" s="73" t="n">
        <f aca="false">INDEX(HTS!$BN:$BN,MATCH($E144,HTS!$E:$E,0))</f>
        <v>199</v>
      </c>
      <c r="AH144" s="118" t="n">
        <f aca="false">IF(SUM($AG144)&lt;=0,"",$AF144/$AG144)</f>
        <v>1</v>
      </c>
    </row>
    <row r="145" customFormat="false" ht="15" hidden="false" customHeight="false" outlineLevel="0" collapsed="false">
      <c r="A145" s="0" t="s">
        <v>149</v>
      </c>
      <c r="B145" s="0" t="s">
        <v>111</v>
      </c>
      <c r="C145" s="0" t="s">
        <v>66</v>
      </c>
      <c r="D145" s="0" t="s">
        <v>56</v>
      </c>
      <c r="E145" s="0" t="str">
        <f aca="false">B145&amp;"|"&amp;C145&amp;"|"&amp;D145</f>
        <v>Qacha's Nek [#SNU] [zTaMbxvQtJ6]|20-24|Female</v>
      </c>
      <c r="F145" s="118" t="n">
        <f aca="false">IF($D145="Female",100%,"")</f>
        <v>1</v>
      </c>
      <c r="G145" s="75" t="n">
        <f aca="false">IFERROR(ROUND($F145*INDEX(PMTCT!$AE:$AE,MATCH($E145,PMTCT!$E:$E,0)),0),"")</f>
        <v>-5805</v>
      </c>
      <c r="H145" s="118" t="n">
        <f aca="false">IF($D145="Female",100%,"")</f>
        <v>1</v>
      </c>
      <c r="I145" s="75" t="str">
        <f aca="false">IFERROR(ROUND($H145*INDEX(PMTCT!$AU:$AU,MATCH($E145,PMTCT!$E:$E,0)),0),"")</f>
        <v/>
      </c>
      <c r="J145" s="118" t="n">
        <f aca="false">1</f>
        <v>1</v>
      </c>
      <c r="K145" s="75" t="n">
        <f aca="false">IFERROR(ROUND($J145*INDEX(TB!$Q:$Q,MATCH($E145,HTS!$E:$E,0)),0),"")</f>
        <v>-174</v>
      </c>
      <c r="L145" s="118" t="str">
        <f aca="false">IF($D145="Male",100%,"")</f>
        <v/>
      </c>
      <c r="M145" s="75" t="str">
        <f aca="false">IFERROR(ROUND($L145*INDEX(VMMC!$AC:$AC,MATCH($E145,VMMC!$E:$E,0)),0),"")</f>
        <v/>
      </c>
      <c r="N145" s="118" t="n">
        <f aca="false">1</f>
        <v>1</v>
      </c>
      <c r="O145" s="75" t="str">
        <f aca="false">IFERROR(ROUND($N145*INDEX(HTS!$Q:$Q,MATCH($E145,HTS!$E:$E,0)),0),"")</f>
        <v/>
      </c>
      <c r="P145" s="118" t="n">
        <f aca="false">1</f>
        <v>1</v>
      </c>
      <c r="Q145" s="75" t="n">
        <f aca="false">IFERROR(ROUND($P145*INDEX(HTS!$S:$S,MATCH($E145,HTS!$E:$E,0)),0),"")</f>
        <v>2</v>
      </c>
      <c r="R145" s="118" t="n">
        <f aca="false">1</f>
        <v>1</v>
      </c>
      <c r="S145" s="75" t="n">
        <f aca="false">IFERROR(ROUND($R145*INDEX(HTS!$AM:$AM,MATCH($E145,HTS!$E:$E,0)),0),"")</f>
        <v>120</v>
      </c>
      <c r="T145" s="118" t="n">
        <f aca="false">1</f>
        <v>1</v>
      </c>
      <c r="U145" s="75" t="n">
        <f aca="false">IFERROR(ROUND($T145*INDEX(HTS!$AV:$AV,MATCH($E145,HTS!$E:$E,0)),0),"")</f>
        <v>90</v>
      </c>
      <c r="V145" s="118" t="n">
        <f aca="false">1</f>
        <v>1</v>
      </c>
      <c r="W145" s="75" t="n">
        <f aca="false">IFERROR(ROUND($V145*INDEX(HTS!$AY:$AY,MATCH($E145,HTS!$E:$E,0)),0),"")</f>
        <v>20</v>
      </c>
      <c r="X145" s="118" t="n">
        <f aca="false">1</f>
        <v>1</v>
      </c>
      <c r="Y145" s="75" t="n">
        <f aca="false">IFERROR(ROUND($X145*INDEX(HTS!$BB:$BB,MATCH($E145,HTS!$E:$E,0)),0),"")</f>
        <v>45</v>
      </c>
      <c r="Z145" s="118" t="n">
        <f aca="false">1</f>
        <v>1</v>
      </c>
      <c r="AA145" s="75" t="n">
        <f aca="false">IFERROR(ROUND($Z145*INDEX(HTS!$BE:$BE,MATCH($E145,HTS!$E:$E,0)),0),"")</f>
        <v>245</v>
      </c>
      <c r="AB145" s="118" t="n">
        <f aca="false">1</f>
        <v>1</v>
      </c>
      <c r="AC145" s="75" t="n">
        <f aca="false">IFERROR(ROUND($AB145*INDEX(HTS!$BH:$BH,MATCH($E145,HTS!$E:$E,0)),0),"")</f>
        <v>200</v>
      </c>
      <c r="AD145" s="118" t="n">
        <f aca="false">1</f>
        <v>1</v>
      </c>
      <c r="AE145" s="75" t="n">
        <f aca="false">IFERROR(ROUND($AD145*INDEX(HTS!$BK:$BK,MATCH($E145,HTS!$E:$E,0)),0),"")</f>
        <v>240</v>
      </c>
      <c r="AF145" s="73" t="n">
        <f aca="false">IF(SUM($O145,$Q145,$S145,$K145,$G145,$I145,$M145,$U145,$W145,$Y145,$AA145,$AC145,$AE145)=0,"",SUM($O145,$Q145,$S145,$K145,$G145,$I145,$M145,$U145,$W145,$Y145,$AA145,$AC145,$AE145))</f>
        <v>-5017</v>
      </c>
      <c r="AG145" s="73" t="n">
        <f aca="false">INDEX(HTS!$BN:$BN,MATCH($E145,HTS!$E:$E,0))</f>
        <v>-5017</v>
      </c>
      <c r="AH145" s="118" t="str">
        <f aca="false">IF(SUM($AG145)&lt;=0,"",$AF145/$AG145)</f>
        <v/>
      </c>
    </row>
    <row r="146" customFormat="false" ht="15" hidden="false" customHeight="false" outlineLevel="0" collapsed="false">
      <c r="A146" s="0" t="s">
        <v>149</v>
      </c>
      <c r="B146" s="0" t="s">
        <v>111</v>
      </c>
      <c r="C146" s="0" t="s">
        <v>66</v>
      </c>
      <c r="D146" s="0" t="s">
        <v>58</v>
      </c>
      <c r="E146" s="0" t="str">
        <f aca="false">B146&amp;"|"&amp;C146&amp;"|"&amp;D146</f>
        <v>Qacha's Nek [#SNU] [zTaMbxvQtJ6]|20-24|Male</v>
      </c>
      <c r="F146" s="118" t="str">
        <f aca="false">IF($D146="Female",100%,"")</f>
        <v/>
      </c>
      <c r="G146" s="75" t="str">
        <f aca="false">IFERROR(ROUND($F146*INDEX(PMTCT!$AE:$AE,MATCH($E146,PMTCT!$E:$E,0)),0),"")</f>
        <v/>
      </c>
      <c r="H146" s="118" t="str">
        <f aca="false">IF($D146="Female",100%,"")</f>
        <v/>
      </c>
      <c r="I146" s="75" t="str">
        <f aca="false">IFERROR(ROUND($H146*INDEX(PMTCT!$AU:$AU,MATCH($E146,PMTCT!$E:$E,0)),0),"")</f>
        <v/>
      </c>
      <c r="J146" s="118" t="n">
        <f aca="false">1</f>
        <v>1</v>
      </c>
      <c r="K146" s="75" t="n">
        <f aca="false">IFERROR(ROUND($J146*INDEX(TB!$Q:$Q,MATCH($E146,HTS!$E:$E,0)),0),"")</f>
        <v>-0</v>
      </c>
      <c r="L146" s="118" t="n">
        <f aca="false">IF($D146="Male",100%,"")</f>
        <v>1</v>
      </c>
      <c r="M146" s="75" t="str">
        <f aca="false">IFERROR(ROUND($L146*INDEX(VMMC!$AC:$AC,MATCH($E146,VMMC!$E:$E,0)),0),"")</f>
        <v/>
      </c>
      <c r="N146" s="118" t="n">
        <f aca="false">1</f>
        <v>1</v>
      </c>
      <c r="O146" s="75" t="str">
        <f aca="false">IFERROR(ROUND($N146*INDEX(HTS!$Q:$Q,MATCH($E146,HTS!$E:$E,0)),0),"")</f>
        <v/>
      </c>
      <c r="P146" s="118" t="n">
        <f aca="false">1</f>
        <v>1</v>
      </c>
      <c r="Q146" s="75" t="n">
        <f aca="false">IFERROR(ROUND($P146*INDEX(HTS!$S:$S,MATCH($E146,HTS!$E:$E,0)),0),"")</f>
        <v>9</v>
      </c>
      <c r="R146" s="118" t="n">
        <f aca="false">1</f>
        <v>1</v>
      </c>
      <c r="S146" s="75" t="n">
        <f aca="false">IFERROR(ROUND($R146*INDEX(HTS!$AM:$AM,MATCH($E146,HTS!$E:$E,0)),0),"")</f>
        <v>928</v>
      </c>
      <c r="T146" s="118" t="n">
        <f aca="false">1</f>
        <v>1</v>
      </c>
      <c r="U146" s="75" t="n">
        <f aca="false">IFERROR(ROUND($T146*INDEX(HTS!$AV:$AV,MATCH($E146,HTS!$E:$E,0)),0),"")</f>
        <v>1218</v>
      </c>
      <c r="V146" s="118" t="n">
        <f aca="false">1</f>
        <v>1</v>
      </c>
      <c r="W146" s="75" t="n">
        <f aca="false">IFERROR(ROUND($V146*INDEX(HTS!$AY:$AY,MATCH($E146,HTS!$E:$E,0)),0),"")</f>
        <v>348</v>
      </c>
      <c r="X146" s="118" t="n">
        <f aca="false">1</f>
        <v>1</v>
      </c>
      <c r="Y146" s="75" t="n">
        <f aca="false">IFERROR(ROUND($X146*INDEX(HTS!$BB:$BB,MATCH($E146,HTS!$E:$E,0)),0),"")</f>
        <v>348</v>
      </c>
      <c r="Z146" s="118" t="n">
        <f aca="false">1</f>
        <v>1</v>
      </c>
      <c r="AA146" s="75" t="n">
        <f aca="false">IFERROR(ROUND($Z146*INDEX(HTS!$BE:$BE,MATCH($E146,HTS!$E:$E,0)),0),"")</f>
        <v>870</v>
      </c>
      <c r="AB146" s="118" t="n">
        <f aca="false">1</f>
        <v>1</v>
      </c>
      <c r="AC146" s="75" t="n">
        <f aca="false">IFERROR(ROUND($AB146*INDEX(HTS!$BH:$BH,MATCH($E146,HTS!$E:$E,0)),0),"")</f>
        <v>1044</v>
      </c>
      <c r="AD146" s="118" t="n">
        <f aca="false">1</f>
        <v>1</v>
      </c>
      <c r="AE146" s="75" t="n">
        <f aca="false">IFERROR(ROUND($AD146*INDEX(HTS!$BK:$BK,MATCH($E146,HTS!$E:$E,0)),0),"")</f>
        <v>1421</v>
      </c>
      <c r="AF146" s="73" t="n">
        <f aca="false">IF(SUM($O146,$Q146,$S146,$K146,$G146,$I146,$M146,$U146,$W146,$Y146,$AA146,$AC146,$AE146)=0,"",SUM($O146,$Q146,$S146,$K146,$G146,$I146,$M146,$U146,$W146,$Y146,$AA146,$AC146,$AE146))</f>
        <v>6186</v>
      </c>
      <c r="AG146" s="73" t="n">
        <f aca="false">INDEX(HTS!$BN:$BN,MATCH($E146,HTS!$E:$E,0))</f>
        <v>6186</v>
      </c>
      <c r="AH146" s="118" t="n">
        <f aca="false">IF(SUM($AG146)&lt;=0,"",$AF146/$AG146)</f>
        <v>1</v>
      </c>
    </row>
    <row r="147" customFormat="false" ht="15" hidden="false" customHeight="false" outlineLevel="0" collapsed="false">
      <c r="A147" s="0" t="s">
        <v>149</v>
      </c>
      <c r="B147" s="0" t="s">
        <v>111</v>
      </c>
      <c r="C147" s="0" t="s">
        <v>69</v>
      </c>
      <c r="D147" s="0" t="s">
        <v>56</v>
      </c>
      <c r="E147" s="0" t="str">
        <f aca="false">B147&amp;"|"&amp;C147&amp;"|"&amp;D147</f>
        <v>Qacha's Nek [#SNU] [zTaMbxvQtJ6]|25-29|Female</v>
      </c>
      <c r="F147" s="118" t="n">
        <f aca="false">IF($D147="Female",100%,"")</f>
        <v>1</v>
      </c>
      <c r="G147" s="75" t="n">
        <f aca="false">IFERROR(ROUND($F147*INDEX(PMTCT!$AE:$AE,MATCH($E147,PMTCT!$E:$E,0)),0),"")</f>
        <v>-1681</v>
      </c>
      <c r="H147" s="118" t="n">
        <f aca="false">IF($D147="Female",100%,"")</f>
        <v>1</v>
      </c>
      <c r="I147" s="75" t="str">
        <f aca="false">IFERROR(ROUND($H147*INDEX(PMTCT!$AU:$AU,MATCH($E147,PMTCT!$E:$E,0)),0),"")</f>
        <v/>
      </c>
      <c r="J147" s="118" t="n">
        <f aca="false">1</f>
        <v>1</v>
      </c>
      <c r="K147" s="75" t="n">
        <f aca="false">IFERROR(ROUND($J147*INDEX(TB!$Q:$Q,MATCH($E147,HTS!$E:$E,0)),0),"")</f>
        <v>-16770</v>
      </c>
      <c r="L147" s="118" t="str">
        <f aca="false">IF($D147="Male",100%,"")</f>
        <v/>
      </c>
      <c r="M147" s="75" t="str">
        <f aca="false">IFERROR(ROUND($L147*INDEX(VMMC!$AC:$AC,MATCH($E147,VMMC!$E:$E,0)),0),"")</f>
        <v/>
      </c>
      <c r="N147" s="118" t="n">
        <f aca="false">1</f>
        <v>1</v>
      </c>
      <c r="O147" s="75" t="str">
        <f aca="false">IFERROR(ROUND($N147*INDEX(HTS!$Q:$Q,MATCH($E147,HTS!$E:$E,0)),0),"")</f>
        <v/>
      </c>
      <c r="P147" s="118" t="n">
        <f aca="false">1</f>
        <v>1</v>
      </c>
      <c r="Q147" s="75" t="n">
        <f aca="false">IFERROR(ROUND($P147*INDEX(HTS!$S:$S,MATCH($E147,HTS!$E:$E,0)),0),"")</f>
        <v>10</v>
      </c>
      <c r="R147" s="118" t="n">
        <f aca="false">1</f>
        <v>1</v>
      </c>
      <c r="S147" s="75" t="n">
        <f aca="false">IFERROR(ROUND($R147*INDEX(HTS!$AM:$AM,MATCH($E147,HTS!$E:$E,0)),0),"")</f>
        <v>64</v>
      </c>
      <c r="T147" s="118" t="n">
        <f aca="false">1</f>
        <v>1</v>
      </c>
      <c r="U147" s="75" t="n">
        <f aca="false">IFERROR(ROUND($T147*INDEX(HTS!$AV:$AV,MATCH($E147,HTS!$E:$E,0)),0),"")</f>
        <v>544</v>
      </c>
      <c r="V147" s="118" t="n">
        <f aca="false">1</f>
        <v>1</v>
      </c>
      <c r="W147" s="75" t="n">
        <f aca="false">IFERROR(ROUND($V147*INDEX(HTS!$AY:$AY,MATCH($E147,HTS!$E:$E,0)),0),"")</f>
        <v>1024</v>
      </c>
      <c r="X147" s="118" t="n">
        <f aca="false">1</f>
        <v>1</v>
      </c>
      <c r="Y147" s="75" t="n">
        <f aca="false">IFERROR(ROUND($X147*INDEX(HTS!$BB:$BB,MATCH($E147,HTS!$E:$E,0)),0),"")</f>
        <v>768</v>
      </c>
      <c r="Z147" s="118" t="n">
        <f aca="false">1</f>
        <v>1</v>
      </c>
      <c r="AA147" s="75" t="n">
        <f aca="false">IFERROR(ROUND($Z147*INDEX(HTS!$BE:$BE,MATCH($E147,HTS!$E:$E,0)),0),"")</f>
        <v>160</v>
      </c>
      <c r="AB147" s="118" t="n">
        <f aca="false">1</f>
        <v>1</v>
      </c>
      <c r="AC147" s="75" t="n">
        <f aca="false">IFERROR(ROUND($AB147*INDEX(HTS!$BH:$BH,MATCH($E147,HTS!$E:$E,0)),0),"")</f>
        <v>1344</v>
      </c>
      <c r="AD147" s="118" t="n">
        <f aca="false">1</f>
        <v>1</v>
      </c>
      <c r="AE147" s="75" t="n">
        <f aca="false">IFERROR(ROUND($AD147*INDEX(HTS!$BK:$BK,MATCH($E147,HTS!$E:$E,0)),0),"")</f>
        <v>1280</v>
      </c>
      <c r="AF147" s="73" t="n">
        <f aca="false">IF(SUM($O147,$Q147,$S147,$K147,$G147,$I147,$M147,$U147,$W147,$Y147,$AA147,$AC147,$AE147)=0,"",SUM($O147,$Q147,$S147,$K147,$G147,$I147,$M147,$U147,$W147,$Y147,$AA147,$AC147,$AE147))</f>
        <v>-13257</v>
      </c>
      <c r="AG147" s="73" t="n">
        <f aca="false">INDEX(HTS!$BN:$BN,MATCH($E147,HTS!$E:$E,0))</f>
        <v>-13257</v>
      </c>
      <c r="AH147" s="118" t="str">
        <f aca="false">IF(SUM($AG147)&lt;=0,"",$AF147/$AG147)</f>
        <v/>
      </c>
    </row>
    <row r="148" customFormat="false" ht="15" hidden="false" customHeight="false" outlineLevel="0" collapsed="false">
      <c r="A148" s="0" t="s">
        <v>149</v>
      </c>
      <c r="B148" s="0" t="s">
        <v>111</v>
      </c>
      <c r="C148" s="0" t="s">
        <v>69</v>
      </c>
      <c r="D148" s="0" t="s">
        <v>58</v>
      </c>
      <c r="E148" s="0" t="str">
        <f aca="false">B148&amp;"|"&amp;C148&amp;"|"&amp;D148</f>
        <v>Qacha's Nek [#SNU] [zTaMbxvQtJ6]|25-29|Male</v>
      </c>
      <c r="F148" s="118" t="str">
        <f aca="false">IF($D148="Female",100%,"")</f>
        <v/>
      </c>
      <c r="G148" s="75" t="str">
        <f aca="false">IFERROR(ROUND($F148*INDEX(PMTCT!$AE:$AE,MATCH($E148,PMTCT!$E:$E,0)),0),"")</f>
        <v/>
      </c>
      <c r="H148" s="118" t="str">
        <f aca="false">IF($D148="Female",100%,"")</f>
        <v/>
      </c>
      <c r="I148" s="75" t="str">
        <f aca="false">IFERROR(ROUND($H148*INDEX(PMTCT!$AU:$AU,MATCH($E148,PMTCT!$E:$E,0)),0),"")</f>
        <v/>
      </c>
      <c r="J148" s="118" t="n">
        <f aca="false">1</f>
        <v>1</v>
      </c>
      <c r="K148" s="75" t="n">
        <f aca="false">IFERROR(ROUND($J148*INDEX(TB!$Q:$Q,MATCH($E148,HTS!$E:$E,0)),0),"")</f>
        <v>-10810</v>
      </c>
      <c r="L148" s="118" t="n">
        <f aca="false">IF($D148="Male",100%,"")</f>
        <v>1</v>
      </c>
      <c r="M148" s="75" t="str">
        <f aca="false">IFERROR(ROUND($L148*INDEX(VMMC!$AC:$AC,MATCH($E148,VMMC!$E:$E,0)),0),"")</f>
        <v/>
      </c>
      <c r="N148" s="118" t="n">
        <f aca="false">1</f>
        <v>1</v>
      </c>
      <c r="O148" s="75" t="str">
        <f aca="false">IFERROR(ROUND($N148*INDEX(HTS!$Q:$Q,MATCH($E148,HTS!$E:$E,0)),0),"")</f>
        <v/>
      </c>
      <c r="P148" s="118" t="n">
        <f aca="false">1</f>
        <v>1</v>
      </c>
      <c r="Q148" s="75" t="n">
        <f aca="false">IFERROR(ROUND($P148*INDEX(HTS!$S:$S,MATCH($E148,HTS!$E:$E,0)),0),"")</f>
        <v>19</v>
      </c>
      <c r="R148" s="118" t="n">
        <f aca="false">1</f>
        <v>1</v>
      </c>
      <c r="S148" s="75" t="n">
        <f aca="false">IFERROR(ROUND($R148*INDEX(HTS!$AM:$AM,MATCH($E148,HTS!$E:$E,0)),0),"")</f>
        <v>1449</v>
      </c>
      <c r="T148" s="118" t="n">
        <f aca="false">1</f>
        <v>1</v>
      </c>
      <c r="U148" s="75" t="n">
        <f aca="false">IFERROR(ROUND($T148*INDEX(HTS!$AV:$AV,MATCH($E148,HTS!$E:$E,0)),0),"")</f>
        <v>2835</v>
      </c>
      <c r="V148" s="118" t="n">
        <f aca="false">1</f>
        <v>1</v>
      </c>
      <c r="W148" s="75" t="n">
        <f aca="false">IFERROR(ROUND($V148*INDEX(HTS!$AY:$AY,MATCH($E148,HTS!$E:$E,0)),0),"")</f>
        <v>63</v>
      </c>
      <c r="X148" s="118" t="n">
        <f aca="false">1</f>
        <v>1</v>
      </c>
      <c r="Y148" s="75" t="n">
        <f aca="false">IFERROR(ROUND($X148*INDEX(HTS!$BB:$BB,MATCH($E148,HTS!$E:$E,0)),0),"")</f>
        <v>1134</v>
      </c>
      <c r="Z148" s="118" t="n">
        <f aca="false">1</f>
        <v>1</v>
      </c>
      <c r="AA148" s="75" t="n">
        <f aca="false">IFERROR(ROUND($Z148*INDEX(HTS!$BE:$BE,MATCH($E148,HTS!$E:$E,0)),0),"")</f>
        <v>2646</v>
      </c>
      <c r="AB148" s="118" t="n">
        <f aca="false">1</f>
        <v>1</v>
      </c>
      <c r="AC148" s="75" t="n">
        <f aca="false">IFERROR(ROUND($AB148*INDEX(HTS!$BH:$BH,MATCH($E148,HTS!$E:$E,0)),0),"")</f>
        <v>2835</v>
      </c>
      <c r="AD148" s="118" t="n">
        <f aca="false">1</f>
        <v>1</v>
      </c>
      <c r="AE148" s="75" t="n">
        <f aca="false">IFERROR(ROUND($AD148*INDEX(HTS!$BK:$BK,MATCH($E148,HTS!$E:$E,0)),0),"")</f>
        <v>2205</v>
      </c>
      <c r="AF148" s="73" t="n">
        <f aca="false">IF(SUM($O148,$Q148,$S148,$K148,$G148,$I148,$M148,$U148,$W148,$Y148,$AA148,$AC148,$AE148)=0,"",SUM($O148,$Q148,$S148,$K148,$G148,$I148,$M148,$U148,$W148,$Y148,$AA148,$AC148,$AE148))</f>
        <v>2376</v>
      </c>
      <c r="AG148" s="73" t="n">
        <f aca="false">INDEX(HTS!$BN:$BN,MATCH($E148,HTS!$E:$E,0))</f>
        <v>2376</v>
      </c>
      <c r="AH148" s="118" t="n">
        <f aca="false">IF(SUM($AG148)&lt;=0,"",$AF148/$AG148)</f>
        <v>1</v>
      </c>
    </row>
    <row r="149" customFormat="false" ht="15" hidden="false" customHeight="false" outlineLevel="0" collapsed="false">
      <c r="A149" s="0" t="s">
        <v>149</v>
      </c>
      <c r="B149" s="0" t="s">
        <v>111</v>
      </c>
      <c r="C149" s="0" t="s">
        <v>72</v>
      </c>
      <c r="D149" s="0" t="s">
        <v>56</v>
      </c>
      <c r="E149" s="0" t="str">
        <f aca="false">B149&amp;"|"&amp;C149&amp;"|"&amp;D149</f>
        <v>Qacha's Nek [#SNU] [zTaMbxvQtJ6]|30-34|Female</v>
      </c>
      <c r="F149" s="118" t="n">
        <f aca="false">IF($D149="Female",100%,"")</f>
        <v>1</v>
      </c>
      <c r="G149" s="75" t="n">
        <f aca="false">IFERROR(ROUND($F149*INDEX(PMTCT!$AE:$AE,MATCH($E149,PMTCT!$E:$E,0)),0),"")</f>
        <v>-24960</v>
      </c>
      <c r="H149" s="118" t="n">
        <f aca="false">IF($D149="Female",100%,"")</f>
        <v>1</v>
      </c>
      <c r="I149" s="75" t="str">
        <f aca="false">IFERROR(ROUND($H149*INDEX(PMTCT!$AU:$AU,MATCH($E149,PMTCT!$E:$E,0)),0),"")</f>
        <v/>
      </c>
      <c r="J149" s="118" t="n">
        <f aca="false">1</f>
        <v>1</v>
      </c>
      <c r="K149" s="75" t="n">
        <f aca="false">IFERROR(ROUND($J149*INDEX(TB!$Q:$Q,MATCH($E149,HTS!$E:$E,0)),0),"")</f>
        <v>-459</v>
      </c>
      <c r="L149" s="118" t="str">
        <f aca="false">IF($D149="Male",100%,"")</f>
        <v/>
      </c>
      <c r="M149" s="75" t="str">
        <f aca="false">IFERROR(ROUND($L149*INDEX(VMMC!$AC:$AC,MATCH($E149,VMMC!$E:$E,0)),0),"")</f>
        <v/>
      </c>
      <c r="N149" s="118" t="n">
        <f aca="false">1</f>
        <v>1</v>
      </c>
      <c r="O149" s="75" t="str">
        <f aca="false">IFERROR(ROUND($N149*INDEX(HTS!$Q:$Q,MATCH($E149,HTS!$E:$E,0)),0),"")</f>
        <v/>
      </c>
      <c r="P149" s="118" t="n">
        <f aca="false">1</f>
        <v>1</v>
      </c>
      <c r="Q149" s="75" t="n">
        <f aca="false">IFERROR(ROUND($P149*INDEX(HTS!$S:$S,MATCH($E149,HTS!$E:$E,0)),0),"")</f>
        <v>5</v>
      </c>
      <c r="R149" s="118" t="n">
        <f aca="false">1</f>
        <v>1</v>
      </c>
      <c r="S149" s="75" t="n">
        <f aca="false">IFERROR(ROUND($R149*INDEX(HTS!$AM:$AM,MATCH($E149,HTS!$E:$E,0)),0),"")</f>
        <v>272</v>
      </c>
      <c r="T149" s="118" t="n">
        <f aca="false">1</f>
        <v>1</v>
      </c>
      <c r="U149" s="75" t="n">
        <f aca="false">IFERROR(ROUND($T149*INDEX(HTS!$AV:$AV,MATCH($E149,HTS!$E:$E,0)),0),"")</f>
        <v>656</v>
      </c>
      <c r="V149" s="118" t="n">
        <f aca="false">1</f>
        <v>1</v>
      </c>
      <c r="W149" s="75" t="n">
        <f aca="false">IFERROR(ROUND($V149*INDEX(HTS!$AY:$AY,MATCH($E149,HTS!$E:$E,0)),0),"")</f>
        <v>528</v>
      </c>
      <c r="X149" s="118" t="n">
        <f aca="false">1</f>
        <v>1</v>
      </c>
      <c r="Y149" s="75" t="n">
        <f aca="false">IFERROR(ROUND($X149*INDEX(HTS!$BB:$BB,MATCH($E149,HTS!$E:$E,0)),0),"")</f>
        <v>48</v>
      </c>
      <c r="Z149" s="118" t="n">
        <f aca="false">1</f>
        <v>1</v>
      </c>
      <c r="AA149" s="75" t="n">
        <f aca="false">IFERROR(ROUND($Z149*INDEX(HTS!$BE:$BE,MATCH($E149,HTS!$E:$E,0)),0),"")</f>
        <v>752</v>
      </c>
      <c r="AB149" s="118" t="n">
        <f aca="false">1</f>
        <v>1</v>
      </c>
      <c r="AC149" s="75" t="n">
        <f aca="false">IFERROR(ROUND($AB149*INDEX(HTS!$BH:$BH,MATCH($E149,HTS!$E:$E,0)),0),"")</f>
        <v>48</v>
      </c>
      <c r="AD149" s="118" t="n">
        <f aca="false">1</f>
        <v>1</v>
      </c>
      <c r="AE149" s="75" t="n">
        <f aca="false">IFERROR(ROUND($AD149*INDEX(HTS!$BK:$BK,MATCH($E149,HTS!$E:$E,0)),0),"")</f>
        <v>736</v>
      </c>
      <c r="AF149" s="73" t="n">
        <f aca="false">IF(SUM($O149,$Q149,$S149,$K149,$G149,$I149,$M149,$U149,$W149,$Y149,$AA149,$AC149,$AE149)=0,"",SUM($O149,$Q149,$S149,$K149,$G149,$I149,$M149,$U149,$W149,$Y149,$AA149,$AC149,$AE149))</f>
        <v>-22374</v>
      </c>
      <c r="AG149" s="73" t="n">
        <f aca="false">INDEX(HTS!$BN:$BN,MATCH($E149,HTS!$E:$E,0))</f>
        <v>-22374</v>
      </c>
      <c r="AH149" s="118" t="str">
        <f aca="false">IF(SUM($AG149)&lt;=0,"",$AF149/$AG149)</f>
        <v/>
      </c>
    </row>
    <row r="150" customFormat="false" ht="15" hidden="false" customHeight="false" outlineLevel="0" collapsed="false">
      <c r="A150" s="0" t="s">
        <v>149</v>
      </c>
      <c r="B150" s="0" t="s">
        <v>111</v>
      </c>
      <c r="C150" s="0" t="s">
        <v>72</v>
      </c>
      <c r="D150" s="0" t="s">
        <v>58</v>
      </c>
      <c r="E150" s="0" t="str">
        <f aca="false">B150&amp;"|"&amp;C150&amp;"|"&amp;D150</f>
        <v>Qacha's Nek [#SNU] [zTaMbxvQtJ6]|30-34|Male</v>
      </c>
      <c r="F150" s="118" t="str">
        <f aca="false">IF($D150="Female",100%,"")</f>
        <v/>
      </c>
      <c r="G150" s="75" t="str">
        <f aca="false">IFERROR(ROUND($F150*INDEX(PMTCT!$AE:$AE,MATCH($E150,PMTCT!$E:$E,0)),0),"")</f>
        <v/>
      </c>
      <c r="H150" s="118" t="str">
        <f aca="false">IF($D150="Female",100%,"")</f>
        <v/>
      </c>
      <c r="I150" s="75" t="str">
        <f aca="false">IFERROR(ROUND($H150*INDEX(PMTCT!$AU:$AU,MATCH($E150,PMTCT!$E:$E,0)),0),"")</f>
        <v/>
      </c>
      <c r="J150" s="118" t="n">
        <f aca="false">1</f>
        <v>1</v>
      </c>
      <c r="K150" s="75" t="n">
        <f aca="false">IFERROR(ROUND($J150*INDEX(TB!$Q:$Q,MATCH($E150,HTS!$E:$E,0)),0),"")</f>
        <v>-0</v>
      </c>
      <c r="L150" s="118" t="n">
        <f aca="false">IF($D150="Male",100%,"")</f>
        <v>1</v>
      </c>
      <c r="M150" s="75" t="str">
        <f aca="false">IFERROR(ROUND($L150*INDEX(VMMC!$AC:$AC,MATCH($E150,VMMC!$E:$E,0)),0),"")</f>
        <v/>
      </c>
      <c r="N150" s="118" t="n">
        <f aca="false">1</f>
        <v>1</v>
      </c>
      <c r="O150" s="75" t="str">
        <f aca="false">IFERROR(ROUND($N150*INDEX(HTS!$Q:$Q,MATCH($E150,HTS!$E:$E,0)),0),"")</f>
        <v/>
      </c>
      <c r="P150" s="118" t="n">
        <f aca="false">1</f>
        <v>1</v>
      </c>
      <c r="Q150" s="75" t="n">
        <f aca="false">IFERROR(ROUND($P150*INDEX(HTS!$S:$S,MATCH($E150,HTS!$E:$E,0)),0),"")</f>
        <v>17</v>
      </c>
      <c r="R150" s="118" t="n">
        <f aca="false">1</f>
        <v>1</v>
      </c>
      <c r="S150" s="75" t="n">
        <f aca="false">IFERROR(ROUND($R150*INDEX(HTS!$AM:$AM,MATCH($E150,HTS!$E:$E,0)),0),"")</f>
        <v>1425</v>
      </c>
      <c r="T150" s="118" t="n">
        <f aca="false">1</f>
        <v>1</v>
      </c>
      <c r="U150" s="75" t="n">
        <f aca="false">IFERROR(ROUND($T150*INDEX(HTS!$AV:$AV,MATCH($E150,HTS!$E:$E,0)),0),"")</f>
        <v>2337</v>
      </c>
      <c r="V150" s="118" t="n">
        <f aca="false">1</f>
        <v>1</v>
      </c>
      <c r="W150" s="75" t="n">
        <f aca="false">IFERROR(ROUND($V150*INDEX(HTS!$AY:$AY,MATCH($E150,HTS!$E:$E,0)),0),"")</f>
        <v>1995</v>
      </c>
      <c r="X150" s="118" t="n">
        <f aca="false">1</f>
        <v>1</v>
      </c>
      <c r="Y150" s="75" t="n">
        <f aca="false">IFERROR(ROUND($X150*INDEX(HTS!$BB:$BB,MATCH($E150,HTS!$E:$E,0)),0),"")</f>
        <v>1482</v>
      </c>
      <c r="Z150" s="118" t="n">
        <f aca="false">1</f>
        <v>1</v>
      </c>
      <c r="AA150" s="75" t="n">
        <f aca="false">IFERROR(ROUND($Z150*INDEX(HTS!$BE:$BE,MATCH($E150,HTS!$E:$E,0)),0),"")</f>
        <v>2622</v>
      </c>
      <c r="AB150" s="118" t="n">
        <f aca="false">1</f>
        <v>1</v>
      </c>
      <c r="AC150" s="75" t="n">
        <f aca="false">IFERROR(ROUND($AB150*INDEX(HTS!$BH:$BH,MATCH($E150,HTS!$E:$E,0)),0),"")</f>
        <v>1026</v>
      </c>
      <c r="AD150" s="118" t="n">
        <f aca="false">1</f>
        <v>1</v>
      </c>
      <c r="AE150" s="75" t="n">
        <f aca="false">IFERROR(ROUND($AD150*INDEX(HTS!$BK:$BK,MATCH($E150,HTS!$E:$E,0)),0),"")</f>
        <v>2565</v>
      </c>
      <c r="AF150" s="73" t="n">
        <f aca="false">IF(SUM($O150,$Q150,$S150,$K150,$G150,$I150,$M150,$U150,$W150,$Y150,$AA150,$AC150,$AE150)=0,"",SUM($O150,$Q150,$S150,$K150,$G150,$I150,$M150,$U150,$W150,$Y150,$AA150,$AC150,$AE150))</f>
        <v>13469</v>
      </c>
      <c r="AG150" s="73" t="n">
        <f aca="false">INDEX(HTS!$BN:$BN,MATCH($E150,HTS!$E:$E,0))</f>
        <v>13469</v>
      </c>
      <c r="AH150" s="118" t="n">
        <f aca="false">IF(SUM($AG150)&lt;=0,"",$AF150/$AG150)</f>
        <v>1</v>
      </c>
    </row>
    <row r="151" customFormat="false" ht="15" hidden="false" customHeight="false" outlineLevel="0" collapsed="false">
      <c r="A151" s="0" t="s">
        <v>149</v>
      </c>
      <c r="B151" s="0" t="s">
        <v>111</v>
      </c>
      <c r="C151" s="0" t="s">
        <v>75</v>
      </c>
      <c r="D151" s="0" t="s">
        <v>56</v>
      </c>
      <c r="E151" s="0" t="str">
        <f aca="false">B151&amp;"|"&amp;C151&amp;"|"&amp;D151</f>
        <v>Qacha's Nek [#SNU] [zTaMbxvQtJ6]|35-39|Female</v>
      </c>
      <c r="F151" s="118" t="n">
        <f aca="false">IF($D151="Female",100%,"")</f>
        <v>1</v>
      </c>
      <c r="G151" s="75" t="str">
        <f aca="false">IFERROR(ROUND($F151*INDEX(PMTCT!$AE:$AE,MATCH($E151,PMTCT!$E:$E,0)),0),"")</f>
        <v/>
      </c>
      <c r="H151" s="118" t="n">
        <f aca="false">IF($D151="Female",100%,"")</f>
        <v>1</v>
      </c>
      <c r="I151" s="75" t="str">
        <f aca="false">IFERROR(ROUND($H151*INDEX(PMTCT!$AU:$AU,MATCH($E151,PMTCT!$E:$E,0)),0),"")</f>
        <v/>
      </c>
      <c r="J151" s="118" t="n">
        <f aca="false">1</f>
        <v>1</v>
      </c>
      <c r="K151" s="75" t="n">
        <f aca="false">IFERROR(ROUND($J151*INDEX(TB!$Q:$Q,MATCH($E151,HTS!$E:$E,0)),0),"")</f>
        <v>-0</v>
      </c>
      <c r="L151" s="118" t="str">
        <f aca="false">IF($D151="Male",100%,"")</f>
        <v/>
      </c>
      <c r="M151" s="75" t="str">
        <f aca="false">IFERROR(ROUND($L151*INDEX(VMMC!$AC:$AC,MATCH($E151,VMMC!$E:$E,0)),0),"")</f>
        <v/>
      </c>
      <c r="N151" s="118" t="n">
        <f aca="false">1</f>
        <v>1</v>
      </c>
      <c r="O151" s="75" t="str">
        <f aca="false">IFERROR(ROUND($N151*INDEX(HTS!$Q:$Q,MATCH($E151,HTS!$E:$E,0)),0),"")</f>
        <v/>
      </c>
      <c r="P151" s="118" t="n">
        <f aca="false">1</f>
        <v>1</v>
      </c>
      <c r="Q151" s="75" t="n">
        <f aca="false">IFERROR(ROUND($P151*INDEX(HTS!$S:$S,MATCH($E151,HTS!$E:$E,0)),0),"")</f>
        <v>5</v>
      </c>
      <c r="R151" s="118" t="n">
        <f aca="false">1</f>
        <v>1</v>
      </c>
      <c r="S151" s="75" t="n">
        <f aca="false">IFERROR(ROUND($R151*INDEX(HTS!$AM:$AM,MATCH($E151,HTS!$E:$E,0)),0),"")</f>
        <v>204</v>
      </c>
      <c r="T151" s="118" t="n">
        <f aca="false">1</f>
        <v>1</v>
      </c>
      <c r="U151" s="75" t="n">
        <f aca="false">IFERROR(ROUND($T151*INDEX(HTS!$AV:$AV,MATCH($E151,HTS!$E:$E,0)),0),"")</f>
        <v>374</v>
      </c>
      <c r="V151" s="118" t="n">
        <f aca="false">1</f>
        <v>1</v>
      </c>
      <c r="W151" s="75" t="n">
        <f aca="false">IFERROR(ROUND($V151*INDEX(HTS!$AY:$AY,MATCH($E151,HTS!$E:$E,0)),0),"")</f>
        <v>51</v>
      </c>
      <c r="X151" s="118" t="n">
        <f aca="false">1</f>
        <v>1</v>
      </c>
      <c r="Y151" s="75" t="n">
        <f aca="false">IFERROR(ROUND($X151*INDEX(HTS!$BB:$BB,MATCH($E151,HTS!$E:$E,0)),0),"")</f>
        <v>748</v>
      </c>
      <c r="Z151" s="118" t="n">
        <f aca="false">1</f>
        <v>1</v>
      </c>
      <c r="AA151" s="75" t="n">
        <f aca="false">IFERROR(ROUND($Z151*INDEX(HTS!$BE:$BE,MATCH($E151,HTS!$E:$E,0)),0),"")</f>
        <v>510</v>
      </c>
      <c r="AB151" s="118" t="n">
        <f aca="false">1</f>
        <v>1</v>
      </c>
      <c r="AC151" s="75" t="n">
        <f aca="false">IFERROR(ROUND($AB151*INDEX(HTS!$BH:$BH,MATCH($E151,HTS!$E:$E,0)),0),"")</f>
        <v>799</v>
      </c>
      <c r="AD151" s="118" t="n">
        <f aca="false">1</f>
        <v>1</v>
      </c>
      <c r="AE151" s="75" t="n">
        <f aca="false">IFERROR(ROUND($AD151*INDEX(HTS!$BK:$BK,MATCH($E151,HTS!$E:$E,0)),0),"")</f>
        <v>510</v>
      </c>
      <c r="AF151" s="73" t="n">
        <f aca="false">IF(SUM($O151,$Q151,$S151,$K151,$G151,$I151,$M151,$U151,$W151,$Y151,$AA151,$AC151,$AE151)=0,"",SUM($O151,$Q151,$S151,$K151,$G151,$I151,$M151,$U151,$W151,$Y151,$AA151,$AC151,$AE151))</f>
        <v>3201</v>
      </c>
      <c r="AG151" s="73" t="n">
        <f aca="false">INDEX(HTS!$BN:$BN,MATCH($E151,HTS!$E:$E,0))</f>
        <v>3201</v>
      </c>
      <c r="AH151" s="118" t="n">
        <f aca="false">IF(SUM($AG151)&lt;=0,"",$AF151/$AG151)</f>
        <v>1</v>
      </c>
    </row>
    <row r="152" customFormat="false" ht="15" hidden="false" customHeight="false" outlineLevel="0" collapsed="false">
      <c r="A152" s="0" t="s">
        <v>149</v>
      </c>
      <c r="B152" s="0" t="s">
        <v>111</v>
      </c>
      <c r="C152" s="0" t="s">
        <v>75</v>
      </c>
      <c r="D152" s="0" t="s">
        <v>58</v>
      </c>
      <c r="E152" s="0" t="str">
        <f aca="false">B152&amp;"|"&amp;C152&amp;"|"&amp;D152</f>
        <v>Qacha's Nek [#SNU] [zTaMbxvQtJ6]|35-39|Male</v>
      </c>
      <c r="F152" s="118" t="str">
        <f aca="false">IF($D152="Female",100%,"")</f>
        <v/>
      </c>
      <c r="G152" s="75" t="str">
        <f aca="false">IFERROR(ROUND($F152*INDEX(PMTCT!$AE:$AE,MATCH($E152,PMTCT!$E:$E,0)),0),"")</f>
        <v/>
      </c>
      <c r="H152" s="118" t="str">
        <f aca="false">IF($D152="Female",100%,"")</f>
        <v/>
      </c>
      <c r="I152" s="75" t="str">
        <f aca="false">IFERROR(ROUND($H152*INDEX(PMTCT!$AU:$AU,MATCH($E152,PMTCT!$E:$E,0)),0),"")</f>
        <v/>
      </c>
      <c r="J152" s="118" t="n">
        <f aca="false">1</f>
        <v>1</v>
      </c>
      <c r="K152" s="75" t="n">
        <f aca="false">IFERROR(ROUND($J152*INDEX(TB!$Q:$Q,MATCH($E152,HTS!$E:$E,0)),0),"")</f>
        <v>-17360</v>
      </c>
      <c r="L152" s="118" t="n">
        <f aca="false">IF($D152="Male",100%,"")</f>
        <v>1</v>
      </c>
      <c r="M152" s="75" t="str">
        <f aca="false">IFERROR(ROUND($L152*INDEX(VMMC!$AC:$AC,MATCH($E152,VMMC!$E:$E,0)),0),"")</f>
        <v/>
      </c>
      <c r="N152" s="118" t="n">
        <f aca="false">1</f>
        <v>1</v>
      </c>
      <c r="O152" s="75" t="str">
        <f aca="false">IFERROR(ROUND($N152*INDEX(HTS!$Q:$Q,MATCH($E152,HTS!$E:$E,0)),0),"")</f>
        <v/>
      </c>
      <c r="P152" s="118" t="n">
        <f aca="false">1</f>
        <v>1</v>
      </c>
      <c r="Q152" s="75" t="n">
        <f aca="false">IFERROR(ROUND($P152*INDEX(HTS!$S:$S,MATCH($E152,HTS!$E:$E,0)),0),"")</f>
        <v>1</v>
      </c>
      <c r="R152" s="118" t="n">
        <f aca="false">1</f>
        <v>1</v>
      </c>
      <c r="S152" s="75" t="n">
        <f aca="false">IFERROR(ROUND($R152*INDEX(HTS!$AM:$AM,MATCH($E152,HTS!$E:$E,0)),0),"")</f>
        <v>141</v>
      </c>
      <c r="T152" s="118" t="n">
        <f aca="false">1</f>
        <v>1</v>
      </c>
      <c r="U152" s="75" t="n">
        <f aca="false">IFERROR(ROUND($T152*INDEX(HTS!$AV:$AV,MATCH($E152,HTS!$E:$E,0)),0),"")</f>
        <v>129</v>
      </c>
      <c r="V152" s="118" t="n">
        <f aca="false">1</f>
        <v>1</v>
      </c>
      <c r="W152" s="75" t="n">
        <f aca="false">IFERROR(ROUND($V152*INDEX(HTS!$AY:$AY,MATCH($E152,HTS!$E:$E,0)),0),"")</f>
        <v>9</v>
      </c>
      <c r="X152" s="118" t="n">
        <f aca="false">1</f>
        <v>1</v>
      </c>
      <c r="Y152" s="75" t="n">
        <f aca="false">IFERROR(ROUND($X152*INDEX(HTS!$BB:$BB,MATCH($E152,HTS!$E:$E,0)),0),"")</f>
        <v>57</v>
      </c>
      <c r="Z152" s="118" t="n">
        <f aca="false">1</f>
        <v>1</v>
      </c>
      <c r="AA152" s="75" t="n">
        <f aca="false">IFERROR(ROUND($Z152*INDEX(HTS!$BE:$BE,MATCH($E152,HTS!$E:$E,0)),0),"")</f>
        <v>69</v>
      </c>
      <c r="AB152" s="118" t="n">
        <f aca="false">1</f>
        <v>1</v>
      </c>
      <c r="AC152" s="75" t="n">
        <f aca="false">IFERROR(ROUND($AB152*INDEX(HTS!$BH:$BH,MATCH($E152,HTS!$E:$E,0)),0),"")</f>
        <v>123</v>
      </c>
      <c r="AD152" s="118" t="n">
        <f aca="false">1</f>
        <v>1</v>
      </c>
      <c r="AE152" s="75" t="n">
        <f aca="false">IFERROR(ROUND($AD152*INDEX(HTS!$BK:$BK,MATCH($E152,HTS!$E:$E,0)),0),"")</f>
        <v>78</v>
      </c>
      <c r="AF152" s="73" t="n">
        <f aca="false">IF(SUM($O152,$Q152,$S152,$K152,$G152,$I152,$M152,$U152,$W152,$Y152,$AA152,$AC152,$AE152)=0,"",SUM($O152,$Q152,$S152,$K152,$G152,$I152,$M152,$U152,$W152,$Y152,$AA152,$AC152,$AE152))</f>
        <v>-16753</v>
      </c>
      <c r="AG152" s="73" t="n">
        <f aca="false">INDEX(HTS!$BN:$BN,MATCH($E152,HTS!$E:$E,0))</f>
        <v>-16753</v>
      </c>
      <c r="AH152" s="118" t="str">
        <f aca="false">IF(SUM($AG152)&lt;=0,"",$AF152/$AG152)</f>
        <v/>
      </c>
    </row>
    <row r="153" customFormat="false" ht="15" hidden="false" customHeight="false" outlineLevel="0" collapsed="false">
      <c r="A153" s="0" t="s">
        <v>149</v>
      </c>
      <c r="B153" s="0" t="s">
        <v>111</v>
      </c>
      <c r="C153" s="0" t="s">
        <v>77</v>
      </c>
      <c r="D153" s="0" t="s">
        <v>56</v>
      </c>
      <c r="E153" s="0" t="str">
        <f aca="false">B153&amp;"|"&amp;C153&amp;"|"&amp;D153</f>
        <v>Qacha's Nek [#SNU] [zTaMbxvQtJ6]|40-44|Female</v>
      </c>
      <c r="F153" s="118" t="n">
        <f aca="false">IF($D153="Female",100%,"")</f>
        <v>1</v>
      </c>
      <c r="G153" s="75" t="str">
        <f aca="false">IFERROR(ROUND($F153*INDEX(PMTCT!$AE:$AE,MATCH($E153,PMTCT!$E:$E,0)),0),"")</f>
        <v/>
      </c>
      <c r="H153" s="118" t="n">
        <f aca="false">IF($D153="Female",100%,"")</f>
        <v>1</v>
      </c>
      <c r="I153" s="75" t="str">
        <f aca="false">IFERROR(ROUND($H153*INDEX(PMTCT!$AU:$AU,MATCH($E153,PMTCT!$E:$E,0)),0),"")</f>
        <v/>
      </c>
      <c r="J153" s="118" t="n">
        <f aca="false">1</f>
        <v>1</v>
      </c>
      <c r="K153" s="75" t="n">
        <f aca="false">IFERROR(ROUND($J153*INDEX(TB!$Q:$Q,MATCH($E153,HTS!$E:$E,0)),0),"")</f>
        <v>-10800</v>
      </c>
      <c r="L153" s="118" t="str">
        <f aca="false">IF($D153="Male",100%,"")</f>
        <v/>
      </c>
      <c r="M153" s="75" t="str">
        <f aca="false">IFERROR(ROUND($L153*INDEX(VMMC!$AC:$AC,MATCH($E153,VMMC!$E:$E,0)),0),"")</f>
        <v/>
      </c>
      <c r="N153" s="118" t="n">
        <f aca="false">1</f>
        <v>1</v>
      </c>
      <c r="O153" s="75" t="str">
        <f aca="false">IFERROR(ROUND($N153*INDEX(HTS!$Q:$Q,MATCH($E153,HTS!$E:$E,0)),0),"")</f>
        <v/>
      </c>
      <c r="P153" s="118" t="n">
        <f aca="false">1</f>
        <v>1</v>
      </c>
      <c r="Q153" s="75" t="n">
        <f aca="false">IFERROR(ROUND($P153*INDEX(HTS!$S:$S,MATCH($E153,HTS!$E:$E,0)),0),"")</f>
        <v>3</v>
      </c>
      <c r="R153" s="118" t="n">
        <f aca="false">1</f>
        <v>1</v>
      </c>
      <c r="S153" s="75" t="n">
        <f aca="false">IFERROR(ROUND($R153*INDEX(HTS!$AM:$AM,MATCH($E153,HTS!$E:$E,0)),0),"")</f>
        <v>52</v>
      </c>
      <c r="T153" s="118" t="n">
        <f aca="false">1</f>
        <v>1</v>
      </c>
      <c r="U153" s="75" t="n">
        <f aca="false">IFERROR(ROUND($T153*INDEX(HTS!$AV:$AV,MATCH($E153,HTS!$E:$E,0)),0),"")</f>
        <v>24</v>
      </c>
      <c r="V153" s="118" t="n">
        <f aca="false">1</f>
        <v>1</v>
      </c>
      <c r="W153" s="75" t="n">
        <f aca="false">IFERROR(ROUND($V153*INDEX(HTS!$AY:$AY,MATCH($E153,HTS!$E:$E,0)),0),"")</f>
        <v>68</v>
      </c>
      <c r="X153" s="118" t="n">
        <f aca="false">1</f>
        <v>1</v>
      </c>
      <c r="Y153" s="75" t="n">
        <f aca="false">IFERROR(ROUND($X153*INDEX(HTS!$BB:$BB,MATCH($E153,HTS!$E:$E,0)),0),"")</f>
        <v>56</v>
      </c>
      <c r="Z153" s="118" t="n">
        <f aca="false">1</f>
        <v>1</v>
      </c>
      <c r="AA153" s="75" t="n">
        <f aca="false">IFERROR(ROUND($Z153*INDEX(HTS!$BE:$BE,MATCH($E153,HTS!$E:$E,0)),0),"")</f>
        <v>128</v>
      </c>
      <c r="AB153" s="118" t="n">
        <f aca="false">1</f>
        <v>1</v>
      </c>
      <c r="AC153" s="75" t="n">
        <f aca="false">IFERROR(ROUND($AB153*INDEX(HTS!$BH:$BH,MATCH($E153,HTS!$E:$E,0)),0),"")</f>
        <v>96</v>
      </c>
      <c r="AD153" s="118" t="n">
        <f aca="false">1</f>
        <v>1</v>
      </c>
      <c r="AE153" s="75" t="n">
        <f aca="false">IFERROR(ROUND($AD153*INDEX(HTS!$BK:$BK,MATCH($E153,HTS!$E:$E,0)),0),"")</f>
        <v>164</v>
      </c>
      <c r="AF153" s="73" t="n">
        <f aca="false">IF(SUM($O153,$Q153,$S153,$K153,$G153,$I153,$M153,$U153,$W153,$Y153,$AA153,$AC153,$AE153)=0,"",SUM($O153,$Q153,$S153,$K153,$G153,$I153,$M153,$U153,$W153,$Y153,$AA153,$AC153,$AE153))</f>
        <v>-10209</v>
      </c>
      <c r="AG153" s="73" t="n">
        <f aca="false">INDEX(HTS!$BN:$BN,MATCH($E153,HTS!$E:$E,0))</f>
        <v>-10209</v>
      </c>
      <c r="AH153" s="118" t="str">
        <f aca="false">IF(SUM($AG153)&lt;=0,"",$AF153/$AG153)</f>
        <v/>
      </c>
    </row>
    <row r="154" customFormat="false" ht="15" hidden="false" customHeight="false" outlineLevel="0" collapsed="false">
      <c r="A154" s="0" t="s">
        <v>149</v>
      </c>
      <c r="B154" s="0" t="s">
        <v>111</v>
      </c>
      <c r="C154" s="0" t="s">
        <v>77</v>
      </c>
      <c r="D154" s="0" t="s">
        <v>58</v>
      </c>
      <c r="E154" s="0" t="str">
        <f aca="false">B154&amp;"|"&amp;C154&amp;"|"&amp;D154</f>
        <v>Qacha's Nek [#SNU] [zTaMbxvQtJ6]|40-44|Male</v>
      </c>
      <c r="F154" s="118" t="str">
        <f aca="false">IF($D154="Female",100%,"")</f>
        <v/>
      </c>
      <c r="G154" s="75" t="str">
        <f aca="false">IFERROR(ROUND($F154*INDEX(PMTCT!$AE:$AE,MATCH($E154,PMTCT!$E:$E,0)),0),"")</f>
        <v/>
      </c>
      <c r="H154" s="118" t="str">
        <f aca="false">IF($D154="Female",100%,"")</f>
        <v/>
      </c>
      <c r="I154" s="75" t="str">
        <f aca="false">IFERROR(ROUND($H154*INDEX(PMTCT!$AU:$AU,MATCH($E154,PMTCT!$E:$E,0)),0),"")</f>
        <v/>
      </c>
      <c r="J154" s="118" t="n">
        <f aca="false">1</f>
        <v>1</v>
      </c>
      <c r="K154" s="75" t="n">
        <f aca="false">IFERROR(ROUND($J154*INDEX(TB!$Q:$Q,MATCH($E154,HTS!$E:$E,0)),0),"")</f>
        <v>-1500</v>
      </c>
      <c r="L154" s="118" t="n">
        <f aca="false">IF($D154="Male",100%,"")</f>
        <v>1</v>
      </c>
      <c r="M154" s="75" t="str">
        <f aca="false">IFERROR(ROUND($L154*INDEX(VMMC!$AC:$AC,MATCH($E154,VMMC!$E:$E,0)),0),"")</f>
        <v/>
      </c>
      <c r="N154" s="118" t="n">
        <f aca="false">1</f>
        <v>1</v>
      </c>
      <c r="O154" s="75" t="str">
        <f aca="false">IFERROR(ROUND($N154*INDEX(HTS!$Q:$Q,MATCH($E154,HTS!$E:$E,0)),0),"")</f>
        <v/>
      </c>
      <c r="P154" s="118" t="n">
        <f aca="false">1</f>
        <v>1</v>
      </c>
      <c r="Q154" s="75" t="n">
        <f aca="false">IFERROR(ROUND($P154*INDEX(HTS!$S:$S,MATCH($E154,HTS!$E:$E,0)),0),"")</f>
        <v>5</v>
      </c>
      <c r="R154" s="118" t="n">
        <f aca="false">1</f>
        <v>1</v>
      </c>
      <c r="S154" s="75" t="n">
        <f aca="false">IFERROR(ROUND($R154*INDEX(HTS!$AM:$AM,MATCH($E154,HTS!$E:$E,0)),0),"")</f>
        <v>390</v>
      </c>
      <c r="T154" s="118" t="n">
        <f aca="false">1</f>
        <v>1</v>
      </c>
      <c r="U154" s="75" t="n">
        <f aca="false">IFERROR(ROUND($T154*INDEX(HTS!$AV:$AV,MATCH($E154,HTS!$E:$E,0)),0),"")</f>
        <v>180</v>
      </c>
      <c r="V154" s="118" t="n">
        <f aca="false">1</f>
        <v>1</v>
      </c>
      <c r="W154" s="75" t="n">
        <f aca="false">IFERROR(ROUND($V154*INDEX(HTS!$AY:$AY,MATCH($E154,HTS!$E:$E,0)),0),"")</f>
        <v>510</v>
      </c>
      <c r="X154" s="118" t="n">
        <f aca="false">1</f>
        <v>1</v>
      </c>
      <c r="Y154" s="75" t="n">
        <f aca="false">IFERROR(ROUND($X154*INDEX(HTS!$BB:$BB,MATCH($E154,HTS!$E:$E,0)),0),"")</f>
        <v>420</v>
      </c>
      <c r="Z154" s="118" t="n">
        <f aca="false">1</f>
        <v>1</v>
      </c>
      <c r="AA154" s="75" t="n">
        <f aca="false">IFERROR(ROUND($Z154*INDEX(HTS!$BE:$BE,MATCH($E154,HTS!$E:$E,0)),0),"")</f>
        <v>585</v>
      </c>
      <c r="AB154" s="118" t="n">
        <f aca="false">1</f>
        <v>1</v>
      </c>
      <c r="AC154" s="75" t="n">
        <f aca="false">IFERROR(ROUND($AB154*INDEX(HTS!$BH:$BH,MATCH($E154,HTS!$E:$E,0)),0),"")</f>
        <v>390</v>
      </c>
      <c r="AD154" s="118" t="n">
        <f aca="false">1</f>
        <v>1</v>
      </c>
      <c r="AE154" s="75" t="n">
        <f aca="false">IFERROR(ROUND($AD154*INDEX(HTS!$BK:$BK,MATCH($E154,HTS!$E:$E,0)),0),"")</f>
        <v>600</v>
      </c>
      <c r="AF154" s="73" t="n">
        <f aca="false">IF(SUM($O154,$Q154,$S154,$K154,$G154,$I154,$M154,$U154,$W154,$Y154,$AA154,$AC154,$AE154)=0,"",SUM($O154,$Q154,$S154,$K154,$G154,$I154,$M154,$U154,$W154,$Y154,$AA154,$AC154,$AE154))</f>
        <v>1580</v>
      </c>
      <c r="AG154" s="73" t="n">
        <f aca="false">INDEX(HTS!$BN:$BN,MATCH($E154,HTS!$E:$E,0))</f>
        <v>1580</v>
      </c>
      <c r="AH154" s="118" t="n">
        <f aca="false">IF(SUM($AG154)&lt;=0,"",$AF154/$AG154)</f>
        <v>1</v>
      </c>
    </row>
    <row r="155" customFormat="false" ht="15" hidden="false" customHeight="false" outlineLevel="0" collapsed="false">
      <c r="A155" s="0" t="s">
        <v>149</v>
      </c>
      <c r="B155" s="0" t="s">
        <v>111</v>
      </c>
      <c r="C155" s="0" t="s">
        <v>80</v>
      </c>
      <c r="D155" s="0" t="s">
        <v>56</v>
      </c>
      <c r="E155" s="0" t="str">
        <f aca="false">B155&amp;"|"&amp;C155&amp;"|"&amp;D155</f>
        <v>Qacha's Nek [#SNU] [zTaMbxvQtJ6]|45-49|Female</v>
      </c>
      <c r="F155" s="118" t="n">
        <f aca="false">IF($D155="Female",100%,"")</f>
        <v>1</v>
      </c>
      <c r="G155" s="75" t="str">
        <f aca="false">IFERROR(ROUND($F155*INDEX(PMTCT!$AE:$AE,MATCH($E155,PMTCT!$E:$E,0)),0),"")</f>
        <v/>
      </c>
      <c r="H155" s="118" t="n">
        <f aca="false">IF($D155="Female",100%,"")</f>
        <v>1</v>
      </c>
      <c r="I155" s="75" t="str">
        <f aca="false">IFERROR(ROUND($H155*INDEX(PMTCT!$AU:$AU,MATCH($E155,PMTCT!$E:$E,0)),0),"")</f>
        <v/>
      </c>
      <c r="J155" s="118" t="n">
        <f aca="false">1</f>
        <v>1</v>
      </c>
      <c r="K155" s="75" t="n">
        <f aca="false">IFERROR(ROUND($J155*INDEX(TB!$Q:$Q,MATCH($E155,HTS!$E:$E,0)),0),"")</f>
        <v>-25088</v>
      </c>
      <c r="L155" s="118" t="str">
        <f aca="false">IF($D155="Male",100%,"")</f>
        <v/>
      </c>
      <c r="M155" s="75" t="str">
        <f aca="false">IFERROR(ROUND($L155*INDEX(VMMC!$AC:$AC,MATCH($E155,VMMC!$E:$E,0)),0),"")</f>
        <v/>
      </c>
      <c r="N155" s="118" t="n">
        <f aca="false">1</f>
        <v>1</v>
      </c>
      <c r="O155" s="75" t="str">
        <f aca="false">IFERROR(ROUND($N155*INDEX(HTS!$Q:$Q,MATCH($E155,HTS!$E:$E,0)),0),"")</f>
        <v/>
      </c>
      <c r="P155" s="118" t="n">
        <f aca="false">1</f>
        <v>1</v>
      </c>
      <c r="Q155" s="75" t="n">
        <f aca="false">IFERROR(ROUND($P155*INDEX(HTS!$S:$S,MATCH($E155,HTS!$E:$E,0)),0),"")</f>
        <v>1</v>
      </c>
      <c r="R155" s="118" t="n">
        <f aca="false">1</f>
        <v>1</v>
      </c>
      <c r="S155" s="75" t="n">
        <f aca="false">IFERROR(ROUND($R155*INDEX(HTS!$AM:$AM,MATCH($E155,HTS!$E:$E,0)),0),"")</f>
        <v>39</v>
      </c>
      <c r="T155" s="118" t="n">
        <f aca="false">1</f>
        <v>1</v>
      </c>
      <c r="U155" s="75" t="n">
        <f aca="false">IFERROR(ROUND($T155*INDEX(HTS!$AV:$AV,MATCH($E155,HTS!$E:$E,0)),0),"")</f>
        <v>41</v>
      </c>
      <c r="V155" s="118" t="n">
        <f aca="false">1</f>
        <v>1</v>
      </c>
      <c r="W155" s="75" t="n">
        <f aca="false">IFERROR(ROUND($V155*INDEX(HTS!$AY:$AY,MATCH($E155,HTS!$E:$E,0)),0),"")</f>
        <v>37</v>
      </c>
      <c r="X155" s="118" t="n">
        <f aca="false">1</f>
        <v>1</v>
      </c>
      <c r="Y155" s="75" t="n">
        <f aca="false">IFERROR(ROUND($X155*INDEX(HTS!$BB:$BB,MATCH($E155,HTS!$E:$E,0)),0),"")</f>
        <v>6</v>
      </c>
      <c r="Z155" s="118" t="n">
        <f aca="false">1</f>
        <v>1</v>
      </c>
      <c r="AA155" s="75" t="n">
        <f aca="false">IFERROR(ROUND($Z155*INDEX(HTS!$BE:$BE,MATCH($E155,HTS!$E:$E,0)),0),"")</f>
        <v>14</v>
      </c>
      <c r="AB155" s="118" t="n">
        <f aca="false">1</f>
        <v>1</v>
      </c>
      <c r="AC155" s="75" t="n">
        <f aca="false">IFERROR(ROUND($AB155*INDEX(HTS!$BH:$BH,MATCH($E155,HTS!$E:$E,0)),0),"")</f>
        <v>39</v>
      </c>
      <c r="AD155" s="118" t="n">
        <f aca="false">1</f>
        <v>1</v>
      </c>
      <c r="AE155" s="75" t="n">
        <f aca="false">IFERROR(ROUND($AD155*INDEX(HTS!$BK:$BK,MATCH($E155,HTS!$E:$E,0)),0),"")</f>
        <v>42</v>
      </c>
      <c r="AF155" s="73" t="n">
        <f aca="false">IF(SUM($O155,$Q155,$S155,$K155,$G155,$I155,$M155,$U155,$W155,$Y155,$AA155,$AC155,$AE155)=0,"",SUM($O155,$Q155,$S155,$K155,$G155,$I155,$M155,$U155,$W155,$Y155,$AA155,$AC155,$AE155))</f>
        <v>-24869</v>
      </c>
      <c r="AG155" s="73" t="n">
        <f aca="false">INDEX(HTS!$BN:$BN,MATCH($E155,HTS!$E:$E,0))</f>
        <v>-24869</v>
      </c>
      <c r="AH155" s="118" t="str">
        <f aca="false">IF(SUM($AG155)&lt;=0,"",$AF155/$AG155)</f>
        <v/>
      </c>
    </row>
    <row r="156" customFormat="false" ht="15" hidden="false" customHeight="false" outlineLevel="0" collapsed="false">
      <c r="A156" s="0" t="s">
        <v>149</v>
      </c>
      <c r="B156" s="0" t="s">
        <v>111</v>
      </c>
      <c r="C156" s="0" t="s">
        <v>80</v>
      </c>
      <c r="D156" s="0" t="s">
        <v>58</v>
      </c>
      <c r="E156" s="0" t="str">
        <f aca="false">B156&amp;"|"&amp;C156&amp;"|"&amp;D156</f>
        <v>Qacha's Nek [#SNU] [zTaMbxvQtJ6]|45-49|Male</v>
      </c>
      <c r="F156" s="118" t="str">
        <f aca="false">IF($D156="Female",100%,"")</f>
        <v/>
      </c>
      <c r="G156" s="75" t="str">
        <f aca="false">IFERROR(ROUND($F156*INDEX(PMTCT!$AE:$AE,MATCH($E156,PMTCT!$E:$E,0)),0),"")</f>
        <v/>
      </c>
      <c r="H156" s="118" t="str">
        <f aca="false">IF($D156="Female",100%,"")</f>
        <v/>
      </c>
      <c r="I156" s="75" t="str">
        <f aca="false">IFERROR(ROUND($H156*INDEX(PMTCT!$AU:$AU,MATCH($E156,PMTCT!$E:$E,0)),0),"")</f>
        <v/>
      </c>
      <c r="J156" s="118" t="n">
        <f aca="false">1</f>
        <v>1</v>
      </c>
      <c r="K156" s="75" t="n">
        <f aca="false">IFERROR(ROUND($J156*INDEX(TB!$Q:$Q,MATCH($E156,HTS!$E:$E,0)),0),"")</f>
        <v>-28224</v>
      </c>
      <c r="L156" s="118" t="n">
        <f aca="false">IF($D156="Male",100%,"")</f>
        <v>1</v>
      </c>
      <c r="M156" s="75" t="str">
        <f aca="false">IFERROR(ROUND($L156*INDEX(VMMC!$AC:$AC,MATCH($E156,VMMC!$E:$E,0)),0),"")</f>
        <v/>
      </c>
      <c r="N156" s="118" t="n">
        <f aca="false">1</f>
        <v>1</v>
      </c>
      <c r="O156" s="75" t="str">
        <f aca="false">IFERROR(ROUND($N156*INDEX(HTS!$Q:$Q,MATCH($E156,HTS!$E:$E,0)),0),"")</f>
        <v/>
      </c>
      <c r="P156" s="118" t="n">
        <f aca="false">1</f>
        <v>1</v>
      </c>
      <c r="Q156" s="75" t="n">
        <f aca="false">IFERROR(ROUND($P156*INDEX(HTS!$S:$S,MATCH($E156,HTS!$E:$E,0)),0),"")</f>
        <v>2</v>
      </c>
      <c r="R156" s="118" t="n">
        <f aca="false">1</f>
        <v>1</v>
      </c>
      <c r="S156" s="75" t="n">
        <f aca="false">IFERROR(ROUND($R156*INDEX(HTS!$AM:$AM,MATCH($E156,HTS!$E:$E,0)),0),"")</f>
        <v>32</v>
      </c>
      <c r="T156" s="118" t="n">
        <f aca="false">1</f>
        <v>1</v>
      </c>
      <c r="U156" s="75" t="n">
        <f aca="false">IFERROR(ROUND($T156*INDEX(HTS!$AV:$AV,MATCH($E156,HTS!$E:$E,0)),0),"")</f>
        <v>152</v>
      </c>
      <c r="V156" s="118" t="n">
        <f aca="false">1</f>
        <v>1</v>
      </c>
      <c r="W156" s="75" t="n">
        <f aca="false">IFERROR(ROUND($V156*INDEX(HTS!$AY:$AY,MATCH($E156,HTS!$E:$E,0)),0),"")</f>
        <v>168</v>
      </c>
      <c r="X156" s="118" t="n">
        <f aca="false">1</f>
        <v>1</v>
      </c>
      <c r="Y156" s="75" t="n">
        <f aca="false">IFERROR(ROUND($X156*INDEX(HTS!$BB:$BB,MATCH($E156,HTS!$E:$E,0)),0),"")</f>
        <v>104</v>
      </c>
      <c r="Z156" s="118" t="n">
        <f aca="false">1</f>
        <v>1</v>
      </c>
      <c r="AA156" s="75" t="n">
        <f aca="false">IFERROR(ROUND($Z156*INDEX(HTS!$BE:$BE,MATCH($E156,HTS!$E:$E,0)),0),"")</f>
        <v>368</v>
      </c>
      <c r="AB156" s="118" t="n">
        <f aca="false">1</f>
        <v>1</v>
      </c>
      <c r="AC156" s="75" t="n">
        <f aca="false">IFERROR(ROUND($AB156*INDEX(HTS!$BH:$BH,MATCH($E156,HTS!$E:$E,0)),0),"")</f>
        <v>72</v>
      </c>
      <c r="AD156" s="118" t="n">
        <f aca="false">1</f>
        <v>1</v>
      </c>
      <c r="AE156" s="75" t="n">
        <f aca="false">IFERROR(ROUND($AD156*INDEX(HTS!$BK:$BK,MATCH($E156,HTS!$E:$E,0)),0),"")</f>
        <v>152</v>
      </c>
      <c r="AF156" s="73" t="n">
        <f aca="false">IF(SUM($O156,$Q156,$S156,$K156,$G156,$I156,$M156,$U156,$W156,$Y156,$AA156,$AC156,$AE156)=0,"",SUM($O156,$Q156,$S156,$K156,$G156,$I156,$M156,$U156,$W156,$Y156,$AA156,$AC156,$AE156))</f>
        <v>-27174</v>
      </c>
      <c r="AG156" s="73" t="n">
        <f aca="false">INDEX(HTS!$BN:$BN,MATCH($E156,HTS!$E:$E,0))</f>
        <v>-27174</v>
      </c>
      <c r="AH156" s="118" t="str">
        <f aca="false">IF(SUM($AG156)&lt;=0,"",$AF156/$AG156)</f>
        <v/>
      </c>
    </row>
    <row r="157" customFormat="false" ht="15" hidden="false" customHeight="false" outlineLevel="0" collapsed="false">
      <c r="A157" s="0" t="s">
        <v>149</v>
      </c>
      <c r="B157" s="0" t="s">
        <v>111</v>
      </c>
      <c r="C157" s="0" t="s">
        <v>86</v>
      </c>
      <c r="D157" s="0" t="s">
        <v>56</v>
      </c>
      <c r="E157" s="0" t="str">
        <f aca="false">B157&amp;"|"&amp;C157&amp;"|"&amp;D157</f>
        <v>Qacha's Nek [#SNU] [zTaMbxvQtJ6]|50+|Female</v>
      </c>
      <c r="F157" s="118" t="n">
        <f aca="false">IF($D157="Female",100%,"")</f>
        <v>1</v>
      </c>
      <c r="G157" s="75" t="str">
        <f aca="false">IFERROR(ROUND($F157*INDEX(PMTCT!$AE:$AE,MATCH($E157,PMTCT!$E:$E,0)),0),"")</f>
        <v/>
      </c>
      <c r="H157" s="118" t="n">
        <f aca="false">IF($D157="Female",100%,"")</f>
        <v>1</v>
      </c>
      <c r="I157" s="75" t="str">
        <f aca="false">IFERROR(ROUND($H157*INDEX(PMTCT!$AU:$AU,MATCH($E157,PMTCT!$E:$E,0)),0),"")</f>
        <v/>
      </c>
      <c r="J157" s="118" t="n">
        <f aca="false">1</f>
        <v>1</v>
      </c>
      <c r="K157" s="75" t="n">
        <f aca="false">IFERROR(ROUND($J157*INDEX(TB!$Q:$Q,MATCH($E157,HTS!$E:$E,0)),0),"")</f>
        <v>-0</v>
      </c>
      <c r="L157" s="118" t="str">
        <f aca="false">IF($D157="Male",100%,"")</f>
        <v/>
      </c>
      <c r="M157" s="75" t="str">
        <f aca="false">IFERROR(ROUND($L157*INDEX(VMMC!$AC:$AC,MATCH($E157,VMMC!$E:$E,0)),0),"")</f>
        <v/>
      </c>
      <c r="N157" s="118" t="n">
        <f aca="false">1</f>
        <v>1</v>
      </c>
      <c r="O157" s="75" t="str">
        <f aca="false">IFERROR(ROUND($N157*INDEX(HTS!$Q:$Q,MATCH($E157,HTS!$E:$E,0)),0),"")</f>
        <v/>
      </c>
      <c r="P157" s="118" t="n">
        <f aca="false">1</f>
        <v>1</v>
      </c>
      <c r="Q157" s="75" t="n">
        <f aca="false">IFERROR(ROUND($P157*INDEX(HTS!$S:$S,MATCH($E157,HTS!$E:$E,0)),0),"")</f>
        <v>4</v>
      </c>
      <c r="R157" s="118" t="n">
        <f aca="false">1</f>
        <v>1</v>
      </c>
      <c r="S157" s="75" t="n">
        <f aca="false">IFERROR(ROUND($R157*INDEX(HTS!$AM:$AM,MATCH($E157,HTS!$E:$E,0)),0),"")</f>
        <v>70</v>
      </c>
      <c r="T157" s="118" t="n">
        <f aca="false">1</f>
        <v>1</v>
      </c>
      <c r="U157" s="75" t="n">
        <f aca="false">IFERROR(ROUND($T157*INDEX(HTS!$AV:$AV,MATCH($E157,HTS!$E:$E,0)),0),"")</f>
        <v>56</v>
      </c>
      <c r="V157" s="118" t="n">
        <f aca="false">1</f>
        <v>1</v>
      </c>
      <c r="W157" s="75" t="n">
        <f aca="false">IFERROR(ROUND($V157*INDEX(HTS!$AY:$AY,MATCH($E157,HTS!$E:$E,0)),0),"")</f>
        <v>238</v>
      </c>
      <c r="X157" s="118" t="n">
        <f aca="false">1</f>
        <v>1</v>
      </c>
      <c r="Y157" s="75" t="n">
        <f aca="false">IFERROR(ROUND($X157*INDEX(HTS!$BB:$BB,MATCH($E157,HTS!$E:$E,0)),0),"")</f>
        <v>259</v>
      </c>
      <c r="Z157" s="118" t="n">
        <f aca="false">1</f>
        <v>1</v>
      </c>
      <c r="AA157" s="75" t="n">
        <f aca="false">IFERROR(ROUND($Z157*INDEX(HTS!$BE:$BE,MATCH($E157,HTS!$E:$E,0)),0),"")</f>
        <v>28</v>
      </c>
      <c r="AB157" s="118" t="n">
        <f aca="false">1</f>
        <v>1</v>
      </c>
      <c r="AC157" s="75" t="n">
        <f aca="false">IFERROR(ROUND($AB157*INDEX(HTS!$BH:$BH,MATCH($E157,HTS!$E:$E,0)),0),"")</f>
        <v>77</v>
      </c>
      <c r="AD157" s="118" t="n">
        <f aca="false">1</f>
        <v>1</v>
      </c>
      <c r="AE157" s="75" t="n">
        <f aca="false">IFERROR(ROUND($AD157*INDEX(HTS!$BK:$BK,MATCH($E157,HTS!$E:$E,0)),0),"")</f>
        <v>35</v>
      </c>
      <c r="AF157" s="73" t="n">
        <f aca="false">IF(SUM($O157,$Q157,$S157,$K157,$G157,$I157,$M157,$U157,$W157,$Y157,$AA157,$AC157,$AE157)=0,"",SUM($O157,$Q157,$S157,$K157,$G157,$I157,$M157,$U157,$W157,$Y157,$AA157,$AC157,$AE157))</f>
        <v>767</v>
      </c>
      <c r="AG157" s="73" t="n">
        <f aca="false">INDEX(HTS!$BN:$BN,MATCH($E157,HTS!$E:$E,0))</f>
        <v>767</v>
      </c>
      <c r="AH157" s="118" t="n">
        <f aca="false">IF(SUM($AG157)&lt;=0,"",$AF157/$AG157)</f>
        <v>1</v>
      </c>
    </row>
    <row r="158" customFormat="false" ht="15" hidden="false" customHeight="false" outlineLevel="0" collapsed="false">
      <c r="A158" s="0" t="s">
        <v>149</v>
      </c>
      <c r="B158" s="0" t="s">
        <v>111</v>
      </c>
      <c r="C158" s="0" t="s">
        <v>86</v>
      </c>
      <c r="D158" s="0" t="s">
        <v>58</v>
      </c>
      <c r="E158" s="0" t="str">
        <f aca="false">B158&amp;"|"&amp;C158&amp;"|"&amp;D158</f>
        <v>Qacha's Nek [#SNU] [zTaMbxvQtJ6]|50+|Male</v>
      </c>
      <c r="F158" s="118" t="str">
        <f aca="false">IF($D158="Female",100%,"")</f>
        <v/>
      </c>
      <c r="G158" s="75" t="str">
        <f aca="false">IFERROR(ROUND($F158*INDEX(PMTCT!$AE:$AE,MATCH($E158,PMTCT!$E:$E,0)),0),"")</f>
        <v/>
      </c>
      <c r="H158" s="118" t="str">
        <f aca="false">IF($D158="Female",100%,"")</f>
        <v/>
      </c>
      <c r="I158" s="75" t="str">
        <f aca="false">IFERROR(ROUND($H158*INDEX(PMTCT!$AU:$AU,MATCH($E158,PMTCT!$E:$E,0)),0),"")</f>
        <v/>
      </c>
      <c r="J158" s="118" t="n">
        <f aca="false">1</f>
        <v>1</v>
      </c>
      <c r="K158" s="75" t="n">
        <f aca="false">IFERROR(ROUND($J158*INDEX(TB!$Q:$Q,MATCH($E158,HTS!$E:$E,0)),0),"")</f>
        <v>-11100</v>
      </c>
      <c r="L158" s="118" t="n">
        <f aca="false">IF($D158="Male",100%,"")</f>
        <v>1</v>
      </c>
      <c r="M158" s="75" t="str">
        <f aca="false">IFERROR(ROUND($L158*INDEX(VMMC!$AC:$AC,MATCH($E158,VMMC!$E:$E,0)),0),"")</f>
        <v/>
      </c>
      <c r="N158" s="118" t="n">
        <f aca="false">1</f>
        <v>1</v>
      </c>
      <c r="O158" s="75" t="str">
        <f aca="false">IFERROR(ROUND($N158*INDEX(HTS!$Q:$Q,MATCH($E158,HTS!$E:$E,0)),0),"")</f>
        <v/>
      </c>
      <c r="P158" s="118" t="n">
        <f aca="false">1</f>
        <v>1</v>
      </c>
      <c r="Q158" s="75" t="n">
        <f aca="false">IFERROR(ROUND($P158*INDEX(HTS!$S:$S,MATCH($E158,HTS!$E:$E,0)),0),"")</f>
        <v>4</v>
      </c>
      <c r="R158" s="118" t="n">
        <f aca="false">1</f>
        <v>1</v>
      </c>
      <c r="S158" s="75" t="n">
        <f aca="false">IFERROR(ROUND($R158*INDEX(HTS!$AM:$AM,MATCH($E158,HTS!$E:$E,0)),0),"")</f>
        <v>72</v>
      </c>
      <c r="T158" s="118" t="n">
        <f aca="false">1</f>
        <v>1</v>
      </c>
      <c r="U158" s="75" t="n">
        <f aca="false">IFERROR(ROUND($T158*INDEX(HTS!$AV:$AV,MATCH($E158,HTS!$E:$E,0)),0),"")</f>
        <v>24</v>
      </c>
      <c r="V158" s="118" t="n">
        <f aca="false">1</f>
        <v>1</v>
      </c>
      <c r="W158" s="75" t="n">
        <f aca="false">IFERROR(ROUND($V158*INDEX(HTS!$AY:$AY,MATCH($E158,HTS!$E:$E,0)),0),"")</f>
        <v>492</v>
      </c>
      <c r="X158" s="118" t="n">
        <f aca="false">1</f>
        <v>1</v>
      </c>
      <c r="Y158" s="75" t="n">
        <f aca="false">IFERROR(ROUND($X158*INDEX(HTS!$BB:$BB,MATCH($E158,HTS!$E:$E,0)),0),"")</f>
        <v>372</v>
      </c>
      <c r="Z158" s="118" t="n">
        <f aca="false">1</f>
        <v>1</v>
      </c>
      <c r="AA158" s="75" t="n">
        <f aca="false">IFERROR(ROUND($Z158*INDEX(HTS!$BE:$BE,MATCH($E158,HTS!$E:$E,0)),0),"")</f>
        <v>96</v>
      </c>
      <c r="AB158" s="118" t="n">
        <f aca="false">1</f>
        <v>1</v>
      </c>
      <c r="AC158" s="75" t="n">
        <f aca="false">IFERROR(ROUND($AB158*INDEX(HTS!$BH:$BH,MATCH($E158,HTS!$E:$E,0)),0),"")</f>
        <v>216</v>
      </c>
      <c r="AD158" s="118" t="n">
        <f aca="false">1</f>
        <v>1</v>
      </c>
      <c r="AE158" s="75" t="n">
        <f aca="false">IFERROR(ROUND($AD158*INDEX(HTS!$BK:$BK,MATCH($E158,HTS!$E:$E,0)),0),"")</f>
        <v>600</v>
      </c>
      <c r="AF158" s="73" t="n">
        <f aca="false">IF(SUM($O158,$Q158,$S158,$K158,$G158,$I158,$M158,$U158,$W158,$Y158,$AA158,$AC158,$AE158)=0,"",SUM($O158,$Q158,$S158,$K158,$G158,$I158,$M158,$U158,$W158,$Y158,$AA158,$AC158,$AE158))</f>
        <v>-9224</v>
      </c>
      <c r="AG158" s="73" t="n">
        <f aca="false">INDEX(HTS!$BN:$BN,MATCH($E158,HTS!$E:$E,0))</f>
        <v>-9224</v>
      </c>
      <c r="AH158" s="118" t="str">
        <f aca="false">IF(SUM($AG158)&lt;=0,"",$AF158/$AG158)</f>
        <v/>
      </c>
    </row>
    <row r="159" customFormat="false" ht="15" hidden="false" customHeight="false" outlineLevel="0" collapsed="false">
      <c r="A159" s="0" t="s">
        <v>150</v>
      </c>
      <c r="B159" s="0" t="s">
        <v>117</v>
      </c>
      <c r="C159" s="0" t="s">
        <v>63</v>
      </c>
      <c r="D159" s="0" t="s">
        <v>56</v>
      </c>
      <c r="E159" s="0" t="str">
        <f aca="false">B159&amp;"|"&amp;C159&amp;"|"&amp;D159</f>
        <v>Quthing [#SNU] [HuwCoDZG0FY]|15-19|Female</v>
      </c>
      <c r="F159" s="118" t="n">
        <f aca="false">IF($D159="Female",100%,"")</f>
        <v>1</v>
      </c>
      <c r="G159" s="75" t="n">
        <f aca="false">IFERROR(ROUND($F159*INDEX(PMTCT!$AE:$AE,MATCH($E159,PMTCT!$E:$E,0)),0),"")</f>
        <v>-53406</v>
      </c>
      <c r="H159" s="118" t="n">
        <f aca="false">IF($D159="Female",100%,"")</f>
        <v>1</v>
      </c>
      <c r="I159" s="75" t="str">
        <f aca="false">IFERROR(ROUND($H159*INDEX(PMTCT!$AU:$AU,MATCH($E159,PMTCT!$E:$E,0)),0),"")</f>
        <v/>
      </c>
      <c r="J159" s="118" t="n">
        <f aca="false">1</f>
        <v>1</v>
      </c>
      <c r="K159" s="75" t="n">
        <f aca="false">IFERROR(ROUND($J159*INDEX(TB!$Q:$Q,MATCH($E159,HTS!$E:$E,0)),0),"")</f>
        <v>0</v>
      </c>
      <c r="L159" s="118" t="str">
        <f aca="false">IF($D159="Male",100%,"")</f>
        <v/>
      </c>
      <c r="M159" s="75" t="str">
        <f aca="false">IFERROR(ROUND($L159*INDEX(VMMC!$AC:$AC,MATCH($E159,VMMC!$E:$E,0)),0),"")</f>
        <v/>
      </c>
      <c r="N159" s="118" t="n">
        <f aca="false">1</f>
        <v>1</v>
      </c>
      <c r="O159" s="75" t="str">
        <f aca="false">IFERROR(ROUND($N159*INDEX(HTS!$Q:$Q,MATCH($E159,HTS!$E:$E,0)),0),"")</f>
        <v/>
      </c>
      <c r="P159" s="118" t="n">
        <f aca="false">1</f>
        <v>1</v>
      </c>
      <c r="Q159" s="75" t="n">
        <f aca="false">IFERROR(ROUND($P159*INDEX(HTS!$S:$S,MATCH($E159,HTS!$E:$E,0)),0),"")</f>
        <v>5</v>
      </c>
      <c r="R159" s="118" t="n">
        <f aca="false">1</f>
        <v>1</v>
      </c>
      <c r="S159" s="75" t="n">
        <f aca="false">IFERROR(ROUND($R159*INDEX(HTS!$AM:$AM,MATCH($E159,HTS!$E:$E,0)),0),"")</f>
        <v>493</v>
      </c>
      <c r="T159" s="118" t="n">
        <f aca="false">1</f>
        <v>1</v>
      </c>
      <c r="U159" s="75" t="n">
        <f aca="false">IFERROR(ROUND($T159*INDEX(HTS!$AV:$AV,MATCH($E159,HTS!$E:$E,0)),0),"")</f>
        <v>663</v>
      </c>
      <c r="V159" s="118" t="n">
        <f aca="false">1</f>
        <v>1</v>
      </c>
      <c r="W159" s="75" t="n">
        <f aca="false">IFERROR(ROUND($V159*INDEX(HTS!$AY:$AY,MATCH($E159,HTS!$E:$E,0)),0),"")</f>
        <v>612</v>
      </c>
      <c r="X159" s="118" t="n">
        <f aca="false">1</f>
        <v>1</v>
      </c>
      <c r="Y159" s="75" t="n">
        <f aca="false">IFERROR(ROUND($X159*INDEX(HTS!$BB:$BB,MATCH($E159,HTS!$E:$E,0)),0),"")</f>
        <v>68</v>
      </c>
      <c r="Z159" s="118" t="n">
        <f aca="false">1</f>
        <v>1</v>
      </c>
      <c r="AA159" s="75" t="n">
        <f aca="false">IFERROR(ROUND($Z159*INDEX(HTS!$BE:$BE,MATCH($E159,HTS!$E:$E,0)),0),"")</f>
        <v>51</v>
      </c>
      <c r="AB159" s="118" t="n">
        <f aca="false">1</f>
        <v>1</v>
      </c>
      <c r="AC159" s="75" t="n">
        <f aca="false">IFERROR(ROUND($AB159*INDEX(HTS!$BH:$BH,MATCH($E159,HTS!$E:$E,0)),0),"")</f>
        <v>272</v>
      </c>
      <c r="AD159" s="118" t="n">
        <f aca="false">1</f>
        <v>1</v>
      </c>
      <c r="AE159" s="75" t="n">
        <f aca="false">IFERROR(ROUND($AD159*INDEX(HTS!$BK:$BK,MATCH($E159,HTS!$E:$E,0)),0),"")</f>
        <v>493</v>
      </c>
      <c r="AF159" s="73" t="n">
        <f aca="false">IF(SUM($O159,$Q159,$S159,$K159,$G159,$I159,$M159,$U159,$W159,$Y159,$AA159,$AC159,$AE159)=0,"",SUM($O159,$Q159,$S159,$K159,$G159,$I159,$M159,$U159,$W159,$Y159,$AA159,$AC159,$AE159))</f>
        <v>-50749</v>
      </c>
      <c r="AG159" s="73" t="n">
        <f aca="false">INDEX(HTS!$BN:$BN,MATCH($E159,HTS!$E:$E,0))</f>
        <v>-50749</v>
      </c>
      <c r="AH159" s="118" t="str">
        <f aca="false">IF(SUM($AG159)&lt;=0,"",$AF159/$AG159)</f>
        <v/>
      </c>
    </row>
    <row r="160" customFormat="false" ht="15" hidden="false" customHeight="false" outlineLevel="0" collapsed="false">
      <c r="A160" s="0" t="s">
        <v>150</v>
      </c>
      <c r="B160" s="0" t="s">
        <v>117</v>
      </c>
      <c r="C160" s="0" t="s">
        <v>63</v>
      </c>
      <c r="D160" s="0" t="s">
        <v>58</v>
      </c>
      <c r="E160" s="0" t="str">
        <f aca="false">B160&amp;"|"&amp;C160&amp;"|"&amp;D160</f>
        <v>Quthing [#SNU] [HuwCoDZG0FY]|15-19|Male</v>
      </c>
      <c r="F160" s="118" t="str">
        <f aca="false">IF($D160="Female",100%,"")</f>
        <v/>
      </c>
      <c r="G160" s="75" t="str">
        <f aca="false">IFERROR(ROUND($F160*INDEX(PMTCT!$AE:$AE,MATCH($E160,PMTCT!$E:$E,0)),0),"")</f>
        <v/>
      </c>
      <c r="H160" s="118" t="str">
        <f aca="false">IF($D160="Female",100%,"")</f>
        <v/>
      </c>
      <c r="I160" s="75" t="str">
        <f aca="false">IFERROR(ROUND($H160*INDEX(PMTCT!$AU:$AU,MATCH($E160,PMTCT!$E:$E,0)),0),"")</f>
        <v/>
      </c>
      <c r="J160" s="118" t="n">
        <f aca="false">1</f>
        <v>1</v>
      </c>
      <c r="K160" s="75" t="n">
        <f aca="false">IFERROR(ROUND($J160*INDEX(TB!$Q:$Q,MATCH($E160,HTS!$E:$E,0)),0),"")</f>
        <v>0</v>
      </c>
      <c r="L160" s="118" t="n">
        <f aca="false">IF($D160="Male",100%,"")</f>
        <v>1</v>
      </c>
      <c r="M160" s="75" t="str">
        <f aca="false">IFERROR(ROUND($L160*INDEX(VMMC!$AC:$AC,MATCH($E160,VMMC!$E:$E,0)),0),"")</f>
        <v/>
      </c>
      <c r="N160" s="118" t="n">
        <f aca="false">1</f>
        <v>1</v>
      </c>
      <c r="O160" s="75" t="str">
        <f aca="false">IFERROR(ROUND($N160*INDEX(HTS!$Q:$Q,MATCH($E160,HTS!$E:$E,0)),0),"")</f>
        <v/>
      </c>
      <c r="P160" s="118" t="n">
        <f aca="false">1</f>
        <v>1</v>
      </c>
      <c r="Q160" s="75" t="n">
        <f aca="false">IFERROR(ROUND($P160*INDEX(HTS!$S:$S,MATCH($E160,HTS!$E:$E,0)),0),"")</f>
        <v>1</v>
      </c>
      <c r="R160" s="118" t="n">
        <f aca="false">1</f>
        <v>1</v>
      </c>
      <c r="S160" s="75" t="n">
        <f aca="false">IFERROR(ROUND($R160*INDEX(HTS!$AM:$AM,MATCH($E160,HTS!$E:$E,0)),0),"")</f>
        <v>45</v>
      </c>
      <c r="T160" s="118" t="n">
        <f aca="false">1</f>
        <v>1</v>
      </c>
      <c r="U160" s="75" t="n">
        <f aca="false">IFERROR(ROUND($T160*INDEX(HTS!$AV:$AV,MATCH($E160,HTS!$E:$E,0)),0),"")</f>
        <v>3</v>
      </c>
      <c r="V160" s="118" t="n">
        <f aca="false">1</f>
        <v>1</v>
      </c>
      <c r="W160" s="75" t="n">
        <f aca="false">IFERROR(ROUND($V160*INDEX(HTS!$AY:$AY,MATCH($E160,HTS!$E:$E,0)),0),"")</f>
        <v>42</v>
      </c>
      <c r="X160" s="118" t="n">
        <f aca="false">1</f>
        <v>1</v>
      </c>
      <c r="Y160" s="75" t="n">
        <f aca="false">IFERROR(ROUND($X160*INDEX(HTS!$BB:$BB,MATCH($E160,HTS!$E:$E,0)),0),"")</f>
        <v>50</v>
      </c>
      <c r="Z160" s="118" t="n">
        <f aca="false">1</f>
        <v>1</v>
      </c>
      <c r="AA160" s="75" t="n">
        <f aca="false">IFERROR(ROUND($Z160*INDEX(HTS!$BE:$BE,MATCH($E160,HTS!$E:$E,0)),0),"")</f>
        <v>15</v>
      </c>
      <c r="AB160" s="118" t="n">
        <f aca="false">1</f>
        <v>1</v>
      </c>
      <c r="AC160" s="75" t="n">
        <f aca="false">IFERROR(ROUND($AB160*INDEX(HTS!$BH:$BH,MATCH($E160,HTS!$E:$E,0)),0),"")</f>
        <v>33</v>
      </c>
      <c r="AD160" s="118" t="n">
        <f aca="false">1</f>
        <v>1</v>
      </c>
      <c r="AE160" s="75" t="n">
        <f aca="false">IFERROR(ROUND($AD160*INDEX(HTS!$BK:$BK,MATCH($E160,HTS!$E:$E,0)),0),"")</f>
        <v>50</v>
      </c>
      <c r="AF160" s="73" t="n">
        <f aca="false">IF(SUM($O160,$Q160,$S160,$K160,$G160,$I160,$M160,$U160,$W160,$Y160,$AA160,$AC160,$AE160)=0,"",SUM($O160,$Q160,$S160,$K160,$G160,$I160,$M160,$U160,$W160,$Y160,$AA160,$AC160,$AE160))</f>
        <v>239</v>
      </c>
      <c r="AG160" s="73" t="n">
        <f aca="false">INDEX(HTS!$BN:$BN,MATCH($E160,HTS!$E:$E,0))</f>
        <v>239</v>
      </c>
      <c r="AH160" s="118" t="n">
        <f aca="false">IF(SUM($AG160)&lt;=0,"",$AF160/$AG160)</f>
        <v>1</v>
      </c>
    </row>
    <row r="161" customFormat="false" ht="15" hidden="false" customHeight="false" outlineLevel="0" collapsed="false">
      <c r="A161" s="0" t="s">
        <v>150</v>
      </c>
      <c r="B161" s="0" t="s">
        <v>117</v>
      </c>
      <c r="C161" s="0" t="s">
        <v>66</v>
      </c>
      <c r="D161" s="0" t="s">
        <v>56</v>
      </c>
      <c r="E161" s="0" t="str">
        <f aca="false">B161&amp;"|"&amp;C161&amp;"|"&amp;D161</f>
        <v>Quthing [#SNU] [HuwCoDZG0FY]|20-24|Female</v>
      </c>
      <c r="F161" s="118" t="n">
        <f aca="false">IF($D161="Female",100%,"")</f>
        <v>1</v>
      </c>
      <c r="G161" s="75" t="n">
        <f aca="false">IFERROR(ROUND($F161*INDEX(PMTCT!$AE:$AE,MATCH($E161,PMTCT!$E:$E,0)),0),"")</f>
        <v>-9576</v>
      </c>
      <c r="H161" s="118" t="n">
        <f aca="false">IF($D161="Female",100%,"")</f>
        <v>1</v>
      </c>
      <c r="I161" s="75" t="str">
        <f aca="false">IFERROR(ROUND($H161*INDEX(PMTCT!$AU:$AU,MATCH($E161,PMTCT!$E:$E,0)),0),"")</f>
        <v/>
      </c>
      <c r="J161" s="118" t="n">
        <f aca="false">1</f>
        <v>1</v>
      </c>
      <c r="K161" s="75" t="n">
        <f aca="false">IFERROR(ROUND($J161*INDEX(TB!$Q:$Q,MATCH($E161,HTS!$E:$E,0)),0),"")</f>
        <v>-52452</v>
      </c>
      <c r="L161" s="118" t="str">
        <f aca="false">IF($D161="Male",100%,"")</f>
        <v/>
      </c>
      <c r="M161" s="75" t="str">
        <f aca="false">IFERROR(ROUND($L161*INDEX(VMMC!$AC:$AC,MATCH($E161,VMMC!$E:$E,0)),0),"")</f>
        <v/>
      </c>
      <c r="N161" s="118" t="n">
        <f aca="false">1</f>
        <v>1</v>
      </c>
      <c r="O161" s="75" t="str">
        <f aca="false">IFERROR(ROUND($N161*INDEX(HTS!$Q:$Q,MATCH($E161,HTS!$E:$E,0)),0),"")</f>
        <v/>
      </c>
      <c r="P161" s="118" t="n">
        <f aca="false">1</f>
        <v>1</v>
      </c>
      <c r="Q161" s="75" t="n">
        <f aca="false">IFERROR(ROUND($P161*INDEX(HTS!$S:$S,MATCH($E161,HTS!$E:$E,0)),0),"")</f>
        <v>1</v>
      </c>
      <c r="R161" s="118" t="n">
        <f aca="false">1</f>
        <v>1</v>
      </c>
      <c r="S161" s="75" t="n">
        <f aca="false">IFERROR(ROUND($R161*INDEX(HTS!$AM:$AM,MATCH($E161,HTS!$E:$E,0)),0),"")</f>
        <v>116</v>
      </c>
      <c r="T161" s="118" t="n">
        <f aca="false">1</f>
        <v>1</v>
      </c>
      <c r="U161" s="75" t="n">
        <f aca="false">IFERROR(ROUND($T161*INDEX(HTS!$AV:$AV,MATCH($E161,HTS!$E:$E,0)),0),"")</f>
        <v>184</v>
      </c>
      <c r="V161" s="118" t="n">
        <f aca="false">1</f>
        <v>1</v>
      </c>
      <c r="W161" s="75" t="n">
        <f aca="false">IFERROR(ROUND($V161*INDEX(HTS!$AY:$AY,MATCH($E161,HTS!$E:$E,0)),0),"")</f>
        <v>180</v>
      </c>
      <c r="X161" s="118" t="n">
        <f aca="false">1</f>
        <v>1</v>
      </c>
      <c r="Y161" s="75" t="n">
        <f aca="false">IFERROR(ROUND($X161*INDEX(HTS!$BB:$BB,MATCH($E161,HTS!$E:$E,0)),0),"")</f>
        <v>52</v>
      </c>
      <c r="Z161" s="118" t="n">
        <f aca="false">1</f>
        <v>1</v>
      </c>
      <c r="AA161" s="75" t="n">
        <f aca="false">IFERROR(ROUND($Z161*INDEX(HTS!$BE:$BE,MATCH($E161,HTS!$E:$E,0)),0),"")</f>
        <v>136</v>
      </c>
      <c r="AB161" s="118" t="n">
        <f aca="false">1</f>
        <v>1</v>
      </c>
      <c r="AC161" s="75" t="n">
        <f aca="false">IFERROR(ROUND($AB161*INDEX(HTS!$BH:$BH,MATCH($E161,HTS!$E:$E,0)),0),"")</f>
        <v>48</v>
      </c>
      <c r="AD161" s="118" t="n">
        <f aca="false">1</f>
        <v>1</v>
      </c>
      <c r="AE161" s="75" t="n">
        <f aca="false">IFERROR(ROUND($AD161*INDEX(HTS!$BK:$BK,MATCH($E161,HTS!$E:$E,0)),0),"")</f>
        <v>100</v>
      </c>
      <c r="AF161" s="73" t="n">
        <f aca="false">IF(SUM($O161,$Q161,$S161,$K161,$G161,$I161,$M161,$U161,$W161,$Y161,$AA161,$AC161,$AE161)=0,"",SUM($O161,$Q161,$S161,$K161,$G161,$I161,$M161,$U161,$W161,$Y161,$AA161,$AC161,$AE161))</f>
        <v>-61211</v>
      </c>
      <c r="AG161" s="73" t="n">
        <f aca="false">INDEX(HTS!$BN:$BN,MATCH($E161,HTS!$E:$E,0))</f>
        <v>-61211</v>
      </c>
      <c r="AH161" s="118" t="str">
        <f aca="false">IF(SUM($AG161)&lt;=0,"",$AF161/$AG161)</f>
        <v/>
      </c>
    </row>
    <row r="162" customFormat="false" ht="15" hidden="false" customHeight="false" outlineLevel="0" collapsed="false">
      <c r="A162" s="0" t="s">
        <v>150</v>
      </c>
      <c r="B162" s="0" t="s">
        <v>117</v>
      </c>
      <c r="C162" s="0" t="s">
        <v>66</v>
      </c>
      <c r="D162" s="0" t="s">
        <v>58</v>
      </c>
      <c r="E162" s="0" t="str">
        <f aca="false">B162&amp;"|"&amp;C162&amp;"|"&amp;D162</f>
        <v>Quthing [#SNU] [HuwCoDZG0FY]|20-24|Male</v>
      </c>
      <c r="F162" s="118" t="str">
        <f aca="false">IF($D162="Female",100%,"")</f>
        <v/>
      </c>
      <c r="G162" s="75" t="str">
        <f aca="false">IFERROR(ROUND($F162*INDEX(PMTCT!$AE:$AE,MATCH($E162,PMTCT!$E:$E,0)),0),"")</f>
        <v/>
      </c>
      <c r="H162" s="118" t="str">
        <f aca="false">IF($D162="Female",100%,"")</f>
        <v/>
      </c>
      <c r="I162" s="75" t="str">
        <f aca="false">IFERROR(ROUND($H162*INDEX(PMTCT!$AU:$AU,MATCH($E162,PMTCT!$E:$E,0)),0),"")</f>
        <v/>
      </c>
      <c r="J162" s="118" t="n">
        <f aca="false">1</f>
        <v>1</v>
      </c>
      <c r="K162" s="75" t="n">
        <f aca="false">IFERROR(ROUND($J162*INDEX(TB!$Q:$Q,MATCH($E162,HTS!$E:$E,0)),0),"")</f>
        <v>-0</v>
      </c>
      <c r="L162" s="118" t="n">
        <f aca="false">IF($D162="Male",100%,"")</f>
        <v>1</v>
      </c>
      <c r="M162" s="75" t="str">
        <f aca="false">IFERROR(ROUND($L162*INDEX(VMMC!$AC:$AC,MATCH($E162,VMMC!$E:$E,0)),0),"")</f>
        <v/>
      </c>
      <c r="N162" s="118" t="n">
        <f aca="false">1</f>
        <v>1</v>
      </c>
      <c r="O162" s="75" t="str">
        <f aca="false">IFERROR(ROUND($N162*INDEX(HTS!$Q:$Q,MATCH($E162,HTS!$E:$E,0)),0),"")</f>
        <v/>
      </c>
      <c r="P162" s="118" t="n">
        <f aca="false">1</f>
        <v>1</v>
      </c>
      <c r="Q162" s="75" t="n">
        <f aca="false">IFERROR(ROUND($P162*INDEX(HTS!$S:$S,MATCH($E162,HTS!$E:$E,0)),0),"")</f>
        <v>16</v>
      </c>
      <c r="R162" s="118" t="n">
        <f aca="false">1</f>
        <v>1</v>
      </c>
      <c r="S162" s="75" t="n">
        <f aca="false">IFERROR(ROUND($R162*INDEX(HTS!$AM:$AM,MATCH($E162,HTS!$E:$E,0)),0),"")</f>
        <v>104</v>
      </c>
      <c r="T162" s="118" t="n">
        <f aca="false">1</f>
        <v>1</v>
      </c>
      <c r="U162" s="75" t="n">
        <f aca="false">IFERROR(ROUND($T162*INDEX(HTS!$AV:$AV,MATCH($E162,HTS!$E:$E,0)),0),"")</f>
        <v>1768</v>
      </c>
      <c r="V162" s="118" t="n">
        <f aca="false">1</f>
        <v>1</v>
      </c>
      <c r="W162" s="75" t="n">
        <f aca="false">IFERROR(ROUND($V162*INDEX(HTS!$AY:$AY,MATCH($E162,HTS!$E:$E,0)),0),"")</f>
        <v>1404</v>
      </c>
      <c r="X162" s="118" t="n">
        <f aca="false">1</f>
        <v>1</v>
      </c>
      <c r="Y162" s="75" t="n">
        <f aca="false">IFERROR(ROUND($X162*INDEX(HTS!$BB:$BB,MATCH($E162,HTS!$E:$E,0)),0),"")</f>
        <v>364</v>
      </c>
      <c r="Z162" s="118" t="n">
        <f aca="false">1</f>
        <v>1</v>
      </c>
      <c r="AA162" s="75" t="n">
        <f aca="false">IFERROR(ROUND($Z162*INDEX(HTS!$BE:$BE,MATCH($E162,HTS!$E:$E,0)),0),"")</f>
        <v>728</v>
      </c>
      <c r="AB162" s="118" t="n">
        <f aca="false">1</f>
        <v>1</v>
      </c>
      <c r="AC162" s="75" t="n">
        <f aca="false">IFERROR(ROUND($AB162*INDEX(HTS!$BH:$BH,MATCH($E162,HTS!$E:$E,0)),0),"")</f>
        <v>1248</v>
      </c>
      <c r="AD162" s="118" t="n">
        <f aca="false">1</f>
        <v>1</v>
      </c>
      <c r="AE162" s="75" t="n">
        <f aca="false">IFERROR(ROUND($AD162*INDEX(HTS!$BK:$BK,MATCH($E162,HTS!$E:$E,0)),0),"")</f>
        <v>1976</v>
      </c>
      <c r="AF162" s="73" t="n">
        <f aca="false">IF(SUM($O162,$Q162,$S162,$K162,$G162,$I162,$M162,$U162,$W162,$Y162,$AA162,$AC162,$AE162)=0,"",SUM($O162,$Q162,$S162,$K162,$G162,$I162,$M162,$U162,$W162,$Y162,$AA162,$AC162,$AE162))</f>
        <v>7608</v>
      </c>
      <c r="AG162" s="73" t="n">
        <f aca="false">INDEX(HTS!$BN:$BN,MATCH($E162,HTS!$E:$E,0))</f>
        <v>7608</v>
      </c>
      <c r="AH162" s="118" t="n">
        <f aca="false">IF(SUM($AG162)&lt;=0,"",$AF162/$AG162)</f>
        <v>1</v>
      </c>
    </row>
    <row r="163" customFormat="false" ht="15" hidden="false" customHeight="false" outlineLevel="0" collapsed="false">
      <c r="A163" s="0" t="s">
        <v>150</v>
      </c>
      <c r="B163" s="0" t="s">
        <v>117</v>
      </c>
      <c r="C163" s="0" t="s">
        <v>69</v>
      </c>
      <c r="D163" s="0" t="s">
        <v>56</v>
      </c>
      <c r="E163" s="0" t="str">
        <f aca="false">B163&amp;"|"&amp;C163&amp;"|"&amp;D163</f>
        <v>Quthing [#SNU] [HuwCoDZG0FY]|25-29|Female</v>
      </c>
      <c r="F163" s="118" t="n">
        <f aca="false">IF($D163="Female",100%,"")</f>
        <v>1</v>
      </c>
      <c r="G163" s="75" t="n">
        <f aca="false">IFERROR(ROUND($F163*INDEX(PMTCT!$AE:$AE,MATCH($E163,PMTCT!$E:$E,0)),0),"")</f>
        <v>-13440</v>
      </c>
      <c r="H163" s="118" t="n">
        <f aca="false">IF($D163="Female",100%,"")</f>
        <v>1</v>
      </c>
      <c r="I163" s="75" t="str">
        <f aca="false">IFERROR(ROUND($H163*INDEX(PMTCT!$AU:$AU,MATCH($E163,PMTCT!$E:$E,0)),0),"")</f>
        <v/>
      </c>
      <c r="J163" s="118" t="n">
        <f aca="false">1</f>
        <v>1</v>
      </c>
      <c r="K163" s="75" t="n">
        <f aca="false">IFERROR(ROUND($J163*INDEX(TB!$Q:$Q,MATCH($E163,HTS!$E:$E,0)),0),"")</f>
        <v>-1200</v>
      </c>
      <c r="L163" s="118" t="str">
        <f aca="false">IF($D163="Male",100%,"")</f>
        <v/>
      </c>
      <c r="M163" s="75" t="str">
        <f aca="false">IFERROR(ROUND($L163*INDEX(VMMC!$AC:$AC,MATCH($E163,VMMC!$E:$E,0)),0),"")</f>
        <v/>
      </c>
      <c r="N163" s="118" t="n">
        <f aca="false">1</f>
        <v>1</v>
      </c>
      <c r="O163" s="75" t="str">
        <f aca="false">IFERROR(ROUND($N163*INDEX(HTS!$Q:$Q,MATCH($E163,HTS!$E:$E,0)),0),"")</f>
        <v/>
      </c>
      <c r="P163" s="118" t="n">
        <f aca="false">1</f>
        <v>1</v>
      </c>
      <c r="Q163" s="75" t="n">
        <f aca="false">IFERROR(ROUND($P163*INDEX(HTS!$S:$S,MATCH($E163,HTS!$E:$E,0)),0),"")</f>
        <v>1</v>
      </c>
      <c r="R163" s="118" t="n">
        <f aca="false">1</f>
        <v>1</v>
      </c>
      <c r="S163" s="75" t="n">
        <f aca="false">IFERROR(ROUND($R163*INDEX(HTS!$AM:$AM,MATCH($E163,HTS!$E:$E,0)),0),"")</f>
        <v>18</v>
      </c>
      <c r="T163" s="118" t="n">
        <f aca="false">1</f>
        <v>1</v>
      </c>
      <c r="U163" s="75" t="n">
        <f aca="false">IFERROR(ROUND($T163*INDEX(HTS!$AV:$AV,MATCH($E163,HTS!$E:$E,0)),0),"")</f>
        <v>66</v>
      </c>
      <c r="V163" s="118" t="n">
        <f aca="false">1</f>
        <v>1</v>
      </c>
      <c r="W163" s="75" t="n">
        <f aca="false">IFERROR(ROUND($V163*INDEX(HTS!$AY:$AY,MATCH($E163,HTS!$E:$E,0)),0),"")</f>
        <v>39</v>
      </c>
      <c r="X163" s="118" t="n">
        <f aca="false">1</f>
        <v>1</v>
      </c>
      <c r="Y163" s="75" t="n">
        <f aca="false">IFERROR(ROUND($X163*INDEX(HTS!$BB:$BB,MATCH($E163,HTS!$E:$E,0)),0),"")</f>
        <v>48</v>
      </c>
      <c r="Z163" s="118" t="n">
        <f aca="false">1</f>
        <v>1</v>
      </c>
      <c r="AA163" s="75" t="n">
        <f aca="false">IFERROR(ROUND($Z163*INDEX(HTS!$BE:$BE,MATCH($E163,HTS!$E:$E,0)),0),"")</f>
        <v>99</v>
      </c>
      <c r="AB163" s="118" t="n">
        <f aca="false">1</f>
        <v>1</v>
      </c>
      <c r="AC163" s="75" t="n">
        <f aca="false">IFERROR(ROUND($AB163*INDEX(HTS!$BH:$BH,MATCH($E163,HTS!$E:$E,0)),0),"")</f>
        <v>78</v>
      </c>
      <c r="AD163" s="118" t="n">
        <f aca="false">1</f>
        <v>1</v>
      </c>
      <c r="AE163" s="75" t="n">
        <f aca="false">IFERROR(ROUND($AD163*INDEX(HTS!$BK:$BK,MATCH($E163,HTS!$E:$E,0)),0),"")</f>
        <v>93</v>
      </c>
      <c r="AF163" s="73" t="n">
        <f aca="false">IF(SUM($O163,$Q163,$S163,$K163,$G163,$I163,$M163,$U163,$W163,$Y163,$AA163,$AC163,$AE163)=0,"",SUM($O163,$Q163,$S163,$K163,$G163,$I163,$M163,$U163,$W163,$Y163,$AA163,$AC163,$AE163))</f>
        <v>-14198</v>
      </c>
      <c r="AG163" s="73" t="n">
        <f aca="false">INDEX(HTS!$BN:$BN,MATCH($E163,HTS!$E:$E,0))</f>
        <v>-14198</v>
      </c>
      <c r="AH163" s="118" t="str">
        <f aca="false">IF(SUM($AG163)&lt;=0,"",$AF163/$AG163)</f>
        <v/>
      </c>
    </row>
    <row r="164" customFormat="false" ht="15" hidden="false" customHeight="false" outlineLevel="0" collapsed="false">
      <c r="A164" s="0" t="s">
        <v>150</v>
      </c>
      <c r="B164" s="0" t="s">
        <v>117</v>
      </c>
      <c r="C164" s="0" t="s">
        <v>69</v>
      </c>
      <c r="D164" s="0" t="s">
        <v>58</v>
      </c>
      <c r="E164" s="0" t="str">
        <f aca="false">B164&amp;"|"&amp;C164&amp;"|"&amp;D164</f>
        <v>Quthing [#SNU] [HuwCoDZG0FY]|25-29|Male</v>
      </c>
      <c r="F164" s="118" t="str">
        <f aca="false">IF($D164="Female",100%,"")</f>
        <v/>
      </c>
      <c r="G164" s="75" t="str">
        <f aca="false">IFERROR(ROUND($F164*INDEX(PMTCT!$AE:$AE,MATCH($E164,PMTCT!$E:$E,0)),0),"")</f>
        <v/>
      </c>
      <c r="H164" s="118" t="str">
        <f aca="false">IF($D164="Female",100%,"")</f>
        <v/>
      </c>
      <c r="I164" s="75" t="str">
        <f aca="false">IFERROR(ROUND($H164*INDEX(PMTCT!$AU:$AU,MATCH($E164,PMTCT!$E:$E,0)),0),"")</f>
        <v/>
      </c>
      <c r="J164" s="118" t="n">
        <f aca="false">1</f>
        <v>1</v>
      </c>
      <c r="K164" s="75" t="n">
        <f aca="false">IFERROR(ROUND($J164*INDEX(TB!$Q:$Q,MATCH($E164,HTS!$E:$E,0)),0),"")</f>
        <v>-0</v>
      </c>
      <c r="L164" s="118" t="n">
        <f aca="false">IF($D164="Male",100%,"")</f>
        <v>1</v>
      </c>
      <c r="M164" s="75" t="str">
        <f aca="false">IFERROR(ROUND($L164*INDEX(VMMC!$AC:$AC,MATCH($E164,VMMC!$E:$E,0)),0),"")</f>
        <v/>
      </c>
      <c r="N164" s="118" t="n">
        <f aca="false">1</f>
        <v>1</v>
      </c>
      <c r="O164" s="75" t="str">
        <f aca="false">IFERROR(ROUND($N164*INDEX(HTS!$Q:$Q,MATCH($E164,HTS!$E:$E,0)),0),"")</f>
        <v/>
      </c>
      <c r="P164" s="118" t="n">
        <f aca="false">1</f>
        <v>1</v>
      </c>
      <c r="Q164" s="75" t="n">
        <f aca="false">IFERROR(ROUND($P164*INDEX(HTS!$S:$S,MATCH($E164,HTS!$E:$E,0)),0),"")</f>
        <v>5</v>
      </c>
      <c r="R164" s="118" t="n">
        <f aca="false">1</f>
        <v>1</v>
      </c>
      <c r="S164" s="75" t="n">
        <f aca="false">IFERROR(ROUND($R164*INDEX(HTS!$AM:$AM,MATCH($E164,HTS!$E:$E,0)),0),"")</f>
        <v>480</v>
      </c>
      <c r="T164" s="118" t="n">
        <f aca="false">1</f>
        <v>1</v>
      </c>
      <c r="U164" s="75" t="n">
        <f aca="false">IFERROR(ROUND($T164*INDEX(HTS!$AV:$AV,MATCH($E164,HTS!$E:$E,0)),0),"")</f>
        <v>352</v>
      </c>
      <c r="V164" s="118" t="n">
        <f aca="false">1</f>
        <v>1</v>
      </c>
      <c r="W164" s="75" t="n">
        <f aca="false">IFERROR(ROUND($V164*INDEX(HTS!$AY:$AY,MATCH($E164,HTS!$E:$E,0)),0),"")</f>
        <v>128</v>
      </c>
      <c r="X164" s="118" t="n">
        <f aca="false">1</f>
        <v>1</v>
      </c>
      <c r="Y164" s="75" t="n">
        <f aca="false">IFERROR(ROUND($X164*INDEX(HTS!$BB:$BB,MATCH($E164,HTS!$E:$E,0)),0),"")</f>
        <v>720</v>
      </c>
      <c r="Z164" s="118" t="n">
        <f aca="false">1</f>
        <v>1</v>
      </c>
      <c r="AA164" s="75" t="n">
        <f aca="false">IFERROR(ROUND($Z164*INDEX(HTS!$BE:$BE,MATCH($E164,HTS!$E:$E,0)),0),"")</f>
        <v>368</v>
      </c>
      <c r="AB164" s="118" t="n">
        <f aca="false">1</f>
        <v>1</v>
      </c>
      <c r="AC164" s="75" t="n">
        <f aca="false">IFERROR(ROUND($AB164*INDEX(HTS!$BH:$BH,MATCH($E164,HTS!$E:$E,0)),0),"")</f>
        <v>608</v>
      </c>
      <c r="AD164" s="118" t="n">
        <f aca="false">1</f>
        <v>1</v>
      </c>
      <c r="AE164" s="75" t="n">
        <f aca="false">IFERROR(ROUND($AD164*INDEX(HTS!$BK:$BK,MATCH($E164,HTS!$E:$E,0)),0),"")</f>
        <v>512</v>
      </c>
      <c r="AF164" s="73" t="n">
        <f aca="false">IF(SUM($O164,$Q164,$S164,$K164,$G164,$I164,$M164,$U164,$W164,$Y164,$AA164,$AC164,$AE164)=0,"",SUM($O164,$Q164,$S164,$K164,$G164,$I164,$M164,$U164,$W164,$Y164,$AA164,$AC164,$AE164))</f>
        <v>3173</v>
      </c>
      <c r="AG164" s="73" t="n">
        <f aca="false">INDEX(HTS!$BN:$BN,MATCH($E164,HTS!$E:$E,0))</f>
        <v>3173</v>
      </c>
      <c r="AH164" s="118" t="n">
        <f aca="false">IF(SUM($AG164)&lt;=0,"",$AF164/$AG164)</f>
        <v>1</v>
      </c>
    </row>
    <row r="165" customFormat="false" ht="15" hidden="false" customHeight="false" outlineLevel="0" collapsed="false">
      <c r="A165" s="0" t="s">
        <v>150</v>
      </c>
      <c r="B165" s="0" t="s">
        <v>117</v>
      </c>
      <c r="C165" s="0" t="s">
        <v>72</v>
      </c>
      <c r="D165" s="0" t="s">
        <v>56</v>
      </c>
      <c r="E165" s="0" t="str">
        <f aca="false">B165&amp;"|"&amp;C165&amp;"|"&amp;D165</f>
        <v>Quthing [#SNU] [HuwCoDZG0FY]|30-34|Female</v>
      </c>
      <c r="F165" s="118" t="n">
        <f aca="false">IF($D165="Female",100%,"")</f>
        <v>1</v>
      </c>
      <c r="G165" s="75" t="n">
        <f aca="false">IFERROR(ROUND($F165*INDEX(PMTCT!$AE:$AE,MATCH($E165,PMTCT!$E:$E,0)),0),"")</f>
        <v>-37800</v>
      </c>
      <c r="H165" s="118" t="n">
        <f aca="false">IF($D165="Female",100%,"")</f>
        <v>1</v>
      </c>
      <c r="I165" s="75" t="str">
        <f aca="false">IFERROR(ROUND($H165*INDEX(PMTCT!$AU:$AU,MATCH($E165,PMTCT!$E:$E,0)),0),"")</f>
        <v/>
      </c>
      <c r="J165" s="118" t="n">
        <f aca="false">1</f>
        <v>1</v>
      </c>
      <c r="K165" s="75" t="n">
        <f aca="false">IFERROR(ROUND($J165*INDEX(TB!$Q:$Q,MATCH($E165,HTS!$E:$E,0)),0),"")</f>
        <v>-21344</v>
      </c>
      <c r="L165" s="118" t="str">
        <f aca="false">IF($D165="Male",100%,"")</f>
        <v/>
      </c>
      <c r="M165" s="75" t="str">
        <f aca="false">IFERROR(ROUND($L165*INDEX(VMMC!$AC:$AC,MATCH($E165,VMMC!$E:$E,0)),0),"")</f>
        <v/>
      </c>
      <c r="N165" s="118" t="n">
        <f aca="false">1</f>
        <v>1</v>
      </c>
      <c r="O165" s="75" t="str">
        <f aca="false">IFERROR(ROUND($N165*INDEX(HTS!$Q:$Q,MATCH($E165,HTS!$E:$E,0)),0),"")</f>
        <v/>
      </c>
      <c r="P165" s="118" t="n">
        <f aca="false">1</f>
        <v>1</v>
      </c>
      <c r="Q165" s="75" t="n">
        <f aca="false">IFERROR(ROUND($P165*INDEX(HTS!$S:$S,MATCH($E165,HTS!$E:$E,0)),0),"")</f>
        <v>2</v>
      </c>
      <c r="R165" s="118" t="n">
        <f aca="false">1</f>
        <v>1</v>
      </c>
      <c r="S165" s="75" t="n">
        <f aca="false">IFERROR(ROUND($R165*INDEX(HTS!$AM:$AM,MATCH($E165,HTS!$E:$E,0)),0),"")</f>
        <v>147</v>
      </c>
      <c r="T165" s="118" t="n">
        <f aca="false">1</f>
        <v>1</v>
      </c>
      <c r="U165" s="75" t="n">
        <f aca="false">IFERROR(ROUND($T165*INDEX(HTS!$AV:$AV,MATCH($E165,HTS!$E:$E,0)),0),"")</f>
        <v>203</v>
      </c>
      <c r="V165" s="118" t="n">
        <f aca="false">1</f>
        <v>1</v>
      </c>
      <c r="W165" s="75" t="n">
        <f aca="false">IFERROR(ROUND($V165*INDEX(HTS!$AY:$AY,MATCH($E165,HTS!$E:$E,0)),0),"")</f>
        <v>147</v>
      </c>
      <c r="X165" s="118" t="n">
        <f aca="false">1</f>
        <v>1</v>
      </c>
      <c r="Y165" s="75" t="n">
        <f aca="false">IFERROR(ROUND($X165*INDEX(HTS!$BB:$BB,MATCH($E165,HTS!$E:$E,0)),0),"")</f>
        <v>140</v>
      </c>
      <c r="Z165" s="118" t="n">
        <f aca="false">1</f>
        <v>1</v>
      </c>
      <c r="AA165" s="75" t="n">
        <f aca="false">IFERROR(ROUND($Z165*INDEX(HTS!$BE:$BE,MATCH($E165,HTS!$E:$E,0)),0),"")</f>
        <v>126</v>
      </c>
      <c r="AB165" s="118" t="n">
        <f aca="false">1</f>
        <v>1</v>
      </c>
      <c r="AC165" s="75" t="n">
        <f aca="false">IFERROR(ROUND($AB165*INDEX(HTS!$BH:$BH,MATCH($E165,HTS!$E:$E,0)),0),"")</f>
        <v>112</v>
      </c>
      <c r="AD165" s="118" t="n">
        <f aca="false">1</f>
        <v>1</v>
      </c>
      <c r="AE165" s="75" t="n">
        <f aca="false">IFERROR(ROUND($AD165*INDEX(HTS!$BK:$BK,MATCH($E165,HTS!$E:$E,0)),0),"")</f>
        <v>210</v>
      </c>
      <c r="AF165" s="73" t="n">
        <f aca="false">IF(SUM($O165,$Q165,$S165,$K165,$G165,$I165,$M165,$U165,$W165,$Y165,$AA165,$AC165,$AE165)=0,"",SUM($O165,$Q165,$S165,$K165,$G165,$I165,$M165,$U165,$W165,$Y165,$AA165,$AC165,$AE165))</f>
        <v>-58057</v>
      </c>
      <c r="AG165" s="73" t="n">
        <f aca="false">INDEX(HTS!$BN:$BN,MATCH($E165,HTS!$E:$E,0))</f>
        <v>-58057</v>
      </c>
      <c r="AH165" s="118" t="str">
        <f aca="false">IF(SUM($AG165)&lt;=0,"",$AF165/$AG165)</f>
        <v/>
      </c>
    </row>
    <row r="166" customFormat="false" ht="15" hidden="false" customHeight="false" outlineLevel="0" collapsed="false">
      <c r="A166" s="0" t="s">
        <v>150</v>
      </c>
      <c r="B166" s="0" t="s">
        <v>117</v>
      </c>
      <c r="C166" s="0" t="s">
        <v>72</v>
      </c>
      <c r="D166" s="0" t="s">
        <v>58</v>
      </c>
      <c r="E166" s="0" t="str">
        <f aca="false">B166&amp;"|"&amp;C166&amp;"|"&amp;D166</f>
        <v>Quthing [#SNU] [HuwCoDZG0FY]|30-34|Male</v>
      </c>
      <c r="F166" s="118" t="str">
        <f aca="false">IF($D166="Female",100%,"")</f>
        <v/>
      </c>
      <c r="G166" s="75" t="str">
        <f aca="false">IFERROR(ROUND($F166*INDEX(PMTCT!$AE:$AE,MATCH($E166,PMTCT!$E:$E,0)),0),"")</f>
        <v/>
      </c>
      <c r="H166" s="118" t="str">
        <f aca="false">IF($D166="Female",100%,"")</f>
        <v/>
      </c>
      <c r="I166" s="75" t="str">
        <f aca="false">IFERROR(ROUND($H166*INDEX(PMTCT!$AU:$AU,MATCH($E166,PMTCT!$E:$E,0)),0),"")</f>
        <v/>
      </c>
      <c r="J166" s="118" t="n">
        <f aca="false">1</f>
        <v>1</v>
      </c>
      <c r="K166" s="75" t="n">
        <f aca="false">IFERROR(ROUND($J166*INDEX(TB!$Q:$Q,MATCH($E166,HTS!$E:$E,0)),0),"")</f>
        <v>-0</v>
      </c>
      <c r="L166" s="118" t="n">
        <f aca="false">IF($D166="Male",100%,"")</f>
        <v>1</v>
      </c>
      <c r="M166" s="75" t="str">
        <f aca="false">IFERROR(ROUND($L166*INDEX(VMMC!$AC:$AC,MATCH($E166,VMMC!$E:$E,0)),0),"")</f>
        <v/>
      </c>
      <c r="N166" s="118" t="n">
        <f aca="false">1</f>
        <v>1</v>
      </c>
      <c r="O166" s="75" t="str">
        <f aca="false">IFERROR(ROUND($N166*INDEX(HTS!$Q:$Q,MATCH($E166,HTS!$E:$E,0)),0),"")</f>
        <v/>
      </c>
      <c r="P166" s="118" t="n">
        <f aca="false">1</f>
        <v>1</v>
      </c>
      <c r="Q166" s="75" t="n">
        <f aca="false">IFERROR(ROUND($P166*INDEX(HTS!$S:$S,MATCH($E166,HTS!$E:$E,0)),0),"")</f>
        <v>25</v>
      </c>
      <c r="R166" s="118" t="n">
        <f aca="false">1</f>
        <v>1</v>
      </c>
      <c r="S166" s="75" t="n">
        <f aca="false">IFERROR(ROUND($R166*INDEX(HTS!$AM:$AM,MATCH($E166,HTS!$E:$E,0)),0),"")</f>
        <v>1394</v>
      </c>
      <c r="T166" s="118" t="n">
        <f aca="false">1</f>
        <v>1</v>
      </c>
      <c r="U166" s="75" t="n">
        <f aca="false">IFERROR(ROUND($T166*INDEX(HTS!$AV:$AV,MATCH($E166,HTS!$E:$E,0)),0),"")</f>
        <v>410</v>
      </c>
      <c r="V166" s="118" t="n">
        <f aca="false">1</f>
        <v>1</v>
      </c>
      <c r="W166" s="75" t="n">
        <f aca="false">IFERROR(ROUND($V166*INDEX(HTS!$AY:$AY,MATCH($E166,HTS!$E:$E,0)),0),"")</f>
        <v>3362</v>
      </c>
      <c r="X166" s="118" t="n">
        <f aca="false">1</f>
        <v>1</v>
      </c>
      <c r="Y166" s="75" t="n">
        <f aca="false">IFERROR(ROUND($X166*INDEX(HTS!$BB:$BB,MATCH($E166,HTS!$E:$E,0)),0),"")</f>
        <v>3362</v>
      </c>
      <c r="Z166" s="118" t="n">
        <f aca="false">1</f>
        <v>1</v>
      </c>
      <c r="AA166" s="75" t="n">
        <f aca="false">IFERROR(ROUND($Z166*INDEX(HTS!$BE:$BE,MATCH($E166,HTS!$E:$E,0)),0),"")</f>
        <v>2214</v>
      </c>
      <c r="AB166" s="118" t="n">
        <f aca="false">1</f>
        <v>1</v>
      </c>
      <c r="AC166" s="75" t="n">
        <f aca="false">IFERROR(ROUND($AB166*INDEX(HTS!$BH:$BH,MATCH($E166,HTS!$E:$E,0)),0),"")</f>
        <v>328</v>
      </c>
      <c r="AD166" s="118" t="n">
        <f aca="false">1</f>
        <v>1</v>
      </c>
      <c r="AE166" s="75" t="n">
        <f aca="false">IFERROR(ROUND($AD166*INDEX(HTS!$BK:$BK,MATCH($E166,HTS!$E:$E,0)),0),"")</f>
        <v>3526</v>
      </c>
      <c r="AF166" s="73" t="n">
        <f aca="false">IF(SUM($O166,$Q166,$S166,$K166,$G166,$I166,$M166,$U166,$W166,$Y166,$AA166,$AC166,$AE166)=0,"",SUM($O166,$Q166,$S166,$K166,$G166,$I166,$M166,$U166,$W166,$Y166,$AA166,$AC166,$AE166))</f>
        <v>14621</v>
      </c>
      <c r="AG166" s="73" t="n">
        <f aca="false">INDEX(HTS!$BN:$BN,MATCH($E166,HTS!$E:$E,0))</f>
        <v>14621</v>
      </c>
      <c r="AH166" s="118" t="n">
        <f aca="false">IF(SUM($AG166)&lt;=0,"",$AF166/$AG166)</f>
        <v>1</v>
      </c>
    </row>
    <row r="167" customFormat="false" ht="15" hidden="false" customHeight="false" outlineLevel="0" collapsed="false">
      <c r="A167" s="0" t="s">
        <v>150</v>
      </c>
      <c r="B167" s="0" t="s">
        <v>117</v>
      </c>
      <c r="C167" s="0" t="s">
        <v>75</v>
      </c>
      <c r="D167" s="0" t="s">
        <v>56</v>
      </c>
      <c r="E167" s="0" t="str">
        <f aca="false">B167&amp;"|"&amp;C167&amp;"|"&amp;D167</f>
        <v>Quthing [#SNU] [HuwCoDZG0FY]|35-39|Female</v>
      </c>
      <c r="F167" s="118" t="n">
        <f aca="false">IF($D167="Female",100%,"")</f>
        <v>1</v>
      </c>
      <c r="G167" s="75" t="n">
        <f aca="false">IFERROR(ROUND($F167*INDEX(PMTCT!$AE:$AE,MATCH($E167,PMTCT!$E:$E,0)),0),"")</f>
        <v>-13608</v>
      </c>
      <c r="H167" s="118" t="n">
        <f aca="false">IF($D167="Female",100%,"")</f>
        <v>1</v>
      </c>
      <c r="I167" s="75" t="str">
        <f aca="false">IFERROR(ROUND($H167*INDEX(PMTCT!$AU:$AU,MATCH($E167,PMTCT!$E:$E,0)),0),"")</f>
        <v/>
      </c>
      <c r="J167" s="118" t="n">
        <f aca="false">1</f>
        <v>1</v>
      </c>
      <c r="K167" s="75" t="n">
        <f aca="false">IFERROR(ROUND($J167*INDEX(TB!$Q:$Q,MATCH($E167,HTS!$E:$E,0)),0),"")</f>
        <v>-372</v>
      </c>
      <c r="L167" s="118" t="str">
        <f aca="false">IF($D167="Male",100%,"")</f>
        <v/>
      </c>
      <c r="M167" s="75" t="str">
        <f aca="false">IFERROR(ROUND($L167*INDEX(VMMC!$AC:$AC,MATCH($E167,VMMC!$E:$E,0)),0),"")</f>
        <v/>
      </c>
      <c r="N167" s="118" t="n">
        <f aca="false">1</f>
        <v>1</v>
      </c>
      <c r="O167" s="75" t="str">
        <f aca="false">IFERROR(ROUND($N167*INDEX(HTS!$Q:$Q,MATCH($E167,HTS!$E:$E,0)),0),"")</f>
        <v/>
      </c>
      <c r="P167" s="118" t="n">
        <f aca="false">1</f>
        <v>1</v>
      </c>
      <c r="Q167" s="75" t="n">
        <f aca="false">IFERROR(ROUND($P167*INDEX(HTS!$S:$S,MATCH($E167,HTS!$E:$E,0)),0),"")</f>
        <v>6</v>
      </c>
      <c r="R167" s="118" t="n">
        <f aca="false">1</f>
        <v>1</v>
      </c>
      <c r="S167" s="75" t="n">
        <f aca="false">IFERROR(ROUND($R167*INDEX(HTS!$AM:$AM,MATCH($E167,HTS!$E:$E,0)),0),"")</f>
        <v>567</v>
      </c>
      <c r="T167" s="118" t="n">
        <f aca="false">1</f>
        <v>1</v>
      </c>
      <c r="U167" s="75" t="n">
        <f aca="false">IFERROR(ROUND($T167*INDEX(HTS!$AV:$AV,MATCH($E167,HTS!$E:$E,0)),0),"")</f>
        <v>189</v>
      </c>
      <c r="V167" s="118" t="n">
        <f aca="false">1</f>
        <v>1</v>
      </c>
      <c r="W167" s="75" t="n">
        <f aca="false">IFERROR(ROUND($V167*INDEX(HTS!$AY:$AY,MATCH($E167,HTS!$E:$E,0)),0),"")</f>
        <v>1029</v>
      </c>
      <c r="X167" s="118" t="n">
        <f aca="false">1</f>
        <v>1</v>
      </c>
      <c r="Y167" s="75" t="n">
        <f aca="false">IFERROR(ROUND($X167*INDEX(HTS!$BB:$BB,MATCH($E167,HTS!$E:$E,0)),0),"")</f>
        <v>1029</v>
      </c>
      <c r="Z167" s="118" t="n">
        <f aca="false">1</f>
        <v>1</v>
      </c>
      <c r="AA167" s="75" t="n">
        <f aca="false">IFERROR(ROUND($Z167*INDEX(HTS!$BE:$BE,MATCH($E167,HTS!$E:$E,0)),0),"")</f>
        <v>693</v>
      </c>
      <c r="AB167" s="118" t="n">
        <f aca="false">1</f>
        <v>1</v>
      </c>
      <c r="AC167" s="75" t="n">
        <f aca="false">IFERROR(ROUND($AB167*INDEX(HTS!$BH:$BH,MATCH($E167,HTS!$E:$E,0)),0),"")</f>
        <v>273</v>
      </c>
      <c r="AD167" s="118" t="n">
        <f aca="false">1</f>
        <v>1</v>
      </c>
      <c r="AE167" s="75" t="n">
        <f aca="false">IFERROR(ROUND($AD167*INDEX(HTS!$BK:$BK,MATCH($E167,HTS!$E:$E,0)),0),"")</f>
        <v>924</v>
      </c>
      <c r="AF167" s="73" t="n">
        <f aca="false">IF(SUM($O167,$Q167,$S167,$K167,$G167,$I167,$M167,$U167,$W167,$Y167,$AA167,$AC167,$AE167)=0,"",SUM($O167,$Q167,$S167,$K167,$G167,$I167,$M167,$U167,$W167,$Y167,$AA167,$AC167,$AE167))</f>
        <v>-9270</v>
      </c>
      <c r="AG167" s="73" t="n">
        <f aca="false">INDEX(HTS!$BN:$BN,MATCH($E167,HTS!$E:$E,0))</f>
        <v>-9270</v>
      </c>
      <c r="AH167" s="118" t="str">
        <f aca="false">IF(SUM($AG167)&lt;=0,"",$AF167/$AG167)</f>
        <v/>
      </c>
    </row>
    <row r="168" customFormat="false" ht="15" hidden="false" customHeight="false" outlineLevel="0" collapsed="false">
      <c r="A168" s="0" t="s">
        <v>150</v>
      </c>
      <c r="B168" s="0" t="s">
        <v>117</v>
      </c>
      <c r="C168" s="0" t="s">
        <v>75</v>
      </c>
      <c r="D168" s="0" t="s">
        <v>58</v>
      </c>
      <c r="E168" s="0" t="str">
        <f aca="false">B168&amp;"|"&amp;C168&amp;"|"&amp;D168</f>
        <v>Quthing [#SNU] [HuwCoDZG0FY]|35-39|Male</v>
      </c>
      <c r="F168" s="118" t="str">
        <f aca="false">IF($D168="Female",100%,"")</f>
        <v/>
      </c>
      <c r="G168" s="75" t="str">
        <f aca="false">IFERROR(ROUND($F168*INDEX(PMTCT!$AE:$AE,MATCH($E168,PMTCT!$E:$E,0)),0),"")</f>
        <v/>
      </c>
      <c r="H168" s="118" t="str">
        <f aca="false">IF($D168="Female",100%,"")</f>
        <v/>
      </c>
      <c r="I168" s="75" t="str">
        <f aca="false">IFERROR(ROUND($H168*INDEX(PMTCT!$AU:$AU,MATCH($E168,PMTCT!$E:$E,0)),0),"")</f>
        <v/>
      </c>
      <c r="J168" s="118" t="n">
        <f aca="false">1</f>
        <v>1</v>
      </c>
      <c r="K168" s="75" t="n">
        <f aca="false">IFERROR(ROUND($J168*INDEX(TB!$Q:$Q,MATCH($E168,HTS!$E:$E,0)),0),"")</f>
        <v>-2210</v>
      </c>
      <c r="L168" s="118" t="n">
        <f aca="false">IF($D168="Male",100%,"")</f>
        <v>1</v>
      </c>
      <c r="M168" s="75" t="str">
        <f aca="false">IFERROR(ROUND($L168*INDEX(VMMC!$AC:$AC,MATCH($E168,VMMC!$E:$E,0)),0),"")</f>
        <v/>
      </c>
      <c r="N168" s="118" t="n">
        <f aca="false">1</f>
        <v>1</v>
      </c>
      <c r="O168" s="75" t="str">
        <f aca="false">IFERROR(ROUND($N168*INDEX(HTS!$Q:$Q,MATCH($E168,HTS!$E:$E,0)),0),"")</f>
        <v/>
      </c>
      <c r="P168" s="118" t="n">
        <f aca="false">1</f>
        <v>1</v>
      </c>
      <c r="Q168" s="75" t="n">
        <f aca="false">IFERROR(ROUND($P168*INDEX(HTS!$S:$S,MATCH($E168,HTS!$E:$E,0)),0),"")</f>
        <v>17</v>
      </c>
      <c r="R168" s="118" t="n">
        <f aca="false">1</f>
        <v>1</v>
      </c>
      <c r="S168" s="75" t="n">
        <f aca="false">IFERROR(ROUND($R168*INDEX(HTS!$AM:$AM,MATCH($E168,HTS!$E:$E,0)),0),"")</f>
        <v>1540</v>
      </c>
      <c r="T168" s="118" t="n">
        <f aca="false">1</f>
        <v>1</v>
      </c>
      <c r="U168" s="75" t="n">
        <f aca="false">IFERROR(ROUND($T168*INDEX(HTS!$AV:$AV,MATCH($E168,HTS!$E:$E,0)),0),"")</f>
        <v>55</v>
      </c>
      <c r="V168" s="118" t="n">
        <f aca="false">1</f>
        <v>1</v>
      </c>
      <c r="W168" s="75" t="n">
        <f aca="false">IFERROR(ROUND($V168*INDEX(HTS!$AY:$AY,MATCH($E168,HTS!$E:$E,0)),0),"")</f>
        <v>2475</v>
      </c>
      <c r="X168" s="118" t="n">
        <f aca="false">1</f>
        <v>1</v>
      </c>
      <c r="Y168" s="75" t="n">
        <f aca="false">IFERROR(ROUND($X168*INDEX(HTS!$BB:$BB,MATCH($E168,HTS!$E:$E,0)),0),"")</f>
        <v>2365</v>
      </c>
      <c r="Z168" s="118" t="n">
        <f aca="false">1</f>
        <v>1</v>
      </c>
      <c r="AA168" s="75" t="n">
        <f aca="false">IFERROR(ROUND($Z168*INDEX(HTS!$BE:$BE,MATCH($E168,HTS!$E:$E,0)),0),"")</f>
        <v>1210</v>
      </c>
      <c r="AB168" s="118" t="n">
        <f aca="false">1</f>
        <v>1</v>
      </c>
      <c r="AC168" s="75" t="n">
        <f aca="false">IFERROR(ROUND($AB168*INDEX(HTS!$BH:$BH,MATCH($E168,HTS!$E:$E,0)),0),"")</f>
        <v>2365</v>
      </c>
      <c r="AD168" s="118" t="n">
        <f aca="false">1</f>
        <v>1</v>
      </c>
      <c r="AE168" s="75" t="n">
        <f aca="false">IFERROR(ROUND($AD168*INDEX(HTS!$BK:$BK,MATCH($E168,HTS!$E:$E,0)),0),"")</f>
        <v>2530</v>
      </c>
      <c r="AF168" s="73" t="n">
        <f aca="false">IF(SUM($O168,$Q168,$S168,$K168,$G168,$I168,$M168,$U168,$W168,$Y168,$AA168,$AC168,$AE168)=0,"",SUM($O168,$Q168,$S168,$K168,$G168,$I168,$M168,$U168,$W168,$Y168,$AA168,$AC168,$AE168))</f>
        <v>10347</v>
      </c>
      <c r="AG168" s="73" t="n">
        <f aca="false">INDEX(HTS!$BN:$BN,MATCH($E168,HTS!$E:$E,0))</f>
        <v>10347</v>
      </c>
      <c r="AH168" s="118" t="n">
        <f aca="false">IF(SUM($AG168)&lt;=0,"",$AF168/$AG168)</f>
        <v>1</v>
      </c>
    </row>
    <row r="169" customFormat="false" ht="15" hidden="false" customHeight="false" outlineLevel="0" collapsed="false">
      <c r="A169" s="0" t="s">
        <v>150</v>
      </c>
      <c r="B169" s="0" t="s">
        <v>117</v>
      </c>
      <c r="C169" s="0" t="s">
        <v>77</v>
      </c>
      <c r="D169" s="0" t="s">
        <v>56</v>
      </c>
      <c r="E169" s="0" t="str">
        <f aca="false">B169&amp;"|"&amp;C169&amp;"|"&amp;D169</f>
        <v>Quthing [#SNU] [HuwCoDZG0FY]|40-44|Female</v>
      </c>
      <c r="F169" s="118" t="n">
        <f aca="false">IF($D169="Female",100%,"")</f>
        <v>1</v>
      </c>
      <c r="G169" s="75" t="n">
        <f aca="false">IFERROR(ROUND($F169*INDEX(PMTCT!$AE:$AE,MATCH($E169,PMTCT!$E:$E,0)),0),"")</f>
        <v>-14742</v>
      </c>
      <c r="H169" s="118" t="n">
        <f aca="false">IF($D169="Female",100%,"")</f>
        <v>1</v>
      </c>
      <c r="I169" s="75" t="str">
        <f aca="false">IFERROR(ROUND($H169*INDEX(PMTCT!$AU:$AU,MATCH($E169,PMTCT!$E:$E,0)),0),"")</f>
        <v/>
      </c>
      <c r="J169" s="118" t="n">
        <f aca="false">1</f>
        <v>1</v>
      </c>
      <c r="K169" s="75" t="n">
        <f aca="false">IFERROR(ROUND($J169*INDEX(TB!$Q:$Q,MATCH($E169,HTS!$E:$E,0)),0),"")</f>
        <v>-11466</v>
      </c>
      <c r="L169" s="118" t="str">
        <f aca="false">IF($D169="Male",100%,"")</f>
        <v/>
      </c>
      <c r="M169" s="75" t="str">
        <f aca="false">IFERROR(ROUND($L169*INDEX(VMMC!$AC:$AC,MATCH($E169,VMMC!$E:$E,0)),0),"")</f>
        <v/>
      </c>
      <c r="N169" s="118" t="n">
        <f aca="false">1</f>
        <v>1</v>
      </c>
      <c r="O169" s="75" t="str">
        <f aca="false">IFERROR(ROUND($N169*INDEX(HTS!$Q:$Q,MATCH($E169,HTS!$E:$E,0)),0),"")</f>
        <v/>
      </c>
      <c r="P169" s="118" t="n">
        <f aca="false">1</f>
        <v>1</v>
      </c>
      <c r="Q169" s="75" t="n">
        <f aca="false">IFERROR(ROUND($P169*INDEX(HTS!$S:$S,MATCH($E169,HTS!$E:$E,0)),0),"")</f>
        <v>2</v>
      </c>
      <c r="R169" s="118" t="n">
        <f aca="false">1</f>
        <v>1</v>
      </c>
      <c r="S169" s="75" t="n">
        <f aca="false">IFERROR(ROUND($R169*INDEX(HTS!$AM:$AM,MATCH($E169,HTS!$E:$E,0)),0),"")</f>
        <v>152</v>
      </c>
      <c r="T169" s="118" t="n">
        <f aca="false">1</f>
        <v>1</v>
      </c>
      <c r="U169" s="75" t="n">
        <f aca="false">IFERROR(ROUND($T169*INDEX(HTS!$AV:$AV,MATCH($E169,HTS!$E:$E,0)),0),"")</f>
        <v>100</v>
      </c>
      <c r="V169" s="118" t="n">
        <f aca="false">1</f>
        <v>1</v>
      </c>
      <c r="W169" s="75" t="n">
        <f aca="false">IFERROR(ROUND($V169*INDEX(HTS!$AY:$AY,MATCH($E169,HTS!$E:$E,0)),0),"")</f>
        <v>180</v>
      </c>
      <c r="X169" s="118" t="n">
        <f aca="false">1</f>
        <v>1</v>
      </c>
      <c r="Y169" s="75" t="n">
        <f aca="false">IFERROR(ROUND($X169*INDEX(HTS!$BB:$BB,MATCH($E169,HTS!$E:$E,0)),0),"")</f>
        <v>108</v>
      </c>
      <c r="Z169" s="118" t="n">
        <f aca="false">1</f>
        <v>1</v>
      </c>
      <c r="AA169" s="75" t="n">
        <f aca="false">IFERROR(ROUND($Z169*INDEX(HTS!$BE:$BE,MATCH($E169,HTS!$E:$E,0)),0),"")</f>
        <v>32</v>
      </c>
      <c r="AB169" s="118" t="n">
        <f aca="false">1</f>
        <v>1</v>
      </c>
      <c r="AC169" s="75" t="n">
        <f aca="false">IFERROR(ROUND($AB169*INDEX(HTS!$BH:$BH,MATCH($E169,HTS!$E:$E,0)),0),"")</f>
        <v>80</v>
      </c>
      <c r="AD169" s="118" t="n">
        <f aca="false">1</f>
        <v>1</v>
      </c>
      <c r="AE169" s="75" t="n">
        <f aca="false">IFERROR(ROUND($AD169*INDEX(HTS!$BK:$BK,MATCH($E169,HTS!$E:$E,0)),0),"")</f>
        <v>60</v>
      </c>
      <c r="AF169" s="73" t="n">
        <f aca="false">IF(SUM($O169,$Q169,$S169,$K169,$G169,$I169,$M169,$U169,$W169,$Y169,$AA169,$AC169,$AE169)=0,"",SUM($O169,$Q169,$S169,$K169,$G169,$I169,$M169,$U169,$W169,$Y169,$AA169,$AC169,$AE169))</f>
        <v>-25494</v>
      </c>
      <c r="AG169" s="73" t="n">
        <f aca="false">INDEX(HTS!$BN:$BN,MATCH($E169,HTS!$E:$E,0))</f>
        <v>-25494</v>
      </c>
      <c r="AH169" s="118" t="str">
        <f aca="false">IF(SUM($AG169)&lt;=0,"",$AF169/$AG169)</f>
        <v/>
      </c>
    </row>
    <row r="170" customFormat="false" ht="15" hidden="false" customHeight="false" outlineLevel="0" collapsed="false">
      <c r="A170" s="0" t="s">
        <v>150</v>
      </c>
      <c r="B170" s="0" t="s">
        <v>117</v>
      </c>
      <c r="C170" s="0" t="s">
        <v>77</v>
      </c>
      <c r="D170" s="0" t="s">
        <v>58</v>
      </c>
      <c r="E170" s="0" t="str">
        <f aca="false">B170&amp;"|"&amp;C170&amp;"|"&amp;D170</f>
        <v>Quthing [#SNU] [HuwCoDZG0FY]|40-44|Male</v>
      </c>
      <c r="F170" s="118" t="str">
        <f aca="false">IF($D170="Female",100%,"")</f>
        <v/>
      </c>
      <c r="G170" s="75" t="str">
        <f aca="false">IFERROR(ROUND($F170*INDEX(PMTCT!$AE:$AE,MATCH($E170,PMTCT!$E:$E,0)),0),"")</f>
        <v/>
      </c>
      <c r="H170" s="118" t="str">
        <f aca="false">IF($D170="Female",100%,"")</f>
        <v/>
      </c>
      <c r="I170" s="75" t="str">
        <f aca="false">IFERROR(ROUND($H170*INDEX(PMTCT!$AU:$AU,MATCH($E170,PMTCT!$E:$E,0)),0),"")</f>
        <v/>
      </c>
      <c r="J170" s="118" t="n">
        <f aca="false">1</f>
        <v>1</v>
      </c>
      <c r="K170" s="75" t="n">
        <f aca="false">IFERROR(ROUND($J170*INDEX(TB!$Q:$Q,MATCH($E170,HTS!$E:$E,0)),0),"")</f>
        <v>-3388</v>
      </c>
      <c r="L170" s="118" t="n">
        <f aca="false">IF($D170="Male",100%,"")</f>
        <v>1</v>
      </c>
      <c r="M170" s="75" t="str">
        <f aca="false">IFERROR(ROUND($L170*INDEX(VMMC!$AC:$AC,MATCH($E170,VMMC!$E:$E,0)),0),"")</f>
        <v/>
      </c>
      <c r="N170" s="118" t="n">
        <f aca="false">1</f>
        <v>1</v>
      </c>
      <c r="O170" s="75" t="str">
        <f aca="false">IFERROR(ROUND($N170*INDEX(HTS!$Q:$Q,MATCH($E170,HTS!$E:$E,0)),0),"")</f>
        <v/>
      </c>
      <c r="P170" s="118" t="n">
        <f aca="false">1</f>
        <v>1</v>
      </c>
      <c r="Q170" s="75" t="str">
        <f aca="false">IFERROR(ROUND($P170*INDEX(HTS!$S:$S,MATCH($E170,HTS!$E:$E,0)),0),"")</f>
        <v/>
      </c>
      <c r="R170" s="118" t="n">
        <f aca="false">1</f>
        <v>1</v>
      </c>
      <c r="S170" s="75" t="str">
        <f aca="false">IFERROR(ROUND($R170*INDEX(HTS!$AM:$AM,MATCH($E170,HTS!$E:$E,0)),0),"")</f>
        <v/>
      </c>
      <c r="T170" s="118" t="n">
        <f aca="false">1</f>
        <v>1</v>
      </c>
      <c r="U170" s="75" t="str">
        <f aca="false">IFERROR(ROUND($T170*INDEX(HTS!$AV:$AV,MATCH($E170,HTS!$E:$E,0)),0),"")</f>
        <v/>
      </c>
      <c r="V170" s="118" t="n">
        <f aca="false">1</f>
        <v>1</v>
      </c>
      <c r="W170" s="75" t="str">
        <f aca="false">IFERROR(ROUND($V170*INDEX(HTS!$AY:$AY,MATCH($E170,HTS!$E:$E,0)),0),"")</f>
        <v/>
      </c>
      <c r="X170" s="118" t="n">
        <f aca="false">1</f>
        <v>1</v>
      </c>
      <c r="Y170" s="75" t="str">
        <f aca="false">IFERROR(ROUND($X170*INDEX(HTS!$BB:$BB,MATCH($E170,HTS!$E:$E,0)),0),"")</f>
        <v/>
      </c>
      <c r="Z170" s="118" t="n">
        <f aca="false">1</f>
        <v>1</v>
      </c>
      <c r="AA170" s="75" t="str">
        <f aca="false">IFERROR(ROUND($Z170*INDEX(HTS!$BE:$BE,MATCH($E170,HTS!$E:$E,0)),0),"")</f>
        <v/>
      </c>
      <c r="AB170" s="118" t="n">
        <f aca="false">1</f>
        <v>1</v>
      </c>
      <c r="AC170" s="75" t="str">
        <f aca="false">IFERROR(ROUND($AB170*INDEX(HTS!$BH:$BH,MATCH($E170,HTS!$E:$E,0)),0),"")</f>
        <v/>
      </c>
      <c r="AD170" s="118" t="n">
        <f aca="false">1</f>
        <v>1</v>
      </c>
      <c r="AE170" s="75" t="str">
        <f aca="false">IFERROR(ROUND($AD170*INDEX(HTS!$BK:$BK,MATCH($E170,HTS!$E:$E,0)),0),"")</f>
        <v/>
      </c>
      <c r="AF170" s="73" t="n">
        <f aca="false">IF(SUM($O170,$Q170,$S170,$K170,$G170,$I170,$M170,$U170,$W170,$Y170,$AA170,$AC170,$AE170)=0,"",SUM($O170,$Q170,$S170,$K170,$G170,$I170,$M170,$U170,$W170,$Y170,$AA170,$AC170,$AE170))</f>
        <v>-3388</v>
      </c>
      <c r="AG170" s="73" t="str">
        <f aca="false">INDEX(HTS!$BN:$BN,MATCH($E170,HTS!$E:$E,0))</f>
        <v/>
      </c>
      <c r="AH170" s="118" t="str">
        <f aca="false">IF(SUM($AG170)&lt;=0,"",$AF170/$AG170)</f>
        <v/>
      </c>
    </row>
    <row r="171" customFormat="false" ht="15" hidden="false" customHeight="false" outlineLevel="0" collapsed="false">
      <c r="A171" s="0" t="s">
        <v>150</v>
      </c>
      <c r="B171" s="0" t="s">
        <v>117</v>
      </c>
      <c r="C171" s="0" t="s">
        <v>80</v>
      </c>
      <c r="D171" s="0" t="s">
        <v>56</v>
      </c>
      <c r="E171" s="0" t="str">
        <f aca="false">B171&amp;"|"&amp;C171&amp;"|"&amp;D171</f>
        <v>Quthing [#SNU] [HuwCoDZG0FY]|45-49|Female</v>
      </c>
      <c r="F171" s="118" t="n">
        <f aca="false">IF($D171="Female",100%,"")</f>
        <v>1</v>
      </c>
      <c r="G171" s="75" t="n">
        <f aca="false">IFERROR(ROUND($F171*INDEX(PMTCT!$AE:$AE,MATCH($E171,PMTCT!$E:$E,0)),0),"")</f>
        <v>-0</v>
      </c>
      <c r="H171" s="118" t="n">
        <f aca="false">IF($D171="Female",100%,"")</f>
        <v>1</v>
      </c>
      <c r="I171" s="75" t="str">
        <f aca="false">IFERROR(ROUND($H171*INDEX(PMTCT!$AU:$AU,MATCH($E171,PMTCT!$E:$E,0)),0),"")</f>
        <v/>
      </c>
      <c r="J171" s="118" t="n">
        <f aca="false">1</f>
        <v>1</v>
      </c>
      <c r="K171" s="75" t="n">
        <f aca="false">IFERROR(ROUND($J171*INDEX(TB!$Q:$Q,MATCH($E171,HTS!$E:$E,0)),0),"")</f>
        <v>-550</v>
      </c>
      <c r="L171" s="118" t="str">
        <f aca="false">IF($D171="Male",100%,"")</f>
        <v/>
      </c>
      <c r="M171" s="75" t="str">
        <f aca="false">IFERROR(ROUND($L171*INDEX(VMMC!$AC:$AC,MATCH($E171,VMMC!$E:$E,0)),0),"")</f>
        <v/>
      </c>
      <c r="N171" s="118" t="n">
        <f aca="false">1</f>
        <v>1</v>
      </c>
      <c r="O171" s="75" t="str">
        <f aca="false">IFERROR(ROUND($N171*INDEX(HTS!$Q:$Q,MATCH($E171,HTS!$E:$E,0)),0),"")</f>
        <v/>
      </c>
      <c r="P171" s="118" t="n">
        <f aca="false">1</f>
        <v>1</v>
      </c>
      <c r="Q171" s="75" t="n">
        <f aca="false">IFERROR(ROUND($P171*INDEX(HTS!$S:$S,MATCH($E171,HTS!$E:$E,0)),0),"")</f>
        <v>2</v>
      </c>
      <c r="R171" s="118" t="n">
        <f aca="false">1</f>
        <v>1</v>
      </c>
      <c r="S171" s="75" t="n">
        <f aca="false">IFERROR(ROUND($R171*INDEX(HTS!$AM:$AM,MATCH($E171,HTS!$E:$E,0)),0),"")</f>
        <v>54</v>
      </c>
      <c r="T171" s="118" t="n">
        <f aca="false">1</f>
        <v>1</v>
      </c>
      <c r="U171" s="75" t="n">
        <f aca="false">IFERROR(ROUND($T171*INDEX(HTS!$AV:$AV,MATCH($E171,HTS!$E:$E,0)),0),"")</f>
        <v>102</v>
      </c>
      <c r="V171" s="118" t="n">
        <f aca="false">1</f>
        <v>1</v>
      </c>
      <c r="W171" s="75" t="n">
        <f aca="false">IFERROR(ROUND($V171*INDEX(HTS!$AY:$AY,MATCH($E171,HTS!$E:$E,0)),0),"")</f>
        <v>126</v>
      </c>
      <c r="X171" s="118" t="n">
        <f aca="false">1</f>
        <v>1</v>
      </c>
      <c r="Y171" s="75" t="n">
        <f aca="false">IFERROR(ROUND($X171*INDEX(HTS!$BB:$BB,MATCH($E171,HTS!$E:$E,0)),0),"")</f>
        <v>3</v>
      </c>
      <c r="Z171" s="118" t="n">
        <f aca="false">1</f>
        <v>1</v>
      </c>
      <c r="AA171" s="75" t="str">
        <f aca="false">IFERROR(ROUND($Z171*INDEX(HTS!$BE:$BE,MATCH($E171,HTS!$E:$E,0)),0),"")</f>
        <v/>
      </c>
      <c r="AB171" s="118" t="n">
        <f aca="false">1</f>
        <v>1</v>
      </c>
      <c r="AC171" s="75" t="n">
        <f aca="false">IFERROR(ROUND($AB171*INDEX(HTS!$BH:$BH,MATCH($E171,HTS!$E:$E,0)),0),"")</f>
        <v>36</v>
      </c>
      <c r="AD171" s="118" t="n">
        <f aca="false">1</f>
        <v>1</v>
      </c>
      <c r="AE171" s="75" t="n">
        <f aca="false">IFERROR(ROUND($AD171*INDEX(HTS!$BK:$BK,MATCH($E171,HTS!$E:$E,0)),0),"")</f>
        <v>45</v>
      </c>
      <c r="AF171" s="73" t="n">
        <f aca="false">IF(SUM($O171,$Q171,$S171,$K171,$G171,$I171,$M171,$U171,$W171,$Y171,$AA171,$AC171,$AE171)=0,"",SUM($O171,$Q171,$S171,$K171,$G171,$I171,$M171,$U171,$W171,$Y171,$AA171,$AC171,$AE171))</f>
        <v>-182</v>
      </c>
      <c r="AG171" s="73" t="n">
        <f aca="false">INDEX(HTS!$BN:$BN,MATCH($E171,HTS!$E:$E,0))</f>
        <v>-182</v>
      </c>
      <c r="AH171" s="118" t="str">
        <f aca="false">IF(SUM($AG171)&lt;=0,"",$AF171/$AG171)</f>
        <v/>
      </c>
    </row>
    <row r="172" customFormat="false" ht="15" hidden="false" customHeight="false" outlineLevel="0" collapsed="false">
      <c r="A172" s="0" t="s">
        <v>150</v>
      </c>
      <c r="B172" s="0" t="s">
        <v>117</v>
      </c>
      <c r="C172" s="0" t="s">
        <v>80</v>
      </c>
      <c r="D172" s="0" t="s">
        <v>58</v>
      </c>
      <c r="E172" s="0" t="str">
        <f aca="false">B172&amp;"|"&amp;C172&amp;"|"&amp;D172</f>
        <v>Quthing [#SNU] [HuwCoDZG0FY]|45-49|Male</v>
      </c>
      <c r="F172" s="118" t="str">
        <f aca="false">IF($D172="Female",100%,"")</f>
        <v/>
      </c>
      <c r="G172" s="75" t="str">
        <f aca="false">IFERROR(ROUND($F172*INDEX(PMTCT!$AE:$AE,MATCH($E172,PMTCT!$E:$E,0)),0),"")</f>
        <v/>
      </c>
      <c r="H172" s="118" t="str">
        <f aca="false">IF($D172="Female",100%,"")</f>
        <v/>
      </c>
      <c r="I172" s="75" t="str">
        <f aca="false">IFERROR(ROUND($H172*INDEX(PMTCT!$AU:$AU,MATCH($E172,PMTCT!$E:$E,0)),0),"")</f>
        <v/>
      </c>
      <c r="J172" s="118" t="n">
        <f aca="false">1</f>
        <v>1</v>
      </c>
      <c r="K172" s="75" t="n">
        <f aca="false">IFERROR(ROUND($J172*INDEX(TB!$Q:$Q,MATCH($E172,HTS!$E:$E,0)),0),"")</f>
        <v>-0</v>
      </c>
      <c r="L172" s="118" t="n">
        <f aca="false">IF($D172="Male",100%,"")</f>
        <v>1</v>
      </c>
      <c r="M172" s="75" t="str">
        <f aca="false">IFERROR(ROUND($L172*INDEX(VMMC!$AC:$AC,MATCH($E172,VMMC!$E:$E,0)),0),"")</f>
        <v/>
      </c>
      <c r="N172" s="118" t="n">
        <f aca="false">1</f>
        <v>1</v>
      </c>
      <c r="O172" s="75" t="str">
        <f aca="false">IFERROR(ROUND($N172*INDEX(HTS!$Q:$Q,MATCH($E172,HTS!$E:$E,0)),0),"")</f>
        <v/>
      </c>
      <c r="P172" s="118" t="n">
        <f aca="false">1</f>
        <v>1</v>
      </c>
      <c r="Q172" s="75" t="n">
        <f aca="false">IFERROR(ROUND($P172*INDEX(HTS!$S:$S,MATCH($E172,HTS!$E:$E,0)),0),"")</f>
        <v>7</v>
      </c>
      <c r="R172" s="118" t="n">
        <f aca="false">1</f>
        <v>1</v>
      </c>
      <c r="S172" s="75" t="n">
        <f aca="false">IFERROR(ROUND($R172*INDEX(HTS!$AM:$AM,MATCH($E172,HTS!$E:$E,0)),0),"")</f>
        <v>968</v>
      </c>
      <c r="T172" s="118" t="n">
        <f aca="false">1</f>
        <v>1</v>
      </c>
      <c r="U172" s="75" t="n">
        <f aca="false">IFERROR(ROUND($T172*INDEX(HTS!$AV:$AV,MATCH($E172,HTS!$E:$E,0)),0),"")</f>
        <v>286</v>
      </c>
      <c r="V172" s="118" t="n">
        <f aca="false">1</f>
        <v>1</v>
      </c>
      <c r="W172" s="75" t="n">
        <f aca="false">IFERROR(ROUND($V172*INDEX(HTS!$AY:$AY,MATCH($E172,HTS!$E:$E,0)),0),"")</f>
        <v>902</v>
      </c>
      <c r="X172" s="118" t="n">
        <f aca="false">1</f>
        <v>1</v>
      </c>
      <c r="Y172" s="75" t="n">
        <f aca="false">IFERROR(ROUND($X172*INDEX(HTS!$BB:$BB,MATCH($E172,HTS!$E:$E,0)),0),"")</f>
        <v>242</v>
      </c>
      <c r="Z172" s="118" t="n">
        <f aca="false">1</f>
        <v>1</v>
      </c>
      <c r="AA172" s="75" t="n">
        <f aca="false">IFERROR(ROUND($Z172*INDEX(HTS!$BE:$BE,MATCH($E172,HTS!$E:$E,0)),0),"")</f>
        <v>682</v>
      </c>
      <c r="AB172" s="118" t="n">
        <f aca="false">1</f>
        <v>1</v>
      </c>
      <c r="AC172" s="75" t="n">
        <f aca="false">IFERROR(ROUND($AB172*INDEX(HTS!$BH:$BH,MATCH($E172,HTS!$E:$E,0)),0),"")</f>
        <v>924</v>
      </c>
      <c r="AD172" s="118" t="n">
        <f aca="false">1</f>
        <v>1</v>
      </c>
      <c r="AE172" s="75" t="n">
        <f aca="false">IFERROR(ROUND($AD172*INDEX(HTS!$BK:$BK,MATCH($E172,HTS!$E:$E,0)),0),"")</f>
        <v>990</v>
      </c>
      <c r="AF172" s="73" t="n">
        <f aca="false">IF(SUM($O172,$Q172,$S172,$K172,$G172,$I172,$M172,$U172,$W172,$Y172,$AA172,$AC172,$AE172)=0,"",SUM($O172,$Q172,$S172,$K172,$G172,$I172,$M172,$U172,$W172,$Y172,$AA172,$AC172,$AE172))</f>
        <v>5001</v>
      </c>
      <c r="AG172" s="73" t="n">
        <f aca="false">INDEX(HTS!$BN:$BN,MATCH($E172,HTS!$E:$E,0))</f>
        <v>5001</v>
      </c>
      <c r="AH172" s="118" t="n">
        <f aca="false">IF(SUM($AG172)&lt;=0,"",$AF172/$AG172)</f>
        <v>1</v>
      </c>
    </row>
    <row r="173" customFormat="false" ht="15" hidden="false" customHeight="false" outlineLevel="0" collapsed="false">
      <c r="A173" s="0" t="s">
        <v>150</v>
      </c>
      <c r="B173" s="0" t="s">
        <v>117</v>
      </c>
      <c r="C173" s="0" t="s">
        <v>86</v>
      </c>
      <c r="D173" s="0" t="s">
        <v>56</v>
      </c>
      <c r="E173" s="0" t="str">
        <f aca="false">B173&amp;"|"&amp;C173&amp;"|"&amp;D173</f>
        <v>Quthing [#SNU] [HuwCoDZG0FY]|50+|Female</v>
      </c>
      <c r="F173" s="118" t="n">
        <f aca="false">IF($D173="Female",100%,"")</f>
        <v>1</v>
      </c>
      <c r="G173" s="75" t="str">
        <f aca="false">IFERROR(ROUND($F173*INDEX(PMTCT!$AE:$AE,MATCH($E173,PMTCT!$E:$E,0)),0),"")</f>
        <v/>
      </c>
      <c r="H173" s="118" t="n">
        <f aca="false">IF($D173="Female",100%,"")</f>
        <v>1</v>
      </c>
      <c r="I173" s="75" t="str">
        <f aca="false">IFERROR(ROUND($H173*INDEX(PMTCT!$AU:$AU,MATCH($E173,PMTCT!$E:$E,0)),0),"")</f>
        <v/>
      </c>
      <c r="J173" s="118" t="n">
        <f aca="false">1</f>
        <v>1</v>
      </c>
      <c r="K173" s="75" t="n">
        <f aca="false">IFERROR(ROUND($J173*INDEX(TB!$Q:$Q,MATCH($E173,HTS!$E:$E,0)),0),"")</f>
        <v>-0</v>
      </c>
      <c r="L173" s="118" t="str">
        <f aca="false">IF($D173="Male",100%,"")</f>
        <v/>
      </c>
      <c r="M173" s="75" t="str">
        <f aca="false">IFERROR(ROUND($L173*INDEX(VMMC!$AC:$AC,MATCH($E173,VMMC!$E:$E,0)),0),"")</f>
        <v/>
      </c>
      <c r="N173" s="118" t="n">
        <f aca="false">1</f>
        <v>1</v>
      </c>
      <c r="O173" s="75" t="str">
        <f aca="false">IFERROR(ROUND($N173*INDEX(HTS!$Q:$Q,MATCH($E173,HTS!$E:$E,0)),0),"")</f>
        <v/>
      </c>
      <c r="P173" s="118" t="n">
        <f aca="false">1</f>
        <v>1</v>
      </c>
      <c r="Q173" s="75" t="n">
        <f aca="false">IFERROR(ROUND($P173*INDEX(HTS!$S:$S,MATCH($E173,HTS!$E:$E,0)),0),"")</f>
        <v>1</v>
      </c>
      <c r="R173" s="118" t="n">
        <f aca="false">1</f>
        <v>1</v>
      </c>
      <c r="S173" s="75" t="n">
        <f aca="false">IFERROR(ROUND($R173*INDEX(HTS!$AM:$AM,MATCH($E173,HTS!$E:$E,0)),0),"")</f>
        <v>34</v>
      </c>
      <c r="T173" s="118" t="n">
        <f aca="false">1</f>
        <v>1</v>
      </c>
      <c r="U173" s="75" t="n">
        <f aca="false">IFERROR(ROUND($T173*INDEX(HTS!$AV:$AV,MATCH($E173,HTS!$E:$E,0)),0),"")</f>
        <v>4</v>
      </c>
      <c r="V173" s="118" t="n">
        <f aca="false">1</f>
        <v>1</v>
      </c>
      <c r="W173" s="75" t="n">
        <f aca="false">IFERROR(ROUND($V173*INDEX(HTS!$AY:$AY,MATCH($E173,HTS!$E:$E,0)),0),"")</f>
        <v>43</v>
      </c>
      <c r="X173" s="118" t="n">
        <f aca="false">1</f>
        <v>1</v>
      </c>
      <c r="Y173" s="75" t="n">
        <f aca="false">IFERROR(ROUND($X173*INDEX(HTS!$BB:$BB,MATCH($E173,HTS!$E:$E,0)),0),"")</f>
        <v>43</v>
      </c>
      <c r="Z173" s="118" t="n">
        <f aca="false">1</f>
        <v>1</v>
      </c>
      <c r="AA173" s="75" t="n">
        <f aca="false">IFERROR(ROUND($Z173*INDEX(HTS!$BE:$BE,MATCH($E173,HTS!$E:$E,0)),0),"")</f>
        <v>45</v>
      </c>
      <c r="AB173" s="118" t="n">
        <f aca="false">1</f>
        <v>1</v>
      </c>
      <c r="AC173" s="75" t="n">
        <f aca="false">IFERROR(ROUND($AB173*INDEX(HTS!$BH:$BH,MATCH($E173,HTS!$E:$E,0)),0),"")</f>
        <v>39</v>
      </c>
      <c r="AD173" s="118" t="n">
        <f aca="false">1</f>
        <v>1</v>
      </c>
      <c r="AE173" s="75" t="n">
        <f aca="false">IFERROR(ROUND($AD173*INDEX(HTS!$BK:$BK,MATCH($E173,HTS!$E:$E,0)),0),"")</f>
        <v>17</v>
      </c>
      <c r="AF173" s="73" t="n">
        <f aca="false">IF(SUM($O173,$Q173,$S173,$K173,$G173,$I173,$M173,$U173,$W173,$Y173,$AA173,$AC173,$AE173)=0,"",SUM($O173,$Q173,$S173,$K173,$G173,$I173,$M173,$U173,$W173,$Y173,$AA173,$AC173,$AE173))</f>
        <v>226</v>
      </c>
      <c r="AG173" s="73" t="n">
        <f aca="false">INDEX(HTS!$BN:$BN,MATCH($E173,HTS!$E:$E,0))</f>
        <v>226</v>
      </c>
      <c r="AH173" s="118" t="n">
        <f aca="false">IF(SUM($AG173)&lt;=0,"",$AF173/$AG173)</f>
        <v>1</v>
      </c>
    </row>
    <row r="174" customFormat="false" ht="15" hidden="false" customHeight="false" outlineLevel="0" collapsed="false">
      <c r="A174" s="0" t="s">
        <v>150</v>
      </c>
      <c r="B174" s="0" t="s">
        <v>117</v>
      </c>
      <c r="C174" s="0" t="s">
        <v>86</v>
      </c>
      <c r="D174" s="0" t="s">
        <v>58</v>
      </c>
      <c r="E174" s="0" t="str">
        <f aca="false">B174&amp;"|"&amp;C174&amp;"|"&amp;D174</f>
        <v>Quthing [#SNU] [HuwCoDZG0FY]|50+|Male</v>
      </c>
      <c r="F174" s="118" t="str">
        <f aca="false">IF($D174="Female",100%,"")</f>
        <v/>
      </c>
      <c r="G174" s="75" t="str">
        <f aca="false">IFERROR(ROUND($F174*INDEX(PMTCT!$AE:$AE,MATCH($E174,PMTCT!$E:$E,0)),0),"")</f>
        <v/>
      </c>
      <c r="H174" s="118" t="str">
        <f aca="false">IF($D174="Female",100%,"")</f>
        <v/>
      </c>
      <c r="I174" s="75" t="str">
        <f aca="false">IFERROR(ROUND($H174*INDEX(PMTCT!$AU:$AU,MATCH($E174,PMTCT!$E:$E,0)),0),"")</f>
        <v/>
      </c>
      <c r="J174" s="118" t="n">
        <f aca="false">1</f>
        <v>1</v>
      </c>
      <c r="K174" s="75" t="n">
        <f aca="false">IFERROR(ROUND($J174*INDEX(TB!$Q:$Q,MATCH($E174,HTS!$E:$E,0)),0),"")</f>
        <v>-8050</v>
      </c>
      <c r="L174" s="118" t="n">
        <f aca="false">IF($D174="Male",100%,"")</f>
        <v>1</v>
      </c>
      <c r="M174" s="75" t="str">
        <f aca="false">IFERROR(ROUND($L174*INDEX(VMMC!$AC:$AC,MATCH($E174,VMMC!$E:$E,0)),0),"")</f>
        <v/>
      </c>
      <c r="N174" s="118" t="n">
        <f aca="false">1</f>
        <v>1</v>
      </c>
      <c r="O174" s="75" t="str">
        <f aca="false">IFERROR(ROUND($N174*INDEX(HTS!$Q:$Q,MATCH($E174,HTS!$E:$E,0)),0),"")</f>
        <v/>
      </c>
      <c r="P174" s="118" t="n">
        <f aca="false">1</f>
        <v>1</v>
      </c>
      <c r="Q174" s="75" t="n">
        <f aca="false">IFERROR(ROUND($P174*INDEX(HTS!$S:$S,MATCH($E174,HTS!$E:$E,0)),0),"")</f>
        <v>5</v>
      </c>
      <c r="R174" s="118" t="n">
        <f aca="false">1</f>
        <v>1</v>
      </c>
      <c r="S174" s="75" t="n">
        <f aca="false">IFERROR(ROUND($R174*INDEX(HTS!$AM:$AM,MATCH($E174,HTS!$E:$E,0)),0),"")</f>
        <v>144</v>
      </c>
      <c r="T174" s="118" t="n">
        <f aca="false">1</f>
        <v>1</v>
      </c>
      <c r="U174" s="75" t="n">
        <f aca="false">IFERROR(ROUND($T174*INDEX(HTS!$AV:$AV,MATCH($E174,HTS!$E:$E,0)),0),"")</f>
        <v>522</v>
      </c>
      <c r="V174" s="118" t="n">
        <f aca="false">1</f>
        <v>1</v>
      </c>
      <c r="W174" s="75" t="n">
        <f aca="false">IFERROR(ROUND($V174*INDEX(HTS!$AY:$AY,MATCH($E174,HTS!$E:$E,0)),0),"")</f>
        <v>810</v>
      </c>
      <c r="X174" s="118" t="n">
        <f aca="false">1</f>
        <v>1</v>
      </c>
      <c r="Y174" s="75" t="n">
        <f aca="false">IFERROR(ROUND($X174*INDEX(HTS!$BB:$BB,MATCH($E174,HTS!$E:$E,0)),0),"")</f>
        <v>54</v>
      </c>
      <c r="Z174" s="118" t="n">
        <f aca="false">1</f>
        <v>1</v>
      </c>
      <c r="AA174" s="75" t="n">
        <f aca="false">IFERROR(ROUND($Z174*INDEX(HTS!$BE:$BE,MATCH($E174,HTS!$E:$E,0)),0),"")</f>
        <v>504</v>
      </c>
      <c r="AB174" s="118" t="n">
        <f aca="false">1</f>
        <v>1</v>
      </c>
      <c r="AC174" s="75" t="n">
        <f aca="false">IFERROR(ROUND($AB174*INDEX(HTS!$BH:$BH,MATCH($E174,HTS!$E:$E,0)),0),"")</f>
        <v>864</v>
      </c>
      <c r="AD174" s="118" t="n">
        <f aca="false">1</f>
        <v>1</v>
      </c>
      <c r="AE174" s="75" t="n">
        <f aca="false">IFERROR(ROUND($AD174*INDEX(HTS!$BK:$BK,MATCH($E174,HTS!$E:$E,0)),0),"")</f>
        <v>198</v>
      </c>
      <c r="AF174" s="73" t="n">
        <f aca="false">IF(SUM($O174,$Q174,$S174,$K174,$G174,$I174,$M174,$U174,$W174,$Y174,$AA174,$AC174,$AE174)=0,"",SUM($O174,$Q174,$S174,$K174,$G174,$I174,$M174,$U174,$W174,$Y174,$AA174,$AC174,$AE174))</f>
        <v>-4949</v>
      </c>
      <c r="AG174" s="73" t="n">
        <f aca="false">INDEX(HTS!$BN:$BN,MATCH($E174,HTS!$E:$E,0))</f>
        <v>-4949</v>
      </c>
      <c r="AH174" s="118" t="str">
        <f aca="false">IF(SUM($AG174)&lt;=0,"",$AF174/$AG174)</f>
        <v/>
      </c>
    </row>
    <row r="175" customFormat="false" ht="15" hidden="false" customHeight="false" outlineLevel="0" collapsed="false">
      <c r="A175" s="0" t="s">
        <v>151</v>
      </c>
      <c r="B175" s="0" t="s">
        <v>101</v>
      </c>
      <c r="C175" s="0" t="s">
        <v>63</v>
      </c>
      <c r="D175" s="0" t="s">
        <v>56</v>
      </c>
      <c r="E175" s="0" t="str">
        <f aca="false">B175&amp;"|"&amp;C175&amp;"|"&amp;D175</f>
        <v>Thaba Tseka [#SNU] [jyhIrCoB31x]|15-19|Female</v>
      </c>
      <c r="F175" s="118" t="n">
        <f aca="false">IF($D175="Female",100%,"")</f>
        <v>1</v>
      </c>
      <c r="G175" s="75" t="n">
        <f aca="false">IFERROR(ROUND($F175*INDEX(PMTCT!$AE:$AE,MATCH($E175,PMTCT!$E:$E,0)),0),"")</f>
        <v>-8568</v>
      </c>
      <c r="H175" s="118" t="n">
        <f aca="false">IF($D175="Female",100%,"")</f>
        <v>1</v>
      </c>
      <c r="I175" s="75" t="str">
        <f aca="false">IFERROR(ROUND($H175*INDEX(PMTCT!$AU:$AU,MATCH($E175,PMTCT!$E:$E,0)),0),"")</f>
        <v/>
      </c>
      <c r="J175" s="118" t="n">
        <f aca="false">1</f>
        <v>1</v>
      </c>
      <c r="K175" s="75" t="n">
        <f aca="false">IFERROR(ROUND($J175*INDEX(TB!$Q:$Q,MATCH($E175,HTS!$E:$E,0)),0),"")</f>
        <v>-0</v>
      </c>
      <c r="L175" s="118" t="str">
        <f aca="false">IF($D175="Male",100%,"")</f>
        <v/>
      </c>
      <c r="M175" s="75" t="str">
        <f aca="false">IFERROR(ROUND($L175*INDEX(VMMC!$AC:$AC,MATCH($E175,VMMC!$E:$E,0)),0),"")</f>
        <v/>
      </c>
      <c r="N175" s="118" t="n">
        <f aca="false">1</f>
        <v>1</v>
      </c>
      <c r="O175" s="75" t="str">
        <f aca="false">IFERROR(ROUND($N175*INDEX(HTS!$Q:$Q,MATCH($E175,HTS!$E:$E,0)),0),"")</f>
        <v/>
      </c>
      <c r="P175" s="118" t="n">
        <f aca="false">1</f>
        <v>1</v>
      </c>
      <c r="Q175" s="75" t="n">
        <f aca="false">IFERROR(ROUND($P175*INDEX(HTS!$S:$S,MATCH($E175,HTS!$E:$E,0)),0),"")</f>
        <v>6</v>
      </c>
      <c r="R175" s="118" t="n">
        <f aca="false">1</f>
        <v>1</v>
      </c>
      <c r="S175" s="75" t="n">
        <f aca="false">IFERROR(ROUND($R175*INDEX(HTS!$AM:$AM,MATCH($E175,HTS!$E:$E,0)),0),"")</f>
        <v>228</v>
      </c>
      <c r="T175" s="118" t="n">
        <f aca="false">1</f>
        <v>1</v>
      </c>
      <c r="U175" s="75" t="n">
        <f aca="false">IFERROR(ROUND($T175*INDEX(HTS!$AV:$AV,MATCH($E175,HTS!$E:$E,0)),0),"")</f>
        <v>72</v>
      </c>
      <c r="V175" s="118" t="n">
        <f aca="false">1</f>
        <v>1</v>
      </c>
      <c r="W175" s="75" t="n">
        <f aca="false">IFERROR(ROUND($V175*INDEX(HTS!$AY:$AY,MATCH($E175,HTS!$E:$E,0)),0),"")</f>
        <v>552</v>
      </c>
      <c r="X175" s="118" t="n">
        <f aca="false">1</f>
        <v>1</v>
      </c>
      <c r="Y175" s="75" t="n">
        <f aca="false">IFERROR(ROUND($X175*INDEX(HTS!$BB:$BB,MATCH($E175,HTS!$E:$E,0)),0),"")</f>
        <v>288</v>
      </c>
      <c r="Z175" s="118" t="n">
        <f aca="false">1</f>
        <v>1</v>
      </c>
      <c r="AA175" s="75" t="n">
        <f aca="false">IFERROR(ROUND($Z175*INDEX(HTS!$BE:$BE,MATCH($E175,HTS!$E:$E,0)),0),"")</f>
        <v>576</v>
      </c>
      <c r="AB175" s="118" t="n">
        <f aca="false">1</f>
        <v>1</v>
      </c>
      <c r="AC175" s="75" t="n">
        <f aca="false">IFERROR(ROUND($AB175*INDEX(HTS!$BH:$BH,MATCH($E175,HTS!$E:$E,0)),0),"")</f>
        <v>24</v>
      </c>
      <c r="AD175" s="118" t="n">
        <f aca="false">1</f>
        <v>1</v>
      </c>
      <c r="AE175" s="75" t="n">
        <f aca="false">IFERROR(ROUND($AD175*INDEX(HTS!$BK:$BK,MATCH($E175,HTS!$E:$E,0)),0),"")</f>
        <v>492</v>
      </c>
      <c r="AF175" s="73" t="n">
        <f aca="false">IF(SUM($O175,$Q175,$S175,$K175,$G175,$I175,$M175,$U175,$W175,$Y175,$AA175,$AC175,$AE175)=0,"",SUM($O175,$Q175,$S175,$K175,$G175,$I175,$M175,$U175,$W175,$Y175,$AA175,$AC175,$AE175))</f>
        <v>-6330</v>
      </c>
      <c r="AG175" s="73" t="n">
        <f aca="false">INDEX(HTS!$BN:$BN,MATCH($E175,HTS!$E:$E,0))</f>
        <v>-6330</v>
      </c>
      <c r="AH175" s="118" t="str">
        <f aca="false">IF(SUM($AG175)&lt;=0,"",$AF175/$AG175)</f>
        <v/>
      </c>
    </row>
    <row r="176" customFormat="false" ht="15" hidden="false" customHeight="false" outlineLevel="0" collapsed="false">
      <c r="A176" s="0" t="s">
        <v>151</v>
      </c>
      <c r="B176" s="0" t="s">
        <v>101</v>
      </c>
      <c r="C176" s="0" t="s">
        <v>63</v>
      </c>
      <c r="D176" s="0" t="s">
        <v>58</v>
      </c>
      <c r="E176" s="0" t="str">
        <f aca="false">B176&amp;"|"&amp;C176&amp;"|"&amp;D176</f>
        <v>Thaba Tseka [#SNU] [jyhIrCoB31x]|15-19|Male</v>
      </c>
      <c r="F176" s="118" t="str">
        <f aca="false">IF($D176="Female",100%,"")</f>
        <v/>
      </c>
      <c r="G176" s="75" t="str">
        <f aca="false">IFERROR(ROUND($F176*INDEX(PMTCT!$AE:$AE,MATCH($E176,PMTCT!$E:$E,0)),0),"")</f>
        <v/>
      </c>
      <c r="H176" s="118" t="str">
        <f aca="false">IF($D176="Female",100%,"")</f>
        <v/>
      </c>
      <c r="I176" s="75" t="str">
        <f aca="false">IFERROR(ROUND($H176*INDEX(PMTCT!$AU:$AU,MATCH($E176,PMTCT!$E:$E,0)),0),"")</f>
        <v/>
      </c>
      <c r="J176" s="118" t="n">
        <f aca="false">1</f>
        <v>1</v>
      </c>
      <c r="K176" s="75" t="n">
        <f aca="false">IFERROR(ROUND($J176*INDEX(TB!$Q:$Q,MATCH($E176,HTS!$E:$E,0)),0),"")</f>
        <v>0</v>
      </c>
      <c r="L176" s="118" t="n">
        <f aca="false">IF($D176="Male",100%,"")</f>
        <v>1</v>
      </c>
      <c r="M176" s="75" t="str">
        <f aca="false">IFERROR(ROUND($L176*INDEX(VMMC!$AC:$AC,MATCH($E176,VMMC!$E:$E,0)),0),"")</f>
        <v/>
      </c>
      <c r="N176" s="118" t="n">
        <f aca="false">1</f>
        <v>1</v>
      </c>
      <c r="O176" s="75" t="str">
        <f aca="false">IFERROR(ROUND($N176*INDEX(HTS!$Q:$Q,MATCH($E176,HTS!$E:$E,0)),0),"")</f>
        <v/>
      </c>
      <c r="P176" s="118" t="n">
        <f aca="false">1</f>
        <v>1</v>
      </c>
      <c r="Q176" s="75" t="str">
        <f aca="false">IFERROR(ROUND($P176*INDEX(HTS!$S:$S,MATCH($E176,HTS!$E:$E,0)),0),"")</f>
        <v/>
      </c>
      <c r="R176" s="118" t="n">
        <f aca="false">1</f>
        <v>1</v>
      </c>
      <c r="S176" s="75" t="str">
        <f aca="false">IFERROR(ROUND($R176*INDEX(HTS!$AM:$AM,MATCH($E176,HTS!$E:$E,0)),0),"")</f>
        <v/>
      </c>
      <c r="T176" s="118" t="n">
        <f aca="false">1</f>
        <v>1</v>
      </c>
      <c r="U176" s="75" t="str">
        <f aca="false">IFERROR(ROUND($T176*INDEX(HTS!$AV:$AV,MATCH($E176,HTS!$E:$E,0)),0),"")</f>
        <v/>
      </c>
      <c r="V176" s="118" t="n">
        <f aca="false">1</f>
        <v>1</v>
      </c>
      <c r="W176" s="75" t="str">
        <f aca="false">IFERROR(ROUND($V176*INDEX(HTS!$AY:$AY,MATCH($E176,HTS!$E:$E,0)),0),"")</f>
        <v/>
      </c>
      <c r="X176" s="118" t="n">
        <f aca="false">1</f>
        <v>1</v>
      </c>
      <c r="Y176" s="75" t="str">
        <f aca="false">IFERROR(ROUND($X176*INDEX(HTS!$BB:$BB,MATCH($E176,HTS!$E:$E,0)),0),"")</f>
        <v/>
      </c>
      <c r="Z176" s="118" t="n">
        <f aca="false">1</f>
        <v>1</v>
      </c>
      <c r="AA176" s="75" t="str">
        <f aca="false">IFERROR(ROUND($Z176*INDEX(HTS!$BE:$BE,MATCH($E176,HTS!$E:$E,0)),0),"")</f>
        <v/>
      </c>
      <c r="AB176" s="118" t="n">
        <f aca="false">1</f>
        <v>1</v>
      </c>
      <c r="AC176" s="75" t="str">
        <f aca="false">IFERROR(ROUND($AB176*INDEX(HTS!$BH:$BH,MATCH($E176,HTS!$E:$E,0)),0),"")</f>
        <v/>
      </c>
      <c r="AD176" s="118" t="n">
        <f aca="false">1</f>
        <v>1</v>
      </c>
      <c r="AE176" s="75" t="str">
        <f aca="false">IFERROR(ROUND($AD176*INDEX(HTS!$BK:$BK,MATCH($E176,HTS!$E:$E,0)),0),"")</f>
        <v/>
      </c>
      <c r="AF176" s="73" t="str">
        <f aca="false">IF(SUM($O176,$Q176,$S176,$K176,$G176,$I176,$M176,$U176,$W176,$Y176,$AA176,$AC176,$AE176)=0,"",SUM($O176,$Q176,$S176,$K176,$G176,$I176,$M176,$U176,$W176,$Y176,$AA176,$AC176,$AE176))</f>
        <v/>
      </c>
      <c r="AG176" s="73" t="str">
        <f aca="false">INDEX(HTS!$BN:$BN,MATCH($E176,HTS!$E:$E,0))</f>
        <v/>
      </c>
      <c r="AH176" s="118" t="str">
        <f aca="false">IF(SUM($AG176)&lt;=0,"",$AF176/$AG176)</f>
        <v/>
      </c>
    </row>
    <row r="177" customFormat="false" ht="15" hidden="false" customHeight="false" outlineLevel="0" collapsed="false">
      <c r="A177" s="0" t="s">
        <v>151</v>
      </c>
      <c r="B177" s="0" t="s">
        <v>101</v>
      </c>
      <c r="C177" s="0" t="s">
        <v>66</v>
      </c>
      <c r="D177" s="0" t="s">
        <v>56</v>
      </c>
      <c r="E177" s="0" t="str">
        <f aca="false">B177&amp;"|"&amp;C177&amp;"|"&amp;D177</f>
        <v>Thaba Tseka [#SNU] [jyhIrCoB31x]|20-24|Female</v>
      </c>
      <c r="F177" s="118" t="n">
        <f aca="false">IF($D177="Female",100%,"")</f>
        <v>1</v>
      </c>
      <c r="G177" s="75" t="n">
        <f aca="false">IFERROR(ROUND($F177*INDEX(PMTCT!$AE:$AE,MATCH($E177,PMTCT!$E:$E,0)),0),"")</f>
        <v>-51072</v>
      </c>
      <c r="H177" s="118" t="n">
        <f aca="false">IF($D177="Female",100%,"")</f>
        <v>1</v>
      </c>
      <c r="I177" s="75" t="str">
        <f aca="false">IFERROR(ROUND($H177*INDEX(PMTCT!$AU:$AU,MATCH($E177,PMTCT!$E:$E,0)),0),"")</f>
        <v/>
      </c>
      <c r="J177" s="118" t="n">
        <f aca="false">1</f>
        <v>1</v>
      </c>
      <c r="K177" s="75" t="n">
        <f aca="false">IFERROR(ROUND($J177*INDEX(TB!$Q:$Q,MATCH($E177,HTS!$E:$E,0)),0),"")</f>
        <v>-0</v>
      </c>
      <c r="L177" s="118" t="str">
        <f aca="false">IF($D177="Male",100%,"")</f>
        <v/>
      </c>
      <c r="M177" s="75" t="str">
        <f aca="false">IFERROR(ROUND($L177*INDEX(VMMC!$AC:$AC,MATCH($E177,VMMC!$E:$E,0)),0),"")</f>
        <v/>
      </c>
      <c r="N177" s="118" t="n">
        <f aca="false">1</f>
        <v>1</v>
      </c>
      <c r="O177" s="75" t="str">
        <f aca="false">IFERROR(ROUND($N177*INDEX(HTS!$Q:$Q,MATCH($E177,HTS!$E:$E,0)),0),"")</f>
        <v/>
      </c>
      <c r="P177" s="118" t="n">
        <f aca="false">1</f>
        <v>1</v>
      </c>
      <c r="Q177" s="75" t="n">
        <f aca="false">IFERROR(ROUND($P177*INDEX(HTS!$S:$S,MATCH($E177,HTS!$E:$E,0)),0),"")</f>
        <v>1</v>
      </c>
      <c r="R177" s="118" t="n">
        <f aca="false">1</f>
        <v>1</v>
      </c>
      <c r="S177" s="75" t="n">
        <f aca="false">IFERROR(ROUND($R177*INDEX(HTS!$AM:$AM,MATCH($E177,HTS!$E:$E,0)),0),"")</f>
        <v>84</v>
      </c>
      <c r="T177" s="118" t="n">
        <f aca="false">1</f>
        <v>1</v>
      </c>
      <c r="U177" s="75" t="n">
        <f aca="false">IFERROR(ROUND($T177*INDEX(HTS!$AV:$AV,MATCH($E177,HTS!$E:$E,0)),0),"")</f>
        <v>96</v>
      </c>
      <c r="V177" s="118" t="n">
        <f aca="false">1</f>
        <v>1</v>
      </c>
      <c r="W177" s="75" t="n">
        <f aca="false">IFERROR(ROUND($V177*INDEX(HTS!$AY:$AY,MATCH($E177,HTS!$E:$E,0)),0),"")</f>
        <v>36</v>
      </c>
      <c r="X177" s="118" t="n">
        <f aca="false">1</f>
        <v>1</v>
      </c>
      <c r="Y177" s="75" t="n">
        <f aca="false">IFERROR(ROUND($X177*INDEX(HTS!$BB:$BB,MATCH($E177,HTS!$E:$E,0)),0),"")</f>
        <v>116</v>
      </c>
      <c r="Z177" s="118" t="n">
        <f aca="false">1</f>
        <v>1</v>
      </c>
      <c r="AA177" s="75" t="n">
        <f aca="false">IFERROR(ROUND($Z177*INDEX(HTS!$BE:$BE,MATCH($E177,HTS!$E:$E,0)),0),"")</f>
        <v>152</v>
      </c>
      <c r="AB177" s="118" t="n">
        <f aca="false">1</f>
        <v>1</v>
      </c>
      <c r="AC177" s="75" t="n">
        <f aca="false">IFERROR(ROUND($AB177*INDEX(HTS!$BH:$BH,MATCH($E177,HTS!$E:$E,0)),0),"")</f>
        <v>28</v>
      </c>
      <c r="AD177" s="118" t="n">
        <f aca="false">1</f>
        <v>1</v>
      </c>
      <c r="AE177" s="75" t="n">
        <f aca="false">IFERROR(ROUND($AD177*INDEX(HTS!$BK:$BK,MATCH($E177,HTS!$E:$E,0)),0),"")</f>
        <v>44</v>
      </c>
      <c r="AF177" s="73" t="n">
        <f aca="false">IF(SUM($O177,$Q177,$S177,$K177,$G177,$I177,$M177,$U177,$W177,$Y177,$AA177,$AC177,$AE177)=0,"",SUM($O177,$Q177,$S177,$K177,$G177,$I177,$M177,$U177,$W177,$Y177,$AA177,$AC177,$AE177))</f>
        <v>-50515</v>
      </c>
      <c r="AG177" s="73" t="n">
        <f aca="false">INDEX(HTS!$BN:$BN,MATCH($E177,HTS!$E:$E,0))</f>
        <v>-50515</v>
      </c>
      <c r="AH177" s="118" t="str">
        <f aca="false">IF(SUM($AG177)&lt;=0,"",$AF177/$AG177)</f>
        <v/>
      </c>
    </row>
    <row r="178" customFormat="false" ht="15" hidden="false" customHeight="false" outlineLevel="0" collapsed="false">
      <c r="A178" s="0" t="s">
        <v>151</v>
      </c>
      <c r="B178" s="0" t="s">
        <v>101</v>
      </c>
      <c r="C178" s="0" t="s">
        <v>66</v>
      </c>
      <c r="D178" s="0" t="s">
        <v>58</v>
      </c>
      <c r="E178" s="0" t="str">
        <f aca="false">B178&amp;"|"&amp;C178&amp;"|"&amp;D178</f>
        <v>Thaba Tseka [#SNU] [jyhIrCoB31x]|20-24|Male</v>
      </c>
      <c r="F178" s="118" t="str">
        <f aca="false">IF($D178="Female",100%,"")</f>
        <v/>
      </c>
      <c r="G178" s="75" t="str">
        <f aca="false">IFERROR(ROUND($F178*INDEX(PMTCT!$AE:$AE,MATCH($E178,PMTCT!$E:$E,0)),0),"")</f>
        <v/>
      </c>
      <c r="H178" s="118" t="str">
        <f aca="false">IF($D178="Female",100%,"")</f>
        <v/>
      </c>
      <c r="I178" s="75" t="str">
        <f aca="false">IFERROR(ROUND($H178*INDEX(PMTCT!$AU:$AU,MATCH($E178,PMTCT!$E:$E,0)),0),"")</f>
        <v/>
      </c>
      <c r="J178" s="118" t="n">
        <f aca="false">1</f>
        <v>1</v>
      </c>
      <c r="K178" s="75" t="n">
        <f aca="false">IFERROR(ROUND($J178*INDEX(TB!$Q:$Q,MATCH($E178,HTS!$E:$E,0)),0),"")</f>
        <v>0</v>
      </c>
      <c r="L178" s="118" t="n">
        <f aca="false">IF($D178="Male",100%,"")</f>
        <v>1</v>
      </c>
      <c r="M178" s="75" t="str">
        <f aca="false">IFERROR(ROUND($L178*INDEX(VMMC!$AC:$AC,MATCH($E178,VMMC!$E:$E,0)),0),"")</f>
        <v/>
      </c>
      <c r="N178" s="118" t="n">
        <f aca="false">1</f>
        <v>1</v>
      </c>
      <c r="O178" s="75" t="str">
        <f aca="false">IFERROR(ROUND($N178*INDEX(HTS!$Q:$Q,MATCH($E178,HTS!$E:$E,0)),0),"")</f>
        <v/>
      </c>
      <c r="P178" s="118" t="n">
        <f aca="false">1</f>
        <v>1</v>
      </c>
      <c r="Q178" s="75" t="n">
        <f aca="false">IFERROR(ROUND($P178*INDEX(HTS!$S:$S,MATCH($E178,HTS!$E:$E,0)),0),"")</f>
        <v>7</v>
      </c>
      <c r="R178" s="118" t="n">
        <f aca="false">1</f>
        <v>1</v>
      </c>
      <c r="S178" s="75" t="n">
        <f aca="false">IFERROR(ROUND($R178*INDEX(HTS!$AM:$AM,MATCH($E178,HTS!$E:$E,0)),0),"")</f>
        <v>648</v>
      </c>
      <c r="T178" s="118" t="n">
        <f aca="false">1</f>
        <v>1</v>
      </c>
      <c r="U178" s="75" t="n">
        <f aca="false">IFERROR(ROUND($T178*INDEX(HTS!$AV:$AV,MATCH($E178,HTS!$E:$E,0)),0),"")</f>
        <v>672</v>
      </c>
      <c r="V178" s="118" t="n">
        <f aca="false">1</f>
        <v>1</v>
      </c>
      <c r="W178" s="75" t="n">
        <f aca="false">IFERROR(ROUND($V178*INDEX(HTS!$AY:$AY,MATCH($E178,HTS!$E:$E,0)),0),"")</f>
        <v>336</v>
      </c>
      <c r="X178" s="118" t="n">
        <f aca="false">1</f>
        <v>1</v>
      </c>
      <c r="Y178" s="75" t="n">
        <f aca="false">IFERROR(ROUND($X178*INDEX(HTS!$BB:$BB,MATCH($E178,HTS!$E:$E,0)),0),"")</f>
        <v>936</v>
      </c>
      <c r="Z178" s="118" t="n">
        <f aca="false">1</f>
        <v>1</v>
      </c>
      <c r="AA178" s="75" t="n">
        <f aca="false">IFERROR(ROUND($Z178*INDEX(HTS!$BE:$BE,MATCH($E178,HTS!$E:$E,0)),0),"")</f>
        <v>648</v>
      </c>
      <c r="AB178" s="118" t="n">
        <f aca="false">1</f>
        <v>1</v>
      </c>
      <c r="AC178" s="75" t="n">
        <f aca="false">IFERROR(ROUND($AB178*INDEX(HTS!$BH:$BH,MATCH($E178,HTS!$E:$E,0)),0),"")</f>
        <v>264</v>
      </c>
      <c r="AD178" s="118" t="n">
        <f aca="false">1</f>
        <v>1</v>
      </c>
      <c r="AE178" s="75" t="n">
        <f aca="false">IFERROR(ROUND($AD178*INDEX(HTS!$BK:$BK,MATCH($E178,HTS!$E:$E,0)),0),"")</f>
        <v>984</v>
      </c>
      <c r="AF178" s="73" t="n">
        <f aca="false">IF(SUM($O178,$Q178,$S178,$K178,$G178,$I178,$M178,$U178,$W178,$Y178,$AA178,$AC178,$AE178)=0,"",SUM($O178,$Q178,$S178,$K178,$G178,$I178,$M178,$U178,$W178,$Y178,$AA178,$AC178,$AE178))</f>
        <v>4495</v>
      </c>
      <c r="AG178" s="73" t="n">
        <f aca="false">INDEX(HTS!$BN:$BN,MATCH($E178,HTS!$E:$E,0))</f>
        <v>4495</v>
      </c>
      <c r="AH178" s="118" t="n">
        <f aca="false">IF(SUM($AG178)&lt;=0,"",$AF178/$AG178)</f>
        <v>1</v>
      </c>
    </row>
    <row r="179" customFormat="false" ht="15" hidden="false" customHeight="false" outlineLevel="0" collapsed="false">
      <c r="A179" s="0" t="s">
        <v>151</v>
      </c>
      <c r="B179" s="0" t="s">
        <v>101</v>
      </c>
      <c r="C179" s="0" t="s">
        <v>69</v>
      </c>
      <c r="D179" s="0" t="s">
        <v>56</v>
      </c>
      <c r="E179" s="0" t="str">
        <f aca="false">B179&amp;"|"&amp;C179&amp;"|"&amp;D179</f>
        <v>Thaba Tseka [#SNU] [jyhIrCoB31x]|25-29|Female</v>
      </c>
      <c r="F179" s="118" t="n">
        <f aca="false">IF($D179="Female",100%,"")</f>
        <v>1</v>
      </c>
      <c r="G179" s="75" t="n">
        <f aca="false">IFERROR(ROUND($F179*INDEX(PMTCT!$AE:$AE,MATCH($E179,PMTCT!$E:$E,0)),0),"")</f>
        <v>-11160</v>
      </c>
      <c r="H179" s="118" t="n">
        <f aca="false">IF($D179="Female",100%,"")</f>
        <v>1</v>
      </c>
      <c r="I179" s="75" t="str">
        <f aca="false">IFERROR(ROUND($H179*INDEX(PMTCT!$AU:$AU,MATCH($E179,PMTCT!$E:$E,0)),0),"")</f>
        <v/>
      </c>
      <c r="J179" s="118" t="n">
        <f aca="false">1</f>
        <v>1</v>
      </c>
      <c r="K179" s="75" t="n">
        <f aca="false">IFERROR(ROUND($J179*INDEX(TB!$Q:$Q,MATCH($E179,HTS!$E:$E,0)),0),"")</f>
        <v>-0</v>
      </c>
      <c r="L179" s="118" t="str">
        <f aca="false">IF($D179="Male",100%,"")</f>
        <v/>
      </c>
      <c r="M179" s="75" t="str">
        <f aca="false">IFERROR(ROUND($L179*INDEX(VMMC!$AC:$AC,MATCH($E179,VMMC!$E:$E,0)),0),"")</f>
        <v/>
      </c>
      <c r="N179" s="118" t="n">
        <f aca="false">1</f>
        <v>1</v>
      </c>
      <c r="O179" s="75" t="str">
        <f aca="false">IFERROR(ROUND($N179*INDEX(HTS!$Q:$Q,MATCH($E179,HTS!$E:$E,0)),0),"")</f>
        <v/>
      </c>
      <c r="P179" s="118" t="n">
        <f aca="false">1</f>
        <v>1</v>
      </c>
      <c r="Q179" s="75" t="n">
        <f aca="false">IFERROR(ROUND($P179*INDEX(HTS!$S:$S,MATCH($E179,HTS!$E:$E,0)),0),"")</f>
        <v>4</v>
      </c>
      <c r="R179" s="118" t="n">
        <f aca="false">1</f>
        <v>1</v>
      </c>
      <c r="S179" s="75" t="n">
        <f aca="false">IFERROR(ROUND($R179*INDEX(HTS!$AM:$AM,MATCH($E179,HTS!$E:$E,0)),0),"")</f>
        <v>156</v>
      </c>
      <c r="T179" s="118" t="n">
        <f aca="false">1</f>
        <v>1</v>
      </c>
      <c r="U179" s="75" t="n">
        <f aca="false">IFERROR(ROUND($T179*INDEX(HTS!$AV:$AV,MATCH($E179,HTS!$E:$E,0)),0),"")</f>
        <v>348</v>
      </c>
      <c r="V179" s="118" t="n">
        <f aca="false">1</f>
        <v>1</v>
      </c>
      <c r="W179" s="75" t="n">
        <f aca="false">IFERROR(ROUND($V179*INDEX(HTS!$AY:$AY,MATCH($E179,HTS!$E:$E,0)),0),"")</f>
        <v>48</v>
      </c>
      <c r="X179" s="118" t="n">
        <f aca="false">1</f>
        <v>1</v>
      </c>
      <c r="Y179" s="75" t="n">
        <f aca="false">IFERROR(ROUND($X179*INDEX(HTS!$BB:$BB,MATCH($E179,HTS!$E:$E,0)),0),"")</f>
        <v>24</v>
      </c>
      <c r="Z179" s="118" t="n">
        <f aca="false">1</f>
        <v>1</v>
      </c>
      <c r="AA179" s="75" t="n">
        <f aca="false">IFERROR(ROUND($Z179*INDEX(HTS!$BE:$BE,MATCH($E179,HTS!$E:$E,0)),0),"")</f>
        <v>504</v>
      </c>
      <c r="AB179" s="118" t="n">
        <f aca="false">1</f>
        <v>1</v>
      </c>
      <c r="AC179" s="75" t="n">
        <f aca="false">IFERROR(ROUND($AB179*INDEX(HTS!$BH:$BH,MATCH($E179,HTS!$E:$E,0)),0),"")</f>
        <v>300</v>
      </c>
      <c r="AD179" s="118" t="n">
        <f aca="false">1</f>
        <v>1</v>
      </c>
      <c r="AE179" s="75" t="n">
        <f aca="false">IFERROR(ROUND($AD179*INDEX(HTS!$BK:$BK,MATCH($E179,HTS!$E:$E,0)),0),"")</f>
        <v>348</v>
      </c>
      <c r="AF179" s="73" t="n">
        <f aca="false">IF(SUM($O179,$Q179,$S179,$K179,$G179,$I179,$M179,$U179,$W179,$Y179,$AA179,$AC179,$AE179)=0,"",SUM($O179,$Q179,$S179,$K179,$G179,$I179,$M179,$U179,$W179,$Y179,$AA179,$AC179,$AE179))</f>
        <v>-9428</v>
      </c>
      <c r="AG179" s="73" t="n">
        <f aca="false">INDEX(HTS!$BN:$BN,MATCH($E179,HTS!$E:$E,0))</f>
        <v>-9428</v>
      </c>
      <c r="AH179" s="118" t="str">
        <f aca="false">IF(SUM($AG179)&lt;=0,"",$AF179/$AG179)</f>
        <v/>
      </c>
    </row>
    <row r="180" customFormat="false" ht="15" hidden="false" customHeight="false" outlineLevel="0" collapsed="false">
      <c r="A180" s="0" t="s">
        <v>151</v>
      </c>
      <c r="B180" s="0" t="s">
        <v>101</v>
      </c>
      <c r="C180" s="0" t="s">
        <v>69</v>
      </c>
      <c r="D180" s="0" t="s">
        <v>58</v>
      </c>
      <c r="E180" s="0" t="str">
        <f aca="false">B180&amp;"|"&amp;C180&amp;"|"&amp;D180</f>
        <v>Thaba Tseka [#SNU] [jyhIrCoB31x]|25-29|Male</v>
      </c>
      <c r="F180" s="118" t="str">
        <f aca="false">IF($D180="Female",100%,"")</f>
        <v/>
      </c>
      <c r="G180" s="75" t="str">
        <f aca="false">IFERROR(ROUND($F180*INDEX(PMTCT!$AE:$AE,MATCH($E180,PMTCT!$E:$E,0)),0),"")</f>
        <v/>
      </c>
      <c r="H180" s="118" t="str">
        <f aca="false">IF($D180="Female",100%,"")</f>
        <v/>
      </c>
      <c r="I180" s="75" t="str">
        <f aca="false">IFERROR(ROUND($H180*INDEX(PMTCT!$AU:$AU,MATCH($E180,PMTCT!$E:$E,0)),0),"")</f>
        <v/>
      </c>
      <c r="J180" s="118" t="n">
        <f aca="false">1</f>
        <v>1</v>
      </c>
      <c r="K180" s="75" t="n">
        <f aca="false">IFERROR(ROUND($J180*INDEX(TB!$Q:$Q,MATCH($E180,HTS!$E:$E,0)),0),"")</f>
        <v>-0</v>
      </c>
      <c r="L180" s="118" t="n">
        <f aca="false">IF($D180="Male",100%,"")</f>
        <v>1</v>
      </c>
      <c r="M180" s="75" t="str">
        <f aca="false">IFERROR(ROUND($L180*INDEX(VMMC!$AC:$AC,MATCH($E180,VMMC!$E:$E,0)),0),"")</f>
        <v/>
      </c>
      <c r="N180" s="118" t="n">
        <f aca="false">1</f>
        <v>1</v>
      </c>
      <c r="O180" s="75" t="str">
        <f aca="false">IFERROR(ROUND($N180*INDEX(HTS!$Q:$Q,MATCH($E180,HTS!$E:$E,0)),0),"")</f>
        <v/>
      </c>
      <c r="P180" s="118" t="n">
        <f aca="false">1</f>
        <v>1</v>
      </c>
      <c r="Q180" s="75" t="n">
        <f aca="false">IFERROR(ROUND($P180*INDEX(HTS!$S:$S,MATCH($E180,HTS!$E:$E,0)),0),"")</f>
        <v>2</v>
      </c>
      <c r="R180" s="118" t="n">
        <f aca="false">1</f>
        <v>1</v>
      </c>
      <c r="S180" s="75" t="n">
        <f aca="false">IFERROR(ROUND($R180*INDEX(HTS!$AM:$AM,MATCH($E180,HTS!$E:$E,0)),0),"")</f>
        <v>25</v>
      </c>
      <c r="T180" s="118" t="n">
        <f aca="false">1</f>
        <v>1</v>
      </c>
      <c r="U180" s="75" t="n">
        <f aca="false">IFERROR(ROUND($T180*INDEX(HTS!$AV:$AV,MATCH($E180,HTS!$E:$E,0)),0),"")</f>
        <v>80</v>
      </c>
      <c r="V180" s="118" t="n">
        <f aca="false">1</f>
        <v>1</v>
      </c>
      <c r="W180" s="75" t="n">
        <f aca="false">IFERROR(ROUND($V180*INDEX(HTS!$AY:$AY,MATCH($E180,HTS!$E:$E,0)),0),"")</f>
        <v>100</v>
      </c>
      <c r="X180" s="118" t="n">
        <f aca="false">1</f>
        <v>1</v>
      </c>
      <c r="Y180" s="75" t="n">
        <f aca="false">IFERROR(ROUND($X180*INDEX(HTS!$BB:$BB,MATCH($E180,HTS!$E:$E,0)),0),"")</f>
        <v>195</v>
      </c>
      <c r="Z180" s="118" t="n">
        <f aca="false">1</f>
        <v>1</v>
      </c>
      <c r="AA180" s="75" t="n">
        <f aca="false">IFERROR(ROUND($Z180*INDEX(HTS!$BE:$BE,MATCH($E180,HTS!$E:$E,0)),0),"")</f>
        <v>205</v>
      </c>
      <c r="AB180" s="118" t="n">
        <f aca="false">1</f>
        <v>1</v>
      </c>
      <c r="AC180" s="75" t="n">
        <f aca="false">IFERROR(ROUND($AB180*INDEX(HTS!$BH:$BH,MATCH($E180,HTS!$E:$E,0)),0),"")</f>
        <v>135</v>
      </c>
      <c r="AD180" s="118" t="n">
        <f aca="false">1</f>
        <v>1</v>
      </c>
      <c r="AE180" s="75" t="n">
        <f aca="false">IFERROR(ROUND($AD180*INDEX(HTS!$BK:$BK,MATCH($E180,HTS!$E:$E,0)),0),"")</f>
        <v>40</v>
      </c>
      <c r="AF180" s="73" t="n">
        <f aca="false">IF(SUM($O180,$Q180,$S180,$K180,$G180,$I180,$M180,$U180,$W180,$Y180,$AA180,$AC180,$AE180)=0,"",SUM($O180,$Q180,$S180,$K180,$G180,$I180,$M180,$U180,$W180,$Y180,$AA180,$AC180,$AE180))</f>
        <v>782</v>
      </c>
      <c r="AG180" s="73" t="n">
        <f aca="false">INDEX(HTS!$BN:$BN,MATCH($E180,HTS!$E:$E,0))</f>
        <v>782</v>
      </c>
      <c r="AH180" s="118" t="n">
        <f aca="false">IF(SUM($AG180)&lt;=0,"",$AF180/$AG180)</f>
        <v>1</v>
      </c>
    </row>
    <row r="181" customFormat="false" ht="15" hidden="false" customHeight="false" outlineLevel="0" collapsed="false">
      <c r="A181" s="0" t="s">
        <v>151</v>
      </c>
      <c r="B181" s="0" t="s">
        <v>101</v>
      </c>
      <c r="C181" s="0" t="s">
        <v>72</v>
      </c>
      <c r="D181" s="0" t="s">
        <v>56</v>
      </c>
      <c r="E181" s="0" t="str">
        <f aca="false">B181&amp;"|"&amp;C181&amp;"|"&amp;D181</f>
        <v>Thaba Tseka [#SNU] [jyhIrCoB31x]|30-34|Female</v>
      </c>
      <c r="F181" s="118" t="n">
        <f aca="false">IF($D181="Female",100%,"")</f>
        <v>1</v>
      </c>
      <c r="G181" s="75" t="n">
        <f aca="false">IFERROR(ROUND($F181*INDEX(PMTCT!$AE:$AE,MATCH($E181,PMTCT!$E:$E,0)),0),"")</f>
        <v>-672</v>
      </c>
      <c r="H181" s="118" t="n">
        <f aca="false">IF($D181="Female",100%,"")</f>
        <v>1</v>
      </c>
      <c r="I181" s="75" t="str">
        <f aca="false">IFERROR(ROUND($H181*INDEX(PMTCT!$AU:$AU,MATCH($E181,PMTCT!$E:$E,0)),0),"")</f>
        <v/>
      </c>
      <c r="J181" s="118" t="n">
        <f aca="false">1</f>
        <v>1</v>
      </c>
      <c r="K181" s="75" t="n">
        <f aca="false">IFERROR(ROUND($J181*INDEX(TB!$Q:$Q,MATCH($E181,HTS!$E:$E,0)),0),"")</f>
        <v>-0</v>
      </c>
      <c r="L181" s="118" t="str">
        <f aca="false">IF($D181="Male",100%,"")</f>
        <v/>
      </c>
      <c r="M181" s="75" t="str">
        <f aca="false">IFERROR(ROUND($L181*INDEX(VMMC!$AC:$AC,MATCH($E181,VMMC!$E:$E,0)),0),"")</f>
        <v/>
      </c>
      <c r="N181" s="118" t="n">
        <f aca="false">1</f>
        <v>1</v>
      </c>
      <c r="O181" s="75" t="str">
        <f aca="false">IFERROR(ROUND($N181*INDEX(HTS!$Q:$Q,MATCH($E181,HTS!$E:$E,0)),0),"")</f>
        <v/>
      </c>
      <c r="P181" s="118" t="n">
        <f aca="false">1</f>
        <v>1</v>
      </c>
      <c r="Q181" s="75" t="n">
        <f aca="false">IFERROR(ROUND($P181*INDEX(HTS!$S:$S,MATCH($E181,HTS!$E:$E,0)),0),"")</f>
        <v>1</v>
      </c>
      <c r="R181" s="118" t="n">
        <f aca="false">1</f>
        <v>1</v>
      </c>
      <c r="S181" s="75" t="n">
        <f aca="false">IFERROR(ROUND($R181*INDEX(HTS!$AM:$AM,MATCH($E181,HTS!$E:$E,0)),0),"")</f>
        <v>114</v>
      </c>
      <c r="T181" s="118" t="n">
        <f aca="false">1</f>
        <v>1</v>
      </c>
      <c r="U181" s="75" t="n">
        <f aca="false">IFERROR(ROUND($T181*INDEX(HTS!$AV:$AV,MATCH($E181,HTS!$E:$E,0)),0),"")</f>
        <v>108</v>
      </c>
      <c r="V181" s="118" t="n">
        <f aca="false">1</f>
        <v>1</v>
      </c>
      <c r="W181" s="75" t="n">
        <f aca="false">IFERROR(ROUND($V181*INDEX(HTS!$AY:$AY,MATCH($E181,HTS!$E:$E,0)),0),"")</f>
        <v>72</v>
      </c>
      <c r="X181" s="118" t="n">
        <f aca="false">1</f>
        <v>1</v>
      </c>
      <c r="Y181" s="75" t="n">
        <f aca="false">IFERROR(ROUND($X181*INDEX(HTS!$BB:$BB,MATCH($E181,HTS!$E:$E,0)),0),"")</f>
        <v>141</v>
      </c>
      <c r="Z181" s="118" t="n">
        <f aca="false">1</f>
        <v>1</v>
      </c>
      <c r="AA181" s="75" t="n">
        <f aca="false">IFERROR(ROUND($Z181*INDEX(HTS!$BE:$BE,MATCH($E181,HTS!$E:$E,0)),0),"")</f>
        <v>111</v>
      </c>
      <c r="AB181" s="118" t="n">
        <f aca="false">1</f>
        <v>1</v>
      </c>
      <c r="AC181" s="75" t="n">
        <f aca="false">IFERROR(ROUND($AB181*INDEX(HTS!$BH:$BH,MATCH($E181,HTS!$E:$E,0)),0),"")</f>
        <v>144</v>
      </c>
      <c r="AD181" s="118" t="n">
        <f aca="false">1</f>
        <v>1</v>
      </c>
      <c r="AE181" s="75" t="n">
        <f aca="false">IFERROR(ROUND($AD181*INDEX(HTS!$BK:$BK,MATCH($E181,HTS!$E:$E,0)),0),"")</f>
        <v>6</v>
      </c>
      <c r="AF181" s="73" t="n">
        <f aca="false">IF(SUM($O181,$Q181,$S181,$K181,$G181,$I181,$M181,$U181,$W181,$Y181,$AA181,$AC181,$AE181)=0,"",SUM($O181,$Q181,$S181,$K181,$G181,$I181,$M181,$U181,$W181,$Y181,$AA181,$AC181,$AE181))</f>
        <v>25</v>
      </c>
      <c r="AG181" s="73" t="n">
        <f aca="false">INDEX(HTS!$BN:$BN,MATCH($E181,HTS!$E:$E,0))</f>
        <v>25</v>
      </c>
      <c r="AH181" s="118" t="n">
        <f aca="false">IF(SUM($AG181)&lt;=0,"",$AF181/$AG181)</f>
        <v>1</v>
      </c>
    </row>
    <row r="182" customFormat="false" ht="15" hidden="false" customHeight="false" outlineLevel="0" collapsed="false">
      <c r="A182" s="0" t="s">
        <v>151</v>
      </c>
      <c r="B182" s="0" t="s">
        <v>101</v>
      </c>
      <c r="C182" s="0" t="s">
        <v>72</v>
      </c>
      <c r="D182" s="0" t="s">
        <v>58</v>
      </c>
      <c r="E182" s="0" t="str">
        <f aca="false">B182&amp;"|"&amp;C182&amp;"|"&amp;D182</f>
        <v>Thaba Tseka [#SNU] [jyhIrCoB31x]|30-34|Male</v>
      </c>
      <c r="F182" s="118" t="str">
        <f aca="false">IF($D182="Female",100%,"")</f>
        <v/>
      </c>
      <c r="G182" s="75" t="str">
        <f aca="false">IFERROR(ROUND($F182*INDEX(PMTCT!$AE:$AE,MATCH($E182,PMTCT!$E:$E,0)),0),"")</f>
        <v/>
      </c>
      <c r="H182" s="118" t="str">
        <f aca="false">IF($D182="Female",100%,"")</f>
        <v/>
      </c>
      <c r="I182" s="75" t="str">
        <f aca="false">IFERROR(ROUND($H182*INDEX(PMTCT!$AU:$AU,MATCH($E182,PMTCT!$E:$E,0)),0),"")</f>
        <v/>
      </c>
      <c r="J182" s="118" t="n">
        <f aca="false">1</f>
        <v>1</v>
      </c>
      <c r="K182" s="75" t="n">
        <f aca="false">IFERROR(ROUND($J182*INDEX(TB!$Q:$Q,MATCH($E182,HTS!$E:$E,0)),0),"")</f>
        <v>-13986</v>
      </c>
      <c r="L182" s="118" t="n">
        <f aca="false">IF($D182="Male",100%,"")</f>
        <v>1</v>
      </c>
      <c r="M182" s="75" t="str">
        <f aca="false">IFERROR(ROUND($L182*INDEX(VMMC!$AC:$AC,MATCH($E182,VMMC!$E:$E,0)),0),"")</f>
        <v/>
      </c>
      <c r="N182" s="118" t="n">
        <f aca="false">1</f>
        <v>1</v>
      </c>
      <c r="O182" s="75" t="str">
        <f aca="false">IFERROR(ROUND($N182*INDEX(HTS!$Q:$Q,MATCH($E182,HTS!$E:$E,0)),0),"")</f>
        <v/>
      </c>
      <c r="P182" s="118" t="n">
        <f aca="false">1</f>
        <v>1</v>
      </c>
      <c r="Q182" s="75" t="n">
        <f aca="false">IFERROR(ROUND($P182*INDEX(HTS!$S:$S,MATCH($E182,HTS!$E:$E,0)),0),"")</f>
        <v>11</v>
      </c>
      <c r="R182" s="118" t="n">
        <f aca="false">1</f>
        <v>1</v>
      </c>
      <c r="S182" s="75" t="n">
        <f aca="false">IFERROR(ROUND($R182*INDEX(HTS!$AM:$AM,MATCH($E182,HTS!$E:$E,0)),0),"")</f>
        <v>148</v>
      </c>
      <c r="T182" s="118" t="n">
        <f aca="false">1</f>
        <v>1</v>
      </c>
      <c r="U182" s="75" t="n">
        <f aca="false">IFERROR(ROUND($T182*INDEX(HTS!$AV:$AV,MATCH($E182,HTS!$E:$E,0)),0),"")</f>
        <v>1591</v>
      </c>
      <c r="V182" s="118" t="n">
        <f aca="false">1</f>
        <v>1</v>
      </c>
      <c r="W182" s="75" t="n">
        <f aca="false">IFERROR(ROUND($V182*INDEX(HTS!$AY:$AY,MATCH($E182,HTS!$E:$E,0)),0),"")</f>
        <v>1665</v>
      </c>
      <c r="X182" s="118" t="n">
        <f aca="false">1</f>
        <v>1</v>
      </c>
      <c r="Y182" s="75" t="n">
        <f aca="false">IFERROR(ROUND($X182*INDEX(HTS!$BB:$BB,MATCH($E182,HTS!$E:$E,0)),0),"")</f>
        <v>888</v>
      </c>
      <c r="Z182" s="118" t="n">
        <f aca="false">1</f>
        <v>1</v>
      </c>
      <c r="AA182" s="75" t="n">
        <f aca="false">IFERROR(ROUND($Z182*INDEX(HTS!$BE:$BE,MATCH($E182,HTS!$E:$E,0)),0),"")</f>
        <v>1295</v>
      </c>
      <c r="AB182" s="118" t="n">
        <f aca="false">1</f>
        <v>1</v>
      </c>
      <c r="AC182" s="75" t="n">
        <f aca="false">IFERROR(ROUND($AB182*INDEX(HTS!$BH:$BH,MATCH($E182,HTS!$E:$E,0)),0),"")</f>
        <v>1295</v>
      </c>
      <c r="AD182" s="118" t="n">
        <f aca="false">1</f>
        <v>1</v>
      </c>
      <c r="AE182" s="75" t="n">
        <f aca="false">IFERROR(ROUND($AD182*INDEX(HTS!$BK:$BK,MATCH($E182,HTS!$E:$E,0)),0),"")</f>
        <v>1036</v>
      </c>
      <c r="AF182" s="73" t="n">
        <f aca="false">IF(SUM($O182,$Q182,$S182,$K182,$G182,$I182,$M182,$U182,$W182,$Y182,$AA182,$AC182,$AE182)=0,"",SUM($O182,$Q182,$S182,$K182,$G182,$I182,$M182,$U182,$W182,$Y182,$AA182,$AC182,$AE182))</f>
        <v>-6057</v>
      </c>
      <c r="AG182" s="73" t="n">
        <f aca="false">INDEX(HTS!$BN:$BN,MATCH($E182,HTS!$E:$E,0))</f>
        <v>-6057</v>
      </c>
      <c r="AH182" s="118" t="str">
        <f aca="false">IF(SUM($AG182)&lt;=0,"",$AF182/$AG182)</f>
        <v/>
      </c>
    </row>
    <row r="183" customFormat="false" ht="15" hidden="false" customHeight="false" outlineLevel="0" collapsed="false">
      <c r="A183" s="0" t="s">
        <v>151</v>
      </c>
      <c r="B183" s="0" t="s">
        <v>101</v>
      </c>
      <c r="C183" s="0" t="s">
        <v>75</v>
      </c>
      <c r="D183" s="0" t="s">
        <v>56</v>
      </c>
      <c r="E183" s="0" t="str">
        <f aca="false">B183&amp;"|"&amp;C183&amp;"|"&amp;D183</f>
        <v>Thaba Tseka [#SNU] [jyhIrCoB31x]|35-39|Female</v>
      </c>
      <c r="F183" s="118" t="n">
        <f aca="false">IF($D183="Female",100%,"")</f>
        <v>1</v>
      </c>
      <c r="G183" s="75" t="n">
        <f aca="false">IFERROR(ROUND($F183*INDEX(PMTCT!$AE:$AE,MATCH($E183,PMTCT!$E:$E,0)),0),"")</f>
        <v>-32175</v>
      </c>
      <c r="H183" s="118" t="n">
        <f aca="false">IF($D183="Female",100%,"")</f>
        <v>1</v>
      </c>
      <c r="I183" s="75" t="str">
        <f aca="false">IFERROR(ROUND($H183*INDEX(PMTCT!$AU:$AU,MATCH($E183,PMTCT!$E:$E,0)),0),"")</f>
        <v/>
      </c>
      <c r="J183" s="118" t="n">
        <f aca="false">1</f>
        <v>1</v>
      </c>
      <c r="K183" s="75" t="n">
        <f aca="false">IFERROR(ROUND($J183*INDEX(TB!$Q:$Q,MATCH($E183,HTS!$E:$E,0)),0),"")</f>
        <v>-0</v>
      </c>
      <c r="L183" s="118" t="str">
        <f aca="false">IF($D183="Male",100%,"")</f>
        <v/>
      </c>
      <c r="M183" s="75" t="str">
        <f aca="false">IFERROR(ROUND($L183*INDEX(VMMC!$AC:$AC,MATCH($E183,VMMC!$E:$E,0)),0),"")</f>
        <v/>
      </c>
      <c r="N183" s="118" t="n">
        <f aca="false">1</f>
        <v>1</v>
      </c>
      <c r="O183" s="75" t="str">
        <f aca="false">IFERROR(ROUND($N183*INDEX(HTS!$Q:$Q,MATCH($E183,HTS!$E:$E,0)),0),"")</f>
        <v/>
      </c>
      <c r="P183" s="118" t="n">
        <f aca="false">1</f>
        <v>1</v>
      </c>
      <c r="Q183" s="75" t="n">
        <f aca="false">IFERROR(ROUND($P183*INDEX(HTS!$S:$S,MATCH($E183,HTS!$E:$E,0)),0),"")</f>
        <v>2</v>
      </c>
      <c r="R183" s="118" t="n">
        <f aca="false">1</f>
        <v>1</v>
      </c>
      <c r="S183" s="75" t="n">
        <f aca="false">IFERROR(ROUND($R183*INDEX(HTS!$AM:$AM,MATCH($E183,HTS!$E:$E,0)),0),"")</f>
        <v>44</v>
      </c>
      <c r="T183" s="118" t="n">
        <f aca="false">1</f>
        <v>1</v>
      </c>
      <c r="U183" s="75" t="n">
        <f aca="false">IFERROR(ROUND($T183*INDEX(HTS!$AV:$AV,MATCH($E183,HTS!$E:$E,0)),0),"")</f>
        <v>14</v>
      </c>
      <c r="V183" s="118" t="n">
        <f aca="false">1</f>
        <v>1</v>
      </c>
      <c r="W183" s="75" t="n">
        <f aca="false">IFERROR(ROUND($V183*INDEX(HTS!$AY:$AY,MATCH($E183,HTS!$E:$E,0)),0),"")</f>
        <v>74</v>
      </c>
      <c r="X183" s="118" t="n">
        <f aca="false">1</f>
        <v>1</v>
      </c>
      <c r="Y183" s="75" t="n">
        <f aca="false">IFERROR(ROUND($X183*INDEX(HTS!$BB:$BB,MATCH($E183,HTS!$E:$E,0)),0),"")</f>
        <v>4</v>
      </c>
      <c r="Z183" s="118" t="n">
        <f aca="false">1</f>
        <v>1</v>
      </c>
      <c r="AA183" s="75" t="n">
        <f aca="false">IFERROR(ROUND($Z183*INDEX(HTS!$BE:$BE,MATCH($E183,HTS!$E:$E,0)),0),"")</f>
        <v>80</v>
      </c>
      <c r="AB183" s="118" t="n">
        <f aca="false">1</f>
        <v>1</v>
      </c>
      <c r="AC183" s="75" t="n">
        <f aca="false">IFERROR(ROUND($AB183*INDEX(HTS!$BH:$BH,MATCH($E183,HTS!$E:$E,0)),0),"")</f>
        <v>68</v>
      </c>
      <c r="AD183" s="118" t="n">
        <f aca="false">1</f>
        <v>1</v>
      </c>
      <c r="AE183" s="75" t="n">
        <f aca="false">IFERROR(ROUND($AD183*INDEX(HTS!$BK:$BK,MATCH($E183,HTS!$E:$E,0)),0),"")</f>
        <v>54</v>
      </c>
      <c r="AF183" s="73" t="n">
        <f aca="false">IF(SUM($O183,$Q183,$S183,$K183,$G183,$I183,$M183,$U183,$W183,$Y183,$AA183,$AC183,$AE183)=0,"",SUM($O183,$Q183,$S183,$K183,$G183,$I183,$M183,$U183,$W183,$Y183,$AA183,$AC183,$AE183))</f>
        <v>-31835</v>
      </c>
      <c r="AG183" s="73" t="n">
        <f aca="false">INDEX(HTS!$BN:$BN,MATCH($E183,HTS!$E:$E,0))</f>
        <v>-31835</v>
      </c>
      <c r="AH183" s="118" t="str">
        <f aca="false">IF(SUM($AG183)&lt;=0,"",$AF183/$AG183)</f>
        <v/>
      </c>
    </row>
    <row r="184" customFormat="false" ht="15" hidden="false" customHeight="false" outlineLevel="0" collapsed="false">
      <c r="A184" s="0" t="s">
        <v>151</v>
      </c>
      <c r="B184" s="0" t="s">
        <v>101</v>
      </c>
      <c r="C184" s="0" t="s">
        <v>75</v>
      </c>
      <c r="D184" s="0" t="s">
        <v>58</v>
      </c>
      <c r="E184" s="0" t="str">
        <f aca="false">B184&amp;"|"&amp;C184&amp;"|"&amp;D184</f>
        <v>Thaba Tseka [#SNU] [jyhIrCoB31x]|35-39|Male</v>
      </c>
      <c r="F184" s="118" t="str">
        <f aca="false">IF($D184="Female",100%,"")</f>
        <v/>
      </c>
      <c r="G184" s="75" t="str">
        <f aca="false">IFERROR(ROUND($F184*INDEX(PMTCT!$AE:$AE,MATCH($E184,PMTCT!$E:$E,0)),0),"")</f>
        <v/>
      </c>
      <c r="H184" s="118" t="str">
        <f aca="false">IF($D184="Female",100%,"")</f>
        <v/>
      </c>
      <c r="I184" s="75" t="str">
        <f aca="false">IFERROR(ROUND($H184*INDEX(PMTCT!$AU:$AU,MATCH($E184,PMTCT!$E:$E,0)),0),"")</f>
        <v/>
      </c>
      <c r="J184" s="118" t="n">
        <f aca="false">1</f>
        <v>1</v>
      </c>
      <c r="K184" s="75" t="n">
        <f aca="false">IFERROR(ROUND($J184*INDEX(TB!$Q:$Q,MATCH($E184,HTS!$E:$E,0)),0),"")</f>
        <v>-5535</v>
      </c>
      <c r="L184" s="118" t="n">
        <f aca="false">IF($D184="Male",100%,"")</f>
        <v>1</v>
      </c>
      <c r="M184" s="75" t="str">
        <f aca="false">IFERROR(ROUND($L184*INDEX(VMMC!$AC:$AC,MATCH($E184,VMMC!$E:$E,0)),0),"")</f>
        <v/>
      </c>
      <c r="N184" s="118" t="n">
        <f aca="false">1</f>
        <v>1</v>
      </c>
      <c r="O184" s="75" t="str">
        <f aca="false">IFERROR(ROUND($N184*INDEX(HTS!$Q:$Q,MATCH($E184,HTS!$E:$E,0)),0),"")</f>
        <v/>
      </c>
      <c r="P184" s="118" t="n">
        <f aca="false">1</f>
        <v>1</v>
      </c>
      <c r="Q184" s="75" t="n">
        <f aca="false">IFERROR(ROUND($P184*INDEX(HTS!$S:$S,MATCH($E184,HTS!$E:$E,0)),0),"")</f>
        <v>6</v>
      </c>
      <c r="R184" s="118" t="n">
        <f aca="false">1</f>
        <v>1</v>
      </c>
      <c r="S184" s="75" t="n">
        <f aca="false">IFERROR(ROUND($R184*INDEX(HTS!$AM:$AM,MATCH($E184,HTS!$E:$E,0)),0),"")</f>
        <v>987</v>
      </c>
      <c r="T184" s="118" t="n">
        <f aca="false">1</f>
        <v>1</v>
      </c>
      <c r="U184" s="75" t="n">
        <f aca="false">IFERROR(ROUND($T184*INDEX(HTS!$AV:$AV,MATCH($E184,HTS!$E:$E,0)),0),"")</f>
        <v>42</v>
      </c>
      <c r="V184" s="118" t="n">
        <f aca="false">1</f>
        <v>1</v>
      </c>
      <c r="W184" s="75" t="n">
        <f aca="false">IFERROR(ROUND($V184*INDEX(HTS!$AY:$AY,MATCH($E184,HTS!$E:$E,0)),0),"")</f>
        <v>210</v>
      </c>
      <c r="X184" s="118" t="n">
        <f aca="false">1</f>
        <v>1</v>
      </c>
      <c r="Y184" s="75" t="n">
        <f aca="false">IFERROR(ROUND($X184*INDEX(HTS!$BB:$BB,MATCH($E184,HTS!$E:$E,0)),0),"")</f>
        <v>273</v>
      </c>
      <c r="Z184" s="118" t="n">
        <f aca="false">1</f>
        <v>1</v>
      </c>
      <c r="AA184" s="75" t="n">
        <f aca="false">IFERROR(ROUND($Z184*INDEX(HTS!$BE:$BE,MATCH($E184,HTS!$E:$E,0)),0),"")</f>
        <v>441</v>
      </c>
      <c r="AB184" s="118" t="n">
        <f aca="false">1</f>
        <v>1</v>
      </c>
      <c r="AC184" s="75" t="n">
        <f aca="false">IFERROR(ROUND($AB184*INDEX(HTS!$BH:$BH,MATCH($E184,HTS!$E:$E,0)),0),"")</f>
        <v>21</v>
      </c>
      <c r="AD184" s="118" t="n">
        <f aca="false">1</f>
        <v>1</v>
      </c>
      <c r="AE184" s="75" t="n">
        <f aca="false">IFERROR(ROUND($AD184*INDEX(HTS!$BK:$BK,MATCH($E184,HTS!$E:$E,0)),0),"")</f>
        <v>21</v>
      </c>
      <c r="AF184" s="73" t="n">
        <f aca="false">IF(SUM($O184,$Q184,$S184,$K184,$G184,$I184,$M184,$U184,$W184,$Y184,$AA184,$AC184,$AE184)=0,"",SUM($O184,$Q184,$S184,$K184,$G184,$I184,$M184,$U184,$W184,$Y184,$AA184,$AC184,$AE184))</f>
        <v>-3534</v>
      </c>
      <c r="AG184" s="73" t="n">
        <f aca="false">INDEX(HTS!$BN:$BN,MATCH($E184,HTS!$E:$E,0))</f>
        <v>-3534</v>
      </c>
      <c r="AH184" s="118" t="str">
        <f aca="false">IF(SUM($AG184)&lt;=0,"",$AF184/$AG184)</f>
        <v/>
      </c>
    </row>
    <row r="185" customFormat="false" ht="15" hidden="false" customHeight="false" outlineLevel="0" collapsed="false">
      <c r="A185" s="0" t="s">
        <v>151</v>
      </c>
      <c r="B185" s="0" t="s">
        <v>101</v>
      </c>
      <c r="C185" s="0" t="s">
        <v>77</v>
      </c>
      <c r="D185" s="0" t="s">
        <v>56</v>
      </c>
      <c r="E185" s="0" t="str">
        <f aca="false">B185&amp;"|"&amp;C185&amp;"|"&amp;D185</f>
        <v>Thaba Tseka [#SNU] [jyhIrCoB31x]|40-44|Female</v>
      </c>
      <c r="F185" s="118" t="n">
        <f aca="false">IF($D185="Female",100%,"")</f>
        <v>1</v>
      </c>
      <c r="G185" s="75" t="n">
        <f aca="false">IFERROR(ROUND($F185*INDEX(PMTCT!$AE:$AE,MATCH($E185,PMTCT!$E:$E,0)),0),"")</f>
        <v>-0</v>
      </c>
      <c r="H185" s="118" t="n">
        <f aca="false">IF($D185="Female",100%,"")</f>
        <v>1</v>
      </c>
      <c r="I185" s="75" t="str">
        <f aca="false">IFERROR(ROUND($H185*INDEX(PMTCT!$AU:$AU,MATCH($E185,PMTCT!$E:$E,0)),0),"")</f>
        <v/>
      </c>
      <c r="J185" s="118" t="n">
        <f aca="false">1</f>
        <v>1</v>
      </c>
      <c r="K185" s="75" t="n">
        <f aca="false">IFERROR(ROUND($J185*INDEX(TB!$Q:$Q,MATCH($E185,HTS!$E:$E,0)),0),"")</f>
        <v>-0</v>
      </c>
      <c r="L185" s="118" t="str">
        <f aca="false">IF($D185="Male",100%,"")</f>
        <v/>
      </c>
      <c r="M185" s="75" t="str">
        <f aca="false">IFERROR(ROUND($L185*INDEX(VMMC!$AC:$AC,MATCH($E185,VMMC!$E:$E,0)),0),"")</f>
        <v/>
      </c>
      <c r="N185" s="118" t="n">
        <f aca="false">1</f>
        <v>1</v>
      </c>
      <c r="O185" s="75" t="str">
        <f aca="false">IFERROR(ROUND($N185*INDEX(HTS!$Q:$Q,MATCH($E185,HTS!$E:$E,0)),0),"")</f>
        <v/>
      </c>
      <c r="P185" s="118" t="n">
        <f aca="false">1</f>
        <v>1</v>
      </c>
      <c r="Q185" s="75" t="str">
        <f aca="false">IFERROR(ROUND($P185*INDEX(HTS!$S:$S,MATCH($E185,HTS!$E:$E,0)),0),"")</f>
        <v/>
      </c>
      <c r="R185" s="118" t="n">
        <f aca="false">1</f>
        <v>1</v>
      </c>
      <c r="S185" s="75" t="str">
        <f aca="false">IFERROR(ROUND($R185*INDEX(HTS!$AM:$AM,MATCH($E185,HTS!$E:$E,0)),0),"")</f>
        <v/>
      </c>
      <c r="T185" s="118" t="n">
        <f aca="false">1</f>
        <v>1</v>
      </c>
      <c r="U185" s="75" t="str">
        <f aca="false">IFERROR(ROUND($T185*INDEX(HTS!$AV:$AV,MATCH($E185,HTS!$E:$E,0)),0),"")</f>
        <v/>
      </c>
      <c r="V185" s="118" t="n">
        <f aca="false">1</f>
        <v>1</v>
      </c>
      <c r="W185" s="75" t="str">
        <f aca="false">IFERROR(ROUND($V185*INDEX(HTS!$AY:$AY,MATCH($E185,HTS!$E:$E,0)),0),"")</f>
        <v/>
      </c>
      <c r="X185" s="118" t="n">
        <f aca="false">1</f>
        <v>1</v>
      </c>
      <c r="Y185" s="75" t="str">
        <f aca="false">IFERROR(ROUND($X185*INDEX(HTS!$BB:$BB,MATCH($E185,HTS!$E:$E,0)),0),"")</f>
        <v/>
      </c>
      <c r="Z185" s="118" t="n">
        <f aca="false">1</f>
        <v>1</v>
      </c>
      <c r="AA185" s="75" t="str">
        <f aca="false">IFERROR(ROUND($Z185*INDEX(HTS!$BE:$BE,MATCH($E185,HTS!$E:$E,0)),0),"")</f>
        <v/>
      </c>
      <c r="AB185" s="118" t="n">
        <f aca="false">1</f>
        <v>1</v>
      </c>
      <c r="AC185" s="75" t="str">
        <f aca="false">IFERROR(ROUND($AB185*INDEX(HTS!$BH:$BH,MATCH($E185,HTS!$E:$E,0)),0),"")</f>
        <v/>
      </c>
      <c r="AD185" s="118" t="n">
        <f aca="false">1</f>
        <v>1</v>
      </c>
      <c r="AE185" s="75" t="str">
        <f aca="false">IFERROR(ROUND($AD185*INDEX(HTS!$BK:$BK,MATCH($E185,HTS!$E:$E,0)),0),"")</f>
        <v/>
      </c>
      <c r="AF185" s="73" t="str">
        <f aca="false">IF(SUM($O185,$Q185,$S185,$K185,$G185,$I185,$M185,$U185,$W185,$Y185,$AA185,$AC185,$AE185)=0,"",SUM($O185,$Q185,$S185,$K185,$G185,$I185,$M185,$U185,$W185,$Y185,$AA185,$AC185,$AE185))</f>
        <v/>
      </c>
      <c r="AG185" s="73" t="str">
        <f aca="false">INDEX(HTS!$BN:$BN,MATCH($E185,HTS!$E:$E,0))</f>
        <v/>
      </c>
      <c r="AH185" s="118" t="str">
        <f aca="false">IF(SUM($AG185)&lt;=0,"",$AF185/$AG185)</f>
        <v/>
      </c>
    </row>
    <row r="186" customFormat="false" ht="15" hidden="false" customHeight="false" outlineLevel="0" collapsed="false">
      <c r="A186" s="0" t="s">
        <v>151</v>
      </c>
      <c r="B186" s="0" t="s">
        <v>101</v>
      </c>
      <c r="C186" s="0" t="s">
        <v>77</v>
      </c>
      <c r="D186" s="0" t="s">
        <v>58</v>
      </c>
      <c r="E186" s="0" t="str">
        <f aca="false">B186&amp;"|"&amp;C186&amp;"|"&amp;D186</f>
        <v>Thaba Tseka [#SNU] [jyhIrCoB31x]|40-44|Male</v>
      </c>
      <c r="F186" s="118" t="str">
        <f aca="false">IF($D186="Female",100%,"")</f>
        <v/>
      </c>
      <c r="G186" s="75" t="str">
        <f aca="false">IFERROR(ROUND($F186*INDEX(PMTCT!$AE:$AE,MATCH($E186,PMTCT!$E:$E,0)),0),"")</f>
        <v/>
      </c>
      <c r="H186" s="118" t="str">
        <f aca="false">IF($D186="Female",100%,"")</f>
        <v/>
      </c>
      <c r="I186" s="75" t="str">
        <f aca="false">IFERROR(ROUND($H186*INDEX(PMTCT!$AU:$AU,MATCH($E186,PMTCT!$E:$E,0)),0),"")</f>
        <v/>
      </c>
      <c r="J186" s="118" t="n">
        <f aca="false">1</f>
        <v>1</v>
      </c>
      <c r="K186" s="75" t="n">
        <f aca="false">IFERROR(ROUND($J186*INDEX(TB!$Q:$Q,MATCH($E186,HTS!$E:$E,0)),0),"")</f>
        <v>-3069</v>
      </c>
      <c r="L186" s="118" t="n">
        <f aca="false">IF($D186="Male",100%,"")</f>
        <v>1</v>
      </c>
      <c r="M186" s="75" t="str">
        <f aca="false">IFERROR(ROUND($L186*INDEX(VMMC!$AC:$AC,MATCH($E186,VMMC!$E:$E,0)),0),"")</f>
        <v/>
      </c>
      <c r="N186" s="118" t="n">
        <f aca="false">1</f>
        <v>1</v>
      </c>
      <c r="O186" s="75" t="str">
        <f aca="false">IFERROR(ROUND($N186*INDEX(HTS!$Q:$Q,MATCH($E186,HTS!$E:$E,0)),0),"")</f>
        <v/>
      </c>
      <c r="P186" s="118" t="n">
        <f aca="false">1</f>
        <v>1</v>
      </c>
      <c r="Q186" s="75" t="n">
        <f aca="false">IFERROR(ROUND($P186*INDEX(HTS!$S:$S,MATCH($E186,HTS!$E:$E,0)),0),"")</f>
        <v>1</v>
      </c>
      <c r="R186" s="118" t="n">
        <f aca="false">1</f>
        <v>1</v>
      </c>
      <c r="S186" s="75" t="n">
        <f aca="false">IFERROR(ROUND($R186*INDEX(HTS!$AM:$AM,MATCH($E186,HTS!$E:$E,0)),0),"")</f>
        <v>2</v>
      </c>
      <c r="T186" s="118" t="n">
        <f aca="false">1</f>
        <v>1</v>
      </c>
      <c r="U186" s="75" t="n">
        <f aca="false">IFERROR(ROUND($T186*INDEX(HTS!$AV:$AV,MATCH($E186,HTS!$E:$E,0)),0),"")</f>
        <v>66</v>
      </c>
      <c r="V186" s="118" t="n">
        <f aca="false">1</f>
        <v>1</v>
      </c>
      <c r="W186" s="75" t="n">
        <f aca="false">IFERROR(ROUND($V186*INDEX(HTS!$AY:$AY,MATCH($E186,HTS!$E:$E,0)),0),"")</f>
        <v>22</v>
      </c>
      <c r="X186" s="118" t="n">
        <f aca="false">1</f>
        <v>1</v>
      </c>
      <c r="Y186" s="75" t="n">
        <f aca="false">IFERROR(ROUND($X186*INDEX(HTS!$BB:$BB,MATCH($E186,HTS!$E:$E,0)),0),"")</f>
        <v>40</v>
      </c>
      <c r="Z186" s="118" t="n">
        <f aca="false">1</f>
        <v>1</v>
      </c>
      <c r="AA186" s="75" t="n">
        <f aca="false">IFERROR(ROUND($Z186*INDEX(HTS!$BE:$BE,MATCH($E186,HTS!$E:$E,0)),0),"")</f>
        <v>94</v>
      </c>
      <c r="AB186" s="118" t="n">
        <f aca="false">1</f>
        <v>1</v>
      </c>
      <c r="AC186" s="75" t="n">
        <f aca="false">IFERROR(ROUND($AB186*INDEX(HTS!$BH:$BH,MATCH($E186,HTS!$E:$E,0)),0),"")</f>
        <v>56</v>
      </c>
      <c r="AD186" s="118" t="n">
        <f aca="false">1</f>
        <v>1</v>
      </c>
      <c r="AE186" s="75" t="n">
        <f aca="false">IFERROR(ROUND($AD186*INDEX(HTS!$BK:$BK,MATCH($E186,HTS!$E:$E,0)),0),"")</f>
        <v>8</v>
      </c>
      <c r="AF186" s="73" t="n">
        <f aca="false">IF(SUM($O186,$Q186,$S186,$K186,$G186,$I186,$M186,$U186,$W186,$Y186,$AA186,$AC186,$AE186)=0,"",SUM($O186,$Q186,$S186,$K186,$G186,$I186,$M186,$U186,$W186,$Y186,$AA186,$AC186,$AE186))</f>
        <v>-2780</v>
      </c>
      <c r="AG186" s="73" t="n">
        <f aca="false">INDEX(HTS!$BN:$BN,MATCH($E186,HTS!$E:$E,0))</f>
        <v>-2780</v>
      </c>
      <c r="AH186" s="118" t="str">
        <f aca="false">IF(SUM($AG186)&lt;=0,"",$AF186/$AG186)</f>
        <v/>
      </c>
    </row>
    <row r="187" customFormat="false" ht="15" hidden="false" customHeight="false" outlineLevel="0" collapsed="false">
      <c r="A187" s="0" t="s">
        <v>151</v>
      </c>
      <c r="B187" s="0" t="s">
        <v>101</v>
      </c>
      <c r="C187" s="0" t="s">
        <v>80</v>
      </c>
      <c r="D187" s="0" t="s">
        <v>56</v>
      </c>
      <c r="E187" s="0" t="str">
        <f aca="false">B187&amp;"|"&amp;C187&amp;"|"&amp;D187</f>
        <v>Thaba Tseka [#SNU] [jyhIrCoB31x]|45-49|Female</v>
      </c>
      <c r="F187" s="118" t="n">
        <f aca="false">IF($D187="Female",100%,"")</f>
        <v>1</v>
      </c>
      <c r="G187" s="75" t="n">
        <f aca="false">IFERROR(ROUND($F187*INDEX(PMTCT!$AE:$AE,MATCH($E187,PMTCT!$E:$E,0)),0),"")</f>
        <v>-0</v>
      </c>
      <c r="H187" s="118" t="n">
        <f aca="false">IF($D187="Female",100%,"")</f>
        <v>1</v>
      </c>
      <c r="I187" s="75" t="str">
        <f aca="false">IFERROR(ROUND($H187*INDEX(PMTCT!$AU:$AU,MATCH($E187,PMTCT!$E:$E,0)),0),"")</f>
        <v/>
      </c>
      <c r="J187" s="118" t="n">
        <f aca="false">1</f>
        <v>1</v>
      </c>
      <c r="K187" s="75" t="n">
        <f aca="false">IFERROR(ROUND($J187*INDEX(TB!$Q:$Q,MATCH($E187,HTS!$E:$E,0)),0),"")</f>
        <v>-0</v>
      </c>
      <c r="L187" s="118" t="str">
        <f aca="false">IF($D187="Male",100%,"")</f>
        <v/>
      </c>
      <c r="M187" s="75" t="str">
        <f aca="false">IFERROR(ROUND($L187*INDEX(VMMC!$AC:$AC,MATCH($E187,VMMC!$E:$E,0)),0),"")</f>
        <v/>
      </c>
      <c r="N187" s="118" t="n">
        <f aca="false">1</f>
        <v>1</v>
      </c>
      <c r="O187" s="75" t="str">
        <f aca="false">IFERROR(ROUND($N187*INDEX(HTS!$Q:$Q,MATCH($E187,HTS!$E:$E,0)),0),"")</f>
        <v/>
      </c>
      <c r="P187" s="118" t="n">
        <f aca="false">1</f>
        <v>1</v>
      </c>
      <c r="Q187" s="75" t="str">
        <f aca="false">IFERROR(ROUND($P187*INDEX(HTS!$S:$S,MATCH($E187,HTS!$E:$E,0)),0),"")</f>
        <v/>
      </c>
      <c r="R187" s="118" t="n">
        <f aca="false">1</f>
        <v>1</v>
      </c>
      <c r="S187" s="75" t="str">
        <f aca="false">IFERROR(ROUND($R187*INDEX(HTS!$AM:$AM,MATCH($E187,HTS!$E:$E,0)),0),"")</f>
        <v/>
      </c>
      <c r="T187" s="118" t="n">
        <f aca="false">1</f>
        <v>1</v>
      </c>
      <c r="U187" s="75" t="str">
        <f aca="false">IFERROR(ROUND($T187*INDEX(HTS!$AV:$AV,MATCH($E187,HTS!$E:$E,0)),0),"")</f>
        <v/>
      </c>
      <c r="V187" s="118" t="n">
        <f aca="false">1</f>
        <v>1</v>
      </c>
      <c r="W187" s="75" t="str">
        <f aca="false">IFERROR(ROUND($V187*INDEX(HTS!$AY:$AY,MATCH($E187,HTS!$E:$E,0)),0),"")</f>
        <v/>
      </c>
      <c r="X187" s="118" t="n">
        <f aca="false">1</f>
        <v>1</v>
      </c>
      <c r="Y187" s="75" t="str">
        <f aca="false">IFERROR(ROUND($X187*INDEX(HTS!$BB:$BB,MATCH($E187,HTS!$E:$E,0)),0),"")</f>
        <v/>
      </c>
      <c r="Z187" s="118" t="n">
        <f aca="false">1</f>
        <v>1</v>
      </c>
      <c r="AA187" s="75" t="str">
        <f aca="false">IFERROR(ROUND($Z187*INDEX(HTS!$BE:$BE,MATCH($E187,HTS!$E:$E,0)),0),"")</f>
        <v/>
      </c>
      <c r="AB187" s="118" t="n">
        <f aca="false">1</f>
        <v>1</v>
      </c>
      <c r="AC187" s="75" t="str">
        <f aca="false">IFERROR(ROUND($AB187*INDEX(HTS!$BH:$BH,MATCH($E187,HTS!$E:$E,0)),0),"")</f>
        <v/>
      </c>
      <c r="AD187" s="118" t="n">
        <f aca="false">1</f>
        <v>1</v>
      </c>
      <c r="AE187" s="75" t="str">
        <f aca="false">IFERROR(ROUND($AD187*INDEX(HTS!$BK:$BK,MATCH($E187,HTS!$E:$E,0)),0),"")</f>
        <v/>
      </c>
      <c r="AF187" s="73" t="str">
        <f aca="false">IF(SUM($O187,$Q187,$S187,$K187,$G187,$I187,$M187,$U187,$W187,$Y187,$AA187,$AC187,$AE187)=0,"",SUM($O187,$Q187,$S187,$K187,$G187,$I187,$M187,$U187,$W187,$Y187,$AA187,$AC187,$AE187))</f>
        <v/>
      </c>
      <c r="AG187" s="73" t="str">
        <f aca="false">INDEX(HTS!$BN:$BN,MATCH($E187,HTS!$E:$E,0))</f>
        <v/>
      </c>
      <c r="AH187" s="118" t="str">
        <f aca="false">IF(SUM($AG187)&lt;=0,"",$AF187/$AG187)</f>
        <v/>
      </c>
    </row>
    <row r="188" customFormat="false" ht="15" hidden="false" customHeight="false" outlineLevel="0" collapsed="false">
      <c r="A188" s="0" t="s">
        <v>151</v>
      </c>
      <c r="B188" s="0" t="s">
        <v>101</v>
      </c>
      <c r="C188" s="0" t="s">
        <v>80</v>
      </c>
      <c r="D188" s="0" t="s">
        <v>58</v>
      </c>
      <c r="E188" s="0" t="str">
        <f aca="false">B188&amp;"|"&amp;C188&amp;"|"&amp;D188</f>
        <v>Thaba Tseka [#SNU] [jyhIrCoB31x]|45-49|Male</v>
      </c>
      <c r="F188" s="118" t="str">
        <f aca="false">IF($D188="Female",100%,"")</f>
        <v/>
      </c>
      <c r="G188" s="75" t="str">
        <f aca="false">IFERROR(ROUND($F188*INDEX(PMTCT!$AE:$AE,MATCH($E188,PMTCT!$E:$E,0)),0),"")</f>
        <v/>
      </c>
      <c r="H188" s="118" t="str">
        <f aca="false">IF($D188="Female",100%,"")</f>
        <v/>
      </c>
      <c r="I188" s="75" t="str">
        <f aca="false">IFERROR(ROUND($H188*INDEX(PMTCT!$AU:$AU,MATCH($E188,PMTCT!$E:$E,0)),0),"")</f>
        <v/>
      </c>
      <c r="J188" s="118" t="n">
        <f aca="false">1</f>
        <v>1</v>
      </c>
      <c r="K188" s="75" t="n">
        <f aca="false">IFERROR(ROUND($J188*INDEX(TB!$Q:$Q,MATCH($E188,HTS!$E:$E,0)),0),"")</f>
        <v>-6400</v>
      </c>
      <c r="L188" s="118" t="n">
        <f aca="false">IF($D188="Male",100%,"")</f>
        <v>1</v>
      </c>
      <c r="M188" s="75" t="str">
        <f aca="false">IFERROR(ROUND($L188*INDEX(VMMC!$AC:$AC,MATCH($E188,VMMC!$E:$E,0)),0),"")</f>
        <v/>
      </c>
      <c r="N188" s="118" t="n">
        <f aca="false">1</f>
        <v>1</v>
      </c>
      <c r="O188" s="75" t="str">
        <f aca="false">IFERROR(ROUND($N188*INDEX(HTS!$Q:$Q,MATCH($E188,HTS!$E:$E,0)),0),"")</f>
        <v/>
      </c>
      <c r="P188" s="118" t="n">
        <f aca="false">1</f>
        <v>1</v>
      </c>
      <c r="Q188" s="75" t="n">
        <f aca="false">IFERROR(ROUND($P188*INDEX(HTS!$S:$S,MATCH($E188,HTS!$E:$E,0)),0),"")</f>
        <v>1</v>
      </c>
      <c r="R188" s="118" t="n">
        <f aca="false">1</f>
        <v>1</v>
      </c>
      <c r="S188" s="75" t="n">
        <f aca="false">IFERROR(ROUND($R188*INDEX(HTS!$AM:$AM,MATCH($E188,HTS!$E:$E,0)),0),"")</f>
        <v>48</v>
      </c>
      <c r="T188" s="118" t="n">
        <f aca="false">1</f>
        <v>1</v>
      </c>
      <c r="U188" s="75" t="n">
        <f aca="false">IFERROR(ROUND($T188*INDEX(HTS!$AV:$AV,MATCH($E188,HTS!$E:$E,0)),0),"")</f>
        <v>45</v>
      </c>
      <c r="V188" s="118" t="n">
        <f aca="false">1</f>
        <v>1</v>
      </c>
      <c r="W188" s="75" t="n">
        <f aca="false">IFERROR(ROUND($V188*INDEX(HTS!$AY:$AY,MATCH($E188,HTS!$E:$E,0)),0),"")</f>
        <v>14</v>
      </c>
      <c r="X188" s="118" t="n">
        <f aca="false">1</f>
        <v>1</v>
      </c>
      <c r="Y188" s="75" t="n">
        <f aca="false">IFERROR(ROUND($X188*INDEX(HTS!$BB:$BB,MATCH($E188,HTS!$E:$E,0)),0),"")</f>
        <v>29</v>
      </c>
      <c r="Z188" s="118" t="n">
        <f aca="false">1</f>
        <v>1</v>
      </c>
      <c r="AA188" s="75" t="n">
        <f aca="false">IFERROR(ROUND($Z188*INDEX(HTS!$BE:$BE,MATCH($E188,HTS!$E:$E,0)),0),"")</f>
        <v>43</v>
      </c>
      <c r="AB188" s="118" t="n">
        <f aca="false">1</f>
        <v>1</v>
      </c>
      <c r="AC188" s="75" t="n">
        <f aca="false">IFERROR(ROUND($AB188*INDEX(HTS!$BH:$BH,MATCH($E188,HTS!$E:$E,0)),0),"")</f>
        <v>28</v>
      </c>
      <c r="AD188" s="118" t="n">
        <f aca="false">1</f>
        <v>1</v>
      </c>
      <c r="AE188" s="75" t="n">
        <f aca="false">IFERROR(ROUND($AD188*INDEX(HTS!$BK:$BK,MATCH($E188,HTS!$E:$E,0)),0),"")</f>
        <v>26</v>
      </c>
      <c r="AF188" s="73" t="n">
        <f aca="false">IF(SUM($O188,$Q188,$S188,$K188,$G188,$I188,$M188,$U188,$W188,$Y188,$AA188,$AC188,$AE188)=0,"",SUM($O188,$Q188,$S188,$K188,$G188,$I188,$M188,$U188,$W188,$Y188,$AA188,$AC188,$AE188))</f>
        <v>-6166</v>
      </c>
      <c r="AG188" s="73" t="n">
        <f aca="false">INDEX(HTS!$BN:$BN,MATCH($E188,HTS!$E:$E,0))</f>
        <v>-6166</v>
      </c>
      <c r="AH188" s="118" t="str">
        <f aca="false">IF(SUM($AG188)&lt;=0,"",$AF188/$AG188)</f>
        <v/>
      </c>
    </row>
    <row r="189" customFormat="false" ht="15" hidden="false" customHeight="false" outlineLevel="0" collapsed="false">
      <c r="A189" s="0" t="s">
        <v>151</v>
      </c>
      <c r="B189" s="0" t="s">
        <v>101</v>
      </c>
      <c r="C189" s="0" t="s">
        <v>86</v>
      </c>
      <c r="D189" s="0" t="s">
        <v>56</v>
      </c>
      <c r="E189" s="0" t="str">
        <f aca="false">B189&amp;"|"&amp;C189&amp;"|"&amp;D189</f>
        <v>Thaba Tseka [#SNU] [jyhIrCoB31x]|50+|Female</v>
      </c>
      <c r="F189" s="118" t="n">
        <f aca="false">IF($D189="Female",100%,"")</f>
        <v>1</v>
      </c>
      <c r="G189" s="75" t="str">
        <f aca="false">IFERROR(ROUND($F189*INDEX(PMTCT!$AE:$AE,MATCH($E189,PMTCT!$E:$E,0)),0),"")</f>
        <v/>
      </c>
      <c r="H189" s="118" t="n">
        <f aca="false">IF($D189="Female",100%,"")</f>
        <v>1</v>
      </c>
      <c r="I189" s="75" t="str">
        <f aca="false">IFERROR(ROUND($H189*INDEX(PMTCT!$AU:$AU,MATCH($E189,PMTCT!$E:$E,0)),0),"")</f>
        <v/>
      </c>
      <c r="J189" s="118" t="n">
        <f aca="false">1</f>
        <v>1</v>
      </c>
      <c r="K189" s="75" t="n">
        <f aca="false">IFERROR(ROUND($J189*INDEX(TB!$Q:$Q,MATCH($E189,HTS!$E:$E,0)),0),"")</f>
        <v>-5670</v>
      </c>
      <c r="L189" s="118" t="str">
        <f aca="false">IF($D189="Male",100%,"")</f>
        <v/>
      </c>
      <c r="M189" s="75" t="str">
        <f aca="false">IFERROR(ROUND($L189*INDEX(VMMC!$AC:$AC,MATCH($E189,VMMC!$E:$E,0)),0),"")</f>
        <v/>
      </c>
      <c r="N189" s="118" t="n">
        <f aca="false">1</f>
        <v>1</v>
      </c>
      <c r="O189" s="75" t="str">
        <f aca="false">IFERROR(ROUND($N189*INDEX(HTS!$Q:$Q,MATCH($E189,HTS!$E:$E,0)),0),"")</f>
        <v/>
      </c>
      <c r="P189" s="118" t="n">
        <f aca="false">1</f>
        <v>1</v>
      </c>
      <c r="Q189" s="75" t="str">
        <f aca="false">IFERROR(ROUND($P189*INDEX(HTS!$S:$S,MATCH($E189,HTS!$E:$E,0)),0),"")</f>
        <v/>
      </c>
      <c r="R189" s="118" t="n">
        <f aca="false">1</f>
        <v>1</v>
      </c>
      <c r="S189" s="75" t="str">
        <f aca="false">IFERROR(ROUND($R189*INDEX(HTS!$AM:$AM,MATCH($E189,HTS!$E:$E,0)),0),"")</f>
        <v/>
      </c>
      <c r="T189" s="118" t="n">
        <f aca="false">1</f>
        <v>1</v>
      </c>
      <c r="U189" s="75" t="str">
        <f aca="false">IFERROR(ROUND($T189*INDEX(HTS!$AV:$AV,MATCH($E189,HTS!$E:$E,0)),0),"")</f>
        <v/>
      </c>
      <c r="V189" s="118" t="n">
        <f aca="false">1</f>
        <v>1</v>
      </c>
      <c r="W189" s="75" t="str">
        <f aca="false">IFERROR(ROUND($V189*INDEX(HTS!$AY:$AY,MATCH($E189,HTS!$E:$E,0)),0),"")</f>
        <v/>
      </c>
      <c r="X189" s="118" t="n">
        <f aca="false">1</f>
        <v>1</v>
      </c>
      <c r="Y189" s="75" t="str">
        <f aca="false">IFERROR(ROUND($X189*INDEX(HTS!$BB:$BB,MATCH($E189,HTS!$E:$E,0)),0),"")</f>
        <v/>
      </c>
      <c r="Z189" s="118" t="n">
        <f aca="false">1</f>
        <v>1</v>
      </c>
      <c r="AA189" s="75" t="str">
        <f aca="false">IFERROR(ROUND($Z189*INDEX(HTS!$BE:$BE,MATCH($E189,HTS!$E:$E,0)),0),"")</f>
        <v/>
      </c>
      <c r="AB189" s="118" t="n">
        <f aca="false">1</f>
        <v>1</v>
      </c>
      <c r="AC189" s="75" t="str">
        <f aca="false">IFERROR(ROUND($AB189*INDEX(HTS!$BH:$BH,MATCH($E189,HTS!$E:$E,0)),0),"")</f>
        <v/>
      </c>
      <c r="AD189" s="118" t="n">
        <f aca="false">1</f>
        <v>1</v>
      </c>
      <c r="AE189" s="75" t="str">
        <f aca="false">IFERROR(ROUND($AD189*INDEX(HTS!$BK:$BK,MATCH($E189,HTS!$E:$E,0)),0),"")</f>
        <v/>
      </c>
      <c r="AF189" s="73" t="n">
        <f aca="false">IF(SUM($O189,$Q189,$S189,$K189,$G189,$I189,$M189,$U189,$W189,$Y189,$AA189,$AC189,$AE189)=0,"",SUM($O189,$Q189,$S189,$K189,$G189,$I189,$M189,$U189,$W189,$Y189,$AA189,$AC189,$AE189))</f>
        <v>-5670</v>
      </c>
      <c r="AG189" s="73" t="str">
        <f aca="false">INDEX(HTS!$BN:$BN,MATCH($E189,HTS!$E:$E,0))</f>
        <v/>
      </c>
      <c r="AH189" s="118" t="str">
        <f aca="false">IF(SUM($AG189)&lt;=0,"",$AF189/$AG189)</f>
        <v/>
      </c>
    </row>
    <row r="190" customFormat="false" ht="15" hidden="false" customHeight="false" outlineLevel="0" collapsed="false">
      <c r="A190" s="0" t="s">
        <v>151</v>
      </c>
      <c r="B190" s="0" t="s">
        <v>101</v>
      </c>
      <c r="C190" s="0" t="s">
        <v>86</v>
      </c>
      <c r="D190" s="0" t="s">
        <v>58</v>
      </c>
      <c r="E190" s="0" t="str">
        <f aca="false">B190&amp;"|"&amp;C190&amp;"|"&amp;D190</f>
        <v>Thaba Tseka [#SNU] [jyhIrCoB31x]|50+|Male</v>
      </c>
      <c r="F190" s="118" t="str">
        <f aca="false">IF($D190="Female",100%,"")</f>
        <v/>
      </c>
      <c r="G190" s="75" t="str">
        <f aca="false">IFERROR(ROUND($F190*INDEX(PMTCT!$AE:$AE,MATCH($E190,PMTCT!$E:$E,0)),0),"")</f>
        <v/>
      </c>
      <c r="H190" s="118" t="str">
        <f aca="false">IF($D190="Female",100%,"")</f>
        <v/>
      </c>
      <c r="I190" s="75" t="str">
        <f aca="false">IFERROR(ROUND($H190*INDEX(PMTCT!$AU:$AU,MATCH($E190,PMTCT!$E:$E,0)),0),"")</f>
        <v/>
      </c>
      <c r="J190" s="118" t="n">
        <f aca="false">1</f>
        <v>1</v>
      </c>
      <c r="K190" s="75" t="n">
        <f aca="false">IFERROR(ROUND($J190*INDEX(TB!$Q:$Q,MATCH($E190,HTS!$E:$E,0)),0),"")</f>
        <v>-8112</v>
      </c>
      <c r="L190" s="118" t="n">
        <f aca="false">IF($D190="Male",100%,"")</f>
        <v>1</v>
      </c>
      <c r="M190" s="75" t="str">
        <f aca="false">IFERROR(ROUND($L190*INDEX(VMMC!$AC:$AC,MATCH($E190,VMMC!$E:$E,0)),0),"")</f>
        <v/>
      </c>
      <c r="N190" s="118" t="n">
        <f aca="false">1</f>
        <v>1</v>
      </c>
      <c r="O190" s="75" t="str">
        <f aca="false">IFERROR(ROUND($N190*INDEX(HTS!$Q:$Q,MATCH($E190,HTS!$E:$E,0)),0),"")</f>
        <v/>
      </c>
      <c r="P190" s="118" t="n">
        <f aca="false">1</f>
        <v>1</v>
      </c>
      <c r="Q190" s="75" t="str">
        <f aca="false">IFERROR(ROUND($P190*INDEX(HTS!$S:$S,MATCH($E190,HTS!$E:$E,0)),0),"")</f>
        <v/>
      </c>
      <c r="R190" s="118" t="n">
        <f aca="false">1</f>
        <v>1</v>
      </c>
      <c r="S190" s="75" t="str">
        <f aca="false">IFERROR(ROUND($R190*INDEX(HTS!$AM:$AM,MATCH($E190,HTS!$E:$E,0)),0),"")</f>
        <v/>
      </c>
      <c r="T190" s="118" t="n">
        <f aca="false">1</f>
        <v>1</v>
      </c>
      <c r="U190" s="75" t="str">
        <f aca="false">IFERROR(ROUND($T190*INDEX(HTS!$AV:$AV,MATCH($E190,HTS!$E:$E,0)),0),"")</f>
        <v/>
      </c>
      <c r="V190" s="118" t="n">
        <f aca="false">1</f>
        <v>1</v>
      </c>
      <c r="W190" s="75" t="str">
        <f aca="false">IFERROR(ROUND($V190*INDEX(HTS!$AY:$AY,MATCH($E190,HTS!$E:$E,0)),0),"")</f>
        <v/>
      </c>
      <c r="X190" s="118" t="n">
        <f aca="false">1</f>
        <v>1</v>
      </c>
      <c r="Y190" s="75" t="str">
        <f aca="false">IFERROR(ROUND($X190*INDEX(HTS!$BB:$BB,MATCH($E190,HTS!$E:$E,0)),0),"")</f>
        <v/>
      </c>
      <c r="Z190" s="118" t="n">
        <f aca="false">1</f>
        <v>1</v>
      </c>
      <c r="AA190" s="75" t="str">
        <f aca="false">IFERROR(ROUND($Z190*INDEX(HTS!$BE:$BE,MATCH($E190,HTS!$E:$E,0)),0),"")</f>
        <v/>
      </c>
      <c r="AB190" s="118" t="n">
        <f aca="false">1</f>
        <v>1</v>
      </c>
      <c r="AC190" s="75" t="str">
        <f aca="false">IFERROR(ROUND($AB190*INDEX(HTS!$BH:$BH,MATCH($E190,HTS!$E:$E,0)),0),"")</f>
        <v/>
      </c>
      <c r="AD190" s="118" t="n">
        <f aca="false">1</f>
        <v>1</v>
      </c>
      <c r="AE190" s="75" t="str">
        <f aca="false">IFERROR(ROUND($AD190*INDEX(HTS!$BK:$BK,MATCH($E190,HTS!$E:$E,0)),0),"")</f>
        <v/>
      </c>
      <c r="AF190" s="73" t="n">
        <f aca="false">IF(SUM($O190,$Q190,$S190,$K190,$G190,$I190,$M190,$U190,$W190,$Y190,$AA190,$AC190,$AE190)=0,"",SUM($O190,$Q190,$S190,$K190,$G190,$I190,$M190,$U190,$W190,$Y190,$AA190,$AC190,$AE190))</f>
        <v>-8112</v>
      </c>
      <c r="AG190" s="73" t="str">
        <f aca="false">INDEX(HTS!$BN:$BN,MATCH($E190,HTS!$E:$E,0))</f>
        <v/>
      </c>
      <c r="AH190" s="118" t="str">
        <f aca="false">IF(SUM($AG190)&lt;=0,"",$AF190/$AG190)</f>
        <v/>
      </c>
    </row>
  </sheetData>
  <conditionalFormatting sqref="F1:I1048576">
    <cfRule type="expression" priority="2" aboveAverage="0" equalAverage="0" bottom="0" percent="0" rank="0" text="" dxfId="0">
      <formula>$D1="Male"</formula>
    </cfRule>
  </conditionalFormatting>
  <conditionalFormatting sqref="L1:M1048576">
    <cfRule type="expression" priority="3" aboveAverage="0" equalAverage="0" bottom="0" percent="0" rank="0" text="" dxfId="1">
      <formula>$D1="Female"</formula>
    </cfRule>
  </conditionalFormatting>
  <conditionalFormatting sqref="N1:N1048576 P1:P1048576 R1:R1048576 J1:J1048576 F1:F1048576 H1:H1048576 L1:L1048576 T1:T1048576 V1:V1048576 X1:X1048576 Z1:Z1048576 AB1:AB1048576 AD1:AD1048576">
    <cfRule type="expression" priority="4" aboveAverage="0" equalAverage="0" bottom="0" percent="0" rank="0" text="" dxfId="2">
      <formula>AND(ISNUMBER(F1),ROW(F1)&gt;14,ROUND(F1,2)&gt;1)</formula>
    </cfRule>
    <cfRule type="expression" priority="5" aboveAverage="0" equalAverage="0" bottom="0" percent="0" rank="0" text="" dxfId="3">
      <formula>AND(ISNUMBER(F1),ROW(F1)&gt;14,ROUND(F1,2)&lt;1)</formula>
    </cfRule>
  </conditionalFormatting>
  <conditionalFormatting sqref="AH1:AH1048576">
    <cfRule type="expression" priority="6" aboveAverage="0" equalAverage="0" bottom="0" percent="0" rank="0" text="" dxfId="0">
      <formula>AND(ISNUMBER($AH1),ROW($AH1)&gt;14,SUM($AG1)&gt;0,ROUND($AH1,2)&gt;1)</formula>
    </cfRule>
    <cfRule type="expression" priority="7" aboveAverage="0" equalAverage="0" bottom="0" percent="0" rank="0" text="" dxfId="1">
      <formula>AND(ISNUMBER($AH1),ROW($AH1)&gt;14,ROUND($AH1,2)&lt;1,SUM($AG1)&gt;0)</formula>
    </cfRule>
  </conditionalFormatting>
  <hyperlinks>
    <hyperlink ref="F3" location="PMTCT!AB:AB" display="% of Positives"/>
    <hyperlink ref="H3" location="PMTCT!AJ:AJ" display="% of Positives"/>
    <hyperlink ref="J3" location="TB!Q:Q" display="% of Positives"/>
    <hyperlink ref="L3" location="VMMC!AC:AC" display="% of Positives"/>
    <hyperlink ref="N3" location="HTS!Q:Q" display="% of Positives"/>
    <hyperlink ref="P3" location="HTS!S:S" display="% of Positives"/>
    <hyperlink ref="R3" location="HTS!AM:AM" display="% of Positives"/>
    <hyperlink ref="T3" location="HTS!AV:AV" display="% of Positives"/>
    <hyperlink ref="V3" location="HTS!AY:AY" display="% of Positives"/>
    <hyperlink ref="X3" location="HTS!BB:BB" display="% of Positives"/>
    <hyperlink ref="Z3" location="HTS!BE:BE" display="% of Positives"/>
    <hyperlink ref="AB3" location="HTS!BH:BH" display="% of Positives"/>
    <hyperlink ref="AD3" location="HTS!BK:BK" display="% of Positives"/>
    <hyperlink ref="AG3" location="HTS!BN:BN" display="Total HTS_TST_POS (FY2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Z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
    <col collapsed="false" customWidth="true" hidden="false" outlineLevel="0" max="26" min="6" style="0" width="11.83"/>
    <col collapsed="false" customWidth="true" hidden="false" outlineLevel="0" max="1025" min="27" style="0" width="10.61"/>
  </cols>
  <sheetData>
    <row r="1" customFormat="false" ht="31" hidden="false" customHeight="true" outlineLevel="0" collapsed="false">
      <c r="A1" s="54" t="s">
        <v>769</v>
      </c>
      <c r="B1" s="54"/>
      <c r="C1" s="54"/>
      <c r="D1" s="54"/>
      <c r="E1" s="54"/>
      <c r="F1" s="81" t="s">
        <v>770</v>
      </c>
      <c r="G1" s="81"/>
      <c r="H1" s="81"/>
      <c r="I1" s="81"/>
      <c r="J1" s="83"/>
      <c r="K1" s="83"/>
      <c r="L1" s="76"/>
      <c r="M1" s="76"/>
      <c r="N1" s="76"/>
      <c r="O1" s="76"/>
      <c r="P1" s="82" t="s">
        <v>771</v>
      </c>
      <c r="Q1" s="81"/>
      <c r="R1" s="76"/>
      <c r="S1" s="76"/>
      <c r="T1" s="80" t="s">
        <v>772</v>
      </c>
      <c r="U1" s="76"/>
      <c r="V1" s="81"/>
      <c r="W1" s="76"/>
      <c r="X1" s="76"/>
      <c r="Y1" s="79"/>
      <c r="Z1" s="79"/>
    </row>
    <row r="2" customFormat="false" ht="19" hidden="false" customHeight="true" outlineLevel="0" collapsed="false">
      <c r="A2" s="57"/>
      <c r="B2" s="57"/>
      <c r="C2" s="57"/>
      <c r="D2" s="57"/>
      <c r="E2" s="57"/>
      <c r="F2" s="87" t="s">
        <v>156</v>
      </c>
      <c r="G2" s="87"/>
      <c r="H2" s="87"/>
      <c r="I2" s="87"/>
      <c r="J2" s="89" t="s">
        <v>120</v>
      </c>
      <c r="K2" s="89"/>
      <c r="L2" s="84" t="s">
        <v>121</v>
      </c>
      <c r="M2" s="84"/>
      <c r="N2" s="84"/>
      <c r="O2" s="84"/>
      <c r="P2" s="91" t="s">
        <v>156</v>
      </c>
      <c r="Q2" s="87"/>
      <c r="R2" s="84" t="s">
        <v>121</v>
      </c>
      <c r="S2" s="84"/>
      <c r="T2" s="88" t="s">
        <v>120</v>
      </c>
      <c r="U2" s="89"/>
      <c r="V2" s="87" t="s">
        <v>156</v>
      </c>
      <c r="W2" s="84" t="s">
        <v>121</v>
      </c>
      <c r="X2" s="84"/>
      <c r="Y2" s="87" t="s">
        <v>120</v>
      </c>
      <c r="Z2" s="87"/>
    </row>
    <row r="3" customFormat="false" ht="117" hidden="false" customHeight="true" outlineLevel="0" collapsed="false">
      <c r="A3" s="61"/>
      <c r="B3" s="61"/>
      <c r="C3" s="61"/>
      <c r="D3" s="61"/>
      <c r="E3" s="61"/>
      <c r="F3" s="146" t="s">
        <v>773</v>
      </c>
      <c r="G3" s="146" t="s">
        <v>774</v>
      </c>
      <c r="H3" s="146" t="s">
        <v>775</v>
      </c>
      <c r="I3" s="146" t="s">
        <v>776</v>
      </c>
      <c r="J3" s="142" t="s">
        <v>777</v>
      </c>
      <c r="K3" s="142" t="s">
        <v>778</v>
      </c>
      <c r="L3" s="100" t="s">
        <v>779</v>
      </c>
      <c r="M3" s="100" t="s">
        <v>780</v>
      </c>
      <c r="N3" s="100" t="s">
        <v>781</v>
      </c>
      <c r="O3" s="100" t="s">
        <v>782</v>
      </c>
      <c r="P3" s="148" t="s">
        <v>783</v>
      </c>
      <c r="Q3" s="146" t="s">
        <v>784</v>
      </c>
      <c r="R3" s="100" t="s">
        <v>354</v>
      </c>
      <c r="S3" s="100" t="s">
        <v>353</v>
      </c>
      <c r="T3" s="145" t="s">
        <v>785</v>
      </c>
      <c r="U3" s="168" t="s">
        <v>786</v>
      </c>
      <c r="V3" s="146" t="s">
        <v>787</v>
      </c>
      <c r="W3" s="100" t="s">
        <v>354</v>
      </c>
      <c r="X3" s="100" t="s">
        <v>353</v>
      </c>
      <c r="Y3" s="95" t="s">
        <v>788</v>
      </c>
      <c r="Z3" s="95" t="s">
        <v>789</v>
      </c>
    </row>
    <row r="4" customFormat="false" ht="15" hidden="false" customHeight="false" outlineLevel="0" collapsed="false">
      <c r="A4" s="65"/>
      <c r="B4" s="65"/>
      <c r="C4" s="65"/>
      <c r="D4" s="65" t="s">
        <v>125</v>
      </c>
      <c r="E4" s="65"/>
      <c r="F4" s="108"/>
      <c r="G4" s="108"/>
      <c r="H4" s="108"/>
      <c r="I4" s="108"/>
      <c r="J4" s="110" t="n">
        <f aca="false">SUBTOTAL(109,J$15:INDEX(J:J,COUNTA($B:$B)+14-COUNTA($B$1:$B$14)))</f>
        <v>205137</v>
      </c>
      <c r="K4" s="110" t="n">
        <f aca="false">SUBTOTAL(109,K$15:INDEX(K:K,COUNTA($B:$B)+14-COUNTA($B$1:$B$14)))</f>
        <v>0</v>
      </c>
      <c r="L4" s="105" t="n">
        <f aca="false">SUBTOTAL(109,L$15:INDEX(L:L,COUNTA($B:$B)+14-COUNTA($B$1:$B$14)))</f>
        <v>762389</v>
      </c>
      <c r="M4" s="105" t="n">
        <f aca="false">SUBTOTAL(109,M$15:INDEX(M:M,COUNTA($B:$B)+14-COUNTA($B$1:$B$14)))</f>
        <v>-557252</v>
      </c>
      <c r="N4" s="105" t="n">
        <f aca="false">SUBTOTAL(109,N$15:INDEX(N:N,COUNTA($B:$B)+14-COUNTA($B$1:$B$14)))</f>
        <v>0</v>
      </c>
      <c r="O4" s="105" t="n">
        <f aca="false">SUBTOTAL(109,O$15:INDEX(O:O,COUNTA($B:$B)+14-COUNTA($B$1:$B$14)))</f>
        <v>0</v>
      </c>
      <c r="P4" s="114"/>
      <c r="Q4" s="108"/>
      <c r="R4" s="105" t="n">
        <f aca="false">SUBTOTAL(109,R$15:INDEX(R:R,COUNTA($B:$B)+14-COUNTA($B$1:$B$14)))</f>
        <v>181413</v>
      </c>
      <c r="S4" s="105" t="n">
        <f aca="false">SUBTOTAL(109,S$15:INDEX(S:S,COUNTA($B:$B)+14-COUNTA($B$1:$B$14)))</f>
        <v>0</v>
      </c>
      <c r="T4" s="169" t="n">
        <f aca="false">SUBTOTAL(109,T$15:INDEX(T:T,COUNTA($B:$B)+14-COUNTA($B$1:$B$14)))</f>
        <v>0</v>
      </c>
      <c r="U4" s="110" t="n">
        <f aca="false">SUBTOTAL(109,U$15:INDEX(U:U,COUNTA($B:$B)+14-COUNTA($B$1:$B$14)))</f>
        <v>0</v>
      </c>
      <c r="V4" s="108"/>
      <c r="W4" s="105" t="n">
        <f aca="false">SUBTOTAL(109,W$15:INDEX(W:W,COUNTA($B:$B)+14-COUNTA($B$1:$B$14)))</f>
        <v>163276</v>
      </c>
      <c r="X4" s="105" t="n">
        <f aca="false">SUBTOTAL(109,X$15:INDEX(X:X,COUNTA($B:$B)+14-COUNTA($B$1:$B$14)))</f>
        <v>0</v>
      </c>
      <c r="Y4" s="108" t="str">
        <f aca="false">IF(OR($T4="",$T4&lt;=0),"",(SUM($W4)-$T4)/$T4)</f>
        <v/>
      </c>
      <c r="Z4" s="108" t="str">
        <f aca="false">IF(SUM($U4)=0,"",(SUM($X4)-$U4)/$U4)</f>
        <v/>
      </c>
    </row>
    <row r="5" customFormat="false" ht="12.8" hidden="false" customHeight="false" outlineLevel="0" collapsed="false">
      <c r="A5" s="69" t="s">
        <v>126</v>
      </c>
      <c r="B5" s="69" t="s">
        <v>126</v>
      </c>
      <c r="C5" s="69" t="s">
        <v>126</v>
      </c>
      <c r="D5" s="69" t="s">
        <v>126</v>
      </c>
      <c r="E5" s="69" t="s">
        <v>126</v>
      </c>
      <c r="F5" s="118" t="s">
        <v>126</v>
      </c>
      <c r="G5" s="118" t="s">
        <v>126</v>
      </c>
      <c r="H5" s="118" t="s">
        <v>126</v>
      </c>
      <c r="I5" s="118" t="s">
        <v>126</v>
      </c>
      <c r="J5" s="73" t="s">
        <v>126</v>
      </c>
      <c r="K5" s="73" t="s">
        <v>126</v>
      </c>
      <c r="L5" s="115" t="s">
        <v>225</v>
      </c>
      <c r="M5" s="115" t="s">
        <v>225</v>
      </c>
      <c r="N5" s="115" t="s">
        <v>225</v>
      </c>
      <c r="O5" s="115" t="s">
        <v>225</v>
      </c>
      <c r="P5" s="125" t="s">
        <v>126</v>
      </c>
      <c r="Q5" s="118" t="s">
        <v>126</v>
      </c>
      <c r="R5" s="115" t="s">
        <v>225</v>
      </c>
      <c r="S5" s="115" t="s">
        <v>225</v>
      </c>
      <c r="T5" s="119" t="s">
        <v>225</v>
      </c>
      <c r="U5" s="73" t="s">
        <v>225</v>
      </c>
      <c r="V5" s="118" t="s">
        <v>126</v>
      </c>
      <c r="W5" s="115" t="s">
        <v>225</v>
      </c>
      <c r="X5" s="115" t="s">
        <v>225</v>
      </c>
      <c r="Y5" s="118" t="s">
        <v>126</v>
      </c>
      <c r="Z5" s="118" t="s">
        <v>126</v>
      </c>
    </row>
    <row r="6" customFormat="false" ht="12.8" hidden="false" customHeight="false" outlineLevel="0" collapsed="false">
      <c r="A6" s="69" t="s">
        <v>128</v>
      </c>
      <c r="B6" s="69" t="s">
        <v>128</v>
      </c>
      <c r="C6" s="69" t="s">
        <v>128</v>
      </c>
      <c r="D6" s="69" t="s">
        <v>128</v>
      </c>
      <c r="E6" s="69" t="s">
        <v>128</v>
      </c>
      <c r="F6" s="118" t="s">
        <v>227</v>
      </c>
      <c r="G6" s="118" t="s">
        <v>227</v>
      </c>
      <c r="H6" s="118" t="s">
        <v>228</v>
      </c>
      <c r="I6" s="118" t="s">
        <v>228</v>
      </c>
      <c r="J6" s="73" t="s">
        <v>131</v>
      </c>
      <c r="K6" s="73" t="s">
        <v>131</v>
      </c>
      <c r="L6" s="115" t="s">
        <v>130</v>
      </c>
      <c r="M6" s="115" t="s">
        <v>130</v>
      </c>
      <c r="N6" s="115" t="s">
        <v>130</v>
      </c>
      <c r="O6" s="115" t="s">
        <v>130</v>
      </c>
      <c r="P6" s="125" t="s">
        <v>227</v>
      </c>
      <c r="Q6" s="118" t="s">
        <v>227</v>
      </c>
      <c r="R6" s="115" t="s">
        <v>130</v>
      </c>
      <c r="S6" s="115" t="s">
        <v>130</v>
      </c>
      <c r="T6" s="119" t="s">
        <v>129</v>
      </c>
      <c r="U6" s="73" t="s">
        <v>129</v>
      </c>
      <c r="V6" s="118" t="s">
        <v>227</v>
      </c>
      <c r="W6" s="115" t="s">
        <v>130</v>
      </c>
      <c r="X6" s="115" t="s">
        <v>130</v>
      </c>
      <c r="Y6" s="118" t="s">
        <v>131</v>
      </c>
      <c r="Z6" s="118" t="s">
        <v>131</v>
      </c>
    </row>
    <row r="7" customFormat="false" ht="12.8" hidden="false" customHeight="false" outlineLevel="0" collapsed="false">
      <c r="A7" s="69" t="s">
        <v>132</v>
      </c>
      <c r="B7" s="69" t="s">
        <v>132</v>
      </c>
      <c r="C7" s="69" t="s">
        <v>132</v>
      </c>
      <c r="D7" s="69" t="s">
        <v>132</v>
      </c>
      <c r="E7" s="69" t="s">
        <v>132</v>
      </c>
      <c r="F7" s="118" t="s">
        <v>229</v>
      </c>
      <c r="G7" s="118" t="s">
        <v>229</v>
      </c>
      <c r="H7" s="118" t="s">
        <v>229</v>
      </c>
      <c r="I7" s="118" t="s">
        <v>229</v>
      </c>
      <c r="J7" s="73" t="s">
        <v>133</v>
      </c>
      <c r="K7" s="73" t="s">
        <v>133</v>
      </c>
      <c r="L7" s="115" t="s">
        <v>133</v>
      </c>
      <c r="M7" s="115" t="s">
        <v>133</v>
      </c>
      <c r="N7" s="115" t="s">
        <v>133</v>
      </c>
      <c r="O7" s="115" t="s">
        <v>133</v>
      </c>
      <c r="P7" s="125" t="s">
        <v>229</v>
      </c>
      <c r="Q7" s="118" t="s">
        <v>229</v>
      </c>
      <c r="R7" s="115" t="s">
        <v>133</v>
      </c>
      <c r="S7" s="115" t="s">
        <v>133</v>
      </c>
      <c r="T7" s="119" t="s">
        <v>133</v>
      </c>
      <c r="U7" s="73" t="s">
        <v>133</v>
      </c>
      <c r="V7" s="118" t="s">
        <v>229</v>
      </c>
      <c r="W7" s="115" t="s">
        <v>133</v>
      </c>
      <c r="X7" s="115" t="s">
        <v>133</v>
      </c>
      <c r="Y7" s="118" t="s">
        <v>229</v>
      </c>
      <c r="Z7" s="118" t="s">
        <v>229</v>
      </c>
    </row>
    <row r="8" customFormat="false" ht="12.8" hidden="false" customHeight="false" outlineLevel="0" collapsed="false">
      <c r="L8" s="115" t="s">
        <v>790</v>
      </c>
      <c r="M8" s="115" t="s">
        <v>790</v>
      </c>
      <c r="N8" s="115" t="s">
        <v>790</v>
      </c>
      <c r="O8" s="115" t="s">
        <v>790</v>
      </c>
      <c r="R8" s="115" t="s">
        <v>791</v>
      </c>
      <c r="S8" s="115" t="s">
        <v>791</v>
      </c>
      <c r="T8" s="119" t="s">
        <v>792</v>
      </c>
      <c r="U8" s="73" t="s">
        <v>792</v>
      </c>
      <c r="W8" s="115" t="s">
        <v>792</v>
      </c>
      <c r="X8" s="115" t="s">
        <v>792</v>
      </c>
    </row>
    <row r="9" customFormat="false" ht="12.8" hidden="false" customHeight="false" outlineLevel="0" collapsed="false">
      <c r="L9" s="115" t="s">
        <v>793</v>
      </c>
      <c r="M9" s="115" t="s">
        <v>793</v>
      </c>
      <c r="N9" s="115" t="s">
        <v>793</v>
      </c>
      <c r="O9" s="115" t="s">
        <v>793</v>
      </c>
      <c r="R9" s="115" t="s">
        <v>794</v>
      </c>
      <c r="S9" s="115" t="s">
        <v>794</v>
      </c>
      <c r="T9" s="119" t="s">
        <v>795</v>
      </c>
      <c r="U9" s="73" t="s">
        <v>795</v>
      </c>
      <c r="W9" s="115" t="s">
        <v>795</v>
      </c>
      <c r="X9" s="115" t="s">
        <v>795</v>
      </c>
    </row>
    <row r="10" customFormat="false" ht="12.8" hidden="false" customHeight="false" outlineLevel="0" collapsed="false">
      <c r="L10" s="115" t="s">
        <v>796</v>
      </c>
      <c r="M10" s="115" t="s">
        <v>797</v>
      </c>
      <c r="N10" s="115" t="s">
        <v>798</v>
      </c>
      <c r="O10" s="115" t="s">
        <v>799</v>
      </c>
      <c r="R10" s="115" t="s">
        <v>383</v>
      </c>
      <c r="S10" s="115" t="s">
        <v>382</v>
      </c>
      <c r="T10" s="119" t="s">
        <v>383</v>
      </c>
      <c r="U10" s="73" t="s">
        <v>382</v>
      </c>
      <c r="W10" s="115" t="s">
        <v>383</v>
      </c>
      <c r="X10" s="115" t="s">
        <v>382</v>
      </c>
    </row>
    <row r="11" customFormat="false" ht="12.8" hidden="false" customHeight="false" outlineLevel="0" collapsed="false">
      <c r="F11" s="118" t="s">
        <v>800</v>
      </c>
      <c r="G11" s="118" t="s">
        <v>800</v>
      </c>
      <c r="H11" s="118" t="s">
        <v>800</v>
      </c>
      <c r="I11" s="118" t="s">
        <v>800</v>
      </c>
      <c r="J11" s="73" t="s">
        <v>800</v>
      </c>
      <c r="K11" s="73" t="s">
        <v>800</v>
      </c>
      <c r="L11" s="115" t="s">
        <v>800</v>
      </c>
      <c r="M11" s="115" t="s">
        <v>800</v>
      </c>
      <c r="N11" s="115" t="s">
        <v>800</v>
      </c>
      <c r="O11" s="115" t="s">
        <v>800</v>
      </c>
      <c r="P11" s="125" t="s">
        <v>800</v>
      </c>
      <c r="Q11" s="118" t="s">
        <v>800</v>
      </c>
      <c r="R11" s="115" t="s">
        <v>800</v>
      </c>
      <c r="S11" s="115" t="s">
        <v>800</v>
      </c>
      <c r="T11" s="119" t="s">
        <v>800</v>
      </c>
      <c r="U11" s="73" t="s">
        <v>800</v>
      </c>
      <c r="V11" s="118" t="s">
        <v>800</v>
      </c>
      <c r="W11" s="115" t="s">
        <v>800</v>
      </c>
      <c r="X11" s="115" t="s">
        <v>800</v>
      </c>
      <c r="Y11" s="118" t="s">
        <v>800</v>
      </c>
      <c r="Z11" s="118" t="s">
        <v>800</v>
      </c>
    </row>
    <row r="12" customFormat="false" ht="12.8" hidden="false" customHeight="false" outlineLevel="0" collapsed="false">
      <c r="F12" s="118" t="s">
        <v>249</v>
      </c>
      <c r="G12" s="118" t="s">
        <v>249</v>
      </c>
      <c r="H12" s="118" t="s">
        <v>249</v>
      </c>
      <c r="I12" s="118" t="s">
        <v>249</v>
      </c>
      <c r="J12" s="73" t="s">
        <v>249</v>
      </c>
      <c r="K12" s="73" t="s">
        <v>249</v>
      </c>
      <c r="L12" s="115" t="s">
        <v>249</v>
      </c>
      <c r="M12" s="115" t="s">
        <v>249</v>
      </c>
      <c r="N12" s="115" t="s">
        <v>249</v>
      </c>
      <c r="O12" s="115" t="s">
        <v>249</v>
      </c>
      <c r="P12" s="125" t="s">
        <v>249</v>
      </c>
      <c r="Q12" s="118" t="s">
        <v>249</v>
      </c>
      <c r="R12" s="115" t="s">
        <v>249</v>
      </c>
      <c r="S12" s="115" t="s">
        <v>249</v>
      </c>
      <c r="T12" s="119" t="s">
        <v>249</v>
      </c>
      <c r="U12" s="73" t="s">
        <v>249</v>
      </c>
      <c r="V12" s="118" t="s">
        <v>249</v>
      </c>
      <c r="W12" s="115" t="s">
        <v>249</v>
      </c>
      <c r="X12" s="115" t="s">
        <v>249</v>
      </c>
      <c r="Y12" s="118" t="s">
        <v>249</v>
      </c>
      <c r="Z12" s="118" t="s">
        <v>249</v>
      </c>
    </row>
    <row r="13" customFormat="false" ht="12.8" hidden="false" customHeight="false" outlineLevel="0" collapsed="false"/>
    <row r="14" customFormat="false" ht="15" hidden="false" customHeight="false" outlineLevel="0" collapsed="false">
      <c r="A14" s="70" t="s">
        <v>135</v>
      </c>
      <c r="B14" s="70" t="s">
        <v>136</v>
      </c>
      <c r="C14" s="70" t="s">
        <v>252</v>
      </c>
      <c r="D14" s="70" t="s">
        <v>253</v>
      </c>
      <c r="E14" s="70" t="s">
        <v>42</v>
      </c>
      <c r="F14" s="162" t="s">
        <v>801</v>
      </c>
      <c r="G14" s="162" t="s">
        <v>802</v>
      </c>
      <c r="H14" s="162" t="s">
        <v>803</v>
      </c>
      <c r="I14" s="162" t="s">
        <v>804</v>
      </c>
      <c r="J14" s="131" t="s">
        <v>805</v>
      </c>
      <c r="K14" s="131" t="s">
        <v>806</v>
      </c>
      <c r="L14" s="131" t="s">
        <v>807</v>
      </c>
      <c r="M14" s="131" t="s">
        <v>808</v>
      </c>
      <c r="N14" s="131" t="s">
        <v>809</v>
      </c>
      <c r="O14" s="131" t="s">
        <v>810</v>
      </c>
      <c r="P14" s="163" t="s">
        <v>811</v>
      </c>
      <c r="Q14" s="131" t="s">
        <v>812</v>
      </c>
      <c r="R14" s="131" t="s">
        <v>813</v>
      </c>
      <c r="S14" s="131" t="s">
        <v>814</v>
      </c>
      <c r="T14" s="163" t="s">
        <v>815</v>
      </c>
      <c r="U14" s="131" t="s">
        <v>816</v>
      </c>
      <c r="V14" s="131" t="s">
        <v>817</v>
      </c>
      <c r="W14" s="131" t="s">
        <v>818</v>
      </c>
      <c r="X14" s="131" t="s">
        <v>819</v>
      </c>
      <c r="Y14" s="131" t="s">
        <v>820</v>
      </c>
      <c r="Z14" s="131" t="s">
        <v>821</v>
      </c>
    </row>
    <row r="15" customFormat="false" ht="15" hidden="false" customHeight="false" outlineLevel="0" collapsed="false">
      <c r="A15" s="0" t="s">
        <v>140</v>
      </c>
      <c r="B15" s="0" t="s">
        <v>141</v>
      </c>
      <c r="C15" s="0" t="s">
        <v>20</v>
      </c>
      <c r="D15" s="0" t="s">
        <v>56</v>
      </c>
      <c r="E15" s="69" t="str">
        <f aca="false">B15&amp;"|"&amp;C15&amp;"|"&amp;D15</f>
        <v>_Military Lesotho [#Military] [dDOqoFnD5Be]|&lt;15|Female</v>
      </c>
      <c r="F15" s="118" t="n">
        <f aca="false">1</f>
        <v>1</v>
      </c>
      <c r="G15" s="118" t="n">
        <f aca="false">1</f>
        <v>1</v>
      </c>
      <c r="H15" s="118"/>
      <c r="I15" s="118"/>
      <c r="J15" s="73" t="n">
        <f aca="false">IF($C15="&lt;15",SUM(SUMIFS(Cascade!$AM:$AM,Cascade!$B:$B,$B15,Cascade!$C:$C,{"=&lt;01","01-04","05-09","10-14"},Cascade!$D:$D,$D15)),SUM(SUMIFS(Cascade!$AM:$AM,Cascade!$B:$B,$B15,Cascade!$C:$C,{"15-19","20-24","25-29","30-34","35-39","40-44","45-49","50+"},Cascade!$D:$D,$D15)))</f>
        <v>958</v>
      </c>
      <c r="K15" s="73" t="n">
        <f aca="false">IF($C15="&lt;15",SUM(SUMIFS(Cascade!$U:$U,Cascade!$B:$B,$B15,Cascade!$C:$C,{"=&lt;01","01-04","05-09","10-14"},Cascade!$D:$D,$D15)),SUM(SUMIFS(Cascade!$U:$U,Cascade!$B:$B,$B15,Cascade!$C:$C,{"15-19","20-24","25-29","30-34","35-39","40-44","45-49","50+"},Cascade!$D:$D,$D15)))</f>
        <v>0</v>
      </c>
      <c r="L15" s="115" t="n">
        <f aca="false">IF(AND(SUM($J15)&lt;=0,SUM($H15)=0),"",ROUND($J15*$F15*$H15,0))</f>
        <v>0</v>
      </c>
      <c r="M15" s="115" t="n">
        <f aca="false">IF($J15&lt;=0,"",ROUND($J15*$F15,0)-$L15)</f>
        <v>958</v>
      </c>
      <c r="N15" s="115" t="str">
        <f aca="false">IF(AND(SUM($K15)&lt;=0,SUM($I15)=0),"",ROUND($K15*$G15*$I15,0))</f>
        <v/>
      </c>
      <c r="O15" s="115" t="str">
        <f aca="false">IF($K15&lt;=0,"",ROUND($K15*$G15,0)-$N15)</f>
        <v/>
      </c>
      <c r="P15" s="125" t="n">
        <f aca="false">1</f>
        <v>1</v>
      </c>
      <c r="Q15" s="118" t="n">
        <f aca="false">0.9</f>
        <v>0.9</v>
      </c>
      <c r="R15" s="115" t="n">
        <f aca="false">IF(SUM($M15)&lt;=0,"",ROUND($M15*$P15,0))</f>
        <v>958</v>
      </c>
      <c r="S15" s="115" t="str">
        <f aca="false">IF(SUM($O15)&lt;=0,"",ROUND($O15*$Q15,0))</f>
        <v/>
      </c>
      <c r="T15" s="73"/>
      <c r="U15" s="73"/>
      <c r="V15" s="118" t="n">
        <f aca="false">0.9</f>
        <v>0.9</v>
      </c>
      <c r="W15" s="115" t="n">
        <f aca="false">IF(SUM($R15)&lt;=0,"",ROUND($R15*$V15,0))</f>
        <v>862</v>
      </c>
      <c r="X15" s="115" t="str">
        <f aca="false">IF(SUM($S15)&lt;=0,"",ROUND($S15*$V15,0))</f>
        <v/>
      </c>
      <c r="Y15" s="118" t="str">
        <f aca="false">IF(SUM($T15)&lt;=0,"",(SUM($W15)-$T15)/$T15)</f>
        <v/>
      </c>
      <c r="Z15" s="118" t="str">
        <f aca="false">IF(SUM($U15)&lt;=0,"",(SUM($X15)-$U15)/$U15)</f>
        <v/>
      </c>
    </row>
    <row r="16" customFormat="false" ht="15" hidden="false" customHeight="false" outlineLevel="0" collapsed="false">
      <c r="A16" s="0" t="s">
        <v>140</v>
      </c>
      <c r="B16" s="0" t="s">
        <v>141</v>
      </c>
      <c r="C16" s="0" t="s">
        <v>20</v>
      </c>
      <c r="D16" s="0" t="s">
        <v>58</v>
      </c>
      <c r="E16" s="0" t="str">
        <f aca="false">B16&amp;"|"&amp;C16&amp;"|"&amp;D16</f>
        <v>_Military Lesotho [#Military] [dDOqoFnD5Be]|&lt;15|Male</v>
      </c>
      <c r="F16" s="118" t="n">
        <f aca="false">1</f>
        <v>1</v>
      </c>
      <c r="G16" s="118" t="n">
        <f aca="false">1</f>
        <v>1</v>
      </c>
      <c r="H16" s="118"/>
      <c r="I16" s="118"/>
      <c r="J16" s="73" t="n">
        <f aca="false">IF($C16="&lt;15",SUM(SUMIFS(Cascade!$AM:$AM,Cascade!$B:$B,$B16,Cascade!$C:$C,{"=&lt;01","01-04","05-09","10-14"},Cascade!$D:$D,$D16)),SUM(SUMIFS(Cascade!$AM:$AM,Cascade!$B:$B,$B16,Cascade!$C:$C,{"15-19","20-24","25-29","30-34","35-39","40-44","45-49","50+"},Cascade!$D:$D,$D16)))</f>
        <v>958</v>
      </c>
      <c r="K16" s="73" t="n">
        <f aca="false">IF($C16="&lt;15",SUM(SUMIFS(Cascade!$U:$U,Cascade!$B:$B,$B16,Cascade!$C:$C,{"=&lt;01","01-04","05-09","10-14"},Cascade!$D:$D,$D16)),SUM(SUMIFS(Cascade!$U:$U,Cascade!$B:$B,$B16,Cascade!$C:$C,{"15-19","20-24","25-29","30-34","35-39","40-44","45-49","50+"},Cascade!$D:$D,$D16)))</f>
        <v>0</v>
      </c>
      <c r="L16" s="75" t="n">
        <f aca="false">IF(AND(SUM($J16)&lt;=0,SUM($H16)=0),"",ROUND($J16*$F16*$H16,0))</f>
        <v>0</v>
      </c>
      <c r="M16" s="75" t="n">
        <f aca="false">IF($J16&lt;=0,"",ROUND($J16*$F16,0)-$L16)</f>
        <v>958</v>
      </c>
      <c r="N16" s="75" t="str">
        <f aca="false">IF(AND(SUM($K16)&lt;=0,SUM($I16)=0),"",ROUND($K16*$G16*$I16,0))</f>
        <v/>
      </c>
      <c r="O16" s="75" t="str">
        <f aca="false">IF($K16&lt;=0,"",ROUND($K16*$G16,0)-$N16)</f>
        <v/>
      </c>
      <c r="P16" s="118" t="n">
        <f aca="false">1</f>
        <v>1</v>
      </c>
      <c r="Q16" s="118" t="n">
        <f aca="false">0.9</f>
        <v>0.9</v>
      </c>
      <c r="R16" s="75" t="n">
        <f aca="false">IF(SUM($M16)&lt;=0,"",ROUND($M16*$P16,0))</f>
        <v>958</v>
      </c>
      <c r="S16" s="75" t="str">
        <f aca="false">IF(SUM($O16)&lt;=0,"",ROUND($O16*$Q16,0))</f>
        <v/>
      </c>
      <c r="T16" s="73"/>
      <c r="U16" s="73"/>
      <c r="V16" s="118" t="n">
        <f aca="false">0.9</f>
        <v>0.9</v>
      </c>
      <c r="W16" s="75" t="n">
        <f aca="false">IF(SUM($R16)&lt;=0,"",ROUND($R16*$V16,0))</f>
        <v>862</v>
      </c>
      <c r="X16" s="75" t="str">
        <f aca="false">IF(SUM($S16)&lt;=0,"",ROUND($S16*$V16,0))</f>
        <v/>
      </c>
      <c r="Y16" s="118" t="str">
        <f aca="false">IF(SUM($T16)&lt;=0,"",(SUM($W16)-$T16)/$T16)</f>
        <v/>
      </c>
      <c r="Z16" s="118" t="str">
        <f aca="false">IF(SUM($U16)&lt;=0,"",(SUM($X16)-$U16)/$U16)</f>
        <v/>
      </c>
    </row>
    <row r="17" customFormat="false" ht="15" hidden="false" customHeight="false" outlineLevel="0" collapsed="false">
      <c r="A17" s="0" t="s">
        <v>140</v>
      </c>
      <c r="B17" s="0" t="s">
        <v>141</v>
      </c>
      <c r="C17" s="0" t="s">
        <v>822</v>
      </c>
      <c r="D17" s="0" t="s">
        <v>56</v>
      </c>
      <c r="E17" s="0" t="str">
        <f aca="false">B17&amp;"|"&amp;C17&amp;"|"&amp;D17</f>
        <v>_Military Lesotho [#Military] [dDOqoFnD5Be]|15+|Female</v>
      </c>
      <c r="F17" s="118" t="n">
        <f aca="false">1</f>
        <v>1</v>
      </c>
      <c r="G17" s="118" t="n">
        <f aca="false">1</f>
        <v>1</v>
      </c>
      <c r="H17" s="118" t="n">
        <v>49</v>
      </c>
      <c r="I17" s="118" t="n">
        <v>19</v>
      </c>
      <c r="J17" s="73" t="n">
        <f aca="false">IF($C17="&lt;15",SUM(SUMIFS(Cascade!$AM:$AM,Cascade!$B:$B,$B17,Cascade!$C:$C,{"=&lt;01","01-04","05-09","10-14"},Cascade!$D:$D,$D17)),SUM(SUMIFS(Cascade!$AM:$AM,Cascade!$B:$B,$B17,Cascade!$C:$C,{"15-19","20-24","25-29","30-34","35-39","40-44","45-49","50+"},Cascade!$D:$D,$D17)))</f>
        <v>1</v>
      </c>
      <c r="K17" s="73" t="n">
        <f aca="false">IF($C17="&lt;15",SUM(SUMIFS(Cascade!$U:$U,Cascade!$B:$B,$B17,Cascade!$C:$C,{"=&lt;01","01-04","05-09","10-14"},Cascade!$D:$D,$D17)),SUM(SUMIFS(Cascade!$U:$U,Cascade!$B:$B,$B17,Cascade!$C:$C,{"15-19","20-24","25-29","30-34","35-39","40-44","45-49","50+"},Cascade!$D:$D,$D17)))</f>
        <v>40</v>
      </c>
      <c r="L17" s="75" t="n">
        <f aca="false">IF(AND(SUM($J17)&lt;=0,SUM($H17)=0),"",ROUND($J17*$F17*$H17,0))</f>
        <v>49</v>
      </c>
      <c r="M17" s="75" t="n">
        <f aca="false">IF($J17&lt;=0,"",ROUND($J17*$F17,0)-$L17)</f>
        <v>-48</v>
      </c>
      <c r="N17" s="75" t="n">
        <f aca="false">IF(AND(SUM($K17)&lt;=0,SUM($I17)=0),"",ROUND($K17*$G17*$I17,0))</f>
        <v>760</v>
      </c>
      <c r="O17" s="75" t="n">
        <f aca="false">IF($K17&lt;=0,"",ROUND($K17*$G17,0)-$N17)</f>
        <v>-720</v>
      </c>
      <c r="P17" s="118" t="n">
        <f aca="false">1</f>
        <v>1</v>
      </c>
      <c r="Q17" s="118" t="n">
        <f aca="false">0.9</f>
        <v>0.9</v>
      </c>
      <c r="R17" s="75" t="str">
        <f aca="false">IF(SUM($M17)&lt;=0,"",ROUND($M17*$P17,0))</f>
        <v/>
      </c>
      <c r="S17" s="75" t="str">
        <f aca="false">IF(SUM($O17)&lt;=0,"",ROUND($O17*$Q17,0))</f>
        <v/>
      </c>
      <c r="T17" s="73" t="n">
        <v>7</v>
      </c>
      <c r="U17" s="73"/>
      <c r="V17" s="118" t="n">
        <f aca="false">0.9</f>
        <v>0.9</v>
      </c>
      <c r="W17" s="75" t="str">
        <f aca="false">IF(SUM($R17)&lt;=0,"",ROUND($R17*$V17,0))</f>
        <v/>
      </c>
      <c r="X17" s="75" t="str">
        <f aca="false">IF(SUM($S17)&lt;=0,"",ROUND($S17*$V17,0))</f>
        <v/>
      </c>
      <c r="Y17" s="118" t="n">
        <f aca="false">IF(SUM($T17)&lt;=0,"",(SUM($W17)-$T17)/$T17)</f>
        <v>-1</v>
      </c>
      <c r="Z17" s="118" t="str">
        <f aca="false">IF(SUM($U17)&lt;=0,"",(SUM($X17)-$U17)/$U17)</f>
        <v/>
      </c>
    </row>
    <row r="18" customFormat="false" ht="15" hidden="false" customHeight="false" outlineLevel="0" collapsed="false">
      <c r="A18" s="0" t="s">
        <v>140</v>
      </c>
      <c r="B18" s="0" t="s">
        <v>141</v>
      </c>
      <c r="C18" s="0" t="s">
        <v>822</v>
      </c>
      <c r="D18" s="0" t="s">
        <v>58</v>
      </c>
      <c r="E18" s="0" t="str">
        <f aca="false">B18&amp;"|"&amp;C18&amp;"|"&amp;D18</f>
        <v>_Military Lesotho [#Military] [dDOqoFnD5Be]|15+|Male</v>
      </c>
      <c r="F18" s="118" t="n">
        <f aca="false">1</f>
        <v>1</v>
      </c>
      <c r="G18" s="118" t="n">
        <f aca="false">1</f>
        <v>1</v>
      </c>
      <c r="H18" s="118" t="n">
        <v>38</v>
      </c>
      <c r="I18" s="118" t="n">
        <v>18</v>
      </c>
      <c r="J18" s="73" t="n">
        <f aca="false">IF($C18="&lt;15",SUM(SUMIFS(Cascade!$AM:$AM,Cascade!$B:$B,$B18,Cascade!$C:$C,{"=&lt;01","01-04","05-09","10-14"},Cascade!$D:$D,$D18)),SUM(SUMIFS(Cascade!$AM:$AM,Cascade!$B:$B,$B18,Cascade!$C:$C,{"15-19","20-24","25-29","30-34","35-39","40-44","45-49","50+"},Cascade!$D:$D,$D18)))</f>
        <v>1</v>
      </c>
      <c r="K18" s="73" t="n">
        <f aca="false">IF($C18="&lt;15",SUM(SUMIFS(Cascade!$U:$U,Cascade!$B:$B,$B18,Cascade!$C:$C,{"=&lt;01","01-04","05-09","10-14"},Cascade!$D:$D,$D18)),SUM(SUMIFS(Cascade!$U:$U,Cascade!$B:$B,$B18,Cascade!$C:$C,{"15-19","20-24","25-29","30-34","35-39","40-44","45-49","50+"},Cascade!$D:$D,$D18)))</f>
        <v>46</v>
      </c>
      <c r="L18" s="75" t="n">
        <f aca="false">IF(AND(SUM($J18)&lt;=0,SUM($H18)=0),"",ROUND($J18*$F18*$H18,0))</f>
        <v>38</v>
      </c>
      <c r="M18" s="75" t="n">
        <f aca="false">IF($J18&lt;=0,"",ROUND($J18*$F18,0)-$L18)</f>
        <v>-37</v>
      </c>
      <c r="N18" s="75" t="n">
        <f aca="false">IF(AND(SUM($K18)&lt;=0,SUM($I18)=0),"",ROUND($K18*$G18*$I18,0))</f>
        <v>828</v>
      </c>
      <c r="O18" s="75" t="n">
        <f aca="false">IF($K18&lt;=0,"",ROUND($K18*$G18,0)-$N18)</f>
        <v>-782</v>
      </c>
      <c r="P18" s="118" t="n">
        <f aca="false">1</f>
        <v>1</v>
      </c>
      <c r="Q18" s="118" t="n">
        <f aca="false">0.9</f>
        <v>0.9</v>
      </c>
      <c r="R18" s="75" t="str">
        <f aca="false">IF(SUM($M18)&lt;=0,"",ROUND($M18*$P18,0))</f>
        <v/>
      </c>
      <c r="S18" s="75" t="str">
        <f aca="false">IF(SUM($O18)&lt;=0,"",ROUND($O18*$Q18,0))</f>
        <v/>
      </c>
      <c r="T18" s="73" t="n">
        <v>33</v>
      </c>
      <c r="U18" s="73" t="n">
        <v>21</v>
      </c>
      <c r="V18" s="118" t="n">
        <f aca="false">0.9</f>
        <v>0.9</v>
      </c>
      <c r="W18" s="75" t="str">
        <f aca="false">IF(SUM($R18)&lt;=0,"",ROUND($R18*$V18,0))</f>
        <v/>
      </c>
      <c r="X18" s="75" t="str">
        <f aca="false">IF(SUM($S18)&lt;=0,"",ROUND($S18*$V18,0))</f>
        <v/>
      </c>
      <c r="Y18" s="118" t="n">
        <f aca="false">IF(SUM($T18)&lt;=0,"",(SUM($W18)-$T18)/$T18)</f>
        <v>-1</v>
      </c>
      <c r="Z18" s="118" t="n">
        <f aca="false">IF(SUM($U18)&lt;=0,"",(SUM($X18)-$U18)/$U18)</f>
        <v>-1</v>
      </c>
    </row>
    <row r="19" customFormat="false" ht="15" hidden="false" customHeight="false" outlineLevel="0" collapsed="false">
      <c r="A19" s="0" t="s">
        <v>142</v>
      </c>
      <c r="B19" s="0" t="s">
        <v>109</v>
      </c>
      <c r="C19" s="0" t="s">
        <v>20</v>
      </c>
      <c r="D19" s="0" t="s">
        <v>56</v>
      </c>
      <c r="E19" s="0" t="str">
        <f aca="false">B19&amp;"|"&amp;C19&amp;"|"&amp;D19</f>
        <v>Berea [#SNU] [#DREAMS] [wpg5evyl1OL]|&lt;15|Female</v>
      </c>
      <c r="F19" s="118" t="n">
        <f aca="false">1</f>
        <v>1</v>
      </c>
      <c r="G19" s="118" t="n">
        <f aca="false">1</f>
        <v>1</v>
      </c>
      <c r="H19" s="118"/>
      <c r="I19" s="118" t="n">
        <v>4</v>
      </c>
      <c r="J19" s="73" t="n">
        <f aca="false">IF($C19="&lt;15",SUM(SUMIFS(Cascade!$AM:$AM,Cascade!$B:$B,$B19,Cascade!$C:$C,{"=&lt;01","01-04","05-09","10-14"},Cascade!$D:$D,$D19)),SUM(SUMIFS(Cascade!$AM:$AM,Cascade!$B:$B,$B19,Cascade!$C:$C,{"15-19","20-24","25-29","30-34","35-39","40-44","45-49","50+"},Cascade!$D:$D,$D19)))</f>
        <v>28431</v>
      </c>
      <c r="K19" s="73" t="n">
        <f aca="false">IF($C19="&lt;15",SUM(SUMIFS(Cascade!$U:$U,Cascade!$B:$B,$B19,Cascade!$C:$C,{"=&lt;01","01-04","05-09","10-14"},Cascade!$D:$D,$D19)),SUM(SUMIFS(Cascade!$U:$U,Cascade!$B:$B,$B19,Cascade!$C:$C,{"15-19","20-24","25-29","30-34","35-39","40-44","45-49","50+"},Cascade!$D:$D,$D19)))</f>
        <v>0</v>
      </c>
      <c r="L19" s="75" t="n">
        <f aca="false">IF(AND(SUM($J19)&lt;=0,SUM($H19)=0),"",ROUND($J19*$F19*$H19,0))</f>
        <v>0</v>
      </c>
      <c r="M19" s="75" t="n">
        <f aca="false">IF($J19&lt;=0,"",ROUND($J19*$F19,0)-$L19)</f>
        <v>28431</v>
      </c>
      <c r="N19" s="75" t="n">
        <f aca="false">IF(AND(SUM($K19)&lt;=0,SUM($I19)=0),"",ROUND($K19*$G19*$I19,0))</f>
        <v>0</v>
      </c>
      <c r="O19" s="75" t="str">
        <f aca="false">IF($K19&lt;=0,"",ROUND($K19*$G19,0)-$N19)</f>
        <v/>
      </c>
      <c r="P19" s="118" t="n">
        <f aca="false">1</f>
        <v>1</v>
      </c>
      <c r="Q19" s="118" t="n">
        <f aca="false">0.9</f>
        <v>0.9</v>
      </c>
      <c r="R19" s="75" t="n">
        <f aca="false">IF(SUM($M19)&lt;=0,"",ROUND($M19*$P19,0))</f>
        <v>28431</v>
      </c>
      <c r="S19" s="75" t="str">
        <f aca="false">IF(SUM($O19)&lt;=0,"",ROUND($O19*$Q19,0))</f>
        <v/>
      </c>
      <c r="T19" s="73" t="n">
        <v>19</v>
      </c>
      <c r="U19" s="73" t="n">
        <v>1</v>
      </c>
      <c r="V19" s="118" t="n">
        <f aca="false">0.9</f>
        <v>0.9</v>
      </c>
      <c r="W19" s="75" t="n">
        <f aca="false">IF(SUM($R19)&lt;=0,"",ROUND($R19*$V19,0))</f>
        <v>25588</v>
      </c>
      <c r="X19" s="75" t="str">
        <f aca="false">IF(SUM($S19)&lt;=0,"",ROUND($S19*$V19,0))</f>
        <v/>
      </c>
      <c r="Y19" s="118" t="n">
        <f aca="false">IF(SUM($T19)&lt;=0,"",(SUM($W19)-$T19)/$T19)</f>
        <v>1345.73684210526</v>
      </c>
      <c r="Z19" s="118" t="n">
        <f aca="false">IF(SUM($U19)&lt;=0,"",(SUM($X19)-$U19)/$U19)</f>
        <v>-1</v>
      </c>
    </row>
    <row r="20" customFormat="false" ht="15" hidden="false" customHeight="false" outlineLevel="0" collapsed="false">
      <c r="A20" s="0" t="s">
        <v>142</v>
      </c>
      <c r="B20" s="0" t="s">
        <v>109</v>
      </c>
      <c r="C20" s="0" t="s">
        <v>20</v>
      </c>
      <c r="D20" s="0" t="s">
        <v>58</v>
      </c>
      <c r="E20" s="0" t="str">
        <f aca="false">B20&amp;"|"&amp;C20&amp;"|"&amp;D20</f>
        <v>Berea [#SNU] [#DREAMS] [wpg5evyl1OL]|&lt;15|Male</v>
      </c>
      <c r="F20" s="118" t="n">
        <f aca="false">1</f>
        <v>1</v>
      </c>
      <c r="G20" s="118" t="n">
        <f aca="false">1</f>
        <v>1</v>
      </c>
      <c r="H20" s="118"/>
      <c r="I20" s="118" t="n">
        <v>9</v>
      </c>
      <c r="J20" s="73" t="n">
        <f aca="false">IF($C20="&lt;15",SUM(SUMIFS(Cascade!$AM:$AM,Cascade!$B:$B,$B20,Cascade!$C:$C,{"=&lt;01","01-04","05-09","10-14"},Cascade!$D:$D,$D20)),SUM(SUMIFS(Cascade!$AM:$AM,Cascade!$B:$B,$B20,Cascade!$C:$C,{"15-19","20-24","25-29","30-34","35-39","40-44","45-49","50+"},Cascade!$D:$D,$D20)))</f>
        <v>28431</v>
      </c>
      <c r="K20" s="73" t="n">
        <f aca="false">IF($C20="&lt;15",SUM(SUMIFS(Cascade!$U:$U,Cascade!$B:$B,$B20,Cascade!$C:$C,{"=&lt;01","01-04","05-09","10-14"},Cascade!$D:$D,$D20)),SUM(SUMIFS(Cascade!$U:$U,Cascade!$B:$B,$B20,Cascade!$C:$C,{"15-19","20-24","25-29","30-34","35-39","40-44","45-49","50+"},Cascade!$D:$D,$D20)))</f>
        <v>17</v>
      </c>
      <c r="L20" s="75" t="n">
        <f aca="false">IF(AND(SUM($J20)&lt;=0,SUM($H20)=0),"",ROUND($J20*$F20*$H20,0))</f>
        <v>0</v>
      </c>
      <c r="M20" s="75" t="n">
        <f aca="false">IF($J20&lt;=0,"",ROUND($J20*$F20,0)-$L20)</f>
        <v>28431</v>
      </c>
      <c r="N20" s="75" t="n">
        <f aca="false">IF(AND(SUM($K20)&lt;=0,SUM($I20)=0),"",ROUND($K20*$G20*$I20,0))</f>
        <v>153</v>
      </c>
      <c r="O20" s="75" t="n">
        <f aca="false">IF($K20&lt;=0,"",ROUND($K20*$G20,0)-$N20)</f>
        <v>-136</v>
      </c>
      <c r="P20" s="118" t="n">
        <f aca="false">1</f>
        <v>1</v>
      </c>
      <c r="Q20" s="118" t="n">
        <f aca="false">0.9</f>
        <v>0.9</v>
      </c>
      <c r="R20" s="75" t="n">
        <f aca="false">IF(SUM($M20)&lt;=0,"",ROUND($M20*$P20,0))</f>
        <v>28431</v>
      </c>
      <c r="S20" s="75" t="str">
        <f aca="false">IF(SUM($O20)&lt;=0,"",ROUND($O20*$Q20,0))</f>
        <v/>
      </c>
      <c r="T20" s="73" t="n">
        <v>33</v>
      </c>
      <c r="U20" s="73" t="n">
        <v>40</v>
      </c>
      <c r="V20" s="118" t="n">
        <f aca="false">0.9</f>
        <v>0.9</v>
      </c>
      <c r="W20" s="75" t="n">
        <f aca="false">IF(SUM($R20)&lt;=0,"",ROUND($R20*$V20,0))</f>
        <v>25588</v>
      </c>
      <c r="X20" s="75" t="str">
        <f aca="false">IF(SUM($S20)&lt;=0,"",ROUND($S20*$V20,0))</f>
        <v/>
      </c>
      <c r="Y20" s="118" t="n">
        <f aca="false">IF(SUM($T20)&lt;=0,"",(SUM($W20)-$T20)/$T20)</f>
        <v>774.393939393939</v>
      </c>
      <c r="Z20" s="118" t="n">
        <f aca="false">IF(SUM($U20)&lt;=0,"",(SUM($X20)-$U20)/$U20)</f>
        <v>-1</v>
      </c>
    </row>
    <row r="21" customFormat="false" ht="15" hidden="false" customHeight="false" outlineLevel="0" collapsed="false">
      <c r="A21" s="0" t="s">
        <v>142</v>
      </c>
      <c r="B21" s="0" t="s">
        <v>109</v>
      </c>
      <c r="C21" s="0" t="s">
        <v>822</v>
      </c>
      <c r="D21" s="0" t="s">
        <v>56</v>
      </c>
      <c r="E21" s="0" t="str">
        <f aca="false">B21&amp;"|"&amp;C21&amp;"|"&amp;D21</f>
        <v>Berea [#SNU] [#DREAMS] [wpg5evyl1OL]|15+|Female</v>
      </c>
      <c r="F21" s="118" t="n">
        <f aca="false">1</f>
        <v>1</v>
      </c>
      <c r="G21" s="118" t="n">
        <f aca="false">1</f>
        <v>1</v>
      </c>
      <c r="H21" s="118" t="n">
        <v>29</v>
      </c>
      <c r="I21" s="118" t="n">
        <v>23</v>
      </c>
      <c r="J21" s="73" t="n">
        <f aca="false">IF($C21="&lt;15",SUM(SUMIFS(Cascade!$AM:$AM,Cascade!$B:$B,$B21,Cascade!$C:$C,{"=&lt;01","01-04","05-09","10-14"},Cascade!$D:$D,$D21)),SUM(SUMIFS(Cascade!$AM:$AM,Cascade!$B:$B,$B21,Cascade!$C:$C,{"15-19","20-24","25-29","30-34","35-39","40-44","45-49","50+"},Cascade!$D:$D,$D21)))</f>
        <v>1</v>
      </c>
      <c r="K21" s="73" t="n">
        <f aca="false">IF($C21="&lt;15",SUM(SUMIFS(Cascade!$U:$U,Cascade!$B:$B,$B21,Cascade!$C:$C,{"=&lt;01","01-04","05-09","10-14"},Cascade!$D:$D,$D21)),SUM(SUMIFS(Cascade!$U:$U,Cascade!$B:$B,$B21,Cascade!$C:$C,{"15-19","20-24","25-29","30-34","35-39","40-44","45-49","50+"},Cascade!$D:$D,$D21)))</f>
        <v>4</v>
      </c>
      <c r="L21" s="75" t="n">
        <f aca="false">IF(AND(SUM($J21)&lt;=0,SUM($H21)=0),"",ROUND($J21*$F21*$H21,0))</f>
        <v>29</v>
      </c>
      <c r="M21" s="75" t="n">
        <f aca="false">IF($J21&lt;=0,"",ROUND($J21*$F21,0)-$L21)</f>
        <v>-28</v>
      </c>
      <c r="N21" s="75" t="n">
        <f aca="false">IF(AND(SUM($K21)&lt;=0,SUM($I21)=0),"",ROUND($K21*$G21*$I21,0))</f>
        <v>92</v>
      </c>
      <c r="O21" s="75" t="n">
        <f aca="false">IF($K21&lt;=0,"",ROUND($K21*$G21,0)-$N21)</f>
        <v>-88</v>
      </c>
      <c r="P21" s="118" t="n">
        <f aca="false">1</f>
        <v>1</v>
      </c>
      <c r="Q21" s="118" t="n">
        <f aca="false">0.9</f>
        <v>0.9</v>
      </c>
      <c r="R21" s="75" t="str">
        <f aca="false">IF(SUM($M21)&lt;=0,"",ROUND($M21*$P21,0))</f>
        <v/>
      </c>
      <c r="S21" s="75" t="str">
        <f aca="false">IF(SUM($O21)&lt;=0,"",ROUND($O21*$Q21,0))</f>
        <v/>
      </c>
      <c r="T21" s="73" t="n">
        <v>5</v>
      </c>
      <c r="U21" s="73" t="n">
        <v>48</v>
      </c>
      <c r="V21" s="118" t="n">
        <f aca="false">0.9</f>
        <v>0.9</v>
      </c>
      <c r="W21" s="75" t="str">
        <f aca="false">IF(SUM($R21)&lt;=0,"",ROUND($R21*$V21,0))</f>
        <v/>
      </c>
      <c r="X21" s="75" t="str">
        <f aca="false">IF(SUM($S21)&lt;=0,"",ROUND($S21*$V21,0))</f>
        <v/>
      </c>
      <c r="Y21" s="118" t="n">
        <f aca="false">IF(SUM($T21)&lt;=0,"",(SUM($W21)-$T21)/$T21)</f>
        <v>-1</v>
      </c>
      <c r="Z21" s="118" t="n">
        <f aca="false">IF(SUM($U21)&lt;=0,"",(SUM($X21)-$U21)/$U21)</f>
        <v>-1</v>
      </c>
    </row>
    <row r="22" customFormat="false" ht="15" hidden="false" customHeight="false" outlineLevel="0" collapsed="false">
      <c r="A22" s="0" t="s">
        <v>142</v>
      </c>
      <c r="B22" s="0" t="s">
        <v>109</v>
      </c>
      <c r="C22" s="0" t="s">
        <v>822</v>
      </c>
      <c r="D22" s="0" t="s">
        <v>58</v>
      </c>
      <c r="E22" s="0" t="str">
        <f aca="false">B22&amp;"|"&amp;C22&amp;"|"&amp;D22</f>
        <v>Berea [#SNU] [#DREAMS] [wpg5evyl1OL]|15+|Male</v>
      </c>
      <c r="F22" s="118" t="n">
        <f aca="false">1</f>
        <v>1</v>
      </c>
      <c r="G22" s="118" t="n">
        <f aca="false">1</f>
        <v>1</v>
      </c>
      <c r="H22" s="118" t="n">
        <v>43</v>
      </c>
      <c r="I22" s="118" t="n">
        <v>4</v>
      </c>
      <c r="J22" s="73" t="n">
        <f aca="false">IF($C22="&lt;15",SUM(SUMIFS(Cascade!$AM:$AM,Cascade!$B:$B,$B22,Cascade!$C:$C,{"=&lt;01","01-04","05-09","10-14"},Cascade!$D:$D,$D22)),SUM(SUMIFS(Cascade!$AM:$AM,Cascade!$B:$B,$B22,Cascade!$C:$C,{"15-19","20-24","25-29","30-34","35-39","40-44","45-49","50+"},Cascade!$D:$D,$D22)))</f>
        <v>0</v>
      </c>
      <c r="K22" s="73" t="n">
        <f aca="false">IF($C22="&lt;15",SUM(SUMIFS(Cascade!$U:$U,Cascade!$B:$B,$B22,Cascade!$C:$C,{"=&lt;01","01-04","05-09","10-14"},Cascade!$D:$D,$D22)),SUM(SUMIFS(Cascade!$U:$U,Cascade!$B:$B,$B22,Cascade!$C:$C,{"15-19","20-24","25-29","30-34","35-39","40-44","45-49","50+"},Cascade!$D:$D,$D22)))</f>
        <v>1</v>
      </c>
      <c r="L22" s="75" t="n">
        <f aca="false">IF(AND(SUM($J22)&lt;=0,SUM($H22)=0),"",ROUND($J22*$F22*$H22,0))</f>
        <v>0</v>
      </c>
      <c r="M22" s="75" t="str">
        <f aca="false">IF($J22&lt;=0,"",ROUND($J22*$F22,0)-$L22)</f>
        <v/>
      </c>
      <c r="N22" s="75" t="n">
        <f aca="false">IF(AND(SUM($K22)&lt;=0,SUM($I22)=0),"",ROUND($K22*$G22*$I22,0))</f>
        <v>4</v>
      </c>
      <c r="O22" s="75" t="n">
        <f aca="false">IF($K22&lt;=0,"",ROUND($K22*$G22,0)-$N22)</f>
        <v>-3</v>
      </c>
      <c r="P22" s="118" t="n">
        <f aca="false">1</f>
        <v>1</v>
      </c>
      <c r="Q22" s="118" t="n">
        <f aca="false">0.9</f>
        <v>0.9</v>
      </c>
      <c r="R22" s="75" t="str">
        <f aca="false">IF(SUM($M22)&lt;=0,"",ROUND($M22*$P22,0))</f>
        <v/>
      </c>
      <c r="S22" s="75" t="str">
        <f aca="false">IF(SUM($O22)&lt;=0,"",ROUND($O22*$Q22,0))</f>
        <v/>
      </c>
      <c r="T22" s="73" t="n">
        <v>49</v>
      </c>
      <c r="U22" s="73" t="n">
        <v>1</v>
      </c>
      <c r="V22" s="118" t="n">
        <f aca="false">0.9</f>
        <v>0.9</v>
      </c>
      <c r="W22" s="75" t="str">
        <f aca="false">IF(SUM($R22)&lt;=0,"",ROUND($R22*$V22,0))</f>
        <v/>
      </c>
      <c r="X22" s="75" t="str">
        <f aca="false">IF(SUM($S22)&lt;=0,"",ROUND($S22*$V22,0))</f>
        <v/>
      </c>
      <c r="Y22" s="118" t="n">
        <f aca="false">IF(SUM($T22)&lt;=0,"",(SUM($W22)-$T22)/$T22)</f>
        <v>-1</v>
      </c>
      <c r="Z22" s="118" t="n">
        <f aca="false">IF(SUM($U22)&lt;=0,"",(SUM($X22)-$U22)/$U22)</f>
        <v>-1</v>
      </c>
    </row>
    <row r="23" customFormat="false" ht="15" hidden="false" customHeight="false" outlineLevel="0" collapsed="false">
      <c r="A23" s="0" t="s">
        <v>143</v>
      </c>
      <c r="B23" s="0" t="s">
        <v>115</v>
      </c>
      <c r="C23" s="0" t="s">
        <v>20</v>
      </c>
      <c r="D23" s="0" t="s">
        <v>56</v>
      </c>
      <c r="E23" s="0" t="str">
        <f aca="false">B23&amp;"|"&amp;C23&amp;"|"&amp;D23</f>
        <v>Butha Buthe [#SNU] [mvPRqBFtVC0]|&lt;15|Female</v>
      </c>
      <c r="F23" s="118" t="n">
        <f aca="false">1</f>
        <v>1</v>
      </c>
      <c r="G23" s="118" t="n">
        <f aca="false">1</f>
        <v>1</v>
      </c>
      <c r="H23" s="118"/>
      <c r="I23" s="118" t="n">
        <v>9</v>
      </c>
      <c r="J23" s="73" t="n">
        <f aca="false">IF($C23="&lt;15",SUM(SUMIFS(Cascade!$AM:$AM,Cascade!$B:$B,$B23,Cascade!$C:$C,{"=&lt;01","01-04","05-09","10-14"},Cascade!$D:$D,$D23)),SUM(SUMIFS(Cascade!$AM:$AM,Cascade!$B:$B,$B23,Cascade!$C:$C,{"15-19","20-24","25-29","30-34","35-39","40-44","45-49","50+"},Cascade!$D:$D,$D23)))</f>
        <v>745</v>
      </c>
      <c r="K23" s="73" t="n">
        <f aca="false">IF($C23="&lt;15",SUM(SUMIFS(Cascade!$U:$U,Cascade!$B:$B,$B23,Cascade!$C:$C,{"=&lt;01","01-04","05-09","10-14"},Cascade!$D:$D,$D23)),SUM(SUMIFS(Cascade!$U:$U,Cascade!$B:$B,$B23,Cascade!$C:$C,{"15-19","20-24","25-29","30-34","35-39","40-44","45-49","50+"},Cascade!$D:$D,$D23)))</f>
        <v>2</v>
      </c>
      <c r="L23" s="75" t="n">
        <f aca="false">IF(AND(SUM($J23)&lt;=0,SUM($H23)=0),"",ROUND($J23*$F23*$H23,0))</f>
        <v>0</v>
      </c>
      <c r="M23" s="75" t="n">
        <f aca="false">IF($J23&lt;=0,"",ROUND($J23*$F23,0)-$L23)</f>
        <v>745</v>
      </c>
      <c r="N23" s="75" t="n">
        <f aca="false">IF(AND(SUM($K23)&lt;=0,SUM($I23)=0),"",ROUND($K23*$G23*$I23,0))</f>
        <v>18</v>
      </c>
      <c r="O23" s="75" t="n">
        <f aca="false">IF($K23&lt;=0,"",ROUND($K23*$G23,0)-$N23)</f>
        <v>-16</v>
      </c>
      <c r="P23" s="118" t="n">
        <f aca="false">1</f>
        <v>1</v>
      </c>
      <c r="Q23" s="118" t="n">
        <f aca="false">0.9</f>
        <v>0.9</v>
      </c>
      <c r="R23" s="75" t="n">
        <f aca="false">IF(SUM($M23)&lt;=0,"",ROUND($M23*$P23,0))</f>
        <v>745</v>
      </c>
      <c r="S23" s="75" t="str">
        <f aca="false">IF(SUM($O23)&lt;=0,"",ROUND($O23*$Q23,0))</f>
        <v/>
      </c>
      <c r="T23" s="73" t="n">
        <v>18</v>
      </c>
      <c r="U23" s="73" t="n">
        <v>49</v>
      </c>
      <c r="V23" s="118" t="n">
        <f aca="false">0.9</f>
        <v>0.9</v>
      </c>
      <c r="W23" s="75" t="n">
        <f aca="false">IF(SUM($R23)&lt;=0,"",ROUND($R23*$V23,0))</f>
        <v>671</v>
      </c>
      <c r="X23" s="75" t="str">
        <f aca="false">IF(SUM($S23)&lt;=0,"",ROUND($S23*$V23,0))</f>
        <v/>
      </c>
      <c r="Y23" s="118" t="n">
        <f aca="false">IF(SUM($T23)&lt;=0,"",(SUM($W23)-$T23)/$T23)</f>
        <v>36.2777777777778</v>
      </c>
      <c r="Z23" s="118" t="n">
        <f aca="false">IF(SUM($U23)&lt;=0,"",(SUM($X23)-$U23)/$U23)</f>
        <v>-1</v>
      </c>
    </row>
    <row r="24" customFormat="false" ht="15" hidden="false" customHeight="false" outlineLevel="0" collapsed="false">
      <c r="A24" s="0" t="s">
        <v>143</v>
      </c>
      <c r="B24" s="0" t="s">
        <v>115</v>
      </c>
      <c r="C24" s="0" t="s">
        <v>20</v>
      </c>
      <c r="D24" s="0" t="s">
        <v>58</v>
      </c>
      <c r="E24" s="0" t="str">
        <f aca="false">B24&amp;"|"&amp;C24&amp;"|"&amp;D24</f>
        <v>Butha Buthe [#SNU] [mvPRqBFtVC0]|&lt;15|Male</v>
      </c>
      <c r="F24" s="118" t="n">
        <f aca="false">1</f>
        <v>1</v>
      </c>
      <c r="G24" s="118" t="n">
        <f aca="false">1</f>
        <v>1</v>
      </c>
      <c r="H24" s="118"/>
      <c r="I24" s="118" t="n">
        <v>30</v>
      </c>
      <c r="J24" s="73" t="n">
        <f aca="false">IF($C24="&lt;15",SUM(SUMIFS(Cascade!$AM:$AM,Cascade!$B:$B,$B24,Cascade!$C:$C,{"=&lt;01","01-04","05-09","10-14"},Cascade!$D:$D,$D24)),SUM(SUMIFS(Cascade!$AM:$AM,Cascade!$B:$B,$B24,Cascade!$C:$C,{"15-19","20-24","25-29","30-34","35-39","40-44","45-49","50+"},Cascade!$D:$D,$D24)))</f>
        <v>745</v>
      </c>
      <c r="K24" s="73" t="n">
        <f aca="false">IF($C24="&lt;15",SUM(SUMIFS(Cascade!$U:$U,Cascade!$B:$B,$B24,Cascade!$C:$C,{"=&lt;01","01-04","05-09","10-14"},Cascade!$D:$D,$D24)),SUM(SUMIFS(Cascade!$U:$U,Cascade!$B:$B,$B24,Cascade!$C:$C,{"15-19","20-24","25-29","30-34","35-39","40-44","45-49","50+"},Cascade!$D:$D,$D24)))</f>
        <v>43</v>
      </c>
      <c r="L24" s="75" t="n">
        <f aca="false">IF(AND(SUM($J24)&lt;=0,SUM($H24)=0),"",ROUND($J24*$F24*$H24,0))</f>
        <v>0</v>
      </c>
      <c r="M24" s="75" t="n">
        <f aca="false">IF($J24&lt;=0,"",ROUND($J24*$F24,0)-$L24)</f>
        <v>745</v>
      </c>
      <c r="N24" s="75" t="n">
        <f aca="false">IF(AND(SUM($K24)&lt;=0,SUM($I24)=0),"",ROUND($K24*$G24*$I24,0))</f>
        <v>1290</v>
      </c>
      <c r="O24" s="75" t="n">
        <f aca="false">IF($K24&lt;=0,"",ROUND($K24*$G24,0)-$N24)</f>
        <v>-1247</v>
      </c>
      <c r="P24" s="118" t="n">
        <f aca="false">1</f>
        <v>1</v>
      </c>
      <c r="Q24" s="118" t="n">
        <f aca="false">0.9</f>
        <v>0.9</v>
      </c>
      <c r="R24" s="75" t="n">
        <f aca="false">IF(SUM($M24)&lt;=0,"",ROUND($M24*$P24,0))</f>
        <v>745</v>
      </c>
      <c r="S24" s="75" t="str">
        <f aca="false">IF(SUM($O24)&lt;=0,"",ROUND($O24*$Q24,0))</f>
        <v/>
      </c>
      <c r="T24" s="73" t="n">
        <v>48</v>
      </c>
      <c r="U24" s="73" t="n">
        <v>2</v>
      </c>
      <c r="V24" s="118" t="n">
        <f aca="false">0.9</f>
        <v>0.9</v>
      </c>
      <c r="W24" s="75" t="n">
        <f aca="false">IF(SUM($R24)&lt;=0,"",ROUND($R24*$V24,0))</f>
        <v>671</v>
      </c>
      <c r="X24" s="75" t="str">
        <f aca="false">IF(SUM($S24)&lt;=0,"",ROUND($S24*$V24,0))</f>
        <v/>
      </c>
      <c r="Y24" s="118" t="n">
        <f aca="false">IF(SUM($T24)&lt;=0,"",(SUM($W24)-$T24)/$T24)</f>
        <v>12.9791666666667</v>
      </c>
      <c r="Z24" s="118" t="n">
        <f aca="false">IF(SUM($U24)&lt;=0,"",(SUM($X24)-$U24)/$U24)</f>
        <v>-1</v>
      </c>
    </row>
    <row r="25" customFormat="false" ht="15" hidden="false" customHeight="false" outlineLevel="0" collapsed="false">
      <c r="A25" s="0" t="s">
        <v>143</v>
      </c>
      <c r="B25" s="0" t="s">
        <v>115</v>
      </c>
      <c r="C25" s="0" t="s">
        <v>822</v>
      </c>
      <c r="D25" s="0" t="s">
        <v>56</v>
      </c>
      <c r="E25" s="0" t="str">
        <f aca="false">B25&amp;"|"&amp;C25&amp;"|"&amp;D25</f>
        <v>Butha Buthe [#SNU] [mvPRqBFtVC0]|15+|Female</v>
      </c>
      <c r="F25" s="118" t="n">
        <f aca="false">1</f>
        <v>1</v>
      </c>
      <c r="G25" s="118" t="n">
        <f aca="false">1</f>
        <v>1</v>
      </c>
      <c r="H25" s="118" t="n">
        <v>22</v>
      </c>
      <c r="I25" s="118" t="n">
        <v>41</v>
      </c>
      <c r="J25" s="73" t="n">
        <f aca="false">IF($C25="&lt;15",SUM(SUMIFS(Cascade!$AM:$AM,Cascade!$B:$B,$B25,Cascade!$C:$C,{"=&lt;01","01-04","05-09","10-14"},Cascade!$D:$D,$D25)),SUM(SUMIFS(Cascade!$AM:$AM,Cascade!$B:$B,$B25,Cascade!$C:$C,{"15-19","20-24","25-29","30-34","35-39","40-44","45-49","50+"},Cascade!$D:$D,$D25)))</f>
        <v>6</v>
      </c>
      <c r="K25" s="73" t="n">
        <f aca="false">IF($C25="&lt;15",SUM(SUMIFS(Cascade!$U:$U,Cascade!$B:$B,$B25,Cascade!$C:$C,{"=&lt;01","01-04","05-09","10-14"},Cascade!$D:$D,$D25)),SUM(SUMIFS(Cascade!$U:$U,Cascade!$B:$B,$B25,Cascade!$C:$C,{"15-19","20-24","25-29","30-34","35-39","40-44","45-49","50+"},Cascade!$D:$D,$D25)))</f>
        <v>28</v>
      </c>
      <c r="L25" s="75" t="n">
        <f aca="false">IF(AND(SUM($J25)&lt;=0,SUM($H25)=0),"",ROUND($J25*$F25*$H25,0))</f>
        <v>132</v>
      </c>
      <c r="M25" s="75" t="n">
        <f aca="false">IF($J25&lt;=0,"",ROUND($J25*$F25,0)-$L25)</f>
        <v>-126</v>
      </c>
      <c r="N25" s="75" t="n">
        <f aca="false">IF(AND(SUM($K25)&lt;=0,SUM($I25)=0),"",ROUND($K25*$G25*$I25,0))</f>
        <v>1148</v>
      </c>
      <c r="O25" s="75" t="n">
        <f aca="false">IF($K25&lt;=0,"",ROUND($K25*$G25,0)-$N25)</f>
        <v>-1120</v>
      </c>
      <c r="P25" s="118" t="n">
        <f aca="false">1</f>
        <v>1</v>
      </c>
      <c r="Q25" s="118" t="n">
        <f aca="false">0.9</f>
        <v>0.9</v>
      </c>
      <c r="R25" s="75" t="str">
        <f aca="false">IF(SUM($M25)&lt;=0,"",ROUND($M25*$P25,0))</f>
        <v/>
      </c>
      <c r="S25" s="75" t="str">
        <f aca="false">IF(SUM($O25)&lt;=0,"",ROUND($O25*$Q25,0))</f>
        <v/>
      </c>
      <c r="T25" s="73" t="n">
        <v>28</v>
      </c>
      <c r="U25" s="73" t="n">
        <v>34</v>
      </c>
      <c r="V25" s="118" t="n">
        <f aca="false">0.9</f>
        <v>0.9</v>
      </c>
      <c r="W25" s="75" t="str">
        <f aca="false">IF(SUM($R25)&lt;=0,"",ROUND($R25*$V25,0))</f>
        <v/>
      </c>
      <c r="X25" s="75" t="str">
        <f aca="false">IF(SUM($S25)&lt;=0,"",ROUND($S25*$V25,0))</f>
        <v/>
      </c>
      <c r="Y25" s="118" t="n">
        <f aca="false">IF(SUM($T25)&lt;=0,"",(SUM($W25)-$T25)/$T25)</f>
        <v>-1</v>
      </c>
      <c r="Z25" s="118" t="n">
        <f aca="false">IF(SUM($U25)&lt;=0,"",(SUM($X25)-$U25)/$U25)</f>
        <v>-1</v>
      </c>
    </row>
    <row r="26" customFormat="false" ht="15" hidden="false" customHeight="false" outlineLevel="0" collapsed="false">
      <c r="A26" s="0" t="s">
        <v>143</v>
      </c>
      <c r="B26" s="0" t="s">
        <v>115</v>
      </c>
      <c r="C26" s="0" t="s">
        <v>822</v>
      </c>
      <c r="D26" s="0" t="s">
        <v>58</v>
      </c>
      <c r="E26" s="0" t="str">
        <f aca="false">B26&amp;"|"&amp;C26&amp;"|"&amp;D26</f>
        <v>Butha Buthe [#SNU] [mvPRqBFtVC0]|15+|Male</v>
      </c>
      <c r="F26" s="118" t="n">
        <f aca="false">1</f>
        <v>1</v>
      </c>
      <c r="G26" s="118" t="n">
        <f aca="false">1</f>
        <v>1</v>
      </c>
      <c r="H26" s="118" t="n">
        <v>44</v>
      </c>
      <c r="I26" s="118" t="n">
        <v>36</v>
      </c>
      <c r="J26" s="73" t="n">
        <f aca="false">IF($C26="&lt;15",SUM(SUMIFS(Cascade!$AM:$AM,Cascade!$B:$B,$B26,Cascade!$C:$C,{"=&lt;01","01-04","05-09","10-14"},Cascade!$D:$D,$D26)),SUM(SUMIFS(Cascade!$AM:$AM,Cascade!$B:$B,$B26,Cascade!$C:$C,{"15-19","20-24","25-29","30-34","35-39","40-44","45-49","50+"},Cascade!$D:$D,$D26)))</f>
        <v>1</v>
      </c>
      <c r="K26" s="73" t="n">
        <f aca="false">IF($C26="&lt;15",SUM(SUMIFS(Cascade!$U:$U,Cascade!$B:$B,$B26,Cascade!$C:$C,{"=&lt;01","01-04","05-09","10-14"},Cascade!$D:$D,$D26)),SUM(SUMIFS(Cascade!$U:$U,Cascade!$B:$B,$B26,Cascade!$C:$C,{"15-19","20-24","25-29","30-34","35-39","40-44","45-49","50+"},Cascade!$D:$D,$D26)))</f>
        <v>47</v>
      </c>
      <c r="L26" s="75" t="n">
        <f aca="false">IF(AND(SUM($J26)&lt;=0,SUM($H26)=0),"",ROUND($J26*$F26*$H26,0))</f>
        <v>44</v>
      </c>
      <c r="M26" s="75" t="n">
        <f aca="false">IF($J26&lt;=0,"",ROUND($J26*$F26,0)-$L26)</f>
        <v>-43</v>
      </c>
      <c r="N26" s="75" t="n">
        <f aca="false">IF(AND(SUM($K26)&lt;=0,SUM($I26)=0),"",ROUND($K26*$G26*$I26,0))</f>
        <v>1692</v>
      </c>
      <c r="O26" s="75" t="n">
        <f aca="false">IF($K26&lt;=0,"",ROUND($K26*$G26,0)-$N26)</f>
        <v>-1645</v>
      </c>
      <c r="P26" s="118" t="n">
        <f aca="false">1</f>
        <v>1</v>
      </c>
      <c r="Q26" s="118" t="n">
        <f aca="false">0.9</f>
        <v>0.9</v>
      </c>
      <c r="R26" s="75" t="str">
        <f aca="false">IF(SUM($M26)&lt;=0,"",ROUND($M26*$P26,0))</f>
        <v/>
      </c>
      <c r="S26" s="75" t="str">
        <f aca="false">IF(SUM($O26)&lt;=0,"",ROUND($O26*$Q26,0))</f>
        <v/>
      </c>
      <c r="T26" s="73" t="n">
        <v>35</v>
      </c>
      <c r="U26" s="73" t="n">
        <v>21</v>
      </c>
      <c r="V26" s="118" t="n">
        <f aca="false">0.9</f>
        <v>0.9</v>
      </c>
      <c r="W26" s="75" t="str">
        <f aca="false">IF(SUM($R26)&lt;=0,"",ROUND($R26*$V26,0))</f>
        <v/>
      </c>
      <c r="X26" s="75" t="str">
        <f aca="false">IF(SUM($S26)&lt;=0,"",ROUND($S26*$V26,0))</f>
        <v/>
      </c>
      <c r="Y26" s="118" t="n">
        <f aca="false">IF(SUM($T26)&lt;=0,"",(SUM($W26)-$T26)/$T26)</f>
        <v>-1</v>
      </c>
      <c r="Z26" s="118" t="n">
        <f aca="false">IF(SUM($U26)&lt;=0,"",(SUM($X26)-$U26)/$U26)</f>
        <v>-1</v>
      </c>
    </row>
    <row r="27" customFormat="false" ht="15" hidden="false" customHeight="false" outlineLevel="0" collapsed="false">
      <c r="A27" s="0" t="s">
        <v>144</v>
      </c>
      <c r="B27" s="0" t="s">
        <v>103</v>
      </c>
      <c r="C27" s="0" t="s">
        <v>20</v>
      </c>
      <c r="D27" s="0" t="s">
        <v>56</v>
      </c>
      <c r="E27" s="0" t="str">
        <f aca="false">B27&amp;"|"&amp;C27&amp;"|"&amp;D27</f>
        <v>Leribe [#SNU] [FjSmRywOWUp]|&lt;15|Female</v>
      </c>
      <c r="F27" s="118" t="n">
        <f aca="false">1</f>
        <v>1</v>
      </c>
      <c r="G27" s="118" t="n">
        <f aca="false">1</f>
        <v>1</v>
      </c>
      <c r="H27" s="118"/>
      <c r="I27" s="118" t="n">
        <v>12</v>
      </c>
      <c r="J27" s="73" t="n">
        <f aca="false">IF($C27="&lt;15",SUM(SUMIFS(Cascade!$AM:$AM,Cascade!$B:$B,$B27,Cascade!$C:$C,{"=&lt;01","01-04","05-09","10-14"},Cascade!$D:$D,$D27)),SUM(SUMIFS(Cascade!$AM:$AM,Cascade!$B:$B,$B27,Cascade!$C:$C,{"15-19","20-24","25-29","30-34","35-39","40-44","45-49","50+"},Cascade!$D:$D,$D27)))</f>
        <v>935</v>
      </c>
      <c r="K27" s="73" t="n">
        <f aca="false">IF($C27="&lt;15",SUM(SUMIFS(Cascade!$U:$U,Cascade!$B:$B,$B27,Cascade!$C:$C,{"=&lt;01","01-04","05-09","10-14"},Cascade!$D:$D,$D27)),SUM(SUMIFS(Cascade!$U:$U,Cascade!$B:$B,$B27,Cascade!$C:$C,{"15-19","20-24","25-29","30-34","35-39","40-44","45-49","50+"},Cascade!$D:$D,$D27)))</f>
        <v>12</v>
      </c>
      <c r="L27" s="75" t="n">
        <f aca="false">IF(AND(SUM($J27)&lt;=0,SUM($H27)=0),"",ROUND($J27*$F27*$H27,0))</f>
        <v>0</v>
      </c>
      <c r="M27" s="75" t="n">
        <f aca="false">IF($J27&lt;=0,"",ROUND($J27*$F27,0)-$L27)</f>
        <v>935</v>
      </c>
      <c r="N27" s="75" t="n">
        <f aca="false">IF(AND(SUM($K27)&lt;=0,SUM($I27)=0),"",ROUND($K27*$G27*$I27,0))</f>
        <v>144</v>
      </c>
      <c r="O27" s="75" t="n">
        <f aca="false">IF($K27&lt;=0,"",ROUND($K27*$G27,0)-$N27)</f>
        <v>-132</v>
      </c>
      <c r="P27" s="118" t="n">
        <f aca="false">1</f>
        <v>1</v>
      </c>
      <c r="Q27" s="118" t="n">
        <f aca="false">0.9</f>
        <v>0.9</v>
      </c>
      <c r="R27" s="75" t="n">
        <f aca="false">IF(SUM($M27)&lt;=0,"",ROUND($M27*$P27,0))</f>
        <v>935</v>
      </c>
      <c r="S27" s="75" t="str">
        <f aca="false">IF(SUM($O27)&lt;=0,"",ROUND($O27*$Q27,0))</f>
        <v/>
      </c>
      <c r="T27" s="73" t="n">
        <v>45</v>
      </c>
      <c r="U27" s="73" t="n">
        <v>20</v>
      </c>
      <c r="V27" s="118" t="n">
        <f aca="false">0.9</f>
        <v>0.9</v>
      </c>
      <c r="W27" s="75" t="n">
        <f aca="false">IF(SUM($R27)&lt;=0,"",ROUND($R27*$V27,0))</f>
        <v>842</v>
      </c>
      <c r="X27" s="75" t="str">
        <f aca="false">IF(SUM($S27)&lt;=0,"",ROUND($S27*$V27,0))</f>
        <v/>
      </c>
      <c r="Y27" s="118" t="n">
        <f aca="false">IF(SUM($T27)&lt;=0,"",(SUM($W27)-$T27)/$T27)</f>
        <v>17.7111111111111</v>
      </c>
      <c r="Z27" s="118" t="n">
        <f aca="false">IF(SUM($U27)&lt;=0,"",(SUM($X27)-$U27)/$U27)</f>
        <v>-1</v>
      </c>
    </row>
    <row r="28" customFormat="false" ht="15" hidden="false" customHeight="false" outlineLevel="0" collapsed="false">
      <c r="A28" s="0" t="s">
        <v>144</v>
      </c>
      <c r="B28" s="0" t="s">
        <v>103</v>
      </c>
      <c r="C28" s="0" t="s">
        <v>20</v>
      </c>
      <c r="D28" s="0" t="s">
        <v>58</v>
      </c>
      <c r="E28" s="0" t="str">
        <f aca="false">B28&amp;"|"&amp;C28&amp;"|"&amp;D28</f>
        <v>Leribe [#SNU] [FjSmRywOWUp]|&lt;15|Male</v>
      </c>
      <c r="F28" s="118" t="n">
        <f aca="false">1</f>
        <v>1</v>
      </c>
      <c r="G28" s="118" t="n">
        <f aca="false">1</f>
        <v>1</v>
      </c>
      <c r="H28" s="118" t="n">
        <v>12</v>
      </c>
      <c r="I28" s="118"/>
      <c r="J28" s="73" t="n">
        <f aca="false">IF($C28="&lt;15",SUM(SUMIFS(Cascade!$AM:$AM,Cascade!$B:$B,$B28,Cascade!$C:$C,{"=&lt;01","01-04","05-09","10-14"},Cascade!$D:$D,$D28)),SUM(SUMIFS(Cascade!$AM:$AM,Cascade!$B:$B,$B28,Cascade!$C:$C,{"15-19","20-24","25-29","30-34","35-39","40-44","45-49","50+"},Cascade!$D:$D,$D28)))</f>
        <v>935</v>
      </c>
      <c r="K28" s="73" t="n">
        <f aca="false">IF($C28="&lt;15",SUM(SUMIFS(Cascade!$U:$U,Cascade!$B:$B,$B28,Cascade!$C:$C,{"=&lt;01","01-04","05-09","10-14"},Cascade!$D:$D,$D28)),SUM(SUMIFS(Cascade!$U:$U,Cascade!$B:$B,$B28,Cascade!$C:$C,{"15-19","20-24","25-29","30-34","35-39","40-44","45-49","50+"},Cascade!$D:$D,$D28)))</f>
        <v>24</v>
      </c>
      <c r="L28" s="75" t="n">
        <f aca="false">IF(AND(SUM($J28)&lt;=0,SUM($H28)=0),"",ROUND($J28*$F28*$H28,0))</f>
        <v>11220</v>
      </c>
      <c r="M28" s="75" t="n">
        <f aca="false">IF($J28&lt;=0,"",ROUND($J28*$F28,0)-$L28)</f>
        <v>-10285</v>
      </c>
      <c r="N28" s="75" t="n">
        <f aca="false">IF(AND(SUM($K28)&lt;=0,SUM($I28)=0),"",ROUND($K28*$G28*$I28,0))</f>
        <v>0</v>
      </c>
      <c r="O28" s="75" t="n">
        <f aca="false">IF($K28&lt;=0,"",ROUND($K28*$G28,0)-$N28)</f>
        <v>24</v>
      </c>
      <c r="P28" s="118" t="n">
        <f aca="false">1</f>
        <v>1</v>
      </c>
      <c r="Q28" s="118" t="n">
        <f aca="false">0.9</f>
        <v>0.9</v>
      </c>
      <c r="R28" s="75" t="str">
        <f aca="false">IF(SUM($M28)&lt;=0,"",ROUND($M28*$P28,0))</f>
        <v/>
      </c>
      <c r="S28" s="75" t="n">
        <f aca="false">IF(SUM($O28)&lt;=0,"",ROUND($O28*$Q28,0))</f>
        <v>22</v>
      </c>
      <c r="T28" s="73" t="n">
        <v>1</v>
      </c>
      <c r="U28" s="73" t="n">
        <v>5</v>
      </c>
      <c r="V28" s="118" t="n">
        <f aca="false">0.9</f>
        <v>0.9</v>
      </c>
      <c r="W28" s="75" t="str">
        <f aca="false">IF(SUM($R28)&lt;=0,"",ROUND($R28*$V28,0))</f>
        <v/>
      </c>
      <c r="X28" s="75" t="n">
        <f aca="false">IF(SUM($S28)&lt;=0,"",ROUND($S28*$V28,0))</f>
        <v>20</v>
      </c>
      <c r="Y28" s="118" t="n">
        <f aca="false">IF(SUM($T28)&lt;=0,"",(SUM($W28)-$T28)/$T28)</f>
        <v>-1</v>
      </c>
      <c r="Z28" s="118" t="n">
        <f aca="false">IF(SUM($U28)&lt;=0,"",(SUM($X28)-$U28)/$U28)</f>
        <v>3</v>
      </c>
    </row>
    <row r="29" customFormat="false" ht="15" hidden="false" customHeight="false" outlineLevel="0" collapsed="false">
      <c r="A29" s="0" t="s">
        <v>144</v>
      </c>
      <c r="B29" s="0" t="s">
        <v>103</v>
      </c>
      <c r="C29" s="0" t="s">
        <v>822</v>
      </c>
      <c r="D29" s="0" t="s">
        <v>56</v>
      </c>
      <c r="E29" s="0" t="str">
        <f aca="false">B29&amp;"|"&amp;C29&amp;"|"&amp;D29</f>
        <v>Leribe [#SNU] [FjSmRywOWUp]|15+|Female</v>
      </c>
      <c r="F29" s="118" t="n">
        <f aca="false">1</f>
        <v>1</v>
      </c>
      <c r="G29" s="118" t="n">
        <f aca="false">1</f>
        <v>1</v>
      </c>
      <c r="H29" s="118" t="n">
        <v>23</v>
      </c>
      <c r="I29" s="118" t="n">
        <v>22</v>
      </c>
      <c r="J29" s="73" t="n">
        <f aca="false">IF($C29="&lt;15",SUM(SUMIFS(Cascade!$AM:$AM,Cascade!$B:$B,$B29,Cascade!$C:$C,{"=&lt;01","01-04","05-09","10-14"},Cascade!$D:$D,$D29)),SUM(SUMIFS(Cascade!$AM:$AM,Cascade!$B:$B,$B29,Cascade!$C:$C,{"15-19","20-24","25-29","30-34","35-39","40-44","45-49","50+"},Cascade!$D:$D,$D29)))</f>
        <v>2</v>
      </c>
      <c r="K29" s="73" t="n">
        <f aca="false">IF($C29="&lt;15",SUM(SUMIFS(Cascade!$U:$U,Cascade!$B:$B,$B29,Cascade!$C:$C,{"=&lt;01","01-04","05-09","10-14"},Cascade!$D:$D,$D29)),SUM(SUMIFS(Cascade!$U:$U,Cascade!$B:$B,$B29,Cascade!$C:$C,{"15-19","20-24","25-29","30-34","35-39","40-44","45-49","50+"},Cascade!$D:$D,$D29)))</f>
        <v>11</v>
      </c>
      <c r="L29" s="75" t="n">
        <f aca="false">IF(AND(SUM($J29)&lt;=0,SUM($H29)=0),"",ROUND($J29*$F29*$H29,0))</f>
        <v>46</v>
      </c>
      <c r="M29" s="75" t="n">
        <f aca="false">IF($J29&lt;=0,"",ROUND($J29*$F29,0)-$L29)</f>
        <v>-44</v>
      </c>
      <c r="N29" s="75" t="n">
        <f aca="false">IF(AND(SUM($K29)&lt;=0,SUM($I29)=0),"",ROUND($K29*$G29*$I29,0))</f>
        <v>242</v>
      </c>
      <c r="O29" s="75" t="n">
        <f aca="false">IF($K29&lt;=0,"",ROUND($K29*$G29,0)-$N29)</f>
        <v>-231</v>
      </c>
      <c r="P29" s="118" t="n">
        <f aca="false">1</f>
        <v>1</v>
      </c>
      <c r="Q29" s="118" t="n">
        <f aca="false">0.9</f>
        <v>0.9</v>
      </c>
      <c r="R29" s="75" t="str">
        <f aca="false">IF(SUM($M29)&lt;=0,"",ROUND($M29*$P29,0))</f>
        <v/>
      </c>
      <c r="S29" s="75" t="str">
        <f aca="false">IF(SUM($O29)&lt;=0,"",ROUND($O29*$Q29,0))</f>
        <v/>
      </c>
      <c r="T29" s="73" t="n">
        <v>10</v>
      </c>
      <c r="U29" s="73" t="n">
        <v>21</v>
      </c>
      <c r="V29" s="118" t="n">
        <f aca="false">0.9</f>
        <v>0.9</v>
      </c>
      <c r="W29" s="75" t="str">
        <f aca="false">IF(SUM($R29)&lt;=0,"",ROUND($R29*$V29,0))</f>
        <v/>
      </c>
      <c r="X29" s="75" t="str">
        <f aca="false">IF(SUM($S29)&lt;=0,"",ROUND($S29*$V29,0))</f>
        <v/>
      </c>
      <c r="Y29" s="118" t="n">
        <f aca="false">IF(SUM($T29)&lt;=0,"",(SUM($W29)-$T29)/$T29)</f>
        <v>-1</v>
      </c>
      <c r="Z29" s="118" t="n">
        <f aca="false">IF(SUM($U29)&lt;=0,"",(SUM($X29)-$U29)/$U29)</f>
        <v>-1</v>
      </c>
    </row>
    <row r="30" customFormat="false" ht="15" hidden="false" customHeight="false" outlineLevel="0" collapsed="false">
      <c r="A30" s="0" t="s">
        <v>144</v>
      </c>
      <c r="B30" s="0" t="s">
        <v>103</v>
      </c>
      <c r="C30" s="0" t="s">
        <v>822</v>
      </c>
      <c r="D30" s="0" t="s">
        <v>58</v>
      </c>
      <c r="E30" s="0" t="str">
        <f aca="false">B30&amp;"|"&amp;C30&amp;"|"&amp;D30</f>
        <v>Leribe [#SNU] [FjSmRywOWUp]|15+|Male</v>
      </c>
      <c r="F30" s="118" t="n">
        <f aca="false">1</f>
        <v>1</v>
      </c>
      <c r="G30" s="118" t="n">
        <f aca="false">1</f>
        <v>1</v>
      </c>
      <c r="H30" s="118" t="n">
        <v>14</v>
      </c>
      <c r="I30" s="118" t="n">
        <v>36</v>
      </c>
      <c r="J30" s="73" t="n">
        <f aca="false">IF($C30="&lt;15",SUM(SUMIFS(Cascade!$AM:$AM,Cascade!$B:$B,$B30,Cascade!$C:$C,{"=&lt;01","01-04","05-09","10-14"},Cascade!$D:$D,$D30)),SUM(SUMIFS(Cascade!$AM:$AM,Cascade!$B:$B,$B30,Cascade!$C:$C,{"15-19","20-24","25-29","30-34","35-39","40-44","45-49","50+"},Cascade!$D:$D,$D30)))</f>
        <v>1</v>
      </c>
      <c r="K30" s="73" t="n">
        <f aca="false">IF($C30="&lt;15",SUM(SUMIFS(Cascade!$U:$U,Cascade!$B:$B,$B30,Cascade!$C:$C,{"=&lt;01","01-04","05-09","10-14"},Cascade!$D:$D,$D30)),SUM(SUMIFS(Cascade!$U:$U,Cascade!$B:$B,$B30,Cascade!$C:$C,{"15-19","20-24","25-29","30-34","35-39","40-44","45-49","50+"},Cascade!$D:$D,$D30)))</f>
        <v>48</v>
      </c>
      <c r="L30" s="75" t="n">
        <f aca="false">IF(AND(SUM($J30)&lt;=0,SUM($H30)=0),"",ROUND($J30*$F30*$H30,0))</f>
        <v>14</v>
      </c>
      <c r="M30" s="75" t="n">
        <f aca="false">IF($J30&lt;=0,"",ROUND($J30*$F30,0)-$L30)</f>
        <v>-13</v>
      </c>
      <c r="N30" s="75" t="n">
        <f aca="false">IF(AND(SUM($K30)&lt;=0,SUM($I30)=0),"",ROUND($K30*$G30*$I30,0))</f>
        <v>1728</v>
      </c>
      <c r="O30" s="75" t="n">
        <f aca="false">IF($K30&lt;=0,"",ROUND($K30*$G30,0)-$N30)</f>
        <v>-1680</v>
      </c>
      <c r="P30" s="118" t="n">
        <f aca="false">1</f>
        <v>1</v>
      </c>
      <c r="Q30" s="118" t="n">
        <f aca="false">0.9</f>
        <v>0.9</v>
      </c>
      <c r="R30" s="75" t="str">
        <f aca="false">IF(SUM($M30)&lt;=0,"",ROUND($M30*$P30,0))</f>
        <v/>
      </c>
      <c r="S30" s="75" t="str">
        <f aca="false">IF(SUM($O30)&lt;=0,"",ROUND($O30*$Q30,0))</f>
        <v/>
      </c>
      <c r="T30" s="73" t="n">
        <v>16</v>
      </c>
      <c r="U30" s="73" t="n">
        <v>47</v>
      </c>
      <c r="V30" s="118" t="n">
        <f aca="false">0.9</f>
        <v>0.9</v>
      </c>
      <c r="W30" s="75" t="str">
        <f aca="false">IF(SUM($R30)&lt;=0,"",ROUND($R30*$V30,0))</f>
        <v/>
      </c>
      <c r="X30" s="75" t="str">
        <f aca="false">IF(SUM($S30)&lt;=0,"",ROUND($S30*$V30,0))</f>
        <v/>
      </c>
      <c r="Y30" s="118" t="n">
        <f aca="false">IF(SUM($T30)&lt;=0,"",(SUM($W30)-$T30)/$T30)</f>
        <v>-1</v>
      </c>
      <c r="Z30" s="118" t="n">
        <f aca="false">IF(SUM($U30)&lt;=0,"",(SUM($X30)-$U30)/$U30)</f>
        <v>-1</v>
      </c>
    </row>
    <row r="31" customFormat="false" ht="15" hidden="false" customHeight="false" outlineLevel="0" collapsed="false">
      <c r="A31" s="0" t="s">
        <v>145</v>
      </c>
      <c r="B31" s="0" t="s">
        <v>107</v>
      </c>
      <c r="C31" s="0" t="s">
        <v>20</v>
      </c>
      <c r="D31" s="0" t="s">
        <v>56</v>
      </c>
      <c r="E31" s="0" t="str">
        <f aca="false">B31&amp;"|"&amp;C31&amp;"|"&amp;D31</f>
        <v>Mafeteng [#SNU] [#DREAMS] [DiFv5WXIHM5]|&lt;15|Female</v>
      </c>
      <c r="F31" s="118" t="n">
        <f aca="false">1</f>
        <v>1</v>
      </c>
      <c r="G31" s="118" t="n">
        <f aca="false">1</f>
        <v>1</v>
      </c>
      <c r="H31" s="118"/>
      <c r="I31" s="118" t="n">
        <v>17</v>
      </c>
      <c r="J31" s="73" t="n">
        <f aca="false">IF($C31="&lt;15",SUM(SUMIFS(Cascade!$AM:$AM,Cascade!$B:$B,$B31,Cascade!$C:$C,{"=&lt;01","01-04","05-09","10-14"},Cascade!$D:$D,$D31)),SUM(SUMIFS(Cascade!$AM:$AM,Cascade!$B:$B,$B31,Cascade!$C:$C,{"15-19","20-24","25-29","30-34","35-39","40-44","45-49","50+"},Cascade!$D:$D,$D31)))</f>
        <v>1072</v>
      </c>
      <c r="K31" s="73" t="n">
        <f aca="false">IF($C31="&lt;15",SUM(SUMIFS(Cascade!$U:$U,Cascade!$B:$B,$B31,Cascade!$C:$C,{"=&lt;01","01-04","05-09","10-14"},Cascade!$D:$D,$D31)),SUM(SUMIFS(Cascade!$U:$U,Cascade!$B:$B,$B31,Cascade!$C:$C,{"15-19","20-24","25-29","30-34","35-39","40-44","45-49","50+"},Cascade!$D:$D,$D31)))</f>
        <v>4</v>
      </c>
      <c r="L31" s="75" t="n">
        <f aca="false">IF(AND(SUM($J31)&lt;=0,SUM($H31)=0),"",ROUND($J31*$F31*$H31,0))</f>
        <v>0</v>
      </c>
      <c r="M31" s="75" t="n">
        <f aca="false">IF($J31&lt;=0,"",ROUND($J31*$F31,0)-$L31)</f>
        <v>1072</v>
      </c>
      <c r="N31" s="75" t="n">
        <f aca="false">IF(AND(SUM($K31)&lt;=0,SUM($I31)=0),"",ROUND($K31*$G31*$I31,0))</f>
        <v>68</v>
      </c>
      <c r="O31" s="75" t="n">
        <f aca="false">IF($K31&lt;=0,"",ROUND($K31*$G31,0)-$N31)</f>
        <v>-64</v>
      </c>
      <c r="P31" s="118" t="n">
        <f aca="false">1</f>
        <v>1</v>
      </c>
      <c r="Q31" s="118" t="n">
        <f aca="false">0.9</f>
        <v>0.9</v>
      </c>
      <c r="R31" s="75" t="n">
        <f aca="false">IF(SUM($M31)&lt;=0,"",ROUND($M31*$P31,0))</f>
        <v>1072</v>
      </c>
      <c r="S31" s="75" t="str">
        <f aca="false">IF(SUM($O31)&lt;=0,"",ROUND($O31*$Q31,0))</f>
        <v/>
      </c>
      <c r="T31" s="73" t="n">
        <v>35</v>
      </c>
      <c r="U31" s="73" t="n">
        <v>4</v>
      </c>
      <c r="V31" s="118" t="n">
        <f aca="false">0.9</f>
        <v>0.9</v>
      </c>
      <c r="W31" s="75" t="n">
        <f aca="false">IF(SUM($R31)&lt;=0,"",ROUND($R31*$V31,0))</f>
        <v>965</v>
      </c>
      <c r="X31" s="75" t="str">
        <f aca="false">IF(SUM($S31)&lt;=0,"",ROUND($S31*$V31,0))</f>
        <v/>
      </c>
      <c r="Y31" s="118" t="n">
        <f aca="false">IF(SUM($T31)&lt;=0,"",(SUM($W31)-$T31)/$T31)</f>
        <v>26.5714285714286</v>
      </c>
      <c r="Z31" s="118" t="n">
        <f aca="false">IF(SUM($U31)&lt;=0,"",(SUM($X31)-$U31)/$U31)</f>
        <v>-1</v>
      </c>
    </row>
    <row r="32" customFormat="false" ht="15" hidden="false" customHeight="false" outlineLevel="0" collapsed="false">
      <c r="A32" s="0" t="s">
        <v>145</v>
      </c>
      <c r="B32" s="0" t="s">
        <v>107</v>
      </c>
      <c r="C32" s="0" t="s">
        <v>20</v>
      </c>
      <c r="D32" s="0" t="s">
        <v>58</v>
      </c>
      <c r="E32" s="0" t="str">
        <f aca="false">B32&amp;"|"&amp;C32&amp;"|"&amp;D32</f>
        <v>Mafeteng [#SNU] [#DREAMS] [DiFv5WXIHM5]|&lt;15|Male</v>
      </c>
      <c r="F32" s="118" t="n">
        <f aca="false">1</f>
        <v>1</v>
      </c>
      <c r="G32" s="118" t="n">
        <f aca="false">1</f>
        <v>1</v>
      </c>
      <c r="H32" s="118"/>
      <c r="I32" s="118" t="n">
        <v>27</v>
      </c>
      <c r="J32" s="73" t="n">
        <f aca="false">IF($C32="&lt;15",SUM(SUMIFS(Cascade!$AM:$AM,Cascade!$B:$B,$B32,Cascade!$C:$C,{"=&lt;01","01-04","05-09","10-14"},Cascade!$D:$D,$D32)),SUM(SUMIFS(Cascade!$AM:$AM,Cascade!$B:$B,$B32,Cascade!$C:$C,{"15-19","20-24","25-29","30-34","35-39","40-44","45-49","50+"},Cascade!$D:$D,$D32)))</f>
        <v>1072</v>
      </c>
      <c r="K32" s="73" t="n">
        <f aca="false">IF($C32="&lt;15",SUM(SUMIFS(Cascade!$U:$U,Cascade!$B:$B,$B32,Cascade!$C:$C,{"=&lt;01","01-04","05-09","10-14"},Cascade!$D:$D,$D32)),SUM(SUMIFS(Cascade!$U:$U,Cascade!$B:$B,$B32,Cascade!$C:$C,{"15-19","20-24","25-29","30-34","35-39","40-44","45-49","50+"},Cascade!$D:$D,$D32)))</f>
        <v>27</v>
      </c>
      <c r="L32" s="75" t="n">
        <f aca="false">IF(AND(SUM($J32)&lt;=0,SUM($H32)=0),"",ROUND($J32*$F32*$H32,0))</f>
        <v>0</v>
      </c>
      <c r="M32" s="75" t="n">
        <f aca="false">IF($J32&lt;=0,"",ROUND($J32*$F32,0)-$L32)</f>
        <v>1072</v>
      </c>
      <c r="N32" s="75" t="n">
        <f aca="false">IF(AND(SUM($K32)&lt;=0,SUM($I32)=0),"",ROUND($K32*$G32*$I32,0))</f>
        <v>729</v>
      </c>
      <c r="O32" s="75" t="n">
        <f aca="false">IF($K32&lt;=0,"",ROUND($K32*$G32,0)-$N32)</f>
        <v>-702</v>
      </c>
      <c r="P32" s="118" t="n">
        <f aca="false">1</f>
        <v>1</v>
      </c>
      <c r="Q32" s="118" t="n">
        <f aca="false">0.9</f>
        <v>0.9</v>
      </c>
      <c r="R32" s="75" t="n">
        <f aca="false">IF(SUM($M32)&lt;=0,"",ROUND($M32*$P32,0))</f>
        <v>1072</v>
      </c>
      <c r="S32" s="75" t="str">
        <f aca="false">IF(SUM($O32)&lt;=0,"",ROUND($O32*$Q32,0))</f>
        <v/>
      </c>
      <c r="T32" s="73" t="n">
        <v>23</v>
      </c>
      <c r="U32" s="73" t="n">
        <v>1</v>
      </c>
      <c r="V32" s="118" t="n">
        <f aca="false">0.9</f>
        <v>0.9</v>
      </c>
      <c r="W32" s="75" t="n">
        <f aca="false">IF(SUM($R32)&lt;=0,"",ROUND($R32*$V32,0))</f>
        <v>965</v>
      </c>
      <c r="X32" s="75" t="str">
        <f aca="false">IF(SUM($S32)&lt;=0,"",ROUND($S32*$V32,0))</f>
        <v/>
      </c>
      <c r="Y32" s="118" t="n">
        <f aca="false">IF(SUM($T32)&lt;=0,"",(SUM($W32)-$T32)/$T32)</f>
        <v>40.9565217391304</v>
      </c>
      <c r="Z32" s="118" t="n">
        <f aca="false">IF(SUM($U32)&lt;=0,"",(SUM($X32)-$U32)/$U32)</f>
        <v>-1</v>
      </c>
    </row>
    <row r="33" customFormat="false" ht="15" hidden="false" customHeight="false" outlineLevel="0" collapsed="false">
      <c r="A33" s="0" t="s">
        <v>145</v>
      </c>
      <c r="B33" s="0" t="s">
        <v>107</v>
      </c>
      <c r="C33" s="0" t="s">
        <v>822</v>
      </c>
      <c r="D33" s="0" t="s">
        <v>56</v>
      </c>
      <c r="E33" s="0" t="str">
        <f aca="false">B33&amp;"|"&amp;C33&amp;"|"&amp;D33</f>
        <v>Mafeteng [#SNU] [#DREAMS] [DiFv5WXIHM5]|15+|Female</v>
      </c>
      <c r="F33" s="118" t="n">
        <f aca="false">1</f>
        <v>1</v>
      </c>
      <c r="G33" s="118" t="n">
        <f aca="false">1</f>
        <v>1</v>
      </c>
      <c r="H33" s="118" t="n">
        <v>31</v>
      </c>
      <c r="I33" s="118" t="n">
        <v>7</v>
      </c>
      <c r="J33" s="73" t="n">
        <f aca="false">IF($C33="&lt;15",SUM(SUMIFS(Cascade!$AM:$AM,Cascade!$B:$B,$B33,Cascade!$C:$C,{"=&lt;01","01-04","05-09","10-14"},Cascade!$D:$D,$D33)),SUM(SUMIFS(Cascade!$AM:$AM,Cascade!$B:$B,$B33,Cascade!$C:$C,{"15-19","20-24","25-29","30-34","35-39","40-44","45-49","50+"},Cascade!$D:$D,$D33)))</f>
        <v>11</v>
      </c>
      <c r="K33" s="73" t="n">
        <f aca="false">IF($C33="&lt;15",SUM(SUMIFS(Cascade!$U:$U,Cascade!$B:$B,$B33,Cascade!$C:$C,{"=&lt;01","01-04","05-09","10-14"},Cascade!$D:$D,$D33)),SUM(SUMIFS(Cascade!$U:$U,Cascade!$B:$B,$B33,Cascade!$C:$C,{"15-19","20-24","25-29","30-34","35-39","40-44","45-49","50+"},Cascade!$D:$D,$D33)))</f>
        <v>46</v>
      </c>
      <c r="L33" s="75" t="n">
        <f aca="false">IF(AND(SUM($J33)&lt;=0,SUM($H33)=0),"",ROUND($J33*$F33*$H33,0))</f>
        <v>341</v>
      </c>
      <c r="M33" s="75" t="n">
        <f aca="false">IF($J33&lt;=0,"",ROUND($J33*$F33,0)-$L33)</f>
        <v>-330</v>
      </c>
      <c r="N33" s="75" t="n">
        <f aca="false">IF(AND(SUM($K33)&lt;=0,SUM($I33)=0),"",ROUND($K33*$G33*$I33,0))</f>
        <v>322</v>
      </c>
      <c r="O33" s="75" t="n">
        <f aca="false">IF($K33&lt;=0,"",ROUND($K33*$G33,0)-$N33)</f>
        <v>-276</v>
      </c>
      <c r="P33" s="118" t="n">
        <f aca="false">1</f>
        <v>1</v>
      </c>
      <c r="Q33" s="118" t="n">
        <f aca="false">0.9</f>
        <v>0.9</v>
      </c>
      <c r="R33" s="75" t="str">
        <f aca="false">IF(SUM($M33)&lt;=0,"",ROUND($M33*$P33,0))</f>
        <v/>
      </c>
      <c r="S33" s="75" t="str">
        <f aca="false">IF(SUM($O33)&lt;=0,"",ROUND($O33*$Q33,0))</f>
        <v/>
      </c>
      <c r="T33" s="73" t="n">
        <v>28</v>
      </c>
      <c r="U33" s="73" t="n">
        <v>9</v>
      </c>
      <c r="V33" s="118" t="n">
        <f aca="false">0.9</f>
        <v>0.9</v>
      </c>
      <c r="W33" s="75" t="str">
        <f aca="false">IF(SUM($R33)&lt;=0,"",ROUND($R33*$V33,0))</f>
        <v/>
      </c>
      <c r="X33" s="75" t="str">
        <f aca="false">IF(SUM($S33)&lt;=0,"",ROUND($S33*$V33,0))</f>
        <v/>
      </c>
      <c r="Y33" s="118" t="n">
        <f aca="false">IF(SUM($T33)&lt;=0,"",(SUM($W33)-$T33)/$T33)</f>
        <v>-1</v>
      </c>
      <c r="Z33" s="118" t="n">
        <f aca="false">IF(SUM($U33)&lt;=0,"",(SUM($X33)-$U33)/$U33)</f>
        <v>-1</v>
      </c>
    </row>
    <row r="34" customFormat="false" ht="15" hidden="false" customHeight="false" outlineLevel="0" collapsed="false">
      <c r="A34" s="0" t="s">
        <v>145</v>
      </c>
      <c r="B34" s="0" t="s">
        <v>107</v>
      </c>
      <c r="C34" s="0" t="s">
        <v>822</v>
      </c>
      <c r="D34" s="0" t="s">
        <v>58</v>
      </c>
      <c r="E34" s="0" t="str">
        <f aca="false">B34&amp;"|"&amp;C34&amp;"|"&amp;D34</f>
        <v>Mafeteng [#SNU] [#DREAMS] [DiFv5WXIHM5]|15+|Male</v>
      </c>
      <c r="F34" s="118" t="n">
        <f aca="false">1</f>
        <v>1</v>
      </c>
      <c r="G34" s="118" t="n">
        <f aca="false">1</f>
        <v>1</v>
      </c>
      <c r="H34" s="118" t="n">
        <v>44</v>
      </c>
      <c r="I34" s="118" t="n">
        <v>34</v>
      </c>
      <c r="J34" s="73" t="n">
        <f aca="false">IF($C34="&lt;15",SUM(SUMIFS(Cascade!$AM:$AM,Cascade!$B:$B,$B34,Cascade!$C:$C,{"=&lt;01","01-04","05-09","10-14"},Cascade!$D:$D,$D34)),SUM(SUMIFS(Cascade!$AM:$AM,Cascade!$B:$B,$B34,Cascade!$C:$C,{"15-19","20-24","25-29","30-34","35-39","40-44","45-49","50+"},Cascade!$D:$D,$D34)))</f>
        <v>0</v>
      </c>
      <c r="K34" s="73" t="n">
        <f aca="false">IF($C34="&lt;15",SUM(SUMIFS(Cascade!$U:$U,Cascade!$B:$B,$B34,Cascade!$C:$C,{"=&lt;01","01-04","05-09","10-14"},Cascade!$D:$D,$D34)),SUM(SUMIFS(Cascade!$U:$U,Cascade!$B:$B,$B34,Cascade!$C:$C,{"15-19","20-24","25-29","30-34","35-39","40-44","45-49","50+"},Cascade!$D:$D,$D34)))</f>
        <v>9</v>
      </c>
      <c r="L34" s="75" t="n">
        <f aca="false">IF(AND(SUM($J34)&lt;=0,SUM($H34)=0),"",ROUND($J34*$F34*$H34,0))</f>
        <v>0</v>
      </c>
      <c r="M34" s="75" t="str">
        <f aca="false">IF($J34&lt;=0,"",ROUND($J34*$F34,0)-$L34)</f>
        <v/>
      </c>
      <c r="N34" s="75" t="n">
        <f aca="false">IF(AND(SUM($K34)&lt;=0,SUM($I34)=0),"",ROUND($K34*$G34*$I34,0))</f>
        <v>306</v>
      </c>
      <c r="O34" s="75" t="n">
        <f aca="false">IF($K34&lt;=0,"",ROUND($K34*$G34,0)-$N34)</f>
        <v>-297</v>
      </c>
      <c r="P34" s="118" t="n">
        <f aca="false">1</f>
        <v>1</v>
      </c>
      <c r="Q34" s="118" t="n">
        <f aca="false">0.9</f>
        <v>0.9</v>
      </c>
      <c r="R34" s="75" t="str">
        <f aca="false">IF(SUM($M34)&lt;=0,"",ROUND($M34*$P34,0))</f>
        <v/>
      </c>
      <c r="S34" s="75" t="str">
        <f aca="false">IF(SUM($O34)&lt;=0,"",ROUND($O34*$Q34,0))</f>
        <v/>
      </c>
      <c r="T34" s="73" t="n">
        <v>30</v>
      </c>
      <c r="U34" s="73" t="n">
        <v>6</v>
      </c>
      <c r="V34" s="118" t="n">
        <f aca="false">0.9</f>
        <v>0.9</v>
      </c>
      <c r="W34" s="75" t="str">
        <f aca="false">IF(SUM($R34)&lt;=0,"",ROUND($R34*$V34,0))</f>
        <v/>
      </c>
      <c r="X34" s="75" t="str">
        <f aca="false">IF(SUM($S34)&lt;=0,"",ROUND($S34*$V34,0))</f>
        <v/>
      </c>
      <c r="Y34" s="118" t="n">
        <f aca="false">IF(SUM($T34)&lt;=0,"",(SUM($W34)-$T34)/$T34)</f>
        <v>-1</v>
      </c>
      <c r="Z34" s="118" t="n">
        <f aca="false">IF(SUM($U34)&lt;=0,"",(SUM($X34)-$U34)/$U34)</f>
        <v>-1</v>
      </c>
    </row>
    <row r="35" customFormat="false" ht="15" hidden="false" customHeight="false" outlineLevel="0" collapsed="false">
      <c r="A35" s="0" t="s">
        <v>146</v>
      </c>
      <c r="B35" s="0" t="s">
        <v>45</v>
      </c>
      <c r="C35" s="0" t="s">
        <v>20</v>
      </c>
      <c r="D35" s="0" t="s">
        <v>56</v>
      </c>
      <c r="E35" s="0" t="str">
        <f aca="false">B35&amp;"|"&amp;C35&amp;"|"&amp;D35</f>
        <v>Maseru [#SNU] [#DREAMS] [tKOXiaNhAyJ]|&lt;15|Female</v>
      </c>
      <c r="F35" s="118" t="n">
        <f aca="false">1</f>
        <v>1</v>
      </c>
      <c r="G35" s="118" t="n">
        <f aca="false">1</f>
        <v>1</v>
      </c>
      <c r="H35" s="118" t="n">
        <v>33</v>
      </c>
      <c r="I35" s="118" t="n">
        <v>27</v>
      </c>
      <c r="J35" s="73" t="n">
        <f aca="false">IF($C35="&lt;15",SUM(SUMIFS(Cascade!$AM:$AM,Cascade!$B:$B,$B35,Cascade!$C:$C,{"=&lt;01","01-04","05-09","10-14"},Cascade!$D:$D,$D35)),SUM(SUMIFS(Cascade!$AM:$AM,Cascade!$B:$B,$B35,Cascade!$C:$C,{"15-19","20-24","25-29","30-34","35-39","40-44","45-49","50+"},Cascade!$D:$D,$D35)))</f>
        <v>22684</v>
      </c>
      <c r="K35" s="73" t="n">
        <f aca="false">IF($C35="&lt;15",SUM(SUMIFS(Cascade!$U:$U,Cascade!$B:$B,$B35,Cascade!$C:$C,{"=&lt;01","01-04","05-09","10-14"},Cascade!$D:$D,$D35)),SUM(SUMIFS(Cascade!$U:$U,Cascade!$B:$B,$B35,Cascade!$C:$C,{"15-19","20-24","25-29","30-34","35-39","40-44","45-49","50+"},Cascade!$D:$D,$D35)))</f>
        <v>13</v>
      </c>
      <c r="L35" s="75" t="n">
        <f aca="false">IF(AND(SUM($J35)&lt;=0,SUM($H35)=0),"",ROUND($J35*$F35*$H35,0))</f>
        <v>748572</v>
      </c>
      <c r="M35" s="75" t="n">
        <f aca="false">IF($J35&lt;=0,"",ROUND($J35*$F35,0)-$L35)</f>
        <v>-725888</v>
      </c>
      <c r="N35" s="75" t="n">
        <f aca="false">IF(AND(SUM($K35)&lt;=0,SUM($I35)=0),"",ROUND($K35*$G35*$I35,0))</f>
        <v>351</v>
      </c>
      <c r="O35" s="75" t="n">
        <f aca="false">IF($K35&lt;=0,"",ROUND($K35*$G35,0)-$N35)</f>
        <v>-338</v>
      </c>
      <c r="P35" s="118" t="n">
        <f aca="false">1</f>
        <v>1</v>
      </c>
      <c r="Q35" s="118" t="n">
        <f aca="false">0.9</f>
        <v>0.9</v>
      </c>
      <c r="R35" s="75" t="str">
        <f aca="false">IF(SUM($M35)&lt;=0,"",ROUND($M35*$P35,0))</f>
        <v/>
      </c>
      <c r="S35" s="75" t="str">
        <f aca="false">IF(SUM($O35)&lt;=0,"",ROUND($O35*$Q35,0))</f>
        <v/>
      </c>
      <c r="T35" s="73" t="n">
        <v>12</v>
      </c>
      <c r="U35" s="73" t="n">
        <v>45</v>
      </c>
      <c r="V35" s="118" t="n">
        <f aca="false">0.9</f>
        <v>0.9</v>
      </c>
      <c r="W35" s="75" t="str">
        <f aca="false">IF(SUM($R35)&lt;=0,"",ROUND($R35*$V35,0))</f>
        <v/>
      </c>
      <c r="X35" s="75" t="str">
        <f aca="false">IF(SUM($S35)&lt;=0,"",ROUND($S35*$V35,0))</f>
        <v/>
      </c>
      <c r="Y35" s="118" t="n">
        <f aca="false">IF(SUM($T35)&lt;=0,"",(SUM($W35)-$T35)/$T35)</f>
        <v>-1</v>
      </c>
      <c r="Z35" s="118" t="n">
        <f aca="false">IF(SUM($U35)&lt;=0,"",(SUM($X35)-$U35)/$U35)</f>
        <v>-1</v>
      </c>
    </row>
    <row r="36" customFormat="false" ht="15" hidden="false" customHeight="false" outlineLevel="0" collapsed="false">
      <c r="A36" s="0" t="s">
        <v>146</v>
      </c>
      <c r="B36" s="0" t="s">
        <v>45</v>
      </c>
      <c r="C36" s="0" t="s">
        <v>20</v>
      </c>
      <c r="D36" s="0" t="s">
        <v>58</v>
      </c>
      <c r="E36" s="0" t="str">
        <f aca="false">B36&amp;"|"&amp;C36&amp;"|"&amp;D36</f>
        <v>Maseru [#SNU] [#DREAMS] [tKOXiaNhAyJ]|&lt;15|Male</v>
      </c>
      <c r="F36" s="118" t="n">
        <f aca="false">1</f>
        <v>1</v>
      </c>
      <c r="G36" s="118" t="n">
        <f aca="false">1</f>
        <v>1</v>
      </c>
      <c r="H36" s="118"/>
      <c r="I36" s="118" t="n">
        <v>11</v>
      </c>
      <c r="J36" s="73" t="n">
        <f aca="false">IF($C36="&lt;15",SUM(SUMIFS(Cascade!$AM:$AM,Cascade!$B:$B,$B36,Cascade!$C:$C,{"=&lt;01","01-04","05-09","10-14"},Cascade!$D:$D,$D36)),SUM(SUMIFS(Cascade!$AM:$AM,Cascade!$B:$B,$B36,Cascade!$C:$C,{"15-19","20-24","25-29","30-34","35-39","40-44","45-49","50+"},Cascade!$D:$D,$D36)))</f>
        <v>22684</v>
      </c>
      <c r="K36" s="73" t="n">
        <f aca="false">IF($C36="&lt;15",SUM(SUMIFS(Cascade!$U:$U,Cascade!$B:$B,$B36,Cascade!$C:$C,{"=&lt;01","01-04","05-09","10-14"},Cascade!$D:$D,$D36)),SUM(SUMIFS(Cascade!$U:$U,Cascade!$B:$B,$B36,Cascade!$C:$C,{"15-19","20-24","25-29","30-34","35-39","40-44","45-49","50+"},Cascade!$D:$D,$D36)))</f>
        <v>45</v>
      </c>
      <c r="L36" s="75" t="n">
        <f aca="false">IF(AND(SUM($J36)&lt;=0,SUM($H36)=0),"",ROUND($J36*$F36*$H36,0))</f>
        <v>0</v>
      </c>
      <c r="M36" s="75" t="n">
        <f aca="false">IF($J36&lt;=0,"",ROUND($J36*$F36,0)-$L36)</f>
        <v>22684</v>
      </c>
      <c r="N36" s="75" t="n">
        <f aca="false">IF(AND(SUM($K36)&lt;=0,SUM($I36)=0),"",ROUND($K36*$G36*$I36,0))</f>
        <v>495</v>
      </c>
      <c r="O36" s="75" t="n">
        <f aca="false">IF($K36&lt;=0,"",ROUND($K36*$G36,0)-$N36)</f>
        <v>-450</v>
      </c>
      <c r="P36" s="118" t="n">
        <f aca="false">1</f>
        <v>1</v>
      </c>
      <c r="Q36" s="118" t="n">
        <f aca="false">0.9</f>
        <v>0.9</v>
      </c>
      <c r="R36" s="75" t="n">
        <f aca="false">IF(SUM($M36)&lt;=0,"",ROUND($M36*$P36,0))</f>
        <v>22684</v>
      </c>
      <c r="S36" s="75" t="str">
        <f aca="false">IF(SUM($O36)&lt;=0,"",ROUND($O36*$Q36,0))</f>
        <v/>
      </c>
      <c r="T36" s="73" t="n">
        <v>15</v>
      </c>
      <c r="U36" s="73" t="n">
        <v>31</v>
      </c>
      <c r="V36" s="118" t="n">
        <f aca="false">0.9</f>
        <v>0.9</v>
      </c>
      <c r="W36" s="75" t="n">
        <f aca="false">IF(SUM($R36)&lt;=0,"",ROUND($R36*$V36,0))</f>
        <v>20416</v>
      </c>
      <c r="X36" s="75" t="str">
        <f aca="false">IF(SUM($S36)&lt;=0,"",ROUND($S36*$V36,0))</f>
        <v/>
      </c>
      <c r="Y36" s="118" t="n">
        <f aca="false">IF(SUM($T36)&lt;=0,"",(SUM($W36)-$T36)/$T36)</f>
        <v>1360.06666666667</v>
      </c>
      <c r="Z36" s="118" t="n">
        <f aca="false">IF(SUM($U36)&lt;=0,"",(SUM($X36)-$U36)/$U36)</f>
        <v>-1</v>
      </c>
    </row>
    <row r="37" customFormat="false" ht="15" hidden="false" customHeight="false" outlineLevel="0" collapsed="false">
      <c r="A37" s="0" t="s">
        <v>146</v>
      </c>
      <c r="B37" s="0" t="s">
        <v>45</v>
      </c>
      <c r="C37" s="0" t="s">
        <v>822</v>
      </c>
      <c r="D37" s="0" t="s">
        <v>56</v>
      </c>
      <c r="E37" s="0" t="str">
        <f aca="false">B37&amp;"|"&amp;C37&amp;"|"&amp;D37</f>
        <v>Maseru [#SNU] [#DREAMS] [tKOXiaNhAyJ]|15+|Female</v>
      </c>
      <c r="F37" s="118" t="n">
        <f aca="false">1</f>
        <v>1</v>
      </c>
      <c r="G37" s="118" t="n">
        <f aca="false">1</f>
        <v>1</v>
      </c>
      <c r="H37" s="118" t="n">
        <v>29</v>
      </c>
      <c r="I37" s="118" t="n">
        <v>36</v>
      </c>
      <c r="J37" s="73" t="n">
        <f aca="false">IF($C37="&lt;15",SUM(SUMIFS(Cascade!$AM:$AM,Cascade!$B:$B,$B37,Cascade!$C:$C,{"=&lt;01","01-04","05-09","10-14"},Cascade!$D:$D,$D37)),SUM(SUMIFS(Cascade!$AM:$AM,Cascade!$B:$B,$B37,Cascade!$C:$C,{"15-19","20-24","25-29","30-34","35-39","40-44","45-49","50+"},Cascade!$D:$D,$D37)))</f>
        <v>13</v>
      </c>
      <c r="K37" s="73" t="n">
        <f aca="false">IF($C37="&lt;15",SUM(SUMIFS(Cascade!$U:$U,Cascade!$B:$B,$B37,Cascade!$C:$C,{"=&lt;01","01-04","05-09","10-14"},Cascade!$D:$D,$D37)),SUM(SUMIFS(Cascade!$U:$U,Cascade!$B:$B,$B37,Cascade!$C:$C,{"15-19","20-24","25-29","30-34","35-39","40-44","45-49","50+"},Cascade!$D:$D,$D37)))</f>
        <v>37</v>
      </c>
      <c r="L37" s="75" t="n">
        <f aca="false">IF(AND(SUM($J37)&lt;=0,SUM($H37)=0),"",ROUND($J37*$F37*$H37,0))</f>
        <v>377</v>
      </c>
      <c r="M37" s="75" t="n">
        <f aca="false">IF($J37&lt;=0,"",ROUND($J37*$F37,0)-$L37)</f>
        <v>-364</v>
      </c>
      <c r="N37" s="75" t="n">
        <f aca="false">IF(AND(SUM($K37)&lt;=0,SUM($I37)=0),"",ROUND($K37*$G37*$I37,0))</f>
        <v>1332</v>
      </c>
      <c r="O37" s="75" t="n">
        <f aca="false">IF($K37&lt;=0,"",ROUND($K37*$G37,0)-$N37)</f>
        <v>-1295</v>
      </c>
      <c r="P37" s="118" t="n">
        <f aca="false">1</f>
        <v>1</v>
      </c>
      <c r="Q37" s="118" t="n">
        <f aca="false">0.9</f>
        <v>0.9</v>
      </c>
      <c r="R37" s="75" t="str">
        <f aca="false">IF(SUM($M37)&lt;=0,"",ROUND($M37*$P37,0))</f>
        <v/>
      </c>
      <c r="S37" s="75" t="str">
        <f aca="false">IF(SUM($O37)&lt;=0,"",ROUND($O37*$Q37,0))</f>
        <v/>
      </c>
      <c r="T37" s="73" t="n">
        <v>11</v>
      </c>
      <c r="U37" s="73" t="n">
        <v>44</v>
      </c>
      <c r="V37" s="118" t="n">
        <f aca="false">0.9</f>
        <v>0.9</v>
      </c>
      <c r="W37" s="75" t="str">
        <f aca="false">IF(SUM($R37)&lt;=0,"",ROUND($R37*$V37,0))</f>
        <v/>
      </c>
      <c r="X37" s="75" t="str">
        <f aca="false">IF(SUM($S37)&lt;=0,"",ROUND($S37*$V37,0))</f>
        <v/>
      </c>
      <c r="Y37" s="118" t="n">
        <f aca="false">IF(SUM($T37)&lt;=0,"",(SUM($W37)-$T37)/$T37)</f>
        <v>-1</v>
      </c>
      <c r="Z37" s="118" t="n">
        <f aca="false">IF(SUM($U37)&lt;=0,"",(SUM($X37)-$U37)/$U37)</f>
        <v>-1</v>
      </c>
    </row>
    <row r="38" customFormat="false" ht="15" hidden="false" customHeight="false" outlineLevel="0" collapsed="false">
      <c r="A38" s="0" t="s">
        <v>146</v>
      </c>
      <c r="B38" s="0" t="s">
        <v>45</v>
      </c>
      <c r="C38" s="0" t="s">
        <v>822</v>
      </c>
      <c r="D38" s="0" t="s">
        <v>58</v>
      </c>
      <c r="E38" s="0" t="str">
        <f aca="false">B38&amp;"|"&amp;C38&amp;"|"&amp;D38</f>
        <v>Maseru [#SNU] [#DREAMS] [tKOXiaNhAyJ]|15+|Male</v>
      </c>
      <c r="F38" s="118" t="n">
        <f aca="false">1</f>
        <v>1</v>
      </c>
      <c r="G38" s="118" t="n">
        <f aca="false">1</f>
        <v>1</v>
      </c>
      <c r="H38" s="118" t="n">
        <v>20</v>
      </c>
      <c r="I38" s="118" t="n">
        <v>14</v>
      </c>
      <c r="J38" s="73" t="n">
        <f aca="false">IF($C38="&lt;15",SUM(SUMIFS(Cascade!$AM:$AM,Cascade!$B:$B,$B38,Cascade!$C:$C,{"=&lt;01","01-04","05-09","10-14"},Cascade!$D:$D,$D38)),SUM(SUMIFS(Cascade!$AM:$AM,Cascade!$B:$B,$B38,Cascade!$C:$C,{"15-19","20-24","25-29","30-34","35-39","40-44","45-49","50+"},Cascade!$D:$D,$D38)))</f>
        <v>1</v>
      </c>
      <c r="K38" s="73" t="n">
        <f aca="false">IF($C38="&lt;15",SUM(SUMIFS(Cascade!$U:$U,Cascade!$B:$B,$B38,Cascade!$C:$C,{"=&lt;01","01-04","05-09","10-14"},Cascade!$D:$D,$D38)),SUM(SUMIFS(Cascade!$U:$U,Cascade!$B:$B,$B38,Cascade!$C:$C,{"15-19","20-24","25-29","30-34","35-39","40-44","45-49","50+"},Cascade!$D:$D,$D38)))</f>
        <v>8</v>
      </c>
      <c r="L38" s="75" t="n">
        <f aca="false">IF(AND(SUM($J38)&lt;=0,SUM($H38)=0),"",ROUND($J38*$F38*$H38,0))</f>
        <v>20</v>
      </c>
      <c r="M38" s="75" t="n">
        <f aca="false">IF($J38&lt;=0,"",ROUND($J38*$F38,0)-$L38)</f>
        <v>-19</v>
      </c>
      <c r="N38" s="75" t="n">
        <f aca="false">IF(AND(SUM($K38)&lt;=0,SUM($I38)=0),"",ROUND($K38*$G38*$I38,0))</f>
        <v>112</v>
      </c>
      <c r="O38" s="75" t="n">
        <f aca="false">IF($K38&lt;=0,"",ROUND($K38*$G38,0)-$N38)</f>
        <v>-104</v>
      </c>
      <c r="P38" s="118" t="n">
        <f aca="false">1</f>
        <v>1</v>
      </c>
      <c r="Q38" s="118" t="n">
        <f aca="false">0.9</f>
        <v>0.9</v>
      </c>
      <c r="R38" s="75" t="str">
        <f aca="false">IF(SUM($M38)&lt;=0,"",ROUND($M38*$P38,0))</f>
        <v/>
      </c>
      <c r="S38" s="75" t="str">
        <f aca="false">IF(SUM($O38)&lt;=0,"",ROUND($O38*$Q38,0))</f>
        <v/>
      </c>
      <c r="T38" s="73" t="n">
        <v>34</v>
      </c>
      <c r="U38" s="73" t="n">
        <v>4</v>
      </c>
      <c r="V38" s="118" t="n">
        <f aca="false">0.9</f>
        <v>0.9</v>
      </c>
      <c r="W38" s="75" t="str">
        <f aca="false">IF(SUM($R38)&lt;=0,"",ROUND($R38*$V38,0))</f>
        <v/>
      </c>
      <c r="X38" s="75" t="str">
        <f aca="false">IF(SUM($S38)&lt;=0,"",ROUND($S38*$V38,0))</f>
        <v/>
      </c>
      <c r="Y38" s="118" t="n">
        <f aca="false">IF(SUM($T38)&lt;=0,"",(SUM($W38)-$T38)/$T38)</f>
        <v>-1</v>
      </c>
      <c r="Z38" s="118" t="n">
        <f aca="false">IF(SUM($U38)&lt;=0,"",(SUM($X38)-$U38)/$U38)</f>
        <v>-1</v>
      </c>
    </row>
    <row r="39" customFormat="false" ht="15" hidden="false" customHeight="false" outlineLevel="0" collapsed="false">
      <c r="A39" s="0" t="s">
        <v>147</v>
      </c>
      <c r="B39" s="0" t="s">
        <v>105</v>
      </c>
      <c r="C39" s="0" t="s">
        <v>20</v>
      </c>
      <c r="D39" s="0" t="s">
        <v>56</v>
      </c>
      <c r="E39" s="0" t="str">
        <f aca="false">B39&amp;"|"&amp;C39&amp;"|"&amp;D39</f>
        <v>Mohale's Hoek [#SNU] [#DREAMS] [YGI7vISD2kJ]|&lt;15|Female</v>
      </c>
      <c r="F39" s="118" t="n">
        <f aca="false">1</f>
        <v>1</v>
      </c>
      <c r="G39" s="118" t="n">
        <f aca="false">1</f>
        <v>1</v>
      </c>
      <c r="H39" s="118"/>
      <c r="I39" s="118" t="n">
        <v>30</v>
      </c>
      <c r="J39" s="73" t="n">
        <f aca="false">IF($C39="&lt;15",SUM(SUMIFS(Cascade!$AM:$AM,Cascade!$B:$B,$B39,Cascade!$C:$C,{"=&lt;01","01-04","05-09","10-14"},Cascade!$D:$D,$D39)),SUM(SUMIFS(Cascade!$AM:$AM,Cascade!$B:$B,$B39,Cascade!$C:$C,{"15-19","20-24","25-29","30-34","35-39","40-44","45-49","50+"},Cascade!$D:$D,$D39)))</f>
        <v>7695</v>
      </c>
      <c r="K39" s="73" t="n">
        <f aca="false">IF($C39="&lt;15",SUM(SUMIFS(Cascade!$U:$U,Cascade!$B:$B,$B39,Cascade!$C:$C,{"=&lt;01","01-04","05-09","10-14"},Cascade!$D:$D,$D39)),SUM(SUMIFS(Cascade!$U:$U,Cascade!$B:$B,$B39,Cascade!$C:$C,{"15-19","20-24","25-29","30-34","35-39","40-44","45-49","50+"},Cascade!$D:$D,$D39)))</f>
        <v>19</v>
      </c>
      <c r="L39" s="75" t="n">
        <f aca="false">IF(AND(SUM($J39)&lt;=0,SUM($H39)=0),"",ROUND($J39*$F39*$H39,0))</f>
        <v>0</v>
      </c>
      <c r="M39" s="75" t="n">
        <f aca="false">IF($J39&lt;=0,"",ROUND($J39*$F39,0)-$L39)</f>
        <v>7695</v>
      </c>
      <c r="N39" s="75" t="n">
        <f aca="false">IF(AND(SUM($K39)&lt;=0,SUM($I39)=0),"",ROUND($K39*$G39*$I39,0))</f>
        <v>570</v>
      </c>
      <c r="O39" s="75" t="n">
        <f aca="false">IF($K39&lt;=0,"",ROUND($K39*$G39,0)-$N39)</f>
        <v>-551</v>
      </c>
      <c r="P39" s="118" t="n">
        <f aca="false">1</f>
        <v>1</v>
      </c>
      <c r="Q39" s="118" t="n">
        <f aca="false">0.9</f>
        <v>0.9</v>
      </c>
      <c r="R39" s="75" t="n">
        <f aca="false">IF(SUM($M39)&lt;=0,"",ROUND($M39*$P39,0))</f>
        <v>7695</v>
      </c>
      <c r="S39" s="75" t="str">
        <f aca="false">IF(SUM($O39)&lt;=0,"",ROUND($O39*$Q39,0))</f>
        <v/>
      </c>
      <c r="T39" s="73" t="n">
        <v>30</v>
      </c>
      <c r="U39" s="73" t="n">
        <v>30</v>
      </c>
      <c r="V39" s="118" t="n">
        <f aca="false">0.9</f>
        <v>0.9</v>
      </c>
      <c r="W39" s="75" t="n">
        <f aca="false">IF(SUM($R39)&lt;=0,"",ROUND($R39*$V39,0))</f>
        <v>6926</v>
      </c>
      <c r="X39" s="75" t="str">
        <f aca="false">IF(SUM($S39)&lt;=0,"",ROUND($S39*$V39,0))</f>
        <v/>
      </c>
      <c r="Y39" s="118" t="n">
        <f aca="false">IF(SUM($T39)&lt;=0,"",(SUM($W39)-$T39)/$T39)</f>
        <v>229.866666666667</v>
      </c>
      <c r="Z39" s="118" t="n">
        <f aca="false">IF(SUM($U39)&lt;=0,"",(SUM($X39)-$U39)/$U39)</f>
        <v>-1</v>
      </c>
    </row>
    <row r="40" customFormat="false" ht="15" hidden="false" customHeight="false" outlineLevel="0" collapsed="false">
      <c r="A40" s="0" t="s">
        <v>147</v>
      </c>
      <c r="B40" s="0" t="s">
        <v>105</v>
      </c>
      <c r="C40" s="0" t="s">
        <v>20</v>
      </c>
      <c r="D40" s="0" t="s">
        <v>58</v>
      </c>
      <c r="E40" s="0" t="str">
        <f aca="false">B40&amp;"|"&amp;C40&amp;"|"&amp;D40</f>
        <v>Mohale's Hoek [#SNU] [#DREAMS] [YGI7vISD2kJ]|&lt;15|Male</v>
      </c>
      <c r="F40" s="118" t="n">
        <f aca="false">1</f>
        <v>1</v>
      </c>
      <c r="G40" s="118" t="n">
        <f aca="false">1</f>
        <v>1</v>
      </c>
      <c r="H40" s="118"/>
      <c r="I40" s="118" t="n">
        <v>2</v>
      </c>
      <c r="J40" s="73" t="n">
        <f aca="false">IF($C40="&lt;15",SUM(SUMIFS(Cascade!$AM:$AM,Cascade!$B:$B,$B40,Cascade!$C:$C,{"=&lt;01","01-04","05-09","10-14"},Cascade!$D:$D,$D40)),SUM(SUMIFS(Cascade!$AM:$AM,Cascade!$B:$B,$B40,Cascade!$C:$C,{"15-19","20-24","25-29","30-34","35-39","40-44","45-49","50+"},Cascade!$D:$D,$D40)))</f>
        <v>7695</v>
      </c>
      <c r="K40" s="73" t="n">
        <f aca="false">IF($C40="&lt;15",SUM(SUMIFS(Cascade!$U:$U,Cascade!$B:$B,$B40,Cascade!$C:$C,{"=&lt;01","01-04","05-09","10-14"},Cascade!$D:$D,$D40)),SUM(SUMIFS(Cascade!$U:$U,Cascade!$B:$B,$B40,Cascade!$C:$C,{"15-19","20-24","25-29","30-34","35-39","40-44","45-49","50+"},Cascade!$D:$D,$D40)))</f>
        <v>25</v>
      </c>
      <c r="L40" s="75" t="n">
        <f aca="false">IF(AND(SUM($J40)&lt;=0,SUM($H40)=0),"",ROUND($J40*$F40*$H40,0))</f>
        <v>0</v>
      </c>
      <c r="M40" s="75" t="n">
        <f aca="false">IF($J40&lt;=0,"",ROUND($J40*$F40,0)-$L40)</f>
        <v>7695</v>
      </c>
      <c r="N40" s="75" t="n">
        <f aca="false">IF(AND(SUM($K40)&lt;=0,SUM($I40)=0),"",ROUND($K40*$G40*$I40,0))</f>
        <v>50</v>
      </c>
      <c r="O40" s="75" t="n">
        <f aca="false">IF($K40&lt;=0,"",ROUND($K40*$G40,0)-$N40)</f>
        <v>-25</v>
      </c>
      <c r="P40" s="118" t="n">
        <f aca="false">1</f>
        <v>1</v>
      </c>
      <c r="Q40" s="118" t="n">
        <f aca="false">0.9</f>
        <v>0.9</v>
      </c>
      <c r="R40" s="75" t="n">
        <f aca="false">IF(SUM($M40)&lt;=0,"",ROUND($M40*$P40,0))</f>
        <v>7695</v>
      </c>
      <c r="S40" s="75" t="str">
        <f aca="false">IF(SUM($O40)&lt;=0,"",ROUND($O40*$Q40,0))</f>
        <v/>
      </c>
      <c r="T40" s="73" t="n">
        <v>31</v>
      </c>
      <c r="U40" s="73" t="n">
        <v>39</v>
      </c>
      <c r="V40" s="118" t="n">
        <f aca="false">0.9</f>
        <v>0.9</v>
      </c>
      <c r="W40" s="75" t="n">
        <f aca="false">IF(SUM($R40)&lt;=0,"",ROUND($R40*$V40,0))</f>
        <v>6926</v>
      </c>
      <c r="X40" s="75" t="str">
        <f aca="false">IF(SUM($S40)&lt;=0,"",ROUND($S40*$V40,0))</f>
        <v/>
      </c>
      <c r="Y40" s="118" t="n">
        <f aca="false">IF(SUM($T40)&lt;=0,"",(SUM($W40)-$T40)/$T40)</f>
        <v>222.41935483871</v>
      </c>
      <c r="Z40" s="118" t="n">
        <f aca="false">IF(SUM($U40)&lt;=0,"",(SUM($X40)-$U40)/$U40)</f>
        <v>-1</v>
      </c>
    </row>
    <row r="41" customFormat="false" ht="15" hidden="false" customHeight="false" outlineLevel="0" collapsed="false">
      <c r="A41" s="0" t="s">
        <v>147</v>
      </c>
      <c r="B41" s="0" t="s">
        <v>105</v>
      </c>
      <c r="C41" s="0" t="s">
        <v>822</v>
      </c>
      <c r="D41" s="0" t="s">
        <v>56</v>
      </c>
      <c r="E41" s="0" t="str">
        <f aca="false">B41&amp;"|"&amp;C41&amp;"|"&amp;D41</f>
        <v>Mohale's Hoek [#SNU] [#DREAMS] [YGI7vISD2kJ]|15+|Female</v>
      </c>
      <c r="F41" s="118" t="n">
        <f aca="false">1</f>
        <v>1</v>
      </c>
      <c r="G41" s="118" t="n">
        <f aca="false">1</f>
        <v>1</v>
      </c>
      <c r="H41" s="118" t="n">
        <v>42</v>
      </c>
      <c r="I41" s="118" t="n">
        <v>48</v>
      </c>
      <c r="J41" s="73" t="n">
        <f aca="false">IF($C41="&lt;15",SUM(SUMIFS(Cascade!$AM:$AM,Cascade!$B:$B,$B41,Cascade!$C:$C,{"=&lt;01","01-04","05-09","10-14"},Cascade!$D:$D,$D41)),SUM(SUMIFS(Cascade!$AM:$AM,Cascade!$B:$B,$B41,Cascade!$C:$C,{"15-19","20-24","25-29","30-34","35-39","40-44","45-49","50+"},Cascade!$D:$D,$D41)))</f>
        <v>7</v>
      </c>
      <c r="K41" s="73" t="n">
        <f aca="false">IF($C41="&lt;15",SUM(SUMIFS(Cascade!$U:$U,Cascade!$B:$B,$B41,Cascade!$C:$C,{"=&lt;01","01-04","05-09","10-14"},Cascade!$D:$D,$D41)),SUM(SUMIFS(Cascade!$U:$U,Cascade!$B:$B,$B41,Cascade!$C:$C,{"15-19","20-24","25-29","30-34","35-39","40-44","45-49","50+"},Cascade!$D:$D,$D41)))</f>
        <v>23</v>
      </c>
      <c r="L41" s="75" t="n">
        <f aca="false">IF(AND(SUM($J41)&lt;=0,SUM($H41)=0),"",ROUND($J41*$F41*$H41,0))</f>
        <v>294</v>
      </c>
      <c r="M41" s="75" t="n">
        <f aca="false">IF($J41&lt;=0,"",ROUND($J41*$F41,0)-$L41)</f>
        <v>-287</v>
      </c>
      <c r="N41" s="75" t="n">
        <f aca="false">IF(AND(SUM($K41)&lt;=0,SUM($I41)=0),"",ROUND($K41*$G41*$I41,0))</f>
        <v>1104</v>
      </c>
      <c r="O41" s="75" t="n">
        <f aca="false">IF($K41&lt;=0,"",ROUND($K41*$G41,0)-$N41)</f>
        <v>-1081</v>
      </c>
      <c r="P41" s="118" t="n">
        <f aca="false">1</f>
        <v>1</v>
      </c>
      <c r="Q41" s="118" t="n">
        <f aca="false">0.9</f>
        <v>0.9</v>
      </c>
      <c r="R41" s="75" t="str">
        <f aca="false">IF(SUM($M41)&lt;=0,"",ROUND($M41*$P41,0))</f>
        <v/>
      </c>
      <c r="S41" s="75" t="str">
        <f aca="false">IF(SUM($O41)&lt;=0,"",ROUND($O41*$Q41,0))</f>
        <v/>
      </c>
      <c r="T41" s="73" t="n">
        <v>3</v>
      </c>
      <c r="U41" s="73" t="n">
        <v>12</v>
      </c>
      <c r="V41" s="118" t="n">
        <f aca="false">0.9</f>
        <v>0.9</v>
      </c>
      <c r="W41" s="75" t="str">
        <f aca="false">IF(SUM($R41)&lt;=0,"",ROUND($R41*$V41,0))</f>
        <v/>
      </c>
      <c r="X41" s="75" t="str">
        <f aca="false">IF(SUM($S41)&lt;=0,"",ROUND($S41*$V41,0))</f>
        <v/>
      </c>
      <c r="Y41" s="118" t="n">
        <f aca="false">IF(SUM($T41)&lt;=0,"",(SUM($W41)-$T41)/$T41)</f>
        <v>-1</v>
      </c>
      <c r="Z41" s="118" t="n">
        <f aca="false">IF(SUM($U41)&lt;=0,"",(SUM($X41)-$U41)/$U41)</f>
        <v>-1</v>
      </c>
    </row>
    <row r="42" customFormat="false" ht="15" hidden="false" customHeight="false" outlineLevel="0" collapsed="false">
      <c r="A42" s="0" t="s">
        <v>147</v>
      </c>
      <c r="B42" s="0" t="s">
        <v>105</v>
      </c>
      <c r="C42" s="0" t="s">
        <v>822</v>
      </c>
      <c r="D42" s="0" t="s">
        <v>58</v>
      </c>
      <c r="E42" s="0" t="str">
        <f aca="false">B42&amp;"|"&amp;C42&amp;"|"&amp;D42</f>
        <v>Mohale's Hoek [#SNU] [#DREAMS] [YGI7vISD2kJ]|15+|Male</v>
      </c>
      <c r="F42" s="118" t="n">
        <f aca="false">1</f>
        <v>1</v>
      </c>
      <c r="G42" s="118" t="n">
        <f aca="false">1</f>
        <v>1</v>
      </c>
      <c r="H42" s="118" t="n">
        <v>22</v>
      </c>
      <c r="I42" s="118" t="n">
        <v>16</v>
      </c>
      <c r="J42" s="73" t="n">
        <f aca="false">IF($C42="&lt;15",SUM(SUMIFS(Cascade!$AM:$AM,Cascade!$B:$B,$B42,Cascade!$C:$C,{"=&lt;01","01-04","05-09","10-14"},Cascade!$D:$D,$D42)),SUM(SUMIFS(Cascade!$AM:$AM,Cascade!$B:$B,$B42,Cascade!$C:$C,{"15-19","20-24","25-29","30-34","35-39","40-44","45-49","50+"},Cascade!$D:$D,$D42)))</f>
        <v>1</v>
      </c>
      <c r="K42" s="73" t="n">
        <f aca="false">IF($C42="&lt;15",SUM(SUMIFS(Cascade!$U:$U,Cascade!$B:$B,$B42,Cascade!$C:$C,{"=&lt;01","01-04","05-09","10-14"},Cascade!$D:$D,$D42)),SUM(SUMIFS(Cascade!$U:$U,Cascade!$B:$B,$B42,Cascade!$C:$C,{"15-19","20-24","25-29","30-34","35-39","40-44","45-49","50+"},Cascade!$D:$D,$D42)))</f>
        <v>14</v>
      </c>
      <c r="L42" s="75" t="n">
        <f aca="false">IF(AND(SUM($J42)&lt;=0,SUM($H42)=0),"",ROUND($J42*$F42*$H42,0))</f>
        <v>22</v>
      </c>
      <c r="M42" s="75" t="n">
        <f aca="false">IF($J42&lt;=0,"",ROUND($J42*$F42,0)-$L42)</f>
        <v>-21</v>
      </c>
      <c r="N42" s="75" t="n">
        <f aca="false">IF(AND(SUM($K42)&lt;=0,SUM($I42)=0),"",ROUND($K42*$G42*$I42,0))</f>
        <v>224</v>
      </c>
      <c r="O42" s="75" t="n">
        <f aca="false">IF($K42&lt;=0,"",ROUND($K42*$G42,0)-$N42)</f>
        <v>-210</v>
      </c>
      <c r="P42" s="118" t="n">
        <f aca="false">1</f>
        <v>1</v>
      </c>
      <c r="Q42" s="118" t="n">
        <f aca="false">0.9</f>
        <v>0.9</v>
      </c>
      <c r="R42" s="75" t="str">
        <f aca="false">IF(SUM($M42)&lt;=0,"",ROUND($M42*$P42,0))</f>
        <v/>
      </c>
      <c r="S42" s="75" t="str">
        <f aca="false">IF(SUM($O42)&lt;=0,"",ROUND($O42*$Q42,0))</f>
        <v/>
      </c>
      <c r="T42" s="73" t="n">
        <v>30</v>
      </c>
      <c r="U42" s="73" t="n">
        <v>3</v>
      </c>
      <c r="V42" s="118" t="n">
        <f aca="false">0.9</f>
        <v>0.9</v>
      </c>
      <c r="W42" s="75" t="str">
        <f aca="false">IF(SUM($R42)&lt;=0,"",ROUND($R42*$V42,0))</f>
        <v/>
      </c>
      <c r="X42" s="75" t="str">
        <f aca="false">IF(SUM($S42)&lt;=0,"",ROUND($S42*$V42,0))</f>
        <v/>
      </c>
      <c r="Y42" s="118" t="n">
        <f aca="false">IF(SUM($T42)&lt;=0,"",(SUM($W42)-$T42)/$T42)</f>
        <v>-1</v>
      </c>
      <c r="Z42" s="118" t="n">
        <f aca="false">IF(SUM($U42)&lt;=0,"",(SUM($X42)-$U42)/$U42)</f>
        <v>-1</v>
      </c>
    </row>
    <row r="43" customFormat="false" ht="15" hidden="false" customHeight="false" outlineLevel="0" collapsed="false">
      <c r="A43" s="0" t="s">
        <v>148</v>
      </c>
      <c r="B43" s="0" t="s">
        <v>113</v>
      </c>
      <c r="C43" s="0" t="s">
        <v>20</v>
      </c>
      <c r="D43" s="0" t="s">
        <v>56</v>
      </c>
      <c r="E43" s="0" t="str">
        <f aca="false">B43&amp;"|"&amp;C43&amp;"|"&amp;D43</f>
        <v>Mokhotlong [#SNU] [tjhYqc1MlVo]|&lt;15|Female</v>
      </c>
      <c r="F43" s="118" t="n">
        <f aca="false">1</f>
        <v>1</v>
      </c>
      <c r="G43" s="118" t="n">
        <f aca="false">1</f>
        <v>1</v>
      </c>
      <c r="H43" s="118"/>
      <c r="I43" s="118"/>
      <c r="J43" s="73" t="n">
        <f aca="false">IF($C43="&lt;15",SUM(SUMIFS(Cascade!$AM:$AM,Cascade!$B:$B,$B43,Cascade!$C:$C,{"=&lt;01","01-04","05-09","10-14"},Cascade!$D:$D,$D43)),SUM(SUMIFS(Cascade!$AM:$AM,Cascade!$B:$B,$B43,Cascade!$C:$C,{"15-19","20-24","25-29","30-34","35-39","40-44","45-49","50+"},Cascade!$D:$D,$D43)))</f>
        <v>12289</v>
      </c>
      <c r="K43" s="73" t="n">
        <f aca="false">IF($C43="&lt;15",SUM(SUMIFS(Cascade!$U:$U,Cascade!$B:$B,$B43,Cascade!$C:$C,{"=&lt;01","01-04","05-09","10-14"},Cascade!$D:$D,$D43)),SUM(SUMIFS(Cascade!$U:$U,Cascade!$B:$B,$B43,Cascade!$C:$C,{"15-19","20-24","25-29","30-34","35-39","40-44","45-49","50+"},Cascade!$D:$D,$D43)))</f>
        <v>13</v>
      </c>
      <c r="L43" s="75" t="n">
        <f aca="false">IF(AND(SUM($J43)&lt;=0,SUM($H43)=0),"",ROUND($J43*$F43*$H43,0))</f>
        <v>0</v>
      </c>
      <c r="M43" s="75" t="n">
        <f aca="false">IF($J43&lt;=0,"",ROUND($J43*$F43,0)-$L43)</f>
        <v>12289</v>
      </c>
      <c r="N43" s="75" t="n">
        <f aca="false">IF(AND(SUM($K43)&lt;=0,SUM($I43)=0),"",ROUND($K43*$G43*$I43,0))</f>
        <v>0</v>
      </c>
      <c r="O43" s="75" t="n">
        <f aca="false">IF($K43&lt;=0,"",ROUND($K43*$G43,0)-$N43)</f>
        <v>13</v>
      </c>
      <c r="P43" s="118" t="n">
        <f aca="false">1</f>
        <v>1</v>
      </c>
      <c r="Q43" s="118" t="n">
        <f aca="false">0.9</f>
        <v>0.9</v>
      </c>
      <c r="R43" s="75" t="n">
        <f aca="false">IF(SUM($M43)&lt;=0,"",ROUND($M43*$P43,0))</f>
        <v>12289</v>
      </c>
      <c r="S43" s="75" t="n">
        <f aca="false">IF(SUM($O43)&lt;=0,"",ROUND($O43*$Q43,0))</f>
        <v>12</v>
      </c>
      <c r="T43" s="73" t="n">
        <v>32</v>
      </c>
      <c r="U43" s="73" t="n">
        <v>9</v>
      </c>
      <c r="V43" s="118" t="n">
        <f aca="false">0.9</f>
        <v>0.9</v>
      </c>
      <c r="W43" s="75" t="n">
        <f aca="false">IF(SUM($R43)&lt;=0,"",ROUND($R43*$V43,0))</f>
        <v>11060</v>
      </c>
      <c r="X43" s="75" t="n">
        <f aca="false">IF(SUM($S43)&lt;=0,"",ROUND($S43*$V43,0))</f>
        <v>11</v>
      </c>
      <c r="Y43" s="118" t="n">
        <f aca="false">IF(SUM($T43)&lt;=0,"",(SUM($W43)-$T43)/$T43)</f>
        <v>344.625</v>
      </c>
      <c r="Z43" s="118" t="n">
        <f aca="false">IF(SUM($U43)&lt;=0,"",(SUM($X43)-$U43)/$U43)</f>
        <v>0.222222222222222</v>
      </c>
    </row>
    <row r="44" customFormat="false" ht="15" hidden="false" customHeight="false" outlineLevel="0" collapsed="false">
      <c r="A44" s="0" t="s">
        <v>148</v>
      </c>
      <c r="B44" s="0" t="s">
        <v>113</v>
      </c>
      <c r="C44" s="0" t="s">
        <v>20</v>
      </c>
      <c r="D44" s="0" t="s">
        <v>58</v>
      </c>
      <c r="E44" s="0" t="str">
        <f aca="false">B44&amp;"|"&amp;C44&amp;"|"&amp;D44</f>
        <v>Mokhotlong [#SNU] [tjhYqc1MlVo]|&lt;15|Male</v>
      </c>
      <c r="F44" s="118" t="n">
        <f aca="false">1</f>
        <v>1</v>
      </c>
      <c r="G44" s="118" t="n">
        <f aca="false">1</f>
        <v>1</v>
      </c>
      <c r="H44" s="118"/>
      <c r="I44" s="118"/>
      <c r="J44" s="73" t="n">
        <f aca="false">IF($C44="&lt;15",SUM(SUMIFS(Cascade!$AM:$AM,Cascade!$B:$B,$B44,Cascade!$C:$C,{"=&lt;01","01-04","05-09","10-14"},Cascade!$D:$D,$D44)),SUM(SUMIFS(Cascade!$AM:$AM,Cascade!$B:$B,$B44,Cascade!$C:$C,{"15-19","20-24","25-29","30-34","35-39","40-44","45-49","50+"},Cascade!$D:$D,$D44)))</f>
        <v>12289</v>
      </c>
      <c r="K44" s="73" t="n">
        <f aca="false">IF($C44="&lt;15",SUM(SUMIFS(Cascade!$U:$U,Cascade!$B:$B,$B44,Cascade!$C:$C,{"=&lt;01","01-04","05-09","10-14"},Cascade!$D:$D,$D44)),SUM(SUMIFS(Cascade!$U:$U,Cascade!$B:$B,$B44,Cascade!$C:$C,{"15-19","20-24","25-29","30-34","35-39","40-44","45-49","50+"},Cascade!$D:$D,$D44)))</f>
        <v>29</v>
      </c>
      <c r="L44" s="75" t="n">
        <f aca="false">IF(AND(SUM($J44)&lt;=0,SUM($H44)=0),"",ROUND($J44*$F44*$H44,0))</f>
        <v>0</v>
      </c>
      <c r="M44" s="75" t="n">
        <f aca="false">IF($J44&lt;=0,"",ROUND($J44*$F44,0)-$L44)</f>
        <v>12289</v>
      </c>
      <c r="N44" s="75" t="n">
        <f aca="false">IF(AND(SUM($K44)&lt;=0,SUM($I44)=0),"",ROUND($K44*$G44*$I44,0))</f>
        <v>0</v>
      </c>
      <c r="O44" s="75" t="n">
        <f aca="false">IF($K44&lt;=0,"",ROUND($K44*$G44,0)-$N44)</f>
        <v>29</v>
      </c>
      <c r="P44" s="118" t="n">
        <f aca="false">1</f>
        <v>1</v>
      </c>
      <c r="Q44" s="118" t="n">
        <f aca="false">0.9</f>
        <v>0.9</v>
      </c>
      <c r="R44" s="75" t="n">
        <f aca="false">IF(SUM($M44)&lt;=0,"",ROUND($M44*$P44,0))</f>
        <v>12289</v>
      </c>
      <c r="S44" s="75" t="n">
        <f aca="false">IF(SUM($O44)&lt;=0,"",ROUND($O44*$Q44,0))</f>
        <v>26</v>
      </c>
      <c r="T44" s="73" t="n">
        <v>40</v>
      </c>
      <c r="U44" s="73" t="n">
        <v>40</v>
      </c>
      <c r="V44" s="118" t="n">
        <f aca="false">0.9</f>
        <v>0.9</v>
      </c>
      <c r="W44" s="75" t="n">
        <f aca="false">IF(SUM($R44)&lt;=0,"",ROUND($R44*$V44,0))</f>
        <v>11060</v>
      </c>
      <c r="X44" s="75" t="n">
        <f aca="false">IF(SUM($S44)&lt;=0,"",ROUND($S44*$V44,0))</f>
        <v>23</v>
      </c>
      <c r="Y44" s="118" t="n">
        <f aca="false">IF(SUM($T44)&lt;=0,"",(SUM($W44)-$T44)/$T44)</f>
        <v>275.5</v>
      </c>
      <c r="Z44" s="118" t="n">
        <f aca="false">IF(SUM($U44)&lt;=0,"",(SUM($X44)-$U44)/$U44)</f>
        <v>-0.425</v>
      </c>
    </row>
    <row r="45" customFormat="false" ht="15" hidden="false" customHeight="false" outlineLevel="0" collapsed="false">
      <c r="A45" s="0" t="s">
        <v>148</v>
      </c>
      <c r="B45" s="0" t="s">
        <v>113</v>
      </c>
      <c r="C45" s="0" t="s">
        <v>822</v>
      </c>
      <c r="D45" s="0" t="s">
        <v>56</v>
      </c>
      <c r="E45" s="0" t="str">
        <f aca="false">B45&amp;"|"&amp;C45&amp;"|"&amp;D45</f>
        <v>Mokhotlong [#SNU] [tjhYqc1MlVo]|15+|Female</v>
      </c>
      <c r="F45" s="118" t="n">
        <f aca="false">1</f>
        <v>1</v>
      </c>
      <c r="G45" s="118" t="n">
        <f aca="false">1</f>
        <v>1</v>
      </c>
      <c r="H45" s="118" t="n">
        <v>33</v>
      </c>
      <c r="I45" s="118" t="n">
        <v>30</v>
      </c>
      <c r="J45" s="73" t="n">
        <f aca="false">IF($C45="&lt;15",SUM(SUMIFS(Cascade!$AM:$AM,Cascade!$B:$B,$B45,Cascade!$C:$C,{"=&lt;01","01-04","05-09","10-14"},Cascade!$D:$D,$D45)),SUM(SUMIFS(Cascade!$AM:$AM,Cascade!$B:$B,$B45,Cascade!$C:$C,{"15-19","20-24","25-29","30-34","35-39","40-44","45-49","50+"},Cascade!$D:$D,$D45)))</f>
        <v>19</v>
      </c>
      <c r="K45" s="73" t="n">
        <f aca="false">IF($C45="&lt;15",SUM(SUMIFS(Cascade!$U:$U,Cascade!$B:$B,$B45,Cascade!$C:$C,{"=&lt;01","01-04","05-09","10-14"},Cascade!$D:$D,$D45)),SUM(SUMIFS(Cascade!$U:$U,Cascade!$B:$B,$B45,Cascade!$C:$C,{"15-19","20-24","25-29","30-34","35-39","40-44","45-49","50+"},Cascade!$D:$D,$D45)))</f>
        <v>47</v>
      </c>
      <c r="L45" s="75" t="n">
        <f aca="false">IF(AND(SUM($J45)&lt;=0,SUM($H45)=0),"",ROUND($J45*$F45*$H45,0))</f>
        <v>627</v>
      </c>
      <c r="M45" s="75" t="n">
        <f aca="false">IF($J45&lt;=0,"",ROUND($J45*$F45,0)-$L45)</f>
        <v>-608</v>
      </c>
      <c r="N45" s="75" t="n">
        <f aca="false">IF(AND(SUM($K45)&lt;=0,SUM($I45)=0),"",ROUND($K45*$G45*$I45,0))</f>
        <v>1410</v>
      </c>
      <c r="O45" s="75" t="n">
        <f aca="false">IF($K45&lt;=0,"",ROUND($K45*$G45,0)-$N45)</f>
        <v>-1363</v>
      </c>
      <c r="P45" s="118" t="n">
        <f aca="false">1</f>
        <v>1</v>
      </c>
      <c r="Q45" s="118" t="n">
        <f aca="false">0.9</f>
        <v>0.9</v>
      </c>
      <c r="R45" s="75" t="str">
        <f aca="false">IF(SUM($M45)&lt;=0,"",ROUND($M45*$P45,0))</f>
        <v/>
      </c>
      <c r="S45" s="75" t="str">
        <f aca="false">IF(SUM($O45)&lt;=0,"",ROUND($O45*$Q45,0))</f>
        <v/>
      </c>
      <c r="T45" s="73" t="n">
        <v>39</v>
      </c>
      <c r="U45" s="73" t="n">
        <v>27</v>
      </c>
      <c r="V45" s="118" t="n">
        <f aca="false">0.9</f>
        <v>0.9</v>
      </c>
      <c r="W45" s="75" t="str">
        <f aca="false">IF(SUM($R45)&lt;=0,"",ROUND($R45*$V45,0))</f>
        <v/>
      </c>
      <c r="X45" s="75" t="str">
        <f aca="false">IF(SUM($S45)&lt;=0,"",ROUND($S45*$V45,0))</f>
        <v/>
      </c>
      <c r="Y45" s="118" t="n">
        <f aca="false">IF(SUM($T45)&lt;=0,"",(SUM($W45)-$T45)/$T45)</f>
        <v>-1</v>
      </c>
      <c r="Z45" s="118" t="n">
        <f aca="false">IF(SUM($U45)&lt;=0,"",(SUM($X45)-$U45)/$U45)</f>
        <v>-1</v>
      </c>
    </row>
    <row r="46" customFormat="false" ht="15" hidden="false" customHeight="false" outlineLevel="0" collapsed="false">
      <c r="A46" s="0" t="s">
        <v>148</v>
      </c>
      <c r="B46" s="0" t="s">
        <v>113</v>
      </c>
      <c r="C46" s="0" t="s">
        <v>822</v>
      </c>
      <c r="D46" s="0" t="s">
        <v>58</v>
      </c>
      <c r="E46" s="0" t="str">
        <f aca="false">B46&amp;"|"&amp;C46&amp;"|"&amp;D46</f>
        <v>Mokhotlong [#SNU] [tjhYqc1MlVo]|15+|Male</v>
      </c>
      <c r="F46" s="118" t="n">
        <f aca="false">1</f>
        <v>1</v>
      </c>
      <c r="G46" s="118" t="n">
        <f aca="false">1</f>
        <v>1</v>
      </c>
      <c r="H46" s="118" t="n">
        <v>42</v>
      </c>
      <c r="I46" s="118" t="n">
        <v>17</v>
      </c>
      <c r="J46" s="73" t="n">
        <f aca="false">IF($C46="&lt;15",SUM(SUMIFS(Cascade!$AM:$AM,Cascade!$B:$B,$B46,Cascade!$C:$C,{"=&lt;01","01-04","05-09","10-14"},Cascade!$D:$D,$D46)),SUM(SUMIFS(Cascade!$AM:$AM,Cascade!$B:$B,$B46,Cascade!$C:$C,{"15-19","20-24","25-29","30-34","35-39","40-44","45-49","50+"},Cascade!$D:$D,$D46)))</f>
        <v>2</v>
      </c>
      <c r="K46" s="73" t="n">
        <f aca="false">IF($C46="&lt;15",SUM(SUMIFS(Cascade!$U:$U,Cascade!$B:$B,$B46,Cascade!$C:$C,{"=&lt;01","01-04","05-09","10-14"},Cascade!$D:$D,$D46)),SUM(SUMIFS(Cascade!$U:$U,Cascade!$B:$B,$B46,Cascade!$C:$C,{"15-19","20-24","25-29","30-34","35-39","40-44","45-49","50+"},Cascade!$D:$D,$D46)))</f>
        <v>17</v>
      </c>
      <c r="L46" s="75" t="n">
        <f aca="false">IF(AND(SUM($J46)&lt;=0,SUM($H46)=0),"",ROUND($J46*$F46*$H46,0))</f>
        <v>84</v>
      </c>
      <c r="M46" s="75" t="n">
        <f aca="false">IF($J46&lt;=0,"",ROUND($J46*$F46,0)-$L46)</f>
        <v>-82</v>
      </c>
      <c r="N46" s="75" t="n">
        <f aca="false">IF(AND(SUM($K46)&lt;=0,SUM($I46)=0),"",ROUND($K46*$G46*$I46,0))</f>
        <v>289</v>
      </c>
      <c r="O46" s="75" t="n">
        <f aca="false">IF($K46&lt;=0,"",ROUND($K46*$G46,0)-$N46)</f>
        <v>-272</v>
      </c>
      <c r="P46" s="118" t="n">
        <f aca="false">1</f>
        <v>1</v>
      </c>
      <c r="Q46" s="118" t="n">
        <f aca="false">0.9</f>
        <v>0.9</v>
      </c>
      <c r="R46" s="75" t="str">
        <f aca="false">IF(SUM($M46)&lt;=0,"",ROUND($M46*$P46,0))</f>
        <v/>
      </c>
      <c r="S46" s="75" t="str">
        <f aca="false">IF(SUM($O46)&lt;=0,"",ROUND($O46*$Q46,0))</f>
        <v/>
      </c>
      <c r="T46" s="73" t="n">
        <v>5</v>
      </c>
      <c r="U46" s="73" t="n">
        <v>32</v>
      </c>
      <c r="V46" s="118" t="n">
        <f aca="false">0.9</f>
        <v>0.9</v>
      </c>
      <c r="W46" s="75" t="str">
        <f aca="false">IF(SUM($R46)&lt;=0,"",ROUND($R46*$V46,0))</f>
        <v/>
      </c>
      <c r="X46" s="75" t="str">
        <f aca="false">IF(SUM($S46)&lt;=0,"",ROUND($S46*$V46,0))</f>
        <v/>
      </c>
      <c r="Y46" s="118" t="n">
        <f aca="false">IF(SUM($T46)&lt;=0,"",(SUM($W46)-$T46)/$T46)</f>
        <v>-1</v>
      </c>
      <c r="Z46" s="118" t="n">
        <f aca="false">IF(SUM($U46)&lt;=0,"",(SUM($X46)-$U46)/$U46)</f>
        <v>-1</v>
      </c>
    </row>
    <row r="47" customFormat="false" ht="15" hidden="false" customHeight="false" outlineLevel="0" collapsed="false">
      <c r="A47" s="0" t="s">
        <v>149</v>
      </c>
      <c r="B47" s="0" t="s">
        <v>111</v>
      </c>
      <c r="C47" s="0" t="s">
        <v>20</v>
      </c>
      <c r="D47" s="0" t="s">
        <v>56</v>
      </c>
      <c r="E47" s="0" t="str">
        <f aca="false">B47&amp;"|"&amp;C47&amp;"|"&amp;D47</f>
        <v>Qacha's Nek [#SNU] [zTaMbxvQtJ6]|&lt;15|Female</v>
      </c>
      <c r="F47" s="118" t="n">
        <f aca="false">1</f>
        <v>1</v>
      </c>
      <c r="G47" s="118" t="n">
        <f aca="false">1</f>
        <v>1</v>
      </c>
      <c r="H47" s="118"/>
      <c r="I47" s="118"/>
      <c r="J47" s="73" t="n">
        <f aca="false">IF($C47="&lt;15",SUM(SUMIFS(Cascade!$AM:$AM,Cascade!$B:$B,$B47,Cascade!$C:$C,{"=&lt;01","01-04","05-09","10-14"},Cascade!$D:$D,$D47)),SUM(SUMIFS(Cascade!$AM:$AM,Cascade!$B:$B,$B47,Cascade!$C:$C,{"15-19","20-24","25-29","30-34","35-39","40-44","45-49","50+"},Cascade!$D:$D,$D47)))</f>
        <v>0</v>
      </c>
      <c r="K47" s="73" t="n">
        <f aca="false">IF($C47="&lt;15",SUM(SUMIFS(Cascade!$U:$U,Cascade!$B:$B,$B47,Cascade!$C:$C,{"=&lt;01","01-04","05-09","10-14"},Cascade!$D:$D,$D47)),SUM(SUMIFS(Cascade!$U:$U,Cascade!$B:$B,$B47,Cascade!$C:$C,{"15-19","20-24","25-29","30-34","35-39","40-44","45-49","50+"},Cascade!$D:$D,$D47)))</f>
        <v>27</v>
      </c>
      <c r="L47" s="75" t="str">
        <f aca="false">IF(AND(SUM($J47)&lt;=0,SUM($H47)=0),"",ROUND($J47*$F47*$H47,0))</f>
        <v/>
      </c>
      <c r="M47" s="75" t="str">
        <f aca="false">IF($J47&lt;=0,"",ROUND($J47*$F47,0)-$L47)</f>
        <v/>
      </c>
      <c r="N47" s="75" t="n">
        <f aca="false">IF(AND(SUM($K47)&lt;=0,SUM($I47)=0),"",ROUND($K47*$G47*$I47,0))</f>
        <v>0</v>
      </c>
      <c r="O47" s="75" t="n">
        <f aca="false">IF($K47&lt;=0,"",ROUND($K47*$G47,0)-$N47)</f>
        <v>27</v>
      </c>
      <c r="P47" s="118" t="n">
        <f aca="false">1</f>
        <v>1</v>
      </c>
      <c r="Q47" s="118" t="n">
        <f aca="false">0.9</f>
        <v>0.9</v>
      </c>
      <c r="R47" s="75" t="str">
        <f aca="false">IF(SUM($M47)&lt;=0,"",ROUND($M47*$P47,0))</f>
        <v/>
      </c>
      <c r="S47" s="75" t="n">
        <f aca="false">IF(SUM($O47)&lt;=0,"",ROUND($O47*$Q47,0))</f>
        <v>24</v>
      </c>
      <c r="T47" s="73" t="n">
        <v>22</v>
      </c>
      <c r="U47" s="73" t="n">
        <v>9</v>
      </c>
      <c r="V47" s="118" t="n">
        <f aca="false">0.9</f>
        <v>0.9</v>
      </c>
      <c r="W47" s="75" t="str">
        <f aca="false">IF(SUM($R47)&lt;=0,"",ROUND($R47*$V47,0))</f>
        <v/>
      </c>
      <c r="X47" s="75" t="n">
        <f aca="false">IF(SUM($S47)&lt;=0,"",ROUND($S47*$V47,0))</f>
        <v>22</v>
      </c>
      <c r="Y47" s="118" t="n">
        <f aca="false">IF(SUM($T47)&lt;=0,"",(SUM($W47)-$T47)/$T47)</f>
        <v>-1</v>
      </c>
      <c r="Z47" s="118" t="n">
        <f aca="false">IF(SUM($U47)&lt;=0,"",(SUM($X47)-$U47)/$U47)</f>
        <v>1.44444444444444</v>
      </c>
    </row>
    <row r="48" customFormat="false" ht="15" hidden="false" customHeight="false" outlineLevel="0" collapsed="false">
      <c r="A48" s="0" t="s">
        <v>149</v>
      </c>
      <c r="B48" s="0" t="s">
        <v>111</v>
      </c>
      <c r="C48" s="0" t="s">
        <v>20</v>
      </c>
      <c r="D48" s="0" t="s">
        <v>58</v>
      </c>
      <c r="E48" s="0" t="str">
        <f aca="false">B48&amp;"|"&amp;C48&amp;"|"&amp;D48</f>
        <v>Qacha's Nek [#SNU] [zTaMbxvQtJ6]|&lt;15|Male</v>
      </c>
      <c r="F48" s="118" t="n">
        <f aca="false">1</f>
        <v>1</v>
      </c>
      <c r="G48" s="118" t="n">
        <f aca="false">1</f>
        <v>1</v>
      </c>
      <c r="H48" s="118"/>
      <c r="I48" s="118"/>
      <c r="J48" s="73" t="n">
        <f aca="false">IF($C48="&lt;15",SUM(SUMIFS(Cascade!$AM:$AM,Cascade!$B:$B,$B48,Cascade!$C:$C,{"=&lt;01","01-04","05-09","10-14"},Cascade!$D:$D,$D48)),SUM(SUMIFS(Cascade!$AM:$AM,Cascade!$B:$B,$B48,Cascade!$C:$C,{"15-19","20-24","25-29","30-34","35-39","40-44","45-49","50+"},Cascade!$D:$D,$D48)))</f>
        <v>0</v>
      </c>
      <c r="K48" s="73" t="n">
        <f aca="false">IF($C48="&lt;15",SUM(SUMIFS(Cascade!$U:$U,Cascade!$B:$B,$B48,Cascade!$C:$C,{"=&lt;01","01-04","05-09","10-14"},Cascade!$D:$D,$D48)),SUM(SUMIFS(Cascade!$U:$U,Cascade!$B:$B,$B48,Cascade!$C:$C,{"15-19","20-24","25-29","30-34","35-39","40-44","45-49","50+"},Cascade!$D:$D,$D48)))</f>
        <v>45</v>
      </c>
      <c r="L48" s="75" t="str">
        <f aca="false">IF(AND(SUM($J48)&lt;=0,SUM($H48)=0),"",ROUND($J48*$F48*$H48,0))</f>
        <v/>
      </c>
      <c r="M48" s="75" t="str">
        <f aca="false">IF($J48&lt;=0,"",ROUND($J48*$F48,0)-$L48)</f>
        <v/>
      </c>
      <c r="N48" s="75" t="n">
        <f aca="false">IF(AND(SUM($K48)&lt;=0,SUM($I48)=0),"",ROUND($K48*$G48*$I48,0))</f>
        <v>0</v>
      </c>
      <c r="O48" s="75" t="n">
        <f aca="false">IF($K48&lt;=0,"",ROUND($K48*$G48,0)-$N48)</f>
        <v>45</v>
      </c>
      <c r="P48" s="118" t="n">
        <f aca="false">1</f>
        <v>1</v>
      </c>
      <c r="Q48" s="118" t="n">
        <f aca="false">0.9</f>
        <v>0.9</v>
      </c>
      <c r="R48" s="75" t="str">
        <f aca="false">IF(SUM($M48)&lt;=0,"",ROUND($M48*$P48,0))</f>
        <v/>
      </c>
      <c r="S48" s="75" t="n">
        <f aca="false">IF(SUM($O48)&lt;=0,"",ROUND($O48*$Q48,0))</f>
        <v>41</v>
      </c>
      <c r="T48" s="73" t="n">
        <v>26</v>
      </c>
      <c r="U48" s="73" t="n">
        <v>29</v>
      </c>
      <c r="V48" s="118" t="n">
        <f aca="false">0.9</f>
        <v>0.9</v>
      </c>
      <c r="W48" s="75" t="str">
        <f aca="false">IF(SUM($R48)&lt;=0,"",ROUND($R48*$V48,0))</f>
        <v/>
      </c>
      <c r="X48" s="75" t="n">
        <f aca="false">IF(SUM($S48)&lt;=0,"",ROUND($S48*$V48,0))</f>
        <v>37</v>
      </c>
      <c r="Y48" s="118" t="n">
        <f aca="false">IF(SUM($T48)&lt;=0,"",(SUM($W48)-$T48)/$T48)</f>
        <v>-1</v>
      </c>
      <c r="Z48" s="118" t="n">
        <f aca="false">IF(SUM($U48)&lt;=0,"",(SUM($X48)-$U48)/$U48)</f>
        <v>0.275862068965517</v>
      </c>
    </row>
    <row r="49" customFormat="false" ht="15" hidden="false" customHeight="false" outlineLevel="0" collapsed="false">
      <c r="A49" s="0" t="s">
        <v>149</v>
      </c>
      <c r="B49" s="0" t="s">
        <v>111</v>
      </c>
      <c r="C49" s="0" t="s">
        <v>822</v>
      </c>
      <c r="D49" s="0" t="s">
        <v>56</v>
      </c>
      <c r="E49" s="0" t="str">
        <f aca="false">B49&amp;"|"&amp;C49&amp;"|"&amp;D49</f>
        <v>Qacha's Nek [#SNU] [zTaMbxvQtJ6]|15+|Female</v>
      </c>
      <c r="F49" s="118" t="n">
        <f aca="false">1</f>
        <v>1</v>
      </c>
      <c r="G49" s="118" t="n">
        <f aca="false">1</f>
        <v>1</v>
      </c>
      <c r="H49" s="118" t="n">
        <v>12</v>
      </c>
      <c r="I49" s="118" t="n">
        <v>1</v>
      </c>
      <c r="J49" s="73" t="n">
        <f aca="false">IF($C49="&lt;15",SUM(SUMIFS(Cascade!$AM:$AM,Cascade!$B:$B,$B49,Cascade!$C:$C,{"=&lt;01","01-04","05-09","10-14"},Cascade!$D:$D,$D49)),SUM(SUMIFS(Cascade!$AM:$AM,Cascade!$B:$B,$B49,Cascade!$C:$C,{"15-19","20-24","25-29","30-34","35-39","40-44","45-49","50+"},Cascade!$D:$D,$D49)))</f>
        <v>9</v>
      </c>
      <c r="K49" s="73" t="n">
        <f aca="false">IF($C49="&lt;15",SUM(SUMIFS(Cascade!$U:$U,Cascade!$B:$B,$B49,Cascade!$C:$C,{"=&lt;01","01-04","05-09","10-14"},Cascade!$D:$D,$D49)),SUM(SUMIFS(Cascade!$U:$U,Cascade!$B:$B,$B49,Cascade!$C:$C,{"15-19","20-24","25-29","30-34","35-39","40-44","45-49","50+"},Cascade!$D:$D,$D49)))</f>
        <v>33</v>
      </c>
      <c r="L49" s="75" t="n">
        <f aca="false">IF(AND(SUM($J49)&lt;=0,SUM($H49)=0),"",ROUND($J49*$F49*$H49,0))</f>
        <v>108</v>
      </c>
      <c r="M49" s="75" t="n">
        <f aca="false">IF($J49&lt;=0,"",ROUND($J49*$F49,0)-$L49)</f>
        <v>-99</v>
      </c>
      <c r="N49" s="75" t="n">
        <f aca="false">IF(AND(SUM($K49)&lt;=0,SUM($I49)=0),"",ROUND($K49*$G49*$I49,0))</f>
        <v>33</v>
      </c>
      <c r="O49" s="75" t="n">
        <f aca="false">IF($K49&lt;=0,"",ROUND($K49*$G49,0)-$N49)</f>
        <v>0</v>
      </c>
      <c r="P49" s="118" t="n">
        <f aca="false">1</f>
        <v>1</v>
      </c>
      <c r="Q49" s="118" t="n">
        <f aca="false">0.9</f>
        <v>0.9</v>
      </c>
      <c r="R49" s="75" t="str">
        <f aca="false">IF(SUM($M49)&lt;=0,"",ROUND($M49*$P49,0))</f>
        <v/>
      </c>
      <c r="S49" s="75" t="str">
        <f aca="false">IF(SUM($O49)&lt;=0,"",ROUND($O49*$Q49,0))</f>
        <v/>
      </c>
      <c r="T49" s="73" t="n">
        <v>12</v>
      </c>
      <c r="U49" s="73" t="n">
        <v>41</v>
      </c>
      <c r="V49" s="118" t="n">
        <f aca="false">0.9</f>
        <v>0.9</v>
      </c>
      <c r="W49" s="75" t="str">
        <f aca="false">IF(SUM($R49)&lt;=0,"",ROUND($R49*$V49,0))</f>
        <v/>
      </c>
      <c r="X49" s="75" t="str">
        <f aca="false">IF(SUM($S49)&lt;=0,"",ROUND($S49*$V49,0))</f>
        <v/>
      </c>
      <c r="Y49" s="118" t="n">
        <f aca="false">IF(SUM($T49)&lt;=0,"",(SUM($W49)-$T49)/$T49)</f>
        <v>-1</v>
      </c>
      <c r="Z49" s="118" t="n">
        <f aca="false">IF(SUM($U49)&lt;=0,"",(SUM($X49)-$U49)/$U49)</f>
        <v>-1</v>
      </c>
    </row>
    <row r="50" customFormat="false" ht="15" hidden="false" customHeight="false" outlineLevel="0" collapsed="false">
      <c r="A50" s="0" t="s">
        <v>149</v>
      </c>
      <c r="B50" s="0" t="s">
        <v>111</v>
      </c>
      <c r="C50" s="0" t="s">
        <v>822</v>
      </c>
      <c r="D50" s="0" t="s">
        <v>58</v>
      </c>
      <c r="E50" s="0" t="str">
        <f aca="false">B50&amp;"|"&amp;C50&amp;"|"&amp;D50</f>
        <v>Qacha's Nek [#SNU] [zTaMbxvQtJ6]|15+|Male</v>
      </c>
      <c r="F50" s="118" t="n">
        <f aca="false">1</f>
        <v>1</v>
      </c>
      <c r="G50" s="118" t="n">
        <f aca="false">1</f>
        <v>1</v>
      </c>
      <c r="H50" s="118" t="n">
        <v>25</v>
      </c>
      <c r="I50" s="118" t="n">
        <v>49</v>
      </c>
      <c r="J50" s="73" t="n">
        <f aca="false">IF($C50="&lt;15",SUM(SUMIFS(Cascade!$AM:$AM,Cascade!$B:$B,$B50,Cascade!$C:$C,{"=&lt;01","01-04","05-09","10-14"},Cascade!$D:$D,$D50)),SUM(SUMIFS(Cascade!$AM:$AM,Cascade!$B:$B,$B50,Cascade!$C:$C,{"15-19","20-24","25-29","30-34","35-39","40-44","45-49","50+"},Cascade!$D:$D,$D50)))</f>
        <v>1</v>
      </c>
      <c r="K50" s="73" t="n">
        <f aca="false">IF($C50="&lt;15",SUM(SUMIFS(Cascade!$U:$U,Cascade!$B:$B,$B50,Cascade!$C:$C,{"=&lt;01","01-04","05-09","10-14"},Cascade!$D:$D,$D50)),SUM(SUMIFS(Cascade!$U:$U,Cascade!$B:$B,$B50,Cascade!$C:$C,{"15-19","20-24","25-29","30-34","35-39","40-44","45-49","50+"},Cascade!$D:$D,$D50)))</f>
        <v>42</v>
      </c>
      <c r="L50" s="75" t="n">
        <f aca="false">IF(AND(SUM($J50)&lt;=0,SUM($H50)=0),"",ROUND($J50*$F50*$H50,0))</f>
        <v>25</v>
      </c>
      <c r="M50" s="75" t="n">
        <f aca="false">IF($J50&lt;=0,"",ROUND($J50*$F50,0)-$L50)</f>
        <v>-24</v>
      </c>
      <c r="N50" s="75" t="n">
        <f aca="false">IF(AND(SUM($K50)&lt;=0,SUM($I50)=0),"",ROUND($K50*$G50*$I50,0))</f>
        <v>2058</v>
      </c>
      <c r="O50" s="75" t="n">
        <f aca="false">IF($K50&lt;=0,"",ROUND($K50*$G50,0)-$N50)</f>
        <v>-2016</v>
      </c>
      <c r="P50" s="118" t="n">
        <f aca="false">1</f>
        <v>1</v>
      </c>
      <c r="Q50" s="118" t="n">
        <f aca="false">0.9</f>
        <v>0.9</v>
      </c>
      <c r="R50" s="75" t="str">
        <f aca="false">IF(SUM($M50)&lt;=0,"",ROUND($M50*$P50,0))</f>
        <v/>
      </c>
      <c r="S50" s="75" t="str">
        <f aca="false">IF(SUM($O50)&lt;=0,"",ROUND($O50*$Q50,0))</f>
        <v/>
      </c>
      <c r="T50" s="73" t="n">
        <v>32</v>
      </c>
      <c r="U50" s="73" t="n">
        <v>1</v>
      </c>
      <c r="V50" s="118" t="n">
        <f aca="false">0.9</f>
        <v>0.9</v>
      </c>
      <c r="W50" s="75" t="str">
        <f aca="false">IF(SUM($R50)&lt;=0,"",ROUND($R50*$V50,0))</f>
        <v/>
      </c>
      <c r="X50" s="75" t="str">
        <f aca="false">IF(SUM($S50)&lt;=0,"",ROUND($S50*$V50,0))</f>
        <v/>
      </c>
      <c r="Y50" s="118" t="n">
        <f aca="false">IF(SUM($T50)&lt;=0,"",(SUM($W50)-$T50)/$T50)</f>
        <v>-1</v>
      </c>
      <c r="Z50" s="118" t="n">
        <f aca="false">IF(SUM($U50)&lt;=0,"",(SUM($X50)-$U50)/$U50)</f>
        <v>-1</v>
      </c>
    </row>
    <row r="51" customFormat="false" ht="15" hidden="false" customHeight="false" outlineLevel="0" collapsed="false">
      <c r="A51" s="0" t="s">
        <v>150</v>
      </c>
      <c r="B51" s="0" t="s">
        <v>117</v>
      </c>
      <c r="C51" s="0" t="s">
        <v>20</v>
      </c>
      <c r="D51" s="0" t="s">
        <v>56</v>
      </c>
      <c r="E51" s="0" t="str">
        <f aca="false">B51&amp;"|"&amp;C51&amp;"|"&amp;D51</f>
        <v>Quthing [#SNU] [HuwCoDZG0FY]|&lt;15|Female</v>
      </c>
      <c r="F51" s="118" t="n">
        <f aca="false">1</f>
        <v>1</v>
      </c>
      <c r="G51" s="118" t="n">
        <f aca="false">1</f>
        <v>1</v>
      </c>
      <c r="H51" s="118"/>
      <c r="I51" s="118"/>
      <c r="J51" s="73" t="n">
        <f aca="false">IF($C51="&lt;15",SUM(SUMIFS(Cascade!$AM:$AM,Cascade!$B:$B,$B51,Cascade!$C:$C,{"=&lt;01","01-04","05-09","10-14"},Cascade!$D:$D,$D51)),SUM(SUMIFS(Cascade!$AM:$AM,Cascade!$B:$B,$B51,Cascade!$C:$C,{"15-19","20-24","25-29","30-34","35-39","40-44","45-49","50+"},Cascade!$D:$D,$D51)))</f>
        <v>1062</v>
      </c>
      <c r="K51" s="73" t="n">
        <f aca="false">IF($C51="&lt;15",SUM(SUMIFS(Cascade!$U:$U,Cascade!$B:$B,$B51,Cascade!$C:$C,{"=&lt;01","01-04","05-09","10-14"},Cascade!$D:$D,$D51)),SUM(SUMIFS(Cascade!$U:$U,Cascade!$B:$B,$B51,Cascade!$C:$C,{"15-19","20-24","25-29","30-34","35-39","40-44","45-49","50+"},Cascade!$D:$D,$D51)))</f>
        <v>45</v>
      </c>
      <c r="L51" s="75" t="n">
        <f aca="false">IF(AND(SUM($J51)&lt;=0,SUM($H51)=0),"",ROUND($J51*$F51*$H51,0))</f>
        <v>0</v>
      </c>
      <c r="M51" s="75" t="n">
        <f aca="false">IF($J51&lt;=0,"",ROUND($J51*$F51,0)-$L51)</f>
        <v>1062</v>
      </c>
      <c r="N51" s="75" t="n">
        <f aca="false">IF(AND(SUM($K51)&lt;=0,SUM($I51)=0),"",ROUND($K51*$G51*$I51,0))</f>
        <v>0</v>
      </c>
      <c r="O51" s="75" t="n">
        <f aca="false">IF($K51&lt;=0,"",ROUND($K51*$G51,0)-$N51)</f>
        <v>45</v>
      </c>
      <c r="P51" s="118" t="n">
        <f aca="false">1</f>
        <v>1</v>
      </c>
      <c r="Q51" s="118" t="n">
        <f aca="false">0.9</f>
        <v>0.9</v>
      </c>
      <c r="R51" s="75" t="n">
        <f aca="false">IF(SUM($M51)&lt;=0,"",ROUND($M51*$P51,0))</f>
        <v>1062</v>
      </c>
      <c r="S51" s="75" t="n">
        <f aca="false">IF(SUM($O51)&lt;=0,"",ROUND($O51*$Q51,0))</f>
        <v>41</v>
      </c>
      <c r="T51" s="73" t="n">
        <v>10</v>
      </c>
      <c r="U51" s="73" t="n">
        <v>22</v>
      </c>
      <c r="V51" s="118" t="n">
        <f aca="false">0.9</f>
        <v>0.9</v>
      </c>
      <c r="W51" s="75" t="n">
        <f aca="false">IF(SUM($R51)&lt;=0,"",ROUND($R51*$V51,0))</f>
        <v>956</v>
      </c>
      <c r="X51" s="75" t="n">
        <f aca="false">IF(SUM($S51)&lt;=0,"",ROUND($S51*$V51,0))</f>
        <v>37</v>
      </c>
      <c r="Y51" s="118" t="n">
        <f aca="false">IF(SUM($T51)&lt;=0,"",(SUM($W51)-$T51)/$T51)</f>
        <v>94.6</v>
      </c>
      <c r="Z51" s="118" t="n">
        <f aca="false">IF(SUM($U51)&lt;=0,"",(SUM($X51)-$U51)/$U51)</f>
        <v>0.681818181818182</v>
      </c>
    </row>
    <row r="52" customFormat="false" ht="15" hidden="false" customHeight="false" outlineLevel="0" collapsed="false">
      <c r="A52" s="0" t="s">
        <v>150</v>
      </c>
      <c r="B52" s="0" t="s">
        <v>117</v>
      </c>
      <c r="C52" s="0" t="s">
        <v>20</v>
      </c>
      <c r="D52" s="0" t="s">
        <v>58</v>
      </c>
      <c r="E52" s="0" t="str">
        <f aca="false">B52&amp;"|"&amp;C52&amp;"|"&amp;D52</f>
        <v>Quthing [#SNU] [HuwCoDZG0FY]|&lt;15|Male</v>
      </c>
      <c r="F52" s="118" t="n">
        <f aca="false">1</f>
        <v>1</v>
      </c>
      <c r="G52" s="118" t="n">
        <f aca="false">1</f>
        <v>1</v>
      </c>
      <c r="H52" s="118"/>
      <c r="I52" s="118" t="n">
        <v>26</v>
      </c>
      <c r="J52" s="73" t="n">
        <f aca="false">IF($C52="&lt;15",SUM(SUMIFS(Cascade!$AM:$AM,Cascade!$B:$B,$B52,Cascade!$C:$C,{"=&lt;01","01-04","05-09","10-14"},Cascade!$D:$D,$D52)),SUM(SUMIFS(Cascade!$AM:$AM,Cascade!$B:$B,$B52,Cascade!$C:$C,{"15-19","20-24","25-29","30-34","35-39","40-44","45-49","50+"},Cascade!$D:$D,$D52)))</f>
        <v>1062</v>
      </c>
      <c r="K52" s="73" t="n">
        <f aca="false">IF($C52="&lt;15",SUM(SUMIFS(Cascade!$U:$U,Cascade!$B:$B,$B52,Cascade!$C:$C,{"=&lt;01","01-04","05-09","10-14"},Cascade!$D:$D,$D52)),SUM(SUMIFS(Cascade!$U:$U,Cascade!$B:$B,$B52,Cascade!$C:$C,{"15-19","20-24","25-29","30-34","35-39","40-44","45-49","50+"},Cascade!$D:$D,$D52)))</f>
        <v>7</v>
      </c>
      <c r="L52" s="75" t="n">
        <f aca="false">IF(AND(SUM($J52)&lt;=0,SUM($H52)=0),"",ROUND($J52*$F52*$H52,0))</f>
        <v>0</v>
      </c>
      <c r="M52" s="75" t="n">
        <f aca="false">IF($J52&lt;=0,"",ROUND($J52*$F52,0)-$L52)</f>
        <v>1062</v>
      </c>
      <c r="N52" s="75" t="n">
        <f aca="false">IF(AND(SUM($K52)&lt;=0,SUM($I52)=0),"",ROUND($K52*$G52*$I52,0))</f>
        <v>182</v>
      </c>
      <c r="O52" s="75" t="n">
        <f aca="false">IF($K52&lt;=0,"",ROUND($K52*$G52,0)-$N52)</f>
        <v>-175</v>
      </c>
      <c r="P52" s="118" t="n">
        <f aca="false">1</f>
        <v>1</v>
      </c>
      <c r="Q52" s="118" t="n">
        <f aca="false">0.9</f>
        <v>0.9</v>
      </c>
      <c r="R52" s="75" t="n">
        <f aca="false">IF(SUM($M52)&lt;=0,"",ROUND($M52*$P52,0))</f>
        <v>1062</v>
      </c>
      <c r="S52" s="75" t="str">
        <f aca="false">IF(SUM($O52)&lt;=0,"",ROUND($O52*$Q52,0))</f>
        <v/>
      </c>
      <c r="T52" s="73" t="n">
        <v>36</v>
      </c>
      <c r="U52" s="73" t="n">
        <v>10</v>
      </c>
      <c r="V52" s="118" t="n">
        <f aca="false">0.9</f>
        <v>0.9</v>
      </c>
      <c r="W52" s="75" t="n">
        <f aca="false">IF(SUM($R52)&lt;=0,"",ROUND($R52*$V52,0))</f>
        <v>956</v>
      </c>
      <c r="X52" s="75" t="str">
        <f aca="false">IF(SUM($S52)&lt;=0,"",ROUND($S52*$V52,0))</f>
        <v/>
      </c>
      <c r="Y52" s="118" t="n">
        <f aca="false">IF(SUM($T52)&lt;=0,"",(SUM($W52)-$T52)/$T52)</f>
        <v>25.5555555555556</v>
      </c>
      <c r="Z52" s="118" t="n">
        <f aca="false">IF(SUM($U52)&lt;=0,"",(SUM($X52)-$U52)/$U52)</f>
        <v>-1</v>
      </c>
    </row>
    <row r="53" customFormat="false" ht="15" hidden="false" customHeight="false" outlineLevel="0" collapsed="false">
      <c r="A53" s="0" t="s">
        <v>150</v>
      </c>
      <c r="B53" s="0" t="s">
        <v>117</v>
      </c>
      <c r="C53" s="0" t="s">
        <v>822</v>
      </c>
      <c r="D53" s="0" t="s">
        <v>56</v>
      </c>
      <c r="E53" s="0" t="str">
        <f aca="false">B53&amp;"|"&amp;C53&amp;"|"&amp;D53</f>
        <v>Quthing [#SNU] [HuwCoDZG0FY]|15+|Female</v>
      </c>
      <c r="F53" s="118" t="n">
        <f aca="false">1</f>
        <v>1</v>
      </c>
      <c r="G53" s="118" t="n">
        <f aca="false">1</f>
        <v>1</v>
      </c>
      <c r="H53" s="118" t="n">
        <v>16</v>
      </c>
      <c r="I53" s="118" t="n">
        <v>29</v>
      </c>
      <c r="J53" s="73" t="n">
        <f aca="false">IF($C53="&lt;15",SUM(SUMIFS(Cascade!$AM:$AM,Cascade!$B:$B,$B53,Cascade!$C:$C,{"=&lt;01","01-04","05-09","10-14"},Cascade!$D:$D,$D53)),SUM(SUMIFS(Cascade!$AM:$AM,Cascade!$B:$B,$B53,Cascade!$C:$C,{"15-19","20-24","25-29","30-34","35-39","40-44","45-49","50+"},Cascade!$D:$D,$D53)))</f>
        <v>16</v>
      </c>
      <c r="K53" s="73" t="n">
        <f aca="false">IF($C53="&lt;15",SUM(SUMIFS(Cascade!$U:$U,Cascade!$B:$B,$B53,Cascade!$C:$C,{"=&lt;01","01-04","05-09","10-14"},Cascade!$D:$D,$D53)),SUM(SUMIFS(Cascade!$U:$U,Cascade!$B:$B,$B53,Cascade!$C:$C,{"15-19","20-24","25-29","30-34","35-39","40-44","45-49","50+"},Cascade!$D:$D,$D53)))</f>
        <v>37</v>
      </c>
      <c r="L53" s="75" t="n">
        <f aca="false">IF(AND(SUM($J53)&lt;=0,SUM($H53)=0),"",ROUND($J53*$F53*$H53,0))</f>
        <v>256</v>
      </c>
      <c r="M53" s="75" t="n">
        <f aca="false">IF($J53&lt;=0,"",ROUND($J53*$F53,0)-$L53)</f>
        <v>-240</v>
      </c>
      <c r="N53" s="75" t="n">
        <f aca="false">IF(AND(SUM($K53)&lt;=0,SUM($I53)=0),"",ROUND($K53*$G53*$I53,0))</f>
        <v>1073</v>
      </c>
      <c r="O53" s="75" t="n">
        <f aca="false">IF($K53&lt;=0,"",ROUND($K53*$G53,0)-$N53)</f>
        <v>-1036</v>
      </c>
      <c r="P53" s="118" t="n">
        <f aca="false">1</f>
        <v>1</v>
      </c>
      <c r="Q53" s="118" t="n">
        <f aca="false">0.9</f>
        <v>0.9</v>
      </c>
      <c r="R53" s="75" t="str">
        <f aca="false">IF(SUM($M53)&lt;=0,"",ROUND($M53*$P53,0))</f>
        <v/>
      </c>
      <c r="S53" s="75" t="str">
        <f aca="false">IF(SUM($O53)&lt;=0,"",ROUND($O53*$Q53,0))</f>
        <v/>
      </c>
      <c r="T53" s="73" t="n">
        <v>33</v>
      </c>
      <c r="U53" s="73" t="n">
        <v>46</v>
      </c>
      <c r="V53" s="118" t="n">
        <f aca="false">0.9</f>
        <v>0.9</v>
      </c>
      <c r="W53" s="75" t="str">
        <f aca="false">IF(SUM($R53)&lt;=0,"",ROUND($R53*$V53,0))</f>
        <v/>
      </c>
      <c r="X53" s="75" t="str">
        <f aca="false">IF(SUM($S53)&lt;=0,"",ROUND($S53*$V53,0))</f>
        <v/>
      </c>
      <c r="Y53" s="118" t="n">
        <f aca="false">IF(SUM($T53)&lt;=0,"",(SUM($W53)-$T53)/$T53)</f>
        <v>-1</v>
      </c>
      <c r="Z53" s="118" t="n">
        <f aca="false">IF(SUM($U53)&lt;=0,"",(SUM($X53)-$U53)/$U53)</f>
        <v>-1</v>
      </c>
    </row>
    <row r="54" customFormat="false" ht="15" hidden="false" customHeight="false" outlineLevel="0" collapsed="false">
      <c r="A54" s="0" t="s">
        <v>150</v>
      </c>
      <c r="B54" s="0" t="s">
        <v>117</v>
      </c>
      <c r="C54" s="0" t="s">
        <v>822</v>
      </c>
      <c r="D54" s="0" t="s">
        <v>58</v>
      </c>
      <c r="E54" s="0" t="str">
        <f aca="false">B54&amp;"|"&amp;C54&amp;"|"&amp;D54</f>
        <v>Quthing [#SNU] [HuwCoDZG0FY]|15+|Male</v>
      </c>
      <c r="F54" s="118" t="n">
        <f aca="false">1</f>
        <v>1</v>
      </c>
      <c r="G54" s="118" t="n">
        <f aca="false">1</f>
        <v>1</v>
      </c>
      <c r="H54" s="118" t="n">
        <v>36</v>
      </c>
      <c r="I54" s="118" t="n">
        <v>31</v>
      </c>
      <c r="J54" s="73" t="n">
        <f aca="false">IF($C54="&lt;15",SUM(SUMIFS(Cascade!$AM:$AM,Cascade!$B:$B,$B54,Cascade!$C:$C,{"=&lt;01","01-04","05-09","10-14"},Cascade!$D:$D,$D54)),SUM(SUMIFS(Cascade!$AM:$AM,Cascade!$B:$B,$B54,Cascade!$C:$C,{"15-19","20-24","25-29","30-34","35-39","40-44","45-49","50+"},Cascade!$D:$D,$D54)))</f>
        <v>1</v>
      </c>
      <c r="K54" s="73" t="n">
        <f aca="false">IF($C54="&lt;15",SUM(SUMIFS(Cascade!$U:$U,Cascade!$B:$B,$B54,Cascade!$C:$C,{"=&lt;01","01-04","05-09","10-14"},Cascade!$D:$D,$D54)),SUM(SUMIFS(Cascade!$U:$U,Cascade!$B:$B,$B54,Cascade!$C:$C,{"15-19","20-24","25-29","30-34","35-39","40-44","45-49","50+"},Cascade!$D:$D,$D54)))</f>
        <v>7</v>
      </c>
      <c r="L54" s="75" t="n">
        <f aca="false">IF(AND(SUM($J54)&lt;=0,SUM($H54)=0),"",ROUND($J54*$F54*$H54,0))</f>
        <v>36</v>
      </c>
      <c r="M54" s="75" t="n">
        <f aca="false">IF($J54&lt;=0,"",ROUND($J54*$F54,0)-$L54)</f>
        <v>-35</v>
      </c>
      <c r="N54" s="75" t="n">
        <f aca="false">IF(AND(SUM($K54)&lt;=0,SUM($I54)=0),"",ROUND($K54*$G54*$I54,0))</f>
        <v>217</v>
      </c>
      <c r="O54" s="75" t="n">
        <f aca="false">IF($K54&lt;=0,"",ROUND($K54*$G54,0)-$N54)</f>
        <v>-210</v>
      </c>
      <c r="P54" s="118" t="n">
        <f aca="false">1</f>
        <v>1</v>
      </c>
      <c r="Q54" s="118" t="n">
        <f aca="false">0.9</f>
        <v>0.9</v>
      </c>
      <c r="R54" s="75" t="str">
        <f aca="false">IF(SUM($M54)&lt;=0,"",ROUND($M54*$P54,0))</f>
        <v/>
      </c>
      <c r="S54" s="75" t="str">
        <f aca="false">IF(SUM($O54)&lt;=0,"",ROUND($O54*$Q54,0))</f>
        <v/>
      </c>
      <c r="T54" s="73" t="n">
        <v>31</v>
      </c>
      <c r="U54" s="73" t="n">
        <v>28</v>
      </c>
      <c r="V54" s="118" t="n">
        <f aca="false">0.9</f>
        <v>0.9</v>
      </c>
      <c r="W54" s="75" t="str">
        <f aca="false">IF(SUM($R54)&lt;=0,"",ROUND($R54*$V54,0))</f>
        <v/>
      </c>
      <c r="X54" s="75" t="str">
        <f aca="false">IF(SUM($S54)&lt;=0,"",ROUND($S54*$V54,0))</f>
        <v/>
      </c>
      <c r="Y54" s="118" t="n">
        <f aca="false">IF(SUM($T54)&lt;=0,"",(SUM($W54)-$T54)/$T54)</f>
        <v>-1</v>
      </c>
      <c r="Z54" s="118" t="n">
        <f aca="false">IF(SUM($U54)&lt;=0,"",(SUM($X54)-$U54)/$U54)</f>
        <v>-1</v>
      </c>
    </row>
    <row r="55" customFormat="false" ht="15" hidden="false" customHeight="false" outlineLevel="0" collapsed="false">
      <c r="A55" s="0" t="s">
        <v>151</v>
      </c>
      <c r="B55" s="0" t="s">
        <v>101</v>
      </c>
      <c r="C55" s="0" t="s">
        <v>20</v>
      </c>
      <c r="D55" s="0" t="s">
        <v>56</v>
      </c>
      <c r="E55" s="0" t="str">
        <f aca="false">B55&amp;"|"&amp;C55&amp;"|"&amp;D55</f>
        <v>Thaba Tseka [#SNU] [jyhIrCoB31x]|&lt;15|Female</v>
      </c>
      <c r="F55" s="118" t="n">
        <f aca="false">1</f>
        <v>1</v>
      </c>
      <c r="G55" s="118" t="n">
        <f aca="false">1</f>
        <v>1</v>
      </c>
      <c r="H55" s="118"/>
      <c r="I55" s="118"/>
      <c r="J55" s="73" t="n">
        <f aca="false">IF($C55="&lt;15",SUM(SUMIFS(Cascade!$AM:$AM,Cascade!$B:$B,$B55,Cascade!$C:$C,{"=&lt;01","01-04","05-09","10-14"},Cascade!$D:$D,$D55)),SUM(SUMIFS(Cascade!$AM:$AM,Cascade!$B:$B,$B55,Cascade!$C:$C,{"15-19","20-24","25-29","30-34","35-39","40-44","45-49","50+"},Cascade!$D:$D,$D55)))</f>
        <v>26645</v>
      </c>
      <c r="K55" s="73" t="n">
        <f aca="false">IF($C55="&lt;15",SUM(SUMIFS(Cascade!$U:$U,Cascade!$B:$B,$B55,Cascade!$C:$C,{"=&lt;01","01-04","05-09","10-14"},Cascade!$D:$D,$D55)),SUM(SUMIFS(Cascade!$U:$U,Cascade!$B:$B,$B55,Cascade!$C:$C,{"15-19","20-24","25-29","30-34","35-39","40-44","45-49","50+"},Cascade!$D:$D,$D55)))</f>
        <v>27</v>
      </c>
      <c r="L55" s="75" t="n">
        <f aca="false">IF(AND(SUM($J55)&lt;=0,SUM($H55)=0),"",ROUND($J55*$F55*$H55,0))</f>
        <v>0</v>
      </c>
      <c r="M55" s="75" t="n">
        <f aca="false">IF($J55&lt;=0,"",ROUND($J55*$F55,0)-$L55)</f>
        <v>26645</v>
      </c>
      <c r="N55" s="75" t="n">
        <f aca="false">IF(AND(SUM($K55)&lt;=0,SUM($I55)=0),"",ROUND($K55*$G55*$I55,0))</f>
        <v>0</v>
      </c>
      <c r="O55" s="75" t="n">
        <f aca="false">IF($K55&lt;=0,"",ROUND($K55*$G55,0)-$N55)</f>
        <v>27</v>
      </c>
      <c r="P55" s="118" t="n">
        <f aca="false">1</f>
        <v>1</v>
      </c>
      <c r="Q55" s="118" t="n">
        <f aca="false">0.9</f>
        <v>0.9</v>
      </c>
      <c r="R55" s="75" t="n">
        <f aca="false">IF(SUM($M55)&lt;=0,"",ROUND($M55*$P55,0))</f>
        <v>26645</v>
      </c>
      <c r="S55" s="75" t="n">
        <f aca="false">IF(SUM($O55)&lt;=0,"",ROUND($O55*$Q55,0))</f>
        <v>24</v>
      </c>
      <c r="T55" s="73" t="n">
        <v>9</v>
      </c>
      <c r="U55" s="73" t="n">
        <v>29</v>
      </c>
      <c r="V55" s="118" t="n">
        <f aca="false">0.9</f>
        <v>0.9</v>
      </c>
      <c r="W55" s="75" t="n">
        <f aca="false">IF(SUM($R55)&lt;=0,"",ROUND($R55*$V55,0))</f>
        <v>23981</v>
      </c>
      <c r="X55" s="75" t="n">
        <f aca="false">IF(SUM($S55)&lt;=0,"",ROUND($S55*$V55,0))</f>
        <v>22</v>
      </c>
      <c r="Y55" s="118" t="n">
        <f aca="false">IF(SUM($T55)&lt;=0,"",(SUM($W55)-$T55)/$T55)</f>
        <v>2663.55555555556</v>
      </c>
      <c r="Z55" s="118" t="n">
        <f aca="false">IF(SUM($U55)&lt;=0,"",(SUM($X55)-$U55)/$U55)</f>
        <v>-0.241379310344828</v>
      </c>
    </row>
    <row r="56" customFormat="false" ht="15" hidden="false" customHeight="false" outlineLevel="0" collapsed="false">
      <c r="A56" s="0" t="s">
        <v>151</v>
      </c>
      <c r="B56" s="0" t="s">
        <v>101</v>
      </c>
      <c r="C56" s="0" t="s">
        <v>20</v>
      </c>
      <c r="D56" s="0" t="s">
        <v>58</v>
      </c>
      <c r="E56" s="0" t="str">
        <f aca="false">B56&amp;"|"&amp;C56&amp;"|"&amp;D56</f>
        <v>Thaba Tseka [#SNU] [jyhIrCoB31x]|&lt;15|Male</v>
      </c>
      <c r="F56" s="118" t="n">
        <f aca="false">1</f>
        <v>1</v>
      </c>
      <c r="G56" s="118" t="n">
        <f aca="false">1</f>
        <v>1</v>
      </c>
      <c r="H56" s="118"/>
      <c r="I56" s="118"/>
      <c r="J56" s="73" t="n">
        <f aca="false">IF($C56="&lt;15",SUM(SUMIFS(Cascade!$AM:$AM,Cascade!$B:$B,$B56,Cascade!$C:$C,{"=&lt;01","01-04","05-09","10-14"},Cascade!$D:$D,$D56)),SUM(SUMIFS(Cascade!$AM:$AM,Cascade!$B:$B,$B56,Cascade!$C:$C,{"15-19","20-24","25-29","30-34","35-39","40-44","45-49","50+"},Cascade!$D:$D,$D56)))</f>
        <v>26645</v>
      </c>
      <c r="K56" s="73" t="n">
        <f aca="false">IF($C56="&lt;15",SUM(SUMIFS(Cascade!$U:$U,Cascade!$B:$B,$B56,Cascade!$C:$C,{"=&lt;01","01-04","05-09","10-14"},Cascade!$D:$D,$D56)),SUM(SUMIFS(Cascade!$U:$U,Cascade!$B:$B,$B56,Cascade!$C:$C,{"15-19","20-24","25-29","30-34","35-39","40-44","45-49","50+"},Cascade!$D:$D,$D56)))</f>
        <v>43</v>
      </c>
      <c r="L56" s="75" t="n">
        <f aca="false">IF(AND(SUM($J56)&lt;=0,SUM($H56)=0),"",ROUND($J56*$F56*$H56,0))</f>
        <v>0</v>
      </c>
      <c r="M56" s="75" t="n">
        <f aca="false">IF($J56&lt;=0,"",ROUND($J56*$F56,0)-$L56)</f>
        <v>26645</v>
      </c>
      <c r="N56" s="75" t="n">
        <f aca="false">IF(AND(SUM($K56)&lt;=0,SUM($I56)=0),"",ROUND($K56*$G56*$I56,0))</f>
        <v>0</v>
      </c>
      <c r="O56" s="75" t="n">
        <f aca="false">IF($K56&lt;=0,"",ROUND($K56*$G56,0)-$N56)</f>
        <v>43</v>
      </c>
      <c r="P56" s="118" t="n">
        <f aca="false">1</f>
        <v>1</v>
      </c>
      <c r="Q56" s="118" t="n">
        <f aca="false">0.9</f>
        <v>0.9</v>
      </c>
      <c r="R56" s="75" t="n">
        <f aca="false">IF(SUM($M56)&lt;=0,"",ROUND($M56*$P56,0))</f>
        <v>26645</v>
      </c>
      <c r="S56" s="75" t="n">
        <f aca="false">IF(SUM($O56)&lt;=0,"",ROUND($O56*$Q56,0))</f>
        <v>39</v>
      </c>
      <c r="T56" s="73" t="n">
        <v>39</v>
      </c>
      <c r="U56" s="73" t="n">
        <v>18</v>
      </c>
      <c r="V56" s="118" t="n">
        <f aca="false">0.9</f>
        <v>0.9</v>
      </c>
      <c r="W56" s="75" t="n">
        <f aca="false">IF(SUM($R56)&lt;=0,"",ROUND($R56*$V56,0))</f>
        <v>23981</v>
      </c>
      <c r="X56" s="75" t="n">
        <f aca="false">IF(SUM($S56)&lt;=0,"",ROUND($S56*$V56,0))</f>
        <v>35</v>
      </c>
      <c r="Y56" s="118" t="n">
        <f aca="false">IF(SUM($T56)&lt;=0,"",(SUM($W56)-$T56)/$T56)</f>
        <v>613.897435897436</v>
      </c>
      <c r="Z56" s="118" t="n">
        <f aca="false">IF(SUM($U56)&lt;=0,"",(SUM($X56)-$U56)/$U56)</f>
        <v>0.944444444444444</v>
      </c>
    </row>
    <row r="57" customFormat="false" ht="15" hidden="false" customHeight="false" outlineLevel="0" collapsed="false">
      <c r="A57" s="0" t="s">
        <v>151</v>
      </c>
      <c r="B57" s="0" t="s">
        <v>101</v>
      </c>
      <c r="C57" s="0" t="s">
        <v>822</v>
      </c>
      <c r="D57" s="0" t="s">
        <v>56</v>
      </c>
      <c r="E57" s="0" t="str">
        <f aca="false">B57&amp;"|"&amp;C57&amp;"|"&amp;D57</f>
        <v>Thaba Tseka [#SNU] [jyhIrCoB31x]|15+|Female</v>
      </c>
      <c r="F57" s="118" t="n">
        <f aca="false">1</f>
        <v>1</v>
      </c>
      <c r="G57" s="118" t="n">
        <f aca="false">1</f>
        <v>1</v>
      </c>
      <c r="H57" s="118" t="n">
        <v>5</v>
      </c>
      <c r="I57" s="118" t="n">
        <v>31</v>
      </c>
      <c r="J57" s="73" t="n">
        <f aca="false">IF($C57="&lt;15",SUM(SUMIFS(Cascade!$AM:$AM,Cascade!$B:$B,$B57,Cascade!$C:$C,{"=&lt;01","01-04","05-09","10-14"},Cascade!$D:$D,$D57)),SUM(SUMIFS(Cascade!$AM:$AM,Cascade!$B:$B,$B57,Cascade!$C:$C,{"15-19","20-24","25-29","30-34","35-39","40-44","45-49","50+"},Cascade!$D:$D,$D57)))</f>
        <v>11</v>
      </c>
      <c r="K57" s="73" t="n">
        <f aca="false">IF($C57="&lt;15",SUM(SUMIFS(Cascade!$U:$U,Cascade!$B:$B,$B57,Cascade!$C:$C,{"=&lt;01","01-04","05-09","10-14"},Cascade!$D:$D,$D57)),SUM(SUMIFS(Cascade!$U:$U,Cascade!$B:$B,$B57,Cascade!$C:$C,{"15-19","20-24","25-29","30-34","35-39","40-44","45-49","50+"},Cascade!$D:$D,$D57)))</f>
        <v>43</v>
      </c>
      <c r="L57" s="75" t="n">
        <f aca="false">IF(AND(SUM($J57)&lt;=0,SUM($H57)=0),"",ROUND($J57*$F57*$H57,0))</f>
        <v>55</v>
      </c>
      <c r="M57" s="75" t="n">
        <f aca="false">IF($J57&lt;=0,"",ROUND($J57*$F57,0)-$L57)</f>
        <v>-44</v>
      </c>
      <c r="N57" s="75" t="n">
        <f aca="false">IF(AND(SUM($K57)&lt;=0,SUM($I57)=0),"",ROUND($K57*$G57*$I57,0))</f>
        <v>1333</v>
      </c>
      <c r="O57" s="75" t="n">
        <f aca="false">IF($K57&lt;=0,"",ROUND($K57*$G57,0)-$N57)</f>
        <v>-1290</v>
      </c>
      <c r="P57" s="118" t="n">
        <f aca="false">1</f>
        <v>1</v>
      </c>
      <c r="Q57" s="118" t="n">
        <f aca="false">0.9</f>
        <v>0.9</v>
      </c>
      <c r="R57" s="75" t="str">
        <f aca="false">IF(SUM($M57)&lt;=0,"",ROUND($M57*$P57,0))</f>
        <v/>
      </c>
      <c r="S57" s="75" t="str">
        <f aca="false">IF(SUM($O57)&lt;=0,"",ROUND($O57*$Q57,0))</f>
        <v/>
      </c>
      <c r="T57" s="73" t="n">
        <v>20</v>
      </c>
      <c r="U57" s="73" t="n">
        <v>30</v>
      </c>
      <c r="V57" s="118" t="n">
        <f aca="false">0.9</f>
        <v>0.9</v>
      </c>
      <c r="W57" s="75" t="str">
        <f aca="false">IF(SUM($R57)&lt;=0,"",ROUND($R57*$V57,0))</f>
        <v/>
      </c>
      <c r="X57" s="75" t="str">
        <f aca="false">IF(SUM($S57)&lt;=0,"",ROUND($S57*$V57,0))</f>
        <v/>
      </c>
      <c r="Y57" s="118" t="n">
        <f aca="false">IF(SUM($T57)&lt;=0,"",(SUM($W57)-$T57)/$T57)</f>
        <v>-1</v>
      </c>
      <c r="Z57" s="118" t="n">
        <f aca="false">IF(SUM($U57)&lt;=0,"",(SUM($X57)-$U57)/$U57)</f>
        <v>-1</v>
      </c>
    </row>
    <row r="58" customFormat="false" ht="15" hidden="false" customHeight="false" outlineLevel="0" collapsed="false">
      <c r="A58" s="0" t="s">
        <v>151</v>
      </c>
      <c r="B58" s="0" t="s">
        <v>101</v>
      </c>
      <c r="C58" s="0" t="s">
        <v>822</v>
      </c>
      <c r="D58" s="0" t="s">
        <v>58</v>
      </c>
      <c r="E58" s="0" t="str">
        <f aca="false">B58&amp;"|"&amp;C58&amp;"|"&amp;D58</f>
        <v>Thaba Tseka [#SNU] [jyhIrCoB31x]|15+|Male</v>
      </c>
      <c r="F58" s="118" t="n">
        <f aca="false">1</f>
        <v>1</v>
      </c>
      <c r="G58" s="118" t="n">
        <f aca="false">1</f>
        <v>1</v>
      </c>
      <c r="H58" s="118" t="n">
        <v>18</v>
      </c>
      <c r="I58" s="118" t="n">
        <v>8</v>
      </c>
      <c r="J58" s="73" t="n">
        <f aca="false">IF($C58="&lt;15",SUM(SUMIFS(Cascade!$AM:$AM,Cascade!$B:$B,$B58,Cascade!$C:$C,{"=&lt;01","01-04","05-09","10-14"},Cascade!$D:$D,$D58)),SUM(SUMIFS(Cascade!$AM:$AM,Cascade!$B:$B,$B58,Cascade!$C:$C,{"15-19","20-24","25-29","30-34","35-39","40-44","45-49","50+"},Cascade!$D:$D,$D58)))</f>
        <v>0</v>
      </c>
      <c r="K58" s="73" t="n">
        <f aca="false">IF($C58="&lt;15",SUM(SUMIFS(Cascade!$U:$U,Cascade!$B:$B,$B58,Cascade!$C:$C,{"=&lt;01","01-04","05-09","10-14"},Cascade!$D:$D,$D58)),SUM(SUMIFS(Cascade!$U:$U,Cascade!$B:$B,$B58,Cascade!$C:$C,{"15-19","20-24","25-29","30-34","35-39","40-44","45-49","50+"},Cascade!$D:$D,$D58)))</f>
        <v>4</v>
      </c>
      <c r="L58" s="75" t="n">
        <f aca="false">IF(AND(SUM($J58)&lt;=0,SUM($H58)=0),"",ROUND($J58*$F58*$H58,0))</f>
        <v>0</v>
      </c>
      <c r="M58" s="75" t="str">
        <f aca="false">IF($J58&lt;=0,"",ROUND($J58*$F58,0)-$L58)</f>
        <v/>
      </c>
      <c r="N58" s="75" t="n">
        <f aca="false">IF(AND(SUM($K58)&lt;=0,SUM($I58)=0),"",ROUND($K58*$G58*$I58,0))</f>
        <v>32</v>
      </c>
      <c r="O58" s="75" t="n">
        <f aca="false">IF($K58&lt;=0,"",ROUND($K58*$G58,0)-$N58)</f>
        <v>-28</v>
      </c>
      <c r="P58" s="118" t="n">
        <f aca="false">1</f>
        <v>1</v>
      </c>
      <c r="Q58" s="118" t="n">
        <f aca="false">0.9</f>
        <v>0.9</v>
      </c>
      <c r="R58" s="75" t="str">
        <f aca="false">IF(SUM($M58)&lt;=0,"",ROUND($M58*$P58,0))</f>
        <v/>
      </c>
      <c r="S58" s="75" t="str">
        <f aca="false">IF(SUM($O58)&lt;=0,"",ROUND($O58*$Q58,0))</f>
        <v/>
      </c>
      <c r="T58" s="73" t="n">
        <v>25</v>
      </c>
      <c r="U58" s="73" t="n">
        <v>33</v>
      </c>
      <c r="V58" s="118" t="n">
        <f aca="false">0.9</f>
        <v>0.9</v>
      </c>
      <c r="W58" s="75" t="str">
        <f aca="false">IF(SUM($R58)&lt;=0,"",ROUND($R58*$V58,0))</f>
        <v/>
      </c>
      <c r="X58" s="75" t="str">
        <f aca="false">IF(SUM($S58)&lt;=0,"",ROUND($S58*$V58,0))</f>
        <v/>
      </c>
      <c r="Y58" s="118" t="n">
        <f aca="false">IF(SUM($T58)&lt;=0,"",(SUM($W58)-$T58)/$T58)</f>
        <v>-1</v>
      </c>
      <c r="Z58" s="118" t="n">
        <f aca="false">IF(SUM($U58)&lt;=0,"",(SUM($X58)-$U58)/$U58)</f>
        <v>-1</v>
      </c>
    </row>
  </sheetData>
  <conditionalFormatting sqref="F1:G1048576">
    <cfRule type="expression" priority="2" aboveAverage="0" equalAverage="0" bottom="0" percent="0" rank="0" text="" dxfId="0">
      <formula>AND(ISNUMBER(F1),ROUND(SUM(F1),2)&lt;1,ROW(F1)&gt;14,SUM(J1)&gt;0)</formula>
    </cfRule>
  </conditionalFormatting>
  <conditionalFormatting sqref="V1:V1048576">
    <cfRule type="expression" priority="3" aboveAverage="0" equalAverage="0" bottom="0" percent="0" rank="0" text="" dxfId="1">
      <formula>AND(ROW($V1)&gt;14,OR(SUM($R1)&gt;0,SUM($S1)&gt;0),ROUND(SUM($V1),2)&gt;1)</formula>
    </cfRule>
    <cfRule type="expression" priority="4" aboveAverage="0" equalAverage="0" bottom="0" percent="0" rank="0" text="" dxfId="2">
      <formula>AND(ROW($V1)&gt;14,OR(SUM($R1)&gt;0,SUM($S1)&gt;0),ROUND(SUM($V1),2)&lt;90%)</formula>
    </cfRule>
  </conditionalFormatting>
  <conditionalFormatting sqref="F1:F1048576 H1:H1048576">
    <cfRule type="expression" priority="5" aboveAverage="0" equalAverage="0" bottom="0" percent="0" rank="0" text="" dxfId="3">
      <formula>AND(ISNUMBER($J1),SUM($J1)&gt;0,F1="",ROW(F1)&gt;14)</formula>
    </cfRule>
  </conditionalFormatting>
  <conditionalFormatting sqref="G1:G1048576 I1:I1048576">
    <cfRule type="expression" priority="6" aboveAverage="0" equalAverage="0" bottom="0" percent="0" rank="0" text="" dxfId="0">
      <formula>AND(ISNUMBER($K1),SUM($K1)&gt;0,G1="",ROW(G1)&gt;14)</formula>
    </cfRule>
  </conditionalFormatting>
  <conditionalFormatting sqref="Q1:Q1048576">
    <cfRule type="expression" priority="7" aboveAverage="0" equalAverage="0" bottom="0" percent="0" rank="0" text="" dxfId="1">
      <formula>AND(ROW($Q1)&gt;14,ISNUMBER($O1),SUM($O1)&gt;0,ROUND(SUM($Q1),2)&gt;1)</formula>
    </cfRule>
    <cfRule type="expression" priority="8" aboveAverage="0" equalAverage="0" bottom="0" percent="0" rank="0" text="" dxfId="2">
      <formula>AND(ROW($Q1)&gt;14,ISNUMBER($O1),SUM($O1)&gt;0,ROUND(SUM($Q1),2)&lt;90%)</formula>
    </cfRule>
  </conditionalFormatting>
  <conditionalFormatting sqref="P1:P1048576">
    <cfRule type="expression" priority="9" aboveAverage="0" equalAverage="0" bottom="0" percent="0" rank="0" text="" dxfId="3">
      <formula>AND(ROW($P1)&gt;14,ISNUMBER($M1),SUM($M1)&gt;0,ROUND(SUM($P1),2)&lt;100%)</formula>
    </cfRule>
    <cfRule type="expression" priority="10" aboveAverage="0" equalAverage="0" bottom="0" percent="0" rank="0" text="" dxfId="4">
      <formula>AND(ROW($P1)&gt;14,ISNUMBER($M1),SUM($M1)&gt;0,ROUND(SUM($P1),2)&gt;1)</formula>
    </cfRule>
  </conditionalFormatting>
  <hyperlinks>
    <hyperlink ref="J3" location="Cascade!AM:AM" display="TX_NEW (FY22)"/>
    <hyperlink ref="K3" location="Cascade!U:U" display="TX_CURR (FY21)"/>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H2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
    <col collapsed="false" customWidth="true" hidden="false" outlineLevel="0" max="8" min="6" style="0" width="11.83"/>
    <col collapsed="false" customWidth="true" hidden="false" outlineLevel="0" max="1025" min="9" style="0" width="10.61"/>
  </cols>
  <sheetData>
    <row r="1" customFormat="false" ht="31" hidden="false" customHeight="true" outlineLevel="0" collapsed="false">
      <c r="A1" s="54" t="s">
        <v>823</v>
      </c>
      <c r="B1" s="54"/>
      <c r="C1" s="54"/>
      <c r="D1" s="54"/>
      <c r="E1" s="54"/>
      <c r="F1" s="76" t="s">
        <v>824</v>
      </c>
      <c r="G1" s="81"/>
      <c r="H1" s="76"/>
    </row>
    <row r="2" customFormat="false" ht="19" hidden="false" customHeight="true" outlineLevel="0" collapsed="false">
      <c r="A2" s="57"/>
      <c r="B2" s="57"/>
      <c r="C2" s="57"/>
      <c r="D2" s="57"/>
      <c r="E2" s="57"/>
      <c r="F2" s="89" t="s">
        <v>120</v>
      </c>
      <c r="G2" s="87" t="s">
        <v>156</v>
      </c>
      <c r="H2" s="84" t="s">
        <v>121</v>
      </c>
    </row>
    <row r="3" customFormat="false" ht="117" hidden="false" customHeight="true" outlineLevel="0" collapsed="false">
      <c r="A3" s="61"/>
      <c r="B3" s="61"/>
      <c r="C3" s="61"/>
      <c r="D3" s="61"/>
      <c r="E3" s="61"/>
      <c r="F3" s="168" t="s">
        <v>333</v>
      </c>
      <c r="G3" s="146" t="s">
        <v>825</v>
      </c>
      <c r="H3" s="100" t="s">
        <v>826</v>
      </c>
    </row>
    <row r="4" customFormat="false" ht="15" hidden="false" customHeight="false" outlineLevel="0" collapsed="false">
      <c r="A4" s="65"/>
      <c r="B4" s="65"/>
      <c r="C4" s="65"/>
      <c r="D4" s="65" t="s">
        <v>125</v>
      </c>
      <c r="E4" s="65"/>
      <c r="F4" s="110" t="n">
        <f aca="false">SUBTOTAL(109,F$15:INDEX(F:F,COUNTA($B:$B)+14-COUNTA($B$1:$B$14)))</f>
        <v>0</v>
      </c>
      <c r="G4" s="108"/>
      <c r="H4" s="105" t="n">
        <f aca="false">SUBTOTAL(109,H$15:INDEX(H:H,COUNTA($B:$B)+14-COUNTA($B$1:$B$14)))</f>
        <v>0</v>
      </c>
    </row>
    <row r="5" customFormat="false" ht="12.8" hidden="false" customHeight="false" outlineLevel="0" collapsed="false">
      <c r="A5" s="69" t="s">
        <v>126</v>
      </c>
      <c r="B5" s="69" t="s">
        <v>126</v>
      </c>
      <c r="C5" s="69" t="s">
        <v>126</v>
      </c>
      <c r="D5" s="69" t="s">
        <v>126</v>
      </c>
      <c r="E5" s="69" t="s">
        <v>126</v>
      </c>
      <c r="F5" s="73" t="s">
        <v>225</v>
      </c>
      <c r="G5" s="118" t="s">
        <v>126</v>
      </c>
      <c r="H5" s="73" t="s">
        <v>225</v>
      </c>
    </row>
    <row r="6" customFormat="false" ht="12.8" hidden="false" customHeight="false" outlineLevel="0" collapsed="false">
      <c r="A6" s="69" t="s">
        <v>128</v>
      </c>
      <c r="B6" s="69" t="s">
        <v>128</v>
      </c>
      <c r="C6" s="69" t="s">
        <v>128</v>
      </c>
      <c r="D6" s="69" t="s">
        <v>128</v>
      </c>
      <c r="E6" s="69" t="s">
        <v>128</v>
      </c>
      <c r="F6" s="73" t="s">
        <v>129</v>
      </c>
      <c r="G6" s="118" t="s">
        <v>227</v>
      </c>
      <c r="H6" s="73" t="s">
        <v>130</v>
      </c>
    </row>
    <row r="7" customFormat="false" ht="12.8" hidden="false" customHeight="false" outlineLevel="0" collapsed="false">
      <c r="A7" s="69" t="s">
        <v>132</v>
      </c>
      <c r="B7" s="69" t="s">
        <v>132</v>
      </c>
      <c r="C7" s="69" t="s">
        <v>132</v>
      </c>
      <c r="D7" s="69" t="s">
        <v>132</v>
      </c>
      <c r="E7" s="69" t="s">
        <v>132</v>
      </c>
      <c r="F7" s="73" t="s">
        <v>133</v>
      </c>
      <c r="G7" s="118" t="s">
        <v>229</v>
      </c>
      <c r="H7" s="73" t="s">
        <v>133</v>
      </c>
    </row>
    <row r="8" customFormat="false" ht="12.8" hidden="false" customHeight="false" outlineLevel="0" collapsed="false">
      <c r="F8" s="73" t="s">
        <v>827</v>
      </c>
      <c r="H8" s="73" t="s">
        <v>827</v>
      </c>
    </row>
    <row r="9" customFormat="false" ht="12.8" hidden="false" customHeight="false" outlineLevel="0" collapsed="false">
      <c r="F9" s="73" t="s">
        <v>828</v>
      </c>
      <c r="H9" s="73" t="s">
        <v>828</v>
      </c>
    </row>
    <row r="10" customFormat="false" ht="12.8" hidden="false" customHeight="false" outlineLevel="0" collapsed="false">
      <c r="H10" s="73"/>
    </row>
    <row r="11" customFormat="false" ht="12.8" hidden="false" customHeight="false" outlineLevel="0" collapsed="false">
      <c r="F11" s="73" t="s">
        <v>247</v>
      </c>
      <c r="G11" s="5" t="s">
        <v>247</v>
      </c>
      <c r="H11" s="73" t="s">
        <v>247</v>
      </c>
    </row>
    <row r="12" customFormat="false" ht="12.8" hidden="false" customHeight="false" outlineLevel="0" collapsed="false">
      <c r="F12" s="73" t="s">
        <v>249</v>
      </c>
      <c r="G12" s="118" t="s">
        <v>249</v>
      </c>
      <c r="H12" s="73" t="s">
        <v>249</v>
      </c>
    </row>
    <row r="13" customFormat="false" ht="12.8" hidden="false" customHeight="false" outlineLevel="0" collapsed="false">
      <c r="H13" s="73"/>
    </row>
    <row r="14" customFormat="false" ht="15" hidden="false" customHeight="false" outlineLevel="0" collapsed="false">
      <c r="A14" s="70" t="s">
        <v>135</v>
      </c>
      <c r="B14" s="70" t="s">
        <v>136</v>
      </c>
      <c r="C14" s="70" t="s">
        <v>252</v>
      </c>
      <c r="D14" s="70" t="s">
        <v>253</v>
      </c>
      <c r="E14" s="70" t="s">
        <v>42</v>
      </c>
      <c r="F14" s="131" t="s">
        <v>829</v>
      </c>
      <c r="G14" s="131" t="s">
        <v>830</v>
      </c>
      <c r="H14" s="131" t="s">
        <v>831</v>
      </c>
    </row>
    <row r="15" customFormat="false" ht="15" hidden="false" customHeight="false" outlineLevel="0" collapsed="false">
      <c r="A15" s="0" t="s">
        <v>140</v>
      </c>
      <c r="B15" s="0" t="s">
        <v>141</v>
      </c>
      <c r="C15" s="0" t="s">
        <v>61</v>
      </c>
      <c r="D15" s="0" t="s">
        <v>56</v>
      </c>
      <c r="E15" s="69" t="str">
        <f aca="false">B15&amp;"|"&amp;C15&amp;"|"&amp;D15</f>
        <v>_Military Lesotho [#Military] [dDOqoFnD5Be]|10-14|Female</v>
      </c>
      <c r="F15" s="73"/>
      <c r="G15" s="118" t="str">
        <f aca="false">IF(SUM($F15)&lt;=0,"",0%)</f>
        <v/>
      </c>
      <c r="H15" s="115" t="str">
        <f aca="false">IF(SUM($F15)&lt;=0,"",ROUND($F15*(1+$G15),0))</f>
        <v/>
      </c>
    </row>
    <row r="16" customFormat="false" ht="15" hidden="false" customHeight="false" outlineLevel="0" collapsed="false">
      <c r="A16" s="0" t="s">
        <v>140</v>
      </c>
      <c r="B16" s="0" t="s">
        <v>141</v>
      </c>
      <c r="C16" s="0" t="s">
        <v>61</v>
      </c>
      <c r="D16" s="0" t="s">
        <v>58</v>
      </c>
      <c r="E16" s="0" t="str">
        <f aca="false">B16&amp;"|"&amp;C16&amp;"|"&amp;D16</f>
        <v>_Military Lesotho [#Military] [dDOqoFnD5Be]|10-14|Male</v>
      </c>
      <c r="F16" s="73"/>
      <c r="G16" s="118" t="str">
        <f aca="false">IF(SUM($F16)&lt;=0,"",0%)</f>
        <v/>
      </c>
      <c r="H16" s="75" t="str">
        <f aca="false">IF(SUM($F16)&lt;=0,"",ROUND($F16*(1+$G16),0))</f>
        <v/>
      </c>
    </row>
    <row r="17" customFormat="false" ht="15" hidden="false" customHeight="false" outlineLevel="0" collapsed="false">
      <c r="A17" s="0" t="s">
        <v>140</v>
      </c>
      <c r="B17" s="0" t="s">
        <v>141</v>
      </c>
      <c r="C17" s="0" t="s">
        <v>63</v>
      </c>
      <c r="D17" s="0" t="s">
        <v>56</v>
      </c>
      <c r="E17" s="0" t="str">
        <f aca="false">B17&amp;"|"&amp;C17&amp;"|"&amp;D17</f>
        <v>_Military Lesotho [#Military] [dDOqoFnD5Be]|15-19|Female</v>
      </c>
      <c r="F17" s="73"/>
      <c r="G17" s="118" t="str">
        <f aca="false">IF(SUM($F17)&lt;=0,"",0%)</f>
        <v/>
      </c>
      <c r="H17" s="75" t="str">
        <f aca="false">IF(SUM($F17)&lt;=0,"",ROUND($F17*(1+$G17),0))</f>
        <v/>
      </c>
    </row>
    <row r="18" customFormat="false" ht="15" hidden="false" customHeight="false" outlineLevel="0" collapsed="false">
      <c r="A18" s="0" t="s">
        <v>140</v>
      </c>
      <c r="B18" s="0" t="s">
        <v>141</v>
      </c>
      <c r="C18" s="0" t="s">
        <v>63</v>
      </c>
      <c r="D18" s="0" t="s">
        <v>58</v>
      </c>
      <c r="E18" s="0" t="str">
        <f aca="false">B18&amp;"|"&amp;C18&amp;"|"&amp;D18</f>
        <v>_Military Lesotho [#Military] [dDOqoFnD5Be]|15-19|Male</v>
      </c>
      <c r="F18" s="73"/>
      <c r="G18" s="118" t="str">
        <f aca="false">IF(SUM($F18)&lt;=0,"",0%)</f>
        <v/>
      </c>
      <c r="H18" s="75" t="str">
        <f aca="false">IF(SUM($F18)&lt;=0,"",ROUND($F18*(1+$G18),0))</f>
        <v/>
      </c>
    </row>
    <row r="19" customFormat="false" ht="15" hidden="false" customHeight="false" outlineLevel="0" collapsed="false">
      <c r="A19" s="0" t="s">
        <v>140</v>
      </c>
      <c r="B19" s="0" t="s">
        <v>141</v>
      </c>
      <c r="C19" s="0" t="s">
        <v>66</v>
      </c>
      <c r="D19" s="0" t="s">
        <v>56</v>
      </c>
      <c r="E19" s="0" t="str">
        <f aca="false">B19&amp;"|"&amp;C19&amp;"|"&amp;D19</f>
        <v>_Military Lesotho [#Military] [dDOqoFnD5Be]|20-24|Female</v>
      </c>
      <c r="F19" s="73"/>
      <c r="G19" s="118" t="str">
        <f aca="false">IF(SUM($F19)&lt;=0,"",0%)</f>
        <v/>
      </c>
      <c r="H19" s="75" t="str">
        <f aca="false">IF(SUM($F19)&lt;=0,"",ROUND($F19*(1+$G19),0))</f>
        <v/>
      </c>
    </row>
    <row r="20" customFormat="false" ht="15" hidden="false" customHeight="false" outlineLevel="0" collapsed="false">
      <c r="A20" s="0" t="s">
        <v>140</v>
      </c>
      <c r="B20" s="0" t="s">
        <v>141</v>
      </c>
      <c r="C20" s="0" t="s">
        <v>66</v>
      </c>
      <c r="D20" s="0" t="s">
        <v>58</v>
      </c>
      <c r="E20" s="0" t="str">
        <f aca="false">B20&amp;"|"&amp;C20&amp;"|"&amp;D20</f>
        <v>_Military Lesotho [#Military] [dDOqoFnD5Be]|20-24|Male</v>
      </c>
      <c r="F20" s="73"/>
      <c r="G20" s="118" t="str">
        <f aca="false">IF(SUM($F20)&lt;=0,"",0%)</f>
        <v/>
      </c>
      <c r="H20" s="75" t="str">
        <f aca="false">IF(SUM($F20)&lt;=0,"",ROUND($F20*(1+$G20),0))</f>
        <v/>
      </c>
    </row>
    <row r="21" customFormat="false" ht="15" hidden="false" customHeight="false" outlineLevel="0" collapsed="false">
      <c r="A21" s="0" t="s">
        <v>140</v>
      </c>
      <c r="B21" s="0" t="s">
        <v>141</v>
      </c>
      <c r="C21" s="0" t="s">
        <v>69</v>
      </c>
      <c r="D21" s="0" t="s">
        <v>56</v>
      </c>
      <c r="E21" s="0" t="str">
        <f aca="false">B21&amp;"|"&amp;C21&amp;"|"&amp;D21</f>
        <v>_Military Lesotho [#Military] [dDOqoFnD5Be]|25-29|Female</v>
      </c>
      <c r="F21" s="73"/>
      <c r="G21" s="118" t="str">
        <f aca="false">IF(SUM($F21)&lt;=0,"",0%)</f>
        <v/>
      </c>
      <c r="H21" s="75" t="str">
        <f aca="false">IF(SUM($F21)&lt;=0,"",ROUND($F21*(1+$G21),0))</f>
        <v/>
      </c>
    </row>
    <row r="22" customFormat="false" ht="15" hidden="false" customHeight="false" outlineLevel="0" collapsed="false">
      <c r="A22" s="0" t="s">
        <v>140</v>
      </c>
      <c r="B22" s="0" t="s">
        <v>141</v>
      </c>
      <c r="C22" s="0" t="s">
        <v>69</v>
      </c>
      <c r="D22" s="0" t="s">
        <v>58</v>
      </c>
      <c r="E22" s="0" t="str">
        <f aca="false">B22&amp;"|"&amp;C22&amp;"|"&amp;D22</f>
        <v>_Military Lesotho [#Military] [dDOqoFnD5Be]|25-29|Male</v>
      </c>
      <c r="F22" s="73"/>
      <c r="G22" s="118" t="str">
        <f aca="false">IF(SUM($F22)&lt;=0,"",0%)</f>
        <v/>
      </c>
      <c r="H22" s="75" t="str">
        <f aca="false">IF(SUM($F22)&lt;=0,"",ROUND($F22*(1+$G22),0))</f>
        <v/>
      </c>
    </row>
    <row r="23" customFormat="false" ht="15" hidden="false" customHeight="false" outlineLevel="0" collapsed="false">
      <c r="A23" s="0" t="s">
        <v>140</v>
      </c>
      <c r="B23" s="0" t="s">
        <v>141</v>
      </c>
      <c r="C23" s="0" t="s">
        <v>72</v>
      </c>
      <c r="D23" s="0" t="s">
        <v>56</v>
      </c>
      <c r="E23" s="0" t="str">
        <f aca="false">B23&amp;"|"&amp;C23&amp;"|"&amp;D23</f>
        <v>_Military Lesotho [#Military] [dDOqoFnD5Be]|30-34|Female</v>
      </c>
      <c r="F23" s="73"/>
      <c r="G23" s="118" t="str">
        <f aca="false">IF(SUM($F23)&lt;=0,"",0%)</f>
        <v/>
      </c>
      <c r="H23" s="75" t="str">
        <f aca="false">IF(SUM($F23)&lt;=0,"",ROUND($F23*(1+$G23),0))</f>
        <v/>
      </c>
    </row>
    <row r="24" customFormat="false" ht="15" hidden="false" customHeight="false" outlineLevel="0" collapsed="false">
      <c r="A24" s="0" t="s">
        <v>140</v>
      </c>
      <c r="B24" s="0" t="s">
        <v>141</v>
      </c>
      <c r="C24" s="0" t="s">
        <v>72</v>
      </c>
      <c r="D24" s="0" t="s">
        <v>58</v>
      </c>
      <c r="E24" s="0" t="str">
        <f aca="false">B24&amp;"|"&amp;C24&amp;"|"&amp;D24</f>
        <v>_Military Lesotho [#Military] [dDOqoFnD5Be]|30-34|Male</v>
      </c>
      <c r="F24" s="73"/>
      <c r="G24" s="118" t="str">
        <f aca="false">IF(SUM($F24)&lt;=0,"",0%)</f>
        <v/>
      </c>
      <c r="H24" s="75" t="str">
        <f aca="false">IF(SUM($F24)&lt;=0,"",ROUND($F24*(1+$G24),0))</f>
        <v/>
      </c>
    </row>
    <row r="25" customFormat="false" ht="15" hidden="false" customHeight="false" outlineLevel="0" collapsed="false">
      <c r="A25" s="0" t="s">
        <v>140</v>
      </c>
      <c r="B25" s="0" t="s">
        <v>141</v>
      </c>
      <c r="C25" s="0" t="s">
        <v>75</v>
      </c>
      <c r="D25" s="0" t="s">
        <v>56</v>
      </c>
      <c r="E25" s="0" t="str">
        <f aca="false">B25&amp;"|"&amp;C25&amp;"|"&amp;D25</f>
        <v>_Military Lesotho [#Military] [dDOqoFnD5Be]|35-39|Female</v>
      </c>
      <c r="F25" s="73"/>
      <c r="G25" s="118" t="str">
        <f aca="false">IF(SUM($F25)&lt;=0,"",0%)</f>
        <v/>
      </c>
      <c r="H25" s="75" t="str">
        <f aca="false">IF(SUM($F25)&lt;=0,"",ROUND($F25*(1+$G25),0))</f>
        <v/>
      </c>
    </row>
    <row r="26" customFormat="false" ht="15" hidden="false" customHeight="false" outlineLevel="0" collapsed="false">
      <c r="A26" s="0" t="s">
        <v>140</v>
      </c>
      <c r="B26" s="0" t="s">
        <v>141</v>
      </c>
      <c r="C26" s="0" t="s">
        <v>75</v>
      </c>
      <c r="D26" s="0" t="s">
        <v>58</v>
      </c>
      <c r="E26" s="0" t="str">
        <f aca="false">B26&amp;"|"&amp;C26&amp;"|"&amp;D26</f>
        <v>_Military Lesotho [#Military] [dDOqoFnD5Be]|35-39|Male</v>
      </c>
      <c r="F26" s="73"/>
      <c r="G26" s="118" t="str">
        <f aca="false">IF(SUM($F26)&lt;=0,"",0%)</f>
        <v/>
      </c>
      <c r="H26" s="75" t="str">
        <f aca="false">IF(SUM($F26)&lt;=0,"",ROUND($F26*(1+$G26),0))</f>
        <v/>
      </c>
    </row>
    <row r="27" customFormat="false" ht="15" hidden="false" customHeight="false" outlineLevel="0" collapsed="false">
      <c r="A27" s="0" t="s">
        <v>140</v>
      </c>
      <c r="B27" s="0" t="s">
        <v>141</v>
      </c>
      <c r="C27" s="0" t="s">
        <v>77</v>
      </c>
      <c r="D27" s="0" t="s">
        <v>56</v>
      </c>
      <c r="E27" s="0" t="str">
        <f aca="false">B27&amp;"|"&amp;C27&amp;"|"&amp;D27</f>
        <v>_Military Lesotho [#Military] [dDOqoFnD5Be]|40-44|Female</v>
      </c>
      <c r="F27" s="73"/>
      <c r="G27" s="118" t="str">
        <f aca="false">IF(SUM($F27)&lt;=0,"",0%)</f>
        <v/>
      </c>
      <c r="H27" s="75" t="str">
        <f aca="false">IF(SUM($F27)&lt;=0,"",ROUND($F27*(1+$G27),0))</f>
        <v/>
      </c>
    </row>
    <row r="28" customFormat="false" ht="15" hidden="false" customHeight="false" outlineLevel="0" collapsed="false">
      <c r="A28" s="0" t="s">
        <v>140</v>
      </c>
      <c r="B28" s="0" t="s">
        <v>141</v>
      </c>
      <c r="C28" s="0" t="s">
        <v>77</v>
      </c>
      <c r="D28" s="0" t="s">
        <v>58</v>
      </c>
      <c r="E28" s="0" t="str">
        <f aca="false">B28&amp;"|"&amp;C28&amp;"|"&amp;D28</f>
        <v>_Military Lesotho [#Military] [dDOqoFnD5Be]|40-44|Male</v>
      </c>
      <c r="F28" s="73"/>
      <c r="G28" s="118" t="str">
        <f aca="false">IF(SUM($F28)&lt;=0,"",0%)</f>
        <v/>
      </c>
      <c r="H28" s="75" t="str">
        <f aca="false">IF(SUM($F28)&lt;=0,"",ROUND($F28*(1+$G28),0))</f>
        <v/>
      </c>
    </row>
    <row r="29" customFormat="false" ht="15" hidden="false" customHeight="false" outlineLevel="0" collapsed="false">
      <c r="A29" s="0" t="s">
        <v>140</v>
      </c>
      <c r="B29" s="0" t="s">
        <v>141</v>
      </c>
      <c r="C29" s="0" t="s">
        <v>80</v>
      </c>
      <c r="D29" s="0" t="s">
        <v>56</v>
      </c>
      <c r="E29" s="0" t="str">
        <f aca="false">B29&amp;"|"&amp;C29&amp;"|"&amp;D29</f>
        <v>_Military Lesotho [#Military] [dDOqoFnD5Be]|45-49|Female</v>
      </c>
      <c r="F29" s="73"/>
      <c r="G29" s="118" t="str">
        <f aca="false">IF(SUM($F29)&lt;=0,"",0%)</f>
        <v/>
      </c>
      <c r="H29" s="75" t="str">
        <f aca="false">IF(SUM($F29)&lt;=0,"",ROUND($F29*(1+$G29),0))</f>
        <v/>
      </c>
    </row>
    <row r="30" customFormat="false" ht="15" hidden="false" customHeight="false" outlineLevel="0" collapsed="false">
      <c r="A30" s="0" t="s">
        <v>140</v>
      </c>
      <c r="B30" s="0" t="s">
        <v>141</v>
      </c>
      <c r="C30" s="0" t="s">
        <v>80</v>
      </c>
      <c r="D30" s="0" t="s">
        <v>58</v>
      </c>
      <c r="E30" s="0" t="str">
        <f aca="false">B30&amp;"|"&amp;C30&amp;"|"&amp;D30</f>
        <v>_Military Lesotho [#Military] [dDOqoFnD5Be]|45-49|Male</v>
      </c>
      <c r="F30" s="73"/>
      <c r="G30" s="118" t="str">
        <f aca="false">IF(SUM($F30)&lt;=0,"",0%)</f>
        <v/>
      </c>
      <c r="H30" s="75" t="str">
        <f aca="false">IF(SUM($F30)&lt;=0,"",ROUND($F30*(1+$G30),0))</f>
        <v/>
      </c>
    </row>
    <row r="31" customFormat="false" ht="15" hidden="false" customHeight="false" outlineLevel="0" collapsed="false">
      <c r="A31" s="0" t="s">
        <v>140</v>
      </c>
      <c r="B31" s="0" t="s">
        <v>141</v>
      </c>
      <c r="C31" s="0" t="s">
        <v>86</v>
      </c>
      <c r="D31" s="0" t="s">
        <v>56</v>
      </c>
      <c r="E31" s="0" t="str">
        <f aca="false">B31&amp;"|"&amp;C31&amp;"|"&amp;D31</f>
        <v>_Military Lesotho [#Military] [dDOqoFnD5Be]|50+|Female</v>
      </c>
      <c r="F31" s="73"/>
      <c r="G31" s="118" t="str">
        <f aca="false">IF(SUM($F31)&lt;=0,"",0%)</f>
        <v/>
      </c>
      <c r="H31" s="75" t="str">
        <f aca="false">IF(SUM($F31)&lt;=0,"",ROUND($F31*(1+$G31),0))</f>
        <v/>
      </c>
    </row>
    <row r="32" customFormat="false" ht="15" hidden="false" customHeight="false" outlineLevel="0" collapsed="false">
      <c r="A32" s="0" t="s">
        <v>140</v>
      </c>
      <c r="B32" s="0" t="s">
        <v>141</v>
      </c>
      <c r="C32" s="0" t="s">
        <v>86</v>
      </c>
      <c r="D32" s="0" t="s">
        <v>58</v>
      </c>
      <c r="E32" s="0" t="str">
        <f aca="false">B32&amp;"|"&amp;C32&amp;"|"&amp;D32</f>
        <v>_Military Lesotho [#Military] [dDOqoFnD5Be]|50+|Male</v>
      </c>
      <c r="F32" s="73"/>
      <c r="G32" s="118" t="str">
        <f aca="false">IF(SUM($F32)&lt;=0,"",0%)</f>
        <v/>
      </c>
      <c r="H32" s="75" t="str">
        <f aca="false">IF(SUM($F32)&lt;=0,"",ROUND($F32*(1+$G32),0))</f>
        <v/>
      </c>
    </row>
    <row r="33" customFormat="false" ht="15" hidden="false" customHeight="false" outlineLevel="0" collapsed="false">
      <c r="A33" s="0" t="s">
        <v>142</v>
      </c>
      <c r="B33" s="0" t="s">
        <v>109</v>
      </c>
      <c r="C33" s="0" t="s">
        <v>61</v>
      </c>
      <c r="D33" s="0" t="s">
        <v>56</v>
      </c>
      <c r="E33" s="0" t="str">
        <f aca="false">B33&amp;"|"&amp;C33&amp;"|"&amp;D33</f>
        <v>Berea [#SNU] [#DREAMS] [wpg5evyl1OL]|10-14|Female</v>
      </c>
      <c r="F33" s="73" t="n">
        <v>17</v>
      </c>
      <c r="G33" s="118" t="n">
        <f aca="false">IF(SUM($F33)&lt;=0,"",0%)</f>
        <v>0</v>
      </c>
      <c r="H33" s="75" t="n">
        <f aca="false">IF(SUM($F33)&lt;=0,"",ROUND($F33*(1+$G33),0))</f>
        <v>17</v>
      </c>
    </row>
    <row r="34" customFormat="false" ht="15" hidden="false" customHeight="false" outlineLevel="0" collapsed="false">
      <c r="A34" s="0" t="s">
        <v>142</v>
      </c>
      <c r="B34" s="0" t="s">
        <v>109</v>
      </c>
      <c r="C34" s="0" t="s">
        <v>61</v>
      </c>
      <c r="D34" s="0" t="s">
        <v>58</v>
      </c>
      <c r="E34" s="0" t="str">
        <f aca="false">B34&amp;"|"&amp;C34&amp;"|"&amp;D34</f>
        <v>Berea [#SNU] [#DREAMS] [wpg5evyl1OL]|10-14|Male</v>
      </c>
      <c r="F34" s="73" t="n">
        <v>5</v>
      </c>
      <c r="G34" s="118" t="n">
        <f aca="false">IF(SUM($F34)&lt;=0,"",0%)</f>
        <v>0</v>
      </c>
      <c r="H34" s="75" t="n">
        <f aca="false">IF(SUM($F34)&lt;=0,"",ROUND($F34*(1+$G34),0))</f>
        <v>5</v>
      </c>
    </row>
    <row r="35" customFormat="false" ht="15" hidden="false" customHeight="false" outlineLevel="0" collapsed="false">
      <c r="A35" s="0" t="s">
        <v>142</v>
      </c>
      <c r="B35" s="0" t="s">
        <v>109</v>
      </c>
      <c r="C35" s="0" t="s">
        <v>63</v>
      </c>
      <c r="D35" s="0" t="s">
        <v>56</v>
      </c>
      <c r="E35" s="0" t="str">
        <f aca="false">B35&amp;"|"&amp;C35&amp;"|"&amp;D35</f>
        <v>Berea [#SNU] [#DREAMS] [wpg5evyl1OL]|15-19|Female</v>
      </c>
      <c r="F35" s="73" t="n">
        <v>17</v>
      </c>
      <c r="G35" s="118" t="n">
        <f aca="false">IF(SUM($F35)&lt;=0,"",0%)</f>
        <v>0</v>
      </c>
      <c r="H35" s="75" t="n">
        <f aca="false">IF(SUM($F35)&lt;=0,"",ROUND($F35*(1+$G35),0))</f>
        <v>17</v>
      </c>
    </row>
    <row r="36" customFormat="false" ht="15" hidden="false" customHeight="false" outlineLevel="0" collapsed="false">
      <c r="A36" s="0" t="s">
        <v>142</v>
      </c>
      <c r="B36" s="0" t="s">
        <v>109</v>
      </c>
      <c r="C36" s="0" t="s">
        <v>63</v>
      </c>
      <c r="D36" s="0" t="s">
        <v>58</v>
      </c>
      <c r="E36" s="0" t="str">
        <f aca="false">B36&amp;"|"&amp;C36&amp;"|"&amp;D36</f>
        <v>Berea [#SNU] [#DREAMS] [wpg5evyl1OL]|15-19|Male</v>
      </c>
      <c r="F36" s="73" t="n">
        <v>23</v>
      </c>
      <c r="G36" s="118" t="n">
        <f aca="false">IF(SUM($F36)&lt;=0,"",0%)</f>
        <v>0</v>
      </c>
      <c r="H36" s="75" t="n">
        <f aca="false">IF(SUM($F36)&lt;=0,"",ROUND($F36*(1+$G36),0))</f>
        <v>23</v>
      </c>
    </row>
    <row r="37" customFormat="false" ht="15" hidden="false" customHeight="false" outlineLevel="0" collapsed="false">
      <c r="A37" s="0" t="s">
        <v>142</v>
      </c>
      <c r="B37" s="0" t="s">
        <v>109</v>
      </c>
      <c r="C37" s="0" t="s">
        <v>66</v>
      </c>
      <c r="D37" s="0" t="s">
        <v>56</v>
      </c>
      <c r="E37" s="0" t="str">
        <f aca="false">B37&amp;"|"&amp;C37&amp;"|"&amp;D37</f>
        <v>Berea [#SNU] [#DREAMS] [wpg5evyl1OL]|20-24|Female</v>
      </c>
      <c r="F37" s="73" t="n">
        <v>38</v>
      </c>
      <c r="G37" s="118" t="n">
        <f aca="false">IF(SUM($F37)&lt;=0,"",0%)</f>
        <v>0</v>
      </c>
      <c r="H37" s="75" t="n">
        <f aca="false">IF(SUM($F37)&lt;=0,"",ROUND($F37*(1+$G37),0))</f>
        <v>38</v>
      </c>
    </row>
    <row r="38" customFormat="false" ht="15" hidden="false" customHeight="false" outlineLevel="0" collapsed="false">
      <c r="A38" s="0" t="s">
        <v>142</v>
      </c>
      <c r="B38" s="0" t="s">
        <v>109</v>
      </c>
      <c r="C38" s="0" t="s">
        <v>66</v>
      </c>
      <c r="D38" s="0" t="s">
        <v>58</v>
      </c>
      <c r="E38" s="0" t="str">
        <f aca="false">B38&amp;"|"&amp;C38&amp;"|"&amp;D38</f>
        <v>Berea [#SNU] [#DREAMS] [wpg5evyl1OL]|20-24|Male</v>
      </c>
      <c r="F38" s="73" t="n">
        <v>7</v>
      </c>
      <c r="G38" s="118" t="n">
        <f aca="false">IF(SUM($F38)&lt;=0,"",0%)</f>
        <v>0</v>
      </c>
      <c r="H38" s="75" t="n">
        <f aca="false">IF(SUM($F38)&lt;=0,"",ROUND($F38*(1+$G38),0))</f>
        <v>7</v>
      </c>
    </row>
    <row r="39" customFormat="false" ht="15" hidden="false" customHeight="false" outlineLevel="0" collapsed="false">
      <c r="A39" s="0" t="s">
        <v>142</v>
      </c>
      <c r="B39" s="0" t="s">
        <v>109</v>
      </c>
      <c r="C39" s="0" t="s">
        <v>69</v>
      </c>
      <c r="D39" s="0" t="s">
        <v>56</v>
      </c>
      <c r="E39" s="0" t="str">
        <f aca="false">B39&amp;"|"&amp;C39&amp;"|"&amp;D39</f>
        <v>Berea [#SNU] [#DREAMS] [wpg5evyl1OL]|25-29|Female</v>
      </c>
      <c r="F39" s="73" t="n">
        <v>33</v>
      </c>
      <c r="G39" s="118" t="n">
        <f aca="false">IF(SUM($F39)&lt;=0,"",0%)</f>
        <v>0</v>
      </c>
      <c r="H39" s="75" t="n">
        <f aca="false">IF(SUM($F39)&lt;=0,"",ROUND($F39*(1+$G39),0))</f>
        <v>33</v>
      </c>
    </row>
    <row r="40" customFormat="false" ht="15" hidden="false" customHeight="false" outlineLevel="0" collapsed="false">
      <c r="A40" s="0" t="s">
        <v>142</v>
      </c>
      <c r="B40" s="0" t="s">
        <v>109</v>
      </c>
      <c r="C40" s="0" t="s">
        <v>69</v>
      </c>
      <c r="D40" s="0" t="s">
        <v>58</v>
      </c>
      <c r="E40" s="0" t="str">
        <f aca="false">B40&amp;"|"&amp;C40&amp;"|"&amp;D40</f>
        <v>Berea [#SNU] [#DREAMS] [wpg5evyl1OL]|25-29|Male</v>
      </c>
      <c r="F40" s="73" t="n">
        <v>32</v>
      </c>
      <c r="G40" s="118" t="n">
        <f aca="false">IF(SUM($F40)&lt;=0,"",0%)</f>
        <v>0</v>
      </c>
      <c r="H40" s="75" t="n">
        <f aca="false">IF(SUM($F40)&lt;=0,"",ROUND($F40*(1+$G40),0))</f>
        <v>32</v>
      </c>
    </row>
    <row r="41" customFormat="false" ht="15" hidden="false" customHeight="false" outlineLevel="0" collapsed="false">
      <c r="A41" s="0" t="s">
        <v>142</v>
      </c>
      <c r="B41" s="0" t="s">
        <v>109</v>
      </c>
      <c r="C41" s="0" t="s">
        <v>72</v>
      </c>
      <c r="D41" s="0" t="s">
        <v>56</v>
      </c>
      <c r="E41" s="0" t="str">
        <f aca="false">B41&amp;"|"&amp;C41&amp;"|"&amp;D41</f>
        <v>Berea [#SNU] [#DREAMS] [wpg5evyl1OL]|30-34|Female</v>
      </c>
      <c r="F41" s="73" t="n">
        <v>27</v>
      </c>
      <c r="G41" s="118" t="n">
        <f aca="false">IF(SUM($F41)&lt;=0,"",0%)</f>
        <v>0</v>
      </c>
      <c r="H41" s="75" t="n">
        <f aca="false">IF(SUM($F41)&lt;=0,"",ROUND($F41*(1+$G41),0))</f>
        <v>27</v>
      </c>
    </row>
    <row r="42" customFormat="false" ht="15" hidden="false" customHeight="false" outlineLevel="0" collapsed="false">
      <c r="A42" s="0" t="s">
        <v>142</v>
      </c>
      <c r="B42" s="0" t="s">
        <v>109</v>
      </c>
      <c r="C42" s="0" t="s">
        <v>72</v>
      </c>
      <c r="D42" s="0" t="s">
        <v>58</v>
      </c>
      <c r="E42" s="0" t="str">
        <f aca="false">B42&amp;"|"&amp;C42&amp;"|"&amp;D42</f>
        <v>Berea [#SNU] [#DREAMS] [wpg5evyl1OL]|30-34|Male</v>
      </c>
      <c r="F42" s="73" t="n">
        <v>45</v>
      </c>
      <c r="G42" s="118" t="n">
        <f aca="false">IF(SUM($F42)&lt;=0,"",0%)</f>
        <v>0</v>
      </c>
      <c r="H42" s="75" t="n">
        <f aca="false">IF(SUM($F42)&lt;=0,"",ROUND($F42*(1+$G42),0))</f>
        <v>45</v>
      </c>
    </row>
    <row r="43" customFormat="false" ht="15" hidden="false" customHeight="false" outlineLevel="0" collapsed="false">
      <c r="A43" s="0" t="s">
        <v>142</v>
      </c>
      <c r="B43" s="0" t="s">
        <v>109</v>
      </c>
      <c r="C43" s="0" t="s">
        <v>75</v>
      </c>
      <c r="D43" s="0" t="s">
        <v>56</v>
      </c>
      <c r="E43" s="0" t="str">
        <f aca="false">B43&amp;"|"&amp;C43&amp;"|"&amp;D43</f>
        <v>Berea [#SNU] [#DREAMS] [wpg5evyl1OL]|35-39|Female</v>
      </c>
      <c r="F43" s="73" t="n">
        <v>45</v>
      </c>
      <c r="G43" s="118" t="n">
        <f aca="false">IF(SUM($F43)&lt;=0,"",0%)</f>
        <v>0</v>
      </c>
      <c r="H43" s="75" t="n">
        <f aca="false">IF(SUM($F43)&lt;=0,"",ROUND($F43*(1+$G43),0))</f>
        <v>45</v>
      </c>
    </row>
    <row r="44" customFormat="false" ht="15" hidden="false" customHeight="false" outlineLevel="0" collapsed="false">
      <c r="A44" s="0" t="s">
        <v>142</v>
      </c>
      <c r="B44" s="0" t="s">
        <v>109</v>
      </c>
      <c r="C44" s="0" t="s">
        <v>75</v>
      </c>
      <c r="D44" s="0" t="s">
        <v>58</v>
      </c>
      <c r="E44" s="0" t="str">
        <f aca="false">B44&amp;"|"&amp;C44&amp;"|"&amp;D44</f>
        <v>Berea [#SNU] [#DREAMS] [wpg5evyl1OL]|35-39|Male</v>
      </c>
      <c r="F44" s="73" t="n">
        <v>12</v>
      </c>
      <c r="G44" s="118" t="n">
        <f aca="false">IF(SUM($F44)&lt;=0,"",0%)</f>
        <v>0</v>
      </c>
      <c r="H44" s="75" t="n">
        <f aca="false">IF(SUM($F44)&lt;=0,"",ROUND($F44*(1+$G44),0))</f>
        <v>12</v>
      </c>
    </row>
    <row r="45" customFormat="false" ht="15" hidden="false" customHeight="false" outlineLevel="0" collapsed="false">
      <c r="A45" s="0" t="s">
        <v>142</v>
      </c>
      <c r="B45" s="0" t="s">
        <v>109</v>
      </c>
      <c r="C45" s="0" t="s">
        <v>77</v>
      </c>
      <c r="D45" s="0" t="s">
        <v>56</v>
      </c>
      <c r="E45" s="0" t="str">
        <f aca="false">B45&amp;"|"&amp;C45&amp;"|"&amp;D45</f>
        <v>Berea [#SNU] [#DREAMS] [wpg5evyl1OL]|40-44|Female</v>
      </c>
      <c r="F45" s="73" t="n">
        <v>24</v>
      </c>
      <c r="G45" s="118" t="n">
        <f aca="false">IF(SUM($F45)&lt;=0,"",0%)</f>
        <v>0</v>
      </c>
      <c r="H45" s="75" t="n">
        <f aca="false">IF(SUM($F45)&lt;=0,"",ROUND($F45*(1+$G45),0))</f>
        <v>24</v>
      </c>
    </row>
    <row r="46" customFormat="false" ht="15" hidden="false" customHeight="false" outlineLevel="0" collapsed="false">
      <c r="A46" s="0" t="s">
        <v>142</v>
      </c>
      <c r="B46" s="0" t="s">
        <v>109</v>
      </c>
      <c r="C46" s="0" t="s">
        <v>77</v>
      </c>
      <c r="D46" s="0" t="s">
        <v>58</v>
      </c>
      <c r="E46" s="0" t="str">
        <f aca="false">B46&amp;"|"&amp;C46&amp;"|"&amp;D46</f>
        <v>Berea [#SNU] [#DREAMS] [wpg5evyl1OL]|40-44|Male</v>
      </c>
      <c r="F46" s="73" t="n">
        <v>48</v>
      </c>
      <c r="G46" s="118" t="n">
        <f aca="false">IF(SUM($F46)&lt;=0,"",0%)</f>
        <v>0</v>
      </c>
      <c r="H46" s="75" t="n">
        <f aca="false">IF(SUM($F46)&lt;=0,"",ROUND($F46*(1+$G46),0))</f>
        <v>48</v>
      </c>
    </row>
    <row r="47" customFormat="false" ht="15" hidden="false" customHeight="false" outlineLevel="0" collapsed="false">
      <c r="A47" s="0" t="s">
        <v>142</v>
      </c>
      <c r="B47" s="0" t="s">
        <v>109</v>
      </c>
      <c r="C47" s="0" t="s">
        <v>80</v>
      </c>
      <c r="D47" s="0" t="s">
        <v>56</v>
      </c>
      <c r="E47" s="0" t="str">
        <f aca="false">B47&amp;"|"&amp;C47&amp;"|"&amp;D47</f>
        <v>Berea [#SNU] [#DREAMS] [wpg5evyl1OL]|45-49|Female</v>
      </c>
      <c r="F47" s="73" t="n">
        <v>15</v>
      </c>
      <c r="G47" s="118" t="n">
        <f aca="false">IF(SUM($F47)&lt;=0,"",0%)</f>
        <v>0</v>
      </c>
      <c r="H47" s="75" t="n">
        <f aca="false">IF(SUM($F47)&lt;=0,"",ROUND($F47*(1+$G47),0))</f>
        <v>15</v>
      </c>
    </row>
    <row r="48" customFormat="false" ht="15" hidden="false" customHeight="false" outlineLevel="0" collapsed="false">
      <c r="A48" s="0" t="s">
        <v>142</v>
      </c>
      <c r="B48" s="0" t="s">
        <v>109</v>
      </c>
      <c r="C48" s="0" t="s">
        <v>80</v>
      </c>
      <c r="D48" s="0" t="s">
        <v>58</v>
      </c>
      <c r="E48" s="0" t="str">
        <f aca="false">B48&amp;"|"&amp;C48&amp;"|"&amp;D48</f>
        <v>Berea [#SNU] [#DREAMS] [wpg5evyl1OL]|45-49|Male</v>
      </c>
      <c r="F48" s="73" t="n">
        <v>23</v>
      </c>
      <c r="G48" s="118" t="n">
        <f aca="false">IF(SUM($F48)&lt;=0,"",0%)</f>
        <v>0</v>
      </c>
      <c r="H48" s="75" t="n">
        <f aca="false">IF(SUM($F48)&lt;=0,"",ROUND($F48*(1+$G48),0))</f>
        <v>23</v>
      </c>
    </row>
    <row r="49" customFormat="false" ht="15" hidden="false" customHeight="false" outlineLevel="0" collapsed="false">
      <c r="A49" s="0" t="s">
        <v>142</v>
      </c>
      <c r="B49" s="0" t="s">
        <v>109</v>
      </c>
      <c r="C49" s="0" t="s">
        <v>86</v>
      </c>
      <c r="D49" s="0" t="s">
        <v>56</v>
      </c>
      <c r="E49" s="0" t="str">
        <f aca="false">B49&amp;"|"&amp;C49&amp;"|"&amp;D49</f>
        <v>Berea [#SNU] [#DREAMS] [wpg5evyl1OL]|50+|Female</v>
      </c>
      <c r="F49" s="73" t="n">
        <v>32</v>
      </c>
      <c r="G49" s="118" t="n">
        <f aca="false">IF(SUM($F49)&lt;=0,"",0%)</f>
        <v>0</v>
      </c>
      <c r="H49" s="75" t="n">
        <f aca="false">IF(SUM($F49)&lt;=0,"",ROUND($F49*(1+$G49),0))</f>
        <v>32</v>
      </c>
    </row>
    <row r="50" customFormat="false" ht="15" hidden="false" customHeight="false" outlineLevel="0" collapsed="false">
      <c r="A50" s="0" t="s">
        <v>142</v>
      </c>
      <c r="B50" s="0" t="s">
        <v>109</v>
      </c>
      <c r="C50" s="0" t="s">
        <v>86</v>
      </c>
      <c r="D50" s="0" t="s">
        <v>58</v>
      </c>
      <c r="E50" s="0" t="str">
        <f aca="false">B50&amp;"|"&amp;C50&amp;"|"&amp;D50</f>
        <v>Berea [#SNU] [#DREAMS] [wpg5evyl1OL]|50+|Male</v>
      </c>
      <c r="F50" s="73" t="n">
        <v>19</v>
      </c>
      <c r="G50" s="118" t="n">
        <f aca="false">IF(SUM($F50)&lt;=0,"",0%)</f>
        <v>0</v>
      </c>
      <c r="H50" s="75" t="n">
        <f aca="false">IF(SUM($F50)&lt;=0,"",ROUND($F50*(1+$G50),0))</f>
        <v>19</v>
      </c>
    </row>
    <row r="51" customFormat="false" ht="15" hidden="false" customHeight="false" outlineLevel="0" collapsed="false">
      <c r="A51" s="0" t="s">
        <v>143</v>
      </c>
      <c r="B51" s="0" t="s">
        <v>115</v>
      </c>
      <c r="C51" s="0" t="s">
        <v>61</v>
      </c>
      <c r="D51" s="0" t="s">
        <v>56</v>
      </c>
      <c r="E51" s="0" t="str">
        <f aca="false">B51&amp;"|"&amp;C51&amp;"|"&amp;D51</f>
        <v>Butha Buthe [#SNU] [mvPRqBFtVC0]|10-14|Female</v>
      </c>
      <c r="F51" s="73" t="n">
        <v>34</v>
      </c>
      <c r="G51" s="118" t="n">
        <f aca="false">IF(SUM($F51)&lt;=0,"",0%)</f>
        <v>0</v>
      </c>
      <c r="H51" s="75" t="n">
        <f aca="false">IF(SUM($F51)&lt;=0,"",ROUND($F51*(1+$G51),0))</f>
        <v>34</v>
      </c>
    </row>
    <row r="52" customFormat="false" ht="15" hidden="false" customHeight="false" outlineLevel="0" collapsed="false">
      <c r="A52" s="0" t="s">
        <v>143</v>
      </c>
      <c r="B52" s="0" t="s">
        <v>115</v>
      </c>
      <c r="C52" s="0" t="s">
        <v>61</v>
      </c>
      <c r="D52" s="0" t="s">
        <v>58</v>
      </c>
      <c r="E52" s="0" t="str">
        <f aca="false">B52&amp;"|"&amp;C52&amp;"|"&amp;D52</f>
        <v>Butha Buthe [#SNU] [mvPRqBFtVC0]|10-14|Male</v>
      </c>
      <c r="F52" s="73" t="n">
        <v>23</v>
      </c>
      <c r="G52" s="118" t="n">
        <f aca="false">IF(SUM($F52)&lt;=0,"",0%)</f>
        <v>0</v>
      </c>
      <c r="H52" s="75" t="n">
        <f aca="false">IF(SUM($F52)&lt;=0,"",ROUND($F52*(1+$G52),0))</f>
        <v>23</v>
      </c>
    </row>
    <row r="53" customFormat="false" ht="15" hidden="false" customHeight="false" outlineLevel="0" collapsed="false">
      <c r="A53" s="0" t="s">
        <v>143</v>
      </c>
      <c r="B53" s="0" t="s">
        <v>115</v>
      </c>
      <c r="C53" s="0" t="s">
        <v>63</v>
      </c>
      <c r="D53" s="0" t="s">
        <v>56</v>
      </c>
      <c r="E53" s="0" t="str">
        <f aca="false">B53&amp;"|"&amp;C53&amp;"|"&amp;D53</f>
        <v>Butha Buthe [#SNU] [mvPRqBFtVC0]|15-19|Female</v>
      </c>
      <c r="F53" s="73" t="n">
        <v>18</v>
      </c>
      <c r="G53" s="118" t="n">
        <f aca="false">IF(SUM($F53)&lt;=0,"",0%)</f>
        <v>0</v>
      </c>
      <c r="H53" s="75" t="n">
        <f aca="false">IF(SUM($F53)&lt;=0,"",ROUND($F53*(1+$G53),0))</f>
        <v>18</v>
      </c>
    </row>
    <row r="54" customFormat="false" ht="15" hidden="false" customHeight="false" outlineLevel="0" collapsed="false">
      <c r="A54" s="0" t="s">
        <v>143</v>
      </c>
      <c r="B54" s="0" t="s">
        <v>115</v>
      </c>
      <c r="C54" s="0" t="s">
        <v>63</v>
      </c>
      <c r="D54" s="0" t="s">
        <v>58</v>
      </c>
      <c r="E54" s="0" t="str">
        <f aca="false">B54&amp;"|"&amp;C54&amp;"|"&amp;D54</f>
        <v>Butha Buthe [#SNU] [mvPRqBFtVC0]|15-19|Male</v>
      </c>
      <c r="F54" s="73" t="n">
        <v>13</v>
      </c>
      <c r="G54" s="118" t="n">
        <f aca="false">IF(SUM($F54)&lt;=0,"",0%)</f>
        <v>0</v>
      </c>
      <c r="H54" s="75" t="n">
        <f aca="false">IF(SUM($F54)&lt;=0,"",ROUND($F54*(1+$G54),0))</f>
        <v>13</v>
      </c>
    </row>
    <row r="55" customFormat="false" ht="15" hidden="false" customHeight="false" outlineLevel="0" collapsed="false">
      <c r="A55" s="0" t="s">
        <v>143</v>
      </c>
      <c r="B55" s="0" t="s">
        <v>115</v>
      </c>
      <c r="C55" s="0" t="s">
        <v>66</v>
      </c>
      <c r="D55" s="0" t="s">
        <v>56</v>
      </c>
      <c r="E55" s="0" t="str">
        <f aca="false">B55&amp;"|"&amp;C55&amp;"|"&amp;D55</f>
        <v>Butha Buthe [#SNU] [mvPRqBFtVC0]|20-24|Female</v>
      </c>
      <c r="F55" s="73" t="n">
        <v>13</v>
      </c>
      <c r="G55" s="118" t="n">
        <f aca="false">IF(SUM($F55)&lt;=0,"",0%)</f>
        <v>0</v>
      </c>
      <c r="H55" s="75" t="n">
        <f aca="false">IF(SUM($F55)&lt;=0,"",ROUND($F55*(1+$G55),0))</f>
        <v>13</v>
      </c>
    </row>
    <row r="56" customFormat="false" ht="15" hidden="false" customHeight="false" outlineLevel="0" collapsed="false">
      <c r="A56" s="0" t="s">
        <v>143</v>
      </c>
      <c r="B56" s="0" t="s">
        <v>115</v>
      </c>
      <c r="C56" s="0" t="s">
        <v>66</v>
      </c>
      <c r="D56" s="0" t="s">
        <v>58</v>
      </c>
      <c r="E56" s="0" t="str">
        <f aca="false">B56&amp;"|"&amp;C56&amp;"|"&amp;D56</f>
        <v>Butha Buthe [#SNU] [mvPRqBFtVC0]|20-24|Male</v>
      </c>
      <c r="F56" s="73" t="n">
        <v>33</v>
      </c>
      <c r="G56" s="118" t="n">
        <f aca="false">IF(SUM($F56)&lt;=0,"",0%)</f>
        <v>0</v>
      </c>
      <c r="H56" s="75" t="n">
        <f aca="false">IF(SUM($F56)&lt;=0,"",ROUND($F56*(1+$G56),0))</f>
        <v>33</v>
      </c>
    </row>
    <row r="57" customFormat="false" ht="15" hidden="false" customHeight="false" outlineLevel="0" collapsed="false">
      <c r="A57" s="0" t="s">
        <v>143</v>
      </c>
      <c r="B57" s="0" t="s">
        <v>115</v>
      </c>
      <c r="C57" s="0" t="s">
        <v>69</v>
      </c>
      <c r="D57" s="0" t="s">
        <v>56</v>
      </c>
      <c r="E57" s="0" t="str">
        <f aca="false">B57&amp;"|"&amp;C57&amp;"|"&amp;D57</f>
        <v>Butha Buthe [#SNU] [mvPRqBFtVC0]|25-29|Female</v>
      </c>
      <c r="F57" s="73" t="n">
        <v>15</v>
      </c>
      <c r="G57" s="118" t="n">
        <f aca="false">IF(SUM($F57)&lt;=0,"",0%)</f>
        <v>0</v>
      </c>
      <c r="H57" s="75" t="n">
        <f aca="false">IF(SUM($F57)&lt;=0,"",ROUND($F57*(1+$G57),0))</f>
        <v>15</v>
      </c>
    </row>
    <row r="58" customFormat="false" ht="15" hidden="false" customHeight="false" outlineLevel="0" collapsed="false">
      <c r="A58" s="0" t="s">
        <v>143</v>
      </c>
      <c r="B58" s="0" t="s">
        <v>115</v>
      </c>
      <c r="C58" s="0" t="s">
        <v>69</v>
      </c>
      <c r="D58" s="0" t="s">
        <v>58</v>
      </c>
      <c r="E58" s="0" t="str">
        <f aca="false">B58&amp;"|"&amp;C58&amp;"|"&amp;D58</f>
        <v>Butha Buthe [#SNU] [mvPRqBFtVC0]|25-29|Male</v>
      </c>
      <c r="F58" s="73" t="n">
        <v>7</v>
      </c>
      <c r="G58" s="118" t="n">
        <f aca="false">IF(SUM($F58)&lt;=0,"",0%)</f>
        <v>0</v>
      </c>
      <c r="H58" s="75" t="n">
        <f aca="false">IF(SUM($F58)&lt;=0,"",ROUND($F58*(1+$G58),0))</f>
        <v>7</v>
      </c>
    </row>
    <row r="59" customFormat="false" ht="15" hidden="false" customHeight="false" outlineLevel="0" collapsed="false">
      <c r="A59" s="0" t="s">
        <v>143</v>
      </c>
      <c r="B59" s="0" t="s">
        <v>115</v>
      </c>
      <c r="C59" s="0" t="s">
        <v>72</v>
      </c>
      <c r="D59" s="0" t="s">
        <v>56</v>
      </c>
      <c r="E59" s="0" t="str">
        <f aca="false">B59&amp;"|"&amp;C59&amp;"|"&amp;D59</f>
        <v>Butha Buthe [#SNU] [mvPRqBFtVC0]|30-34|Female</v>
      </c>
      <c r="F59" s="73" t="n">
        <v>9</v>
      </c>
      <c r="G59" s="118" t="n">
        <f aca="false">IF(SUM($F59)&lt;=0,"",0%)</f>
        <v>0</v>
      </c>
      <c r="H59" s="75" t="n">
        <f aca="false">IF(SUM($F59)&lt;=0,"",ROUND($F59*(1+$G59),0))</f>
        <v>9</v>
      </c>
    </row>
    <row r="60" customFormat="false" ht="15" hidden="false" customHeight="false" outlineLevel="0" collapsed="false">
      <c r="A60" s="0" t="s">
        <v>143</v>
      </c>
      <c r="B60" s="0" t="s">
        <v>115</v>
      </c>
      <c r="C60" s="0" t="s">
        <v>72</v>
      </c>
      <c r="D60" s="0" t="s">
        <v>58</v>
      </c>
      <c r="E60" s="0" t="str">
        <f aca="false">B60&amp;"|"&amp;C60&amp;"|"&amp;D60</f>
        <v>Butha Buthe [#SNU] [mvPRqBFtVC0]|30-34|Male</v>
      </c>
      <c r="F60" s="73" t="n">
        <v>18</v>
      </c>
      <c r="G60" s="118" t="n">
        <f aca="false">IF(SUM($F60)&lt;=0,"",0%)</f>
        <v>0</v>
      </c>
      <c r="H60" s="75" t="n">
        <f aca="false">IF(SUM($F60)&lt;=0,"",ROUND($F60*(1+$G60),0))</f>
        <v>18</v>
      </c>
    </row>
    <row r="61" customFormat="false" ht="15" hidden="false" customHeight="false" outlineLevel="0" collapsed="false">
      <c r="A61" s="0" t="s">
        <v>143</v>
      </c>
      <c r="B61" s="0" t="s">
        <v>115</v>
      </c>
      <c r="C61" s="0" t="s">
        <v>75</v>
      </c>
      <c r="D61" s="0" t="s">
        <v>56</v>
      </c>
      <c r="E61" s="0" t="str">
        <f aca="false">B61&amp;"|"&amp;C61&amp;"|"&amp;D61</f>
        <v>Butha Buthe [#SNU] [mvPRqBFtVC0]|35-39|Female</v>
      </c>
      <c r="F61" s="73" t="n">
        <v>40</v>
      </c>
      <c r="G61" s="118" t="n">
        <f aca="false">IF(SUM($F61)&lt;=0,"",0%)</f>
        <v>0</v>
      </c>
      <c r="H61" s="75" t="n">
        <f aca="false">IF(SUM($F61)&lt;=0,"",ROUND($F61*(1+$G61),0))</f>
        <v>40</v>
      </c>
    </row>
    <row r="62" customFormat="false" ht="15" hidden="false" customHeight="false" outlineLevel="0" collapsed="false">
      <c r="A62" s="0" t="s">
        <v>143</v>
      </c>
      <c r="B62" s="0" t="s">
        <v>115</v>
      </c>
      <c r="C62" s="0" t="s">
        <v>75</v>
      </c>
      <c r="D62" s="0" t="s">
        <v>58</v>
      </c>
      <c r="E62" s="0" t="str">
        <f aca="false">B62&amp;"|"&amp;C62&amp;"|"&amp;D62</f>
        <v>Butha Buthe [#SNU] [mvPRqBFtVC0]|35-39|Male</v>
      </c>
      <c r="F62" s="73" t="n">
        <v>41</v>
      </c>
      <c r="G62" s="118" t="n">
        <f aca="false">IF(SUM($F62)&lt;=0,"",0%)</f>
        <v>0</v>
      </c>
      <c r="H62" s="75" t="n">
        <f aca="false">IF(SUM($F62)&lt;=0,"",ROUND($F62*(1+$G62),0))</f>
        <v>41</v>
      </c>
    </row>
    <row r="63" customFormat="false" ht="15" hidden="false" customHeight="false" outlineLevel="0" collapsed="false">
      <c r="A63" s="0" t="s">
        <v>143</v>
      </c>
      <c r="B63" s="0" t="s">
        <v>115</v>
      </c>
      <c r="C63" s="0" t="s">
        <v>77</v>
      </c>
      <c r="D63" s="0" t="s">
        <v>56</v>
      </c>
      <c r="E63" s="0" t="str">
        <f aca="false">B63&amp;"|"&amp;C63&amp;"|"&amp;D63</f>
        <v>Butha Buthe [#SNU] [mvPRqBFtVC0]|40-44|Female</v>
      </c>
      <c r="F63" s="73" t="n">
        <v>35</v>
      </c>
      <c r="G63" s="118" t="n">
        <f aca="false">IF(SUM($F63)&lt;=0,"",0%)</f>
        <v>0</v>
      </c>
      <c r="H63" s="75" t="n">
        <f aca="false">IF(SUM($F63)&lt;=0,"",ROUND($F63*(1+$G63),0))</f>
        <v>35</v>
      </c>
    </row>
    <row r="64" customFormat="false" ht="15" hidden="false" customHeight="false" outlineLevel="0" collapsed="false">
      <c r="A64" s="0" t="s">
        <v>143</v>
      </c>
      <c r="B64" s="0" t="s">
        <v>115</v>
      </c>
      <c r="C64" s="0" t="s">
        <v>77</v>
      </c>
      <c r="D64" s="0" t="s">
        <v>58</v>
      </c>
      <c r="E64" s="0" t="str">
        <f aca="false">B64&amp;"|"&amp;C64&amp;"|"&amp;D64</f>
        <v>Butha Buthe [#SNU] [mvPRqBFtVC0]|40-44|Male</v>
      </c>
      <c r="F64" s="73" t="n">
        <v>36</v>
      </c>
      <c r="G64" s="118" t="n">
        <f aca="false">IF(SUM($F64)&lt;=0,"",0%)</f>
        <v>0</v>
      </c>
      <c r="H64" s="75" t="n">
        <f aca="false">IF(SUM($F64)&lt;=0,"",ROUND($F64*(1+$G64),0))</f>
        <v>36</v>
      </c>
    </row>
    <row r="65" customFormat="false" ht="15" hidden="false" customHeight="false" outlineLevel="0" collapsed="false">
      <c r="A65" s="0" t="s">
        <v>143</v>
      </c>
      <c r="B65" s="0" t="s">
        <v>115</v>
      </c>
      <c r="C65" s="0" t="s">
        <v>80</v>
      </c>
      <c r="D65" s="0" t="s">
        <v>56</v>
      </c>
      <c r="E65" s="0" t="str">
        <f aca="false">B65&amp;"|"&amp;C65&amp;"|"&amp;D65</f>
        <v>Butha Buthe [#SNU] [mvPRqBFtVC0]|45-49|Female</v>
      </c>
      <c r="F65" s="73" t="n">
        <v>49</v>
      </c>
      <c r="G65" s="118" t="n">
        <f aca="false">IF(SUM($F65)&lt;=0,"",0%)</f>
        <v>0</v>
      </c>
      <c r="H65" s="75" t="n">
        <f aca="false">IF(SUM($F65)&lt;=0,"",ROUND($F65*(1+$G65),0))</f>
        <v>49</v>
      </c>
    </row>
    <row r="66" customFormat="false" ht="15" hidden="false" customHeight="false" outlineLevel="0" collapsed="false">
      <c r="A66" s="0" t="s">
        <v>143</v>
      </c>
      <c r="B66" s="0" t="s">
        <v>115</v>
      </c>
      <c r="C66" s="0" t="s">
        <v>80</v>
      </c>
      <c r="D66" s="0" t="s">
        <v>58</v>
      </c>
      <c r="E66" s="0" t="str">
        <f aca="false">B66&amp;"|"&amp;C66&amp;"|"&amp;D66</f>
        <v>Butha Buthe [#SNU] [mvPRqBFtVC0]|45-49|Male</v>
      </c>
      <c r="F66" s="73" t="n">
        <v>47</v>
      </c>
      <c r="G66" s="118" t="n">
        <f aca="false">IF(SUM($F66)&lt;=0,"",0%)</f>
        <v>0</v>
      </c>
      <c r="H66" s="75" t="n">
        <f aca="false">IF(SUM($F66)&lt;=0,"",ROUND($F66*(1+$G66),0))</f>
        <v>47</v>
      </c>
    </row>
    <row r="67" customFormat="false" ht="15" hidden="false" customHeight="false" outlineLevel="0" collapsed="false">
      <c r="A67" s="0" t="s">
        <v>143</v>
      </c>
      <c r="B67" s="0" t="s">
        <v>115</v>
      </c>
      <c r="C67" s="0" t="s">
        <v>86</v>
      </c>
      <c r="D67" s="0" t="s">
        <v>56</v>
      </c>
      <c r="E67" s="0" t="str">
        <f aca="false">B67&amp;"|"&amp;C67&amp;"|"&amp;D67</f>
        <v>Butha Buthe [#SNU] [mvPRqBFtVC0]|50+|Female</v>
      </c>
      <c r="F67" s="73" t="n">
        <v>35</v>
      </c>
      <c r="G67" s="118" t="n">
        <f aca="false">IF(SUM($F67)&lt;=0,"",0%)</f>
        <v>0</v>
      </c>
      <c r="H67" s="75" t="n">
        <f aca="false">IF(SUM($F67)&lt;=0,"",ROUND($F67*(1+$G67),0))</f>
        <v>35</v>
      </c>
    </row>
    <row r="68" customFormat="false" ht="15" hidden="false" customHeight="false" outlineLevel="0" collapsed="false">
      <c r="A68" s="0" t="s">
        <v>143</v>
      </c>
      <c r="B68" s="0" t="s">
        <v>115</v>
      </c>
      <c r="C68" s="0" t="s">
        <v>86</v>
      </c>
      <c r="D68" s="0" t="s">
        <v>58</v>
      </c>
      <c r="E68" s="0" t="str">
        <f aca="false">B68&amp;"|"&amp;C68&amp;"|"&amp;D68</f>
        <v>Butha Buthe [#SNU] [mvPRqBFtVC0]|50+|Male</v>
      </c>
      <c r="F68" s="73" t="n">
        <v>35</v>
      </c>
      <c r="G68" s="118" t="n">
        <f aca="false">IF(SUM($F68)&lt;=0,"",0%)</f>
        <v>0</v>
      </c>
      <c r="H68" s="75" t="n">
        <f aca="false">IF(SUM($F68)&lt;=0,"",ROUND($F68*(1+$G68),0))</f>
        <v>35</v>
      </c>
    </row>
    <row r="69" customFormat="false" ht="15" hidden="false" customHeight="false" outlineLevel="0" collapsed="false">
      <c r="A69" s="0" t="s">
        <v>144</v>
      </c>
      <c r="B69" s="0" t="s">
        <v>103</v>
      </c>
      <c r="C69" s="0" t="s">
        <v>61</v>
      </c>
      <c r="D69" s="0" t="s">
        <v>56</v>
      </c>
      <c r="E69" s="0" t="str">
        <f aca="false">B69&amp;"|"&amp;C69&amp;"|"&amp;D69</f>
        <v>Leribe [#SNU] [FjSmRywOWUp]|10-14|Female</v>
      </c>
      <c r="F69" s="73" t="n">
        <v>37</v>
      </c>
      <c r="G69" s="118" t="n">
        <f aca="false">IF(SUM($F69)&lt;=0,"",0%)</f>
        <v>0</v>
      </c>
      <c r="H69" s="75" t="n">
        <f aca="false">IF(SUM($F69)&lt;=0,"",ROUND($F69*(1+$G69),0))</f>
        <v>37</v>
      </c>
    </row>
    <row r="70" customFormat="false" ht="15" hidden="false" customHeight="false" outlineLevel="0" collapsed="false">
      <c r="A70" s="0" t="s">
        <v>144</v>
      </c>
      <c r="B70" s="0" t="s">
        <v>103</v>
      </c>
      <c r="C70" s="0" t="s">
        <v>61</v>
      </c>
      <c r="D70" s="0" t="s">
        <v>58</v>
      </c>
      <c r="E70" s="0" t="str">
        <f aca="false">B70&amp;"|"&amp;C70&amp;"|"&amp;D70</f>
        <v>Leribe [#SNU] [FjSmRywOWUp]|10-14|Male</v>
      </c>
      <c r="F70" s="73" t="n">
        <v>24</v>
      </c>
      <c r="G70" s="118" t="n">
        <f aca="false">IF(SUM($F70)&lt;=0,"",0%)</f>
        <v>0</v>
      </c>
      <c r="H70" s="75" t="n">
        <f aca="false">IF(SUM($F70)&lt;=0,"",ROUND($F70*(1+$G70),0))</f>
        <v>24</v>
      </c>
    </row>
    <row r="71" customFormat="false" ht="15" hidden="false" customHeight="false" outlineLevel="0" collapsed="false">
      <c r="A71" s="0" t="s">
        <v>144</v>
      </c>
      <c r="B71" s="0" t="s">
        <v>103</v>
      </c>
      <c r="C71" s="0" t="s">
        <v>63</v>
      </c>
      <c r="D71" s="0" t="s">
        <v>56</v>
      </c>
      <c r="E71" s="0" t="str">
        <f aca="false">B71&amp;"|"&amp;C71&amp;"|"&amp;D71</f>
        <v>Leribe [#SNU] [FjSmRywOWUp]|15-19|Female</v>
      </c>
      <c r="F71" s="73" t="n">
        <v>17</v>
      </c>
      <c r="G71" s="118" t="n">
        <f aca="false">IF(SUM($F71)&lt;=0,"",0%)</f>
        <v>0</v>
      </c>
      <c r="H71" s="75" t="n">
        <f aca="false">IF(SUM($F71)&lt;=0,"",ROUND($F71*(1+$G71),0))</f>
        <v>17</v>
      </c>
    </row>
    <row r="72" customFormat="false" ht="15" hidden="false" customHeight="false" outlineLevel="0" collapsed="false">
      <c r="A72" s="0" t="s">
        <v>144</v>
      </c>
      <c r="B72" s="0" t="s">
        <v>103</v>
      </c>
      <c r="C72" s="0" t="s">
        <v>63</v>
      </c>
      <c r="D72" s="0" t="s">
        <v>58</v>
      </c>
      <c r="E72" s="0" t="str">
        <f aca="false">B72&amp;"|"&amp;C72&amp;"|"&amp;D72</f>
        <v>Leribe [#SNU] [FjSmRywOWUp]|15-19|Male</v>
      </c>
      <c r="F72" s="73" t="n">
        <v>19</v>
      </c>
      <c r="G72" s="118" t="n">
        <f aca="false">IF(SUM($F72)&lt;=0,"",0%)</f>
        <v>0</v>
      </c>
      <c r="H72" s="75" t="n">
        <f aca="false">IF(SUM($F72)&lt;=0,"",ROUND($F72*(1+$G72),0))</f>
        <v>19</v>
      </c>
    </row>
    <row r="73" customFormat="false" ht="15" hidden="false" customHeight="false" outlineLevel="0" collapsed="false">
      <c r="A73" s="0" t="s">
        <v>144</v>
      </c>
      <c r="B73" s="0" t="s">
        <v>103</v>
      </c>
      <c r="C73" s="0" t="s">
        <v>66</v>
      </c>
      <c r="D73" s="0" t="s">
        <v>56</v>
      </c>
      <c r="E73" s="0" t="str">
        <f aca="false">B73&amp;"|"&amp;C73&amp;"|"&amp;D73</f>
        <v>Leribe [#SNU] [FjSmRywOWUp]|20-24|Female</v>
      </c>
      <c r="F73" s="73" t="n">
        <v>2</v>
      </c>
      <c r="G73" s="118" t="n">
        <f aca="false">IF(SUM($F73)&lt;=0,"",0%)</f>
        <v>0</v>
      </c>
      <c r="H73" s="75" t="n">
        <f aca="false">IF(SUM($F73)&lt;=0,"",ROUND($F73*(1+$G73),0))</f>
        <v>2</v>
      </c>
    </row>
    <row r="74" customFormat="false" ht="15" hidden="false" customHeight="false" outlineLevel="0" collapsed="false">
      <c r="A74" s="0" t="s">
        <v>144</v>
      </c>
      <c r="B74" s="0" t="s">
        <v>103</v>
      </c>
      <c r="C74" s="0" t="s">
        <v>66</v>
      </c>
      <c r="D74" s="0" t="s">
        <v>58</v>
      </c>
      <c r="E74" s="0" t="str">
        <f aca="false">B74&amp;"|"&amp;C74&amp;"|"&amp;D74</f>
        <v>Leribe [#SNU] [FjSmRywOWUp]|20-24|Male</v>
      </c>
      <c r="F74" s="73" t="n">
        <v>21</v>
      </c>
      <c r="G74" s="118" t="n">
        <f aca="false">IF(SUM($F74)&lt;=0,"",0%)</f>
        <v>0</v>
      </c>
      <c r="H74" s="75" t="n">
        <f aca="false">IF(SUM($F74)&lt;=0,"",ROUND($F74*(1+$G74),0))</f>
        <v>21</v>
      </c>
    </row>
    <row r="75" customFormat="false" ht="15" hidden="false" customHeight="false" outlineLevel="0" collapsed="false">
      <c r="A75" s="0" t="s">
        <v>144</v>
      </c>
      <c r="B75" s="0" t="s">
        <v>103</v>
      </c>
      <c r="C75" s="0" t="s">
        <v>69</v>
      </c>
      <c r="D75" s="0" t="s">
        <v>56</v>
      </c>
      <c r="E75" s="0" t="str">
        <f aca="false">B75&amp;"|"&amp;C75&amp;"|"&amp;D75</f>
        <v>Leribe [#SNU] [FjSmRywOWUp]|25-29|Female</v>
      </c>
      <c r="F75" s="73" t="n">
        <v>42</v>
      </c>
      <c r="G75" s="118" t="n">
        <f aca="false">IF(SUM($F75)&lt;=0,"",0%)</f>
        <v>0</v>
      </c>
      <c r="H75" s="75" t="n">
        <f aca="false">IF(SUM($F75)&lt;=0,"",ROUND($F75*(1+$G75),0))</f>
        <v>42</v>
      </c>
    </row>
    <row r="76" customFormat="false" ht="15" hidden="false" customHeight="false" outlineLevel="0" collapsed="false">
      <c r="A76" s="0" t="s">
        <v>144</v>
      </c>
      <c r="B76" s="0" t="s">
        <v>103</v>
      </c>
      <c r="C76" s="0" t="s">
        <v>69</v>
      </c>
      <c r="D76" s="0" t="s">
        <v>58</v>
      </c>
      <c r="E76" s="0" t="str">
        <f aca="false">B76&amp;"|"&amp;C76&amp;"|"&amp;D76</f>
        <v>Leribe [#SNU] [FjSmRywOWUp]|25-29|Male</v>
      </c>
      <c r="F76" s="73" t="n">
        <v>39</v>
      </c>
      <c r="G76" s="118" t="n">
        <f aca="false">IF(SUM($F76)&lt;=0,"",0%)</f>
        <v>0</v>
      </c>
      <c r="H76" s="75" t="n">
        <f aca="false">IF(SUM($F76)&lt;=0,"",ROUND($F76*(1+$G76),0))</f>
        <v>39</v>
      </c>
    </row>
    <row r="77" customFormat="false" ht="15" hidden="false" customHeight="false" outlineLevel="0" collapsed="false">
      <c r="A77" s="0" t="s">
        <v>144</v>
      </c>
      <c r="B77" s="0" t="s">
        <v>103</v>
      </c>
      <c r="C77" s="0" t="s">
        <v>72</v>
      </c>
      <c r="D77" s="0" t="s">
        <v>56</v>
      </c>
      <c r="E77" s="0" t="str">
        <f aca="false">B77&amp;"|"&amp;C77&amp;"|"&amp;D77</f>
        <v>Leribe [#SNU] [FjSmRywOWUp]|30-34|Female</v>
      </c>
      <c r="F77" s="73" t="n">
        <v>5</v>
      </c>
      <c r="G77" s="118" t="n">
        <f aca="false">IF(SUM($F77)&lt;=0,"",0%)</f>
        <v>0</v>
      </c>
      <c r="H77" s="75" t="n">
        <f aca="false">IF(SUM($F77)&lt;=0,"",ROUND($F77*(1+$G77),0))</f>
        <v>5</v>
      </c>
    </row>
    <row r="78" customFormat="false" ht="15" hidden="false" customHeight="false" outlineLevel="0" collapsed="false">
      <c r="A78" s="0" t="s">
        <v>144</v>
      </c>
      <c r="B78" s="0" t="s">
        <v>103</v>
      </c>
      <c r="C78" s="0" t="s">
        <v>72</v>
      </c>
      <c r="D78" s="0" t="s">
        <v>58</v>
      </c>
      <c r="E78" s="0" t="str">
        <f aca="false">B78&amp;"|"&amp;C78&amp;"|"&amp;D78</f>
        <v>Leribe [#SNU] [FjSmRywOWUp]|30-34|Male</v>
      </c>
      <c r="F78" s="73" t="n">
        <v>19</v>
      </c>
      <c r="G78" s="118" t="n">
        <f aca="false">IF(SUM($F78)&lt;=0,"",0%)</f>
        <v>0</v>
      </c>
      <c r="H78" s="75" t="n">
        <f aca="false">IF(SUM($F78)&lt;=0,"",ROUND($F78*(1+$G78),0))</f>
        <v>19</v>
      </c>
    </row>
    <row r="79" customFormat="false" ht="15" hidden="false" customHeight="false" outlineLevel="0" collapsed="false">
      <c r="A79" s="0" t="s">
        <v>144</v>
      </c>
      <c r="B79" s="0" t="s">
        <v>103</v>
      </c>
      <c r="C79" s="0" t="s">
        <v>75</v>
      </c>
      <c r="D79" s="0" t="s">
        <v>56</v>
      </c>
      <c r="E79" s="0" t="str">
        <f aca="false">B79&amp;"|"&amp;C79&amp;"|"&amp;D79</f>
        <v>Leribe [#SNU] [FjSmRywOWUp]|35-39|Female</v>
      </c>
      <c r="F79" s="73" t="n">
        <v>32</v>
      </c>
      <c r="G79" s="118" t="n">
        <f aca="false">IF(SUM($F79)&lt;=0,"",0%)</f>
        <v>0</v>
      </c>
      <c r="H79" s="75" t="n">
        <f aca="false">IF(SUM($F79)&lt;=0,"",ROUND($F79*(1+$G79),0))</f>
        <v>32</v>
      </c>
    </row>
    <row r="80" customFormat="false" ht="15" hidden="false" customHeight="false" outlineLevel="0" collapsed="false">
      <c r="A80" s="0" t="s">
        <v>144</v>
      </c>
      <c r="B80" s="0" t="s">
        <v>103</v>
      </c>
      <c r="C80" s="0" t="s">
        <v>75</v>
      </c>
      <c r="D80" s="0" t="s">
        <v>58</v>
      </c>
      <c r="E80" s="0" t="str">
        <f aca="false">B80&amp;"|"&amp;C80&amp;"|"&amp;D80</f>
        <v>Leribe [#SNU] [FjSmRywOWUp]|35-39|Male</v>
      </c>
      <c r="F80" s="73" t="n">
        <v>46</v>
      </c>
      <c r="G80" s="118" t="n">
        <f aca="false">IF(SUM($F80)&lt;=0,"",0%)</f>
        <v>0</v>
      </c>
      <c r="H80" s="75" t="n">
        <f aca="false">IF(SUM($F80)&lt;=0,"",ROUND($F80*(1+$G80),0))</f>
        <v>46</v>
      </c>
    </row>
    <row r="81" customFormat="false" ht="15" hidden="false" customHeight="false" outlineLevel="0" collapsed="false">
      <c r="A81" s="0" t="s">
        <v>144</v>
      </c>
      <c r="B81" s="0" t="s">
        <v>103</v>
      </c>
      <c r="C81" s="0" t="s">
        <v>77</v>
      </c>
      <c r="D81" s="0" t="s">
        <v>56</v>
      </c>
      <c r="E81" s="0" t="str">
        <f aca="false">B81&amp;"|"&amp;C81&amp;"|"&amp;D81</f>
        <v>Leribe [#SNU] [FjSmRywOWUp]|40-44|Female</v>
      </c>
      <c r="F81" s="73" t="n">
        <v>25</v>
      </c>
      <c r="G81" s="118" t="n">
        <f aca="false">IF(SUM($F81)&lt;=0,"",0%)</f>
        <v>0</v>
      </c>
      <c r="H81" s="75" t="n">
        <f aca="false">IF(SUM($F81)&lt;=0,"",ROUND($F81*(1+$G81),0))</f>
        <v>25</v>
      </c>
    </row>
    <row r="82" customFormat="false" ht="15" hidden="false" customHeight="false" outlineLevel="0" collapsed="false">
      <c r="A82" s="0" t="s">
        <v>144</v>
      </c>
      <c r="B82" s="0" t="s">
        <v>103</v>
      </c>
      <c r="C82" s="0" t="s">
        <v>77</v>
      </c>
      <c r="D82" s="0" t="s">
        <v>58</v>
      </c>
      <c r="E82" s="0" t="str">
        <f aca="false">B82&amp;"|"&amp;C82&amp;"|"&amp;D82</f>
        <v>Leribe [#SNU] [FjSmRywOWUp]|40-44|Male</v>
      </c>
      <c r="F82" s="73" t="n">
        <v>12</v>
      </c>
      <c r="G82" s="118" t="n">
        <f aca="false">IF(SUM($F82)&lt;=0,"",0%)</f>
        <v>0</v>
      </c>
      <c r="H82" s="75" t="n">
        <f aca="false">IF(SUM($F82)&lt;=0,"",ROUND($F82*(1+$G82),0))</f>
        <v>12</v>
      </c>
    </row>
    <row r="83" customFormat="false" ht="15" hidden="false" customHeight="false" outlineLevel="0" collapsed="false">
      <c r="A83" s="0" t="s">
        <v>144</v>
      </c>
      <c r="B83" s="0" t="s">
        <v>103</v>
      </c>
      <c r="C83" s="0" t="s">
        <v>80</v>
      </c>
      <c r="D83" s="0" t="s">
        <v>56</v>
      </c>
      <c r="E83" s="0" t="str">
        <f aca="false">B83&amp;"|"&amp;C83&amp;"|"&amp;D83</f>
        <v>Leribe [#SNU] [FjSmRywOWUp]|45-49|Female</v>
      </c>
      <c r="F83" s="73" t="n">
        <v>6</v>
      </c>
      <c r="G83" s="118" t="n">
        <f aca="false">IF(SUM($F83)&lt;=0,"",0%)</f>
        <v>0</v>
      </c>
      <c r="H83" s="75" t="n">
        <f aca="false">IF(SUM($F83)&lt;=0,"",ROUND($F83*(1+$G83),0))</f>
        <v>6</v>
      </c>
    </row>
    <row r="84" customFormat="false" ht="15" hidden="false" customHeight="false" outlineLevel="0" collapsed="false">
      <c r="A84" s="0" t="s">
        <v>144</v>
      </c>
      <c r="B84" s="0" t="s">
        <v>103</v>
      </c>
      <c r="C84" s="0" t="s">
        <v>80</v>
      </c>
      <c r="D84" s="0" t="s">
        <v>58</v>
      </c>
      <c r="E84" s="0" t="str">
        <f aca="false">B84&amp;"|"&amp;C84&amp;"|"&amp;D84</f>
        <v>Leribe [#SNU] [FjSmRywOWUp]|45-49|Male</v>
      </c>
      <c r="F84" s="73" t="n">
        <v>40</v>
      </c>
      <c r="G84" s="118" t="n">
        <f aca="false">IF(SUM($F84)&lt;=0,"",0%)</f>
        <v>0</v>
      </c>
      <c r="H84" s="75" t="n">
        <f aca="false">IF(SUM($F84)&lt;=0,"",ROUND($F84*(1+$G84),0))</f>
        <v>40</v>
      </c>
    </row>
    <row r="85" customFormat="false" ht="15" hidden="false" customHeight="false" outlineLevel="0" collapsed="false">
      <c r="A85" s="0" t="s">
        <v>144</v>
      </c>
      <c r="B85" s="0" t="s">
        <v>103</v>
      </c>
      <c r="C85" s="0" t="s">
        <v>86</v>
      </c>
      <c r="D85" s="0" t="s">
        <v>56</v>
      </c>
      <c r="E85" s="0" t="str">
        <f aca="false">B85&amp;"|"&amp;C85&amp;"|"&amp;D85</f>
        <v>Leribe [#SNU] [FjSmRywOWUp]|50+|Female</v>
      </c>
      <c r="F85" s="73" t="n">
        <v>4</v>
      </c>
      <c r="G85" s="118" t="n">
        <f aca="false">IF(SUM($F85)&lt;=0,"",0%)</f>
        <v>0</v>
      </c>
      <c r="H85" s="75" t="n">
        <f aca="false">IF(SUM($F85)&lt;=0,"",ROUND($F85*(1+$G85),0))</f>
        <v>4</v>
      </c>
    </row>
    <row r="86" customFormat="false" ht="15" hidden="false" customHeight="false" outlineLevel="0" collapsed="false">
      <c r="A86" s="0" t="s">
        <v>144</v>
      </c>
      <c r="B86" s="0" t="s">
        <v>103</v>
      </c>
      <c r="C86" s="0" t="s">
        <v>86</v>
      </c>
      <c r="D86" s="0" t="s">
        <v>58</v>
      </c>
      <c r="E86" s="0" t="str">
        <f aca="false">B86&amp;"|"&amp;C86&amp;"|"&amp;D86</f>
        <v>Leribe [#SNU] [FjSmRywOWUp]|50+|Male</v>
      </c>
      <c r="F86" s="73" t="n">
        <v>24</v>
      </c>
      <c r="G86" s="118" t="n">
        <f aca="false">IF(SUM($F86)&lt;=0,"",0%)</f>
        <v>0</v>
      </c>
      <c r="H86" s="75" t="n">
        <f aca="false">IF(SUM($F86)&lt;=0,"",ROUND($F86*(1+$G86),0))</f>
        <v>24</v>
      </c>
    </row>
    <row r="87" customFormat="false" ht="15" hidden="false" customHeight="false" outlineLevel="0" collapsed="false">
      <c r="A87" s="0" t="s">
        <v>145</v>
      </c>
      <c r="B87" s="0" t="s">
        <v>107</v>
      </c>
      <c r="C87" s="0" t="s">
        <v>61</v>
      </c>
      <c r="D87" s="0" t="s">
        <v>56</v>
      </c>
      <c r="E87" s="0" t="str">
        <f aca="false">B87&amp;"|"&amp;C87&amp;"|"&amp;D87</f>
        <v>Mafeteng [#SNU] [#DREAMS] [DiFv5WXIHM5]|10-14|Female</v>
      </c>
      <c r="F87" s="73" t="n">
        <v>29</v>
      </c>
      <c r="G87" s="118" t="n">
        <f aca="false">IF(SUM($F87)&lt;=0,"",0%)</f>
        <v>0</v>
      </c>
      <c r="H87" s="75" t="n">
        <f aca="false">IF(SUM($F87)&lt;=0,"",ROUND($F87*(1+$G87),0))</f>
        <v>29</v>
      </c>
    </row>
    <row r="88" customFormat="false" ht="15" hidden="false" customHeight="false" outlineLevel="0" collapsed="false">
      <c r="A88" s="0" t="s">
        <v>145</v>
      </c>
      <c r="B88" s="0" t="s">
        <v>107</v>
      </c>
      <c r="C88" s="0" t="s">
        <v>61</v>
      </c>
      <c r="D88" s="0" t="s">
        <v>58</v>
      </c>
      <c r="E88" s="0" t="str">
        <f aca="false">B88&amp;"|"&amp;C88&amp;"|"&amp;D88</f>
        <v>Mafeteng [#SNU] [#DREAMS] [DiFv5WXIHM5]|10-14|Male</v>
      </c>
      <c r="F88" s="73" t="n">
        <v>27</v>
      </c>
      <c r="G88" s="118" t="n">
        <f aca="false">IF(SUM($F88)&lt;=0,"",0%)</f>
        <v>0</v>
      </c>
      <c r="H88" s="75" t="n">
        <f aca="false">IF(SUM($F88)&lt;=0,"",ROUND($F88*(1+$G88),0))</f>
        <v>27</v>
      </c>
    </row>
    <row r="89" customFormat="false" ht="15" hidden="false" customHeight="false" outlineLevel="0" collapsed="false">
      <c r="A89" s="0" t="s">
        <v>145</v>
      </c>
      <c r="B89" s="0" t="s">
        <v>107</v>
      </c>
      <c r="C89" s="0" t="s">
        <v>63</v>
      </c>
      <c r="D89" s="0" t="s">
        <v>56</v>
      </c>
      <c r="E89" s="0" t="str">
        <f aca="false">B89&amp;"|"&amp;C89&amp;"|"&amp;D89</f>
        <v>Mafeteng [#SNU] [#DREAMS] [DiFv5WXIHM5]|15-19|Female</v>
      </c>
      <c r="F89" s="73" t="n">
        <v>6</v>
      </c>
      <c r="G89" s="118" t="n">
        <f aca="false">IF(SUM($F89)&lt;=0,"",0%)</f>
        <v>0</v>
      </c>
      <c r="H89" s="75" t="n">
        <f aca="false">IF(SUM($F89)&lt;=0,"",ROUND($F89*(1+$G89),0))</f>
        <v>6</v>
      </c>
    </row>
    <row r="90" customFormat="false" ht="15" hidden="false" customHeight="false" outlineLevel="0" collapsed="false">
      <c r="A90" s="0" t="s">
        <v>145</v>
      </c>
      <c r="B90" s="0" t="s">
        <v>107</v>
      </c>
      <c r="C90" s="0" t="s">
        <v>63</v>
      </c>
      <c r="D90" s="0" t="s">
        <v>58</v>
      </c>
      <c r="E90" s="0" t="str">
        <f aca="false">B90&amp;"|"&amp;C90&amp;"|"&amp;D90</f>
        <v>Mafeteng [#SNU] [#DREAMS] [DiFv5WXIHM5]|15-19|Male</v>
      </c>
      <c r="F90" s="73" t="n">
        <v>10</v>
      </c>
      <c r="G90" s="118" t="n">
        <f aca="false">IF(SUM($F90)&lt;=0,"",0%)</f>
        <v>0</v>
      </c>
      <c r="H90" s="75" t="n">
        <f aca="false">IF(SUM($F90)&lt;=0,"",ROUND($F90*(1+$G90),0))</f>
        <v>10</v>
      </c>
    </row>
    <row r="91" customFormat="false" ht="15" hidden="false" customHeight="false" outlineLevel="0" collapsed="false">
      <c r="A91" s="0" t="s">
        <v>145</v>
      </c>
      <c r="B91" s="0" t="s">
        <v>107</v>
      </c>
      <c r="C91" s="0" t="s">
        <v>66</v>
      </c>
      <c r="D91" s="0" t="s">
        <v>56</v>
      </c>
      <c r="E91" s="0" t="str">
        <f aca="false">B91&amp;"|"&amp;C91&amp;"|"&amp;D91</f>
        <v>Mafeteng [#SNU] [#DREAMS] [DiFv5WXIHM5]|20-24|Female</v>
      </c>
      <c r="F91" s="73" t="n">
        <v>50</v>
      </c>
      <c r="G91" s="118" t="n">
        <f aca="false">IF(SUM($F91)&lt;=0,"",0%)</f>
        <v>0</v>
      </c>
      <c r="H91" s="75" t="n">
        <f aca="false">IF(SUM($F91)&lt;=0,"",ROUND($F91*(1+$G91),0))</f>
        <v>50</v>
      </c>
    </row>
    <row r="92" customFormat="false" ht="15" hidden="false" customHeight="false" outlineLevel="0" collapsed="false">
      <c r="A92" s="0" t="s">
        <v>145</v>
      </c>
      <c r="B92" s="0" t="s">
        <v>107</v>
      </c>
      <c r="C92" s="0" t="s">
        <v>66</v>
      </c>
      <c r="D92" s="0" t="s">
        <v>58</v>
      </c>
      <c r="E92" s="0" t="str">
        <f aca="false">B92&amp;"|"&amp;C92&amp;"|"&amp;D92</f>
        <v>Mafeteng [#SNU] [#DREAMS] [DiFv5WXIHM5]|20-24|Male</v>
      </c>
      <c r="F92" s="73" t="n">
        <v>2</v>
      </c>
      <c r="G92" s="118" t="n">
        <f aca="false">IF(SUM($F92)&lt;=0,"",0%)</f>
        <v>0</v>
      </c>
      <c r="H92" s="75" t="n">
        <f aca="false">IF(SUM($F92)&lt;=0,"",ROUND($F92*(1+$G92),0))</f>
        <v>2</v>
      </c>
    </row>
    <row r="93" customFormat="false" ht="15" hidden="false" customHeight="false" outlineLevel="0" collapsed="false">
      <c r="A93" s="0" t="s">
        <v>145</v>
      </c>
      <c r="B93" s="0" t="s">
        <v>107</v>
      </c>
      <c r="C93" s="0" t="s">
        <v>69</v>
      </c>
      <c r="D93" s="0" t="s">
        <v>56</v>
      </c>
      <c r="E93" s="0" t="str">
        <f aca="false">B93&amp;"|"&amp;C93&amp;"|"&amp;D93</f>
        <v>Mafeteng [#SNU] [#DREAMS] [DiFv5WXIHM5]|25-29|Female</v>
      </c>
      <c r="F93" s="73" t="n">
        <v>32</v>
      </c>
      <c r="G93" s="118" t="n">
        <f aca="false">IF(SUM($F93)&lt;=0,"",0%)</f>
        <v>0</v>
      </c>
      <c r="H93" s="75" t="n">
        <f aca="false">IF(SUM($F93)&lt;=0,"",ROUND($F93*(1+$G93),0))</f>
        <v>32</v>
      </c>
    </row>
    <row r="94" customFormat="false" ht="15" hidden="false" customHeight="false" outlineLevel="0" collapsed="false">
      <c r="A94" s="0" t="s">
        <v>145</v>
      </c>
      <c r="B94" s="0" t="s">
        <v>107</v>
      </c>
      <c r="C94" s="0" t="s">
        <v>69</v>
      </c>
      <c r="D94" s="0" t="s">
        <v>58</v>
      </c>
      <c r="E94" s="0" t="str">
        <f aca="false">B94&amp;"|"&amp;C94&amp;"|"&amp;D94</f>
        <v>Mafeteng [#SNU] [#DREAMS] [DiFv5WXIHM5]|25-29|Male</v>
      </c>
      <c r="F94" s="73" t="n">
        <v>14</v>
      </c>
      <c r="G94" s="118" t="n">
        <f aca="false">IF(SUM($F94)&lt;=0,"",0%)</f>
        <v>0</v>
      </c>
      <c r="H94" s="75" t="n">
        <f aca="false">IF(SUM($F94)&lt;=0,"",ROUND($F94*(1+$G94),0))</f>
        <v>14</v>
      </c>
    </row>
    <row r="95" customFormat="false" ht="15" hidden="false" customHeight="false" outlineLevel="0" collapsed="false">
      <c r="A95" s="0" t="s">
        <v>145</v>
      </c>
      <c r="B95" s="0" t="s">
        <v>107</v>
      </c>
      <c r="C95" s="0" t="s">
        <v>72</v>
      </c>
      <c r="D95" s="0" t="s">
        <v>56</v>
      </c>
      <c r="E95" s="0" t="str">
        <f aca="false">B95&amp;"|"&amp;C95&amp;"|"&amp;D95</f>
        <v>Mafeteng [#SNU] [#DREAMS] [DiFv5WXIHM5]|30-34|Female</v>
      </c>
      <c r="F95" s="73" t="n">
        <v>34</v>
      </c>
      <c r="G95" s="118" t="n">
        <f aca="false">IF(SUM($F95)&lt;=0,"",0%)</f>
        <v>0</v>
      </c>
      <c r="H95" s="75" t="n">
        <f aca="false">IF(SUM($F95)&lt;=0,"",ROUND($F95*(1+$G95),0))</f>
        <v>34</v>
      </c>
    </row>
    <row r="96" customFormat="false" ht="15" hidden="false" customHeight="false" outlineLevel="0" collapsed="false">
      <c r="A96" s="0" t="s">
        <v>145</v>
      </c>
      <c r="B96" s="0" t="s">
        <v>107</v>
      </c>
      <c r="C96" s="0" t="s">
        <v>72</v>
      </c>
      <c r="D96" s="0" t="s">
        <v>58</v>
      </c>
      <c r="E96" s="0" t="str">
        <f aca="false">B96&amp;"|"&amp;C96&amp;"|"&amp;D96</f>
        <v>Mafeteng [#SNU] [#DREAMS] [DiFv5WXIHM5]|30-34|Male</v>
      </c>
      <c r="F96" s="73" t="n">
        <v>43</v>
      </c>
      <c r="G96" s="118" t="n">
        <f aca="false">IF(SUM($F96)&lt;=0,"",0%)</f>
        <v>0</v>
      </c>
      <c r="H96" s="75" t="n">
        <f aca="false">IF(SUM($F96)&lt;=0,"",ROUND($F96*(1+$G96),0))</f>
        <v>43</v>
      </c>
    </row>
    <row r="97" customFormat="false" ht="15" hidden="false" customHeight="false" outlineLevel="0" collapsed="false">
      <c r="A97" s="0" t="s">
        <v>145</v>
      </c>
      <c r="B97" s="0" t="s">
        <v>107</v>
      </c>
      <c r="C97" s="0" t="s">
        <v>75</v>
      </c>
      <c r="D97" s="0" t="s">
        <v>56</v>
      </c>
      <c r="E97" s="0" t="str">
        <f aca="false">B97&amp;"|"&amp;C97&amp;"|"&amp;D97</f>
        <v>Mafeteng [#SNU] [#DREAMS] [DiFv5WXIHM5]|35-39|Female</v>
      </c>
      <c r="F97" s="73" t="n">
        <v>48</v>
      </c>
      <c r="G97" s="118" t="n">
        <f aca="false">IF(SUM($F97)&lt;=0,"",0%)</f>
        <v>0</v>
      </c>
      <c r="H97" s="75" t="n">
        <f aca="false">IF(SUM($F97)&lt;=0,"",ROUND($F97*(1+$G97),0))</f>
        <v>48</v>
      </c>
    </row>
    <row r="98" customFormat="false" ht="15" hidden="false" customHeight="false" outlineLevel="0" collapsed="false">
      <c r="A98" s="0" t="s">
        <v>145</v>
      </c>
      <c r="B98" s="0" t="s">
        <v>107</v>
      </c>
      <c r="C98" s="0" t="s">
        <v>75</v>
      </c>
      <c r="D98" s="0" t="s">
        <v>58</v>
      </c>
      <c r="E98" s="0" t="str">
        <f aca="false">B98&amp;"|"&amp;C98&amp;"|"&amp;D98</f>
        <v>Mafeteng [#SNU] [#DREAMS] [DiFv5WXIHM5]|35-39|Male</v>
      </c>
      <c r="F98" s="73" t="n">
        <v>46</v>
      </c>
      <c r="G98" s="118" t="n">
        <f aca="false">IF(SUM($F98)&lt;=0,"",0%)</f>
        <v>0</v>
      </c>
      <c r="H98" s="75" t="n">
        <f aca="false">IF(SUM($F98)&lt;=0,"",ROUND($F98*(1+$G98),0))</f>
        <v>46</v>
      </c>
    </row>
    <row r="99" customFormat="false" ht="15" hidden="false" customHeight="false" outlineLevel="0" collapsed="false">
      <c r="A99" s="0" t="s">
        <v>145</v>
      </c>
      <c r="B99" s="0" t="s">
        <v>107</v>
      </c>
      <c r="C99" s="0" t="s">
        <v>77</v>
      </c>
      <c r="D99" s="0" t="s">
        <v>56</v>
      </c>
      <c r="E99" s="0" t="str">
        <f aca="false">B99&amp;"|"&amp;C99&amp;"|"&amp;D99</f>
        <v>Mafeteng [#SNU] [#DREAMS] [DiFv5WXIHM5]|40-44|Female</v>
      </c>
      <c r="F99" s="73" t="n">
        <v>36</v>
      </c>
      <c r="G99" s="118" t="n">
        <f aca="false">IF(SUM($F99)&lt;=0,"",0%)</f>
        <v>0</v>
      </c>
      <c r="H99" s="75" t="n">
        <f aca="false">IF(SUM($F99)&lt;=0,"",ROUND($F99*(1+$G99),0))</f>
        <v>36</v>
      </c>
    </row>
    <row r="100" customFormat="false" ht="15" hidden="false" customHeight="false" outlineLevel="0" collapsed="false">
      <c r="A100" s="0" t="s">
        <v>145</v>
      </c>
      <c r="B100" s="0" t="s">
        <v>107</v>
      </c>
      <c r="C100" s="0" t="s">
        <v>77</v>
      </c>
      <c r="D100" s="0" t="s">
        <v>58</v>
      </c>
      <c r="E100" s="0" t="str">
        <f aca="false">B100&amp;"|"&amp;C100&amp;"|"&amp;D100</f>
        <v>Mafeteng [#SNU] [#DREAMS] [DiFv5WXIHM5]|40-44|Male</v>
      </c>
      <c r="F100" s="73" t="n">
        <v>11</v>
      </c>
      <c r="G100" s="118" t="n">
        <f aca="false">IF(SUM($F100)&lt;=0,"",0%)</f>
        <v>0</v>
      </c>
      <c r="H100" s="75" t="n">
        <f aca="false">IF(SUM($F100)&lt;=0,"",ROUND($F100*(1+$G100),0))</f>
        <v>11</v>
      </c>
    </row>
    <row r="101" customFormat="false" ht="15" hidden="false" customHeight="false" outlineLevel="0" collapsed="false">
      <c r="A101" s="0" t="s">
        <v>145</v>
      </c>
      <c r="B101" s="0" t="s">
        <v>107</v>
      </c>
      <c r="C101" s="0" t="s">
        <v>80</v>
      </c>
      <c r="D101" s="0" t="s">
        <v>56</v>
      </c>
      <c r="E101" s="0" t="str">
        <f aca="false">B101&amp;"|"&amp;C101&amp;"|"&amp;D101</f>
        <v>Mafeteng [#SNU] [#DREAMS] [DiFv5WXIHM5]|45-49|Female</v>
      </c>
      <c r="F101" s="73" t="n">
        <v>35</v>
      </c>
      <c r="G101" s="118" t="n">
        <f aca="false">IF(SUM($F101)&lt;=0,"",0%)</f>
        <v>0</v>
      </c>
      <c r="H101" s="75" t="n">
        <f aca="false">IF(SUM($F101)&lt;=0,"",ROUND($F101*(1+$G101),0))</f>
        <v>35</v>
      </c>
    </row>
    <row r="102" customFormat="false" ht="15" hidden="false" customHeight="false" outlineLevel="0" collapsed="false">
      <c r="A102" s="0" t="s">
        <v>145</v>
      </c>
      <c r="B102" s="0" t="s">
        <v>107</v>
      </c>
      <c r="C102" s="0" t="s">
        <v>80</v>
      </c>
      <c r="D102" s="0" t="s">
        <v>58</v>
      </c>
      <c r="E102" s="0" t="str">
        <f aca="false">B102&amp;"|"&amp;C102&amp;"|"&amp;D102</f>
        <v>Mafeteng [#SNU] [#DREAMS] [DiFv5WXIHM5]|45-49|Male</v>
      </c>
      <c r="F102" s="73" t="n">
        <v>41</v>
      </c>
      <c r="G102" s="118" t="n">
        <f aca="false">IF(SUM($F102)&lt;=0,"",0%)</f>
        <v>0</v>
      </c>
      <c r="H102" s="75" t="n">
        <f aca="false">IF(SUM($F102)&lt;=0,"",ROUND($F102*(1+$G102),0))</f>
        <v>41</v>
      </c>
    </row>
    <row r="103" customFormat="false" ht="15" hidden="false" customHeight="false" outlineLevel="0" collapsed="false">
      <c r="A103" s="0" t="s">
        <v>145</v>
      </c>
      <c r="B103" s="0" t="s">
        <v>107</v>
      </c>
      <c r="C103" s="0" t="s">
        <v>86</v>
      </c>
      <c r="D103" s="0" t="s">
        <v>56</v>
      </c>
      <c r="E103" s="0" t="str">
        <f aca="false">B103&amp;"|"&amp;C103&amp;"|"&amp;D103</f>
        <v>Mafeteng [#SNU] [#DREAMS] [DiFv5WXIHM5]|50+|Female</v>
      </c>
      <c r="F103" s="73" t="n">
        <v>2</v>
      </c>
      <c r="G103" s="118" t="n">
        <f aca="false">IF(SUM($F103)&lt;=0,"",0%)</f>
        <v>0</v>
      </c>
      <c r="H103" s="75" t="n">
        <f aca="false">IF(SUM($F103)&lt;=0,"",ROUND($F103*(1+$G103),0))</f>
        <v>2</v>
      </c>
    </row>
    <row r="104" customFormat="false" ht="15" hidden="false" customHeight="false" outlineLevel="0" collapsed="false">
      <c r="A104" s="0" t="s">
        <v>145</v>
      </c>
      <c r="B104" s="0" t="s">
        <v>107</v>
      </c>
      <c r="C104" s="0" t="s">
        <v>86</v>
      </c>
      <c r="D104" s="0" t="s">
        <v>58</v>
      </c>
      <c r="E104" s="0" t="str">
        <f aca="false">B104&amp;"|"&amp;C104&amp;"|"&amp;D104</f>
        <v>Mafeteng [#SNU] [#DREAMS] [DiFv5WXIHM5]|50+|Male</v>
      </c>
      <c r="F104" s="73" t="n">
        <v>13</v>
      </c>
      <c r="G104" s="118" t="n">
        <f aca="false">IF(SUM($F104)&lt;=0,"",0%)</f>
        <v>0</v>
      </c>
      <c r="H104" s="75" t="n">
        <f aca="false">IF(SUM($F104)&lt;=0,"",ROUND($F104*(1+$G104),0))</f>
        <v>13</v>
      </c>
    </row>
    <row r="105" customFormat="false" ht="15" hidden="false" customHeight="false" outlineLevel="0" collapsed="false">
      <c r="A105" s="0" t="s">
        <v>146</v>
      </c>
      <c r="B105" s="0" t="s">
        <v>45</v>
      </c>
      <c r="C105" s="0" t="s">
        <v>61</v>
      </c>
      <c r="D105" s="0" t="s">
        <v>56</v>
      </c>
      <c r="E105" s="0" t="str">
        <f aca="false">B105&amp;"|"&amp;C105&amp;"|"&amp;D105</f>
        <v>Maseru [#SNU] [#DREAMS] [tKOXiaNhAyJ]|10-14|Female</v>
      </c>
      <c r="F105" s="73" t="n">
        <v>15</v>
      </c>
      <c r="G105" s="118" t="n">
        <f aca="false">IF(SUM($F105)&lt;=0,"",0%)</f>
        <v>0</v>
      </c>
      <c r="H105" s="75" t="n">
        <f aca="false">IF(SUM($F105)&lt;=0,"",ROUND($F105*(1+$G105),0))</f>
        <v>15</v>
      </c>
    </row>
    <row r="106" customFormat="false" ht="15" hidden="false" customHeight="false" outlineLevel="0" collapsed="false">
      <c r="A106" s="0" t="s">
        <v>146</v>
      </c>
      <c r="B106" s="0" t="s">
        <v>45</v>
      </c>
      <c r="C106" s="0" t="s">
        <v>61</v>
      </c>
      <c r="D106" s="0" t="s">
        <v>58</v>
      </c>
      <c r="E106" s="0" t="str">
        <f aca="false">B106&amp;"|"&amp;C106&amp;"|"&amp;D106</f>
        <v>Maseru [#SNU] [#DREAMS] [tKOXiaNhAyJ]|10-14|Male</v>
      </c>
      <c r="F106" s="73" t="n">
        <v>38</v>
      </c>
      <c r="G106" s="118" t="n">
        <f aca="false">IF(SUM($F106)&lt;=0,"",0%)</f>
        <v>0</v>
      </c>
      <c r="H106" s="75" t="n">
        <f aca="false">IF(SUM($F106)&lt;=0,"",ROUND($F106*(1+$G106),0))</f>
        <v>38</v>
      </c>
    </row>
    <row r="107" customFormat="false" ht="15" hidden="false" customHeight="false" outlineLevel="0" collapsed="false">
      <c r="A107" s="0" t="s">
        <v>146</v>
      </c>
      <c r="B107" s="0" t="s">
        <v>45</v>
      </c>
      <c r="C107" s="0" t="s">
        <v>63</v>
      </c>
      <c r="D107" s="0" t="s">
        <v>56</v>
      </c>
      <c r="E107" s="0" t="str">
        <f aca="false">B107&amp;"|"&amp;C107&amp;"|"&amp;D107</f>
        <v>Maseru [#SNU] [#DREAMS] [tKOXiaNhAyJ]|15-19|Female</v>
      </c>
      <c r="F107" s="73" t="n">
        <v>19</v>
      </c>
      <c r="G107" s="118" t="n">
        <f aca="false">IF(SUM($F107)&lt;=0,"",0%)</f>
        <v>0</v>
      </c>
      <c r="H107" s="75" t="n">
        <f aca="false">IF(SUM($F107)&lt;=0,"",ROUND($F107*(1+$G107),0))</f>
        <v>19</v>
      </c>
    </row>
    <row r="108" customFormat="false" ht="15" hidden="false" customHeight="false" outlineLevel="0" collapsed="false">
      <c r="A108" s="0" t="s">
        <v>146</v>
      </c>
      <c r="B108" s="0" t="s">
        <v>45</v>
      </c>
      <c r="C108" s="0" t="s">
        <v>63</v>
      </c>
      <c r="D108" s="0" t="s">
        <v>58</v>
      </c>
      <c r="E108" s="0" t="str">
        <f aca="false">B108&amp;"|"&amp;C108&amp;"|"&amp;D108</f>
        <v>Maseru [#SNU] [#DREAMS] [tKOXiaNhAyJ]|15-19|Male</v>
      </c>
      <c r="F108" s="73" t="n">
        <v>26</v>
      </c>
      <c r="G108" s="118" t="n">
        <f aca="false">IF(SUM($F108)&lt;=0,"",0%)</f>
        <v>0</v>
      </c>
      <c r="H108" s="75" t="n">
        <f aca="false">IF(SUM($F108)&lt;=0,"",ROUND($F108*(1+$G108),0))</f>
        <v>26</v>
      </c>
    </row>
    <row r="109" customFormat="false" ht="15" hidden="false" customHeight="false" outlineLevel="0" collapsed="false">
      <c r="A109" s="0" t="s">
        <v>146</v>
      </c>
      <c r="B109" s="0" t="s">
        <v>45</v>
      </c>
      <c r="C109" s="0" t="s">
        <v>66</v>
      </c>
      <c r="D109" s="0" t="s">
        <v>56</v>
      </c>
      <c r="E109" s="0" t="str">
        <f aca="false">B109&amp;"|"&amp;C109&amp;"|"&amp;D109</f>
        <v>Maseru [#SNU] [#DREAMS] [tKOXiaNhAyJ]|20-24|Female</v>
      </c>
      <c r="F109" s="73" t="n">
        <v>9</v>
      </c>
      <c r="G109" s="118" t="n">
        <f aca="false">IF(SUM($F109)&lt;=0,"",0%)</f>
        <v>0</v>
      </c>
      <c r="H109" s="75" t="n">
        <f aca="false">IF(SUM($F109)&lt;=0,"",ROUND($F109*(1+$G109),0))</f>
        <v>9</v>
      </c>
    </row>
    <row r="110" customFormat="false" ht="15" hidden="false" customHeight="false" outlineLevel="0" collapsed="false">
      <c r="A110" s="0" t="s">
        <v>146</v>
      </c>
      <c r="B110" s="0" t="s">
        <v>45</v>
      </c>
      <c r="C110" s="0" t="s">
        <v>66</v>
      </c>
      <c r="D110" s="0" t="s">
        <v>58</v>
      </c>
      <c r="E110" s="0" t="str">
        <f aca="false">B110&amp;"|"&amp;C110&amp;"|"&amp;D110</f>
        <v>Maseru [#SNU] [#DREAMS] [tKOXiaNhAyJ]|20-24|Male</v>
      </c>
      <c r="F110" s="73" t="n">
        <v>23</v>
      </c>
      <c r="G110" s="118" t="n">
        <f aca="false">IF(SUM($F110)&lt;=0,"",0%)</f>
        <v>0</v>
      </c>
      <c r="H110" s="75" t="n">
        <f aca="false">IF(SUM($F110)&lt;=0,"",ROUND($F110*(1+$G110),0))</f>
        <v>23</v>
      </c>
    </row>
    <row r="111" customFormat="false" ht="15" hidden="false" customHeight="false" outlineLevel="0" collapsed="false">
      <c r="A111" s="0" t="s">
        <v>146</v>
      </c>
      <c r="B111" s="0" t="s">
        <v>45</v>
      </c>
      <c r="C111" s="0" t="s">
        <v>69</v>
      </c>
      <c r="D111" s="0" t="s">
        <v>56</v>
      </c>
      <c r="E111" s="0" t="str">
        <f aca="false">B111&amp;"|"&amp;C111&amp;"|"&amp;D111</f>
        <v>Maseru [#SNU] [#DREAMS] [tKOXiaNhAyJ]|25-29|Female</v>
      </c>
      <c r="F111" s="73" t="n">
        <v>5</v>
      </c>
      <c r="G111" s="118" t="n">
        <f aca="false">IF(SUM($F111)&lt;=0,"",0%)</f>
        <v>0</v>
      </c>
      <c r="H111" s="75" t="n">
        <f aca="false">IF(SUM($F111)&lt;=0,"",ROUND($F111*(1+$G111),0))</f>
        <v>5</v>
      </c>
    </row>
    <row r="112" customFormat="false" ht="15" hidden="false" customHeight="false" outlineLevel="0" collapsed="false">
      <c r="A112" s="0" t="s">
        <v>146</v>
      </c>
      <c r="B112" s="0" t="s">
        <v>45</v>
      </c>
      <c r="C112" s="0" t="s">
        <v>69</v>
      </c>
      <c r="D112" s="0" t="s">
        <v>58</v>
      </c>
      <c r="E112" s="0" t="str">
        <f aca="false">B112&amp;"|"&amp;C112&amp;"|"&amp;D112</f>
        <v>Maseru [#SNU] [#DREAMS] [tKOXiaNhAyJ]|25-29|Male</v>
      </c>
      <c r="F112" s="73" t="n">
        <v>47</v>
      </c>
      <c r="G112" s="118" t="n">
        <f aca="false">IF(SUM($F112)&lt;=0,"",0%)</f>
        <v>0</v>
      </c>
      <c r="H112" s="75" t="n">
        <f aca="false">IF(SUM($F112)&lt;=0,"",ROUND($F112*(1+$G112),0))</f>
        <v>47</v>
      </c>
    </row>
    <row r="113" customFormat="false" ht="15" hidden="false" customHeight="false" outlineLevel="0" collapsed="false">
      <c r="A113" s="0" t="s">
        <v>146</v>
      </c>
      <c r="B113" s="0" t="s">
        <v>45</v>
      </c>
      <c r="C113" s="0" t="s">
        <v>72</v>
      </c>
      <c r="D113" s="0" t="s">
        <v>56</v>
      </c>
      <c r="E113" s="0" t="str">
        <f aca="false">B113&amp;"|"&amp;C113&amp;"|"&amp;D113</f>
        <v>Maseru [#SNU] [#DREAMS] [tKOXiaNhAyJ]|30-34|Female</v>
      </c>
      <c r="F113" s="73" t="n">
        <v>41</v>
      </c>
      <c r="G113" s="118" t="n">
        <f aca="false">IF(SUM($F113)&lt;=0,"",0%)</f>
        <v>0</v>
      </c>
      <c r="H113" s="75" t="n">
        <f aca="false">IF(SUM($F113)&lt;=0,"",ROUND($F113*(1+$G113),0))</f>
        <v>41</v>
      </c>
    </row>
    <row r="114" customFormat="false" ht="15" hidden="false" customHeight="false" outlineLevel="0" collapsed="false">
      <c r="A114" s="0" t="s">
        <v>146</v>
      </c>
      <c r="B114" s="0" t="s">
        <v>45</v>
      </c>
      <c r="C114" s="0" t="s">
        <v>72</v>
      </c>
      <c r="D114" s="0" t="s">
        <v>58</v>
      </c>
      <c r="E114" s="0" t="str">
        <f aca="false">B114&amp;"|"&amp;C114&amp;"|"&amp;D114</f>
        <v>Maseru [#SNU] [#DREAMS] [tKOXiaNhAyJ]|30-34|Male</v>
      </c>
      <c r="F114" s="73" t="n">
        <v>40</v>
      </c>
      <c r="G114" s="118" t="n">
        <f aca="false">IF(SUM($F114)&lt;=0,"",0%)</f>
        <v>0</v>
      </c>
      <c r="H114" s="75" t="n">
        <f aca="false">IF(SUM($F114)&lt;=0,"",ROUND($F114*(1+$G114),0))</f>
        <v>40</v>
      </c>
    </row>
    <row r="115" customFormat="false" ht="15" hidden="false" customHeight="false" outlineLevel="0" collapsed="false">
      <c r="A115" s="0" t="s">
        <v>146</v>
      </c>
      <c r="B115" s="0" t="s">
        <v>45</v>
      </c>
      <c r="C115" s="0" t="s">
        <v>75</v>
      </c>
      <c r="D115" s="0" t="s">
        <v>56</v>
      </c>
      <c r="E115" s="0" t="str">
        <f aca="false">B115&amp;"|"&amp;C115&amp;"|"&amp;D115</f>
        <v>Maseru [#SNU] [#DREAMS] [tKOXiaNhAyJ]|35-39|Female</v>
      </c>
      <c r="F115" s="73" t="n">
        <v>37</v>
      </c>
      <c r="G115" s="118" t="n">
        <f aca="false">IF(SUM($F115)&lt;=0,"",0%)</f>
        <v>0</v>
      </c>
      <c r="H115" s="75" t="n">
        <f aca="false">IF(SUM($F115)&lt;=0,"",ROUND($F115*(1+$G115),0))</f>
        <v>37</v>
      </c>
    </row>
    <row r="116" customFormat="false" ht="15" hidden="false" customHeight="false" outlineLevel="0" collapsed="false">
      <c r="A116" s="0" t="s">
        <v>146</v>
      </c>
      <c r="B116" s="0" t="s">
        <v>45</v>
      </c>
      <c r="C116" s="0" t="s">
        <v>75</v>
      </c>
      <c r="D116" s="0" t="s">
        <v>58</v>
      </c>
      <c r="E116" s="0" t="str">
        <f aca="false">B116&amp;"|"&amp;C116&amp;"|"&amp;D116</f>
        <v>Maseru [#SNU] [#DREAMS] [tKOXiaNhAyJ]|35-39|Male</v>
      </c>
      <c r="F116" s="73" t="n">
        <v>16</v>
      </c>
      <c r="G116" s="118" t="n">
        <f aca="false">IF(SUM($F116)&lt;=0,"",0%)</f>
        <v>0</v>
      </c>
      <c r="H116" s="75" t="n">
        <f aca="false">IF(SUM($F116)&lt;=0,"",ROUND($F116*(1+$G116),0))</f>
        <v>16</v>
      </c>
    </row>
    <row r="117" customFormat="false" ht="15" hidden="false" customHeight="false" outlineLevel="0" collapsed="false">
      <c r="A117" s="0" t="s">
        <v>146</v>
      </c>
      <c r="B117" s="0" t="s">
        <v>45</v>
      </c>
      <c r="C117" s="0" t="s">
        <v>77</v>
      </c>
      <c r="D117" s="0" t="s">
        <v>56</v>
      </c>
      <c r="E117" s="0" t="str">
        <f aca="false">B117&amp;"|"&amp;C117&amp;"|"&amp;D117</f>
        <v>Maseru [#SNU] [#DREAMS] [tKOXiaNhAyJ]|40-44|Female</v>
      </c>
      <c r="F117" s="73" t="n">
        <v>7</v>
      </c>
      <c r="G117" s="118" t="n">
        <f aca="false">IF(SUM($F117)&lt;=0,"",0%)</f>
        <v>0</v>
      </c>
      <c r="H117" s="75" t="n">
        <f aca="false">IF(SUM($F117)&lt;=0,"",ROUND($F117*(1+$G117),0))</f>
        <v>7</v>
      </c>
    </row>
    <row r="118" customFormat="false" ht="15" hidden="false" customHeight="false" outlineLevel="0" collapsed="false">
      <c r="A118" s="0" t="s">
        <v>146</v>
      </c>
      <c r="B118" s="0" t="s">
        <v>45</v>
      </c>
      <c r="C118" s="0" t="s">
        <v>77</v>
      </c>
      <c r="D118" s="0" t="s">
        <v>58</v>
      </c>
      <c r="E118" s="0" t="str">
        <f aca="false">B118&amp;"|"&amp;C118&amp;"|"&amp;D118</f>
        <v>Maseru [#SNU] [#DREAMS] [tKOXiaNhAyJ]|40-44|Male</v>
      </c>
      <c r="F118" s="73" t="n">
        <v>13</v>
      </c>
      <c r="G118" s="118" t="n">
        <f aca="false">IF(SUM($F118)&lt;=0,"",0%)</f>
        <v>0</v>
      </c>
      <c r="H118" s="75" t="n">
        <f aca="false">IF(SUM($F118)&lt;=0,"",ROUND($F118*(1+$G118),0))</f>
        <v>13</v>
      </c>
    </row>
    <row r="119" customFormat="false" ht="15" hidden="false" customHeight="false" outlineLevel="0" collapsed="false">
      <c r="A119" s="0" t="s">
        <v>146</v>
      </c>
      <c r="B119" s="0" t="s">
        <v>45</v>
      </c>
      <c r="C119" s="0" t="s">
        <v>80</v>
      </c>
      <c r="D119" s="0" t="s">
        <v>56</v>
      </c>
      <c r="E119" s="0" t="str">
        <f aca="false">B119&amp;"|"&amp;C119&amp;"|"&amp;D119</f>
        <v>Maseru [#SNU] [#DREAMS] [tKOXiaNhAyJ]|45-49|Female</v>
      </c>
      <c r="F119" s="73" t="n">
        <v>40</v>
      </c>
      <c r="G119" s="118" t="n">
        <f aca="false">IF(SUM($F119)&lt;=0,"",0%)</f>
        <v>0</v>
      </c>
      <c r="H119" s="75" t="n">
        <f aca="false">IF(SUM($F119)&lt;=0,"",ROUND($F119*(1+$G119),0))</f>
        <v>40</v>
      </c>
    </row>
    <row r="120" customFormat="false" ht="15" hidden="false" customHeight="false" outlineLevel="0" collapsed="false">
      <c r="A120" s="0" t="s">
        <v>146</v>
      </c>
      <c r="B120" s="0" t="s">
        <v>45</v>
      </c>
      <c r="C120" s="0" t="s">
        <v>80</v>
      </c>
      <c r="D120" s="0" t="s">
        <v>58</v>
      </c>
      <c r="E120" s="0" t="str">
        <f aca="false">B120&amp;"|"&amp;C120&amp;"|"&amp;D120</f>
        <v>Maseru [#SNU] [#DREAMS] [tKOXiaNhAyJ]|45-49|Male</v>
      </c>
      <c r="F120" s="73" t="n">
        <v>24</v>
      </c>
      <c r="G120" s="118" t="n">
        <f aca="false">IF(SUM($F120)&lt;=0,"",0%)</f>
        <v>0</v>
      </c>
      <c r="H120" s="75" t="n">
        <f aca="false">IF(SUM($F120)&lt;=0,"",ROUND($F120*(1+$G120),0))</f>
        <v>24</v>
      </c>
    </row>
    <row r="121" customFormat="false" ht="15" hidden="false" customHeight="false" outlineLevel="0" collapsed="false">
      <c r="A121" s="0" t="s">
        <v>146</v>
      </c>
      <c r="B121" s="0" t="s">
        <v>45</v>
      </c>
      <c r="C121" s="0" t="s">
        <v>86</v>
      </c>
      <c r="D121" s="0" t="s">
        <v>56</v>
      </c>
      <c r="E121" s="0" t="str">
        <f aca="false">B121&amp;"|"&amp;C121&amp;"|"&amp;D121</f>
        <v>Maseru [#SNU] [#DREAMS] [tKOXiaNhAyJ]|50+|Female</v>
      </c>
      <c r="F121" s="73" t="n">
        <v>20</v>
      </c>
      <c r="G121" s="118" t="n">
        <f aca="false">IF(SUM($F121)&lt;=0,"",0%)</f>
        <v>0</v>
      </c>
      <c r="H121" s="75" t="n">
        <f aca="false">IF(SUM($F121)&lt;=0,"",ROUND($F121*(1+$G121),0))</f>
        <v>20</v>
      </c>
    </row>
    <row r="122" customFormat="false" ht="15" hidden="false" customHeight="false" outlineLevel="0" collapsed="false">
      <c r="A122" s="0" t="s">
        <v>146</v>
      </c>
      <c r="B122" s="0" t="s">
        <v>45</v>
      </c>
      <c r="C122" s="0" t="s">
        <v>86</v>
      </c>
      <c r="D122" s="0" t="s">
        <v>58</v>
      </c>
      <c r="E122" s="0" t="str">
        <f aca="false">B122&amp;"|"&amp;C122&amp;"|"&amp;D122</f>
        <v>Maseru [#SNU] [#DREAMS] [tKOXiaNhAyJ]|50+|Male</v>
      </c>
      <c r="F122" s="73" t="n">
        <v>8</v>
      </c>
      <c r="G122" s="118" t="n">
        <f aca="false">IF(SUM($F122)&lt;=0,"",0%)</f>
        <v>0</v>
      </c>
      <c r="H122" s="75" t="n">
        <f aca="false">IF(SUM($F122)&lt;=0,"",ROUND($F122*(1+$G122),0))</f>
        <v>8</v>
      </c>
    </row>
    <row r="123" customFormat="false" ht="15" hidden="false" customHeight="false" outlineLevel="0" collapsed="false">
      <c r="A123" s="0" t="s">
        <v>147</v>
      </c>
      <c r="B123" s="0" t="s">
        <v>105</v>
      </c>
      <c r="C123" s="0" t="s">
        <v>61</v>
      </c>
      <c r="D123" s="0" t="s">
        <v>56</v>
      </c>
      <c r="E123" s="0" t="str">
        <f aca="false">B123&amp;"|"&amp;C123&amp;"|"&amp;D123</f>
        <v>Mohale's Hoek [#SNU] [#DREAMS] [YGI7vISD2kJ]|10-14|Female</v>
      </c>
      <c r="F123" s="73" t="n">
        <v>43</v>
      </c>
      <c r="G123" s="118" t="n">
        <f aca="false">IF(SUM($F123)&lt;=0,"",0%)</f>
        <v>0</v>
      </c>
      <c r="H123" s="75" t="n">
        <f aca="false">IF(SUM($F123)&lt;=0,"",ROUND($F123*(1+$G123),0))</f>
        <v>43</v>
      </c>
    </row>
    <row r="124" customFormat="false" ht="15" hidden="false" customHeight="false" outlineLevel="0" collapsed="false">
      <c r="A124" s="0" t="s">
        <v>147</v>
      </c>
      <c r="B124" s="0" t="s">
        <v>105</v>
      </c>
      <c r="C124" s="0" t="s">
        <v>61</v>
      </c>
      <c r="D124" s="0" t="s">
        <v>58</v>
      </c>
      <c r="E124" s="0" t="str">
        <f aca="false">B124&amp;"|"&amp;C124&amp;"|"&amp;D124</f>
        <v>Mohale's Hoek [#SNU] [#DREAMS] [YGI7vISD2kJ]|10-14|Male</v>
      </c>
      <c r="F124" s="73" t="n">
        <v>3</v>
      </c>
      <c r="G124" s="118" t="n">
        <f aca="false">IF(SUM($F124)&lt;=0,"",0%)</f>
        <v>0</v>
      </c>
      <c r="H124" s="75" t="n">
        <f aca="false">IF(SUM($F124)&lt;=0,"",ROUND($F124*(1+$G124),0))</f>
        <v>3</v>
      </c>
    </row>
    <row r="125" customFormat="false" ht="15" hidden="false" customHeight="false" outlineLevel="0" collapsed="false">
      <c r="A125" s="0" t="s">
        <v>147</v>
      </c>
      <c r="B125" s="0" t="s">
        <v>105</v>
      </c>
      <c r="C125" s="0" t="s">
        <v>63</v>
      </c>
      <c r="D125" s="0" t="s">
        <v>56</v>
      </c>
      <c r="E125" s="0" t="str">
        <f aca="false">B125&amp;"|"&amp;C125&amp;"|"&amp;D125</f>
        <v>Mohale's Hoek [#SNU] [#DREAMS] [YGI7vISD2kJ]|15-19|Female</v>
      </c>
      <c r="F125" s="73" t="n">
        <v>44</v>
      </c>
      <c r="G125" s="118" t="n">
        <f aca="false">IF(SUM($F125)&lt;=0,"",0%)</f>
        <v>0</v>
      </c>
      <c r="H125" s="75" t="n">
        <f aca="false">IF(SUM($F125)&lt;=0,"",ROUND($F125*(1+$G125),0))</f>
        <v>44</v>
      </c>
    </row>
    <row r="126" customFormat="false" ht="15" hidden="false" customHeight="false" outlineLevel="0" collapsed="false">
      <c r="A126" s="0" t="s">
        <v>147</v>
      </c>
      <c r="B126" s="0" t="s">
        <v>105</v>
      </c>
      <c r="C126" s="0" t="s">
        <v>63</v>
      </c>
      <c r="D126" s="0" t="s">
        <v>58</v>
      </c>
      <c r="E126" s="0" t="str">
        <f aca="false">B126&amp;"|"&amp;C126&amp;"|"&amp;D126</f>
        <v>Mohale's Hoek [#SNU] [#DREAMS] [YGI7vISD2kJ]|15-19|Male</v>
      </c>
      <c r="F126" s="73" t="n">
        <v>4</v>
      </c>
      <c r="G126" s="118" t="n">
        <f aca="false">IF(SUM($F126)&lt;=0,"",0%)</f>
        <v>0</v>
      </c>
      <c r="H126" s="75" t="n">
        <f aca="false">IF(SUM($F126)&lt;=0,"",ROUND($F126*(1+$G126),0))</f>
        <v>4</v>
      </c>
    </row>
    <row r="127" customFormat="false" ht="15" hidden="false" customHeight="false" outlineLevel="0" collapsed="false">
      <c r="A127" s="0" t="s">
        <v>147</v>
      </c>
      <c r="B127" s="0" t="s">
        <v>105</v>
      </c>
      <c r="C127" s="0" t="s">
        <v>66</v>
      </c>
      <c r="D127" s="0" t="s">
        <v>56</v>
      </c>
      <c r="E127" s="0" t="str">
        <f aca="false">B127&amp;"|"&amp;C127&amp;"|"&amp;D127</f>
        <v>Mohale's Hoek [#SNU] [#DREAMS] [YGI7vISD2kJ]|20-24|Female</v>
      </c>
      <c r="F127" s="73" t="n">
        <v>9</v>
      </c>
      <c r="G127" s="118" t="n">
        <f aca="false">IF(SUM($F127)&lt;=0,"",0%)</f>
        <v>0</v>
      </c>
      <c r="H127" s="75" t="n">
        <f aca="false">IF(SUM($F127)&lt;=0,"",ROUND($F127*(1+$G127),0))</f>
        <v>9</v>
      </c>
    </row>
    <row r="128" customFormat="false" ht="15" hidden="false" customHeight="false" outlineLevel="0" collapsed="false">
      <c r="A128" s="0" t="s">
        <v>147</v>
      </c>
      <c r="B128" s="0" t="s">
        <v>105</v>
      </c>
      <c r="C128" s="0" t="s">
        <v>66</v>
      </c>
      <c r="D128" s="0" t="s">
        <v>58</v>
      </c>
      <c r="E128" s="0" t="str">
        <f aca="false">B128&amp;"|"&amp;C128&amp;"|"&amp;D128</f>
        <v>Mohale's Hoek [#SNU] [#DREAMS] [YGI7vISD2kJ]|20-24|Male</v>
      </c>
      <c r="F128" s="73" t="n">
        <v>38</v>
      </c>
      <c r="G128" s="118" t="n">
        <f aca="false">IF(SUM($F128)&lt;=0,"",0%)</f>
        <v>0</v>
      </c>
      <c r="H128" s="75" t="n">
        <f aca="false">IF(SUM($F128)&lt;=0,"",ROUND($F128*(1+$G128),0))</f>
        <v>38</v>
      </c>
    </row>
    <row r="129" customFormat="false" ht="15" hidden="false" customHeight="false" outlineLevel="0" collapsed="false">
      <c r="A129" s="0" t="s">
        <v>147</v>
      </c>
      <c r="B129" s="0" t="s">
        <v>105</v>
      </c>
      <c r="C129" s="0" t="s">
        <v>69</v>
      </c>
      <c r="D129" s="0" t="s">
        <v>56</v>
      </c>
      <c r="E129" s="0" t="str">
        <f aca="false">B129&amp;"|"&amp;C129&amp;"|"&amp;D129</f>
        <v>Mohale's Hoek [#SNU] [#DREAMS] [YGI7vISD2kJ]|25-29|Female</v>
      </c>
      <c r="F129" s="73" t="n">
        <v>16</v>
      </c>
      <c r="G129" s="118" t="n">
        <f aca="false">IF(SUM($F129)&lt;=0,"",0%)</f>
        <v>0</v>
      </c>
      <c r="H129" s="75" t="n">
        <f aca="false">IF(SUM($F129)&lt;=0,"",ROUND($F129*(1+$G129),0))</f>
        <v>16</v>
      </c>
    </row>
    <row r="130" customFormat="false" ht="15" hidden="false" customHeight="false" outlineLevel="0" collapsed="false">
      <c r="A130" s="0" t="s">
        <v>147</v>
      </c>
      <c r="B130" s="0" t="s">
        <v>105</v>
      </c>
      <c r="C130" s="0" t="s">
        <v>69</v>
      </c>
      <c r="D130" s="0" t="s">
        <v>58</v>
      </c>
      <c r="E130" s="0" t="str">
        <f aca="false">B130&amp;"|"&amp;C130&amp;"|"&amp;D130</f>
        <v>Mohale's Hoek [#SNU] [#DREAMS] [YGI7vISD2kJ]|25-29|Male</v>
      </c>
      <c r="F130" s="73" t="n">
        <v>2</v>
      </c>
      <c r="G130" s="118" t="n">
        <f aca="false">IF(SUM($F130)&lt;=0,"",0%)</f>
        <v>0</v>
      </c>
      <c r="H130" s="75" t="n">
        <f aca="false">IF(SUM($F130)&lt;=0,"",ROUND($F130*(1+$G130),0))</f>
        <v>2</v>
      </c>
    </row>
    <row r="131" customFormat="false" ht="15" hidden="false" customHeight="false" outlineLevel="0" collapsed="false">
      <c r="A131" s="0" t="s">
        <v>147</v>
      </c>
      <c r="B131" s="0" t="s">
        <v>105</v>
      </c>
      <c r="C131" s="0" t="s">
        <v>72</v>
      </c>
      <c r="D131" s="0" t="s">
        <v>56</v>
      </c>
      <c r="E131" s="0" t="str">
        <f aca="false">B131&amp;"|"&amp;C131&amp;"|"&amp;D131</f>
        <v>Mohale's Hoek [#SNU] [#DREAMS] [YGI7vISD2kJ]|30-34|Female</v>
      </c>
      <c r="F131" s="73" t="n">
        <v>4</v>
      </c>
      <c r="G131" s="118" t="n">
        <f aca="false">IF(SUM($F131)&lt;=0,"",0%)</f>
        <v>0</v>
      </c>
      <c r="H131" s="75" t="n">
        <f aca="false">IF(SUM($F131)&lt;=0,"",ROUND($F131*(1+$G131),0))</f>
        <v>4</v>
      </c>
    </row>
    <row r="132" customFormat="false" ht="15" hidden="false" customHeight="false" outlineLevel="0" collapsed="false">
      <c r="A132" s="0" t="s">
        <v>147</v>
      </c>
      <c r="B132" s="0" t="s">
        <v>105</v>
      </c>
      <c r="C132" s="0" t="s">
        <v>72</v>
      </c>
      <c r="D132" s="0" t="s">
        <v>58</v>
      </c>
      <c r="E132" s="0" t="str">
        <f aca="false">B132&amp;"|"&amp;C132&amp;"|"&amp;D132</f>
        <v>Mohale's Hoek [#SNU] [#DREAMS] [YGI7vISD2kJ]|30-34|Male</v>
      </c>
      <c r="F132" s="73" t="n">
        <v>20</v>
      </c>
      <c r="G132" s="118" t="n">
        <f aca="false">IF(SUM($F132)&lt;=0,"",0%)</f>
        <v>0</v>
      </c>
      <c r="H132" s="75" t="n">
        <f aca="false">IF(SUM($F132)&lt;=0,"",ROUND($F132*(1+$G132),0))</f>
        <v>20</v>
      </c>
    </row>
    <row r="133" customFormat="false" ht="15" hidden="false" customHeight="false" outlineLevel="0" collapsed="false">
      <c r="A133" s="0" t="s">
        <v>147</v>
      </c>
      <c r="B133" s="0" t="s">
        <v>105</v>
      </c>
      <c r="C133" s="0" t="s">
        <v>75</v>
      </c>
      <c r="D133" s="0" t="s">
        <v>56</v>
      </c>
      <c r="E133" s="0" t="str">
        <f aca="false">B133&amp;"|"&amp;C133&amp;"|"&amp;D133</f>
        <v>Mohale's Hoek [#SNU] [#DREAMS] [YGI7vISD2kJ]|35-39|Female</v>
      </c>
      <c r="F133" s="73" t="n">
        <v>43</v>
      </c>
      <c r="G133" s="118" t="n">
        <f aca="false">IF(SUM($F133)&lt;=0,"",0%)</f>
        <v>0</v>
      </c>
      <c r="H133" s="75" t="n">
        <f aca="false">IF(SUM($F133)&lt;=0,"",ROUND($F133*(1+$G133),0))</f>
        <v>43</v>
      </c>
    </row>
    <row r="134" customFormat="false" ht="15" hidden="false" customHeight="false" outlineLevel="0" collapsed="false">
      <c r="A134" s="0" t="s">
        <v>147</v>
      </c>
      <c r="B134" s="0" t="s">
        <v>105</v>
      </c>
      <c r="C134" s="0" t="s">
        <v>75</v>
      </c>
      <c r="D134" s="0" t="s">
        <v>58</v>
      </c>
      <c r="E134" s="0" t="str">
        <f aca="false">B134&amp;"|"&amp;C134&amp;"|"&amp;D134</f>
        <v>Mohale's Hoek [#SNU] [#DREAMS] [YGI7vISD2kJ]|35-39|Male</v>
      </c>
      <c r="F134" s="73" t="n">
        <v>34</v>
      </c>
      <c r="G134" s="118" t="n">
        <f aca="false">IF(SUM($F134)&lt;=0,"",0%)</f>
        <v>0</v>
      </c>
      <c r="H134" s="75" t="n">
        <f aca="false">IF(SUM($F134)&lt;=0,"",ROUND($F134*(1+$G134),0))</f>
        <v>34</v>
      </c>
    </row>
    <row r="135" customFormat="false" ht="15" hidden="false" customHeight="false" outlineLevel="0" collapsed="false">
      <c r="A135" s="0" t="s">
        <v>147</v>
      </c>
      <c r="B135" s="0" t="s">
        <v>105</v>
      </c>
      <c r="C135" s="0" t="s">
        <v>77</v>
      </c>
      <c r="D135" s="0" t="s">
        <v>56</v>
      </c>
      <c r="E135" s="0" t="str">
        <f aca="false">B135&amp;"|"&amp;C135&amp;"|"&amp;D135</f>
        <v>Mohale's Hoek [#SNU] [#DREAMS] [YGI7vISD2kJ]|40-44|Female</v>
      </c>
      <c r="F135" s="73" t="n">
        <v>16</v>
      </c>
      <c r="G135" s="118" t="n">
        <f aca="false">IF(SUM($F135)&lt;=0,"",0%)</f>
        <v>0</v>
      </c>
      <c r="H135" s="75" t="n">
        <f aca="false">IF(SUM($F135)&lt;=0,"",ROUND($F135*(1+$G135),0))</f>
        <v>16</v>
      </c>
    </row>
    <row r="136" customFormat="false" ht="15" hidden="false" customHeight="false" outlineLevel="0" collapsed="false">
      <c r="A136" s="0" t="s">
        <v>147</v>
      </c>
      <c r="B136" s="0" t="s">
        <v>105</v>
      </c>
      <c r="C136" s="0" t="s">
        <v>77</v>
      </c>
      <c r="D136" s="0" t="s">
        <v>58</v>
      </c>
      <c r="E136" s="0" t="str">
        <f aca="false">B136&amp;"|"&amp;C136&amp;"|"&amp;D136</f>
        <v>Mohale's Hoek [#SNU] [#DREAMS] [YGI7vISD2kJ]|40-44|Male</v>
      </c>
      <c r="F136" s="73" t="n">
        <v>30</v>
      </c>
      <c r="G136" s="118" t="n">
        <f aca="false">IF(SUM($F136)&lt;=0,"",0%)</f>
        <v>0</v>
      </c>
      <c r="H136" s="75" t="n">
        <f aca="false">IF(SUM($F136)&lt;=0,"",ROUND($F136*(1+$G136),0))</f>
        <v>30</v>
      </c>
    </row>
    <row r="137" customFormat="false" ht="15" hidden="false" customHeight="false" outlineLevel="0" collapsed="false">
      <c r="A137" s="0" t="s">
        <v>147</v>
      </c>
      <c r="B137" s="0" t="s">
        <v>105</v>
      </c>
      <c r="C137" s="0" t="s">
        <v>80</v>
      </c>
      <c r="D137" s="0" t="s">
        <v>56</v>
      </c>
      <c r="E137" s="0" t="str">
        <f aca="false">B137&amp;"|"&amp;C137&amp;"|"&amp;D137</f>
        <v>Mohale's Hoek [#SNU] [#DREAMS] [YGI7vISD2kJ]|45-49|Female</v>
      </c>
      <c r="F137" s="73" t="n">
        <v>46</v>
      </c>
      <c r="G137" s="118" t="n">
        <f aca="false">IF(SUM($F137)&lt;=0,"",0%)</f>
        <v>0</v>
      </c>
      <c r="H137" s="75" t="n">
        <f aca="false">IF(SUM($F137)&lt;=0,"",ROUND($F137*(1+$G137),0))</f>
        <v>46</v>
      </c>
    </row>
    <row r="138" customFormat="false" ht="15" hidden="false" customHeight="false" outlineLevel="0" collapsed="false">
      <c r="A138" s="0" t="s">
        <v>147</v>
      </c>
      <c r="B138" s="0" t="s">
        <v>105</v>
      </c>
      <c r="C138" s="0" t="s">
        <v>80</v>
      </c>
      <c r="D138" s="0" t="s">
        <v>58</v>
      </c>
      <c r="E138" s="0" t="str">
        <f aca="false">B138&amp;"|"&amp;C138&amp;"|"&amp;D138</f>
        <v>Mohale's Hoek [#SNU] [#DREAMS] [YGI7vISD2kJ]|45-49|Male</v>
      </c>
      <c r="F138" s="73" t="n">
        <v>9</v>
      </c>
      <c r="G138" s="118" t="n">
        <f aca="false">IF(SUM($F138)&lt;=0,"",0%)</f>
        <v>0</v>
      </c>
      <c r="H138" s="75" t="n">
        <f aca="false">IF(SUM($F138)&lt;=0,"",ROUND($F138*(1+$G138),0))</f>
        <v>9</v>
      </c>
    </row>
    <row r="139" customFormat="false" ht="15" hidden="false" customHeight="false" outlineLevel="0" collapsed="false">
      <c r="A139" s="0" t="s">
        <v>147</v>
      </c>
      <c r="B139" s="0" t="s">
        <v>105</v>
      </c>
      <c r="C139" s="0" t="s">
        <v>86</v>
      </c>
      <c r="D139" s="0" t="s">
        <v>56</v>
      </c>
      <c r="E139" s="0" t="str">
        <f aca="false">B139&amp;"|"&amp;C139&amp;"|"&amp;D139</f>
        <v>Mohale's Hoek [#SNU] [#DREAMS] [YGI7vISD2kJ]|50+|Female</v>
      </c>
      <c r="F139" s="73" t="n">
        <v>38</v>
      </c>
      <c r="G139" s="118" t="n">
        <f aca="false">IF(SUM($F139)&lt;=0,"",0%)</f>
        <v>0</v>
      </c>
      <c r="H139" s="75" t="n">
        <f aca="false">IF(SUM($F139)&lt;=0,"",ROUND($F139*(1+$G139),0))</f>
        <v>38</v>
      </c>
    </row>
    <row r="140" customFormat="false" ht="15" hidden="false" customHeight="false" outlineLevel="0" collapsed="false">
      <c r="A140" s="0" t="s">
        <v>147</v>
      </c>
      <c r="B140" s="0" t="s">
        <v>105</v>
      </c>
      <c r="C140" s="0" t="s">
        <v>86</v>
      </c>
      <c r="D140" s="0" t="s">
        <v>58</v>
      </c>
      <c r="E140" s="0" t="str">
        <f aca="false">B140&amp;"|"&amp;C140&amp;"|"&amp;D140</f>
        <v>Mohale's Hoek [#SNU] [#DREAMS] [YGI7vISD2kJ]|50+|Male</v>
      </c>
      <c r="F140" s="73" t="n">
        <v>48</v>
      </c>
      <c r="G140" s="118" t="n">
        <f aca="false">IF(SUM($F140)&lt;=0,"",0%)</f>
        <v>0</v>
      </c>
      <c r="H140" s="75" t="n">
        <f aca="false">IF(SUM($F140)&lt;=0,"",ROUND($F140*(1+$G140),0))</f>
        <v>48</v>
      </c>
    </row>
    <row r="141" customFormat="false" ht="15" hidden="false" customHeight="false" outlineLevel="0" collapsed="false">
      <c r="A141" s="0" t="s">
        <v>148</v>
      </c>
      <c r="B141" s="0" t="s">
        <v>113</v>
      </c>
      <c r="C141" s="0" t="s">
        <v>61</v>
      </c>
      <c r="D141" s="0" t="s">
        <v>56</v>
      </c>
      <c r="E141" s="0" t="str">
        <f aca="false">B141&amp;"|"&amp;C141&amp;"|"&amp;D141</f>
        <v>Mokhotlong [#SNU] [tjhYqc1MlVo]|10-14|Female</v>
      </c>
      <c r="F141" s="73" t="n">
        <v>19</v>
      </c>
      <c r="G141" s="118" t="n">
        <f aca="false">IF(SUM($F141)&lt;=0,"",0%)</f>
        <v>0</v>
      </c>
      <c r="H141" s="75" t="n">
        <f aca="false">IF(SUM($F141)&lt;=0,"",ROUND($F141*(1+$G141),0))</f>
        <v>19</v>
      </c>
    </row>
    <row r="142" customFormat="false" ht="15" hidden="false" customHeight="false" outlineLevel="0" collapsed="false">
      <c r="A142" s="0" t="s">
        <v>148</v>
      </c>
      <c r="B142" s="0" t="s">
        <v>113</v>
      </c>
      <c r="C142" s="0" t="s">
        <v>61</v>
      </c>
      <c r="D142" s="0" t="s">
        <v>58</v>
      </c>
      <c r="E142" s="0" t="str">
        <f aca="false">B142&amp;"|"&amp;C142&amp;"|"&amp;D142</f>
        <v>Mokhotlong [#SNU] [tjhYqc1MlVo]|10-14|Male</v>
      </c>
      <c r="F142" s="73" t="n">
        <v>5</v>
      </c>
      <c r="G142" s="118" t="n">
        <f aca="false">IF(SUM($F142)&lt;=0,"",0%)</f>
        <v>0</v>
      </c>
      <c r="H142" s="75" t="n">
        <f aca="false">IF(SUM($F142)&lt;=0,"",ROUND($F142*(1+$G142),0))</f>
        <v>5</v>
      </c>
    </row>
    <row r="143" customFormat="false" ht="15" hidden="false" customHeight="false" outlineLevel="0" collapsed="false">
      <c r="A143" s="0" t="s">
        <v>148</v>
      </c>
      <c r="B143" s="0" t="s">
        <v>113</v>
      </c>
      <c r="C143" s="0" t="s">
        <v>63</v>
      </c>
      <c r="D143" s="0" t="s">
        <v>56</v>
      </c>
      <c r="E143" s="0" t="str">
        <f aca="false">B143&amp;"|"&amp;C143&amp;"|"&amp;D143</f>
        <v>Mokhotlong [#SNU] [tjhYqc1MlVo]|15-19|Female</v>
      </c>
      <c r="F143" s="73" t="n">
        <v>35</v>
      </c>
      <c r="G143" s="118" t="n">
        <f aca="false">IF(SUM($F143)&lt;=0,"",0%)</f>
        <v>0</v>
      </c>
      <c r="H143" s="75" t="n">
        <f aca="false">IF(SUM($F143)&lt;=0,"",ROUND($F143*(1+$G143),0))</f>
        <v>35</v>
      </c>
    </row>
    <row r="144" customFormat="false" ht="15" hidden="false" customHeight="false" outlineLevel="0" collapsed="false">
      <c r="A144" s="0" t="s">
        <v>148</v>
      </c>
      <c r="B144" s="0" t="s">
        <v>113</v>
      </c>
      <c r="C144" s="0" t="s">
        <v>63</v>
      </c>
      <c r="D144" s="0" t="s">
        <v>58</v>
      </c>
      <c r="E144" s="0" t="str">
        <f aca="false">B144&amp;"|"&amp;C144&amp;"|"&amp;D144</f>
        <v>Mokhotlong [#SNU] [tjhYqc1MlVo]|15-19|Male</v>
      </c>
      <c r="F144" s="73" t="n">
        <v>9</v>
      </c>
      <c r="G144" s="118" t="n">
        <f aca="false">IF(SUM($F144)&lt;=0,"",0%)</f>
        <v>0</v>
      </c>
      <c r="H144" s="75" t="n">
        <f aca="false">IF(SUM($F144)&lt;=0,"",ROUND($F144*(1+$G144),0))</f>
        <v>9</v>
      </c>
    </row>
    <row r="145" customFormat="false" ht="15" hidden="false" customHeight="false" outlineLevel="0" collapsed="false">
      <c r="A145" s="0" t="s">
        <v>148</v>
      </c>
      <c r="B145" s="0" t="s">
        <v>113</v>
      </c>
      <c r="C145" s="0" t="s">
        <v>66</v>
      </c>
      <c r="D145" s="0" t="s">
        <v>56</v>
      </c>
      <c r="E145" s="0" t="str">
        <f aca="false">B145&amp;"|"&amp;C145&amp;"|"&amp;D145</f>
        <v>Mokhotlong [#SNU] [tjhYqc1MlVo]|20-24|Female</v>
      </c>
      <c r="F145" s="73" t="n">
        <v>11</v>
      </c>
      <c r="G145" s="118" t="n">
        <f aca="false">IF(SUM($F145)&lt;=0,"",0%)</f>
        <v>0</v>
      </c>
      <c r="H145" s="75" t="n">
        <f aca="false">IF(SUM($F145)&lt;=0,"",ROUND($F145*(1+$G145),0))</f>
        <v>11</v>
      </c>
    </row>
    <row r="146" customFormat="false" ht="15" hidden="false" customHeight="false" outlineLevel="0" collapsed="false">
      <c r="A146" s="0" t="s">
        <v>148</v>
      </c>
      <c r="B146" s="0" t="s">
        <v>113</v>
      </c>
      <c r="C146" s="0" t="s">
        <v>66</v>
      </c>
      <c r="D146" s="0" t="s">
        <v>58</v>
      </c>
      <c r="E146" s="0" t="str">
        <f aca="false">B146&amp;"|"&amp;C146&amp;"|"&amp;D146</f>
        <v>Mokhotlong [#SNU] [tjhYqc1MlVo]|20-24|Male</v>
      </c>
      <c r="F146" s="73" t="n">
        <v>22</v>
      </c>
      <c r="G146" s="118" t="n">
        <f aca="false">IF(SUM($F146)&lt;=0,"",0%)</f>
        <v>0</v>
      </c>
      <c r="H146" s="75" t="n">
        <f aca="false">IF(SUM($F146)&lt;=0,"",ROUND($F146*(1+$G146),0))</f>
        <v>22</v>
      </c>
    </row>
    <row r="147" customFormat="false" ht="15" hidden="false" customHeight="false" outlineLevel="0" collapsed="false">
      <c r="A147" s="0" t="s">
        <v>148</v>
      </c>
      <c r="B147" s="0" t="s">
        <v>113</v>
      </c>
      <c r="C147" s="0" t="s">
        <v>69</v>
      </c>
      <c r="D147" s="0" t="s">
        <v>56</v>
      </c>
      <c r="E147" s="0" t="str">
        <f aca="false">B147&amp;"|"&amp;C147&amp;"|"&amp;D147</f>
        <v>Mokhotlong [#SNU] [tjhYqc1MlVo]|25-29|Female</v>
      </c>
      <c r="F147" s="73" t="n">
        <v>25</v>
      </c>
      <c r="G147" s="118" t="n">
        <f aca="false">IF(SUM($F147)&lt;=0,"",0%)</f>
        <v>0</v>
      </c>
      <c r="H147" s="75" t="n">
        <f aca="false">IF(SUM($F147)&lt;=0,"",ROUND($F147*(1+$G147),0))</f>
        <v>25</v>
      </c>
    </row>
    <row r="148" customFormat="false" ht="15" hidden="false" customHeight="false" outlineLevel="0" collapsed="false">
      <c r="A148" s="0" t="s">
        <v>148</v>
      </c>
      <c r="B148" s="0" t="s">
        <v>113</v>
      </c>
      <c r="C148" s="0" t="s">
        <v>69</v>
      </c>
      <c r="D148" s="0" t="s">
        <v>58</v>
      </c>
      <c r="E148" s="0" t="str">
        <f aca="false">B148&amp;"|"&amp;C148&amp;"|"&amp;D148</f>
        <v>Mokhotlong [#SNU] [tjhYqc1MlVo]|25-29|Male</v>
      </c>
      <c r="F148" s="73" t="n">
        <v>40</v>
      </c>
      <c r="G148" s="118" t="n">
        <f aca="false">IF(SUM($F148)&lt;=0,"",0%)</f>
        <v>0</v>
      </c>
      <c r="H148" s="75" t="n">
        <f aca="false">IF(SUM($F148)&lt;=0,"",ROUND($F148*(1+$G148),0))</f>
        <v>40</v>
      </c>
    </row>
    <row r="149" customFormat="false" ht="15" hidden="false" customHeight="false" outlineLevel="0" collapsed="false">
      <c r="A149" s="0" t="s">
        <v>148</v>
      </c>
      <c r="B149" s="0" t="s">
        <v>113</v>
      </c>
      <c r="C149" s="0" t="s">
        <v>72</v>
      </c>
      <c r="D149" s="0" t="s">
        <v>56</v>
      </c>
      <c r="E149" s="0" t="str">
        <f aca="false">B149&amp;"|"&amp;C149&amp;"|"&amp;D149</f>
        <v>Mokhotlong [#SNU] [tjhYqc1MlVo]|30-34|Female</v>
      </c>
      <c r="F149" s="73" t="n">
        <v>16</v>
      </c>
      <c r="G149" s="118" t="n">
        <f aca="false">IF(SUM($F149)&lt;=0,"",0%)</f>
        <v>0</v>
      </c>
      <c r="H149" s="75" t="n">
        <f aca="false">IF(SUM($F149)&lt;=0,"",ROUND($F149*(1+$G149),0))</f>
        <v>16</v>
      </c>
    </row>
    <row r="150" customFormat="false" ht="15" hidden="false" customHeight="false" outlineLevel="0" collapsed="false">
      <c r="A150" s="0" t="s">
        <v>148</v>
      </c>
      <c r="B150" s="0" t="s">
        <v>113</v>
      </c>
      <c r="C150" s="0" t="s">
        <v>72</v>
      </c>
      <c r="D150" s="0" t="s">
        <v>58</v>
      </c>
      <c r="E150" s="0" t="str">
        <f aca="false">B150&amp;"|"&amp;C150&amp;"|"&amp;D150</f>
        <v>Mokhotlong [#SNU] [tjhYqc1MlVo]|30-34|Male</v>
      </c>
      <c r="F150" s="73" t="n">
        <v>42</v>
      </c>
      <c r="G150" s="118" t="n">
        <f aca="false">IF(SUM($F150)&lt;=0,"",0%)</f>
        <v>0</v>
      </c>
      <c r="H150" s="75" t="n">
        <f aca="false">IF(SUM($F150)&lt;=0,"",ROUND($F150*(1+$G150),0))</f>
        <v>42</v>
      </c>
    </row>
    <row r="151" customFormat="false" ht="15" hidden="false" customHeight="false" outlineLevel="0" collapsed="false">
      <c r="A151" s="0" t="s">
        <v>148</v>
      </c>
      <c r="B151" s="0" t="s">
        <v>113</v>
      </c>
      <c r="C151" s="0" t="s">
        <v>75</v>
      </c>
      <c r="D151" s="0" t="s">
        <v>56</v>
      </c>
      <c r="E151" s="0" t="str">
        <f aca="false">B151&amp;"|"&amp;C151&amp;"|"&amp;D151</f>
        <v>Mokhotlong [#SNU] [tjhYqc1MlVo]|35-39|Female</v>
      </c>
      <c r="F151" s="73" t="n">
        <v>9</v>
      </c>
      <c r="G151" s="118" t="n">
        <f aca="false">IF(SUM($F151)&lt;=0,"",0%)</f>
        <v>0</v>
      </c>
      <c r="H151" s="75" t="n">
        <f aca="false">IF(SUM($F151)&lt;=0,"",ROUND($F151*(1+$G151),0))</f>
        <v>9</v>
      </c>
    </row>
    <row r="152" customFormat="false" ht="15" hidden="false" customHeight="false" outlineLevel="0" collapsed="false">
      <c r="A152" s="0" t="s">
        <v>148</v>
      </c>
      <c r="B152" s="0" t="s">
        <v>113</v>
      </c>
      <c r="C152" s="0" t="s">
        <v>75</v>
      </c>
      <c r="D152" s="0" t="s">
        <v>58</v>
      </c>
      <c r="E152" s="0" t="str">
        <f aca="false">B152&amp;"|"&amp;C152&amp;"|"&amp;D152</f>
        <v>Mokhotlong [#SNU] [tjhYqc1MlVo]|35-39|Male</v>
      </c>
      <c r="F152" s="73" t="n">
        <v>11</v>
      </c>
      <c r="G152" s="118" t="n">
        <f aca="false">IF(SUM($F152)&lt;=0,"",0%)</f>
        <v>0</v>
      </c>
      <c r="H152" s="75" t="n">
        <f aca="false">IF(SUM($F152)&lt;=0,"",ROUND($F152*(1+$G152),0))</f>
        <v>11</v>
      </c>
    </row>
    <row r="153" customFormat="false" ht="15" hidden="false" customHeight="false" outlineLevel="0" collapsed="false">
      <c r="A153" s="0" t="s">
        <v>148</v>
      </c>
      <c r="B153" s="0" t="s">
        <v>113</v>
      </c>
      <c r="C153" s="0" t="s">
        <v>77</v>
      </c>
      <c r="D153" s="0" t="s">
        <v>56</v>
      </c>
      <c r="E153" s="0" t="str">
        <f aca="false">B153&amp;"|"&amp;C153&amp;"|"&amp;D153</f>
        <v>Mokhotlong [#SNU] [tjhYqc1MlVo]|40-44|Female</v>
      </c>
      <c r="F153" s="73" t="n">
        <v>3</v>
      </c>
      <c r="G153" s="118" t="n">
        <f aca="false">IF(SUM($F153)&lt;=0,"",0%)</f>
        <v>0</v>
      </c>
      <c r="H153" s="75" t="n">
        <f aca="false">IF(SUM($F153)&lt;=0,"",ROUND($F153*(1+$G153),0))</f>
        <v>3</v>
      </c>
    </row>
    <row r="154" customFormat="false" ht="15" hidden="false" customHeight="false" outlineLevel="0" collapsed="false">
      <c r="A154" s="0" t="s">
        <v>148</v>
      </c>
      <c r="B154" s="0" t="s">
        <v>113</v>
      </c>
      <c r="C154" s="0" t="s">
        <v>77</v>
      </c>
      <c r="D154" s="0" t="s">
        <v>58</v>
      </c>
      <c r="E154" s="0" t="str">
        <f aca="false">B154&amp;"|"&amp;C154&amp;"|"&amp;D154</f>
        <v>Mokhotlong [#SNU] [tjhYqc1MlVo]|40-44|Male</v>
      </c>
      <c r="F154" s="73" t="n">
        <v>43</v>
      </c>
      <c r="G154" s="118" t="n">
        <f aca="false">IF(SUM($F154)&lt;=0,"",0%)</f>
        <v>0</v>
      </c>
      <c r="H154" s="75" t="n">
        <f aca="false">IF(SUM($F154)&lt;=0,"",ROUND($F154*(1+$G154),0))</f>
        <v>43</v>
      </c>
    </row>
    <row r="155" customFormat="false" ht="15" hidden="false" customHeight="false" outlineLevel="0" collapsed="false">
      <c r="A155" s="0" t="s">
        <v>148</v>
      </c>
      <c r="B155" s="0" t="s">
        <v>113</v>
      </c>
      <c r="C155" s="0" t="s">
        <v>80</v>
      </c>
      <c r="D155" s="0" t="s">
        <v>56</v>
      </c>
      <c r="E155" s="0" t="str">
        <f aca="false">B155&amp;"|"&amp;C155&amp;"|"&amp;D155</f>
        <v>Mokhotlong [#SNU] [tjhYqc1MlVo]|45-49|Female</v>
      </c>
      <c r="F155" s="73" t="n">
        <v>3</v>
      </c>
      <c r="G155" s="118" t="n">
        <f aca="false">IF(SUM($F155)&lt;=0,"",0%)</f>
        <v>0</v>
      </c>
      <c r="H155" s="75" t="n">
        <f aca="false">IF(SUM($F155)&lt;=0,"",ROUND($F155*(1+$G155),0))</f>
        <v>3</v>
      </c>
    </row>
    <row r="156" customFormat="false" ht="15" hidden="false" customHeight="false" outlineLevel="0" collapsed="false">
      <c r="A156" s="0" t="s">
        <v>148</v>
      </c>
      <c r="B156" s="0" t="s">
        <v>113</v>
      </c>
      <c r="C156" s="0" t="s">
        <v>80</v>
      </c>
      <c r="D156" s="0" t="s">
        <v>58</v>
      </c>
      <c r="E156" s="0" t="str">
        <f aca="false">B156&amp;"|"&amp;C156&amp;"|"&amp;D156</f>
        <v>Mokhotlong [#SNU] [tjhYqc1MlVo]|45-49|Male</v>
      </c>
      <c r="F156" s="73" t="n">
        <v>28</v>
      </c>
      <c r="G156" s="118" t="n">
        <f aca="false">IF(SUM($F156)&lt;=0,"",0%)</f>
        <v>0</v>
      </c>
      <c r="H156" s="75" t="n">
        <f aca="false">IF(SUM($F156)&lt;=0,"",ROUND($F156*(1+$G156),0))</f>
        <v>28</v>
      </c>
    </row>
    <row r="157" customFormat="false" ht="15" hidden="false" customHeight="false" outlineLevel="0" collapsed="false">
      <c r="A157" s="0" t="s">
        <v>148</v>
      </c>
      <c r="B157" s="0" t="s">
        <v>113</v>
      </c>
      <c r="C157" s="0" t="s">
        <v>86</v>
      </c>
      <c r="D157" s="0" t="s">
        <v>56</v>
      </c>
      <c r="E157" s="0" t="str">
        <f aca="false">B157&amp;"|"&amp;C157&amp;"|"&amp;D157</f>
        <v>Mokhotlong [#SNU] [tjhYqc1MlVo]|50+|Female</v>
      </c>
      <c r="F157" s="73" t="n">
        <v>8</v>
      </c>
      <c r="G157" s="118" t="n">
        <f aca="false">IF(SUM($F157)&lt;=0,"",0%)</f>
        <v>0</v>
      </c>
      <c r="H157" s="75" t="n">
        <f aca="false">IF(SUM($F157)&lt;=0,"",ROUND($F157*(1+$G157),0))</f>
        <v>8</v>
      </c>
    </row>
    <row r="158" customFormat="false" ht="15" hidden="false" customHeight="false" outlineLevel="0" collapsed="false">
      <c r="A158" s="0" t="s">
        <v>148</v>
      </c>
      <c r="B158" s="0" t="s">
        <v>113</v>
      </c>
      <c r="C158" s="0" t="s">
        <v>86</v>
      </c>
      <c r="D158" s="0" t="s">
        <v>58</v>
      </c>
      <c r="E158" s="0" t="str">
        <f aca="false">B158&amp;"|"&amp;C158&amp;"|"&amp;D158</f>
        <v>Mokhotlong [#SNU] [tjhYqc1MlVo]|50+|Male</v>
      </c>
      <c r="F158" s="73" t="n">
        <v>20</v>
      </c>
      <c r="G158" s="118" t="n">
        <f aca="false">IF(SUM($F158)&lt;=0,"",0%)</f>
        <v>0</v>
      </c>
      <c r="H158" s="75" t="n">
        <f aca="false">IF(SUM($F158)&lt;=0,"",ROUND($F158*(1+$G158),0))</f>
        <v>20</v>
      </c>
    </row>
    <row r="159" customFormat="false" ht="15" hidden="false" customHeight="false" outlineLevel="0" collapsed="false">
      <c r="A159" s="0" t="s">
        <v>149</v>
      </c>
      <c r="B159" s="0" t="s">
        <v>111</v>
      </c>
      <c r="C159" s="0" t="s">
        <v>61</v>
      </c>
      <c r="D159" s="0" t="s">
        <v>56</v>
      </c>
      <c r="E159" s="0" t="str">
        <f aca="false">B159&amp;"|"&amp;C159&amp;"|"&amp;D159</f>
        <v>Qacha's Nek [#SNU] [zTaMbxvQtJ6]|10-14|Female</v>
      </c>
      <c r="F159" s="73" t="n">
        <v>23</v>
      </c>
      <c r="G159" s="118" t="n">
        <f aca="false">IF(SUM($F159)&lt;=0,"",0%)</f>
        <v>0</v>
      </c>
      <c r="H159" s="75" t="n">
        <f aca="false">IF(SUM($F159)&lt;=0,"",ROUND($F159*(1+$G159),0))</f>
        <v>23</v>
      </c>
    </row>
    <row r="160" customFormat="false" ht="15" hidden="false" customHeight="false" outlineLevel="0" collapsed="false">
      <c r="A160" s="0" t="s">
        <v>149</v>
      </c>
      <c r="B160" s="0" t="s">
        <v>111</v>
      </c>
      <c r="C160" s="0" t="s">
        <v>61</v>
      </c>
      <c r="D160" s="0" t="s">
        <v>58</v>
      </c>
      <c r="E160" s="0" t="str">
        <f aca="false">B160&amp;"|"&amp;C160&amp;"|"&amp;D160</f>
        <v>Qacha's Nek [#SNU] [zTaMbxvQtJ6]|10-14|Male</v>
      </c>
      <c r="F160" s="73" t="n">
        <v>45</v>
      </c>
      <c r="G160" s="118" t="n">
        <f aca="false">IF(SUM($F160)&lt;=0,"",0%)</f>
        <v>0</v>
      </c>
      <c r="H160" s="75" t="n">
        <f aca="false">IF(SUM($F160)&lt;=0,"",ROUND($F160*(1+$G160),0))</f>
        <v>45</v>
      </c>
    </row>
    <row r="161" customFormat="false" ht="15" hidden="false" customHeight="false" outlineLevel="0" collapsed="false">
      <c r="A161" s="0" t="s">
        <v>149</v>
      </c>
      <c r="B161" s="0" t="s">
        <v>111</v>
      </c>
      <c r="C161" s="0" t="s">
        <v>63</v>
      </c>
      <c r="D161" s="0" t="s">
        <v>56</v>
      </c>
      <c r="E161" s="0" t="str">
        <f aca="false">B161&amp;"|"&amp;C161&amp;"|"&amp;D161</f>
        <v>Qacha's Nek [#SNU] [zTaMbxvQtJ6]|15-19|Female</v>
      </c>
      <c r="F161" s="73" t="n">
        <v>41</v>
      </c>
      <c r="G161" s="118" t="n">
        <f aca="false">IF(SUM($F161)&lt;=0,"",0%)</f>
        <v>0</v>
      </c>
      <c r="H161" s="75" t="n">
        <f aca="false">IF(SUM($F161)&lt;=0,"",ROUND($F161*(1+$G161),0))</f>
        <v>41</v>
      </c>
    </row>
    <row r="162" customFormat="false" ht="15" hidden="false" customHeight="false" outlineLevel="0" collapsed="false">
      <c r="A162" s="0" t="s">
        <v>149</v>
      </c>
      <c r="B162" s="0" t="s">
        <v>111</v>
      </c>
      <c r="C162" s="0" t="s">
        <v>63</v>
      </c>
      <c r="D162" s="0" t="s">
        <v>58</v>
      </c>
      <c r="E162" s="0" t="str">
        <f aca="false">B162&amp;"|"&amp;C162&amp;"|"&amp;D162</f>
        <v>Qacha's Nek [#SNU] [zTaMbxvQtJ6]|15-19|Male</v>
      </c>
      <c r="F162" s="73" t="n">
        <v>50</v>
      </c>
      <c r="G162" s="118" t="n">
        <f aca="false">IF(SUM($F162)&lt;=0,"",0%)</f>
        <v>0</v>
      </c>
      <c r="H162" s="75" t="n">
        <f aca="false">IF(SUM($F162)&lt;=0,"",ROUND($F162*(1+$G162),0))</f>
        <v>50</v>
      </c>
    </row>
    <row r="163" customFormat="false" ht="15" hidden="false" customHeight="false" outlineLevel="0" collapsed="false">
      <c r="A163" s="0" t="s">
        <v>149</v>
      </c>
      <c r="B163" s="0" t="s">
        <v>111</v>
      </c>
      <c r="C163" s="0" t="s">
        <v>66</v>
      </c>
      <c r="D163" s="0" t="s">
        <v>56</v>
      </c>
      <c r="E163" s="0" t="str">
        <f aca="false">B163&amp;"|"&amp;C163&amp;"|"&amp;D163</f>
        <v>Qacha's Nek [#SNU] [zTaMbxvQtJ6]|20-24|Female</v>
      </c>
      <c r="F163" s="73" t="n">
        <v>31</v>
      </c>
      <c r="G163" s="118" t="n">
        <f aca="false">IF(SUM($F163)&lt;=0,"",0%)</f>
        <v>0</v>
      </c>
      <c r="H163" s="75" t="n">
        <f aca="false">IF(SUM($F163)&lt;=0,"",ROUND($F163*(1+$G163),0))</f>
        <v>31</v>
      </c>
    </row>
    <row r="164" customFormat="false" ht="15" hidden="false" customHeight="false" outlineLevel="0" collapsed="false">
      <c r="A164" s="0" t="s">
        <v>149</v>
      </c>
      <c r="B164" s="0" t="s">
        <v>111</v>
      </c>
      <c r="C164" s="0" t="s">
        <v>66</v>
      </c>
      <c r="D164" s="0" t="s">
        <v>58</v>
      </c>
      <c r="E164" s="0" t="str">
        <f aca="false">B164&amp;"|"&amp;C164&amp;"|"&amp;D164</f>
        <v>Qacha's Nek [#SNU] [zTaMbxvQtJ6]|20-24|Male</v>
      </c>
      <c r="F164" s="73" t="n">
        <v>5</v>
      </c>
      <c r="G164" s="118" t="n">
        <f aca="false">IF(SUM($F164)&lt;=0,"",0%)</f>
        <v>0</v>
      </c>
      <c r="H164" s="75" t="n">
        <f aca="false">IF(SUM($F164)&lt;=0,"",ROUND($F164*(1+$G164),0))</f>
        <v>5</v>
      </c>
    </row>
    <row r="165" customFormat="false" ht="15" hidden="false" customHeight="false" outlineLevel="0" collapsed="false">
      <c r="A165" s="0" t="s">
        <v>149</v>
      </c>
      <c r="B165" s="0" t="s">
        <v>111</v>
      </c>
      <c r="C165" s="0" t="s">
        <v>69</v>
      </c>
      <c r="D165" s="0" t="s">
        <v>56</v>
      </c>
      <c r="E165" s="0" t="str">
        <f aca="false">B165&amp;"|"&amp;C165&amp;"|"&amp;D165</f>
        <v>Qacha's Nek [#SNU] [zTaMbxvQtJ6]|25-29|Female</v>
      </c>
      <c r="F165" s="73" t="n">
        <v>44</v>
      </c>
      <c r="G165" s="118" t="n">
        <f aca="false">IF(SUM($F165)&lt;=0,"",0%)</f>
        <v>0</v>
      </c>
      <c r="H165" s="75" t="n">
        <f aca="false">IF(SUM($F165)&lt;=0,"",ROUND($F165*(1+$G165),0))</f>
        <v>44</v>
      </c>
    </row>
    <row r="166" customFormat="false" ht="15" hidden="false" customHeight="false" outlineLevel="0" collapsed="false">
      <c r="A166" s="0" t="s">
        <v>149</v>
      </c>
      <c r="B166" s="0" t="s">
        <v>111</v>
      </c>
      <c r="C166" s="0" t="s">
        <v>69</v>
      </c>
      <c r="D166" s="0" t="s">
        <v>58</v>
      </c>
      <c r="E166" s="0" t="str">
        <f aca="false">B166&amp;"|"&amp;C166&amp;"|"&amp;D166</f>
        <v>Qacha's Nek [#SNU] [zTaMbxvQtJ6]|25-29|Male</v>
      </c>
      <c r="F166" s="73" t="n">
        <v>9</v>
      </c>
      <c r="G166" s="118" t="n">
        <f aca="false">IF(SUM($F166)&lt;=0,"",0%)</f>
        <v>0</v>
      </c>
      <c r="H166" s="75" t="n">
        <f aca="false">IF(SUM($F166)&lt;=0,"",ROUND($F166*(1+$G166),0))</f>
        <v>9</v>
      </c>
    </row>
    <row r="167" customFormat="false" ht="15" hidden="false" customHeight="false" outlineLevel="0" collapsed="false">
      <c r="A167" s="0" t="s">
        <v>149</v>
      </c>
      <c r="B167" s="0" t="s">
        <v>111</v>
      </c>
      <c r="C167" s="0" t="s">
        <v>72</v>
      </c>
      <c r="D167" s="0" t="s">
        <v>56</v>
      </c>
      <c r="E167" s="0" t="str">
        <f aca="false">B167&amp;"|"&amp;C167&amp;"|"&amp;D167</f>
        <v>Qacha's Nek [#SNU] [zTaMbxvQtJ6]|30-34|Female</v>
      </c>
      <c r="F167" s="73" t="n">
        <v>36</v>
      </c>
      <c r="G167" s="118" t="n">
        <f aca="false">IF(SUM($F167)&lt;=0,"",0%)</f>
        <v>0</v>
      </c>
      <c r="H167" s="75" t="n">
        <f aca="false">IF(SUM($F167)&lt;=0,"",ROUND($F167*(1+$G167),0))</f>
        <v>36</v>
      </c>
    </row>
    <row r="168" customFormat="false" ht="15" hidden="false" customHeight="false" outlineLevel="0" collapsed="false">
      <c r="A168" s="0" t="s">
        <v>149</v>
      </c>
      <c r="B168" s="0" t="s">
        <v>111</v>
      </c>
      <c r="C168" s="0" t="s">
        <v>72</v>
      </c>
      <c r="D168" s="0" t="s">
        <v>58</v>
      </c>
      <c r="E168" s="0" t="str">
        <f aca="false">B168&amp;"|"&amp;C168&amp;"|"&amp;D168</f>
        <v>Qacha's Nek [#SNU] [zTaMbxvQtJ6]|30-34|Male</v>
      </c>
      <c r="F168" s="73" t="n">
        <v>5</v>
      </c>
      <c r="G168" s="118" t="n">
        <f aca="false">IF(SUM($F168)&lt;=0,"",0%)</f>
        <v>0</v>
      </c>
      <c r="H168" s="75" t="n">
        <f aca="false">IF(SUM($F168)&lt;=0,"",ROUND($F168*(1+$G168),0))</f>
        <v>5</v>
      </c>
    </row>
    <row r="169" customFormat="false" ht="15" hidden="false" customHeight="false" outlineLevel="0" collapsed="false">
      <c r="A169" s="0" t="s">
        <v>149</v>
      </c>
      <c r="B169" s="0" t="s">
        <v>111</v>
      </c>
      <c r="C169" s="0" t="s">
        <v>75</v>
      </c>
      <c r="D169" s="0" t="s">
        <v>56</v>
      </c>
      <c r="E169" s="0" t="str">
        <f aca="false">B169&amp;"|"&amp;C169&amp;"|"&amp;D169</f>
        <v>Qacha's Nek [#SNU] [zTaMbxvQtJ6]|35-39|Female</v>
      </c>
      <c r="F169" s="73" t="n">
        <v>48</v>
      </c>
      <c r="G169" s="118" t="n">
        <f aca="false">IF(SUM($F169)&lt;=0,"",0%)</f>
        <v>0</v>
      </c>
      <c r="H169" s="75" t="n">
        <f aca="false">IF(SUM($F169)&lt;=0,"",ROUND($F169*(1+$G169),0))</f>
        <v>48</v>
      </c>
    </row>
    <row r="170" customFormat="false" ht="15" hidden="false" customHeight="false" outlineLevel="0" collapsed="false">
      <c r="A170" s="0" t="s">
        <v>149</v>
      </c>
      <c r="B170" s="0" t="s">
        <v>111</v>
      </c>
      <c r="C170" s="0" t="s">
        <v>75</v>
      </c>
      <c r="D170" s="0" t="s">
        <v>58</v>
      </c>
      <c r="E170" s="0" t="str">
        <f aca="false">B170&amp;"|"&amp;C170&amp;"|"&amp;D170</f>
        <v>Qacha's Nek [#SNU] [zTaMbxvQtJ6]|35-39|Male</v>
      </c>
      <c r="F170" s="73" t="n">
        <v>33</v>
      </c>
      <c r="G170" s="118" t="n">
        <f aca="false">IF(SUM($F170)&lt;=0,"",0%)</f>
        <v>0</v>
      </c>
      <c r="H170" s="75" t="n">
        <f aca="false">IF(SUM($F170)&lt;=0,"",ROUND($F170*(1+$G170),0))</f>
        <v>33</v>
      </c>
    </row>
    <row r="171" customFormat="false" ht="15" hidden="false" customHeight="false" outlineLevel="0" collapsed="false">
      <c r="A171" s="0" t="s">
        <v>149</v>
      </c>
      <c r="B171" s="0" t="s">
        <v>111</v>
      </c>
      <c r="C171" s="0" t="s">
        <v>77</v>
      </c>
      <c r="D171" s="0" t="s">
        <v>56</v>
      </c>
      <c r="E171" s="0" t="str">
        <f aca="false">B171&amp;"|"&amp;C171&amp;"|"&amp;D171</f>
        <v>Qacha's Nek [#SNU] [zTaMbxvQtJ6]|40-44|Female</v>
      </c>
      <c r="F171" s="73" t="n">
        <v>48</v>
      </c>
      <c r="G171" s="118" t="n">
        <f aca="false">IF(SUM($F171)&lt;=0,"",0%)</f>
        <v>0</v>
      </c>
      <c r="H171" s="75" t="n">
        <f aca="false">IF(SUM($F171)&lt;=0,"",ROUND($F171*(1+$G171),0))</f>
        <v>48</v>
      </c>
    </row>
    <row r="172" customFormat="false" ht="15" hidden="false" customHeight="false" outlineLevel="0" collapsed="false">
      <c r="A172" s="0" t="s">
        <v>149</v>
      </c>
      <c r="B172" s="0" t="s">
        <v>111</v>
      </c>
      <c r="C172" s="0" t="s">
        <v>77</v>
      </c>
      <c r="D172" s="0" t="s">
        <v>58</v>
      </c>
      <c r="E172" s="0" t="str">
        <f aca="false">B172&amp;"|"&amp;C172&amp;"|"&amp;D172</f>
        <v>Qacha's Nek [#SNU] [zTaMbxvQtJ6]|40-44|Male</v>
      </c>
      <c r="F172" s="73" t="n">
        <v>36</v>
      </c>
      <c r="G172" s="118" t="n">
        <f aca="false">IF(SUM($F172)&lt;=0,"",0%)</f>
        <v>0</v>
      </c>
      <c r="H172" s="75" t="n">
        <f aca="false">IF(SUM($F172)&lt;=0,"",ROUND($F172*(1+$G172),0))</f>
        <v>36</v>
      </c>
    </row>
    <row r="173" customFormat="false" ht="15" hidden="false" customHeight="false" outlineLevel="0" collapsed="false">
      <c r="A173" s="0" t="s">
        <v>149</v>
      </c>
      <c r="B173" s="0" t="s">
        <v>111</v>
      </c>
      <c r="C173" s="0" t="s">
        <v>80</v>
      </c>
      <c r="D173" s="0" t="s">
        <v>56</v>
      </c>
      <c r="E173" s="0" t="str">
        <f aca="false">B173&amp;"|"&amp;C173&amp;"|"&amp;D173</f>
        <v>Qacha's Nek [#SNU] [zTaMbxvQtJ6]|45-49|Female</v>
      </c>
      <c r="F173" s="73" t="n">
        <v>15</v>
      </c>
      <c r="G173" s="118" t="n">
        <f aca="false">IF(SUM($F173)&lt;=0,"",0%)</f>
        <v>0</v>
      </c>
      <c r="H173" s="75" t="n">
        <f aca="false">IF(SUM($F173)&lt;=0,"",ROUND($F173*(1+$G173),0))</f>
        <v>15</v>
      </c>
    </row>
    <row r="174" customFormat="false" ht="15" hidden="false" customHeight="false" outlineLevel="0" collapsed="false">
      <c r="A174" s="0" t="s">
        <v>149</v>
      </c>
      <c r="B174" s="0" t="s">
        <v>111</v>
      </c>
      <c r="C174" s="0" t="s">
        <v>80</v>
      </c>
      <c r="D174" s="0" t="s">
        <v>58</v>
      </c>
      <c r="E174" s="0" t="str">
        <f aca="false">B174&amp;"|"&amp;C174&amp;"|"&amp;D174</f>
        <v>Qacha's Nek [#SNU] [zTaMbxvQtJ6]|45-49|Male</v>
      </c>
      <c r="F174" s="73" t="n">
        <v>47</v>
      </c>
      <c r="G174" s="118" t="n">
        <f aca="false">IF(SUM($F174)&lt;=0,"",0%)</f>
        <v>0</v>
      </c>
      <c r="H174" s="75" t="n">
        <f aca="false">IF(SUM($F174)&lt;=0,"",ROUND($F174*(1+$G174),0))</f>
        <v>47</v>
      </c>
    </row>
    <row r="175" customFormat="false" ht="15" hidden="false" customHeight="false" outlineLevel="0" collapsed="false">
      <c r="A175" s="0" t="s">
        <v>149</v>
      </c>
      <c r="B175" s="0" t="s">
        <v>111</v>
      </c>
      <c r="C175" s="0" t="s">
        <v>86</v>
      </c>
      <c r="D175" s="0" t="s">
        <v>56</v>
      </c>
      <c r="E175" s="0" t="str">
        <f aca="false">B175&amp;"|"&amp;C175&amp;"|"&amp;D175</f>
        <v>Qacha's Nek [#SNU] [zTaMbxvQtJ6]|50+|Female</v>
      </c>
      <c r="F175" s="73" t="n">
        <v>30</v>
      </c>
      <c r="G175" s="118" t="n">
        <f aca="false">IF(SUM($F175)&lt;=0,"",0%)</f>
        <v>0</v>
      </c>
      <c r="H175" s="75" t="n">
        <f aca="false">IF(SUM($F175)&lt;=0,"",ROUND($F175*(1+$G175),0))</f>
        <v>30</v>
      </c>
    </row>
    <row r="176" customFormat="false" ht="15" hidden="false" customHeight="false" outlineLevel="0" collapsed="false">
      <c r="A176" s="0" t="s">
        <v>149</v>
      </c>
      <c r="B176" s="0" t="s">
        <v>111</v>
      </c>
      <c r="C176" s="0" t="s">
        <v>86</v>
      </c>
      <c r="D176" s="0" t="s">
        <v>58</v>
      </c>
      <c r="E176" s="0" t="str">
        <f aca="false">B176&amp;"|"&amp;C176&amp;"|"&amp;D176</f>
        <v>Qacha's Nek [#SNU] [zTaMbxvQtJ6]|50+|Male</v>
      </c>
      <c r="F176" s="73" t="n">
        <v>48</v>
      </c>
      <c r="G176" s="118" t="n">
        <f aca="false">IF(SUM($F176)&lt;=0,"",0%)</f>
        <v>0</v>
      </c>
      <c r="H176" s="75" t="n">
        <f aca="false">IF(SUM($F176)&lt;=0,"",ROUND($F176*(1+$G176),0))</f>
        <v>48</v>
      </c>
    </row>
    <row r="177" customFormat="false" ht="15" hidden="false" customHeight="false" outlineLevel="0" collapsed="false">
      <c r="A177" s="0" t="s">
        <v>150</v>
      </c>
      <c r="B177" s="0" t="s">
        <v>117</v>
      </c>
      <c r="C177" s="0" t="s">
        <v>61</v>
      </c>
      <c r="D177" s="0" t="s">
        <v>56</v>
      </c>
      <c r="E177" s="0" t="str">
        <f aca="false">B177&amp;"|"&amp;C177&amp;"|"&amp;D177</f>
        <v>Quthing [#SNU] [HuwCoDZG0FY]|10-14|Female</v>
      </c>
      <c r="F177" s="73" t="n">
        <v>34</v>
      </c>
      <c r="G177" s="118" t="n">
        <f aca="false">IF(SUM($F177)&lt;=0,"",0%)</f>
        <v>0</v>
      </c>
      <c r="H177" s="75" t="n">
        <f aca="false">IF(SUM($F177)&lt;=0,"",ROUND($F177*(1+$G177),0))</f>
        <v>34</v>
      </c>
    </row>
    <row r="178" customFormat="false" ht="15" hidden="false" customHeight="false" outlineLevel="0" collapsed="false">
      <c r="A178" s="0" t="s">
        <v>150</v>
      </c>
      <c r="B178" s="0" t="s">
        <v>117</v>
      </c>
      <c r="C178" s="0" t="s">
        <v>61</v>
      </c>
      <c r="D178" s="0" t="s">
        <v>58</v>
      </c>
      <c r="E178" s="0" t="str">
        <f aca="false">B178&amp;"|"&amp;C178&amp;"|"&amp;D178</f>
        <v>Quthing [#SNU] [HuwCoDZG0FY]|10-14|Male</v>
      </c>
      <c r="F178" s="73" t="n">
        <v>8</v>
      </c>
      <c r="G178" s="118" t="n">
        <f aca="false">IF(SUM($F178)&lt;=0,"",0%)</f>
        <v>0</v>
      </c>
      <c r="H178" s="75" t="n">
        <f aca="false">IF(SUM($F178)&lt;=0,"",ROUND($F178*(1+$G178),0))</f>
        <v>8</v>
      </c>
    </row>
    <row r="179" customFormat="false" ht="15" hidden="false" customHeight="false" outlineLevel="0" collapsed="false">
      <c r="A179" s="0" t="s">
        <v>150</v>
      </c>
      <c r="B179" s="0" t="s">
        <v>117</v>
      </c>
      <c r="C179" s="0" t="s">
        <v>63</v>
      </c>
      <c r="D179" s="0" t="s">
        <v>56</v>
      </c>
      <c r="E179" s="0" t="str">
        <f aca="false">B179&amp;"|"&amp;C179&amp;"|"&amp;D179</f>
        <v>Quthing [#SNU] [HuwCoDZG0FY]|15-19|Female</v>
      </c>
      <c r="F179" s="73" t="n">
        <v>9</v>
      </c>
      <c r="G179" s="118" t="n">
        <f aca="false">IF(SUM($F179)&lt;=0,"",0%)</f>
        <v>0</v>
      </c>
      <c r="H179" s="75" t="n">
        <f aca="false">IF(SUM($F179)&lt;=0,"",ROUND($F179*(1+$G179),0))</f>
        <v>9</v>
      </c>
    </row>
    <row r="180" customFormat="false" ht="15" hidden="false" customHeight="false" outlineLevel="0" collapsed="false">
      <c r="A180" s="0" t="s">
        <v>150</v>
      </c>
      <c r="B180" s="0" t="s">
        <v>117</v>
      </c>
      <c r="C180" s="0" t="s">
        <v>63</v>
      </c>
      <c r="D180" s="0" t="s">
        <v>58</v>
      </c>
      <c r="E180" s="0" t="str">
        <f aca="false">B180&amp;"|"&amp;C180&amp;"|"&amp;D180</f>
        <v>Quthing [#SNU] [HuwCoDZG0FY]|15-19|Male</v>
      </c>
      <c r="F180" s="73" t="n">
        <v>32</v>
      </c>
      <c r="G180" s="118" t="n">
        <f aca="false">IF(SUM($F180)&lt;=0,"",0%)</f>
        <v>0</v>
      </c>
      <c r="H180" s="75" t="n">
        <f aca="false">IF(SUM($F180)&lt;=0,"",ROUND($F180*(1+$G180),0))</f>
        <v>32</v>
      </c>
    </row>
    <row r="181" customFormat="false" ht="15" hidden="false" customHeight="false" outlineLevel="0" collapsed="false">
      <c r="A181" s="0" t="s">
        <v>150</v>
      </c>
      <c r="B181" s="0" t="s">
        <v>117</v>
      </c>
      <c r="C181" s="0" t="s">
        <v>66</v>
      </c>
      <c r="D181" s="0" t="s">
        <v>56</v>
      </c>
      <c r="E181" s="0" t="str">
        <f aca="false">B181&amp;"|"&amp;C181&amp;"|"&amp;D181</f>
        <v>Quthing [#SNU] [HuwCoDZG0FY]|20-24|Female</v>
      </c>
      <c r="F181" s="73" t="n">
        <v>20</v>
      </c>
      <c r="G181" s="118" t="n">
        <f aca="false">IF(SUM($F181)&lt;=0,"",0%)</f>
        <v>0</v>
      </c>
      <c r="H181" s="75" t="n">
        <f aca="false">IF(SUM($F181)&lt;=0,"",ROUND($F181*(1+$G181),0))</f>
        <v>20</v>
      </c>
    </row>
    <row r="182" customFormat="false" ht="15" hidden="false" customHeight="false" outlineLevel="0" collapsed="false">
      <c r="A182" s="0" t="s">
        <v>150</v>
      </c>
      <c r="B182" s="0" t="s">
        <v>117</v>
      </c>
      <c r="C182" s="0" t="s">
        <v>66</v>
      </c>
      <c r="D182" s="0" t="s">
        <v>58</v>
      </c>
      <c r="E182" s="0" t="str">
        <f aca="false">B182&amp;"|"&amp;C182&amp;"|"&amp;D182</f>
        <v>Quthing [#SNU] [HuwCoDZG0FY]|20-24|Male</v>
      </c>
      <c r="F182" s="73" t="n">
        <v>28</v>
      </c>
      <c r="G182" s="118" t="n">
        <f aca="false">IF(SUM($F182)&lt;=0,"",0%)</f>
        <v>0</v>
      </c>
      <c r="H182" s="75" t="n">
        <f aca="false">IF(SUM($F182)&lt;=0,"",ROUND($F182*(1+$G182),0))</f>
        <v>28</v>
      </c>
    </row>
    <row r="183" customFormat="false" ht="15" hidden="false" customHeight="false" outlineLevel="0" collapsed="false">
      <c r="A183" s="0" t="s">
        <v>150</v>
      </c>
      <c r="B183" s="0" t="s">
        <v>117</v>
      </c>
      <c r="C183" s="0" t="s">
        <v>69</v>
      </c>
      <c r="D183" s="0" t="s">
        <v>56</v>
      </c>
      <c r="E183" s="0" t="str">
        <f aca="false">B183&amp;"|"&amp;C183&amp;"|"&amp;D183</f>
        <v>Quthing [#SNU] [HuwCoDZG0FY]|25-29|Female</v>
      </c>
      <c r="F183" s="73" t="n">
        <v>30</v>
      </c>
      <c r="G183" s="118" t="n">
        <f aca="false">IF(SUM($F183)&lt;=0,"",0%)</f>
        <v>0</v>
      </c>
      <c r="H183" s="75" t="n">
        <f aca="false">IF(SUM($F183)&lt;=0,"",ROUND($F183*(1+$G183),0))</f>
        <v>30</v>
      </c>
    </row>
    <row r="184" customFormat="false" ht="15" hidden="false" customHeight="false" outlineLevel="0" collapsed="false">
      <c r="A184" s="0" t="s">
        <v>150</v>
      </c>
      <c r="B184" s="0" t="s">
        <v>117</v>
      </c>
      <c r="C184" s="0" t="s">
        <v>69</v>
      </c>
      <c r="D184" s="0" t="s">
        <v>58</v>
      </c>
      <c r="E184" s="0" t="str">
        <f aca="false">B184&amp;"|"&amp;C184&amp;"|"&amp;D184</f>
        <v>Quthing [#SNU] [HuwCoDZG0FY]|25-29|Male</v>
      </c>
      <c r="F184" s="73" t="n">
        <v>1</v>
      </c>
      <c r="G184" s="118" t="n">
        <f aca="false">IF(SUM($F184)&lt;=0,"",0%)</f>
        <v>0</v>
      </c>
      <c r="H184" s="75" t="n">
        <f aca="false">IF(SUM($F184)&lt;=0,"",ROUND($F184*(1+$G184),0))</f>
        <v>1</v>
      </c>
    </row>
    <row r="185" customFormat="false" ht="15" hidden="false" customHeight="false" outlineLevel="0" collapsed="false">
      <c r="A185" s="0" t="s">
        <v>150</v>
      </c>
      <c r="B185" s="0" t="s">
        <v>117</v>
      </c>
      <c r="C185" s="0" t="s">
        <v>72</v>
      </c>
      <c r="D185" s="0" t="s">
        <v>56</v>
      </c>
      <c r="E185" s="0" t="str">
        <f aca="false">B185&amp;"|"&amp;C185&amp;"|"&amp;D185</f>
        <v>Quthing [#SNU] [HuwCoDZG0FY]|30-34|Female</v>
      </c>
      <c r="F185" s="73" t="n">
        <v>34</v>
      </c>
      <c r="G185" s="118" t="n">
        <f aca="false">IF(SUM($F185)&lt;=0,"",0%)</f>
        <v>0</v>
      </c>
      <c r="H185" s="75" t="n">
        <f aca="false">IF(SUM($F185)&lt;=0,"",ROUND($F185*(1+$G185),0))</f>
        <v>34</v>
      </c>
    </row>
    <row r="186" customFormat="false" ht="15" hidden="false" customHeight="false" outlineLevel="0" collapsed="false">
      <c r="A186" s="0" t="s">
        <v>150</v>
      </c>
      <c r="B186" s="0" t="s">
        <v>117</v>
      </c>
      <c r="C186" s="0" t="s">
        <v>72</v>
      </c>
      <c r="D186" s="0" t="s">
        <v>58</v>
      </c>
      <c r="E186" s="0" t="str">
        <f aca="false">B186&amp;"|"&amp;C186&amp;"|"&amp;D186</f>
        <v>Quthing [#SNU] [HuwCoDZG0FY]|30-34|Male</v>
      </c>
      <c r="F186" s="73" t="n">
        <v>17</v>
      </c>
      <c r="G186" s="118" t="n">
        <f aca="false">IF(SUM($F186)&lt;=0,"",0%)</f>
        <v>0</v>
      </c>
      <c r="H186" s="75" t="n">
        <f aca="false">IF(SUM($F186)&lt;=0,"",ROUND($F186*(1+$G186),0))</f>
        <v>17</v>
      </c>
    </row>
    <row r="187" customFormat="false" ht="15" hidden="false" customHeight="false" outlineLevel="0" collapsed="false">
      <c r="A187" s="0" t="s">
        <v>150</v>
      </c>
      <c r="B187" s="0" t="s">
        <v>117</v>
      </c>
      <c r="C187" s="0" t="s">
        <v>75</v>
      </c>
      <c r="D187" s="0" t="s">
        <v>56</v>
      </c>
      <c r="E187" s="0" t="str">
        <f aca="false">B187&amp;"|"&amp;C187&amp;"|"&amp;D187</f>
        <v>Quthing [#SNU] [HuwCoDZG0FY]|35-39|Female</v>
      </c>
      <c r="F187" s="73" t="n">
        <v>14</v>
      </c>
      <c r="G187" s="118" t="n">
        <f aca="false">IF(SUM($F187)&lt;=0,"",0%)</f>
        <v>0</v>
      </c>
      <c r="H187" s="75" t="n">
        <f aca="false">IF(SUM($F187)&lt;=0,"",ROUND($F187*(1+$G187),0))</f>
        <v>14</v>
      </c>
    </row>
    <row r="188" customFormat="false" ht="15" hidden="false" customHeight="false" outlineLevel="0" collapsed="false">
      <c r="A188" s="0" t="s">
        <v>150</v>
      </c>
      <c r="B188" s="0" t="s">
        <v>117</v>
      </c>
      <c r="C188" s="0" t="s">
        <v>75</v>
      </c>
      <c r="D188" s="0" t="s">
        <v>58</v>
      </c>
      <c r="E188" s="0" t="str">
        <f aca="false">B188&amp;"|"&amp;C188&amp;"|"&amp;D188</f>
        <v>Quthing [#SNU] [HuwCoDZG0FY]|35-39|Male</v>
      </c>
      <c r="F188" s="73" t="n">
        <v>37</v>
      </c>
      <c r="G188" s="118" t="n">
        <f aca="false">IF(SUM($F188)&lt;=0,"",0%)</f>
        <v>0</v>
      </c>
      <c r="H188" s="75" t="n">
        <f aca="false">IF(SUM($F188)&lt;=0,"",ROUND($F188*(1+$G188),0))</f>
        <v>37</v>
      </c>
    </row>
    <row r="189" customFormat="false" ht="15" hidden="false" customHeight="false" outlineLevel="0" collapsed="false">
      <c r="A189" s="0" t="s">
        <v>150</v>
      </c>
      <c r="B189" s="0" t="s">
        <v>117</v>
      </c>
      <c r="C189" s="0" t="s">
        <v>77</v>
      </c>
      <c r="D189" s="0" t="s">
        <v>56</v>
      </c>
      <c r="E189" s="0" t="str">
        <f aca="false">B189&amp;"|"&amp;C189&amp;"|"&amp;D189</f>
        <v>Quthing [#SNU] [HuwCoDZG0FY]|40-44|Female</v>
      </c>
      <c r="F189" s="73" t="n">
        <v>20</v>
      </c>
      <c r="G189" s="118" t="n">
        <f aca="false">IF(SUM($F189)&lt;=0,"",0%)</f>
        <v>0</v>
      </c>
      <c r="H189" s="75" t="n">
        <f aca="false">IF(SUM($F189)&lt;=0,"",ROUND($F189*(1+$G189),0))</f>
        <v>20</v>
      </c>
    </row>
    <row r="190" customFormat="false" ht="15" hidden="false" customHeight="false" outlineLevel="0" collapsed="false">
      <c r="A190" s="0" t="s">
        <v>150</v>
      </c>
      <c r="B190" s="0" t="s">
        <v>117</v>
      </c>
      <c r="C190" s="0" t="s">
        <v>77</v>
      </c>
      <c r="D190" s="0" t="s">
        <v>58</v>
      </c>
      <c r="E190" s="0" t="str">
        <f aca="false">B190&amp;"|"&amp;C190&amp;"|"&amp;D190</f>
        <v>Quthing [#SNU] [HuwCoDZG0FY]|40-44|Male</v>
      </c>
      <c r="F190" s="73" t="n">
        <v>44</v>
      </c>
      <c r="G190" s="118" t="n">
        <f aca="false">IF(SUM($F190)&lt;=0,"",0%)</f>
        <v>0</v>
      </c>
      <c r="H190" s="75" t="n">
        <f aca="false">IF(SUM($F190)&lt;=0,"",ROUND($F190*(1+$G190),0))</f>
        <v>44</v>
      </c>
    </row>
    <row r="191" customFormat="false" ht="15" hidden="false" customHeight="false" outlineLevel="0" collapsed="false">
      <c r="A191" s="0" t="s">
        <v>150</v>
      </c>
      <c r="B191" s="0" t="s">
        <v>117</v>
      </c>
      <c r="C191" s="0" t="s">
        <v>80</v>
      </c>
      <c r="D191" s="0" t="s">
        <v>56</v>
      </c>
      <c r="E191" s="0" t="str">
        <f aca="false">B191&amp;"|"&amp;C191&amp;"|"&amp;D191</f>
        <v>Quthing [#SNU] [HuwCoDZG0FY]|45-49|Female</v>
      </c>
      <c r="F191" s="73" t="n">
        <v>24</v>
      </c>
      <c r="G191" s="118" t="n">
        <f aca="false">IF(SUM($F191)&lt;=0,"",0%)</f>
        <v>0</v>
      </c>
      <c r="H191" s="75" t="n">
        <f aca="false">IF(SUM($F191)&lt;=0,"",ROUND($F191*(1+$G191),0))</f>
        <v>24</v>
      </c>
    </row>
    <row r="192" customFormat="false" ht="15" hidden="false" customHeight="false" outlineLevel="0" collapsed="false">
      <c r="A192" s="0" t="s">
        <v>150</v>
      </c>
      <c r="B192" s="0" t="s">
        <v>117</v>
      </c>
      <c r="C192" s="0" t="s">
        <v>80</v>
      </c>
      <c r="D192" s="0" t="s">
        <v>58</v>
      </c>
      <c r="E192" s="0" t="str">
        <f aca="false">B192&amp;"|"&amp;C192&amp;"|"&amp;D192</f>
        <v>Quthing [#SNU] [HuwCoDZG0FY]|45-49|Male</v>
      </c>
      <c r="F192" s="73" t="n">
        <v>26</v>
      </c>
      <c r="G192" s="118" t="n">
        <f aca="false">IF(SUM($F192)&lt;=0,"",0%)</f>
        <v>0</v>
      </c>
      <c r="H192" s="75" t="n">
        <f aca="false">IF(SUM($F192)&lt;=0,"",ROUND($F192*(1+$G192),0))</f>
        <v>26</v>
      </c>
    </row>
    <row r="193" customFormat="false" ht="15" hidden="false" customHeight="false" outlineLevel="0" collapsed="false">
      <c r="A193" s="0" t="s">
        <v>150</v>
      </c>
      <c r="B193" s="0" t="s">
        <v>117</v>
      </c>
      <c r="C193" s="0" t="s">
        <v>86</v>
      </c>
      <c r="D193" s="0" t="s">
        <v>56</v>
      </c>
      <c r="E193" s="0" t="str">
        <f aca="false">B193&amp;"|"&amp;C193&amp;"|"&amp;D193</f>
        <v>Quthing [#SNU] [HuwCoDZG0FY]|50+|Female</v>
      </c>
      <c r="F193" s="73" t="n">
        <v>42</v>
      </c>
      <c r="G193" s="118" t="n">
        <f aca="false">IF(SUM($F193)&lt;=0,"",0%)</f>
        <v>0</v>
      </c>
      <c r="H193" s="75" t="n">
        <f aca="false">IF(SUM($F193)&lt;=0,"",ROUND($F193*(1+$G193),0))</f>
        <v>42</v>
      </c>
    </row>
    <row r="194" customFormat="false" ht="15" hidden="false" customHeight="false" outlineLevel="0" collapsed="false">
      <c r="A194" s="0" t="s">
        <v>150</v>
      </c>
      <c r="B194" s="0" t="s">
        <v>117</v>
      </c>
      <c r="C194" s="0" t="s">
        <v>86</v>
      </c>
      <c r="D194" s="0" t="s">
        <v>58</v>
      </c>
      <c r="E194" s="0" t="str">
        <f aca="false">B194&amp;"|"&amp;C194&amp;"|"&amp;D194</f>
        <v>Quthing [#SNU] [HuwCoDZG0FY]|50+|Male</v>
      </c>
      <c r="F194" s="73" t="n">
        <v>36</v>
      </c>
      <c r="G194" s="118" t="n">
        <f aca="false">IF(SUM($F194)&lt;=0,"",0%)</f>
        <v>0</v>
      </c>
      <c r="H194" s="75" t="n">
        <f aca="false">IF(SUM($F194)&lt;=0,"",ROUND($F194*(1+$G194),0))</f>
        <v>36</v>
      </c>
    </row>
    <row r="195" customFormat="false" ht="15" hidden="false" customHeight="false" outlineLevel="0" collapsed="false">
      <c r="A195" s="0" t="s">
        <v>151</v>
      </c>
      <c r="B195" s="0" t="s">
        <v>101</v>
      </c>
      <c r="C195" s="0" t="s">
        <v>61</v>
      </c>
      <c r="D195" s="0" t="s">
        <v>56</v>
      </c>
      <c r="E195" s="0" t="str">
        <f aca="false">B195&amp;"|"&amp;C195&amp;"|"&amp;D195</f>
        <v>Thaba Tseka [#SNU] [jyhIrCoB31x]|10-14|Female</v>
      </c>
      <c r="F195" s="73" t="n">
        <v>41</v>
      </c>
      <c r="G195" s="118" t="n">
        <f aca="false">IF(SUM($F195)&lt;=0,"",0%)</f>
        <v>0</v>
      </c>
      <c r="H195" s="75" t="n">
        <f aca="false">IF(SUM($F195)&lt;=0,"",ROUND($F195*(1+$G195),0))</f>
        <v>41</v>
      </c>
    </row>
    <row r="196" customFormat="false" ht="15" hidden="false" customHeight="false" outlineLevel="0" collapsed="false">
      <c r="A196" s="0" t="s">
        <v>151</v>
      </c>
      <c r="B196" s="0" t="s">
        <v>101</v>
      </c>
      <c r="C196" s="0" t="s">
        <v>61</v>
      </c>
      <c r="D196" s="0" t="s">
        <v>58</v>
      </c>
      <c r="E196" s="0" t="str">
        <f aca="false">B196&amp;"|"&amp;C196&amp;"|"&amp;D196</f>
        <v>Thaba Tseka [#SNU] [jyhIrCoB31x]|10-14|Male</v>
      </c>
      <c r="F196" s="73" t="n">
        <v>3</v>
      </c>
      <c r="G196" s="118" t="n">
        <f aca="false">IF(SUM($F196)&lt;=0,"",0%)</f>
        <v>0</v>
      </c>
      <c r="H196" s="75" t="n">
        <f aca="false">IF(SUM($F196)&lt;=0,"",ROUND($F196*(1+$G196),0))</f>
        <v>3</v>
      </c>
    </row>
    <row r="197" customFormat="false" ht="15" hidden="false" customHeight="false" outlineLevel="0" collapsed="false">
      <c r="A197" s="0" t="s">
        <v>151</v>
      </c>
      <c r="B197" s="0" t="s">
        <v>101</v>
      </c>
      <c r="C197" s="0" t="s">
        <v>63</v>
      </c>
      <c r="D197" s="0" t="s">
        <v>56</v>
      </c>
      <c r="E197" s="0" t="str">
        <f aca="false">B197&amp;"|"&amp;C197&amp;"|"&amp;D197</f>
        <v>Thaba Tseka [#SNU] [jyhIrCoB31x]|15-19|Female</v>
      </c>
      <c r="F197" s="73" t="n">
        <v>14</v>
      </c>
      <c r="G197" s="118" t="n">
        <f aca="false">IF(SUM($F197)&lt;=0,"",0%)</f>
        <v>0</v>
      </c>
      <c r="H197" s="75" t="n">
        <f aca="false">IF(SUM($F197)&lt;=0,"",ROUND($F197*(1+$G197),0))</f>
        <v>14</v>
      </c>
    </row>
    <row r="198" customFormat="false" ht="15" hidden="false" customHeight="false" outlineLevel="0" collapsed="false">
      <c r="A198" s="0" t="s">
        <v>151</v>
      </c>
      <c r="B198" s="0" t="s">
        <v>101</v>
      </c>
      <c r="C198" s="0" t="s">
        <v>63</v>
      </c>
      <c r="D198" s="0" t="s">
        <v>58</v>
      </c>
      <c r="E198" s="0" t="str">
        <f aca="false">B198&amp;"|"&amp;C198&amp;"|"&amp;D198</f>
        <v>Thaba Tseka [#SNU] [jyhIrCoB31x]|15-19|Male</v>
      </c>
      <c r="F198" s="73" t="n">
        <v>43</v>
      </c>
      <c r="G198" s="118" t="n">
        <f aca="false">IF(SUM($F198)&lt;=0,"",0%)</f>
        <v>0</v>
      </c>
      <c r="H198" s="75" t="n">
        <f aca="false">IF(SUM($F198)&lt;=0,"",ROUND($F198*(1+$G198),0))</f>
        <v>43</v>
      </c>
    </row>
    <row r="199" customFormat="false" ht="15" hidden="false" customHeight="false" outlineLevel="0" collapsed="false">
      <c r="A199" s="0" t="s">
        <v>151</v>
      </c>
      <c r="B199" s="0" t="s">
        <v>101</v>
      </c>
      <c r="C199" s="0" t="s">
        <v>66</v>
      </c>
      <c r="D199" s="0" t="s">
        <v>56</v>
      </c>
      <c r="E199" s="0" t="str">
        <f aca="false">B199&amp;"|"&amp;C199&amp;"|"&amp;D199</f>
        <v>Thaba Tseka [#SNU] [jyhIrCoB31x]|20-24|Female</v>
      </c>
      <c r="F199" s="73" t="n">
        <v>11</v>
      </c>
      <c r="G199" s="118" t="n">
        <f aca="false">IF(SUM($F199)&lt;=0,"",0%)</f>
        <v>0</v>
      </c>
      <c r="H199" s="75" t="n">
        <f aca="false">IF(SUM($F199)&lt;=0,"",ROUND($F199*(1+$G199),0))</f>
        <v>11</v>
      </c>
    </row>
    <row r="200" customFormat="false" ht="15" hidden="false" customHeight="false" outlineLevel="0" collapsed="false">
      <c r="A200" s="0" t="s">
        <v>151</v>
      </c>
      <c r="B200" s="0" t="s">
        <v>101</v>
      </c>
      <c r="C200" s="0" t="s">
        <v>66</v>
      </c>
      <c r="D200" s="0" t="s">
        <v>58</v>
      </c>
      <c r="E200" s="0" t="str">
        <f aca="false">B200&amp;"|"&amp;C200&amp;"|"&amp;D200</f>
        <v>Thaba Tseka [#SNU] [jyhIrCoB31x]|20-24|Male</v>
      </c>
      <c r="F200" s="73" t="n">
        <v>13</v>
      </c>
      <c r="G200" s="118" t="n">
        <f aca="false">IF(SUM($F200)&lt;=0,"",0%)</f>
        <v>0</v>
      </c>
      <c r="H200" s="75" t="n">
        <f aca="false">IF(SUM($F200)&lt;=0,"",ROUND($F200*(1+$G200),0))</f>
        <v>13</v>
      </c>
    </row>
    <row r="201" customFormat="false" ht="15" hidden="false" customHeight="false" outlineLevel="0" collapsed="false">
      <c r="A201" s="0" t="s">
        <v>151</v>
      </c>
      <c r="B201" s="0" t="s">
        <v>101</v>
      </c>
      <c r="C201" s="0" t="s">
        <v>69</v>
      </c>
      <c r="D201" s="0" t="s">
        <v>56</v>
      </c>
      <c r="E201" s="0" t="str">
        <f aca="false">B201&amp;"|"&amp;C201&amp;"|"&amp;D201</f>
        <v>Thaba Tseka [#SNU] [jyhIrCoB31x]|25-29|Female</v>
      </c>
      <c r="F201" s="73" t="n">
        <v>17</v>
      </c>
      <c r="G201" s="118" t="n">
        <f aca="false">IF(SUM($F201)&lt;=0,"",0%)</f>
        <v>0</v>
      </c>
      <c r="H201" s="75" t="n">
        <f aca="false">IF(SUM($F201)&lt;=0,"",ROUND($F201*(1+$G201),0))</f>
        <v>17</v>
      </c>
    </row>
    <row r="202" customFormat="false" ht="15" hidden="false" customHeight="false" outlineLevel="0" collapsed="false">
      <c r="A202" s="0" t="s">
        <v>151</v>
      </c>
      <c r="B202" s="0" t="s">
        <v>101</v>
      </c>
      <c r="C202" s="0" t="s">
        <v>69</v>
      </c>
      <c r="D202" s="0" t="s">
        <v>58</v>
      </c>
      <c r="E202" s="0" t="str">
        <f aca="false">B202&amp;"|"&amp;C202&amp;"|"&amp;D202</f>
        <v>Thaba Tseka [#SNU] [jyhIrCoB31x]|25-29|Male</v>
      </c>
      <c r="F202" s="73" t="n">
        <v>16</v>
      </c>
      <c r="G202" s="118" t="n">
        <f aca="false">IF(SUM($F202)&lt;=0,"",0%)</f>
        <v>0</v>
      </c>
      <c r="H202" s="75" t="n">
        <f aca="false">IF(SUM($F202)&lt;=0,"",ROUND($F202*(1+$G202),0))</f>
        <v>16</v>
      </c>
    </row>
    <row r="203" customFormat="false" ht="15" hidden="false" customHeight="false" outlineLevel="0" collapsed="false">
      <c r="A203" s="0" t="s">
        <v>151</v>
      </c>
      <c r="B203" s="0" t="s">
        <v>101</v>
      </c>
      <c r="C203" s="0" t="s">
        <v>72</v>
      </c>
      <c r="D203" s="0" t="s">
        <v>56</v>
      </c>
      <c r="E203" s="0" t="str">
        <f aca="false">B203&amp;"|"&amp;C203&amp;"|"&amp;D203</f>
        <v>Thaba Tseka [#SNU] [jyhIrCoB31x]|30-34|Female</v>
      </c>
      <c r="F203" s="73" t="n">
        <v>32</v>
      </c>
      <c r="G203" s="118" t="n">
        <f aca="false">IF(SUM($F203)&lt;=0,"",0%)</f>
        <v>0</v>
      </c>
      <c r="H203" s="75" t="n">
        <f aca="false">IF(SUM($F203)&lt;=0,"",ROUND($F203*(1+$G203),0))</f>
        <v>32</v>
      </c>
    </row>
    <row r="204" customFormat="false" ht="15" hidden="false" customHeight="false" outlineLevel="0" collapsed="false">
      <c r="A204" s="0" t="s">
        <v>151</v>
      </c>
      <c r="B204" s="0" t="s">
        <v>101</v>
      </c>
      <c r="C204" s="0" t="s">
        <v>72</v>
      </c>
      <c r="D204" s="0" t="s">
        <v>58</v>
      </c>
      <c r="E204" s="0" t="str">
        <f aca="false">B204&amp;"|"&amp;C204&amp;"|"&amp;D204</f>
        <v>Thaba Tseka [#SNU] [jyhIrCoB31x]|30-34|Male</v>
      </c>
      <c r="F204" s="73" t="n">
        <v>0</v>
      </c>
      <c r="G204" s="118" t="str">
        <f aca="false">IF(SUM($F204)&lt;=0,"",0%)</f>
        <v/>
      </c>
      <c r="H204" s="75" t="str">
        <f aca="false">IF(SUM($F204)&lt;=0,"",ROUND($F204*(1+$G204),0))</f>
        <v/>
      </c>
    </row>
    <row r="205" customFormat="false" ht="15" hidden="false" customHeight="false" outlineLevel="0" collapsed="false">
      <c r="A205" s="0" t="s">
        <v>151</v>
      </c>
      <c r="B205" s="0" t="s">
        <v>101</v>
      </c>
      <c r="C205" s="0" t="s">
        <v>75</v>
      </c>
      <c r="D205" s="0" t="s">
        <v>56</v>
      </c>
      <c r="E205" s="0" t="str">
        <f aca="false">B205&amp;"|"&amp;C205&amp;"|"&amp;D205</f>
        <v>Thaba Tseka [#SNU] [jyhIrCoB31x]|35-39|Female</v>
      </c>
      <c r="F205" s="73" t="n">
        <v>43</v>
      </c>
      <c r="G205" s="118" t="n">
        <f aca="false">IF(SUM($F205)&lt;=0,"",0%)</f>
        <v>0</v>
      </c>
      <c r="H205" s="75" t="n">
        <f aca="false">IF(SUM($F205)&lt;=0,"",ROUND($F205*(1+$G205),0))</f>
        <v>43</v>
      </c>
    </row>
    <row r="206" customFormat="false" ht="15" hidden="false" customHeight="false" outlineLevel="0" collapsed="false">
      <c r="A206" s="0" t="s">
        <v>151</v>
      </c>
      <c r="B206" s="0" t="s">
        <v>101</v>
      </c>
      <c r="C206" s="0" t="s">
        <v>75</v>
      </c>
      <c r="D206" s="0" t="s">
        <v>58</v>
      </c>
      <c r="E206" s="0" t="str">
        <f aca="false">B206&amp;"|"&amp;C206&amp;"|"&amp;D206</f>
        <v>Thaba Tseka [#SNU] [jyhIrCoB31x]|35-39|Male</v>
      </c>
      <c r="F206" s="73" t="n">
        <v>41</v>
      </c>
      <c r="G206" s="118" t="n">
        <f aca="false">IF(SUM($F206)&lt;=0,"",0%)</f>
        <v>0</v>
      </c>
      <c r="H206" s="75" t="n">
        <f aca="false">IF(SUM($F206)&lt;=0,"",ROUND($F206*(1+$G206),0))</f>
        <v>41</v>
      </c>
    </row>
    <row r="207" customFormat="false" ht="15" hidden="false" customHeight="false" outlineLevel="0" collapsed="false">
      <c r="A207" s="0" t="s">
        <v>151</v>
      </c>
      <c r="B207" s="0" t="s">
        <v>101</v>
      </c>
      <c r="C207" s="0" t="s">
        <v>77</v>
      </c>
      <c r="D207" s="0" t="s">
        <v>56</v>
      </c>
      <c r="E207" s="0" t="str">
        <f aca="false">B207&amp;"|"&amp;C207&amp;"|"&amp;D207</f>
        <v>Thaba Tseka [#SNU] [jyhIrCoB31x]|40-44|Female</v>
      </c>
      <c r="F207" s="73" t="n">
        <v>16</v>
      </c>
      <c r="G207" s="118" t="n">
        <f aca="false">IF(SUM($F207)&lt;=0,"",0%)</f>
        <v>0</v>
      </c>
      <c r="H207" s="75" t="n">
        <f aca="false">IF(SUM($F207)&lt;=0,"",ROUND($F207*(1+$G207),0))</f>
        <v>16</v>
      </c>
    </row>
    <row r="208" customFormat="false" ht="15" hidden="false" customHeight="false" outlineLevel="0" collapsed="false">
      <c r="A208" s="0" t="s">
        <v>151</v>
      </c>
      <c r="B208" s="0" t="s">
        <v>101</v>
      </c>
      <c r="C208" s="0" t="s">
        <v>77</v>
      </c>
      <c r="D208" s="0" t="s">
        <v>58</v>
      </c>
      <c r="E208" s="0" t="str">
        <f aca="false">B208&amp;"|"&amp;C208&amp;"|"&amp;D208</f>
        <v>Thaba Tseka [#SNU] [jyhIrCoB31x]|40-44|Male</v>
      </c>
      <c r="F208" s="73" t="n">
        <v>35</v>
      </c>
      <c r="G208" s="118" t="n">
        <f aca="false">IF(SUM($F208)&lt;=0,"",0%)</f>
        <v>0</v>
      </c>
      <c r="H208" s="75" t="n">
        <f aca="false">IF(SUM($F208)&lt;=0,"",ROUND($F208*(1+$G208),0))</f>
        <v>35</v>
      </c>
    </row>
    <row r="209" customFormat="false" ht="15" hidden="false" customHeight="false" outlineLevel="0" collapsed="false">
      <c r="A209" s="0" t="s">
        <v>151</v>
      </c>
      <c r="B209" s="0" t="s">
        <v>101</v>
      </c>
      <c r="C209" s="0" t="s">
        <v>80</v>
      </c>
      <c r="D209" s="0" t="s">
        <v>56</v>
      </c>
      <c r="E209" s="0" t="str">
        <f aca="false">B209&amp;"|"&amp;C209&amp;"|"&amp;D209</f>
        <v>Thaba Tseka [#SNU] [jyhIrCoB31x]|45-49|Female</v>
      </c>
      <c r="F209" s="73" t="n">
        <v>15</v>
      </c>
      <c r="G209" s="118" t="n">
        <f aca="false">IF(SUM($F209)&lt;=0,"",0%)</f>
        <v>0</v>
      </c>
      <c r="H209" s="75" t="n">
        <f aca="false">IF(SUM($F209)&lt;=0,"",ROUND($F209*(1+$G209),0))</f>
        <v>15</v>
      </c>
    </row>
    <row r="210" customFormat="false" ht="15" hidden="false" customHeight="false" outlineLevel="0" collapsed="false">
      <c r="A210" s="0" t="s">
        <v>151</v>
      </c>
      <c r="B210" s="0" t="s">
        <v>101</v>
      </c>
      <c r="C210" s="0" t="s">
        <v>80</v>
      </c>
      <c r="D210" s="0" t="s">
        <v>58</v>
      </c>
      <c r="E210" s="0" t="str">
        <f aca="false">B210&amp;"|"&amp;C210&amp;"|"&amp;D210</f>
        <v>Thaba Tseka [#SNU] [jyhIrCoB31x]|45-49|Male</v>
      </c>
      <c r="F210" s="73" t="n">
        <v>18</v>
      </c>
      <c r="G210" s="118" t="n">
        <f aca="false">IF(SUM($F210)&lt;=0,"",0%)</f>
        <v>0</v>
      </c>
      <c r="H210" s="75" t="n">
        <f aca="false">IF(SUM($F210)&lt;=0,"",ROUND($F210*(1+$G210),0))</f>
        <v>18</v>
      </c>
    </row>
    <row r="211" customFormat="false" ht="15" hidden="false" customHeight="false" outlineLevel="0" collapsed="false">
      <c r="A211" s="0" t="s">
        <v>151</v>
      </c>
      <c r="B211" s="0" t="s">
        <v>101</v>
      </c>
      <c r="C211" s="0" t="s">
        <v>86</v>
      </c>
      <c r="D211" s="0" t="s">
        <v>56</v>
      </c>
      <c r="E211" s="0" t="str">
        <f aca="false">B211&amp;"|"&amp;C211&amp;"|"&amp;D211</f>
        <v>Thaba Tseka [#SNU] [jyhIrCoB31x]|50+|Female</v>
      </c>
      <c r="F211" s="73" t="n">
        <v>13</v>
      </c>
      <c r="G211" s="118" t="n">
        <f aca="false">IF(SUM($F211)&lt;=0,"",0%)</f>
        <v>0</v>
      </c>
      <c r="H211" s="75" t="n">
        <f aca="false">IF(SUM($F211)&lt;=0,"",ROUND($F211*(1+$G211),0))</f>
        <v>13</v>
      </c>
    </row>
    <row r="212" customFormat="false" ht="15" hidden="false" customHeight="false" outlineLevel="0" collapsed="false">
      <c r="A212" s="0" t="s">
        <v>151</v>
      </c>
      <c r="B212" s="0" t="s">
        <v>101</v>
      </c>
      <c r="C212" s="0" t="s">
        <v>86</v>
      </c>
      <c r="D212" s="0" t="s">
        <v>58</v>
      </c>
      <c r="E212" s="0" t="str">
        <f aca="false">B212&amp;"|"&amp;C212&amp;"|"&amp;D212</f>
        <v>Thaba Tseka [#SNU] [jyhIrCoB31x]|50+|Male</v>
      </c>
      <c r="F212" s="73" t="n">
        <v>8</v>
      </c>
      <c r="G212" s="118" t="n">
        <f aca="false">IF(SUM($F212)&lt;=0,"",0%)</f>
        <v>0</v>
      </c>
      <c r="H212" s="75" t="n">
        <f aca="false">IF(SUM($F212)&lt;=0,"",ROUND($F212*(1+$G212),0))</f>
        <v>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U1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
    <col collapsed="false" customWidth="true" hidden="false" outlineLevel="0" max="21" min="6" style="0" width="11.83"/>
    <col collapsed="false" customWidth="true" hidden="false" outlineLevel="0" max="1025" min="22" style="0" width="10.61"/>
  </cols>
  <sheetData>
    <row r="1" customFormat="false" ht="31" hidden="false" customHeight="true" outlineLevel="0" collapsed="false">
      <c r="A1" s="54" t="s">
        <v>832</v>
      </c>
      <c r="B1" s="54"/>
      <c r="C1" s="54"/>
      <c r="D1" s="54"/>
      <c r="E1" s="54"/>
      <c r="F1" s="175" t="s">
        <v>833</v>
      </c>
      <c r="G1" s="175"/>
      <c r="H1" s="175"/>
      <c r="I1" s="76"/>
      <c r="J1" s="81"/>
      <c r="K1" s="81"/>
      <c r="L1" s="81"/>
      <c r="M1" s="81"/>
      <c r="N1" s="81"/>
      <c r="O1" s="76"/>
      <c r="P1" s="76"/>
      <c r="Q1" s="76"/>
      <c r="R1" s="76"/>
      <c r="S1" s="76"/>
      <c r="T1" s="82" t="s">
        <v>834</v>
      </c>
      <c r="U1" s="76"/>
    </row>
    <row r="2" customFormat="false" ht="19" hidden="false" customHeight="true" outlineLevel="0" collapsed="false">
      <c r="A2" s="57"/>
      <c r="B2" s="57"/>
      <c r="C2" s="57"/>
      <c r="D2" s="57"/>
      <c r="E2" s="57"/>
      <c r="F2" s="176" t="s">
        <v>120</v>
      </c>
      <c r="G2" s="176"/>
      <c r="H2" s="176"/>
      <c r="I2" s="89"/>
      <c r="J2" s="87" t="s">
        <v>156</v>
      </c>
      <c r="K2" s="87"/>
      <c r="L2" s="87"/>
      <c r="M2" s="87"/>
      <c r="N2" s="87"/>
      <c r="O2" s="84" t="s">
        <v>121</v>
      </c>
      <c r="P2" s="84"/>
      <c r="Q2" s="84"/>
      <c r="R2" s="84"/>
      <c r="S2" s="84"/>
      <c r="T2" s="91" t="s">
        <v>156</v>
      </c>
      <c r="U2" s="84" t="s">
        <v>121</v>
      </c>
    </row>
    <row r="3" customFormat="false" ht="117" hidden="false" customHeight="true" outlineLevel="0" collapsed="false">
      <c r="A3" s="61"/>
      <c r="B3" s="61"/>
      <c r="C3" s="61"/>
      <c r="D3" s="61"/>
      <c r="E3" s="61"/>
      <c r="F3" s="142" t="s">
        <v>160</v>
      </c>
      <c r="G3" s="168" t="s">
        <v>835</v>
      </c>
      <c r="H3" s="168" t="s">
        <v>836</v>
      </c>
      <c r="I3" s="168" t="s">
        <v>333</v>
      </c>
      <c r="J3" s="146" t="s">
        <v>837</v>
      </c>
      <c r="K3" s="146" t="s">
        <v>838</v>
      </c>
      <c r="L3" s="146" t="s">
        <v>839</v>
      </c>
      <c r="M3" s="95" t="s">
        <v>840</v>
      </c>
      <c r="N3" s="146" t="s">
        <v>841</v>
      </c>
      <c r="O3" s="100" t="s">
        <v>842</v>
      </c>
      <c r="P3" s="100" t="s">
        <v>843</v>
      </c>
      <c r="Q3" s="100" t="s">
        <v>844</v>
      </c>
      <c r="R3" s="100" t="s">
        <v>845</v>
      </c>
      <c r="S3" s="100" t="s">
        <v>846</v>
      </c>
      <c r="T3" s="148" t="s">
        <v>847</v>
      </c>
      <c r="U3" s="100" t="s">
        <v>848</v>
      </c>
    </row>
    <row r="4" customFormat="false" ht="15" hidden="false" customHeight="false" outlineLevel="0" collapsed="false">
      <c r="A4" s="65"/>
      <c r="B4" s="65"/>
      <c r="C4" s="65"/>
      <c r="D4" s="65" t="s">
        <v>125</v>
      </c>
      <c r="E4" s="65"/>
      <c r="F4" s="109" t="n">
        <f aca="false">SUBTOTAL(109,F$15:INDEX(F:F,COUNTA($B:$B)+14-COUNTA($B$1:$B$14)))</f>
        <v>636550</v>
      </c>
      <c r="H4" s="177" t="n">
        <f aca="false">SUBTOTAL(109,H$15:INDEX(H:H,COUNTA($B:$B)+14-COUNTA($B$1:$B$14)))</f>
        <v>0</v>
      </c>
      <c r="I4" s="110" t="n">
        <f aca="false">SUBTOTAL(109,I$15:INDEX(I:I,COUNTA($B:$B)+14-COUNTA($B$1:$B$14)))</f>
        <v>0</v>
      </c>
      <c r="J4" s="108"/>
      <c r="K4" s="108"/>
      <c r="L4" s="108"/>
      <c r="M4" s="108"/>
      <c r="N4" s="108"/>
      <c r="O4" s="105" t="n">
        <f aca="false">SUBTOTAL(109,O$15:INDEX(O:O,COUNTA($B:$B)+14-COUNTA($B$1:$B$14)))</f>
        <v>0</v>
      </c>
      <c r="P4" s="105" t="n">
        <f aca="false">SUBTOTAL(109,P$15:INDEX(P:P,COUNTA($B:$B)+14-COUNTA($B$1:$B$14)))</f>
        <v>0</v>
      </c>
      <c r="Q4" s="105" t="n">
        <f aca="false">SUBTOTAL(109,Q$15:INDEX(Q:Q,COUNTA($B:$B)+14-COUNTA($B$1:$B$14)))</f>
        <v>0</v>
      </c>
      <c r="R4" s="105" t="n">
        <f aca="false">SUBTOTAL(109,R$15:INDEX(R:R,COUNTA($B:$B)+14-COUNTA($B$1:$B$14)))</f>
        <v>0</v>
      </c>
      <c r="S4" s="105" t="n">
        <f aca="false">SUBTOTAL(109,S$15:INDEX(S:S,COUNTA($B:$B)+14-COUNTA($B$1:$B$14)))</f>
        <v>0</v>
      </c>
      <c r="T4" s="114"/>
      <c r="U4" s="105" t="n">
        <f aca="false">SUBTOTAL(109,U$15:INDEX(U:U,COUNTA($B:$B)+14-COUNTA($B$1:$B$14)))</f>
        <v>0</v>
      </c>
    </row>
    <row r="5" customFormat="false" ht="12.8" hidden="false" customHeight="false" outlineLevel="0" collapsed="false">
      <c r="A5" s="69" t="s">
        <v>126</v>
      </c>
      <c r="B5" s="69" t="s">
        <v>126</v>
      </c>
      <c r="C5" s="69" t="s">
        <v>126</v>
      </c>
      <c r="D5" s="69" t="s">
        <v>126</v>
      </c>
      <c r="E5" s="69" t="s">
        <v>126</v>
      </c>
      <c r="F5" s="177" t="s">
        <v>126</v>
      </c>
      <c r="G5" s="177" t="s">
        <v>126</v>
      </c>
      <c r="H5" s="177" t="s">
        <v>225</v>
      </c>
      <c r="I5" s="177" t="s">
        <v>225</v>
      </c>
      <c r="J5" s="118" t="s">
        <v>126</v>
      </c>
      <c r="K5" s="118" t="s">
        <v>126</v>
      </c>
      <c r="L5" s="118" t="s">
        <v>126</v>
      </c>
      <c r="M5" s="118" t="s">
        <v>126</v>
      </c>
      <c r="N5" s="118" t="s">
        <v>126</v>
      </c>
      <c r="O5" s="115" t="s">
        <v>126</v>
      </c>
      <c r="P5" s="115" t="s">
        <v>225</v>
      </c>
      <c r="Q5" s="115" t="s">
        <v>225</v>
      </c>
      <c r="R5" s="115" t="s">
        <v>225</v>
      </c>
      <c r="S5" s="115" t="s">
        <v>225</v>
      </c>
      <c r="T5" s="125" t="s">
        <v>126</v>
      </c>
      <c r="U5" s="115" t="s">
        <v>225</v>
      </c>
    </row>
    <row r="6" customFormat="false" ht="12.8" hidden="false" customHeight="false" outlineLevel="0" collapsed="false">
      <c r="A6" s="69" t="s">
        <v>128</v>
      </c>
      <c r="B6" s="69" t="s">
        <v>128</v>
      </c>
      <c r="C6" s="69" t="s">
        <v>128</v>
      </c>
      <c r="D6" s="69" t="s">
        <v>128</v>
      </c>
      <c r="E6" s="69" t="s">
        <v>128</v>
      </c>
      <c r="F6" s="177" t="s">
        <v>131</v>
      </c>
      <c r="G6" s="177" t="s">
        <v>228</v>
      </c>
      <c r="H6" s="177" t="s">
        <v>129</v>
      </c>
      <c r="I6" s="177" t="s">
        <v>129</v>
      </c>
      <c r="J6" s="118" t="s">
        <v>227</v>
      </c>
      <c r="K6" s="118" t="s">
        <v>227</v>
      </c>
      <c r="L6" s="118" t="s">
        <v>227</v>
      </c>
      <c r="M6" s="118" t="s">
        <v>227</v>
      </c>
      <c r="N6" s="118" t="s">
        <v>227</v>
      </c>
      <c r="O6" s="115" t="s">
        <v>131</v>
      </c>
      <c r="P6" s="115" t="s">
        <v>130</v>
      </c>
      <c r="Q6" s="115" t="s">
        <v>130</v>
      </c>
      <c r="R6" s="115" t="s">
        <v>130</v>
      </c>
      <c r="S6" s="115" t="s">
        <v>130</v>
      </c>
      <c r="T6" s="125" t="s">
        <v>227</v>
      </c>
      <c r="U6" s="115" t="s">
        <v>130</v>
      </c>
    </row>
    <row r="7" customFormat="false" ht="12.8" hidden="false" customHeight="false" outlineLevel="0" collapsed="false">
      <c r="A7" s="69" t="s">
        <v>132</v>
      </c>
      <c r="B7" s="69" t="s">
        <v>132</v>
      </c>
      <c r="C7" s="69" t="s">
        <v>132</v>
      </c>
      <c r="D7" s="69" t="s">
        <v>132</v>
      </c>
      <c r="E7" s="69" t="s">
        <v>132</v>
      </c>
      <c r="F7" s="177" t="s">
        <v>133</v>
      </c>
      <c r="G7" s="177" t="s">
        <v>132</v>
      </c>
      <c r="H7" s="177" t="s">
        <v>133</v>
      </c>
      <c r="I7" s="73" t="s">
        <v>133</v>
      </c>
      <c r="J7" s="118" t="s">
        <v>229</v>
      </c>
      <c r="K7" s="118" t="s">
        <v>229</v>
      </c>
      <c r="L7" s="118" t="s">
        <v>229</v>
      </c>
      <c r="M7" s="118" t="s">
        <v>229</v>
      </c>
      <c r="N7" s="118" t="s">
        <v>229</v>
      </c>
      <c r="O7" s="115" t="s">
        <v>133</v>
      </c>
      <c r="P7" s="115" t="s">
        <v>133</v>
      </c>
      <c r="Q7" s="115" t="s">
        <v>133</v>
      </c>
      <c r="R7" s="115" t="s">
        <v>133</v>
      </c>
      <c r="S7" s="115" t="s">
        <v>133</v>
      </c>
      <c r="T7" s="125" t="s">
        <v>229</v>
      </c>
      <c r="U7" s="115" t="s">
        <v>133</v>
      </c>
    </row>
    <row r="8" customFormat="false" ht="12.8" hidden="false" customHeight="false" outlineLevel="0" collapsed="false">
      <c r="F8" s="177" t="s">
        <v>98</v>
      </c>
      <c r="H8" s="178" t="s">
        <v>849</v>
      </c>
      <c r="I8" s="124" t="s">
        <v>850</v>
      </c>
      <c r="P8" s="115" t="s">
        <v>851</v>
      </c>
      <c r="Q8" s="115" t="s">
        <v>852</v>
      </c>
      <c r="R8" s="115" t="s">
        <v>853</v>
      </c>
      <c r="S8" s="115" t="s">
        <v>853</v>
      </c>
      <c r="U8" s="115" t="s">
        <v>854</v>
      </c>
    </row>
    <row r="9" customFormat="false" ht="12.8" hidden="false" customHeight="false" outlineLevel="0" collapsed="false">
      <c r="H9" s="178" t="s">
        <v>855</v>
      </c>
      <c r="I9" s="124" t="s">
        <v>856</v>
      </c>
      <c r="P9" s="115" t="s">
        <v>857</v>
      </c>
      <c r="Q9" s="115" t="s">
        <v>858</v>
      </c>
      <c r="R9" s="115" t="s">
        <v>859</v>
      </c>
      <c r="S9" s="115" t="s">
        <v>859</v>
      </c>
      <c r="U9" s="115" t="s">
        <v>860</v>
      </c>
    </row>
    <row r="10" customFormat="false" ht="12.8" hidden="false" customHeight="false" outlineLevel="0" collapsed="false">
      <c r="F10" s="177" t="s">
        <v>243</v>
      </c>
      <c r="H10" s="177"/>
      <c r="R10" s="115" t="s">
        <v>861</v>
      </c>
      <c r="S10" s="115" t="s">
        <v>862</v>
      </c>
    </row>
    <row r="11" customFormat="false" ht="12.8" hidden="false" customHeight="false" outlineLevel="0" collapsed="false">
      <c r="F11" s="177" t="s">
        <v>863</v>
      </c>
      <c r="H11" s="177" t="s">
        <v>863</v>
      </c>
      <c r="I11" s="73" t="s">
        <v>863</v>
      </c>
      <c r="J11" s="73" t="s">
        <v>863</v>
      </c>
      <c r="K11" s="73" t="s">
        <v>864</v>
      </c>
      <c r="L11" s="73" t="s">
        <v>865</v>
      </c>
      <c r="M11" s="73" t="s">
        <v>863</v>
      </c>
      <c r="N11" s="118" t="s">
        <v>863</v>
      </c>
      <c r="O11" s="115" t="s">
        <v>863</v>
      </c>
      <c r="P11" s="115" t="s">
        <v>864</v>
      </c>
      <c r="Q11" s="115" t="s">
        <v>865</v>
      </c>
      <c r="R11" s="115" t="s">
        <v>863</v>
      </c>
      <c r="S11" s="115" t="s">
        <v>863</v>
      </c>
      <c r="T11" s="125" t="s">
        <v>866</v>
      </c>
      <c r="U11" s="115" t="s">
        <v>866</v>
      </c>
    </row>
    <row r="12" customFormat="false" ht="12.8" hidden="false" customHeight="false" outlineLevel="0" collapsed="false">
      <c r="F12" s="177" t="s">
        <v>249</v>
      </c>
      <c r="H12" s="177" t="s">
        <v>249</v>
      </c>
      <c r="I12" s="73" t="s">
        <v>249</v>
      </c>
      <c r="J12" s="73" t="s">
        <v>249</v>
      </c>
      <c r="K12" s="73" t="s">
        <v>250</v>
      </c>
      <c r="L12" s="73" t="s">
        <v>249</v>
      </c>
      <c r="M12" s="73" t="s">
        <v>249</v>
      </c>
      <c r="N12" s="118" t="s">
        <v>249</v>
      </c>
      <c r="O12" s="115" t="s">
        <v>249</v>
      </c>
      <c r="P12" s="115" t="s">
        <v>250</v>
      </c>
      <c r="Q12" s="115" t="s">
        <v>249</v>
      </c>
      <c r="R12" s="115" t="s">
        <v>249</v>
      </c>
      <c r="S12" s="115" t="s">
        <v>249</v>
      </c>
      <c r="T12" s="125" t="s">
        <v>249</v>
      </c>
      <c r="U12" s="115" t="s">
        <v>249</v>
      </c>
    </row>
    <row r="13" customFormat="false" ht="12.8" hidden="false" customHeight="false" outlineLevel="0" collapsed="false">
      <c r="H13" s="177"/>
    </row>
    <row r="14" customFormat="false" ht="15" hidden="false" customHeight="false" outlineLevel="0" collapsed="false">
      <c r="A14" s="70" t="s">
        <v>135</v>
      </c>
      <c r="B14" s="70" t="s">
        <v>136</v>
      </c>
      <c r="C14" s="70" t="s">
        <v>252</v>
      </c>
      <c r="D14" s="70" t="s">
        <v>253</v>
      </c>
      <c r="E14" s="70" t="s">
        <v>42</v>
      </c>
      <c r="F14" s="137" t="s">
        <v>97</v>
      </c>
      <c r="G14" s="179" t="s">
        <v>867</v>
      </c>
      <c r="H14" s="137" t="s">
        <v>868</v>
      </c>
      <c r="I14" s="131" t="s">
        <v>869</v>
      </c>
      <c r="J14" s="131" t="s">
        <v>870</v>
      </c>
      <c r="K14" s="131" t="s">
        <v>871</v>
      </c>
      <c r="L14" s="131" t="s">
        <v>872</v>
      </c>
      <c r="M14" s="131" t="s">
        <v>873</v>
      </c>
      <c r="N14" s="131" t="s">
        <v>874</v>
      </c>
      <c r="O14" s="128" t="s">
        <v>875</v>
      </c>
      <c r="P14" s="128" t="s">
        <v>876</v>
      </c>
      <c r="Q14" s="128" t="s">
        <v>877</v>
      </c>
      <c r="R14" s="128" t="s">
        <v>878</v>
      </c>
      <c r="S14" s="128" t="s">
        <v>879</v>
      </c>
      <c r="T14" s="163" t="s">
        <v>880</v>
      </c>
      <c r="U14" s="128" t="s">
        <v>881</v>
      </c>
    </row>
    <row r="15" customFormat="false" ht="15" hidden="false" customHeight="false" outlineLevel="0" collapsed="false">
      <c r="A15" s="0" t="s">
        <v>140</v>
      </c>
      <c r="B15" s="0" t="s">
        <v>141</v>
      </c>
      <c r="C15" s="0" t="s">
        <v>89</v>
      </c>
      <c r="D15" s="0" t="s">
        <v>56</v>
      </c>
      <c r="E15" s="69" t="str">
        <f aca="false">B15&amp;"|"&amp;C15&amp;"|"&amp;D15</f>
        <v>_Military Lesotho [#Military] [dDOqoFnD5Be]|&lt;01|Female</v>
      </c>
      <c r="F15" s="73" t="str">
        <f aca="false">_xlfn.IFNA(INDEX(Cascade!$F:$F,MATCH($E15,Cascade!$E:$E,0)),"")</f>
        <v/>
      </c>
      <c r="H15" s="73"/>
      <c r="I15" s="73"/>
      <c r="J15" s="118" t="str">
        <f aca="false">IF(SUM($I15)&lt;=0,"",0%)</f>
        <v/>
      </c>
      <c r="K15" s="118"/>
      <c r="L15" s="118"/>
      <c r="M15" s="118" t="n">
        <f aca="false">1-IF(NOT(AND($D15="Female",OR($C15="10-14",$C15="15-17"))),0,$K15)-IF(NOT(OR($C15="05-09",$C15="10-14")),0,$L15)</f>
        <v>1</v>
      </c>
      <c r="N15" s="118" t="n">
        <f aca="false">20%</f>
        <v>0.2</v>
      </c>
      <c r="O15" s="115" t="str">
        <f aca="false">IF(SUM($I15)&lt;=0,"",ROUND($I15*(1+$J15),0))</f>
        <v/>
      </c>
      <c r="P15" s="115" t="str">
        <f aca="false">IF(OR(AND(SUM($K15)=0,SUM($O15)&lt;=0),NOT(AND($D15="Female",$G15="Y",OR($C15="10-14",$C15="15-17")))),"",ROUND($O15*$K15,0))</f>
        <v/>
      </c>
      <c r="Q15" s="115" t="str">
        <f aca="false">IF(OR(AND(SUM($L15)=0,SUM($O15)&lt;=0),NOT(OR($C15="10-14",$C15="05-09"))),"",ROUND($O15*$L15,0))</f>
        <v/>
      </c>
      <c r="R15" s="115" t="str">
        <f aca="false">IF(SUM($O15)&lt;=0,"",ROUND($O15*$M15*$N15,0))</f>
        <v/>
      </c>
      <c r="S15" s="115" t="str">
        <f aca="false">IF(SUM($O15)&lt;=0,"",($O15*$M15)-$R15)</f>
        <v/>
      </c>
      <c r="T15" s="125" t="str">
        <f aca="false">IF(OR($C15="18+",$C15="18-20",SUM($O15)&lt;=0),"",100%)</f>
        <v/>
      </c>
      <c r="U15" s="115" t="str">
        <f aca="false">IF(OR($C15="18+",$C15="18-20",(SUM($R15)+SUM($S15))=0),"",ROUND(SUM($R15,$S15)*$T15,0))</f>
        <v/>
      </c>
    </row>
    <row r="16" customFormat="false" ht="15" hidden="false" customHeight="false" outlineLevel="0" collapsed="false">
      <c r="A16" s="0" t="s">
        <v>140</v>
      </c>
      <c r="B16" s="0" t="s">
        <v>141</v>
      </c>
      <c r="C16" s="0" t="s">
        <v>89</v>
      </c>
      <c r="D16" s="0" t="s">
        <v>58</v>
      </c>
      <c r="E16" s="0" t="str">
        <f aca="false">B16&amp;"|"&amp;C16&amp;"|"&amp;D16</f>
        <v>_Military Lesotho [#Military] [dDOqoFnD5Be]|&lt;01|Male</v>
      </c>
      <c r="F16" s="73" t="str">
        <f aca="false">_xlfn.IFNA(INDEX(Cascade!$F:$F,MATCH($E16,Cascade!$E:$E,0)),"")</f>
        <v/>
      </c>
      <c r="H16" s="73"/>
      <c r="I16" s="73"/>
      <c r="J16" s="118" t="str">
        <f aca="false">IF(SUM($I16)&lt;=0,"",0%)</f>
        <v/>
      </c>
      <c r="K16" s="118"/>
      <c r="L16" s="118"/>
      <c r="M16" s="118" t="n">
        <f aca="false">1-IF(NOT(AND($D16="Female",OR($C16="10-14",$C16="15-17"))),0,$K16)-IF(NOT(OR($C16="05-09",$C16="10-14")),0,$L16)</f>
        <v>1</v>
      </c>
      <c r="N16" s="118" t="n">
        <f aca="false">20%</f>
        <v>0.2</v>
      </c>
      <c r="O16" s="73" t="str">
        <f aca="false">IF(SUM($I16)&lt;=0,"",ROUND($I16*(1+$J16),0))</f>
        <v/>
      </c>
      <c r="P16" s="75" t="str">
        <f aca="false">IF(OR(AND(SUM($K16)=0,SUM($O16)&lt;=0),NOT(AND($D16="Female",$G16="Y",OR($C16="10-14",$C16="15-17")))),"",ROUND($O16*$K16,0))</f>
        <v/>
      </c>
      <c r="Q16" s="75" t="str">
        <f aca="false">IF(OR(AND(SUM($L16)=0,SUM($O16)&lt;=0),NOT(OR($C16="10-14",$C16="05-09"))),"",ROUND($O16*$L16,0))</f>
        <v/>
      </c>
      <c r="R16" s="75" t="str">
        <f aca="false">IF(SUM($O16)&lt;=0,"",ROUND($O16*$M16*$N16,0))</f>
        <v/>
      </c>
      <c r="S16" s="75" t="str">
        <f aca="false">IF(SUM($O16)&lt;=0,"",($O16*$M16)-$R16)</f>
        <v/>
      </c>
      <c r="T16" s="118" t="str">
        <f aca="false">IF(OR($C16="18+",$C16="18-20",SUM($O16)&lt;=0),"",100%)</f>
        <v/>
      </c>
      <c r="U16" s="115" t="str">
        <f aca="false">IF(OR($C16="18+",$C16="18-20",(SUM($R16)+SUM($S16))=0),"",ROUND(SUM($R16,$S16)*$T16,0))</f>
        <v/>
      </c>
    </row>
    <row r="17" customFormat="false" ht="15" hidden="false" customHeight="false" outlineLevel="0" collapsed="false">
      <c r="A17" s="0" t="s">
        <v>140</v>
      </c>
      <c r="B17" s="0" t="s">
        <v>141</v>
      </c>
      <c r="C17" s="0" t="s">
        <v>54</v>
      </c>
      <c r="D17" s="0" t="s">
        <v>56</v>
      </c>
      <c r="E17" s="0" t="str">
        <f aca="false">B17&amp;"|"&amp;C17&amp;"|"&amp;D17</f>
        <v>_Military Lesotho [#Military] [dDOqoFnD5Be]|01-04|Female</v>
      </c>
      <c r="F17" s="73" t="str">
        <f aca="false">_xlfn.IFNA(INDEX(Cascade!$F:$F,MATCH($E17,Cascade!$E:$E,0)),"")</f>
        <v/>
      </c>
      <c r="H17" s="73"/>
      <c r="I17" s="73"/>
      <c r="J17" s="118" t="str">
        <f aca="false">IF(SUM($I17)&lt;=0,"",0%)</f>
        <v/>
      </c>
      <c r="K17" s="118"/>
      <c r="L17" s="118"/>
      <c r="M17" s="118" t="n">
        <f aca="false">1-IF(NOT(AND($D17="Female",OR($C17="10-14",$C17="15-17"))),0,$K17)-IF(NOT(OR($C17="05-09",$C17="10-14")),0,$L17)</f>
        <v>1</v>
      </c>
      <c r="N17" s="118" t="n">
        <f aca="false">20%</f>
        <v>0.2</v>
      </c>
      <c r="O17" s="73" t="str">
        <f aca="false">IF(SUM($I17)&lt;=0,"",ROUND($I17*(1+$J17),0))</f>
        <v/>
      </c>
      <c r="P17" s="75" t="str">
        <f aca="false">IF(OR(AND(SUM($K17)=0,SUM($O17)&lt;=0),NOT(AND($D17="Female",$G17="Y",OR($C17="10-14",$C17="15-17")))),"",ROUND($O17*$K17,0))</f>
        <v/>
      </c>
      <c r="Q17" s="75" t="str">
        <f aca="false">IF(OR(AND(SUM($L17)=0,SUM($O17)&lt;=0),NOT(OR($C17="10-14",$C17="05-09"))),"",ROUND($O17*$L17,0))</f>
        <v/>
      </c>
      <c r="R17" s="75" t="str">
        <f aca="false">IF(SUM($O17)&lt;=0,"",ROUND($O17*$M17*$N17,0))</f>
        <v/>
      </c>
      <c r="S17" s="75" t="str">
        <f aca="false">IF(SUM($O17)&lt;=0,"",($O17*$M17)-$R17)</f>
        <v/>
      </c>
      <c r="T17" s="118" t="str">
        <f aca="false">IF(OR($C17="18+",$C17="18-20",SUM($O17)&lt;=0),"",100%)</f>
        <v/>
      </c>
      <c r="U17" s="115" t="str">
        <f aca="false">IF(OR($C17="18+",$C17="18-20",(SUM($R17)+SUM($S17))=0),"",ROUND(SUM($R17,$S17)*$T17,0))</f>
        <v/>
      </c>
    </row>
    <row r="18" customFormat="false" ht="15" hidden="false" customHeight="false" outlineLevel="0" collapsed="false">
      <c r="A18" s="0" t="s">
        <v>140</v>
      </c>
      <c r="B18" s="0" t="s">
        <v>141</v>
      </c>
      <c r="C18" s="0" t="s">
        <v>54</v>
      </c>
      <c r="D18" s="0" t="s">
        <v>58</v>
      </c>
      <c r="E18" s="0" t="str">
        <f aca="false">B18&amp;"|"&amp;C18&amp;"|"&amp;D18</f>
        <v>_Military Lesotho [#Military] [dDOqoFnD5Be]|01-04|Male</v>
      </c>
      <c r="F18" s="73" t="str">
        <f aca="false">_xlfn.IFNA(INDEX(Cascade!$F:$F,MATCH($E18,Cascade!$E:$E,0)),"")</f>
        <v/>
      </c>
      <c r="H18" s="73"/>
      <c r="I18" s="73"/>
      <c r="J18" s="118" t="str">
        <f aca="false">IF(SUM($I18)&lt;=0,"",0%)</f>
        <v/>
      </c>
      <c r="K18" s="118"/>
      <c r="L18" s="118"/>
      <c r="M18" s="118" t="n">
        <f aca="false">1-IF(NOT(AND($D18="Female",OR($C18="10-14",$C18="15-17"))),0,$K18)-IF(NOT(OR($C18="05-09",$C18="10-14")),0,$L18)</f>
        <v>1</v>
      </c>
      <c r="N18" s="118" t="n">
        <f aca="false">20%</f>
        <v>0.2</v>
      </c>
      <c r="O18" s="73" t="str">
        <f aca="false">IF(SUM($I18)&lt;=0,"",ROUND($I18*(1+$J18),0))</f>
        <v/>
      </c>
      <c r="P18" s="75" t="str">
        <f aca="false">IF(OR(AND(SUM($K18)=0,SUM($O18)&lt;=0),NOT(AND($D18="Female",$G18="Y",OR($C18="10-14",$C18="15-17")))),"",ROUND($O18*$K18,0))</f>
        <v/>
      </c>
      <c r="Q18" s="75" t="str">
        <f aca="false">IF(OR(AND(SUM($L18)=0,SUM($O18)&lt;=0),NOT(OR($C18="10-14",$C18="05-09"))),"",ROUND($O18*$L18,0))</f>
        <v/>
      </c>
      <c r="R18" s="75" t="str">
        <f aca="false">IF(SUM($O18)&lt;=0,"",ROUND($O18*$M18*$N18,0))</f>
        <v/>
      </c>
      <c r="S18" s="75" t="str">
        <f aca="false">IF(SUM($O18)&lt;=0,"",($O18*$M18)-$R18)</f>
        <v/>
      </c>
      <c r="T18" s="118" t="str">
        <f aca="false">IF(OR($C18="18+",$C18="18-20",SUM($O18)&lt;=0),"",100%)</f>
        <v/>
      </c>
      <c r="U18" s="115" t="str">
        <f aca="false">IF(OR($C18="18+",$C18="18-20",(SUM($R18)+SUM($S18))=0),"",ROUND(SUM($R18,$S18)*$T18,0))</f>
        <v/>
      </c>
    </row>
    <row r="19" customFormat="false" ht="15" hidden="false" customHeight="false" outlineLevel="0" collapsed="false">
      <c r="A19" s="0" t="s">
        <v>140</v>
      </c>
      <c r="B19" s="0" t="s">
        <v>141</v>
      </c>
      <c r="C19" s="0" t="s">
        <v>83</v>
      </c>
      <c r="D19" s="0" t="s">
        <v>56</v>
      </c>
      <c r="E19" s="0" t="str">
        <f aca="false">B19&amp;"|"&amp;C19&amp;"|"&amp;D19</f>
        <v>_Military Lesotho [#Military] [dDOqoFnD5Be]|05-09|Female</v>
      </c>
      <c r="F19" s="73" t="str">
        <f aca="false">_xlfn.IFNA(INDEX(Cascade!$F:$F,MATCH($E19,Cascade!$E:$E,0)),"")</f>
        <v/>
      </c>
      <c r="H19" s="73"/>
      <c r="I19" s="73"/>
      <c r="J19" s="118" t="str">
        <f aca="false">IF(SUM($I19)&lt;=0,"",0%)</f>
        <v/>
      </c>
      <c r="K19" s="118"/>
      <c r="L19" s="118"/>
      <c r="M19" s="118" t="n">
        <f aca="false">1-IF(NOT(AND($D19="Female",OR($C19="10-14",$C19="15-17"))),0,$K19)-IF(NOT(OR($C19="05-09",$C19="10-14")),0,$L19)</f>
        <v>1</v>
      </c>
      <c r="N19" s="118" t="n">
        <f aca="false">20%</f>
        <v>0.2</v>
      </c>
      <c r="O19" s="73" t="str">
        <f aca="false">IF(SUM($I19)&lt;=0,"",ROUND($I19*(1+$J19),0))</f>
        <v/>
      </c>
      <c r="P19" s="75" t="str">
        <f aca="false">IF(OR(AND(SUM($K19)=0,SUM($O19)&lt;=0),NOT(AND($D19="Female",$G19="Y",OR($C19="10-14",$C19="15-17")))),"",ROUND($O19*$K19,0))</f>
        <v/>
      </c>
      <c r="Q19" s="75" t="str">
        <f aca="false">IF(OR(AND(SUM($L19)=0,SUM($O19)&lt;=0),NOT(OR($C19="10-14",$C19="05-09"))),"",ROUND($O19*$L19,0))</f>
        <v/>
      </c>
      <c r="R19" s="75" t="str">
        <f aca="false">IF(SUM($O19)&lt;=0,"",ROUND($O19*$M19*$N19,0))</f>
        <v/>
      </c>
      <c r="S19" s="75" t="str">
        <f aca="false">IF(SUM($O19)&lt;=0,"",($O19*$M19)-$R19)</f>
        <v/>
      </c>
      <c r="T19" s="118" t="str">
        <f aca="false">IF(OR($C19="18+",$C19="18-20",SUM($O19)&lt;=0),"",100%)</f>
        <v/>
      </c>
      <c r="U19" s="115" t="str">
        <f aca="false">IF(OR($C19="18+",$C19="18-20",(SUM($R19)+SUM($S19))=0),"",ROUND(SUM($R19,$S19)*$T19,0))</f>
        <v/>
      </c>
    </row>
    <row r="20" customFormat="false" ht="15" hidden="false" customHeight="false" outlineLevel="0" collapsed="false">
      <c r="A20" s="0" t="s">
        <v>140</v>
      </c>
      <c r="B20" s="0" t="s">
        <v>141</v>
      </c>
      <c r="C20" s="0" t="s">
        <v>83</v>
      </c>
      <c r="D20" s="0" t="s">
        <v>58</v>
      </c>
      <c r="E20" s="0" t="str">
        <f aca="false">B20&amp;"|"&amp;C20&amp;"|"&amp;D20</f>
        <v>_Military Lesotho [#Military] [dDOqoFnD5Be]|05-09|Male</v>
      </c>
      <c r="F20" s="73" t="str">
        <f aca="false">_xlfn.IFNA(INDEX(Cascade!$F:$F,MATCH($E20,Cascade!$E:$E,0)),"")</f>
        <v/>
      </c>
      <c r="H20" s="73"/>
      <c r="I20" s="73"/>
      <c r="J20" s="118" t="str">
        <f aca="false">IF(SUM($I20)&lt;=0,"",0%)</f>
        <v/>
      </c>
      <c r="K20" s="118"/>
      <c r="L20" s="118"/>
      <c r="M20" s="118" t="n">
        <f aca="false">1-IF(NOT(AND($D20="Female",OR($C20="10-14",$C20="15-17"))),0,$K20)-IF(NOT(OR($C20="05-09",$C20="10-14")),0,$L20)</f>
        <v>1</v>
      </c>
      <c r="N20" s="118" t="n">
        <f aca="false">20%</f>
        <v>0.2</v>
      </c>
      <c r="O20" s="73" t="str">
        <f aca="false">IF(SUM($I20)&lt;=0,"",ROUND($I20*(1+$J20),0))</f>
        <v/>
      </c>
      <c r="P20" s="75" t="str">
        <f aca="false">IF(OR(AND(SUM($K20)=0,SUM($O20)&lt;=0),NOT(AND($D20="Female",$G20="Y",OR($C20="10-14",$C20="15-17")))),"",ROUND($O20*$K20,0))</f>
        <v/>
      </c>
      <c r="Q20" s="75" t="str">
        <f aca="false">IF(OR(AND(SUM($L20)=0,SUM($O20)&lt;=0),NOT(OR($C20="10-14",$C20="05-09"))),"",ROUND($O20*$L20,0))</f>
        <v/>
      </c>
      <c r="R20" s="75" t="str">
        <f aca="false">IF(SUM($O20)&lt;=0,"",ROUND($O20*$M20*$N20,0))</f>
        <v/>
      </c>
      <c r="S20" s="75" t="str">
        <f aca="false">IF(SUM($O20)&lt;=0,"",($O20*$M20)-$R20)</f>
        <v/>
      </c>
      <c r="T20" s="118" t="str">
        <f aca="false">IF(OR($C20="18+",$C20="18-20",SUM($O20)&lt;=0),"",100%)</f>
        <v/>
      </c>
      <c r="U20" s="115" t="str">
        <f aca="false">IF(OR($C20="18+",$C20="18-20",(SUM($R20)+SUM($S20))=0),"",ROUND(SUM($R20,$S20)*$T20,0))</f>
        <v/>
      </c>
    </row>
    <row r="21" customFormat="false" ht="15" hidden="false" customHeight="false" outlineLevel="0" collapsed="false">
      <c r="A21" s="0" t="s">
        <v>140</v>
      </c>
      <c r="B21" s="0" t="s">
        <v>141</v>
      </c>
      <c r="C21" s="0" t="s">
        <v>61</v>
      </c>
      <c r="D21" s="0" t="s">
        <v>56</v>
      </c>
      <c r="E21" s="0" t="str">
        <f aca="false">B21&amp;"|"&amp;C21&amp;"|"&amp;D21</f>
        <v>_Military Lesotho [#Military] [dDOqoFnD5Be]|10-14|Female</v>
      </c>
      <c r="F21" s="73" t="str">
        <f aca="false">_xlfn.IFNA(INDEX(Cascade!$F:$F,MATCH($E21,Cascade!$E:$E,0)),"")</f>
        <v/>
      </c>
      <c r="H21" s="73"/>
      <c r="I21" s="73"/>
      <c r="J21" s="118" t="str">
        <f aca="false">IF(SUM($I21)&lt;=0,"",0%)</f>
        <v/>
      </c>
      <c r="K21" s="118"/>
      <c r="L21" s="118"/>
      <c r="M21" s="118" t="n">
        <f aca="false">1-IF(NOT(AND($D21="Female",OR($C21="10-14",$C21="15-17"))),0,$K21)-IF(NOT(OR($C21="05-09",$C21="10-14")),0,$L21)</f>
        <v>1</v>
      </c>
      <c r="N21" s="118" t="n">
        <f aca="false">20%</f>
        <v>0.2</v>
      </c>
      <c r="O21" s="73" t="str">
        <f aca="false">IF(SUM($I21)&lt;=0,"",ROUND($I21*(1+$J21),0))</f>
        <v/>
      </c>
      <c r="P21" s="75" t="str">
        <f aca="false">IF(OR(AND(SUM($K21)=0,SUM($O21)&lt;=0),NOT(AND($D21="Female",$G21="Y",OR($C21="10-14",$C21="15-17")))),"",ROUND($O21*$K21,0))</f>
        <v/>
      </c>
      <c r="Q21" s="75" t="str">
        <f aca="false">IF(OR(AND(SUM($L21)=0,SUM($O21)&lt;=0),NOT(OR($C21="10-14",$C21="05-09"))),"",ROUND($O21*$L21,0))</f>
        <v/>
      </c>
      <c r="R21" s="75" t="str">
        <f aca="false">IF(SUM($O21)&lt;=0,"",ROUND($O21*$M21*$N21,0))</f>
        <v/>
      </c>
      <c r="S21" s="75" t="str">
        <f aca="false">IF(SUM($O21)&lt;=0,"",($O21*$M21)-$R21)</f>
        <v/>
      </c>
      <c r="T21" s="118" t="str">
        <f aca="false">IF(OR($C21="18+",$C21="18-20",SUM($O21)&lt;=0),"",100%)</f>
        <v/>
      </c>
      <c r="U21" s="115" t="str">
        <f aca="false">IF(OR($C21="18+",$C21="18-20",(SUM($R21)+SUM($S21))=0),"",ROUND(SUM($R21,$S21)*$T21,0))</f>
        <v/>
      </c>
    </row>
    <row r="22" customFormat="false" ht="15" hidden="false" customHeight="false" outlineLevel="0" collapsed="false">
      <c r="A22" s="0" t="s">
        <v>140</v>
      </c>
      <c r="B22" s="0" t="s">
        <v>141</v>
      </c>
      <c r="C22" s="0" t="s">
        <v>61</v>
      </c>
      <c r="D22" s="0" t="s">
        <v>58</v>
      </c>
      <c r="E22" s="0" t="str">
        <f aca="false">B22&amp;"|"&amp;C22&amp;"|"&amp;D22</f>
        <v>_Military Lesotho [#Military] [dDOqoFnD5Be]|10-14|Male</v>
      </c>
      <c r="F22" s="73" t="str">
        <f aca="false">_xlfn.IFNA(INDEX(Cascade!$F:$F,MATCH($E22,Cascade!$E:$E,0)),"")</f>
        <v/>
      </c>
      <c r="H22" s="73"/>
      <c r="I22" s="73"/>
      <c r="J22" s="118" t="str">
        <f aca="false">IF(SUM($I22)&lt;=0,"",0%)</f>
        <v/>
      </c>
      <c r="K22" s="118"/>
      <c r="L22" s="118"/>
      <c r="M22" s="118" t="n">
        <f aca="false">1-IF(NOT(AND($D22="Female",OR($C22="10-14",$C22="15-17"))),0,$K22)-IF(NOT(OR($C22="05-09",$C22="10-14")),0,$L22)</f>
        <v>1</v>
      </c>
      <c r="N22" s="118" t="n">
        <f aca="false">20%</f>
        <v>0.2</v>
      </c>
      <c r="O22" s="73" t="str">
        <f aca="false">IF(SUM($I22)&lt;=0,"",ROUND($I22*(1+$J22),0))</f>
        <v/>
      </c>
      <c r="P22" s="75" t="str">
        <f aca="false">IF(OR(AND(SUM($K22)=0,SUM($O22)&lt;=0),NOT(AND($D22="Female",$G22="Y",OR($C22="10-14",$C22="15-17")))),"",ROUND($O22*$K22,0))</f>
        <v/>
      </c>
      <c r="Q22" s="75" t="str">
        <f aca="false">IF(OR(AND(SUM($L22)=0,SUM($O22)&lt;=0),NOT(OR($C22="10-14",$C22="05-09"))),"",ROUND($O22*$L22,0))</f>
        <v/>
      </c>
      <c r="R22" s="75" t="str">
        <f aca="false">IF(SUM($O22)&lt;=0,"",ROUND($O22*$M22*$N22,0))</f>
        <v/>
      </c>
      <c r="S22" s="75" t="str">
        <f aca="false">IF(SUM($O22)&lt;=0,"",($O22*$M22)-$R22)</f>
        <v/>
      </c>
      <c r="T22" s="118" t="str">
        <f aca="false">IF(OR($C22="18+",$C22="18-20",SUM($O22)&lt;=0),"",100%)</f>
        <v/>
      </c>
      <c r="U22" s="115" t="str">
        <f aca="false">IF(OR($C22="18+",$C22="18-20",(SUM($R22)+SUM($S22))=0),"",ROUND(SUM($R22,$S22)*$T22,0))</f>
        <v/>
      </c>
    </row>
    <row r="23" customFormat="false" ht="15" hidden="false" customHeight="false" outlineLevel="0" collapsed="false">
      <c r="A23" s="0" t="s">
        <v>140</v>
      </c>
      <c r="B23" s="0" t="s">
        <v>141</v>
      </c>
      <c r="C23" s="0" t="s">
        <v>882</v>
      </c>
      <c r="D23" s="0" t="s">
        <v>56</v>
      </c>
      <c r="E23" s="0" t="str">
        <f aca="false">B23&amp;"|"&amp;C23&amp;"|"&amp;D23</f>
        <v>_Military Lesotho [#Military] [dDOqoFnD5Be]|15-17|Female</v>
      </c>
      <c r="F23" s="73" t="str">
        <f aca="false">_xlfn.IFNA(INDEX(Cascade!$F:$F,MATCH($E23,Cascade!$E:$E,0)),"")</f>
        <v/>
      </c>
      <c r="H23" s="73"/>
      <c r="I23" s="73"/>
      <c r="J23" s="118" t="str">
        <f aca="false">IF(SUM($I23)&lt;=0,"",0%)</f>
        <v/>
      </c>
      <c r="K23" s="118"/>
      <c r="L23" s="118"/>
      <c r="M23" s="118" t="n">
        <f aca="false">1-IF(NOT(AND($D23="Female",OR($C23="10-14",$C23="15-17"))),0,$K23)-IF(NOT(OR($C23="05-09",$C23="10-14")),0,$L23)</f>
        <v>1</v>
      </c>
      <c r="N23" s="118" t="n">
        <f aca="false">20%</f>
        <v>0.2</v>
      </c>
      <c r="O23" s="73" t="str">
        <f aca="false">IF(SUM($I23)&lt;=0,"",ROUND($I23*(1+$J23),0))</f>
        <v/>
      </c>
      <c r="P23" s="75" t="str">
        <f aca="false">IF(OR(AND(SUM($K23)=0,SUM($O23)&lt;=0),NOT(AND($D23="Female",$G23="Y",OR($C23="10-14",$C23="15-17")))),"",ROUND($O23*$K23,0))</f>
        <v/>
      </c>
      <c r="Q23" s="75" t="str">
        <f aca="false">IF(OR(AND(SUM($L23)=0,SUM($O23)&lt;=0),NOT(OR($C23="10-14",$C23="05-09"))),"",ROUND($O23*$L23,0))</f>
        <v/>
      </c>
      <c r="R23" s="75" t="str">
        <f aca="false">IF(SUM($O23)&lt;=0,"",ROUND($O23*$M23*$N23,0))</f>
        <v/>
      </c>
      <c r="S23" s="75" t="str">
        <f aca="false">IF(SUM($O23)&lt;=0,"",($O23*$M23)-$R23)</f>
        <v/>
      </c>
      <c r="T23" s="118" t="str">
        <f aca="false">IF(OR($C23="18+",$C23="18-20",SUM($O23)&lt;=0),"",100%)</f>
        <v/>
      </c>
      <c r="U23" s="115" t="str">
        <f aca="false">IF(OR($C23="18+",$C23="18-20",(SUM($R23)+SUM($S23))=0),"",ROUND(SUM($R23,$S23)*$T23,0))</f>
        <v/>
      </c>
    </row>
    <row r="24" customFormat="false" ht="15" hidden="false" customHeight="false" outlineLevel="0" collapsed="false">
      <c r="A24" s="0" t="s">
        <v>140</v>
      </c>
      <c r="B24" s="0" t="s">
        <v>141</v>
      </c>
      <c r="C24" s="0" t="s">
        <v>882</v>
      </c>
      <c r="D24" s="0" t="s">
        <v>58</v>
      </c>
      <c r="E24" s="0" t="str">
        <f aca="false">B24&amp;"|"&amp;C24&amp;"|"&amp;D24</f>
        <v>_Military Lesotho [#Military] [dDOqoFnD5Be]|15-17|Male</v>
      </c>
      <c r="F24" s="73" t="str">
        <f aca="false">_xlfn.IFNA(INDEX(Cascade!$F:$F,MATCH($E24,Cascade!$E:$E,0)),"")</f>
        <v/>
      </c>
      <c r="H24" s="73"/>
      <c r="I24" s="73"/>
      <c r="J24" s="118" t="str">
        <f aca="false">IF(SUM($I24)&lt;=0,"",0%)</f>
        <v/>
      </c>
      <c r="K24" s="118"/>
      <c r="L24" s="118"/>
      <c r="M24" s="118" t="n">
        <f aca="false">1-IF(NOT(AND($D24="Female",OR($C24="10-14",$C24="15-17"))),0,$K24)-IF(NOT(OR($C24="05-09",$C24="10-14")),0,$L24)</f>
        <v>1</v>
      </c>
      <c r="N24" s="118" t="n">
        <f aca="false">20%</f>
        <v>0.2</v>
      </c>
      <c r="O24" s="73" t="str">
        <f aca="false">IF(SUM($I24)&lt;=0,"",ROUND($I24*(1+$J24),0))</f>
        <v/>
      </c>
      <c r="P24" s="75" t="str">
        <f aca="false">IF(OR(AND(SUM($K24)=0,SUM($O24)&lt;=0),NOT(AND($D24="Female",$G24="Y",OR($C24="10-14",$C24="15-17")))),"",ROUND($O24*$K24,0))</f>
        <v/>
      </c>
      <c r="Q24" s="75" t="str">
        <f aca="false">IF(OR(AND(SUM($L24)=0,SUM($O24)&lt;=0),NOT(OR($C24="10-14",$C24="05-09"))),"",ROUND($O24*$L24,0))</f>
        <v/>
      </c>
      <c r="R24" s="75" t="str">
        <f aca="false">IF(SUM($O24)&lt;=0,"",ROUND($O24*$M24*$N24,0))</f>
        <v/>
      </c>
      <c r="S24" s="75" t="str">
        <f aca="false">IF(SUM($O24)&lt;=0,"",($O24*$M24)-$R24)</f>
        <v/>
      </c>
      <c r="T24" s="118" t="str">
        <f aca="false">IF(OR($C24="18+",$C24="18-20",SUM($O24)&lt;=0),"",100%)</f>
        <v/>
      </c>
      <c r="U24" s="115" t="str">
        <f aca="false">IF(OR($C24="18+",$C24="18-20",(SUM($R24)+SUM($S24))=0),"",ROUND(SUM($R24,$S24)*$T24,0))</f>
        <v/>
      </c>
    </row>
    <row r="25" customFormat="false" ht="15" hidden="false" customHeight="false" outlineLevel="0" collapsed="false">
      <c r="A25" s="0" t="s">
        <v>140</v>
      </c>
      <c r="B25" s="0" t="s">
        <v>141</v>
      </c>
      <c r="C25" s="0" t="s">
        <v>883</v>
      </c>
      <c r="D25" s="0" t="s">
        <v>56</v>
      </c>
      <c r="E25" s="0" t="str">
        <f aca="false">B25&amp;"|"&amp;C25&amp;"|"&amp;D25</f>
        <v>_Military Lesotho [#Military] [dDOqoFnD5Be]|18-20|Female</v>
      </c>
      <c r="F25" s="73" t="str">
        <f aca="false">_xlfn.IFNA(INDEX(Cascade!$F:$F,MATCH($E25,Cascade!$E:$E,0)),"")</f>
        <v/>
      </c>
      <c r="H25" s="73"/>
      <c r="I25" s="73"/>
      <c r="J25" s="118" t="str">
        <f aca="false">IF(SUM($I25)&lt;=0,"",0%)</f>
        <v/>
      </c>
      <c r="K25" s="118"/>
      <c r="L25" s="118"/>
      <c r="M25" s="118" t="n">
        <f aca="false">1-IF(NOT(AND($D25="Female",OR($C25="10-14",$C25="15-17"))),0,$K25)-IF(NOT(OR($C25="05-09",$C25="10-14")),0,$L25)</f>
        <v>1</v>
      </c>
      <c r="N25" s="118" t="n">
        <f aca="false">20%</f>
        <v>0.2</v>
      </c>
      <c r="O25" s="73" t="str">
        <f aca="false">IF(SUM($I25)&lt;=0,"",ROUND($I25*(1+$J25),0))</f>
        <v/>
      </c>
      <c r="P25" s="75" t="str">
        <f aca="false">IF(OR(AND(SUM($K25)=0,SUM($O25)&lt;=0),NOT(AND($D25="Female",$G25="Y",OR($C25="10-14",$C25="15-17")))),"",ROUND($O25*$K25,0))</f>
        <v/>
      </c>
      <c r="Q25" s="75" t="str">
        <f aca="false">IF(OR(AND(SUM($L25)=0,SUM($O25)&lt;=0),NOT(OR($C25="10-14",$C25="05-09"))),"",ROUND($O25*$L25,0))</f>
        <v/>
      </c>
      <c r="R25" s="75" t="str">
        <f aca="false">IF(SUM($O25)&lt;=0,"",ROUND($O25*$M25*$N25,0))</f>
        <v/>
      </c>
      <c r="S25" s="75" t="str">
        <f aca="false">IF(SUM($O25)&lt;=0,"",($O25*$M25)-$R25)</f>
        <v/>
      </c>
      <c r="T25" s="118" t="str">
        <f aca="false">IF(OR($C25="18+",$C25="18-20",SUM($O25)&lt;=0),"",100%)</f>
        <v/>
      </c>
      <c r="U25" s="115" t="str">
        <f aca="false">IF(OR($C25="18+",$C25="18-20",(SUM($R25)+SUM($S25))=0),"",ROUND(SUM($R25,$S25)*$T25,0))</f>
        <v/>
      </c>
    </row>
    <row r="26" customFormat="false" ht="15" hidden="false" customHeight="false" outlineLevel="0" collapsed="false">
      <c r="A26" s="0" t="s">
        <v>140</v>
      </c>
      <c r="B26" s="0" t="s">
        <v>141</v>
      </c>
      <c r="C26" s="0" t="s">
        <v>883</v>
      </c>
      <c r="D26" s="0" t="s">
        <v>58</v>
      </c>
      <c r="E26" s="0" t="str">
        <f aca="false">B26&amp;"|"&amp;C26&amp;"|"&amp;D26</f>
        <v>_Military Lesotho [#Military] [dDOqoFnD5Be]|18-20|Male</v>
      </c>
      <c r="F26" s="73" t="str">
        <f aca="false">_xlfn.IFNA(INDEX(Cascade!$F:$F,MATCH($E26,Cascade!$E:$E,0)),"")</f>
        <v/>
      </c>
      <c r="H26" s="73"/>
      <c r="I26" s="73"/>
      <c r="J26" s="118" t="str">
        <f aca="false">IF(SUM($I26)&lt;=0,"",0%)</f>
        <v/>
      </c>
      <c r="K26" s="118"/>
      <c r="L26" s="118"/>
      <c r="M26" s="118" t="n">
        <f aca="false">1-IF(NOT(AND($D26="Female",OR($C26="10-14",$C26="15-17"))),0,$K26)-IF(NOT(OR($C26="05-09",$C26="10-14")),0,$L26)</f>
        <v>1</v>
      </c>
      <c r="N26" s="118" t="n">
        <f aca="false">20%</f>
        <v>0.2</v>
      </c>
      <c r="O26" s="73" t="str">
        <f aca="false">IF(SUM($I26)&lt;=0,"",ROUND($I26*(1+$J26),0))</f>
        <v/>
      </c>
      <c r="P26" s="75" t="str">
        <f aca="false">IF(OR(AND(SUM($K26)=0,SUM($O26)&lt;=0),NOT(AND($D26="Female",$G26="Y",OR($C26="10-14",$C26="15-17")))),"",ROUND($O26*$K26,0))</f>
        <v/>
      </c>
      <c r="Q26" s="75" t="str">
        <f aca="false">IF(OR(AND(SUM($L26)=0,SUM($O26)&lt;=0),NOT(OR($C26="10-14",$C26="05-09"))),"",ROUND($O26*$L26,0))</f>
        <v/>
      </c>
      <c r="R26" s="75" t="str">
        <f aca="false">IF(SUM($O26)&lt;=0,"",ROUND($O26*$M26*$N26,0))</f>
        <v/>
      </c>
      <c r="S26" s="75" t="str">
        <f aca="false">IF(SUM($O26)&lt;=0,"",($O26*$M26)-$R26)</f>
        <v/>
      </c>
      <c r="T26" s="118" t="str">
        <f aca="false">IF(OR($C26="18+",$C26="18-20",SUM($O26)&lt;=0),"",100%)</f>
        <v/>
      </c>
      <c r="U26" s="115" t="str">
        <f aca="false">IF(OR($C26="18+",$C26="18-20",(SUM($R26)+SUM($S26))=0),"",ROUND(SUM($R26,$S26)*$T26,0))</f>
        <v/>
      </c>
    </row>
    <row r="27" customFormat="false" ht="15" hidden="false" customHeight="false" outlineLevel="0" collapsed="false">
      <c r="A27" s="0" t="s">
        <v>140</v>
      </c>
      <c r="B27" s="0" t="s">
        <v>141</v>
      </c>
      <c r="C27" s="0" t="s">
        <v>884</v>
      </c>
      <c r="D27" s="0" t="s">
        <v>56</v>
      </c>
      <c r="E27" s="0" t="str">
        <f aca="false">B27&amp;"|"&amp;C27&amp;"|"&amp;D27</f>
        <v>_Military Lesotho [#Military] [dDOqoFnD5Be]|18+|Female</v>
      </c>
      <c r="F27" s="73" t="str">
        <f aca="false">_xlfn.IFNA(INDEX(Cascade!$F:$F,MATCH($E27,Cascade!$E:$E,0)),"")</f>
        <v/>
      </c>
      <c r="H27" s="73"/>
      <c r="I27" s="73"/>
      <c r="J27" s="118" t="str">
        <f aca="false">IF(SUM($I27)&lt;=0,"",0%)</f>
        <v/>
      </c>
      <c r="K27" s="118"/>
      <c r="L27" s="118"/>
      <c r="M27" s="118" t="n">
        <f aca="false">1-IF(NOT(AND($D27="Female",OR($C27="10-14",$C27="15-17"))),0,$K27)-IF(NOT(OR($C27="05-09",$C27="10-14")),0,$L27)</f>
        <v>1</v>
      </c>
      <c r="N27" s="118" t="n">
        <f aca="false">20%</f>
        <v>0.2</v>
      </c>
      <c r="O27" s="73" t="str">
        <f aca="false">IF(SUM($I27)&lt;=0,"",ROUND($I27*(1+$J27),0))</f>
        <v/>
      </c>
      <c r="P27" s="75" t="str">
        <f aca="false">IF(OR(AND(SUM($K27)=0,SUM($O27)&lt;=0),NOT(AND($D27="Female",$G27="Y",OR($C27="10-14",$C27="15-17")))),"",ROUND($O27*$K27,0))</f>
        <v/>
      </c>
      <c r="Q27" s="75" t="str">
        <f aca="false">IF(OR(AND(SUM($L27)=0,SUM($O27)&lt;=0),NOT(OR($C27="10-14",$C27="05-09"))),"",ROUND($O27*$L27,0))</f>
        <v/>
      </c>
      <c r="R27" s="75" t="str">
        <f aca="false">IF(SUM($O27)&lt;=0,"",ROUND($O27*$M27*$N27,0))</f>
        <v/>
      </c>
      <c r="S27" s="75" t="str">
        <f aca="false">IF(SUM($O27)&lt;=0,"",($O27*$M27)-$R27)</f>
        <v/>
      </c>
      <c r="T27" s="118" t="str">
        <f aca="false">IF(OR($C27="18+",$C27="18-20",SUM($O27)&lt;=0),"",100%)</f>
        <v/>
      </c>
      <c r="U27" s="115" t="str">
        <f aca="false">IF(OR($C27="18+",$C27="18-20",(SUM($R27)+SUM($S27))=0),"",ROUND(SUM($R27,$S27)*$T27,0))</f>
        <v/>
      </c>
    </row>
    <row r="28" customFormat="false" ht="15" hidden="false" customHeight="false" outlineLevel="0" collapsed="false">
      <c r="A28" s="0" t="s">
        <v>140</v>
      </c>
      <c r="B28" s="0" t="s">
        <v>141</v>
      </c>
      <c r="C28" s="0" t="s">
        <v>884</v>
      </c>
      <c r="D28" s="0" t="s">
        <v>58</v>
      </c>
      <c r="E28" s="0" t="str">
        <f aca="false">B28&amp;"|"&amp;C28&amp;"|"&amp;D28</f>
        <v>_Military Lesotho [#Military] [dDOqoFnD5Be]|18+|Male</v>
      </c>
      <c r="F28" s="73" t="str">
        <f aca="false">_xlfn.IFNA(INDEX(Cascade!$F:$F,MATCH($E28,Cascade!$E:$E,0)),"")</f>
        <v/>
      </c>
      <c r="H28" s="73"/>
      <c r="I28" s="73"/>
      <c r="J28" s="118" t="str">
        <f aca="false">IF(SUM($I28)&lt;=0,"",0%)</f>
        <v/>
      </c>
      <c r="K28" s="118"/>
      <c r="L28" s="118"/>
      <c r="M28" s="118" t="n">
        <f aca="false">1-IF(NOT(AND($D28="Female",OR($C28="10-14",$C28="15-17"))),0,$K28)-IF(NOT(OR($C28="05-09",$C28="10-14")),0,$L28)</f>
        <v>1</v>
      </c>
      <c r="N28" s="118" t="n">
        <f aca="false">20%</f>
        <v>0.2</v>
      </c>
      <c r="O28" s="73" t="str">
        <f aca="false">IF(SUM($I28)&lt;=0,"",ROUND($I28*(1+$J28),0))</f>
        <v/>
      </c>
      <c r="P28" s="75" t="str">
        <f aca="false">IF(OR(AND(SUM($K28)=0,SUM($O28)&lt;=0),NOT(AND($D28="Female",$G28="Y",OR($C28="10-14",$C28="15-17")))),"",ROUND($O28*$K28,0))</f>
        <v/>
      </c>
      <c r="Q28" s="75" t="str">
        <f aca="false">IF(OR(AND(SUM($L28)=0,SUM($O28)&lt;=0),NOT(OR($C28="10-14",$C28="05-09"))),"",ROUND($O28*$L28,0))</f>
        <v/>
      </c>
      <c r="R28" s="75" t="str">
        <f aca="false">IF(SUM($O28)&lt;=0,"",ROUND($O28*$M28*$N28,0))</f>
        <v/>
      </c>
      <c r="S28" s="75" t="str">
        <f aca="false">IF(SUM($O28)&lt;=0,"",($O28*$M28)-$R28)</f>
        <v/>
      </c>
      <c r="T28" s="118" t="str">
        <f aca="false">IF(OR($C28="18+",$C28="18-20",SUM($O28)&lt;=0),"",100%)</f>
        <v/>
      </c>
      <c r="U28" s="115" t="str">
        <f aca="false">IF(OR($C28="18+",$C28="18-20",(SUM($R28)+SUM($S28))=0),"",ROUND(SUM($R28,$S28)*$T28,0))</f>
        <v/>
      </c>
    </row>
    <row r="29" customFormat="false" ht="15" hidden="false" customHeight="false" outlineLevel="0" collapsed="false">
      <c r="A29" s="0" t="s">
        <v>142</v>
      </c>
      <c r="B29" s="0" t="s">
        <v>109</v>
      </c>
      <c r="C29" s="0" t="s">
        <v>89</v>
      </c>
      <c r="D29" s="0" t="s">
        <v>56</v>
      </c>
      <c r="E29" s="0" t="str">
        <f aca="false">B29&amp;"|"&amp;C29&amp;"|"&amp;D29</f>
        <v>Berea [#SNU] [#DREAMS] [wpg5evyl1OL]|&lt;01|Female</v>
      </c>
      <c r="F29" s="73" t="n">
        <f aca="false">_xlfn.IFNA(INDEX(Cascade!$F:$F,MATCH($E29,Cascade!$E:$E,0)),"")</f>
        <v>2248</v>
      </c>
      <c r="G29" s="0" t="s">
        <v>885</v>
      </c>
      <c r="H29" s="73" t="n">
        <v>2</v>
      </c>
      <c r="I29" s="73" t="n">
        <v>26</v>
      </c>
      <c r="J29" s="118" t="n">
        <f aca="false">IF(SUM($I29)&lt;=0,"",0%)</f>
        <v>0</v>
      </c>
      <c r="K29" s="118"/>
      <c r="L29" s="118"/>
      <c r="M29" s="118" t="n">
        <f aca="false">1-IF(NOT(AND($D29="Female",OR($C29="10-14",$C29="15-17"))),0,$K29)-IF(NOT(OR($C29="05-09",$C29="10-14")),0,$L29)</f>
        <v>1</v>
      </c>
      <c r="N29" s="118" t="n">
        <f aca="false">20%</f>
        <v>0.2</v>
      </c>
      <c r="O29" s="73" t="n">
        <f aca="false">IF(SUM($I29)&lt;=0,"",ROUND($I29*(1+$J29),0))</f>
        <v>26</v>
      </c>
      <c r="P29" s="75" t="str">
        <f aca="false">IF(OR(AND(SUM($K29)=0,SUM($O29)&lt;=0),NOT(AND($D29="Female",$G29="Y",OR($C29="10-14",$C29="15-17")))),"",ROUND($O29*$K29,0))</f>
        <v/>
      </c>
      <c r="Q29" s="75" t="str">
        <f aca="false">IF(OR(AND(SUM($L29)=0,SUM($O29)&lt;=0),NOT(OR($C29="10-14",$C29="05-09"))),"",ROUND($O29*$L29,0))</f>
        <v/>
      </c>
      <c r="R29" s="75" t="n">
        <f aca="false">IF(SUM($O29)&lt;=0,"",ROUND($O29*$M29*$N29,0))</f>
        <v>5</v>
      </c>
      <c r="S29" s="75" t="n">
        <f aca="false">IF(SUM($O29)&lt;=0,"",($O29*$M29)-$R29)</f>
        <v>21</v>
      </c>
      <c r="T29" s="118" t="n">
        <f aca="false">IF(OR($C29="18+",$C29="18-20",SUM($O29)&lt;=0),"",100%)</f>
        <v>1</v>
      </c>
      <c r="U29" s="115" t="n">
        <f aca="false">IF(OR($C29="18+",$C29="18-20",(SUM($R29)+SUM($S29))=0),"",ROUND(SUM($R29,$S29)*$T29,0))</f>
        <v>26</v>
      </c>
    </row>
    <row r="30" customFormat="false" ht="15" hidden="false" customHeight="false" outlineLevel="0" collapsed="false">
      <c r="A30" s="0" t="s">
        <v>142</v>
      </c>
      <c r="B30" s="0" t="s">
        <v>109</v>
      </c>
      <c r="C30" s="0" t="s">
        <v>89</v>
      </c>
      <c r="D30" s="0" t="s">
        <v>58</v>
      </c>
      <c r="E30" s="0" t="str">
        <f aca="false">B30&amp;"|"&amp;C30&amp;"|"&amp;D30</f>
        <v>Berea [#SNU] [#DREAMS] [wpg5evyl1OL]|&lt;01|Male</v>
      </c>
      <c r="F30" s="73" t="n">
        <f aca="false">_xlfn.IFNA(INDEX(Cascade!$F:$F,MATCH($E30,Cascade!$E:$E,0)),"")</f>
        <v>2294</v>
      </c>
      <c r="G30" s="0" t="s">
        <v>885</v>
      </c>
      <c r="H30" s="73" t="n">
        <v>8</v>
      </c>
      <c r="I30" s="73" t="n">
        <v>14</v>
      </c>
      <c r="J30" s="118" t="n">
        <f aca="false">IF(SUM($I30)&lt;=0,"",0%)</f>
        <v>0</v>
      </c>
      <c r="K30" s="118"/>
      <c r="L30" s="118"/>
      <c r="M30" s="118" t="n">
        <f aca="false">1-IF(NOT(AND($D30="Female",OR($C30="10-14",$C30="15-17"))),0,$K30)-IF(NOT(OR($C30="05-09",$C30="10-14")),0,$L30)</f>
        <v>1</v>
      </c>
      <c r="N30" s="118" t="n">
        <f aca="false">20%</f>
        <v>0.2</v>
      </c>
      <c r="O30" s="73" t="n">
        <f aca="false">IF(SUM($I30)&lt;=0,"",ROUND($I30*(1+$J30),0))</f>
        <v>14</v>
      </c>
      <c r="P30" s="75" t="str">
        <f aca="false">IF(OR(AND(SUM($K30)=0,SUM($O30)&lt;=0),NOT(AND($D30="Female",$G30="Y",OR($C30="10-14",$C30="15-17")))),"",ROUND($O30*$K30,0))</f>
        <v/>
      </c>
      <c r="Q30" s="75" t="str">
        <f aca="false">IF(OR(AND(SUM($L30)=0,SUM($O30)&lt;=0),NOT(OR($C30="10-14",$C30="05-09"))),"",ROUND($O30*$L30,0))</f>
        <v/>
      </c>
      <c r="R30" s="75" t="n">
        <f aca="false">IF(SUM($O30)&lt;=0,"",ROUND($O30*$M30*$N30,0))</f>
        <v>3</v>
      </c>
      <c r="S30" s="75" t="n">
        <f aca="false">IF(SUM($O30)&lt;=0,"",($O30*$M30)-$R30)</f>
        <v>11</v>
      </c>
      <c r="T30" s="118" t="n">
        <f aca="false">IF(OR($C30="18+",$C30="18-20",SUM($O30)&lt;=0),"",100%)</f>
        <v>1</v>
      </c>
      <c r="U30" s="115" t="n">
        <f aca="false">IF(OR($C30="18+",$C30="18-20",(SUM($R30)+SUM($S30))=0),"",ROUND(SUM($R30,$S30)*$T30,0))</f>
        <v>14</v>
      </c>
    </row>
    <row r="31" customFormat="false" ht="15" hidden="false" customHeight="false" outlineLevel="0" collapsed="false">
      <c r="A31" s="0" t="s">
        <v>142</v>
      </c>
      <c r="B31" s="0" t="s">
        <v>109</v>
      </c>
      <c r="C31" s="0" t="s">
        <v>54</v>
      </c>
      <c r="D31" s="0" t="s">
        <v>56</v>
      </c>
      <c r="E31" s="0" t="str">
        <f aca="false">B31&amp;"|"&amp;C31&amp;"|"&amp;D31</f>
        <v>Berea [#SNU] [#DREAMS] [wpg5evyl1OL]|01-04|Female</v>
      </c>
      <c r="F31" s="73" t="n">
        <f aca="false">_xlfn.IFNA(INDEX(Cascade!$F:$F,MATCH($E31,Cascade!$E:$E,0)),"")</f>
        <v>10445</v>
      </c>
      <c r="G31" s="0" t="s">
        <v>885</v>
      </c>
      <c r="H31" s="73" t="n">
        <v>47</v>
      </c>
      <c r="I31" s="73" t="n">
        <v>27</v>
      </c>
      <c r="J31" s="118" t="n">
        <f aca="false">IF(SUM($I31)&lt;=0,"",0%)</f>
        <v>0</v>
      </c>
      <c r="K31" s="118"/>
      <c r="L31" s="118"/>
      <c r="M31" s="118" t="n">
        <f aca="false">1-IF(NOT(AND($D31="Female",OR($C31="10-14",$C31="15-17"))),0,$K31)-IF(NOT(OR($C31="05-09",$C31="10-14")),0,$L31)</f>
        <v>1</v>
      </c>
      <c r="N31" s="118" t="n">
        <f aca="false">20%</f>
        <v>0.2</v>
      </c>
      <c r="O31" s="73" t="n">
        <f aca="false">IF(SUM($I31)&lt;=0,"",ROUND($I31*(1+$J31),0))</f>
        <v>27</v>
      </c>
      <c r="P31" s="75" t="str">
        <f aca="false">IF(OR(AND(SUM($K31)=0,SUM($O31)&lt;=0),NOT(AND($D31="Female",$G31="Y",OR($C31="10-14",$C31="15-17")))),"",ROUND($O31*$K31,0))</f>
        <v/>
      </c>
      <c r="Q31" s="75" t="str">
        <f aca="false">IF(OR(AND(SUM($L31)=0,SUM($O31)&lt;=0),NOT(OR($C31="10-14",$C31="05-09"))),"",ROUND($O31*$L31,0))</f>
        <v/>
      </c>
      <c r="R31" s="75" t="n">
        <f aca="false">IF(SUM($O31)&lt;=0,"",ROUND($O31*$M31*$N31,0))</f>
        <v>5</v>
      </c>
      <c r="S31" s="75" t="n">
        <f aca="false">IF(SUM($O31)&lt;=0,"",($O31*$M31)-$R31)</f>
        <v>22</v>
      </c>
      <c r="T31" s="118" t="n">
        <f aca="false">IF(OR($C31="18+",$C31="18-20",SUM($O31)&lt;=0),"",100%)</f>
        <v>1</v>
      </c>
      <c r="U31" s="115" t="n">
        <f aca="false">IF(OR($C31="18+",$C31="18-20",(SUM($R31)+SUM($S31))=0),"",ROUND(SUM($R31,$S31)*$T31,0))</f>
        <v>27</v>
      </c>
    </row>
    <row r="32" customFormat="false" ht="15" hidden="false" customHeight="false" outlineLevel="0" collapsed="false">
      <c r="A32" s="0" t="s">
        <v>142</v>
      </c>
      <c r="B32" s="0" t="s">
        <v>109</v>
      </c>
      <c r="C32" s="0" t="s">
        <v>54</v>
      </c>
      <c r="D32" s="0" t="s">
        <v>58</v>
      </c>
      <c r="E32" s="0" t="str">
        <f aca="false">B32&amp;"|"&amp;C32&amp;"|"&amp;D32</f>
        <v>Berea [#SNU] [#DREAMS] [wpg5evyl1OL]|01-04|Male</v>
      </c>
      <c r="F32" s="73" t="n">
        <f aca="false">_xlfn.IFNA(INDEX(Cascade!$F:$F,MATCH($E32,Cascade!$E:$E,0)),"")</f>
        <v>10657</v>
      </c>
      <c r="G32" s="0" t="s">
        <v>885</v>
      </c>
      <c r="H32" s="73" t="n">
        <v>33</v>
      </c>
      <c r="I32" s="73" t="n">
        <v>2</v>
      </c>
      <c r="J32" s="118" t="n">
        <f aca="false">IF(SUM($I32)&lt;=0,"",0%)</f>
        <v>0</v>
      </c>
      <c r="K32" s="118"/>
      <c r="L32" s="118"/>
      <c r="M32" s="118" t="n">
        <f aca="false">1-IF(NOT(AND($D32="Female",OR($C32="10-14",$C32="15-17"))),0,$K32)-IF(NOT(OR($C32="05-09",$C32="10-14")),0,$L32)</f>
        <v>1</v>
      </c>
      <c r="N32" s="118" t="n">
        <f aca="false">20%</f>
        <v>0.2</v>
      </c>
      <c r="O32" s="73" t="n">
        <f aca="false">IF(SUM($I32)&lt;=0,"",ROUND($I32*(1+$J32),0))</f>
        <v>2</v>
      </c>
      <c r="P32" s="75" t="str">
        <f aca="false">IF(OR(AND(SUM($K32)=0,SUM($O32)&lt;=0),NOT(AND($D32="Female",$G32="Y",OR($C32="10-14",$C32="15-17")))),"",ROUND($O32*$K32,0))</f>
        <v/>
      </c>
      <c r="Q32" s="75" t="str">
        <f aca="false">IF(OR(AND(SUM($L32)=0,SUM($O32)&lt;=0),NOT(OR($C32="10-14",$C32="05-09"))),"",ROUND($O32*$L32,0))</f>
        <v/>
      </c>
      <c r="R32" s="75" t="n">
        <f aca="false">IF(SUM($O32)&lt;=0,"",ROUND($O32*$M32*$N32,0))</f>
        <v>0</v>
      </c>
      <c r="S32" s="75" t="n">
        <f aca="false">IF(SUM($O32)&lt;=0,"",($O32*$M32)-$R32)</f>
        <v>2</v>
      </c>
      <c r="T32" s="118" t="n">
        <f aca="false">IF(OR($C32="18+",$C32="18-20",SUM($O32)&lt;=0),"",100%)</f>
        <v>1</v>
      </c>
      <c r="U32" s="115" t="n">
        <f aca="false">IF(OR($C32="18+",$C32="18-20",(SUM($R32)+SUM($S32))=0),"",ROUND(SUM($R32,$S32)*$T32,0))</f>
        <v>2</v>
      </c>
    </row>
    <row r="33" customFormat="false" ht="15" hidden="false" customHeight="false" outlineLevel="0" collapsed="false">
      <c r="A33" s="0" t="s">
        <v>142</v>
      </c>
      <c r="B33" s="0" t="s">
        <v>109</v>
      </c>
      <c r="C33" s="0" t="s">
        <v>83</v>
      </c>
      <c r="D33" s="0" t="s">
        <v>56</v>
      </c>
      <c r="E33" s="0" t="str">
        <f aca="false">B33&amp;"|"&amp;C33&amp;"|"&amp;D33</f>
        <v>Berea [#SNU] [#DREAMS] [wpg5evyl1OL]|05-09|Female</v>
      </c>
      <c r="F33" s="73" t="n">
        <f aca="false">_xlfn.IFNA(INDEX(Cascade!$F:$F,MATCH($E33,Cascade!$E:$E,0)),"")</f>
        <v>14545</v>
      </c>
      <c r="G33" s="0" t="s">
        <v>885</v>
      </c>
      <c r="H33" s="73" t="n">
        <v>24</v>
      </c>
      <c r="I33" s="73" t="n">
        <v>1</v>
      </c>
      <c r="J33" s="118" t="n">
        <f aca="false">IF(SUM($I33)&lt;=0,"",0%)</f>
        <v>0</v>
      </c>
      <c r="K33" s="118"/>
      <c r="L33" s="118"/>
      <c r="M33" s="118" t="n">
        <f aca="false">1-IF(NOT(AND($D33="Female",OR($C33="10-14",$C33="15-17"))),0,$K33)-IF(NOT(OR($C33="05-09",$C33="10-14")),0,$L33)</f>
        <v>1</v>
      </c>
      <c r="N33" s="118" t="n">
        <f aca="false">20%</f>
        <v>0.2</v>
      </c>
      <c r="O33" s="73" t="n">
        <f aca="false">IF(SUM($I33)&lt;=0,"",ROUND($I33*(1+$J33),0))</f>
        <v>1</v>
      </c>
      <c r="P33" s="75" t="str">
        <f aca="false">IF(OR(AND(SUM($K33)=0,SUM($O33)&lt;=0),NOT(AND($D33="Female",$G33="Y",OR($C33="10-14",$C33="15-17")))),"",ROUND($O33*$K33,0))</f>
        <v/>
      </c>
      <c r="Q33" s="75" t="n">
        <f aca="false">IF(OR(AND(SUM($L33)=0,SUM($O33)&lt;=0),NOT(OR($C33="10-14",$C33="05-09"))),"",ROUND($O33*$L33,0))</f>
        <v>0</v>
      </c>
      <c r="R33" s="75" t="n">
        <f aca="false">IF(SUM($O33)&lt;=0,"",ROUND($O33*$M33*$N33,0))</f>
        <v>0</v>
      </c>
      <c r="S33" s="75" t="n">
        <f aca="false">IF(SUM($O33)&lt;=0,"",($O33*$M33)-$R33)</f>
        <v>1</v>
      </c>
      <c r="T33" s="118" t="n">
        <f aca="false">IF(OR($C33="18+",$C33="18-20",SUM($O33)&lt;=0),"",100%)</f>
        <v>1</v>
      </c>
      <c r="U33" s="115" t="n">
        <f aca="false">IF(OR($C33="18+",$C33="18-20",(SUM($R33)+SUM($S33))=0),"",ROUND(SUM($R33,$S33)*$T33,0))</f>
        <v>1</v>
      </c>
    </row>
    <row r="34" customFormat="false" ht="15" hidden="false" customHeight="false" outlineLevel="0" collapsed="false">
      <c r="A34" s="0" t="s">
        <v>142</v>
      </c>
      <c r="B34" s="0" t="s">
        <v>109</v>
      </c>
      <c r="C34" s="0" t="s">
        <v>83</v>
      </c>
      <c r="D34" s="0" t="s">
        <v>58</v>
      </c>
      <c r="E34" s="0" t="str">
        <f aca="false">B34&amp;"|"&amp;C34&amp;"|"&amp;D34</f>
        <v>Berea [#SNU] [#DREAMS] [wpg5evyl1OL]|05-09|Male</v>
      </c>
      <c r="F34" s="73" t="n">
        <f aca="false">_xlfn.IFNA(INDEX(Cascade!$F:$F,MATCH($E34,Cascade!$E:$E,0)),"")</f>
        <v>14062</v>
      </c>
      <c r="G34" s="0" t="s">
        <v>885</v>
      </c>
      <c r="H34" s="73" t="n">
        <v>17</v>
      </c>
      <c r="I34" s="73" t="n">
        <v>50</v>
      </c>
      <c r="J34" s="118" t="n">
        <f aca="false">IF(SUM($I34)&lt;=0,"",0%)</f>
        <v>0</v>
      </c>
      <c r="K34" s="118"/>
      <c r="L34" s="118"/>
      <c r="M34" s="118" t="n">
        <f aca="false">1-IF(NOT(AND($D34="Female",OR($C34="10-14",$C34="15-17"))),0,$K34)-IF(NOT(OR($C34="05-09",$C34="10-14")),0,$L34)</f>
        <v>1</v>
      </c>
      <c r="N34" s="118" t="n">
        <f aca="false">20%</f>
        <v>0.2</v>
      </c>
      <c r="O34" s="73" t="n">
        <f aca="false">IF(SUM($I34)&lt;=0,"",ROUND($I34*(1+$J34),0))</f>
        <v>50</v>
      </c>
      <c r="P34" s="75" t="str">
        <f aca="false">IF(OR(AND(SUM($K34)=0,SUM($O34)&lt;=0),NOT(AND($D34="Female",$G34="Y",OR($C34="10-14",$C34="15-17")))),"",ROUND($O34*$K34,0))</f>
        <v/>
      </c>
      <c r="Q34" s="75" t="n">
        <f aca="false">IF(OR(AND(SUM($L34)=0,SUM($O34)&lt;=0),NOT(OR($C34="10-14",$C34="05-09"))),"",ROUND($O34*$L34,0))</f>
        <v>0</v>
      </c>
      <c r="R34" s="75" t="n">
        <f aca="false">IF(SUM($O34)&lt;=0,"",ROUND($O34*$M34*$N34,0))</f>
        <v>10</v>
      </c>
      <c r="S34" s="75" t="n">
        <f aca="false">IF(SUM($O34)&lt;=0,"",($O34*$M34)-$R34)</f>
        <v>40</v>
      </c>
      <c r="T34" s="118" t="n">
        <f aca="false">IF(OR($C34="18+",$C34="18-20",SUM($O34)&lt;=0),"",100%)</f>
        <v>1</v>
      </c>
      <c r="U34" s="115" t="n">
        <f aca="false">IF(OR($C34="18+",$C34="18-20",(SUM($R34)+SUM($S34))=0),"",ROUND(SUM($R34,$S34)*$T34,0))</f>
        <v>50</v>
      </c>
    </row>
    <row r="35" customFormat="false" ht="15" hidden="false" customHeight="false" outlineLevel="0" collapsed="false">
      <c r="A35" s="0" t="s">
        <v>142</v>
      </c>
      <c r="B35" s="0" t="s">
        <v>109</v>
      </c>
      <c r="C35" s="0" t="s">
        <v>61</v>
      </c>
      <c r="D35" s="0" t="s">
        <v>56</v>
      </c>
      <c r="E35" s="0" t="str">
        <f aca="false">B35&amp;"|"&amp;C35&amp;"|"&amp;D35</f>
        <v>Berea [#SNU] [#DREAMS] [wpg5evyl1OL]|10-14|Female</v>
      </c>
      <c r="F35" s="73" t="n">
        <f aca="false">_xlfn.IFNA(INDEX(Cascade!$F:$F,MATCH($E35,Cascade!$E:$E,0)),"")</f>
        <v>13166</v>
      </c>
      <c r="G35" s="0" t="s">
        <v>885</v>
      </c>
      <c r="H35" s="73" t="n">
        <v>10</v>
      </c>
      <c r="I35" s="73" t="n">
        <v>21</v>
      </c>
      <c r="J35" s="118" t="n">
        <f aca="false">IF(SUM($I35)&lt;=0,"",0%)</f>
        <v>0</v>
      </c>
      <c r="K35" s="118"/>
      <c r="L35" s="118"/>
      <c r="M35" s="118" t="n">
        <f aca="false">1-IF(NOT(AND($D35="Female",OR($C35="10-14",$C35="15-17"))),0,$K35)-IF(NOT(OR($C35="05-09",$C35="10-14")),0,$L35)</f>
        <v>1</v>
      </c>
      <c r="N35" s="118" t="n">
        <f aca="false">20%</f>
        <v>0.2</v>
      </c>
      <c r="O35" s="73" t="n">
        <f aca="false">IF(SUM($I35)&lt;=0,"",ROUND($I35*(1+$J35),0))</f>
        <v>21</v>
      </c>
      <c r="P35" s="75" t="str">
        <f aca="false">IF(OR(AND(SUM($K35)=0,SUM($O35)&lt;=0),NOT(AND($D35="Female",$G35="Y",OR($C35="10-14",$C35="15-17")))),"",ROUND($O35*$K35,0))</f>
        <v/>
      </c>
      <c r="Q35" s="75" t="n">
        <f aca="false">IF(OR(AND(SUM($L35)=0,SUM($O35)&lt;=0),NOT(OR($C35="10-14",$C35="05-09"))),"",ROUND($O35*$L35,0))</f>
        <v>0</v>
      </c>
      <c r="R35" s="75" t="n">
        <f aca="false">IF(SUM($O35)&lt;=0,"",ROUND($O35*$M35*$N35,0))</f>
        <v>4</v>
      </c>
      <c r="S35" s="75" t="n">
        <f aca="false">IF(SUM($O35)&lt;=0,"",($O35*$M35)-$R35)</f>
        <v>17</v>
      </c>
      <c r="T35" s="118" t="n">
        <f aca="false">IF(OR($C35="18+",$C35="18-20",SUM($O35)&lt;=0),"",100%)</f>
        <v>1</v>
      </c>
      <c r="U35" s="115" t="n">
        <f aca="false">IF(OR($C35="18+",$C35="18-20",(SUM($R35)+SUM($S35))=0),"",ROUND(SUM($R35,$S35)*$T35,0))</f>
        <v>21</v>
      </c>
    </row>
    <row r="36" customFormat="false" ht="15" hidden="false" customHeight="false" outlineLevel="0" collapsed="false">
      <c r="A36" s="0" t="s">
        <v>142</v>
      </c>
      <c r="B36" s="0" t="s">
        <v>109</v>
      </c>
      <c r="C36" s="0" t="s">
        <v>61</v>
      </c>
      <c r="D36" s="0" t="s">
        <v>58</v>
      </c>
      <c r="E36" s="0" t="str">
        <f aca="false">B36&amp;"|"&amp;C36&amp;"|"&amp;D36</f>
        <v>Berea [#SNU] [#DREAMS] [wpg5evyl1OL]|10-14|Male</v>
      </c>
      <c r="F36" s="73" t="n">
        <f aca="false">_xlfn.IFNA(INDEX(Cascade!$F:$F,MATCH($E36,Cascade!$E:$E,0)),"")</f>
        <v>13241</v>
      </c>
      <c r="G36" s="0" t="s">
        <v>885</v>
      </c>
      <c r="H36" s="73" t="n">
        <v>48</v>
      </c>
      <c r="I36" s="73" t="n">
        <v>20</v>
      </c>
      <c r="J36" s="118" t="n">
        <f aca="false">IF(SUM($I36)&lt;=0,"",0%)</f>
        <v>0</v>
      </c>
      <c r="K36" s="118"/>
      <c r="L36" s="118"/>
      <c r="M36" s="118" t="n">
        <f aca="false">1-IF(NOT(AND($D36="Female",OR($C36="10-14",$C36="15-17"))),0,$K36)-IF(NOT(OR($C36="05-09",$C36="10-14")),0,$L36)</f>
        <v>1</v>
      </c>
      <c r="N36" s="118" t="n">
        <f aca="false">20%</f>
        <v>0.2</v>
      </c>
      <c r="O36" s="73" t="n">
        <f aca="false">IF(SUM($I36)&lt;=0,"",ROUND($I36*(1+$J36),0))</f>
        <v>20</v>
      </c>
      <c r="P36" s="75" t="str">
        <f aca="false">IF(OR(AND(SUM($K36)=0,SUM($O36)&lt;=0),NOT(AND($D36="Female",$G36="Y",OR($C36="10-14",$C36="15-17")))),"",ROUND($O36*$K36,0))</f>
        <v/>
      </c>
      <c r="Q36" s="75" t="n">
        <f aca="false">IF(OR(AND(SUM($L36)=0,SUM($O36)&lt;=0),NOT(OR($C36="10-14",$C36="05-09"))),"",ROUND($O36*$L36,0))</f>
        <v>0</v>
      </c>
      <c r="R36" s="75" t="n">
        <f aca="false">IF(SUM($O36)&lt;=0,"",ROUND($O36*$M36*$N36,0))</f>
        <v>4</v>
      </c>
      <c r="S36" s="75" t="n">
        <f aca="false">IF(SUM($O36)&lt;=0,"",($O36*$M36)-$R36)</f>
        <v>16</v>
      </c>
      <c r="T36" s="118" t="n">
        <f aca="false">IF(OR($C36="18+",$C36="18-20",SUM($O36)&lt;=0),"",100%)</f>
        <v>1</v>
      </c>
      <c r="U36" s="115" t="n">
        <f aca="false">IF(OR($C36="18+",$C36="18-20",(SUM($R36)+SUM($S36))=0),"",ROUND(SUM($R36,$S36)*$T36,0))</f>
        <v>20</v>
      </c>
    </row>
    <row r="37" customFormat="false" ht="15" hidden="false" customHeight="false" outlineLevel="0" collapsed="false">
      <c r="A37" s="0" t="s">
        <v>142</v>
      </c>
      <c r="B37" s="0" t="s">
        <v>109</v>
      </c>
      <c r="C37" s="0" t="s">
        <v>882</v>
      </c>
      <c r="D37" s="0" t="s">
        <v>56</v>
      </c>
      <c r="E37" s="0" t="str">
        <f aca="false">B37&amp;"|"&amp;C37&amp;"|"&amp;D37</f>
        <v>Berea [#SNU] [#DREAMS] [wpg5evyl1OL]|15-17|Female</v>
      </c>
      <c r="F37" s="73" t="str">
        <f aca="false">_xlfn.IFNA(INDEX(Cascade!$F:$F,MATCH($E37,Cascade!$E:$E,0)),"")</f>
        <v/>
      </c>
      <c r="G37" s="0" t="s">
        <v>885</v>
      </c>
      <c r="H37" s="73" t="n">
        <v>27</v>
      </c>
      <c r="I37" s="73" t="n">
        <v>8</v>
      </c>
      <c r="J37" s="118" t="n">
        <f aca="false">IF(SUM($I37)&lt;=0,"",0%)</f>
        <v>0</v>
      </c>
      <c r="K37" s="118"/>
      <c r="L37" s="118"/>
      <c r="M37" s="118" t="n">
        <f aca="false">1-IF(NOT(AND($D37="Female",OR($C37="10-14",$C37="15-17"))),0,$K37)-IF(NOT(OR($C37="05-09",$C37="10-14")),0,$L37)</f>
        <v>1</v>
      </c>
      <c r="N37" s="118" t="n">
        <f aca="false">20%</f>
        <v>0.2</v>
      </c>
      <c r="O37" s="73" t="n">
        <f aca="false">IF(SUM($I37)&lt;=0,"",ROUND($I37*(1+$J37),0))</f>
        <v>8</v>
      </c>
      <c r="P37" s="75" t="str">
        <f aca="false">IF(OR(AND(SUM($K37)=0,SUM($O37)&lt;=0),NOT(AND($D37="Female",$G37="Y",OR($C37="10-14",$C37="15-17")))),"",ROUND($O37*$K37,0))</f>
        <v/>
      </c>
      <c r="Q37" s="75" t="str">
        <f aca="false">IF(OR(AND(SUM($L37)=0,SUM($O37)&lt;=0),NOT(OR($C37="10-14",$C37="05-09"))),"",ROUND($O37*$L37,0))</f>
        <v/>
      </c>
      <c r="R37" s="75" t="n">
        <f aca="false">IF(SUM($O37)&lt;=0,"",ROUND($O37*$M37*$N37,0))</f>
        <v>2</v>
      </c>
      <c r="S37" s="75" t="n">
        <f aca="false">IF(SUM($O37)&lt;=0,"",($O37*$M37)-$R37)</f>
        <v>6</v>
      </c>
      <c r="T37" s="118" t="n">
        <f aca="false">IF(OR($C37="18+",$C37="18-20",SUM($O37)&lt;=0),"",100%)</f>
        <v>1</v>
      </c>
      <c r="U37" s="115" t="n">
        <f aca="false">IF(OR($C37="18+",$C37="18-20",(SUM($R37)+SUM($S37))=0),"",ROUND(SUM($R37,$S37)*$T37,0))</f>
        <v>8</v>
      </c>
    </row>
    <row r="38" customFormat="false" ht="15" hidden="false" customHeight="false" outlineLevel="0" collapsed="false">
      <c r="A38" s="0" t="s">
        <v>142</v>
      </c>
      <c r="B38" s="0" t="s">
        <v>109</v>
      </c>
      <c r="C38" s="0" t="s">
        <v>882</v>
      </c>
      <c r="D38" s="0" t="s">
        <v>58</v>
      </c>
      <c r="E38" s="0" t="str">
        <f aca="false">B38&amp;"|"&amp;C38&amp;"|"&amp;D38</f>
        <v>Berea [#SNU] [#DREAMS] [wpg5evyl1OL]|15-17|Male</v>
      </c>
      <c r="F38" s="73" t="str">
        <f aca="false">_xlfn.IFNA(INDEX(Cascade!$F:$F,MATCH($E38,Cascade!$E:$E,0)),"")</f>
        <v/>
      </c>
      <c r="G38" s="0" t="s">
        <v>885</v>
      </c>
      <c r="H38" s="73" t="n">
        <v>19</v>
      </c>
      <c r="I38" s="73" t="n">
        <v>24</v>
      </c>
      <c r="J38" s="118" t="n">
        <f aca="false">IF(SUM($I38)&lt;=0,"",0%)</f>
        <v>0</v>
      </c>
      <c r="K38" s="118"/>
      <c r="L38" s="118"/>
      <c r="M38" s="118" t="n">
        <f aca="false">1-IF(NOT(AND($D38="Female",OR($C38="10-14",$C38="15-17"))),0,$K38)-IF(NOT(OR($C38="05-09",$C38="10-14")),0,$L38)</f>
        <v>1</v>
      </c>
      <c r="N38" s="118" t="n">
        <f aca="false">20%</f>
        <v>0.2</v>
      </c>
      <c r="O38" s="73" t="n">
        <f aca="false">IF(SUM($I38)&lt;=0,"",ROUND($I38*(1+$J38),0))</f>
        <v>24</v>
      </c>
      <c r="P38" s="75" t="str">
        <f aca="false">IF(OR(AND(SUM($K38)=0,SUM($O38)&lt;=0),NOT(AND($D38="Female",$G38="Y",OR($C38="10-14",$C38="15-17")))),"",ROUND($O38*$K38,0))</f>
        <v/>
      </c>
      <c r="Q38" s="75" t="str">
        <f aca="false">IF(OR(AND(SUM($L38)=0,SUM($O38)&lt;=0),NOT(OR($C38="10-14",$C38="05-09"))),"",ROUND($O38*$L38,0))</f>
        <v/>
      </c>
      <c r="R38" s="75" t="n">
        <f aca="false">IF(SUM($O38)&lt;=0,"",ROUND($O38*$M38*$N38,0))</f>
        <v>5</v>
      </c>
      <c r="S38" s="75" t="n">
        <f aca="false">IF(SUM($O38)&lt;=0,"",($O38*$M38)-$R38)</f>
        <v>19</v>
      </c>
      <c r="T38" s="118" t="n">
        <f aca="false">IF(OR($C38="18+",$C38="18-20",SUM($O38)&lt;=0),"",100%)</f>
        <v>1</v>
      </c>
      <c r="U38" s="115" t="n">
        <f aca="false">IF(OR($C38="18+",$C38="18-20",(SUM($R38)+SUM($S38))=0),"",ROUND(SUM($R38,$S38)*$T38,0))</f>
        <v>24</v>
      </c>
    </row>
    <row r="39" customFormat="false" ht="15" hidden="false" customHeight="false" outlineLevel="0" collapsed="false">
      <c r="A39" s="0" t="s">
        <v>142</v>
      </c>
      <c r="B39" s="0" t="s">
        <v>109</v>
      </c>
      <c r="C39" s="0" t="s">
        <v>883</v>
      </c>
      <c r="D39" s="0" t="s">
        <v>56</v>
      </c>
      <c r="E39" s="0" t="str">
        <f aca="false">B39&amp;"|"&amp;C39&amp;"|"&amp;D39</f>
        <v>Berea [#SNU] [#DREAMS] [wpg5evyl1OL]|18-20|Female</v>
      </c>
      <c r="F39" s="73" t="str">
        <f aca="false">_xlfn.IFNA(INDEX(Cascade!$F:$F,MATCH($E39,Cascade!$E:$E,0)),"")</f>
        <v/>
      </c>
      <c r="G39" s="0" t="s">
        <v>885</v>
      </c>
      <c r="H39" s="73"/>
      <c r="I39" s="73"/>
      <c r="J39" s="118" t="str">
        <f aca="false">IF(SUM($I39)&lt;=0,"",0%)</f>
        <v/>
      </c>
      <c r="K39" s="118"/>
      <c r="L39" s="118"/>
      <c r="M39" s="118" t="n">
        <f aca="false">1-IF(NOT(AND($D39="Female",OR($C39="10-14",$C39="15-17"))),0,$K39)-IF(NOT(OR($C39="05-09",$C39="10-14")),0,$L39)</f>
        <v>1</v>
      </c>
      <c r="N39" s="118" t="n">
        <f aca="false">20%</f>
        <v>0.2</v>
      </c>
      <c r="O39" s="73" t="str">
        <f aca="false">IF(SUM($I39)&lt;=0,"",ROUND($I39*(1+$J39),0))</f>
        <v/>
      </c>
      <c r="P39" s="75" t="str">
        <f aca="false">IF(OR(AND(SUM($K39)=0,SUM($O39)&lt;=0),NOT(AND($D39="Female",$G39="Y",OR($C39="10-14",$C39="15-17")))),"",ROUND($O39*$K39,0))</f>
        <v/>
      </c>
      <c r="Q39" s="75" t="str">
        <f aca="false">IF(OR(AND(SUM($L39)=0,SUM($O39)&lt;=0),NOT(OR($C39="10-14",$C39="05-09"))),"",ROUND($O39*$L39,0))</f>
        <v/>
      </c>
      <c r="R39" s="75" t="str">
        <f aca="false">IF(SUM($O39)&lt;=0,"",ROUND($O39*$M39*$N39,0))</f>
        <v/>
      </c>
      <c r="S39" s="75" t="str">
        <f aca="false">IF(SUM($O39)&lt;=0,"",($O39*$M39)-$R39)</f>
        <v/>
      </c>
      <c r="T39" s="118" t="str">
        <f aca="false">IF(OR($C39="18+",$C39="18-20",SUM($O39)&lt;=0),"",100%)</f>
        <v/>
      </c>
      <c r="U39" s="115" t="str">
        <f aca="false">IF(OR($C39="18+",$C39="18-20",(SUM($R39)+SUM($S39))=0),"",ROUND(SUM($R39,$S39)*$T39,0))</f>
        <v/>
      </c>
    </row>
    <row r="40" customFormat="false" ht="15" hidden="false" customHeight="false" outlineLevel="0" collapsed="false">
      <c r="A40" s="0" t="s">
        <v>142</v>
      </c>
      <c r="B40" s="0" t="s">
        <v>109</v>
      </c>
      <c r="C40" s="0" t="s">
        <v>883</v>
      </c>
      <c r="D40" s="0" t="s">
        <v>58</v>
      </c>
      <c r="E40" s="0" t="str">
        <f aca="false">B40&amp;"|"&amp;C40&amp;"|"&amp;D40</f>
        <v>Berea [#SNU] [#DREAMS] [wpg5evyl1OL]|18-20|Male</v>
      </c>
      <c r="F40" s="73" t="str">
        <f aca="false">_xlfn.IFNA(INDEX(Cascade!$F:$F,MATCH($E40,Cascade!$E:$E,0)),"")</f>
        <v/>
      </c>
      <c r="G40" s="0" t="s">
        <v>885</v>
      </c>
      <c r="H40" s="73"/>
      <c r="I40" s="73"/>
      <c r="J40" s="118" t="str">
        <f aca="false">IF(SUM($I40)&lt;=0,"",0%)</f>
        <v/>
      </c>
      <c r="K40" s="118"/>
      <c r="L40" s="118"/>
      <c r="M40" s="118" t="n">
        <f aca="false">1-IF(NOT(AND($D40="Female",OR($C40="10-14",$C40="15-17"))),0,$K40)-IF(NOT(OR($C40="05-09",$C40="10-14")),0,$L40)</f>
        <v>1</v>
      </c>
      <c r="N40" s="118" t="n">
        <f aca="false">20%</f>
        <v>0.2</v>
      </c>
      <c r="O40" s="73" t="str">
        <f aca="false">IF(SUM($I40)&lt;=0,"",ROUND($I40*(1+$J40),0))</f>
        <v/>
      </c>
      <c r="P40" s="75" t="str">
        <f aca="false">IF(OR(AND(SUM($K40)=0,SUM($O40)&lt;=0),NOT(AND($D40="Female",$G40="Y",OR($C40="10-14",$C40="15-17")))),"",ROUND($O40*$K40,0))</f>
        <v/>
      </c>
      <c r="Q40" s="75" t="str">
        <f aca="false">IF(OR(AND(SUM($L40)=0,SUM($O40)&lt;=0),NOT(OR($C40="10-14",$C40="05-09"))),"",ROUND($O40*$L40,0))</f>
        <v/>
      </c>
      <c r="R40" s="75" t="str">
        <f aca="false">IF(SUM($O40)&lt;=0,"",ROUND($O40*$M40*$N40,0))</f>
        <v/>
      </c>
      <c r="S40" s="75" t="str">
        <f aca="false">IF(SUM($O40)&lt;=0,"",($O40*$M40)-$R40)</f>
        <v/>
      </c>
      <c r="T40" s="118" t="str">
        <f aca="false">IF(OR($C40="18+",$C40="18-20",SUM($O40)&lt;=0),"",100%)</f>
        <v/>
      </c>
      <c r="U40" s="115" t="str">
        <f aca="false">IF(OR($C40="18+",$C40="18-20",(SUM($R40)+SUM($S40))=0),"",ROUND(SUM($R40,$S40)*$T40,0))</f>
        <v/>
      </c>
    </row>
    <row r="41" customFormat="false" ht="15" hidden="false" customHeight="false" outlineLevel="0" collapsed="false">
      <c r="A41" s="0" t="s">
        <v>142</v>
      </c>
      <c r="B41" s="0" t="s">
        <v>109</v>
      </c>
      <c r="C41" s="0" t="s">
        <v>884</v>
      </c>
      <c r="D41" s="0" t="s">
        <v>56</v>
      </c>
      <c r="E41" s="0" t="str">
        <f aca="false">B41&amp;"|"&amp;C41&amp;"|"&amp;D41</f>
        <v>Berea [#SNU] [#DREAMS] [wpg5evyl1OL]|18+|Female</v>
      </c>
      <c r="F41" s="73" t="str">
        <f aca="false">_xlfn.IFNA(INDEX(Cascade!$F:$F,MATCH($E41,Cascade!$E:$E,0)),"")</f>
        <v/>
      </c>
      <c r="G41" s="0" t="s">
        <v>885</v>
      </c>
      <c r="H41" s="73" t="n">
        <v>30</v>
      </c>
      <c r="I41" s="73" t="n">
        <v>47</v>
      </c>
      <c r="J41" s="118" t="n">
        <f aca="false">IF(SUM($I41)&lt;=0,"",0%)</f>
        <v>0</v>
      </c>
      <c r="K41" s="118"/>
      <c r="L41" s="118"/>
      <c r="M41" s="118" t="n">
        <f aca="false">1-IF(NOT(AND($D41="Female",OR($C41="10-14",$C41="15-17"))),0,$K41)-IF(NOT(OR($C41="05-09",$C41="10-14")),0,$L41)</f>
        <v>1</v>
      </c>
      <c r="N41" s="118" t="n">
        <f aca="false">20%</f>
        <v>0.2</v>
      </c>
      <c r="O41" s="73" t="n">
        <f aca="false">IF(SUM($I41)&lt;=0,"",ROUND($I41*(1+$J41),0))</f>
        <v>47</v>
      </c>
      <c r="P41" s="75" t="str">
        <f aca="false">IF(OR(AND(SUM($K41)=0,SUM($O41)&lt;=0),NOT(AND($D41="Female",$G41="Y",OR($C41="10-14",$C41="15-17")))),"",ROUND($O41*$K41,0))</f>
        <v/>
      </c>
      <c r="Q41" s="75" t="str">
        <f aca="false">IF(OR(AND(SUM($L41)=0,SUM($O41)&lt;=0),NOT(OR($C41="10-14",$C41="05-09"))),"",ROUND($O41*$L41,0))</f>
        <v/>
      </c>
      <c r="R41" s="75" t="n">
        <f aca="false">IF(SUM($O41)&lt;=0,"",ROUND($O41*$M41*$N41,0))</f>
        <v>9</v>
      </c>
      <c r="S41" s="75" t="n">
        <f aca="false">IF(SUM($O41)&lt;=0,"",($O41*$M41)-$R41)</f>
        <v>38</v>
      </c>
      <c r="T41" s="118" t="str">
        <f aca="false">IF(OR($C41="18+",$C41="18-20",SUM($O41)&lt;=0),"",100%)</f>
        <v/>
      </c>
      <c r="U41" s="115" t="str">
        <f aca="false">IF(OR($C41="18+",$C41="18-20",(SUM($R41)+SUM($S41))=0),"",ROUND(SUM($R41,$S41)*$T41,0))</f>
        <v/>
      </c>
    </row>
    <row r="42" customFormat="false" ht="15" hidden="false" customHeight="false" outlineLevel="0" collapsed="false">
      <c r="A42" s="0" t="s">
        <v>142</v>
      </c>
      <c r="B42" s="0" t="s">
        <v>109</v>
      </c>
      <c r="C42" s="0" t="s">
        <v>884</v>
      </c>
      <c r="D42" s="0" t="s">
        <v>58</v>
      </c>
      <c r="E42" s="0" t="str">
        <f aca="false">B42&amp;"|"&amp;C42&amp;"|"&amp;D42</f>
        <v>Berea [#SNU] [#DREAMS] [wpg5evyl1OL]|18+|Male</v>
      </c>
      <c r="F42" s="73" t="str">
        <f aca="false">_xlfn.IFNA(INDEX(Cascade!$F:$F,MATCH($E42,Cascade!$E:$E,0)),"")</f>
        <v/>
      </c>
      <c r="G42" s="0" t="s">
        <v>885</v>
      </c>
      <c r="H42" s="73" t="n">
        <v>14</v>
      </c>
      <c r="I42" s="73" t="n">
        <v>1</v>
      </c>
      <c r="J42" s="118" t="n">
        <f aca="false">IF(SUM($I42)&lt;=0,"",0%)</f>
        <v>0</v>
      </c>
      <c r="K42" s="118"/>
      <c r="L42" s="118"/>
      <c r="M42" s="118" t="n">
        <f aca="false">1-IF(NOT(AND($D42="Female",OR($C42="10-14",$C42="15-17"))),0,$K42)-IF(NOT(OR($C42="05-09",$C42="10-14")),0,$L42)</f>
        <v>1</v>
      </c>
      <c r="N42" s="118" t="n">
        <f aca="false">20%</f>
        <v>0.2</v>
      </c>
      <c r="O42" s="73" t="n">
        <f aca="false">IF(SUM($I42)&lt;=0,"",ROUND($I42*(1+$J42),0))</f>
        <v>1</v>
      </c>
      <c r="P42" s="75" t="str">
        <f aca="false">IF(OR(AND(SUM($K42)=0,SUM($O42)&lt;=0),NOT(AND($D42="Female",$G42="Y",OR($C42="10-14",$C42="15-17")))),"",ROUND($O42*$K42,0))</f>
        <v/>
      </c>
      <c r="Q42" s="75" t="str">
        <f aca="false">IF(OR(AND(SUM($L42)=0,SUM($O42)&lt;=0),NOT(OR($C42="10-14",$C42="05-09"))),"",ROUND($O42*$L42,0))</f>
        <v/>
      </c>
      <c r="R42" s="75" t="n">
        <f aca="false">IF(SUM($O42)&lt;=0,"",ROUND($O42*$M42*$N42,0))</f>
        <v>0</v>
      </c>
      <c r="S42" s="75" t="n">
        <f aca="false">IF(SUM($O42)&lt;=0,"",($O42*$M42)-$R42)</f>
        <v>1</v>
      </c>
      <c r="T42" s="118" t="str">
        <f aca="false">IF(OR($C42="18+",$C42="18-20",SUM($O42)&lt;=0),"",100%)</f>
        <v/>
      </c>
      <c r="U42" s="115" t="str">
        <f aca="false">IF(OR($C42="18+",$C42="18-20",(SUM($R42)+SUM($S42))=0),"",ROUND(SUM($R42,$S42)*$T42,0))</f>
        <v/>
      </c>
    </row>
    <row r="43" customFormat="false" ht="15" hidden="false" customHeight="false" outlineLevel="0" collapsed="false">
      <c r="A43" s="0" t="s">
        <v>143</v>
      </c>
      <c r="B43" s="0" t="s">
        <v>115</v>
      </c>
      <c r="C43" s="0" t="s">
        <v>89</v>
      </c>
      <c r="D43" s="0" t="s">
        <v>56</v>
      </c>
      <c r="E43" s="0" t="str">
        <f aca="false">B43&amp;"|"&amp;C43&amp;"|"&amp;D43</f>
        <v>Butha Buthe [#SNU] [mvPRqBFtVC0]|&lt;01|Female</v>
      </c>
      <c r="F43" s="73" t="n">
        <f aca="false">_xlfn.IFNA(INDEX(Cascade!$F:$F,MATCH($E43,Cascade!$E:$E,0)),"")</f>
        <v>1053</v>
      </c>
      <c r="H43" s="73" t="n">
        <v>31</v>
      </c>
      <c r="I43" s="73" t="n">
        <v>31</v>
      </c>
      <c r="J43" s="118" t="n">
        <f aca="false">IF(SUM($I43)&lt;=0,"",0%)</f>
        <v>0</v>
      </c>
      <c r="K43" s="118"/>
      <c r="L43" s="118"/>
      <c r="M43" s="118" t="n">
        <f aca="false">1-IF(NOT(AND($D43="Female",OR($C43="10-14",$C43="15-17"))),0,$K43)-IF(NOT(OR($C43="05-09",$C43="10-14")),0,$L43)</f>
        <v>1</v>
      </c>
      <c r="N43" s="118" t="n">
        <f aca="false">20%</f>
        <v>0.2</v>
      </c>
      <c r="O43" s="73" t="n">
        <f aca="false">IF(SUM($I43)&lt;=0,"",ROUND($I43*(1+$J43),0))</f>
        <v>31</v>
      </c>
      <c r="P43" s="75" t="str">
        <f aca="false">IF(OR(AND(SUM($K43)=0,SUM($O43)&lt;=0),NOT(AND($D43="Female",$G43="Y",OR($C43="10-14",$C43="15-17")))),"",ROUND($O43*$K43,0))</f>
        <v/>
      </c>
      <c r="Q43" s="75" t="str">
        <f aca="false">IF(OR(AND(SUM($L43)=0,SUM($O43)&lt;=0),NOT(OR($C43="10-14",$C43="05-09"))),"",ROUND($O43*$L43,0))</f>
        <v/>
      </c>
      <c r="R43" s="75" t="n">
        <f aca="false">IF(SUM($O43)&lt;=0,"",ROUND($O43*$M43*$N43,0))</f>
        <v>6</v>
      </c>
      <c r="S43" s="75" t="n">
        <f aca="false">IF(SUM($O43)&lt;=0,"",($O43*$M43)-$R43)</f>
        <v>25</v>
      </c>
      <c r="T43" s="118" t="n">
        <f aca="false">IF(OR($C43="18+",$C43="18-20",SUM($O43)&lt;=0),"",100%)</f>
        <v>1</v>
      </c>
      <c r="U43" s="115" t="n">
        <f aca="false">IF(OR($C43="18+",$C43="18-20",(SUM($R43)+SUM($S43))=0),"",ROUND(SUM($R43,$S43)*$T43,0))</f>
        <v>31</v>
      </c>
    </row>
    <row r="44" customFormat="false" ht="15" hidden="false" customHeight="false" outlineLevel="0" collapsed="false">
      <c r="A44" s="0" t="s">
        <v>143</v>
      </c>
      <c r="B44" s="0" t="s">
        <v>115</v>
      </c>
      <c r="C44" s="0" t="s">
        <v>89</v>
      </c>
      <c r="D44" s="0" t="s">
        <v>58</v>
      </c>
      <c r="E44" s="0" t="str">
        <f aca="false">B44&amp;"|"&amp;C44&amp;"|"&amp;D44</f>
        <v>Butha Buthe [#SNU] [mvPRqBFtVC0]|&lt;01|Male</v>
      </c>
      <c r="F44" s="73" t="n">
        <f aca="false">_xlfn.IFNA(INDEX(Cascade!$F:$F,MATCH($E44,Cascade!$E:$E,0)),"")</f>
        <v>1042</v>
      </c>
      <c r="H44" s="73" t="n">
        <v>19</v>
      </c>
      <c r="I44" s="73" t="n">
        <v>31</v>
      </c>
      <c r="J44" s="118" t="n">
        <f aca="false">IF(SUM($I44)&lt;=0,"",0%)</f>
        <v>0</v>
      </c>
      <c r="K44" s="118"/>
      <c r="L44" s="118"/>
      <c r="M44" s="118" t="n">
        <f aca="false">1-IF(NOT(AND($D44="Female",OR($C44="10-14",$C44="15-17"))),0,$K44)-IF(NOT(OR($C44="05-09",$C44="10-14")),0,$L44)</f>
        <v>1</v>
      </c>
      <c r="N44" s="118" t="n">
        <f aca="false">20%</f>
        <v>0.2</v>
      </c>
      <c r="O44" s="73" t="n">
        <f aca="false">IF(SUM($I44)&lt;=0,"",ROUND($I44*(1+$J44),0))</f>
        <v>31</v>
      </c>
      <c r="P44" s="75" t="str">
        <f aca="false">IF(OR(AND(SUM($K44)=0,SUM($O44)&lt;=0),NOT(AND($D44="Female",$G44="Y",OR($C44="10-14",$C44="15-17")))),"",ROUND($O44*$K44,0))</f>
        <v/>
      </c>
      <c r="Q44" s="75" t="str">
        <f aca="false">IF(OR(AND(SUM($L44)=0,SUM($O44)&lt;=0),NOT(OR($C44="10-14",$C44="05-09"))),"",ROUND($O44*$L44,0))</f>
        <v/>
      </c>
      <c r="R44" s="75" t="n">
        <f aca="false">IF(SUM($O44)&lt;=0,"",ROUND($O44*$M44*$N44,0))</f>
        <v>6</v>
      </c>
      <c r="S44" s="75" t="n">
        <f aca="false">IF(SUM($O44)&lt;=0,"",($O44*$M44)-$R44)</f>
        <v>25</v>
      </c>
      <c r="T44" s="118" t="n">
        <f aca="false">IF(OR($C44="18+",$C44="18-20",SUM($O44)&lt;=0),"",100%)</f>
        <v>1</v>
      </c>
      <c r="U44" s="115" t="n">
        <f aca="false">IF(OR($C44="18+",$C44="18-20",(SUM($R44)+SUM($S44))=0),"",ROUND(SUM($R44,$S44)*$T44,0))</f>
        <v>31</v>
      </c>
    </row>
    <row r="45" customFormat="false" ht="15" hidden="false" customHeight="false" outlineLevel="0" collapsed="false">
      <c r="A45" s="0" t="s">
        <v>143</v>
      </c>
      <c r="B45" s="0" t="s">
        <v>115</v>
      </c>
      <c r="C45" s="0" t="s">
        <v>54</v>
      </c>
      <c r="D45" s="0" t="s">
        <v>56</v>
      </c>
      <c r="E45" s="0" t="str">
        <f aca="false">B45&amp;"|"&amp;C45&amp;"|"&amp;D45</f>
        <v>Butha Buthe [#SNU] [mvPRqBFtVC0]|01-04|Female</v>
      </c>
      <c r="F45" s="73" t="n">
        <f aca="false">_xlfn.IFNA(INDEX(Cascade!$F:$F,MATCH($E45,Cascade!$E:$E,0)),"")</f>
        <v>4893</v>
      </c>
      <c r="H45" s="73" t="n">
        <v>43</v>
      </c>
      <c r="I45" s="73" t="n">
        <v>26</v>
      </c>
      <c r="J45" s="118" t="n">
        <f aca="false">IF(SUM($I45)&lt;=0,"",0%)</f>
        <v>0</v>
      </c>
      <c r="K45" s="118"/>
      <c r="L45" s="118"/>
      <c r="M45" s="118" t="n">
        <f aca="false">1-IF(NOT(AND($D45="Female",OR($C45="10-14",$C45="15-17"))),0,$K45)-IF(NOT(OR($C45="05-09",$C45="10-14")),0,$L45)</f>
        <v>1</v>
      </c>
      <c r="N45" s="118" t="n">
        <f aca="false">20%</f>
        <v>0.2</v>
      </c>
      <c r="O45" s="73" t="n">
        <f aca="false">IF(SUM($I45)&lt;=0,"",ROUND($I45*(1+$J45),0))</f>
        <v>26</v>
      </c>
      <c r="P45" s="75" t="str">
        <f aca="false">IF(OR(AND(SUM($K45)=0,SUM($O45)&lt;=0),NOT(AND($D45="Female",$G45="Y",OR($C45="10-14",$C45="15-17")))),"",ROUND($O45*$K45,0))</f>
        <v/>
      </c>
      <c r="Q45" s="75" t="str">
        <f aca="false">IF(OR(AND(SUM($L45)=0,SUM($O45)&lt;=0),NOT(OR($C45="10-14",$C45="05-09"))),"",ROUND($O45*$L45,0))</f>
        <v/>
      </c>
      <c r="R45" s="75" t="n">
        <f aca="false">IF(SUM($O45)&lt;=0,"",ROUND($O45*$M45*$N45,0))</f>
        <v>5</v>
      </c>
      <c r="S45" s="75" t="n">
        <f aca="false">IF(SUM($O45)&lt;=0,"",($O45*$M45)-$R45)</f>
        <v>21</v>
      </c>
      <c r="T45" s="118" t="n">
        <f aca="false">IF(OR($C45="18+",$C45="18-20",SUM($O45)&lt;=0),"",100%)</f>
        <v>1</v>
      </c>
      <c r="U45" s="115" t="n">
        <f aca="false">IF(OR($C45="18+",$C45="18-20",(SUM($R45)+SUM($S45))=0),"",ROUND(SUM($R45,$S45)*$T45,0))</f>
        <v>26</v>
      </c>
    </row>
    <row r="46" customFormat="false" ht="15" hidden="false" customHeight="false" outlineLevel="0" collapsed="false">
      <c r="A46" s="0" t="s">
        <v>143</v>
      </c>
      <c r="B46" s="0" t="s">
        <v>115</v>
      </c>
      <c r="C46" s="0" t="s">
        <v>54</v>
      </c>
      <c r="D46" s="0" t="s">
        <v>58</v>
      </c>
      <c r="E46" s="0" t="str">
        <f aca="false">B46&amp;"|"&amp;C46&amp;"|"&amp;D46</f>
        <v>Butha Buthe [#SNU] [mvPRqBFtVC0]|01-04|Male</v>
      </c>
      <c r="F46" s="73" t="n">
        <f aca="false">_xlfn.IFNA(INDEX(Cascade!$F:$F,MATCH($E46,Cascade!$E:$E,0)),"")</f>
        <v>4843</v>
      </c>
      <c r="H46" s="73" t="n">
        <v>21</v>
      </c>
      <c r="I46" s="73" t="n">
        <v>22</v>
      </c>
      <c r="J46" s="118" t="n">
        <f aca="false">IF(SUM($I46)&lt;=0,"",0%)</f>
        <v>0</v>
      </c>
      <c r="K46" s="118"/>
      <c r="L46" s="118"/>
      <c r="M46" s="118" t="n">
        <f aca="false">1-IF(NOT(AND($D46="Female",OR($C46="10-14",$C46="15-17"))),0,$K46)-IF(NOT(OR($C46="05-09",$C46="10-14")),0,$L46)</f>
        <v>1</v>
      </c>
      <c r="N46" s="118" t="n">
        <f aca="false">20%</f>
        <v>0.2</v>
      </c>
      <c r="O46" s="73" t="n">
        <f aca="false">IF(SUM($I46)&lt;=0,"",ROUND($I46*(1+$J46),0))</f>
        <v>22</v>
      </c>
      <c r="P46" s="75" t="str">
        <f aca="false">IF(OR(AND(SUM($K46)=0,SUM($O46)&lt;=0),NOT(AND($D46="Female",$G46="Y",OR($C46="10-14",$C46="15-17")))),"",ROUND($O46*$K46,0))</f>
        <v/>
      </c>
      <c r="Q46" s="75" t="str">
        <f aca="false">IF(OR(AND(SUM($L46)=0,SUM($O46)&lt;=0),NOT(OR($C46="10-14",$C46="05-09"))),"",ROUND($O46*$L46,0))</f>
        <v/>
      </c>
      <c r="R46" s="75" t="n">
        <f aca="false">IF(SUM($O46)&lt;=0,"",ROUND($O46*$M46*$N46,0))</f>
        <v>4</v>
      </c>
      <c r="S46" s="75" t="n">
        <f aca="false">IF(SUM($O46)&lt;=0,"",($O46*$M46)-$R46)</f>
        <v>18</v>
      </c>
      <c r="T46" s="118" t="n">
        <f aca="false">IF(OR($C46="18+",$C46="18-20",SUM($O46)&lt;=0),"",100%)</f>
        <v>1</v>
      </c>
      <c r="U46" s="115" t="n">
        <f aca="false">IF(OR($C46="18+",$C46="18-20",(SUM($R46)+SUM($S46))=0),"",ROUND(SUM($R46,$S46)*$T46,0))</f>
        <v>22</v>
      </c>
    </row>
    <row r="47" customFormat="false" ht="15" hidden="false" customHeight="false" outlineLevel="0" collapsed="false">
      <c r="A47" s="0" t="s">
        <v>143</v>
      </c>
      <c r="B47" s="0" t="s">
        <v>115</v>
      </c>
      <c r="C47" s="0" t="s">
        <v>83</v>
      </c>
      <c r="D47" s="0" t="s">
        <v>56</v>
      </c>
      <c r="E47" s="0" t="str">
        <f aca="false">B47&amp;"|"&amp;C47&amp;"|"&amp;D47</f>
        <v>Butha Buthe [#SNU] [mvPRqBFtVC0]|05-09|Female</v>
      </c>
      <c r="F47" s="73" t="n">
        <f aca="false">_xlfn.IFNA(INDEX(Cascade!$F:$F,MATCH($E47,Cascade!$E:$E,0)),"")</f>
        <v>7343</v>
      </c>
      <c r="H47" s="73" t="n">
        <v>35</v>
      </c>
      <c r="I47" s="73" t="n">
        <v>8</v>
      </c>
      <c r="J47" s="118" t="n">
        <f aca="false">IF(SUM($I47)&lt;=0,"",0%)</f>
        <v>0</v>
      </c>
      <c r="K47" s="118"/>
      <c r="L47" s="118"/>
      <c r="M47" s="118" t="n">
        <f aca="false">1-IF(NOT(AND($D47="Female",OR($C47="10-14",$C47="15-17"))),0,$K47)-IF(NOT(OR($C47="05-09",$C47="10-14")),0,$L47)</f>
        <v>1</v>
      </c>
      <c r="N47" s="118" t="n">
        <f aca="false">20%</f>
        <v>0.2</v>
      </c>
      <c r="O47" s="73" t="n">
        <f aca="false">IF(SUM($I47)&lt;=0,"",ROUND($I47*(1+$J47),0))</f>
        <v>8</v>
      </c>
      <c r="P47" s="75" t="str">
        <f aca="false">IF(OR(AND(SUM($K47)=0,SUM($O47)&lt;=0),NOT(AND($D47="Female",$G47="Y",OR($C47="10-14",$C47="15-17")))),"",ROUND($O47*$K47,0))</f>
        <v/>
      </c>
      <c r="Q47" s="75" t="n">
        <f aca="false">IF(OR(AND(SUM($L47)=0,SUM($O47)&lt;=0),NOT(OR($C47="10-14",$C47="05-09"))),"",ROUND($O47*$L47,0))</f>
        <v>0</v>
      </c>
      <c r="R47" s="75" t="n">
        <f aca="false">IF(SUM($O47)&lt;=0,"",ROUND($O47*$M47*$N47,0))</f>
        <v>2</v>
      </c>
      <c r="S47" s="75" t="n">
        <f aca="false">IF(SUM($O47)&lt;=0,"",($O47*$M47)-$R47)</f>
        <v>6</v>
      </c>
      <c r="T47" s="118" t="n">
        <f aca="false">IF(OR($C47="18+",$C47="18-20",SUM($O47)&lt;=0),"",100%)</f>
        <v>1</v>
      </c>
      <c r="U47" s="115" t="n">
        <f aca="false">IF(OR($C47="18+",$C47="18-20",(SUM($R47)+SUM($S47))=0),"",ROUND(SUM($R47,$S47)*$T47,0))</f>
        <v>8</v>
      </c>
    </row>
    <row r="48" customFormat="false" ht="15" hidden="false" customHeight="false" outlineLevel="0" collapsed="false">
      <c r="A48" s="0" t="s">
        <v>143</v>
      </c>
      <c r="B48" s="0" t="s">
        <v>115</v>
      </c>
      <c r="C48" s="0" t="s">
        <v>83</v>
      </c>
      <c r="D48" s="0" t="s">
        <v>58</v>
      </c>
      <c r="E48" s="0" t="str">
        <f aca="false">B48&amp;"|"&amp;C48&amp;"|"&amp;D48</f>
        <v>Butha Buthe [#SNU] [mvPRqBFtVC0]|05-09|Male</v>
      </c>
      <c r="F48" s="73" t="n">
        <f aca="false">_xlfn.IFNA(INDEX(Cascade!$F:$F,MATCH($E48,Cascade!$E:$E,0)),"")</f>
        <v>6735</v>
      </c>
      <c r="H48" s="73" t="n">
        <v>40</v>
      </c>
      <c r="I48" s="73" t="n">
        <v>32</v>
      </c>
      <c r="J48" s="118" t="n">
        <f aca="false">IF(SUM($I48)&lt;=0,"",0%)</f>
        <v>0</v>
      </c>
      <c r="K48" s="118"/>
      <c r="L48" s="118"/>
      <c r="M48" s="118" t="n">
        <f aca="false">1-IF(NOT(AND($D48="Female",OR($C48="10-14",$C48="15-17"))),0,$K48)-IF(NOT(OR($C48="05-09",$C48="10-14")),0,$L48)</f>
        <v>1</v>
      </c>
      <c r="N48" s="118" t="n">
        <f aca="false">20%</f>
        <v>0.2</v>
      </c>
      <c r="O48" s="73" t="n">
        <f aca="false">IF(SUM($I48)&lt;=0,"",ROUND($I48*(1+$J48),0))</f>
        <v>32</v>
      </c>
      <c r="P48" s="75" t="str">
        <f aca="false">IF(OR(AND(SUM($K48)=0,SUM($O48)&lt;=0),NOT(AND($D48="Female",$G48="Y",OR($C48="10-14",$C48="15-17")))),"",ROUND($O48*$K48,0))</f>
        <v/>
      </c>
      <c r="Q48" s="75" t="n">
        <f aca="false">IF(OR(AND(SUM($L48)=0,SUM($O48)&lt;=0),NOT(OR($C48="10-14",$C48="05-09"))),"",ROUND($O48*$L48,0))</f>
        <v>0</v>
      </c>
      <c r="R48" s="75" t="n">
        <f aca="false">IF(SUM($O48)&lt;=0,"",ROUND($O48*$M48*$N48,0))</f>
        <v>6</v>
      </c>
      <c r="S48" s="75" t="n">
        <f aca="false">IF(SUM($O48)&lt;=0,"",($O48*$M48)-$R48)</f>
        <v>26</v>
      </c>
      <c r="T48" s="118" t="n">
        <f aca="false">IF(OR($C48="18+",$C48="18-20",SUM($O48)&lt;=0),"",100%)</f>
        <v>1</v>
      </c>
      <c r="U48" s="115" t="n">
        <f aca="false">IF(OR($C48="18+",$C48="18-20",(SUM($R48)+SUM($S48))=0),"",ROUND(SUM($R48,$S48)*$T48,0))</f>
        <v>32</v>
      </c>
    </row>
    <row r="49" customFormat="false" ht="15" hidden="false" customHeight="false" outlineLevel="0" collapsed="false">
      <c r="A49" s="0" t="s">
        <v>143</v>
      </c>
      <c r="B49" s="0" t="s">
        <v>115</v>
      </c>
      <c r="C49" s="0" t="s">
        <v>61</v>
      </c>
      <c r="D49" s="0" t="s">
        <v>56</v>
      </c>
      <c r="E49" s="0" t="str">
        <f aca="false">B49&amp;"|"&amp;C49&amp;"|"&amp;D49</f>
        <v>Butha Buthe [#SNU] [mvPRqBFtVC0]|10-14|Female</v>
      </c>
      <c r="F49" s="73" t="n">
        <f aca="false">_xlfn.IFNA(INDEX(Cascade!$F:$F,MATCH($E49,Cascade!$E:$E,0)),"")</f>
        <v>6499</v>
      </c>
      <c r="H49" s="73" t="n">
        <v>29</v>
      </c>
      <c r="I49" s="73" t="n">
        <v>12</v>
      </c>
      <c r="J49" s="118" t="n">
        <f aca="false">IF(SUM($I49)&lt;=0,"",0%)</f>
        <v>0</v>
      </c>
      <c r="K49" s="118"/>
      <c r="L49" s="118"/>
      <c r="M49" s="118" t="n">
        <f aca="false">1-IF(NOT(AND($D49="Female",OR($C49="10-14",$C49="15-17"))),0,$K49)-IF(NOT(OR($C49="05-09",$C49="10-14")),0,$L49)</f>
        <v>1</v>
      </c>
      <c r="N49" s="118" t="n">
        <f aca="false">20%</f>
        <v>0.2</v>
      </c>
      <c r="O49" s="73" t="n">
        <f aca="false">IF(SUM($I49)&lt;=0,"",ROUND($I49*(1+$J49),0))</f>
        <v>12</v>
      </c>
      <c r="P49" s="75" t="str">
        <f aca="false">IF(OR(AND(SUM($K49)=0,SUM($O49)&lt;=0),NOT(AND($D49="Female",$G49="Y",OR($C49="10-14",$C49="15-17")))),"",ROUND($O49*$K49,0))</f>
        <v/>
      </c>
      <c r="Q49" s="75" t="n">
        <f aca="false">IF(OR(AND(SUM($L49)=0,SUM($O49)&lt;=0),NOT(OR($C49="10-14",$C49="05-09"))),"",ROUND($O49*$L49,0))</f>
        <v>0</v>
      </c>
      <c r="R49" s="75" t="n">
        <f aca="false">IF(SUM($O49)&lt;=0,"",ROUND($O49*$M49*$N49,0))</f>
        <v>2</v>
      </c>
      <c r="S49" s="75" t="n">
        <f aca="false">IF(SUM($O49)&lt;=0,"",($O49*$M49)-$R49)</f>
        <v>10</v>
      </c>
      <c r="T49" s="118" t="n">
        <f aca="false">IF(OR($C49="18+",$C49="18-20",SUM($O49)&lt;=0),"",100%)</f>
        <v>1</v>
      </c>
      <c r="U49" s="115" t="n">
        <f aca="false">IF(OR($C49="18+",$C49="18-20",(SUM($R49)+SUM($S49))=0),"",ROUND(SUM($R49,$S49)*$T49,0))</f>
        <v>12</v>
      </c>
    </row>
    <row r="50" customFormat="false" ht="15" hidden="false" customHeight="false" outlineLevel="0" collapsed="false">
      <c r="A50" s="0" t="s">
        <v>143</v>
      </c>
      <c r="B50" s="0" t="s">
        <v>115</v>
      </c>
      <c r="C50" s="0" t="s">
        <v>61</v>
      </c>
      <c r="D50" s="0" t="s">
        <v>58</v>
      </c>
      <c r="E50" s="0" t="str">
        <f aca="false">B50&amp;"|"&amp;C50&amp;"|"&amp;D50</f>
        <v>Butha Buthe [#SNU] [mvPRqBFtVC0]|10-14|Male</v>
      </c>
      <c r="F50" s="73" t="n">
        <f aca="false">_xlfn.IFNA(INDEX(Cascade!$F:$F,MATCH($E50,Cascade!$E:$E,0)),"")</f>
        <v>6251</v>
      </c>
      <c r="H50" s="73" t="n">
        <v>33</v>
      </c>
      <c r="I50" s="73" t="n">
        <v>19</v>
      </c>
      <c r="J50" s="118" t="n">
        <f aca="false">IF(SUM($I50)&lt;=0,"",0%)</f>
        <v>0</v>
      </c>
      <c r="K50" s="118"/>
      <c r="L50" s="118"/>
      <c r="M50" s="118" t="n">
        <f aca="false">1-IF(NOT(AND($D50="Female",OR($C50="10-14",$C50="15-17"))),0,$K50)-IF(NOT(OR($C50="05-09",$C50="10-14")),0,$L50)</f>
        <v>1</v>
      </c>
      <c r="N50" s="118" t="n">
        <f aca="false">20%</f>
        <v>0.2</v>
      </c>
      <c r="O50" s="73" t="n">
        <f aca="false">IF(SUM($I50)&lt;=0,"",ROUND($I50*(1+$J50),0))</f>
        <v>19</v>
      </c>
      <c r="P50" s="75" t="str">
        <f aca="false">IF(OR(AND(SUM($K50)=0,SUM($O50)&lt;=0),NOT(AND($D50="Female",$G50="Y",OR($C50="10-14",$C50="15-17")))),"",ROUND($O50*$K50,0))</f>
        <v/>
      </c>
      <c r="Q50" s="75" t="n">
        <f aca="false">IF(OR(AND(SUM($L50)=0,SUM($O50)&lt;=0),NOT(OR($C50="10-14",$C50="05-09"))),"",ROUND($O50*$L50,0))</f>
        <v>0</v>
      </c>
      <c r="R50" s="75" t="n">
        <f aca="false">IF(SUM($O50)&lt;=0,"",ROUND($O50*$M50*$N50,0))</f>
        <v>4</v>
      </c>
      <c r="S50" s="75" t="n">
        <f aca="false">IF(SUM($O50)&lt;=0,"",($O50*$M50)-$R50)</f>
        <v>15</v>
      </c>
      <c r="T50" s="118" t="n">
        <f aca="false">IF(OR($C50="18+",$C50="18-20",SUM($O50)&lt;=0),"",100%)</f>
        <v>1</v>
      </c>
      <c r="U50" s="115" t="n">
        <f aca="false">IF(OR($C50="18+",$C50="18-20",(SUM($R50)+SUM($S50))=0),"",ROUND(SUM($R50,$S50)*$T50,0))</f>
        <v>19</v>
      </c>
    </row>
    <row r="51" customFormat="false" ht="15" hidden="false" customHeight="false" outlineLevel="0" collapsed="false">
      <c r="A51" s="0" t="s">
        <v>143</v>
      </c>
      <c r="B51" s="0" t="s">
        <v>115</v>
      </c>
      <c r="C51" s="0" t="s">
        <v>882</v>
      </c>
      <c r="D51" s="0" t="s">
        <v>56</v>
      </c>
      <c r="E51" s="0" t="str">
        <f aca="false">B51&amp;"|"&amp;C51&amp;"|"&amp;D51</f>
        <v>Butha Buthe [#SNU] [mvPRqBFtVC0]|15-17|Female</v>
      </c>
      <c r="F51" s="73" t="str">
        <f aca="false">_xlfn.IFNA(INDEX(Cascade!$F:$F,MATCH($E51,Cascade!$E:$E,0)),"")</f>
        <v/>
      </c>
      <c r="H51" s="73" t="n">
        <v>11</v>
      </c>
      <c r="I51" s="73" t="n">
        <v>44</v>
      </c>
      <c r="J51" s="118" t="n">
        <f aca="false">IF(SUM($I51)&lt;=0,"",0%)</f>
        <v>0</v>
      </c>
      <c r="K51" s="118"/>
      <c r="L51" s="118"/>
      <c r="M51" s="118" t="n">
        <f aca="false">1-IF(NOT(AND($D51="Female",OR($C51="10-14",$C51="15-17"))),0,$K51)-IF(NOT(OR($C51="05-09",$C51="10-14")),0,$L51)</f>
        <v>1</v>
      </c>
      <c r="N51" s="118" t="n">
        <f aca="false">20%</f>
        <v>0.2</v>
      </c>
      <c r="O51" s="73" t="n">
        <f aca="false">IF(SUM($I51)&lt;=0,"",ROUND($I51*(1+$J51),0))</f>
        <v>44</v>
      </c>
      <c r="P51" s="75" t="str">
        <f aca="false">IF(OR(AND(SUM($K51)=0,SUM($O51)&lt;=0),NOT(AND($D51="Female",$G51="Y",OR($C51="10-14",$C51="15-17")))),"",ROUND($O51*$K51,0))</f>
        <v/>
      </c>
      <c r="Q51" s="75" t="str">
        <f aca="false">IF(OR(AND(SUM($L51)=0,SUM($O51)&lt;=0),NOT(OR($C51="10-14",$C51="05-09"))),"",ROUND($O51*$L51,0))</f>
        <v/>
      </c>
      <c r="R51" s="75" t="n">
        <f aca="false">IF(SUM($O51)&lt;=0,"",ROUND($O51*$M51*$N51,0))</f>
        <v>9</v>
      </c>
      <c r="S51" s="75" t="n">
        <f aca="false">IF(SUM($O51)&lt;=0,"",($O51*$M51)-$R51)</f>
        <v>35</v>
      </c>
      <c r="T51" s="118" t="n">
        <f aca="false">IF(OR($C51="18+",$C51="18-20",SUM($O51)&lt;=0),"",100%)</f>
        <v>1</v>
      </c>
      <c r="U51" s="115" t="n">
        <f aca="false">IF(OR($C51="18+",$C51="18-20",(SUM($R51)+SUM($S51))=0),"",ROUND(SUM($R51,$S51)*$T51,0))</f>
        <v>44</v>
      </c>
    </row>
    <row r="52" customFormat="false" ht="15" hidden="false" customHeight="false" outlineLevel="0" collapsed="false">
      <c r="A52" s="0" t="s">
        <v>143</v>
      </c>
      <c r="B52" s="0" t="s">
        <v>115</v>
      </c>
      <c r="C52" s="0" t="s">
        <v>882</v>
      </c>
      <c r="D52" s="0" t="s">
        <v>58</v>
      </c>
      <c r="E52" s="0" t="str">
        <f aca="false">B52&amp;"|"&amp;C52&amp;"|"&amp;D52</f>
        <v>Butha Buthe [#SNU] [mvPRqBFtVC0]|15-17|Male</v>
      </c>
      <c r="F52" s="73" t="str">
        <f aca="false">_xlfn.IFNA(INDEX(Cascade!$F:$F,MATCH($E52,Cascade!$E:$E,0)),"")</f>
        <v/>
      </c>
      <c r="H52" s="73" t="n">
        <v>5</v>
      </c>
      <c r="I52" s="73" t="n">
        <v>37</v>
      </c>
      <c r="J52" s="118" t="n">
        <f aca="false">IF(SUM($I52)&lt;=0,"",0%)</f>
        <v>0</v>
      </c>
      <c r="K52" s="118"/>
      <c r="L52" s="118"/>
      <c r="M52" s="118" t="n">
        <f aca="false">1-IF(NOT(AND($D52="Female",OR($C52="10-14",$C52="15-17"))),0,$K52)-IF(NOT(OR($C52="05-09",$C52="10-14")),0,$L52)</f>
        <v>1</v>
      </c>
      <c r="N52" s="118" t="n">
        <f aca="false">20%</f>
        <v>0.2</v>
      </c>
      <c r="O52" s="73" t="n">
        <f aca="false">IF(SUM($I52)&lt;=0,"",ROUND($I52*(1+$J52),0))</f>
        <v>37</v>
      </c>
      <c r="P52" s="75" t="str">
        <f aca="false">IF(OR(AND(SUM($K52)=0,SUM($O52)&lt;=0),NOT(AND($D52="Female",$G52="Y",OR($C52="10-14",$C52="15-17")))),"",ROUND($O52*$K52,0))</f>
        <v/>
      </c>
      <c r="Q52" s="75" t="str">
        <f aca="false">IF(OR(AND(SUM($L52)=0,SUM($O52)&lt;=0),NOT(OR($C52="10-14",$C52="05-09"))),"",ROUND($O52*$L52,0))</f>
        <v/>
      </c>
      <c r="R52" s="75" t="n">
        <f aca="false">IF(SUM($O52)&lt;=0,"",ROUND($O52*$M52*$N52,0))</f>
        <v>7</v>
      </c>
      <c r="S52" s="75" t="n">
        <f aca="false">IF(SUM($O52)&lt;=0,"",($O52*$M52)-$R52)</f>
        <v>30</v>
      </c>
      <c r="T52" s="118" t="n">
        <f aca="false">IF(OR($C52="18+",$C52="18-20",SUM($O52)&lt;=0),"",100%)</f>
        <v>1</v>
      </c>
      <c r="U52" s="115" t="n">
        <f aca="false">IF(OR($C52="18+",$C52="18-20",(SUM($R52)+SUM($S52))=0),"",ROUND(SUM($R52,$S52)*$T52,0))</f>
        <v>37</v>
      </c>
    </row>
    <row r="53" customFormat="false" ht="15" hidden="false" customHeight="false" outlineLevel="0" collapsed="false">
      <c r="A53" s="0" t="s">
        <v>143</v>
      </c>
      <c r="B53" s="0" t="s">
        <v>115</v>
      </c>
      <c r="C53" s="0" t="s">
        <v>883</v>
      </c>
      <c r="D53" s="0" t="s">
        <v>56</v>
      </c>
      <c r="E53" s="0" t="str">
        <f aca="false">B53&amp;"|"&amp;C53&amp;"|"&amp;D53</f>
        <v>Butha Buthe [#SNU] [mvPRqBFtVC0]|18-20|Female</v>
      </c>
      <c r="F53" s="73" t="str">
        <f aca="false">_xlfn.IFNA(INDEX(Cascade!$F:$F,MATCH($E53,Cascade!$E:$E,0)),"")</f>
        <v/>
      </c>
      <c r="H53" s="73"/>
      <c r="I53" s="73"/>
      <c r="J53" s="118" t="str">
        <f aca="false">IF(SUM($I53)&lt;=0,"",0%)</f>
        <v/>
      </c>
      <c r="K53" s="118"/>
      <c r="L53" s="118"/>
      <c r="M53" s="118" t="n">
        <f aca="false">1-IF(NOT(AND($D53="Female",OR($C53="10-14",$C53="15-17"))),0,$K53)-IF(NOT(OR($C53="05-09",$C53="10-14")),0,$L53)</f>
        <v>1</v>
      </c>
      <c r="N53" s="118" t="n">
        <f aca="false">20%</f>
        <v>0.2</v>
      </c>
      <c r="O53" s="73" t="str">
        <f aca="false">IF(SUM($I53)&lt;=0,"",ROUND($I53*(1+$J53),0))</f>
        <v/>
      </c>
      <c r="P53" s="75" t="str">
        <f aca="false">IF(OR(AND(SUM($K53)=0,SUM($O53)&lt;=0),NOT(AND($D53="Female",$G53="Y",OR($C53="10-14",$C53="15-17")))),"",ROUND($O53*$K53,0))</f>
        <v/>
      </c>
      <c r="Q53" s="75" t="str">
        <f aca="false">IF(OR(AND(SUM($L53)=0,SUM($O53)&lt;=0),NOT(OR($C53="10-14",$C53="05-09"))),"",ROUND($O53*$L53,0))</f>
        <v/>
      </c>
      <c r="R53" s="75" t="str">
        <f aca="false">IF(SUM($O53)&lt;=0,"",ROUND($O53*$M53*$N53,0))</f>
        <v/>
      </c>
      <c r="S53" s="75" t="str">
        <f aca="false">IF(SUM($O53)&lt;=0,"",($O53*$M53)-$R53)</f>
        <v/>
      </c>
      <c r="T53" s="118" t="str">
        <f aca="false">IF(OR($C53="18+",$C53="18-20",SUM($O53)&lt;=0),"",100%)</f>
        <v/>
      </c>
      <c r="U53" s="115" t="str">
        <f aca="false">IF(OR($C53="18+",$C53="18-20",(SUM($R53)+SUM($S53))=0),"",ROUND(SUM($R53,$S53)*$T53,0))</f>
        <v/>
      </c>
    </row>
    <row r="54" customFormat="false" ht="15" hidden="false" customHeight="false" outlineLevel="0" collapsed="false">
      <c r="A54" s="0" t="s">
        <v>143</v>
      </c>
      <c r="B54" s="0" t="s">
        <v>115</v>
      </c>
      <c r="C54" s="0" t="s">
        <v>883</v>
      </c>
      <c r="D54" s="0" t="s">
        <v>58</v>
      </c>
      <c r="E54" s="0" t="str">
        <f aca="false">B54&amp;"|"&amp;C54&amp;"|"&amp;D54</f>
        <v>Butha Buthe [#SNU] [mvPRqBFtVC0]|18-20|Male</v>
      </c>
      <c r="F54" s="73" t="str">
        <f aca="false">_xlfn.IFNA(INDEX(Cascade!$F:$F,MATCH($E54,Cascade!$E:$E,0)),"")</f>
        <v/>
      </c>
      <c r="H54" s="73"/>
      <c r="I54" s="73"/>
      <c r="J54" s="118" t="str">
        <f aca="false">IF(SUM($I54)&lt;=0,"",0%)</f>
        <v/>
      </c>
      <c r="K54" s="118"/>
      <c r="L54" s="118"/>
      <c r="M54" s="118" t="n">
        <f aca="false">1-IF(NOT(AND($D54="Female",OR($C54="10-14",$C54="15-17"))),0,$K54)-IF(NOT(OR($C54="05-09",$C54="10-14")),0,$L54)</f>
        <v>1</v>
      </c>
      <c r="N54" s="118" t="n">
        <f aca="false">20%</f>
        <v>0.2</v>
      </c>
      <c r="O54" s="73" t="str">
        <f aca="false">IF(SUM($I54)&lt;=0,"",ROUND($I54*(1+$J54),0))</f>
        <v/>
      </c>
      <c r="P54" s="75" t="str">
        <f aca="false">IF(OR(AND(SUM($K54)=0,SUM($O54)&lt;=0),NOT(AND($D54="Female",$G54="Y",OR($C54="10-14",$C54="15-17")))),"",ROUND($O54*$K54,0))</f>
        <v/>
      </c>
      <c r="Q54" s="75" t="str">
        <f aca="false">IF(OR(AND(SUM($L54)=0,SUM($O54)&lt;=0),NOT(OR($C54="10-14",$C54="05-09"))),"",ROUND($O54*$L54,0))</f>
        <v/>
      </c>
      <c r="R54" s="75" t="str">
        <f aca="false">IF(SUM($O54)&lt;=0,"",ROUND($O54*$M54*$N54,0))</f>
        <v/>
      </c>
      <c r="S54" s="75" t="str">
        <f aca="false">IF(SUM($O54)&lt;=0,"",($O54*$M54)-$R54)</f>
        <v/>
      </c>
      <c r="T54" s="118" t="str">
        <f aca="false">IF(OR($C54="18+",$C54="18-20",SUM($O54)&lt;=0),"",100%)</f>
        <v/>
      </c>
      <c r="U54" s="115" t="str">
        <f aca="false">IF(OR($C54="18+",$C54="18-20",(SUM($R54)+SUM($S54))=0),"",ROUND(SUM($R54,$S54)*$T54,0))</f>
        <v/>
      </c>
    </row>
    <row r="55" customFormat="false" ht="15" hidden="false" customHeight="false" outlineLevel="0" collapsed="false">
      <c r="A55" s="0" t="s">
        <v>143</v>
      </c>
      <c r="B55" s="0" t="s">
        <v>115</v>
      </c>
      <c r="C55" s="0" t="s">
        <v>884</v>
      </c>
      <c r="D55" s="0" t="s">
        <v>56</v>
      </c>
      <c r="E55" s="0" t="str">
        <f aca="false">B55&amp;"|"&amp;C55&amp;"|"&amp;D55</f>
        <v>Butha Buthe [#SNU] [mvPRqBFtVC0]|18+|Female</v>
      </c>
      <c r="F55" s="73" t="str">
        <f aca="false">_xlfn.IFNA(INDEX(Cascade!$F:$F,MATCH($E55,Cascade!$E:$E,0)),"")</f>
        <v/>
      </c>
      <c r="H55" s="73" t="n">
        <v>11</v>
      </c>
      <c r="I55" s="73" t="n">
        <v>39</v>
      </c>
      <c r="J55" s="118" t="n">
        <f aca="false">IF(SUM($I55)&lt;=0,"",0%)</f>
        <v>0</v>
      </c>
      <c r="K55" s="118"/>
      <c r="L55" s="118"/>
      <c r="M55" s="118" t="n">
        <f aca="false">1-IF(NOT(AND($D55="Female",OR($C55="10-14",$C55="15-17"))),0,$K55)-IF(NOT(OR($C55="05-09",$C55="10-14")),0,$L55)</f>
        <v>1</v>
      </c>
      <c r="N55" s="118" t="n">
        <f aca="false">20%</f>
        <v>0.2</v>
      </c>
      <c r="O55" s="73" t="n">
        <f aca="false">IF(SUM($I55)&lt;=0,"",ROUND($I55*(1+$J55),0))</f>
        <v>39</v>
      </c>
      <c r="P55" s="75" t="str">
        <f aca="false">IF(OR(AND(SUM($K55)=0,SUM($O55)&lt;=0),NOT(AND($D55="Female",$G55="Y",OR($C55="10-14",$C55="15-17")))),"",ROUND($O55*$K55,0))</f>
        <v/>
      </c>
      <c r="Q55" s="75" t="str">
        <f aca="false">IF(OR(AND(SUM($L55)=0,SUM($O55)&lt;=0),NOT(OR($C55="10-14",$C55="05-09"))),"",ROUND($O55*$L55,0))</f>
        <v/>
      </c>
      <c r="R55" s="75" t="n">
        <f aca="false">IF(SUM($O55)&lt;=0,"",ROUND($O55*$M55*$N55,0))</f>
        <v>8</v>
      </c>
      <c r="S55" s="75" t="n">
        <f aca="false">IF(SUM($O55)&lt;=0,"",($O55*$M55)-$R55)</f>
        <v>31</v>
      </c>
      <c r="T55" s="118" t="str">
        <f aca="false">IF(OR($C55="18+",$C55="18-20",SUM($O55)&lt;=0),"",100%)</f>
        <v/>
      </c>
      <c r="U55" s="115" t="str">
        <f aca="false">IF(OR($C55="18+",$C55="18-20",(SUM($R55)+SUM($S55))=0),"",ROUND(SUM($R55,$S55)*$T55,0))</f>
        <v/>
      </c>
    </row>
    <row r="56" customFormat="false" ht="15" hidden="false" customHeight="false" outlineLevel="0" collapsed="false">
      <c r="A56" s="0" t="s">
        <v>143</v>
      </c>
      <c r="B56" s="0" t="s">
        <v>115</v>
      </c>
      <c r="C56" s="0" t="s">
        <v>884</v>
      </c>
      <c r="D56" s="0" t="s">
        <v>58</v>
      </c>
      <c r="E56" s="0" t="str">
        <f aca="false">B56&amp;"|"&amp;C56&amp;"|"&amp;D56</f>
        <v>Butha Buthe [#SNU] [mvPRqBFtVC0]|18+|Male</v>
      </c>
      <c r="F56" s="73" t="str">
        <f aca="false">_xlfn.IFNA(INDEX(Cascade!$F:$F,MATCH($E56,Cascade!$E:$E,0)),"")</f>
        <v/>
      </c>
      <c r="H56" s="73" t="n">
        <v>29</v>
      </c>
      <c r="I56" s="73" t="n">
        <v>23</v>
      </c>
      <c r="J56" s="118" t="n">
        <f aca="false">IF(SUM($I56)&lt;=0,"",0%)</f>
        <v>0</v>
      </c>
      <c r="K56" s="118"/>
      <c r="L56" s="118"/>
      <c r="M56" s="118" t="n">
        <f aca="false">1-IF(NOT(AND($D56="Female",OR($C56="10-14",$C56="15-17"))),0,$K56)-IF(NOT(OR($C56="05-09",$C56="10-14")),0,$L56)</f>
        <v>1</v>
      </c>
      <c r="N56" s="118" t="n">
        <f aca="false">20%</f>
        <v>0.2</v>
      </c>
      <c r="O56" s="73" t="n">
        <f aca="false">IF(SUM($I56)&lt;=0,"",ROUND($I56*(1+$J56),0))</f>
        <v>23</v>
      </c>
      <c r="P56" s="75" t="str">
        <f aca="false">IF(OR(AND(SUM($K56)=0,SUM($O56)&lt;=0),NOT(AND($D56="Female",$G56="Y",OR($C56="10-14",$C56="15-17")))),"",ROUND($O56*$K56,0))</f>
        <v/>
      </c>
      <c r="Q56" s="75" t="str">
        <f aca="false">IF(OR(AND(SUM($L56)=0,SUM($O56)&lt;=0),NOT(OR($C56="10-14",$C56="05-09"))),"",ROUND($O56*$L56,0))</f>
        <v/>
      </c>
      <c r="R56" s="75" t="n">
        <f aca="false">IF(SUM($O56)&lt;=0,"",ROUND($O56*$M56*$N56,0))</f>
        <v>5</v>
      </c>
      <c r="S56" s="75" t="n">
        <f aca="false">IF(SUM($O56)&lt;=0,"",($O56*$M56)-$R56)</f>
        <v>18</v>
      </c>
      <c r="T56" s="118" t="str">
        <f aca="false">IF(OR($C56="18+",$C56="18-20",SUM($O56)&lt;=0),"",100%)</f>
        <v/>
      </c>
      <c r="U56" s="115" t="str">
        <f aca="false">IF(OR($C56="18+",$C56="18-20",(SUM($R56)+SUM($S56))=0),"",ROUND(SUM($R56,$S56)*$T56,0))</f>
        <v/>
      </c>
    </row>
    <row r="57" customFormat="false" ht="15" hidden="false" customHeight="false" outlineLevel="0" collapsed="false">
      <c r="A57" s="0" t="s">
        <v>144</v>
      </c>
      <c r="B57" s="0" t="s">
        <v>103</v>
      </c>
      <c r="C57" s="0" t="s">
        <v>89</v>
      </c>
      <c r="D57" s="0" t="s">
        <v>56</v>
      </c>
      <c r="E57" s="0" t="str">
        <f aca="false">B57&amp;"|"&amp;C57&amp;"|"&amp;D57</f>
        <v>Leribe [#SNU] [FjSmRywOWUp]|&lt;01|Female</v>
      </c>
      <c r="F57" s="73" t="n">
        <f aca="false">_xlfn.IFNA(INDEX(Cascade!$F:$F,MATCH($E57,Cascade!$E:$E,0)),"")</f>
        <v>2962</v>
      </c>
      <c r="H57" s="73" t="n">
        <v>45</v>
      </c>
      <c r="I57" s="73" t="n">
        <v>10</v>
      </c>
      <c r="J57" s="118" t="n">
        <f aca="false">IF(SUM($I57)&lt;=0,"",0%)</f>
        <v>0</v>
      </c>
      <c r="K57" s="118"/>
      <c r="L57" s="118"/>
      <c r="M57" s="118" t="n">
        <f aca="false">1-IF(NOT(AND($D57="Female",OR($C57="10-14",$C57="15-17"))),0,$K57)-IF(NOT(OR($C57="05-09",$C57="10-14")),0,$L57)</f>
        <v>1</v>
      </c>
      <c r="N57" s="118" t="n">
        <f aca="false">20%</f>
        <v>0.2</v>
      </c>
      <c r="O57" s="73" t="n">
        <f aca="false">IF(SUM($I57)&lt;=0,"",ROUND($I57*(1+$J57),0))</f>
        <v>10</v>
      </c>
      <c r="P57" s="75" t="str">
        <f aca="false">IF(OR(AND(SUM($K57)=0,SUM($O57)&lt;=0),NOT(AND($D57="Female",$G57="Y",OR($C57="10-14",$C57="15-17")))),"",ROUND($O57*$K57,0))</f>
        <v/>
      </c>
      <c r="Q57" s="75" t="str">
        <f aca="false">IF(OR(AND(SUM($L57)=0,SUM($O57)&lt;=0),NOT(OR($C57="10-14",$C57="05-09"))),"",ROUND($O57*$L57,0))</f>
        <v/>
      </c>
      <c r="R57" s="75" t="n">
        <f aca="false">IF(SUM($O57)&lt;=0,"",ROUND($O57*$M57*$N57,0))</f>
        <v>2</v>
      </c>
      <c r="S57" s="75" t="n">
        <f aca="false">IF(SUM($O57)&lt;=0,"",($O57*$M57)-$R57)</f>
        <v>8</v>
      </c>
      <c r="T57" s="118" t="n">
        <f aca="false">IF(OR($C57="18+",$C57="18-20",SUM($O57)&lt;=0),"",100%)</f>
        <v>1</v>
      </c>
      <c r="U57" s="115" t="n">
        <f aca="false">IF(OR($C57="18+",$C57="18-20",(SUM($R57)+SUM($S57))=0),"",ROUND(SUM($R57,$S57)*$T57,0))</f>
        <v>10</v>
      </c>
    </row>
    <row r="58" customFormat="false" ht="15" hidden="false" customHeight="false" outlineLevel="0" collapsed="false">
      <c r="A58" s="0" t="s">
        <v>144</v>
      </c>
      <c r="B58" s="0" t="s">
        <v>103</v>
      </c>
      <c r="C58" s="0" t="s">
        <v>89</v>
      </c>
      <c r="D58" s="0" t="s">
        <v>58</v>
      </c>
      <c r="E58" s="0" t="str">
        <f aca="false">B58&amp;"|"&amp;C58&amp;"|"&amp;D58</f>
        <v>Leribe [#SNU] [FjSmRywOWUp]|&lt;01|Male</v>
      </c>
      <c r="F58" s="73" t="n">
        <f aca="false">_xlfn.IFNA(INDEX(Cascade!$F:$F,MATCH($E58,Cascade!$E:$E,0)),"")</f>
        <v>3007</v>
      </c>
      <c r="H58" s="73" t="n">
        <v>27</v>
      </c>
      <c r="I58" s="73" t="n">
        <v>37</v>
      </c>
      <c r="J58" s="118" t="n">
        <f aca="false">IF(SUM($I58)&lt;=0,"",0%)</f>
        <v>0</v>
      </c>
      <c r="K58" s="118"/>
      <c r="L58" s="118"/>
      <c r="M58" s="118" t="n">
        <f aca="false">1-IF(NOT(AND($D58="Female",OR($C58="10-14",$C58="15-17"))),0,$K58)-IF(NOT(OR($C58="05-09",$C58="10-14")),0,$L58)</f>
        <v>1</v>
      </c>
      <c r="N58" s="118" t="n">
        <f aca="false">20%</f>
        <v>0.2</v>
      </c>
      <c r="O58" s="73" t="n">
        <f aca="false">IF(SUM($I58)&lt;=0,"",ROUND($I58*(1+$J58),0))</f>
        <v>37</v>
      </c>
      <c r="P58" s="75" t="str">
        <f aca="false">IF(OR(AND(SUM($K58)=0,SUM($O58)&lt;=0),NOT(AND($D58="Female",$G58="Y",OR($C58="10-14",$C58="15-17")))),"",ROUND($O58*$K58,0))</f>
        <v/>
      </c>
      <c r="Q58" s="75" t="str">
        <f aca="false">IF(OR(AND(SUM($L58)=0,SUM($O58)&lt;=0),NOT(OR($C58="10-14",$C58="05-09"))),"",ROUND($O58*$L58,0))</f>
        <v/>
      </c>
      <c r="R58" s="75" t="n">
        <f aca="false">IF(SUM($O58)&lt;=0,"",ROUND($O58*$M58*$N58,0))</f>
        <v>7</v>
      </c>
      <c r="S58" s="75" t="n">
        <f aca="false">IF(SUM($O58)&lt;=0,"",($O58*$M58)-$R58)</f>
        <v>30</v>
      </c>
      <c r="T58" s="118" t="n">
        <f aca="false">IF(OR($C58="18+",$C58="18-20",SUM($O58)&lt;=0),"",100%)</f>
        <v>1</v>
      </c>
      <c r="U58" s="115" t="n">
        <f aca="false">IF(OR($C58="18+",$C58="18-20",(SUM($R58)+SUM($S58))=0),"",ROUND(SUM($R58,$S58)*$T58,0))</f>
        <v>37</v>
      </c>
    </row>
    <row r="59" customFormat="false" ht="15" hidden="false" customHeight="false" outlineLevel="0" collapsed="false">
      <c r="A59" s="0" t="s">
        <v>144</v>
      </c>
      <c r="B59" s="0" t="s">
        <v>103</v>
      </c>
      <c r="C59" s="0" t="s">
        <v>54</v>
      </c>
      <c r="D59" s="0" t="s">
        <v>56</v>
      </c>
      <c r="E59" s="0" t="str">
        <f aca="false">B59&amp;"|"&amp;C59&amp;"|"&amp;D59</f>
        <v>Leribe [#SNU] [FjSmRywOWUp]|01-04|Female</v>
      </c>
      <c r="F59" s="73" t="n">
        <f aca="false">_xlfn.IFNA(INDEX(Cascade!$F:$F,MATCH($E59,Cascade!$E:$E,0)),"")</f>
        <v>13760</v>
      </c>
      <c r="H59" s="73" t="n">
        <v>23</v>
      </c>
      <c r="I59" s="73" t="n">
        <v>27</v>
      </c>
      <c r="J59" s="118" t="n">
        <f aca="false">IF(SUM($I59)&lt;=0,"",0%)</f>
        <v>0</v>
      </c>
      <c r="K59" s="118"/>
      <c r="L59" s="118"/>
      <c r="M59" s="118" t="n">
        <f aca="false">1-IF(NOT(AND($D59="Female",OR($C59="10-14",$C59="15-17"))),0,$K59)-IF(NOT(OR($C59="05-09",$C59="10-14")),0,$L59)</f>
        <v>1</v>
      </c>
      <c r="N59" s="118" t="n">
        <f aca="false">20%</f>
        <v>0.2</v>
      </c>
      <c r="O59" s="73" t="n">
        <f aca="false">IF(SUM($I59)&lt;=0,"",ROUND($I59*(1+$J59),0))</f>
        <v>27</v>
      </c>
      <c r="P59" s="75" t="str">
        <f aca="false">IF(OR(AND(SUM($K59)=0,SUM($O59)&lt;=0),NOT(AND($D59="Female",$G59="Y",OR($C59="10-14",$C59="15-17")))),"",ROUND($O59*$K59,0))</f>
        <v/>
      </c>
      <c r="Q59" s="75" t="str">
        <f aca="false">IF(OR(AND(SUM($L59)=0,SUM($O59)&lt;=0),NOT(OR($C59="10-14",$C59="05-09"))),"",ROUND($O59*$L59,0))</f>
        <v/>
      </c>
      <c r="R59" s="75" t="n">
        <f aca="false">IF(SUM($O59)&lt;=0,"",ROUND($O59*$M59*$N59,0))</f>
        <v>5</v>
      </c>
      <c r="S59" s="75" t="n">
        <f aca="false">IF(SUM($O59)&lt;=0,"",($O59*$M59)-$R59)</f>
        <v>22</v>
      </c>
      <c r="T59" s="118" t="n">
        <f aca="false">IF(OR($C59="18+",$C59="18-20",SUM($O59)&lt;=0),"",100%)</f>
        <v>1</v>
      </c>
      <c r="U59" s="115" t="n">
        <f aca="false">IF(OR($C59="18+",$C59="18-20",(SUM($R59)+SUM($S59))=0),"",ROUND(SUM($R59,$S59)*$T59,0))</f>
        <v>27</v>
      </c>
    </row>
    <row r="60" customFormat="false" ht="15" hidden="false" customHeight="false" outlineLevel="0" collapsed="false">
      <c r="A60" s="0" t="s">
        <v>144</v>
      </c>
      <c r="B60" s="0" t="s">
        <v>103</v>
      </c>
      <c r="C60" s="0" t="s">
        <v>54</v>
      </c>
      <c r="D60" s="0" t="s">
        <v>58</v>
      </c>
      <c r="E60" s="0" t="str">
        <f aca="false">B60&amp;"|"&amp;C60&amp;"|"&amp;D60</f>
        <v>Leribe [#SNU] [FjSmRywOWUp]|01-04|Male</v>
      </c>
      <c r="F60" s="73" t="n">
        <f aca="false">_xlfn.IFNA(INDEX(Cascade!$F:$F,MATCH($E60,Cascade!$E:$E,0)),"")</f>
        <v>13971</v>
      </c>
      <c r="H60" s="73" t="n">
        <v>24</v>
      </c>
      <c r="I60" s="73" t="n">
        <v>31</v>
      </c>
      <c r="J60" s="118" t="n">
        <f aca="false">IF(SUM($I60)&lt;=0,"",0%)</f>
        <v>0</v>
      </c>
      <c r="K60" s="118"/>
      <c r="L60" s="118"/>
      <c r="M60" s="118" t="n">
        <f aca="false">1-IF(NOT(AND($D60="Female",OR($C60="10-14",$C60="15-17"))),0,$K60)-IF(NOT(OR($C60="05-09",$C60="10-14")),0,$L60)</f>
        <v>1</v>
      </c>
      <c r="N60" s="118" t="n">
        <f aca="false">20%</f>
        <v>0.2</v>
      </c>
      <c r="O60" s="73" t="n">
        <f aca="false">IF(SUM($I60)&lt;=0,"",ROUND($I60*(1+$J60),0))</f>
        <v>31</v>
      </c>
      <c r="P60" s="75" t="str">
        <f aca="false">IF(OR(AND(SUM($K60)=0,SUM($O60)&lt;=0),NOT(AND($D60="Female",$G60="Y",OR($C60="10-14",$C60="15-17")))),"",ROUND($O60*$K60,0))</f>
        <v/>
      </c>
      <c r="Q60" s="75" t="str">
        <f aca="false">IF(OR(AND(SUM($L60)=0,SUM($O60)&lt;=0),NOT(OR($C60="10-14",$C60="05-09"))),"",ROUND($O60*$L60,0))</f>
        <v/>
      </c>
      <c r="R60" s="75" t="n">
        <f aca="false">IF(SUM($O60)&lt;=0,"",ROUND($O60*$M60*$N60,0))</f>
        <v>6</v>
      </c>
      <c r="S60" s="75" t="n">
        <f aca="false">IF(SUM($O60)&lt;=0,"",($O60*$M60)-$R60)</f>
        <v>25</v>
      </c>
      <c r="T60" s="118" t="n">
        <f aca="false">IF(OR($C60="18+",$C60="18-20",SUM($O60)&lt;=0),"",100%)</f>
        <v>1</v>
      </c>
      <c r="U60" s="115" t="n">
        <f aca="false">IF(OR($C60="18+",$C60="18-20",(SUM($R60)+SUM($S60))=0),"",ROUND(SUM($R60,$S60)*$T60,0))</f>
        <v>31</v>
      </c>
    </row>
    <row r="61" customFormat="false" ht="15" hidden="false" customHeight="false" outlineLevel="0" collapsed="false">
      <c r="A61" s="0" t="s">
        <v>144</v>
      </c>
      <c r="B61" s="0" t="s">
        <v>103</v>
      </c>
      <c r="C61" s="0" t="s">
        <v>83</v>
      </c>
      <c r="D61" s="0" t="s">
        <v>56</v>
      </c>
      <c r="E61" s="0" t="str">
        <f aca="false">B61&amp;"|"&amp;C61&amp;"|"&amp;D61</f>
        <v>Leribe [#SNU] [FjSmRywOWUp]|05-09|Female</v>
      </c>
      <c r="F61" s="73" t="n">
        <f aca="false">_xlfn.IFNA(INDEX(Cascade!$F:$F,MATCH($E61,Cascade!$E:$E,0)),"")</f>
        <v>19479</v>
      </c>
      <c r="H61" s="73" t="n">
        <v>5</v>
      </c>
      <c r="I61" s="73" t="n">
        <v>13</v>
      </c>
      <c r="J61" s="118" t="n">
        <f aca="false">IF(SUM($I61)&lt;=0,"",0%)</f>
        <v>0</v>
      </c>
      <c r="K61" s="118"/>
      <c r="L61" s="118"/>
      <c r="M61" s="118" t="n">
        <f aca="false">1-IF(NOT(AND($D61="Female",OR($C61="10-14",$C61="15-17"))),0,$K61)-IF(NOT(OR($C61="05-09",$C61="10-14")),0,$L61)</f>
        <v>1</v>
      </c>
      <c r="N61" s="118" t="n">
        <f aca="false">20%</f>
        <v>0.2</v>
      </c>
      <c r="O61" s="73" t="n">
        <f aca="false">IF(SUM($I61)&lt;=0,"",ROUND($I61*(1+$J61),0))</f>
        <v>13</v>
      </c>
      <c r="P61" s="75" t="str">
        <f aca="false">IF(OR(AND(SUM($K61)=0,SUM($O61)&lt;=0),NOT(AND($D61="Female",$G61="Y",OR($C61="10-14",$C61="15-17")))),"",ROUND($O61*$K61,0))</f>
        <v/>
      </c>
      <c r="Q61" s="75" t="n">
        <f aca="false">IF(OR(AND(SUM($L61)=0,SUM($O61)&lt;=0),NOT(OR($C61="10-14",$C61="05-09"))),"",ROUND($O61*$L61,0))</f>
        <v>0</v>
      </c>
      <c r="R61" s="75" t="n">
        <f aca="false">IF(SUM($O61)&lt;=0,"",ROUND($O61*$M61*$N61,0))</f>
        <v>3</v>
      </c>
      <c r="S61" s="75" t="n">
        <f aca="false">IF(SUM($O61)&lt;=0,"",($O61*$M61)-$R61)</f>
        <v>10</v>
      </c>
      <c r="T61" s="118" t="n">
        <f aca="false">IF(OR($C61="18+",$C61="18-20",SUM($O61)&lt;=0),"",100%)</f>
        <v>1</v>
      </c>
      <c r="U61" s="115" t="n">
        <f aca="false">IF(OR($C61="18+",$C61="18-20",(SUM($R61)+SUM($S61))=0),"",ROUND(SUM($R61,$S61)*$T61,0))</f>
        <v>13</v>
      </c>
    </row>
    <row r="62" customFormat="false" ht="15" hidden="false" customHeight="false" outlineLevel="0" collapsed="false">
      <c r="A62" s="0" t="s">
        <v>144</v>
      </c>
      <c r="B62" s="0" t="s">
        <v>103</v>
      </c>
      <c r="C62" s="0" t="s">
        <v>83</v>
      </c>
      <c r="D62" s="0" t="s">
        <v>58</v>
      </c>
      <c r="E62" s="0" t="str">
        <f aca="false">B62&amp;"|"&amp;C62&amp;"|"&amp;D62</f>
        <v>Leribe [#SNU] [FjSmRywOWUp]|05-09|Male</v>
      </c>
      <c r="F62" s="73" t="n">
        <f aca="false">_xlfn.IFNA(INDEX(Cascade!$F:$F,MATCH($E62,Cascade!$E:$E,0)),"")</f>
        <v>19148</v>
      </c>
      <c r="H62" s="73" t="n">
        <v>44</v>
      </c>
      <c r="I62" s="73" t="n">
        <v>10</v>
      </c>
      <c r="J62" s="118" t="n">
        <f aca="false">IF(SUM($I62)&lt;=0,"",0%)</f>
        <v>0</v>
      </c>
      <c r="K62" s="118"/>
      <c r="L62" s="118"/>
      <c r="M62" s="118" t="n">
        <f aca="false">1-IF(NOT(AND($D62="Female",OR($C62="10-14",$C62="15-17"))),0,$K62)-IF(NOT(OR($C62="05-09",$C62="10-14")),0,$L62)</f>
        <v>1</v>
      </c>
      <c r="N62" s="118" t="n">
        <f aca="false">20%</f>
        <v>0.2</v>
      </c>
      <c r="O62" s="73" t="n">
        <f aca="false">IF(SUM($I62)&lt;=0,"",ROUND($I62*(1+$J62),0))</f>
        <v>10</v>
      </c>
      <c r="P62" s="75" t="str">
        <f aca="false">IF(OR(AND(SUM($K62)=0,SUM($O62)&lt;=0),NOT(AND($D62="Female",$G62="Y",OR($C62="10-14",$C62="15-17")))),"",ROUND($O62*$K62,0))</f>
        <v/>
      </c>
      <c r="Q62" s="75" t="n">
        <f aca="false">IF(OR(AND(SUM($L62)=0,SUM($O62)&lt;=0),NOT(OR($C62="10-14",$C62="05-09"))),"",ROUND($O62*$L62,0))</f>
        <v>0</v>
      </c>
      <c r="R62" s="75" t="n">
        <f aca="false">IF(SUM($O62)&lt;=0,"",ROUND($O62*$M62*$N62,0))</f>
        <v>2</v>
      </c>
      <c r="S62" s="75" t="n">
        <f aca="false">IF(SUM($O62)&lt;=0,"",($O62*$M62)-$R62)</f>
        <v>8</v>
      </c>
      <c r="T62" s="118" t="n">
        <f aca="false">IF(OR($C62="18+",$C62="18-20",SUM($O62)&lt;=0),"",100%)</f>
        <v>1</v>
      </c>
      <c r="U62" s="115" t="n">
        <f aca="false">IF(OR($C62="18+",$C62="18-20",(SUM($R62)+SUM($S62))=0),"",ROUND(SUM($R62,$S62)*$T62,0))</f>
        <v>10</v>
      </c>
    </row>
    <row r="63" customFormat="false" ht="15" hidden="false" customHeight="false" outlineLevel="0" collapsed="false">
      <c r="A63" s="0" t="s">
        <v>144</v>
      </c>
      <c r="B63" s="0" t="s">
        <v>103</v>
      </c>
      <c r="C63" s="0" t="s">
        <v>61</v>
      </c>
      <c r="D63" s="0" t="s">
        <v>56</v>
      </c>
      <c r="E63" s="0" t="str">
        <f aca="false">B63&amp;"|"&amp;C63&amp;"|"&amp;D63</f>
        <v>Leribe [#SNU] [FjSmRywOWUp]|10-14|Female</v>
      </c>
      <c r="F63" s="73" t="n">
        <f aca="false">_xlfn.IFNA(INDEX(Cascade!$F:$F,MATCH($E63,Cascade!$E:$E,0)),"")</f>
        <v>17911</v>
      </c>
      <c r="H63" s="73" t="n">
        <v>35</v>
      </c>
      <c r="I63" s="73" t="n">
        <v>3</v>
      </c>
      <c r="J63" s="118" t="n">
        <f aca="false">IF(SUM($I63)&lt;=0,"",0%)</f>
        <v>0</v>
      </c>
      <c r="K63" s="118"/>
      <c r="L63" s="118"/>
      <c r="M63" s="118" t="n">
        <f aca="false">1-IF(NOT(AND($D63="Female",OR($C63="10-14",$C63="15-17"))),0,$K63)-IF(NOT(OR($C63="05-09",$C63="10-14")),0,$L63)</f>
        <v>1</v>
      </c>
      <c r="N63" s="118" t="n">
        <f aca="false">20%</f>
        <v>0.2</v>
      </c>
      <c r="O63" s="73" t="n">
        <f aca="false">IF(SUM($I63)&lt;=0,"",ROUND($I63*(1+$J63),0))</f>
        <v>3</v>
      </c>
      <c r="P63" s="75" t="str">
        <f aca="false">IF(OR(AND(SUM($K63)=0,SUM($O63)&lt;=0),NOT(AND($D63="Female",$G63="Y",OR($C63="10-14",$C63="15-17")))),"",ROUND($O63*$K63,0))</f>
        <v/>
      </c>
      <c r="Q63" s="75" t="n">
        <f aca="false">IF(OR(AND(SUM($L63)=0,SUM($O63)&lt;=0),NOT(OR($C63="10-14",$C63="05-09"))),"",ROUND($O63*$L63,0))</f>
        <v>0</v>
      </c>
      <c r="R63" s="75" t="n">
        <f aca="false">IF(SUM($O63)&lt;=0,"",ROUND($O63*$M63*$N63,0))</f>
        <v>1</v>
      </c>
      <c r="S63" s="75" t="n">
        <f aca="false">IF(SUM($O63)&lt;=0,"",($O63*$M63)-$R63)</f>
        <v>2</v>
      </c>
      <c r="T63" s="118" t="n">
        <f aca="false">IF(OR($C63="18+",$C63="18-20",SUM($O63)&lt;=0),"",100%)</f>
        <v>1</v>
      </c>
      <c r="U63" s="115" t="n">
        <f aca="false">IF(OR($C63="18+",$C63="18-20",(SUM($R63)+SUM($S63))=0),"",ROUND(SUM($R63,$S63)*$T63,0))</f>
        <v>3</v>
      </c>
    </row>
    <row r="64" customFormat="false" ht="15" hidden="false" customHeight="false" outlineLevel="0" collapsed="false">
      <c r="A64" s="0" t="s">
        <v>144</v>
      </c>
      <c r="B64" s="0" t="s">
        <v>103</v>
      </c>
      <c r="C64" s="0" t="s">
        <v>61</v>
      </c>
      <c r="D64" s="0" t="s">
        <v>58</v>
      </c>
      <c r="E64" s="0" t="str">
        <f aca="false">B64&amp;"|"&amp;C64&amp;"|"&amp;D64</f>
        <v>Leribe [#SNU] [FjSmRywOWUp]|10-14|Male</v>
      </c>
      <c r="F64" s="73" t="n">
        <f aca="false">_xlfn.IFNA(INDEX(Cascade!$F:$F,MATCH($E64,Cascade!$E:$E,0)),"")</f>
        <v>17398</v>
      </c>
      <c r="H64" s="73" t="n">
        <v>48</v>
      </c>
      <c r="I64" s="73" t="n">
        <v>19</v>
      </c>
      <c r="J64" s="118" t="n">
        <f aca="false">IF(SUM($I64)&lt;=0,"",0%)</f>
        <v>0</v>
      </c>
      <c r="K64" s="118"/>
      <c r="L64" s="118"/>
      <c r="M64" s="118" t="n">
        <f aca="false">1-IF(NOT(AND($D64="Female",OR($C64="10-14",$C64="15-17"))),0,$K64)-IF(NOT(OR($C64="05-09",$C64="10-14")),0,$L64)</f>
        <v>1</v>
      </c>
      <c r="N64" s="118" t="n">
        <f aca="false">20%</f>
        <v>0.2</v>
      </c>
      <c r="O64" s="73" t="n">
        <f aca="false">IF(SUM($I64)&lt;=0,"",ROUND($I64*(1+$J64),0))</f>
        <v>19</v>
      </c>
      <c r="P64" s="75" t="str">
        <f aca="false">IF(OR(AND(SUM($K64)=0,SUM($O64)&lt;=0),NOT(AND($D64="Female",$G64="Y",OR($C64="10-14",$C64="15-17")))),"",ROUND($O64*$K64,0))</f>
        <v/>
      </c>
      <c r="Q64" s="75" t="n">
        <f aca="false">IF(OR(AND(SUM($L64)=0,SUM($O64)&lt;=0),NOT(OR($C64="10-14",$C64="05-09"))),"",ROUND($O64*$L64,0))</f>
        <v>0</v>
      </c>
      <c r="R64" s="75" t="n">
        <f aca="false">IF(SUM($O64)&lt;=0,"",ROUND($O64*$M64*$N64,0))</f>
        <v>4</v>
      </c>
      <c r="S64" s="75" t="n">
        <f aca="false">IF(SUM($O64)&lt;=0,"",($O64*$M64)-$R64)</f>
        <v>15</v>
      </c>
      <c r="T64" s="118" t="n">
        <f aca="false">IF(OR($C64="18+",$C64="18-20",SUM($O64)&lt;=0),"",100%)</f>
        <v>1</v>
      </c>
      <c r="U64" s="115" t="n">
        <f aca="false">IF(OR($C64="18+",$C64="18-20",(SUM($R64)+SUM($S64))=0),"",ROUND(SUM($R64,$S64)*$T64,0))</f>
        <v>19</v>
      </c>
    </row>
    <row r="65" customFormat="false" ht="15" hidden="false" customHeight="false" outlineLevel="0" collapsed="false">
      <c r="A65" s="0" t="s">
        <v>144</v>
      </c>
      <c r="B65" s="0" t="s">
        <v>103</v>
      </c>
      <c r="C65" s="0" t="s">
        <v>882</v>
      </c>
      <c r="D65" s="0" t="s">
        <v>56</v>
      </c>
      <c r="E65" s="0" t="str">
        <f aca="false">B65&amp;"|"&amp;C65&amp;"|"&amp;D65</f>
        <v>Leribe [#SNU] [FjSmRywOWUp]|15-17|Female</v>
      </c>
      <c r="F65" s="73" t="str">
        <f aca="false">_xlfn.IFNA(INDEX(Cascade!$F:$F,MATCH($E65,Cascade!$E:$E,0)),"")</f>
        <v/>
      </c>
      <c r="H65" s="73" t="n">
        <v>48</v>
      </c>
      <c r="I65" s="73" t="n">
        <v>40</v>
      </c>
      <c r="J65" s="118" t="n">
        <f aca="false">IF(SUM($I65)&lt;=0,"",0%)</f>
        <v>0</v>
      </c>
      <c r="K65" s="118"/>
      <c r="L65" s="118"/>
      <c r="M65" s="118" t="n">
        <f aca="false">1-IF(NOT(AND($D65="Female",OR($C65="10-14",$C65="15-17"))),0,$K65)-IF(NOT(OR($C65="05-09",$C65="10-14")),0,$L65)</f>
        <v>1</v>
      </c>
      <c r="N65" s="118" t="n">
        <f aca="false">20%</f>
        <v>0.2</v>
      </c>
      <c r="O65" s="73" t="n">
        <f aca="false">IF(SUM($I65)&lt;=0,"",ROUND($I65*(1+$J65),0))</f>
        <v>40</v>
      </c>
      <c r="P65" s="75" t="str">
        <f aca="false">IF(OR(AND(SUM($K65)=0,SUM($O65)&lt;=0),NOT(AND($D65="Female",$G65="Y",OR($C65="10-14",$C65="15-17")))),"",ROUND($O65*$K65,0))</f>
        <v/>
      </c>
      <c r="Q65" s="75" t="str">
        <f aca="false">IF(OR(AND(SUM($L65)=0,SUM($O65)&lt;=0),NOT(OR($C65="10-14",$C65="05-09"))),"",ROUND($O65*$L65,0))</f>
        <v/>
      </c>
      <c r="R65" s="75" t="n">
        <f aca="false">IF(SUM($O65)&lt;=0,"",ROUND($O65*$M65*$N65,0))</f>
        <v>8</v>
      </c>
      <c r="S65" s="75" t="n">
        <f aca="false">IF(SUM($O65)&lt;=0,"",($O65*$M65)-$R65)</f>
        <v>32</v>
      </c>
      <c r="T65" s="118" t="n">
        <f aca="false">IF(OR($C65="18+",$C65="18-20",SUM($O65)&lt;=0),"",100%)</f>
        <v>1</v>
      </c>
      <c r="U65" s="115" t="n">
        <f aca="false">IF(OR($C65="18+",$C65="18-20",(SUM($R65)+SUM($S65))=0),"",ROUND(SUM($R65,$S65)*$T65,0))</f>
        <v>40</v>
      </c>
    </row>
    <row r="66" customFormat="false" ht="15" hidden="false" customHeight="false" outlineLevel="0" collapsed="false">
      <c r="A66" s="0" t="s">
        <v>144</v>
      </c>
      <c r="B66" s="0" t="s">
        <v>103</v>
      </c>
      <c r="C66" s="0" t="s">
        <v>882</v>
      </c>
      <c r="D66" s="0" t="s">
        <v>58</v>
      </c>
      <c r="E66" s="0" t="str">
        <f aca="false">B66&amp;"|"&amp;C66&amp;"|"&amp;D66</f>
        <v>Leribe [#SNU] [FjSmRywOWUp]|15-17|Male</v>
      </c>
      <c r="F66" s="73" t="str">
        <f aca="false">_xlfn.IFNA(INDEX(Cascade!$F:$F,MATCH($E66,Cascade!$E:$E,0)),"")</f>
        <v/>
      </c>
      <c r="H66" s="73" t="n">
        <v>2</v>
      </c>
      <c r="I66" s="73" t="n">
        <v>20</v>
      </c>
      <c r="J66" s="118" t="n">
        <f aca="false">IF(SUM($I66)&lt;=0,"",0%)</f>
        <v>0</v>
      </c>
      <c r="K66" s="118"/>
      <c r="L66" s="118"/>
      <c r="M66" s="118" t="n">
        <f aca="false">1-IF(NOT(AND($D66="Female",OR($C66="10-14",$C66="15-17"))),0,$K66)-IF(NOT(OR($C66="05-09",$C66="10-14")),0,$L66)</f>
        <v>1</v>
      </c>
      <c r="N66" s="118" t="n">
        <f aca="false">20%</f>
        <v>0.2</v>
      </c>
      <c r="O66" s="73" t="n">
        <f aca="false">IF(SUM($I66)&lt;=0,"",ROUND($I66*(1+$J66),0))</f>
        <v>20</v>
      </c>
      <c r="P66" s="75" t="str">
        <f aca="false">IF(OR(AND(SUM($K66)=0,SUM($O66)&lt;=0),NOT(AND($D66="Female",$G66="Y",OR($C66="10-14",$C66="15-17")))),"",ROUND($O66*$K66,0))</f>
        <v/>
      </c>
      <c r="Q66" s="75" t="str">
        <f aca="false">IF(OR(AND(SUM($L66)=0,SUM($O66)&lt;=0),NOT(OR($C66="10-14",$C66="05-09"))),"",ROUND($O66*$L66,0))</f>
        <v/>
      </c>
      <c r="R66" s="75" t="n">
        <f aca="false">IF(SUM($O66)&lt;=0,"",ROUND($O66*$M66*$N66,0))</f>
        <v>4</v>
      </c>
      <c r="S66" s="75" t="n">
        <f aca="false">IF(SUM($O66)&lt;=0,"",($O66*$M66)-$R66)</f>
        <v>16</v>
      </c>
      <c r="T66" s="118" t="n">
        <f aca="false">IF(OR($C66="18+",$C66="18-20",SUM($O66)&lt;=0),"",100%)</f>
        <v>1</v>
      </c>
      <c r="U66" s="115" t="n">
        <f aca="false">IF(OR($C66="18+",$C66="18-20",(SUM($R66)+SUM($S66))=0),"",ROUND(SUM($R66,$S66)*$T66,0))</f>
        <v>20</v>
      </c>
    </row>
    <row r="67" customFormat="false" ht="15" hidden="false" customHeight="false" outlineLevel="0" collapsed="false">
      <c r="A67" s="0" t="s">
        <v>144</v>
      </c>
      <c r="B67" s="0" t="s">
        <v>103</v>
      </c>
      <c r="C67" s="0" t="s">
        <v>883</v>
      </c>
      <c r="D67" s="0" t="s">
        <v>56</v>
      </c>
      <c r="E67" s="0" t="str">
        <f aca="false">B67&amp;"|"&amp;C67&amp;"|"&amp;D67</f>
        <v>Leribe [#SNU] [FjSmRywOWUp]|18-20|Female</v>
      </c>
      <c r="F67" s="73" t="str">
        <f aca="false">_xlfn.IFNA(INDEX(Cascade!$F:$F,MATCH($E67,Cascade!$E:$E,0)),"")</f>
        <v/>
      </c>
      <c r="H67" s="73"/>
      <c r="I67" s="73"/>
      <c r="J67" s="118" t="str">
        <f aca="false">IF(SUM($I67)&lt;=0,"",0%)</f>
        <v/>
      </c>
      <c r="K67" s="118"/>
      <c r="L67" s="118"/>
      <c r="M67" s="118" t="n">
        <f aca="false">1-IF(NOT(AND($D67="Female",OR($C67="10-14",$C67="15-17"))),0,$K67)-IF(NOT(OR($C67="05-09",$C67="10-14")),0,$L67)</f>
        <v>1</v>
      </c>
      <c r="N67" s="118" t="n">
        <f aca="false">20%</f>
        <v>0.2</v>
      </c>
      <c r="O67" s="73" t="str">
        <f aca="false">IF(SUM($I67)&lt;=0,"",ROUND($I67*(1+$J67),0))</f>
        <v/>
      </c>
      <c r="P67" s="75" t="str">
        <f aca="false">IF(OR(AND(SUM($K67)=0,SUM($O67)&lt;=0),NOT(AND($D67="Female",$G67="Y",OR($C67="10-14",$C67="15-17")))),"",ROUND($O67*$K67,0))</f>
        <v/>
      </c>
      <c r="Q67" s="75" t="str">
        <f aca="false">IF(OR(AND(SUM($L67)=0,SUM($O67)&lt;=0),NOT(OR($C67="10-14",$C67="05-09"))),"",ROUND($O67*$L67,0))</f>
        <v/>
      </c>
      <c r="R67" s="75" t="str">
        <f aca="false">IF(SUM($O67)&lt;=0,"",ROUND($O67*$M67*$N67,0))</f>
        <v/>
      </c>
      <c r="S67" s="75" t="str">
        <f aca="false">IF(SUM($O67)&lt;=0,"",($O67*$M67)-$R67)</f>
        <v/>
      </c>
      <c r="T67" s="118" t="str">
        <f aca="false">IF(OR($C67="18+",$C67="18-20",SUM($O67)&lt;=0),"",100%)</f>
        <v/>
      </c>
      <c r="U67" s="115" t="str">
        <f aca="false">IF(OR($C67="18+",$C67="18-20",(SUM($R67)+SUM($S67))=0),"",ROUND(SUM($R67,$S67)*$T67,0))</f>
        <v/>
      </c>
    </row>
    <row r="68" customFormat="false" ht="15" hidden="false" customHeight="false" outlineLevel="0" collapsed="false">
      <c r="A68" s="0" t="s">
        <v>144</v>
      </c>
      <c r="B68" s="0" t="s">
        <v>103</v>
      </c>
      <c r="C68" s="0" t="s">
        <v>883</v>
      </c>
      <c r="D68" s="0" t="s">
        <v>58</v>
      </c>
      <c r="E68" s="0" t="str">
        <f aca="false">B68&amp;"|"&amp;C68&amp;"|"&amp;D68</f>
        <v>Leribe [#SNU] [FjSmRywOWUp]|18-20|Male</v>
      </c>
      <c r="F68" s="73" t="str">
        <f aca="false">_xlfn.IFNA(INDEX(Cascade!$F:$F,MATCH($E68,Cascade!$E:$E,0)),"")</f>
        <v/>
      </c>
      <c r="H68" s="73"/>
      <c r="I68" s="73"/>
      <c r="J68" s="118" t="str">
        <f aca="false">IF(SUM($I68)&lt;=0,"",0%)</f>
        <v/>
      </c>
      <c r="K68" s="118"/>
      <c r="L68" s="118"/>
      <c r="M68" s="118" t="n">
        <f aca="false">1-IF(NOT(AND($D68="Female",OR($C68="10-14",$C68="15-17"))),0,$K68)-IF(NOT(OR($C68="05-09",$C68="10-14")),0,$L68)</f>
        <v>1</v>
      </c>
      <c r="N68" s="118" t="n">
        <f aca="false">20%</f>
        <v>0.2</v>
      </c>
      <c r="O68" s="73" t="str">
        <f aca="false">IF(SUM($I68)&lt;=0,"",ROUND($I68*(1+$J68),0))</f>
        <v/>
      </c>
      <c r="P68" s="75" t="str">
        <f aca="false">IF(OR(AND(SUM($K68)=0,SUM($O68)&lt;=0),NOT(AND($D68="Female",$G68="Y",OR($C68="10-14",$C68="15-17")))),"",ROUND($O68*$K68,0))</f>
        <v/>
      </c>
      <c r="Q68" s="75" t="str">
        <f aca="false">IF(OR(AND(SUM($L68)=0,SUM($O68)&lt;=0),NOT(OR($C68="10-14",$C68="05-09"))),"",ROUND($O68*$L68,0))</f>
        <v/>
      </c>
      <c r="R68" s="75" t="str">
        <f aca="false">IF(SUM($O68)&lt;=0,"",ROUND($O68*$M68*$N68,0))</f>
        <v/>
      </c>
      <c r="S68" s="75" t="str">
        <f aca="false">IF(SUM($O68)&lt;=0,"",($O68*$M68)-$R68)</f>
        <v/>
      </c>
      <c r="T68" s="118" t="str">
        <f aca="false">IF(OR($C68="18+",$C68="18-20",SUM($O68)&lt;=0),"",100%)</f>
        <v/>
      </c>
      <c r="U68" s="115" t="str">
        <f aca="false">IF(OR($C68="18+",$C68="18-20",(SUM($R68)+SUM($S68))=0),"",ROUND(SUM($R68,$S68)*$T68,0))</f>
        <v/>
      </c>
    </row>
    <row r="69" customFormat="false" ht="15" hidden="false" customHeight="false" outlineLevel="0" collapsed="false">
      <c r="A69" s="0" t="s">
        <v>144</v>
      </c>
      <c r="B69" s="0" t="s">
        <v>103</v>
      </c>
      <c r="C69" s="0" t="s">
        <v>884</v>
      </c>
      <c r="D69" s="0" t="s">
        <v>56</v>
      </c>
      <c r="E69" s="0" t="str">
        <f aca="false">B69&amp;"|"&amp;C69&amp;"|"&amp;D69</f>
        <v>Leribe [#SNU] [FjSmRywOWUp]|18+|Female</v>
      </c>
      <c r="F69" s="73" t="str">
        <f aca="false">_xlfn.IFNA(INDEX(Cascade!$F:$F,MATCH($E69,Cascade!$E:$E,0)),"")</f>
        <v/>
      </c>
      <c r="H69" s="73" t="n">
        <v>10</v>
      </c>
      <c r="I69" s="73" t="n">
        <v>12</v>
      </c>
      <c r="J69" s="118" t="n">
        <f aca="false">IF(SUM($I69)&lt;=0,"",0%)</f>
        <v>0</v>
      </c>
      <c r="K69" s="118"/>
      <c r="L69" s="118"/>
      <c r="M69" s="118" t="n">
        <f aca="false">1-IF(NOT(AND($D69="Female",OR($C69="10-14",$C69="15-17"))),0,$K69)-IF(NOT(OR($C69="05-09",$C69="10-14")),0,$L69)</f>
        <v>1</v>
      </c>
      <c r="N69" s="118" t="n">
        <f aca="false">20%</f>
        <v>0.2</v>
      </c>
      <c r="O69" s="73" t="n">
        <f aca="false">IF(SUM($I69)&lt;=0,"",ROUND($I69*(1+$J69),0))</f>
        <v>12</v>
      </c>
      <c r="P69" s="75" t="str">
        <f aca="false">IF(OR(AND(SUM($K69)=0,SUM($O69)&lt;=0),NOT(AND($D69="Female",$G69="Y",OR($C69="10-14",$C69="15-17")))),"",ROUND($O69*$K69,0))</f>
        <v/>
      </c>
      <c r="Q69" s="75" t="str">
        <f aca="false">IF(OR(AND(SUM($L69)=0,SUM($O69)&lt;=0),NOT(OR($C69="10-14",$C69="05-09"))),"",ROUND($O69*$L69,0))</f>
        <v/>
      </c>
      <c r="R69" s="75" t="n">
        <f aca="false">IF(SUM($O69)&lt;=0,"",ROUND($O69*$M69*$N69,0))</f>
        <v>2</v>
      </c>
      <c r="S69" s="75" t="n">
        <f aca="false">IF(SUM($O69)&lt;=0,"",($O69*$M69)-$R69)</f>
        <v>10</v>
      </c>
      <c r="T69" s="118" t="str">
        <f aca="false">IF(OR($C69="18+",$C69="18-20",SUM($O69)&lt;=0),"",100%)</f>
        <v/>
      </c>
      <c r="U69" s="115" t="str">
        <f aca="false">IF(OR($C69="18+",$C69="18-20",(SUM($R69)+SUM($S69))=0),"",ROUND(SUM($R69,$S69)*$T69,0))</f>
        <v/>
      </c>
    </row>
    <row r="70" customFormat="false" ht="15" hidden="false" customHeight="false" outlineLevel="0" collapsed="false">
      <c r="A70" s="0" t="s">
        <v>144</v>
      </c>
      <c r="B70" s="0" t="s">
        <v>103</v>
      </c>
      <c r="C70" s="0" t="s">
        <v>884</v>
      </c>
      <c r="D70" s="0" t="s">
        <v>58</v>
      </c>
      <c r="E70" s="0" t="str">
        <f aca="false">B70&amp;"|"&amp;C70&amp;"|"&amp;D70</f>
        <v>Leribe [#SNU] [FjSmRywOWUp]|18+|Male</v>
      </c>
      <c r="F70" s="73" t="str">
        <f aca="false">_xlfn.IFNA(INDEX(Cascade!$F:$F,MATCH($E70,Cascade!$E:$E,0)),"")</f>
        <v/>
      </c>
      <c r="H70" s="73" t="n">
        <v>40</v>
      </c>
      <c r="I70" s="73" t="n">
        <v>33</v>
      </c>
      <c r="J70" s="118" t="n">
        <f aca="false">IF(SUM($I70)&lt;=0,"",0%)</f>
        <v>0</v>
      </c>
      <c r="K70" s="118"/>
      <c r="L70" s="118"/>
      <c r="M70" s="118" t="n">
        <f aca="false">1-IF(NOT(AND($D70="Female",OR($C70="10-14",$C70="15-17"))),0,$K70)-IF(NOT(OR($C70="05-09",$C70="10-14")),0,$L70)</f>
        <v>1</v>
      </c>
      <c r="N70" s="118" t="n">
        <f aca="false">20%</f>
        <v>0.2</v>
      </c>
      <c r="O70" s="73" t="n">
        <f aca="false">IF(SUM($I70)&lt;=0,"",ROUND($I70*(1+$J70),0))</f>
        <v>33</v>
      </c>
      <c r="P70" s="75" t="str">
        <f aca="false">IF(OR(AND(SUM($K70)=0,SUM($O70)&lt;=0),NOT(AND($D70="Female",$G70="Y",OR($C70="10-14",$C70="15-17")))),"",ROUND($O70*$K70,0))</f>
        <v/>
      </c>
      <c r="Q70" s="75" t="str">
        <f aca="false">IF(OR(AND(SUM($L70)=0,SUM($O70)&lt;=0),NOT(OR($C70="10-14",$C70="05-09"))),"",ROUND($O70*$L70,0))</f>
        <v/>
      </c>
      <c r="R70" s="75" t="n">
        <f aca="false">IF(SUM($O70)&lt;=0,"",ROUND($O70*$M70*$N70,0))</f>
        <v>7</v>
      </c>
      <c r="S70" s="75" t="n">
        <f aca="false">IF(SUM($O70)&lt;=0,"",($O70*$M70)-$R70)</f>
        <v>26</v>
      </c>
      <c r="T70" s="118" t="str">
        <f aca="false">IF(OR($C70="18+",$C70="18-20",SUM($O70)&lt;=0),"",100%)</f>
        <v/>
      </c>
      <c r="U70" s="115" t="str">
        <f aca="false">IF(OR($C70="18+",$C70="18-20",(SUM($R70)+SUM($S70))=0),"",ROUND(SUM($R70,$S70)*$T70,0))</f>
        <v/>
      </c>
    </row>
    <row r="71" customFormat="false" ht="15" hidden="false" customHeight="false" outlineLevel="0" collapsed="false">
      <c r="A71" s="0" t="s">
        <v>145</v>
      </c>
      <c r="B71" s="0" t="s">
        <v>107</v>
      </c>
      <c r="C71" s="0" t="s">
        <v>89</v>
      </c>
      <c r="D71" s="0" t="s">
        <v>56</v>
      </c>
      <c r="E71" s="0" t="str">
        <f aca="false">B71&amp;"|"&amp;C71&amp;"|"&amp;D71</f>
        <v>Mafeteng [#SNU] [#DREAMS] [DiFv5WXIHM5]|&lt;01|Female</v>
      </c>
      <c r="F71" s="73" t="n">
        <f aca="false">_xlfn.IFNA(INDEX(Cascade!$F:$F,MATCH($E71,Cascade!$E:$E,0)),"")</f>
        <v>1393</v>
      </c>
      <c r="G71" s="0" t="s">
        <v>886</v>
      </c>
      <c r="H71" s="73" t="n">
        <v>10</v>
      </c>
      <c r="I71" s="73" t="n">
        <v>2</v>
      </c>
      <c r="J71" s="118" t="n">
        <f aca="false">IF(SUM($I71)&lt;=0,"",0%)</f>
        <v>0</v>
      </c>
      <c r="K71" s="118"/>
      <c r="L71" s="118"/>
      <c r="M71" s="118" t="n">
        <f aca="false">1-IF(NOT(AND($D71="Female",OR($C71="10-14",$C71="15-17"))),0,$K71)-IF(NOT(OR($C71="05-09",$C71="10-14")),0,$L71)</f>
        <v>1</v>
      </c>
      <c r="N71" s="118" t="n">
        <f aca="false">20%</f>
        <v>0.2</v>
      </c>
      <c r="O71" s="73" t="n">
        <f aca="false">IF(SUM($I71)&lt;=0,"",ROUND($I71*(1+$J71),0))</f>
        <v>2</v>
      </c>
      <c r="P71" s="75" t="str">
        <f aca="false">IF(OR(AND(SUM($K71)=0,SUM($O71)&lt;=0),NOT(AND($D71="Female",$G71="Y",OR($C71="10-14",$C71="15-17")))),"",ROUND($O71*$K71,0))</f>
        <v/>
      </c>
      <c r="Q71" s="75" t="str">
        <f aca="false">IF(OR(AND(SUM($L71)=0,SUM($O71)&lt;=0),NOT(OR($C71="10-14",$C71="05-09"))),"",ROUND($O71*$L71,0))</f>
        <v/>
      </c>
      <c r="R71" s="75" t="n">
        <f aca="false">IF(SUM($O71)&lt;=0,"",ROUND($O71*$M71*$N71,0))</f>
        <v>0</v>
      </c>
      <c r="S71" s="75" t="n">
        <f aca="false">IF(SUM($O71)&lt;=0,"",($O71*$M71)-$R71)</f>
        <v>2</v>
      </c>
      <c r="T71" s="118" t="n">
        <f aca="false">IF(OR($C71="18+",$C71="18-20",SUM($O71)&lt;=0),"",100%)</f>
        <v>1</v>
      </c>
      <c r="U71" s="115" t="n">
        <f aca="false">IF(OR($C71="18+",$C71="18-20",(SUM($R71)+SUM($S71))=0),"",ROUND(SUM($R71,$S71)*$T71,0))</f>
        <v>2</v>
      </c>
    </row>
    <row r="72" customFormat="false" ht="15" hidden="false" customHeight="false" outlineLevel="0" collapsed="false">
      <c r="A72" s="0" t="s">
        <v>145</v>
      </c>
      <c r="B72" s="0" t="s">
        <v>107</v>
      </c>
      <c r="C72" s="0" t="s">
        <v>89</v>
      </c>
      <c r="D72" s="0" t="s">
        <v>58</v>
      </c>
      <c r="E72" s="0" t="str">
        <f aca="false">B72&amp;"|"&amp;C72&amp;"|"&amp;D72</f>
        <v>Mafeteng [#SNU] [#DREAMS] [DiFv5WXIHM5]|&lt;01|Male</v>
      </c>
      <c r="F72" s="73" t="n">
        <f aca="false">_xlfn.IFNA(INDEX(Cascade!$F:$F,MATCH($E72,Cascade!$E:$E,0)),"")</f>
        <v>1462</v>
      </c>
      <c r="G72" s="0" t="s">
        <v>886</v>
      </c>
      <c r="H72" s="73" t="n">
        <v>34</v>
      </c>
      <c r="I72" s="73" t="n">
        <v>15</v>
      </c>
      <c r="J72" s="118" t="n">
        <f aca="false">IF(SUM($I72)&lt;=0,"",0%)</f>
        <v>0</v>
      </c>
      <c r="K72" s="118"/>
      <c r="L72" s="118"/>
      <c r="M72" s="118" t="n">
        <f aca="false">1-IF(NOT(AND($D72="Female",OR($C72="10-14",$C72="15-17"))),0,$K72)-IF(NOT(OR($C72="05-09",$C72="10-14")),0,$L72)</f>
        <v>1</v>
      </c>
      <c r="N72" s="118" t="n">
        <f aca="false">20%</f>
        <v>0.2</v>
      </c>
      <c r="O72" s="73" t="n">
        <f aca="false">IF(SUM($I72)&lt;=0,"",ROUND($I72*(1+$J72),0))</f>
        <v>15</v>
      </c>
      <c r="P72" s="75" t="str">
        <f aca="false">IF(OR(AND(SUM($K72)=0,SUM($O72)&lt;=0),NOT(AND($D72="Female",$G72="Y",OR($C72="10-14",$C72="15-17")))),"",ROUND($O72*$K72,0))</f>
        <v/>
      </c>
      <c r="Q72" s="75" t="str">
        <f aca="false">IF(OR(AND(SUM($L72)=0,SUM($O72)&lt;=0),NOT(OR($C72="10-14",$C72="05-09"))),"",ROUND($O72*$L72,0))</f>
        <v/>
      </c>
      <c r="R72" s="75" t="n">
        <f aca="false">IF(SUM($O72)&lt;=0,"",ROUND($O72*$M72*$N72,0))</f>
        <v>3</v>
      </c>
      <c r="S72" s="75" t="n">
        <f aca="false">IF(SUM($O72)&lt;=0,"",($O72*$M72)-$R72)</f>
        <v>12</v>
      </c>
      <c r="T72" s="118" t="n">
        <f aca="false">IF(OR($C72="18+",$C72="18-20",SUM($O72)&lt;=0),"",100%)</f>
        <v>1</v>
      </c>
      <c r="U72" s="115" t="n">
        <f aca="false">IF(OR($C72="18+",$C72="18-20",(SUM($R72)+SUM($S72))=0),"",ROUND(SUM($R72,$S72)*$T72,0))</f>
        <v>15</v>
      </c>
    </row>
    <row r="73" customFormat="false" ht="15" hidden="false" customHeight="false" outlineLevel="0" collapsed="false">
      <c r="A73" s="0" t="s">
        <v>145</v>
      </c>
      <c r="B73" s="0" t="s">
        <v>107</v>
      </c>
      <c r="C73" s="0" t="s">
        <v>54</v>
      </c>
      <c r="D73" s="0" t="s">
        <v>56</v>
      </c>
      <c r="E73" s="0" t="str">
        <f aca="false">B73&amp;"|"&amp;C73&amp;"|"&amp;D73</f>
        <v>Mafeteng [#SNU] [#DREAMS] [DiFv5WXIHM5]|01-04|Female</v>
      </c>
      <c r="F73" s="73" t="n">
        <f aca="false">_xlfn.IFNA(INDEX(Cascade!$F:$F,MATCH($E73,Cascade!$E:$E,0)),"")</f>
        <v>6472</v>
      </c>
      <c r="G73" s="0" t="s">
        <v>886</v>
      </c>
      <c r="H73" s="73" t="n">
        <v>15</v>
      </c>
      <c r="I73" s="73" t="n">
        <v>22</v>
      </c>
      <c r="J73" s="118" t="n">
        <f aca="false">IF(SUM($I73)&lt;=0,"",0%)</f>
        <v>0</v>
      </c>
      <c r="K73" s="118"/>
      <c r="L73" s="118"/>
      <c r="M73" s="118" t="n">
        <f aca="false">1-IF(NOT(AND($D73="Female",OR($C73="10-14",$C73="15-17"))),0,$K73)-IF(NOT(OR($C73="05-09",$C73="10-14")),0,$L73)</f>
        <v>1</v>
      </c>
      <c r="N73" s="118" t="n">
        <f aca="false">20%</f>
        <v>0.2</v>
      </c>
      <c r="O73" s="73" t="n">
        <f aca="false">IF(SUM($I73)&lt;=0,"",ROUND($I73*(1+$J73),0))</f>
        <v>22</v>
      </c>
      <c r="P73" s="75" t="str">
        <f aca="false">IF(OR(AND(SUM($K73)=0,SUM($O73)&lt;=0),NOT(AND($D73="Female",$G73="Y",OR($C73="10-14",$C73="15-17")))),"",ROUND($O73*$K73,0))</f>
        <v/>
      </c>
      <c r="Q73" s="75" t="str">
        <f aca="false">IF(OR(AND(SUM($L73)=0,SUM($O73)&lt;=0),NOT(OR($C73="10-14",$C73="05-09"))),"",ROUND($O73*$L73,0))</f>
        <v/>
      </c>
      <c r="R73" s="75" t="n">
        <f aca="false">IF(SUM($O73)&lt;=0,"",ROUND($O73*$M73*$N73,0))</f>
        <v>4</v>
      </c>
      <c r="S73" s="75" t="n">
        <f aca="false">IF(SUM($O73)&lt;=0,"",($O73*$M73)-$R73)</f>
        <v>18</v>
      </c>
      <c r="T73" s="118" t="n">
        <f aca="false">IF(OR($C73="18+",$C73="18-20",SUM($O73)&lt;=0),"",100%)</f>
        <v>1</v>
      </c>
      <c r="U73" s="115" t="n">
        <f aca="false">IF(OR($C73="18+",$C73="18-20",(SUM($R73)+SUM($S73))=0),"",ROUND(SUM($R73,$S73)*$T73,0))</f>
        <v>22</v>
      </c>
    </row>
    <row r="74" customFormat="false" ht="15" hidden="false" customHeight="false" outlineLevel="0" collapsed="false">
      <c r="A74" s="0" t="s">
        <v>145</v>
      </c>
      <c r="B74" s="0" t="s">
        <v>107</v>
      </c>
      <c r="C74" s="0" t="s">
        <v>54</v>
      </c>
      <c r="D74" s="0" t="s">
        <v>58</v>
      </c>
      <c r="E74" s="0" t="str">
        <f aca="false">B74&amp;"|"&amp;C74&amp;"|"&amp;D74</f>
        <v>Mafeteng [#SNU] [#DREAMS] [DiFv5WXIHM5]|01-04|Male</v>
      </c>
      <c r="F74" s="73" t="n">
        <f aca="false">_xlfn.IFNA(INDEX(Cascade!$F:$F,MATCH($E74,Cascade!$E:$E,0)),"")</f>
        <v>6794</v>
      </c>
      <c r="G74" s="0" t="s">
        <v>886</v>
      </c>
      <c r="H74" s="73" t="n">
        <v>33</v>
      </c>
      <c r="I74" s="73" t="n">
        <v>11</v>
      </c>
      <c r="J74" s="118" t="n">
        <f aca="false">IF(SUM($I74)&lt;=0,"",0%)</f>
        <v>0</v>
      </c>
      <c r="K74" s="118"/>
      <c r="L74" s="118"/>
      <c r="M74" s="118" t="n">
        <f aca="false">1-IF(NOT(AND($D74="Female",OR($C74="10-14",$C74="15-17"))),0,$K74)-IF(NOT(OR($C74="05-09",$C74="10-14")),0,$L74)</f>
        <v>1</v>
      </c>
      <c r="N74" s="118" t="n">
        <f aca="false">20%</f>
        <v>0.2</v>
      </c>
      <c r="O74" s="73" t="n">
        <f aca="false">IF(SUM($I74)&lt;=0,"",ROUND($I74*(1+$J74),0))</f>
        <v>11</v>
      </c>
      <c r="P74" s="75" t="str">
        <f aca="false">IF(OR(AND(SUM($K74)=0,SUM($O74)&lt;=0),NOT(AND($D74="Female",$G74="Y",OR($C74="10-14",$C74="15-17")))),"",ROUND($O74*$K74,0))</f>
        <v/>
      </c>
      <c r="Q74" s="75" t="str">
        <f aca="false">IF(OR(AND(SUM($L74)=0,SUM($O74)&lt;=0),NOT(OR($C74="10-14",$C74="05-09"))),"",ROUND($O74*$L74,0))</f>
        <v/>
      </c>
      <c r="R74" s="75" t="n">
        <f aca="false">IF(SUM($O74)&lt;=0,"",ROUND($O74*$M74*$N74,0))</f>
        <v>2</v>
      </c>
      <c r="S74" s="75" t="n">
        <f aca="false">IF(SUM($O74)&lt;=0,"",($O74*$M74)-$R74)</f>
        <v>9</v>
      </c>
      <c r="T74" s="118" t="n">
        <f aca="false">IF(OR($C74="18+",$C74="18-20",SUM($O74)&lt;=0),"",100%)</f>
        <v>1</v>
      </c>
      <c r="U74" s="115" t="n">
        <f aca="false">IF(OR($C74="18+",$C74="18-20",(SUM($R74)+SUM($S74))=0),"",ROUND(SUM($R74,$S74)*$T74,0))</f>
        <v>11</v>
      </c>
    </row>
    <row r="75" customFormat="false" ht="15" hidden="false" customHeight="false" outlineLevel="0" collapsed="false">
      <c r="A75" s="0" t="s">
        <v>145</v>
      </c>
      <c r="B75" s="0" t="s">
        <v>107</v>
      </c>
      <c r="C75" s="0" t="s">
        <v>83</v>
      </c>
      <c r="D75" s="0" t="s">
        <v>56</v>
      </c>
      <c r="E75" s="0" t="str">
        <f aca="false">B75&amp;"|"&amp;C75&amp;"|"&amp;D75</f>
        <v>Mafeteng [#SNU] [#DREAMS] [DiFv5WXIHM5]|05-09|Female</v>
      </c>
      <c r="F75" s="73" t="n">
        <f aca="false">_xlfn.IFNA(INDEX(Cascade!$F:$F,MATCH($E75,Cascade!$E:$E,0)),"")</f>
        <v>9345</v>
      </c>
      <c r="G75" s="0" t="s">
        <v>886</v>
      </c>
      <c r="H75" s="73" t="n">
        <v>24</v>
      </c>
      <c r="I75" s="73" t="n">
        <v>5</v>
      </c>
      <c r="J75" s="118" t="n">
        <f aca="false">IF(SUM($I75)&lt;=0,"",0%)</f>
        <v>0</v>
      </c>
      <c r="K75" s="118"/>
      <c r="L75" s="118"/>
      <c r="M75" s="118" t="n">
        <f aca="false">1-IF(NOT(AND($D75="Female",OR($C75="10-14",$C75="15-17"))),0,$K75)-IF(NOT(OR($C75="05-09",$C75="10-14")),0,$L75)</f>
        <v>1</v>
      </c>
      <c r="N75" s="118" t="n">
        <f aca="false">20%</f>
        <v>0.2</v>
      </c>
      <c r="O75" s="73" t="n">
        <f aca="false">IF(SUM($I75)&lt;=0,"",ROUND($I75*(1+$J75),0))</f>
        <v>5</v>
      </c>
      <c r="P75" s="75" t="str">
        <f aca="false">IF(OR(AND(SUM($K75)=0,SUM($O75)&lt;=0),NOT(AND($D75="Female",$G75="Y",OR($C75="10-14",$C75="15-17")))),"",ROUND($O75*$K75,0))</f>
        <v/>
      </c>
      <c r="Q75" s="75" t="n">
        <f aca="false">IF(OR(AND(SUM($L75)=0,SUM($O75)&lt;=0),NOT(OR($C75="10-14",$C75="05-09"))),"",ROUND($O75*$L75,0))</f>
        <v>0</v>
      </c>
      <c r="R75" s="75" t="n">
        <f aca="false">IF(SUM($O75)&lt;=0,"",ROUND($O75*$M75*$N75,0))</f>
        <v>1</v>
      </c>
      <c r="S75" s="75" t="n">
        <f aca="false">IF(SUM($O75)&lt;=0,"",($O75*$M75)-$R75)</f>
        <v>4</v>
      </c>
      <c r="T75" s="118" t="n">
        <f aca="false">IF(OR($C75="18+",$C75="18-20",SUM($O75)&lt;=0),"",100%)</f>
        <v>1</v>
      </c>
      <c r="U75" s="115" t="n">
        <f aca="false">IF(OR($C75="18+",$C75="18-20",(SUM($R75)+SUM($S75))=0),"",ROUND(SUM($R75,$S75)*$T75,0))</f>
        <v>5</v>
      </c>
    </row>
    <row r="76" customFormat="false" ht="15" hidden="false" customHeight="false" outlineLevel="0" collapsed="false">
      <c r="A76" s="0" t="s">
        <v>145</v>
      </c>
      <c r="B76" s="0" t="s">
        <v>107</v>
      </c>
      <c r="C76" s="0" t="s">
        <v>83</v>
      </c>
      <c r="D76" s="0" t="s">
        <v>58</v>
      </c>
      <c r="E76" s="0" t="str">
        <f aca="false">B76&amp;"|"&amp;C76&amp;"|"&amp;D76</f>
        <v>Mafeteng [#SNU] [#DREAMS] [DiFv5WXIHM5]|05-09|Male</v>
      </c>
      <c r="F76" s="73" t="n">
        <f aca="false">_xlfn.IFNA(INDEX(Cascade!$F:$F,MATCH($E76,Cascade!$E:$E,0)),"")</f>
        <v>9187</v>
      </c>
      <c r="G76" s="0" t="s">
        <v>886</v>
      </c>
      <c r="H76" s="73" t="n">
        <v>31</v>
      </c>
      <c r="I76" s="73" t="n">
        <v>5</v>
      </c>
      <c r="J76" s="118" t="n">
        <f aca="false">IF(SUM($I76)&lt;=0,"",0%)</f>
        <v>0</v>
      </c>
      <c r="K76" s="118"/>
      <c r="L76" s="118"/>
      <c r="M76" s="118" t="n">
        <f aca="false">1-IF(NOT(AND($D76="Female",OR($C76="10-14",$C76="15-17"))),0,$K76)-IF(NOT(OR($C76="05-09",$C76="10-14")),0,$L76)</f>
        <v>1</v>
      </c>
      <c r="N76" s="118" t="n">
        <f aca="false">20%</f>
        <v>0.2</v>
      </c>
      <c r="O76" s="73" t="n">
        <f aca="false">IF(SUM($I76)&lt;=0,"",ROUND($I76*(1+$J76),0))</f>
        <v>5</v>
      </c>
      <c r="P76" s="75" t="str">
        <f aca="false">IF(OR(AND(SUM($K76)=0,SUM($O76)&lt;=0),NOT(AND($D76="Female",$G76="Y",OR($C76="10-14",$C76="15-17")))),"",ROUND($O76*$K76,0))</f>
        <v/>
      </c>
      <c r="Q76" s="75" t="n">
        <f aca="false">IF(OR(AND(SUM($L76)=0,SUM($O76)&lt;=0),NOT(OR($C76="10-14",$C76="05-09"))),"",ROUND($O76*$L76,0))</f>
        <v>0</v>
      </c>
      <c r="R76" s="75" t="n">
        <f aca="false">IF(SUM($O76)&lt;=0,"",ROUND($O76*$M76*$N76,0))</f>
        <v>1</v>
      </c>
      <c r="S76" s="75" t="n">
        <f aca="false">IF(SUM($O76)&lt;=0,"",($O76*$M76)-$R76)</f>
        <v>4</v>
      </c>
      <c r="T76" s="118" t="n">
        <f aca="false">IF(OR($C76="18+",$C76="18-20",SUM($O76)&lt;=0),"",100%)</f>
        <v>1</v>
      </c>
      <c r="U76" s="115" t="n">
        <f aca="false">IF(OR($C76="18+",$C76="18-20",(SUM($R76)+SUM($S76))=0),"",ROUND(SUM($R76,$S76)*$T76,0))</f>
        <v>5</v>
      </c>
    </row>
    <row r="77" customFormat="false" ht="15" hidden="false" customHeight="false" outlineLevel="0" collapsed="false">
      <c r="A77" s="0" t="s">
        <v>145</v>
      </c>
      <c r="B77" s="0" t="s">
        <v>107</v>
      </c>
      <c r="C77" s="0" t="s">
        <v>61</v>
      </c>
      <c r="D77" s="0" t="s">
        <v>56</v>
      </c>
      <c r="E77" s="0" t="str">
        <f aca="false">B77&amp;"|"&amp;C77&amp;"|"&amp;D77</f>
        <v>Mafeteng [#SNU] [#DREAMS] [DiFv5WXIHM5]|10-14|Female</v>
      </c>
      <c r="F77" s="73" t="n">
        <f aca="false">_xlfn.IFNA(INDEX(Cascade!$F:$F,MATCH($E77,Cascade!$E:$E,0)),"")</f>
        <v>9021</v>
      </c>
      <c r="G77" s="0" t="s">
        <v>886</v>
      </c>
      <c r="H77" s="73" t="n">
        <v>15</v>
      </c>
      <c r="I77" s="73" t="n">
        <v>27</v>
      </c>
      <c r="J77" s="118" t="n">
        <f aca="false">IF(SUM($I77)&lt;=0,"",0%)</f>
        <v>0</v>
      </c>
      <c r="K77" s="118"/>
      <c r="L77" s="118"/>
      <c r="M77" s="118" t="n">
        <f aca="false">1-IF(NOT(AND($D77="Female",OR($C77="10-14",$C77="15-17"))),0,$K77)-IF(NOT(OR($C77="05-09",$C77="10-14")),0,$L77)</f>
        <v>1</v>
      </c>
      <c r="N77" s="118" t="n">
        <f aca="false">20%</f>
        <v>0.2</v>
      </c>
      <c r="O77" s="73" t="n">
        <f aca="false">IF(SUM($I77)&lt;=0,"",ROUND($I77*(1+$J77),0))</f>
        <v>27</v>
      </c>
      <c r="P77" s="75" t="str">
        <f aca="false">IF(OR(AND(SUM($K77)=0,SUM($O77)&lt;=0),NOT(AND($D77="Female",$G77="Y",OR($C77="10-14",$C77="15-17")))),"",ROUND($O77*$K77,0))</f>
        <v/>
      </c>
      <c r="Q77" s="75" t="n">
        <f aca="false">IF(OR(AND(SUM($L77)=0,SUM($O77)&lt;=0),NOT(OR($C77="10-14",$C77="05-09"))),"",ROUND($O77*$L77,0))</f>
        <v>0</v>
      </c>
      <c r="R77" s="75" t="n">
        <f aca="false">IF(SUM($O77)&lt;=0,"",ROUND($O77*$M77*$N77,0))</f>
        <v>5</v>
      </c>
      <c r="S77" s="75" t="n">
        <f aca="false">IF(SUM($O77)&lt;=0,"",($O77*$M77)-$R77)</f>
        <v>22</v>
      </c>
      <c r="T77" s="118" t="n">
        <f aca="false">IF(OR($C77="18+",$C77="18-20",SUM($O77)&lt;=0),"",100%)</f>
        <v>1</v>
      </c>
      <c r="U77" s="115" t="n">
        <f aca="false">IF(OR($C77="18+",$C77="18-20",(SUM($R77)+SUM($S77))=0),"",ROUND(SUM($R77,$S77)*$T77,0))</f>
        <v>27</v>
      </c>
    </row>
    <row r="78" customFormat="false" ht="15" hidden="false" customHeight="false" outlineLevel="0" collapsed="false">
      <c r="A78" s="0" t="s">
        <v>145</v>
      </c>
      <c r="B78" s="0" t="s">
        <v>107</v>
      </c>
      <c r="C78" s="0" t="s">
        <v>61</v>
      </c>
      <c r="D78" s="0" t="s">
        <v>58</v>
      </c>
      <c r="E78" s="0" t="str">
        <f aca="false">B78&amp;"|"&amp;C78&amp;"|"&amp;D78</f>
        <v>Mafeteng [#SNU] [#DREAMS] [DiFv5WXIHM5]|10-14|Male</v>
      </c>
      <c r="F78" s="73" t="n">
        <f aca="false">_xlfn.IFNA(INDEX(Cascade!$F:$F,MATCH($E78,Cascade!$E:$E,0)),"")</f>
        <v>9311</v>
      </c>
      <c r="G78" s="0" t="s">
        <v>886</v>
      </c>
      <c r="H78" s="73" t="n">
        <v>38</v>
      </c>
      <c r="I78" s="73" t="n">
        <v>7</v>
      </c>
      <c r="J78" s="118" t="n">
        <f aca="false">IF(SUM($I78)&lt;=0,"",0%)</f>
        <v>0</v>
      </c>
      <c r="K78" s="118"/>
      <c r="L78" s="118"/>
      <c r="M78" s="118" t="n">
        <f aca="false">1-IF(NOT(AND($D78="Female",OR($C78="10-14",$C78="15-17"))),0,$K78)-IF(NOT(OR($C78="05-09",$C78="10-14")),0,$L78)</f>
        <v>1</v>
      </c>
      <c r="N78" s="118" t="n">
        <f aca="false">20%</f>
        <v>0.2</v>
      </c>
      <c r="O78" s="73" t="n">
        <f aca="false">IF(SUM($I78)&lt;=0,"",ROUND($I78*(1+$J78),0))</f>
        <v>7</v>
      </c>
      <c r="P78" s="75" t="str">
        <f aca="false">IF(OR(AND(SUM($K78)=0,SUM($O78)&lt;=0),NOT(AND($D78="Female",$G78="Y",OR($C78="10-14",$C78="15-17")))),"",ROUND($O78*$K78,0))</f>
        <v/>
      </c>
      <c r="Q78" s="75" t="n">
        <f aca="false">IF(OR(AND(SUM($L78)=0,SUM($O78)&lt;=0),NOT(OR($C78="10-14",$C78="05-09"))),"",ROUND($O78*$L78,0))</f>
        <v>0</v>
      </c>
      <c r="R78" s="75" t="n">
        <f aca="false">IF(SUM($O78)&lt;=0,"",ROUND($O78*$M78*$N78,0))</f>
        <v>1</v>
      </c>
      <c r="S78" s="75" t="n">
        <f aca="false">IF(SUM($O78)&lt;=0,"",($O78*$M78)-$R78)</f>
        <v>6</v>
      </c>
      <c r="T78" s="118" t="n">
        <f aca="false">IF(OR($C78="18+",$C78="18-20",SUM($O78)&lt;=0),"",100%)</f>
        <v>1</v>
      </c>
      <c r="U78" s="115" t="n">
        <f aca="false">IF(OR($C78="18+",$C78="18-20",(SUM($R78)+SUM($S78))=0),"",ROUND(SUM($R78,$S78)*$T78,0))</f>
        <v>7</v>
      </c>
    </row>
    <row r="79" customFormat="false" ht="15" hidden="false" customHeight="false" outlineLevel="0" collapsed="false">
      <c r="A79" s="0" t="s">
        <v>145</v>
      </c>
      <c r="B79" s="0" t="s">
        <v>107</v>
      </c>
      <c r="C79" s="0" t="s">
        <v>882</v>
      </c>
      <c r="D79" s="0" t="s">
        <v>56</v>
      </c>
      <c r="E79" s="0" t="str">
        <f aca="false">B79&amp;"|"&amp;C79&amp;"|"&amp;D79</f>
        <v>Mafeteng [#SNU] [#DREAMS] [DiFv5WXIHM5]|15-17|Female</v>
      </c>
      <c r="F79" s="73" t="str">
        <f aca="false">_xlfn.IFNA(INDEX(Cascade!$F:$F,MATCH($E79,Cascade!$E:$E,0)),"")</f>
        <v/>
      </c>
      <c r="G79" s="0" t="s">
        <v>886</v>
      </c>
      <c r="H79" s="73" t="n">
        <v>36</v>
      </c>
      <c r="I79" s="73" t="n">
        <v>25</v>
      </c>
      <c r="J79" s="118" t="n">
        <f aca="false">IF(SUM($I79)&lt;=0,"",0%)</f>
        <v>0</v>
      </c>
      <c r="K79" s="118"/>
      <c r="L79" s="118"/>
      <c r="M79" s="118" t="n">
        <f aca="false">1-IF(NOT(AND($D79="Female",OR($C79="10-14",$C79="15-17"))),0,$K79)-IF(NOT(OR($C79="05-09",$C79="10-14")),0,$L79)</f>
        <v>1</v>
      </c>
      <c r="N79" s="118" t="n">
        <f aca="false">20%</f>
        <v>0.2</v>
      </c>
      <c r="O79" s="73" t="n">
        <f aca="false">IF(SUM($I79)&lt;=0,"",ROUND($I79*(1+$J79),0))</f>
        <v>25</v>
      </c>
      <c r="P79" s="75" t="str">
        <f aca="false">IF(OR(AND(SUM($K79)=0,SUM($O79)&lt;=0),NOT(AND($D79="Female",$G79="Y",OR($C79="10-14",$C79="15-17")))),"",ROUND($O79*$K79,0))</f>
        <v/>
      </c>
      <c r="Q79" s="75" t="str">
        <f aca="false">IF(OR(AND(SUM($L79)=0,SUM($O79)&lt;=0),NOT(OR($C79="10-14",$C79="05-09"))),"",ROUND($O79*$L79,0))</f>
        <v/>
      </c>
      <c r="R79" s="75" t="n">
        <f aca="false">IF(SUM($O79)&lt;=0,"",ROUND($O79*$M79*$N79,0))</f>
        <v>5</v>
      </c>
      <c r="S79" s="75" t="n">
        <f aca="false">IF(SUM($O79)&lt;=0,"",($O79*$M79)-$R79)</f>
        <v>20</v>
      </c>
      <c r="T79" s="118" t="n">
        <f aca="false">IF(OR($C79="18+",$C79="18-20",SUM($O79)&lt;=0),"",100%)</f>
        <v>1</v>
      </c>
      <c r="U79" s="115" t="n">
        <f aca="false">IF(OR($C79="18+",$C79="18-20",(SUM($R79)+SUM($S79))=0),"",ROUND(SUM($R79,$S79)*$T79,0))</f>
        <v>25</v>
      </c>
    </row>
    <row r="80" customFormat="false" ht="15" hidden="false" customHeight="false" outlineLevel="0" collapsed="false">
      <c r="A80" s="0" t="s">
        <v>145</v>
      </c>
      <c r="B80" s="0" t="s">
        <v>107</v>
      </c>
      <c r="C80" s="0" t="s">
        <v>882</v>
      </c>
      <c r="D80" s="0" t="s">
        <v>58</v>
      </c>
      <c r="E80" s="0" t="str">
        <f aca="false">B80&amp;"|"&amp;C80&amp;"|"&amp;D80</f>
        <v>Mafeteng [#SNU] [#DREAMS] [DiFv5WXIHM5]|15-17|Male</v>
      </c>
      <c r="F80" s="73" t="str">
        <f aca="false">_xlfn.IFNA(INDEX(Cascade!$F:$F,MATCH($E80,Cascade!$E:$E,0)),"")</f>
        <v/>
      </c>
      <c r="G80" s="0" t="s">
        <v>886</v>
      </c>
      <c r="H80" s="73" t="n">
        <v>6</v>
      </c>
      <c r="I80" s="73" t="n">
        <v>6</v>
      </c>
      <c r="J80" s="118" t="n">
        <f aca="false">IF(SUM($I80)&lt;=0,"",0%)</f>
        <v>0</v>
      </c>
      <c r="K80" s="118"/>
      <c r="L80" s="118"/>
      <c r="M80" s="118" t="n">
        <f aca="false">1-IF(NOT(AND($D80="Female",OR($C80="10-14",$C80="15-17"))),0,$K80)-IF(NOT(OR($C80="05-09",$C80="10-14")),0,$L80)</f>
        <v>1</v>
      </c>
      <c r="N80" s="118" t="n">
        <f aca="false">20%</f>
        <v>0.2</v>
      </c>
      <c r="O80" s="73" t="n">
        <f aca="false">IF(SUM($I80)&lt;=0,"",ROUND($I80*(1+$J80),0))</f>
        <v>6</v>
      </c>
      <c r="P80" s="75" t="str">
        <f aca="false">IF(OR(AND(SUM($K80)=0,SUM($O80)&lt;=0),NOT(AND($D80="Female",$G80="Y",OR($C80="10-14",$C80="15-17")))),"",ROUND($O80*$K80,0))</f>
        <v/>
      </c>
      <c r="Q80" s="75" t="str">
        <f aca="false">IF(OR(AND(SUM($L80)=0,SUM($O80)&lt;=0),NOT(OR($C80="10-14",$C80="05-09"))),"",ROUND($O80*$L80,0))</f>
        <v/>
      </c>
      <c r="R80" s="75" t="n">
        <f aca="false">IF(SUM($O80)&lt;=0,"",ROUND($O80*$M80*$N80,0))</f>
        <v>1</v>
      </c>
      <c r="S80" s="75" t="n">
        <f aca="false">IF(SUM($O80)&lt;=0,"",($O80*$M80)-$R80)</f>
        <v>5</v>
      </c>
      <c r="T80" s="118" t="n">
        <f aca="false">IF(OR($C80="18+",$C80="18-20",SUM($O80)&lt;=0),"",100%)</f>
        <v>1</v>
      </c>
      <c r="U80" s="115" t="n">
        <f aca="false">IF(OR($C80="18+",$C80="18-20",(SUM($R80)+SUM($S80))=0),"",ROUND(SUM($R80,$S80)*$T80,0))</f>
        <v>6</v>
      </c>
    </row>
    <row r="81" customFormat="false" ht="15" hidden="false" customHeight="false" outlineLevel="0" collapsed="false">
      <c r="A81" s="0" t="s">
        <v>145</v>
      </c>
      <c r="B81" s="0" t="s">
        <v>107</v>
      </c>
      <c r="C81" s="0" t="s">
        <v>883</v>
      </c>
      <c r="D81" s="0" t="s">
        <v>56</v>
      </c>
      <c r="E81" s="0" t="str">
        <f aca="false">B81&amp;"|"&amp;C81&amp;"|"&amp;D81</f>
        <v>Mafeteng [#SNU] [#DREAMS] [DiFv5WXIHM5]|18-20|Female</v>
      </c>
      <c r="F81" s="73" t="str">
        <f aca="false">_xlfn.IFNA(INDEX(Cascade!$F:$F,MATCH($E81,Cascade!$E:$E,0)),"")</f>
        <v/>
      </c>
      <c r="G81" s="0" t="s">
        <v>886</v>
      </c>
      <c r="H81" s="73"/>
      <c r="I81" s="73"/>
      <c r="J81" s="118" t="str">
        <f aca="false">IF(SUM($I81)&lt;=0,"",0%)</f>
        <v/>
      </c>
      <c r="K81" s="118"/>
      <c r="L81" s="118"/>
      <c r="M81" s="118" t="n">
        <f aca="false">1-IF(NOT(AND($D81="Female",OR($C81="10-14",$C81="15-17"))),0,$K81)-IF(NOT(OR($C81="05-09",$C81="10-14")),0,$L81)</f>
        <v>1</v>
      </c>
      <c r="N81" s="118" t="n">
        <f aca="false">20%</f>
        <v>0.2</v>
      </c>
      <c r="O81" s="73" t="str">
        <f aca="false">IF(SUM($I81)&lt;=0,"",ROUND($I81*(1+$J81),0))</f>
        <v/>
      </c>
      <c r="P81" s="75" t="str">
        <f aca="false">IF(OR(AND(SUM($K81)=0,SUM($O81)&lt;=0),NOT(AND($D81="Female",$G81="Y",OR($C81="10-14",$C81="15-17")))),"",ROUND($O81*$K81,0))</f>
        <v/>
      </c>
      <c r="Q81" s="75" t="str">
        <f aca="false">IF(OR(AND(SUM($L81)=0,SUM($O81)&lt;=0),NOT(OR($C81="10-14",$C81="05-09"))),"",ROUND($O81*$L81,0))</f>
        <v/>
      </c>
      <c r="R81" s="75" t="str">
        <f aca="false">IF(SUM($O81)&lt;=0,"",ROUND($O81*$M81*$N81,0))</f>
        <v/>
      </c>
      <c r="S81" s="75" t="str">
        <f aca="false">IF(SUM($O81)&lt;=0,"",($O81*$M81)-$R81)</f>
        <v/>
      </c>
      <c r="T81" s="118" t="str">
        <f aca="false">IF(OR($C81="18+",$C81="18-20",SUM($O81)&lt;=0),"",100%)</f>
        <v/>
      </c>
      <c r="U81" s="115" t="str">
        <f aca="false">IF(OR($C81="18+",$C81="18-20",(SUM($R81)+SUM($S81))=0),"",ROUND(SUM($R81,$S81)*$T81,0))</f>
        <v/>
      </c>
    </row>
    <row r="82" customFormat="false" ht="15" hidden="false" customHeight="false" outlineLevel="0" collapsed="false">
      <c r="A82" s="0" t="s">
        <v>145</v>
      </c>
      <c r="B82" s="0" t="s">
        <v>107</v>
      </c>
      <c r="C82" s="0" t="s">
        <v>883</v>
      </c>
      <c r="D82" s="0" t="s">
        <v>58</v>
      </c>
      <c r="E82" s="0" t="str">
        <f aca="false">B82&amp;"|"&amp;C82&amp;"|"&amp;D82</f>
        <v>Mafeteng [#SNU] [#DREAMS] [DiFv5WXIHM5]|18-20|Male</v>
      </c>
      <c r="F82" s="73" t="str">
        <f aca="false">_xlfn.IFNA(INDEX(Cascade!$F:$F,MATCH($E82,Cascade!$E:$E,0)),"")</f>
        <v/>
      </c>
      <c r="G82" s="0" t="s">
        <v>886</v>
      </c>
      <c r="H82" s="73"/>
      <c r="I82" s="73"/>
      <c r="J82" s="118" t="str">
        <f aca="false">IF(SUM($I82)&lt;=0,"",0%)</f>
        <v/>
      </c>
      <c r="K82" s="118"/>
      <c r="L82" s="118"/>
      <c r="M82" s="118" t="n">
        <f aca="false">1-IF(NOT(AND($D82="Female",OR($C82="10-14",$C82="15-17"))),0,$K82)-IF(NOT(OR($C82="05-09",$C82="10-14")),0,$L82)</f>
        <v>1</v>
      </c>
      <c r="N82" s="118" t="n">
        <f aca="false">20%</f>
        <v>0.2</v>
      </c>
      <c r="O82" s="73" t="str">
        <f aca="false">IF(SUM($I82)&lt;=0,"",ROUND($I82*(1+$J82),0))</f>
        <v/>
      </c>
      <c r="P82" s="75" t="str">
        <f aca="false">IF(OR(AND(SUM($K82)=0,SUM($O82)&lt;=0),NOT(AND($D82="Female",$G82="Y",OR($C82="10-14",$C82="15-17")))),"",ROUND($O82*$K82,0))</f>
        <v/>
      </c>
      <c r="Q82" s="75" t="str">
        <f aca="false">IF(OR(AND(SUM($L82)=0,SUM($O82)&lt;=0),NOT(OR($C82="10-14",$C82="05-09"))),"",ROUND($O82*$L82,0))</f>
        <v/>
      </c>
      <c r="R82" s="75" t="str">
        <f aca="false">IF(SUM($O82)&lt;=0,"",ROUND($O82*$M82*$N82,0))</f>
        <v/>
      </c>
      <c r="S82" s="75" t="str">
        <f aca="false">IF(SUM($O82)&lt;=0,"",($O82*$M82)-$R82)</f>
        <v/>
      </c>
      <c r="T82" s="118" t="str">
        <f aca="false">IF(OR($C82="18+",$C82="18-20",SUM($O82)&lt;=0),"",100%)</f>
        <v/>
      </c>
      <c r="U82" s="115" t="str">
        <f aca="false">IF(OR($C82="18+",$C82="18-20",(SUM($R82)+SUM($S82))=0),"",ROUND(SUM($R82,$S82)*$T82,0))</f>
        <v/>
      </c>
    </row>
    <row r="83" customFormat="false" ht="15" hidden="false" customHeight="false" outlineLevel="0" collapsed="false">
      <c r="A83" s="0" t="s">
        <v>145</v>
      </c>
      <c r="B83" s="0" t="s">
        <v>107</v>
      </c>
      <c r="C83" s="0" t="s">
        <v>884</v>
      </c>
      <c r="D83" s="0" t="s">
        <v>56</v>
      </c>
      <c r="E83" s="0" t="str">
        <f aca="false">B83&amp;"|"&amp;C83&amp;"|"&amp;D83</f>
        <v>Mafeteng [#SNU] [#DREAMS] [DiFv5WXIHM5]|18+|Female</v>
      </c>
      <c r="F83" s="73" t="str">
        <f aca="false">_xlfn.IFNA(INDEX(Cascade!$F:$F,MATCH($E83,Cascade!$E:$E,0)),"")</f>
        <v/>
      </c>
      <c r="G83" s="0" t="s">
        <v>886</v>
      </c>
      <c r="H83" s="73" t="n">
        <v>28</v>
      </c>
      <c r="I83" s="73" t="n">
        <v>27</v>
      </c>
      <c r="J83" s="118" t="n">
        <f aca="false">IF(SUM($I83)&lt;=0,"",0%)</f>
        <v>0</v>
      </c>
      <c r="K83" s="118"/>
      <c r="L83" s="118"/>
      <c r="M83" s="118" t="n">
        <f aca="false">1-IF(NOT(AND($D83="Female",OR($C83="10-14",$C83="15-17"))),0,$K83)-IF(NOT(OR($C83="05-09",$C83="10-14")),0,$L83)</f>
        <v>1</v>
      </c>
      <c r="N83" s="118" t="n">
        <f aca="false">20%</f>
        <v>0.2</v>
      </c>
      <c r="O83" s="73" t="n">
        <f aca="false">IF(SUM($I83)&lt;=0,"",ROUND($I83*(1+$J83),0))</f>
        <v>27</v>
      </c>
      <c r="P83" s="75" t="str">
        <f aca="false">IF(OR(AND(SUM($K83)=0,SUM($O83)&lt;=0),NOT(AND($D83="Female",$G83="Y",OR($C83="10-14",$C83="15-17")))),"",ROUND($O83*$K83,0))</f>
        <v/>
      </c>
      <c r="Q83" s="75" t="str">
        <f aca="false">IF(OR(AND(SUM($L83)=0,SUM($O83)&lt;=0),NOT(OR($C83="10-14",$C83="05-09"))),"",ROUND($O83*$L83,0))</f>
        <v/>
      </c>
      <c r="R83" s="75" t="n">
        <f aca="false">IF(SUM($O83)&lt;=0,"",ROUND($O83*$M83*$N83,0))</f>
        <v>5</v>
      </c>
      <c r="S83" s="75" t="n">
        <f aca="false">IF(SUM($O83)&lt;=0,"",($O83*$M83)-$R83)</f>
        <v>22</v>
      </c>
      <c r="T83" s="118" t="str">
        <f aca="false">IF(OR($C83="18+",$C83="18-20",SUM($O83)&lt;=0),"",100%)</f>
        <v/>
      </c>
      <c r="U83" s="115" t="str">
        <f aca="false">IF(OR($C83="18+",$C83="18-20",(SUM($R83)+SUM($S83))=0),"",ROUND(SUM($R83,$S83)*$T83,0))</f>
        <v/>
      </c>
    </row>
    <row r="84" customFormat="false" ht="15" hidden="false" customHeight="false" outlineLevel="0" collapsed="false">
      <c r="A84" s="0" t="s">
        <v>145</v>
      </c>
      <c r="B84" s="0" t="s">
        <v>107</v>
      </c>
      <c r="C84" s="0" t="s">
        <v>884</v>
      </c>
      <c r="D84" s="0" t="s">
        <v>58</v>
      </c>
      <c r="E84" s="0" t="str">
        <f aca="false">B84&amp;"|"&amp;C84&amp;"|"&amp;D84</f>
        <v>Mafeteng [#SNU] [#DREAMS] [DiFv5WXIHM5]|18+|Male</v>
      </c>
      <c r="F84" s="73" t="str">
        <f aca="false">_xlfn.IFNA(INDEX(Cascade!$F:$F,MATCH($E84,Cascade!$E:$E,0)),"")</f>
        <v/>
      </c>
      <c r="G84" s="0" t="s">
        <v>886</v>
      </c>
      <c r="H84" s="73" t="n">
        <v>8</v>
      </c>
      <c r="I84" s="73" t="n">
        <v>36</v>
      </c>
      <c r="J84" s="118" t="n">
        <f aca="false">IF(SUM($I84)&lt;=0,"",0%)</f>
        <v>0</v>
      </c>
      <c r="K84" s="118"/>
      <c r="L84" s="118"/>
      <c r="M84" s="118" t="n">
        <f aca="false">1-IF(NOT(AND($D84="Female",OR($C84="10-14",$C84="15-17"))),0,$K84)-IF(NOT(OR($C84="05-09",$C84="10-14")),0,$L84)</f>
        <v>1</v>
      </c>
      <c r="N84" s="118" t="n">
        <f aca="false">20%</f>
        <v>0.2</v>
      </c>
      <c r="O84" s="73" t="n">
        <f aca="false">IF(SUM($I84)&lt;=0,"",ROUND($I84*(1+$J84),0))</f>
        <v>36</v>
      </c>
      <c r="P84" s="75" t="str">
        <f aca="false">IF(OR(AND(SUM($K84)=0,SUM($O84)&lt;=0),NOT(AND($D84="Female",$G84="Y",OR($C84="10-14",$C84="15-17")))),"",ROUND($O84*$K84,0))</f>
        <v/>
      </c>
      <c r="Q84" s="75" t="str">
        <f aca="false">IF(OR(AND(SUM($L84)=0,SUM($O84)&lt;=0),NOT(OR($C84="10-14",$C84="05-09"))),"",ROUND($O84*$L84,0))</f>
        <v/>
      </c>
      <c r="R84" s="75" t="n">
        <f aca="false">IF(SUM($O84)&lt;=0,"",ROUND($O84*$M84*$N84,0))</f>
        <v>7</v>
      </c>
      <c r="S84" s="75" t="n">
        <f aca="false">IF(SUM($O84)&lt;=0,"",($O84*$M84)-$R84)</f>
        <v>29</v>
      </c>
      <c r="T84" s="118" t="str">
        <f aca="false">IF(OR($C84="18+",$C84="18-20",SUM($O84)&lt;=0),"",100%)</f>
        <v/>
      </c>
      <c r="U84" s="115" t="str">
        <f aca="false">IF(OR($C84="18+",$C84="18-20",(SUM($R84)+SUM($S84))=0),"",ROUND(SUM($R84,$S84)*$T84,0))</f>
        <v/>
      </c>
    </row>
    <row r="85" customFormat="false" ht="15" hidden="false" customHeight="false" outlineLevel="0" collapsed="false">
      <c r="A85" s="0" t="s">
        <v>146</v>
      </c>
      <c r="B85" s="0" t="s">
        <v>45</v>
      </c>
      <c r="C85" s="0" t="s">
        <v>89</v>
      </c>
      <c r="D85" s="0" t="s">
        <v>56</v>
      </c>
      <c r="E85" s="0" t="str">
        <f aca="false">B85&amp;"|"&amp;C85&amp;"|"&amp;D85</f>
        <v>Maseru [#SNU] [#DREAMS] [tKOXiaNhAyJ]|&lt;01|Female</v>
      </c>
      <c r="F85" s="73" t="n">
        <f aca="false">_xlfn.IFNA(INDEX(Cascade!$F:$F,MATCH($E85,Cascade!$E:$E,0)),"")</f>
        <v>4631</v>
      </c>
      <c r="G85" s="0" t="s">
        <v>887</v>
      </c>
      <c r="H85" s="73" t="n">
        <v>14</v>
      </c>
      <c r="I85" s="73" t="n">
        <v>41</v>
      </c>
      <c r="J85" s="118" t="n">
        <f aca="false">IF(SUM($I85)&lt;=0,"",0%)</f>
        <v>0</v>
      </c>
      <c r="K85" s="118"/>
      <c r="L85" s="118"/>
      <c r="M85" s="118" t="n">
        <f aca="false">1-IF(NOT(AND($D85="Female",OR($C85="10-14",$C85="15-17"))),0,$K85)-IF(NOT(OR($C85="05-09",$C85="10-14")),0,$L85)</f>
        <v>1</v>
      </c>
      <c r="N85" s="118" t="n">
        <f aca="false">20%</f>
        <v>0.2</v>
      </c>
      <c r="O85" s="73" t="n">
        <f aca="false">IF(SUM($I85)&lt;=0,"",ROUND($I85*(1+$J85),0))</f>
        <v>41</v>
      </c>
      <c r="P85" s="75" t="str">
        <f aca="false">IF(OR(AND(SUM($K85)=0,SUM($O85)&lt;=0),NOT(AND($D85="Female",$G85="Y",OR($C85="10-14",$C85="15-17")))),"",ROUND($O85*$K85,0))</f>
        <v/>
      </c>
      <c r="Q85" s="75" t="str">
        <f aca="false">IF(OR(AND(SUM($L85)=0,SUM($O85)&lt;=0),NOT(OR($C85="10-14",$C85="05-09"))),"",ROUND($O85*$L85,0))</f>
        <v/>
      </c>
      <c r="R85" s="75" t="n">
        <f aca="false">IF(SUM($O85)&lt;=0,"",ROUND($O85*$M85*$N85,0))</f>
        <v>8</v>
      </c>
      <c r="S85" s="75" t="n">
        <f aca="false">IF(SUM($O85)&lt;=0,"",($O85*$M85)-$R85)</f>
        <v>33</v>
      </c>
      <c r="T85" s="118" t="n">
        <f aca="false">IF(OR($C85="18+",$C85="18-20",SUM($O85)&lt;=0),"",100%)</f>
        <v>1</v>
      </c>
      <c r="U85" s="115" t="n">
        <f aca="false">IF(OR($C85="18+",$C85="18-20",(SUM($R85)+SUM($S85))=0),"",ROUND(SUM($R85,$S85)*$T85,0))</f>
        <v>41</v>
      </c>
    </row>
    <row r="86" customFormat="false" ht="15" hidden="false" customHeight="false" outlineLevel="0" collapsed="false">
      <c r="A86" s="0" t="s">
        <v>146</v>
      </c>
      <c r="B86" s="0" t="s">
        <v>45</v>
      </c>
      <c r="C86" s="0" t="s">
        <v>89</v>
      </c>
      <c r="D86" s="0" t="s">
        <v>58</v>
      </c>
      <c r="E86" s="0" t="str">
        <f aca="false">B86&amp;"|"&amp;C86&amp;"|"&amp;D86</f>
        <v>Maseru [#SNU] [#DREAMS] [tKOXiaNhAyJ]|&lt;01|Male</v>
      </c>
      <c r="F86" s="73" t="n">
        <f aca="false">_xlfn.IFNA(INDEX(Cascade!$F:$F,MATCH($E86,Cascade!$E:$E,0)),"")</f>
        <v>4706</v>
      </c>
      <c r="G86" s="0" t="s">
        <v>887</v>
      </c>
      <c r="H86" s="73" t="n">
        <v>34</v>
      </c>
      <c r="I86" s="73" t="n">
        <v>38</v>
      </c>
      <c r="J86" s="118" t="n">
        <f aca="false">IF(SUM($I86)&lt;=0,"",0%)</f>
        <v>0</v>
      </c>
      <c r="K86" s="118"/>
      <c r="L86" s="118"/>
      <c r="M86" s="118" t="n">
        <f aca="false">1-IF(NOT(AND($D86="Female",OR($C86="10-14",$C86="15-17"))),0,$K86)-IF(NOT(OR($C86="05-09",$C86="10-14")),0,$L86)</f>
        <v>1</v>
      </c>
      <c r="N86" s="118" t="n">
        <f aca="false">20%</f>
        <v>0.2</v>
      </c>
      <c r="O86" s="73" t="n">
        <f aca="false">IF(SUM($I86)&lt;=0,"",ROUND($I86*(1+$J86),0))</f>
        <v>38</v>
      </c>
      <c r="P86" s="75" t="str">
        <f aca="false">IF(OR(AND(SUM($K86)=0,SUM($O86)&lt;=0),NOT(AND($D86="Female",$G86="Y",OR($C86="10-14",$C86="15-17")))),"",ROUND($O86*$K86,0))</f>
        <v/>
      </c>
      <c r="Q86" s="75" t="str">
        <f aca="false">IF(OR(AND(SUM($L86)=0,SUM($O86)&lt;=0),NOT(OR($C86="10-14",$C86="05-09"))),"",ROUND($O86*$L86,0))</f>
        <v/>
      </c>
      <c r="R86" s="75" t="n">
        <f aca="false">IF(SUM($O86)&lt;=0,"",ROUND($O86*$M86*$N86,0))</f>
        <v>8</v>
      </c>
      <c r="S86" s="75" t="n">
        <f aca="false">IF(SUM($O86)&lt;=0,"",($O86*$M86)-$R86)</f>
        <v>30</v>
      </c>
      <c r="T86" s="118" t="n">
        <f aca="false">IF(OR($C86="18+",$C86="18-20",SUM($O86)&lt;=0),"",100%)</f>
        <v>1</v>
      </c>
      <c r="U86" s="115" t="n">
        <f aca="false">IF(OR($C86="18+",$C86="18-20",(SUM($R86)+SUM($S86))=0),"",ROUND(SUM($R86,$S86)*$T86,0))</f>
        <v>38</v>
      </c>
    </row>
    <row r="87" customFormat="false" ht="15" hidden="false" customHeight="false" outlineLevel="0" collapsed="false">
      <c r="A87" s="0" t="s">
        <v>146</v>
      </c>
      <c r="B87" s="0" t="s">
        <v>45</v>
      </c>
      <c r="C87" s="0" t="s">
        <v>54</v>
      </c>
      <c r="D87" s="0" t="s">
        <v>56</v>
      </c>
      <c r="E87" s="0" t="str">
        <f aca="false">B87&amp;"|"&amp;C87&amp;"|"&amp;D87</f>
        <v>Maseru [#SNU] [#DREAMS] [tKOXiaNhAyJ]|01-04|Female</v>
      </c>
      <c r="F87" s="73" t="n">
        <f aca="false">_xlfn.IFNA(INDEX(Cascade!$F:$F,MATCH($E87,Cascade!$E:$E,0)),"")</f>
        <v>21514</v>
      </c>
      <c r="G87" s="0" t="s">
        <v>887</v>
      </c>
      <c r="H87" s="73" t="n">
        <v>35</v>
      </c>
      <c r="I87" s="73" t="n">
        <v>23</v>
      </c>
      <c r="J87" s="118" t="n">
        <f aca="false">IF(SUM($I87)&lt;=0,"",0%)</f>
        <v>0</v>
      </c>
      <c r="K87" s="118"/>
      <c r="L87" s="118"/>
      <c r="M87" s="118" t="n">
        <f aca="false">1-IF(NOT(AND($D87="Female",OR($C87="10-14",$C87="15-17"))),0,$K87)-IF(NOT(OR($C87="05-09",$C87="10-14")),0,$L87)</f>
        <v>1</v>
      </c>
      <c r="N87" s="118" t="n">
        <f aca="false">20%</f>
        <v>0.2</v>
      </c>
      <c r="O87" s="73" t="n">
        <f aca="false">IF(SUM($I87)&lt;=0,"",ROUND($I87*(1+$J87),0))</f>
        <v>23</v>
      </c>
      <c r="P87" s="75" t="str">
        <f aca="false">IF(OR(AND(SUM($K87)=0,SUM($O87)&lt;=0),NOT(AND($D87="Female",$G87="Y",OR($C87="10-14",$C87="15-17")))),"",ROUND($O87*$K87,0))</f>
        <v/>
      </c>
      <c r="Q87" s="75" t="str">
        <f aca="false">IF(OR(AND(SUM($L87)=0,SUM($O87)&lt;=0),NOT(OR($C87="10-14",$C87="05-09"))),"",ROUND($O87*$L87,0))</f>
        <v/>
      </c>
      <c r="R87" s="75" t="n">
        <f aca="false">IF(SUM($O87)&lt;=0,"",ROUND($O87*$M87*$N87,0))</f>
        <v>5</v>
      </c>
      <c r="S87" s="75" t="n">
        <f aca="false">IF(SUM($O87)&lt;=0,"",($O87*$M87)-$R87)</f>
        <v>18</v>
      </c>
      <c r="T87" s="118" t="n">
        <f aca="false">IF(OR($C87="18+",$C87="18-20",SUM($O87)&lt;=0),"",100%)</f>
        <v>1</v>
      </c>
      <c r="U87" s="115" t="n">
        <f aca="false">IF(OR($C87="18+",$C87="18-20",(SUM($R87)+SUM($S87))=0),"",ROUND(SUM($R87,$S87)*$T87,0))</f>
        <v>23</v>
      </c>
    </row>
    <row r="88" customFormat="false" ht="15" hidden="false" customHeight="false" outlineLevel="0" collapsed="false">
      <c r="A88" s="0" t="s">
        <v>146</v>
      </c>
      <c r="B88" s="0" t="s">
        <v>45</v>
      </c>
      <c r="C88" s="0" t="s">
        <v>54</v>
      </c>
      <c r="D88" s="0" t="s">
        <v>58</v>
      </c>
      <c r="E88" s="0" t="str">
        <f aca="false">B88&amp;"|"&amp;C88&amp;"|"&amp;D88</f>
        <v>Maseru [#SNU] [#DREAMS] [tKOXiaNhAyJ]|01-04|Male</v>
      </c>
      <c r="F88" s="73" t="n">
        <f aca="false">_xlfn.IFNA(INDEX(Cascade!$F:$F,MATCH($E88,Cascade!$E:$E,0)),"")</f>
        <v>21862</v>
      </c>
      <c r="G88" s="0" t="s">
        <v>887</v>
      </c>
      <c r="H88" s="73" t="n">
        <v>11</v>
      </c>
      <c r="I88" s="73" t="n">
        <v>21</v>
      </c>
      <c r="J88" s="118" t="n">
        <f aca="false">IF(SUM($I88)&lt;=0,"",0%)</f>
        <v>0</v>
      </c>
      <c r="K88" s="118"/>
      <c r="L88" s="118"/>
      <c r="M88" s="118" t="n">
        <f aca="false">1-IF(NOT(AND($D88="Female",OR($C88="10-14",$C88="15-17"))),0,$K88)-IF(NOT(OR($C88="05-09",$C88="10-14")),0,$L88)</f>
        <v>1</v>
      </c>
      <c r="N88" s="118" t="n">
        <f aca="false">20%</f>
        <v>0.2</v>
      </c>
      <c r="O88" s="73" t="n">
        <f aca="false">IF(SUM($I88)&lt;=0,"",ROUND($I88*(1+$J88),0))</f>
        <v>21</v>
      </c>
      <c r="P88" s="75" t="str">
        <f aca="false">IF(OR(AND(SUM($K88)=0,SUM($O88)&lt;=0),NOT(AND($D88="Female",$G88="Y",OR($C88="10-14",$C88="15-17")))),"",ROUND($O88*$K88,0))</f>
        <v/>
      </c>
      <c r="Q88" s="75" t="str">
        <f aca="false">IF(OR(AND(SUM($L88)=0,SUM($O88)&lt;=0),NOT(OR($C88="10-14",$C88="05-09"))),"",ROUND($O88*$L88,0))</f>
        <v/>
      </c>
      <c r="R88" s="75" t="n">
        <f aca="false">IF(SUM($O88)&lt;=0,"",ROUND($O88*$M88*$N88,0))</f>
        <v>4</v>
      </c>
      <c r="S88" s="75" t="n">
        <f aca="false">IF(SUM($O88)&lt;=0,"",($O88*$M88)-$R88)</f>
        <v>17</v>
      </c>
      <c r="T88" s="118" t="n">
        <f aca="false">IF(OR($C88="18+",$C88="18-20",SUM($O88)&lt;=0),"",100%)</f>
        <v>1</v>
      </c>
      <c r="U88" s="115" t="n">
        <f aca="false">IF(OR($C88="18+",$C88="18-20",(SUM($R88)+SUM($S88))=0),"",ROUND(SUM($R88,$S88)*$T88,0))</f>
        <v>21</v>
      </c>
    </row>
    <row r="89" customFormat="false" ht="15" hidden="false" customHeight="false" outlineLevel="0" collapsed="false">
      <c r="A89" s="0" t="s">
        <v>146</v>
      </c>
      <c r="B89" s="0" t="s">
        <v>45</v>
      </c>
      <c r="C89" s="0" t="s">
        <v>83</v>
      </c>
      <c r="D89" s="0" t="s">
        <v>56</v>
      </c>
      <c r="E89" s="0" t="str">
        <f aca="false">B89&amp;"|"&amp;C89&amp;"|"&amp;D89</f>
        <v>Maseru [#SNU] [#DREAMS] [tKOXiaNhAyJ]|05-09|Female</v>
      </c>
      <c r="F89" s="73" t="n">
        <f aca="false">_xlfn.IFNA(INDEX(Cascade!$F:$F,MATCH($E89,Cascade!$E:$E,0)),"")</f>
        <v>27770</v>
      </c>
      <c r="G89" s="0" t="s">
        <v>887</v>
      </c>
      <c r="H89" s="73" t="n">
        <v>45</v>
      </c>
      <c r="I89" s="73" t="n">
        <v>36</v>
      </c>
      <c r="J89" s="118" t="n">
        <f aca="false">IF(SUM($I89)&lt;=0,"",0%)</f>
        <v>0</v>
      </c>
      <c r="K89" s="118"/>
      <c r="L89" s="118"/>
      <c r="M89" s="118" t="n">
        <f aca="false">1-IF(NOT(AND($D89="Female",OR($C89="10-14",$C89="15-17"))),0,$K89)-IF(NOT(OR($C89="05-09",$C89="10-14")),0,$L89)</f>
        <v>1</v>
      </c>
      <c r="N89" s="118" t="n">
        <f aca="false">20%</f>
        <v>0.2</v>
      </c>
      <c r="O89" s="73" t="n">
        <f aca="false">IF(SUM($I89)&lt;=0,"",ROUND($I89*(1+$J89),0))</f>
        <v>36</v>
      </c>
      <c r="P89" s="75" t="str">
        <f aca="false">IF(OR(AND(SUM($K89)=0,SUM($O89)&lt;=0),NOT(AND($D89="Female",$G89="Y",OR($C89="10-14",$C89="15-17")))),"",ROUND($O89*$K89,0))</f>
        <v/>
      </c>
      <c r="Q89" s="75" t="n">
        <f aca="false">IF(OR(AND(SUM($L89)=0,SUM($O89)&lt;=0),NOT(OR($C89="10-14",$C89="05-09"))),"",ROUND($O89*$L89,0))</f>
        <v>0</v>
      </c>
      <c r="R89" s="75" t="n">
        <f aca="false">IF(SUM($O89)&lt;=0,"",ROUND($O89*$M89*$N89,0))</f>
        <v>7</v>
      </c>
      <c r="S89" s="75" t="n">
        <f aca="false">IF(SUM($O89)&lt;=0,"",($O89*$M89)-$R89)</f>
        <v>29</v>
      </c>
      <c r="T89" s="118" t="n">
        <f aca="false">IF(OR($C89="18+",$C89="18-20",SUM($O89)&lt;=0),"",100%)</f>
        <v>1</v>
      </c>
      <c r="U89" s="115" t="n">
        <f aca="false">IF(OR($C89="18+",$C89="18-20",(SUM($R89)+SUM($S89))=0),"",ROUND(SUM($R89,$S89)*$T89,0))</f>
        <v>36</v>
      </c>
    </row>
    <row r="90" customFormat="false" ht="15" hidden="false" customHeight="false" outlineLevel="0" collapsed="false">
      <c r="A90" s="0" t="s">
        <v>146</v>
      </c>
      <c r="B90" s="0" t="s">
        <v>45</v>
      </c>
      <c r="C90" s="0" t="s">
        <v>83</v>
      </c>
      <c r="D90" s="0" t="s">
        <v>58</v>
      </c>
      <c r="E90" s="0" t="str">
        <f aca="false">B90&amp;"|"&amp;C90&amp;"|"&amp;D90</f>
        <v>Maseru [#SNU] [#DREAMS] [tKOXiaNhAyJ]|05-09|Male</v>
      </c>
      <c r="F90" s="73" t="n">
        <f aca="false">_xlfn.IFNA(INDEX(Cascade!$F:$F,MATCH($E90,Cascade!$E:$E,0)),"")</f>
        <v>27112</v>
      </c>
      <c r="G90" s="0" t="s">
        <v>887</v>
      </c>
      <c r="H90" s="73" t="n">
        <v>50</v>
      </c>
      <c r="I90" s="73" t="n">
        <v>40</v>
      </c>
      <c r="J90" s="118" t="n">
        <f aca="false">IF(SUM($I90)&lt;=0,"",0%)</f>
        <v>0</v>
      </c>
      <c r="K90" s="118"/>
      <c r="L90" s="118"/>
      <c r="M90" s="118" t="n">
        <f aca="false">1-IF(NOT(AND($D90="Female",OR($C90="10-14",$C90="15-17"))),0,$K90)-IF(NOT(OR($C90="05-09",$C90="10-14")),0,$L90)</f>
        <v>1</v>
      </c>
      <c r="N90" s="118" t="n">
        <f aca="false">20%</f>
        <v>0.2</v>
      </c>
      <c r="O90" s="73" t="n">
        <f aca="false">IF(SUM($I90)&lt;=0,"",ROUND($I90*(1+$J90),0))</f>
        <v>40</v>
      </c>
      <c r="P90" s="75" t="str">
        <f aca="false">IF(OR(AND(SUM($K90)=0,SUM($O90)&lt;=0),NOT(AND($D90="Female",$G90="Y",OR($C90="10-14",$C90="15-17")))),"",ROUND($O90*$K90,0))</f>
        <v/>
      </c>
      <c r="Q90" s="75" t="n">
        <f aca="false">IF(OR(AND(SUM($L90)=0,SUM($O90)&lt;=0),NOT(OR($C90="10-14",$C90="05-09"))),"",ROUND($O90*$L90,0))</f>
        <v>0</v>
      </c>
      <c r="R90" s="75" t="n">
        <f aca="false">IF(SUM($O90)&lt;=0,"",ROUND($O90*$M90*$N90,0))</f>
        <v>8</v>
      </c>
      <c r="S90" s="75" t="n">
        <f aca="false">IF(SUM($O90)&lt;=0,"",($O90*$M90)-$R90)</f>
        <v>32</v>
      </c>
      <c r="T90" s="118" t="n">
        <f aca="false">IF(OR($C90="18+",$C90="18-20",SUM($O90)&lt;=0),"",100%)</f>
        <v>1</v>
      </c>
      <c r="U90" s="115" t="n">
        <f aca="false">IF(OR($C90="18+",$C90="18-20",(SUM($R90)+SUM($S90))=0),"",ROUND(SUM($R90,$S90)*$T90,0))</f>
        <v>40</v>
      </c>
    </row>
    <row r="91" customFormat="false" ht="15" hidden="false" customHeight="false" outlineLevel="0" collapsed="false">
      <c r="A91" s="0" t="s">
        <v>146</v>
      </c>
      <c r="B91" s="0" t="s">
        <v>45</v>
      </c>
      <c r="C91" s="0" t="s">
        <v>61</v>
      </c>
      <c r="D91" s="0" t="s">
        <v>56</v>
      </c>
      <c r="E91" s="0" t="str">
        <f aca="false">B91&amp;"|"&amp;C91&amp;"|"&amp;D91</f>
        <v>Maseru [#SNU] [#DREAMS] [tKOXiaNhAyJ]|10-14|Female</v>
      </c>
      <c r="F91" s="73" t="n">
        <f aca="false">_xlfn.IFNA(INDEX(Cascade!$F:$F,MATCH($E91,Cascade!$E:$E,0)),"")</f>
        <v>25419</v>
      </c>
      <c r="G91" s="0" t="s">
        <v>887</v>
      </c>
      <c r="H91" s="73" t="n">
        <v>11</v>
      </c>
      <c r="I91" s="73" t="n">
        <v>21</v>
      </c>
      <c r="J91" s="118" t="n">
        <f aca="false">IF(SUM($I91)&lt;=0,"",0%)</f>
        <v>0</v>
      </c>
      <c r="K91" s="118"/>
      <c r="L91" s="118"/>
      <c r="M91" s="118" t="n">
        <f aca="false">1-IF(NOT(AND($D91="Female",OR($C91="10-14",$C91="15-17"))),0,$K91)-IF(NOT(OR($C91="05-09",$C91="10-14")),0,$L91)</f>
        <v>1</v>
      </c>
      <c r="N91" s="118" t="n">
        <f aca="false">20%</f>
        <v>0.2</v>
      </c>
      <c r="O91" s="73" t="n">
        <f aca="false">IF(SUM($I91)&lt;=0,"",ROUND($I91*(1+$J91),0))</f>
        <v>21</v>
      </c>
      <c r="P91" s="75" t="str">
        <f aca="false">IF(OR(AND(SUM($K91)=0,SUM($O91)&lt;=0),NOT(AND($D91="Female",$G91="Y",OR($C91="10-14",$C91="15-17")))),"",ROUND($O91*$K91,0))</f>
        <v/>
      </c>
      <c r="Q91" s="75" t="n">
        <f aca="false">IF(OR(AND(SUM($L91)=0,SUM($O91)&lt;=0),NOT(OR($C91="10-14",$C91="05-09"))),"",ROUND($O91*$L91,0))</f>
        <v>0</v>
      </c>
      <c r="R91" s="75" t="n">
        <f aca="false">IF(SUM($O91)&lt;=0,"",ROUND($O91*$M91*$N91,0))</f>
        <v>4</v>
      </c>
      <c r="S91" s="75" t="n">
        <f aca="false">IF(SUM($O91)&lt;=0,"",($O91*$M91)-$R91)</f>
        <v>17</v>
      </c>
      <c r="T91" s="118" t="n">
        <f aca="false">IF(OR($C91="18+",$C91="18-20",SUM($O91)&lt;=0),"",100%)</f>
        <v>1</v>
      </c>
      <c r="U91" s="115" t="n">
        <f aca="false">IF(OR($C91="18+",$C91="18-20",(SUM($R91)+SUM($S91))=0),"",ROUND(SUM($R91,$S91)*$T91,0))</f>
        <v>21</v>
      </c>
    </row>
    <row r="92" customFormat="false" ht="15" hidden="false" customHeight="false" outlineLevel="0" collapsed="false">
      <c r="A92" s="0" t="s">
        <v>146</v>
      </c>
      <c r="B92" s="0" t="s">
        <v>45</v>
      </c>
      <c r="C92" s="0" t="s">
        <v>61</v>
      </c>
      <c r="D92" s="0" t="s">
        <v>58</v>
      </c>
      <c r="E92" s="0" t="str">
        <f aca="false">B92&amp;"|"&amp;C92&amp;"|"&amp;D92</f>
        <v>Maseru [#SNU] [#DREAMS] [tKOXiaNhAyJ]|10-14|Male</v>
      </c>
      <c r="F92" s="73" t="n">
        <f aca="false">_xlfn.IFNA(INDEX(Cascade!$F:$F,MATCH($E92,Cascade!$E:$E,0)),"")</f>
        <v>25425</v>
      </c>
      <c r="G92" s="0" t="s">
        <v>887</v>
      </c>
      <c r="H92" s="73" t="n">
        <v>24</v>
      </c>
      <c r="I92" s="73" t="n">
        <v>32</v>
      </c>
      <c r="J92" s="118" t="n">
        <f aca="false">IF(SUM($I92)&lt;=0,"",0%)</f>
        <v>0</v>
      </c>
      <c r="K92" s="118"/>
      <c r="L92" s="118"/>
      <c r="M92" s="118" t="n">
        <f aca="false">1-IF(NOT(AND($D92="Female",OR($C92="10-14",$C92="15-17"))),0,$K92)-IF(NOT(OR($C92="05-09",$C92="10-14")),0,$L92)</f>
        <v>1</v>
      </c>
      <c r="N92" s="118" t="n">
        <f aca="false">20%</f>
        <v>0.2</v>
      </c>
      <c r="O92" s="73" t="n">
        <f aca="false">IF(SUM($I92)&lt;=0,"",ROUND($I92*(1+$J92),0))</f>
        <v>32</v>
      </c>
      <c r="P92" s="75" t="str">
        <f aca="false">IF(OR(AND(SUM($K92)=0,SUM($O92)&lt;=0),NOT(AND($D92="Female",$G92="Y",OR($C92="10-14",$C92="15-17")))),"",ROUND($O92*$K92,0))</f>
        <v/>
      </c>
      <c r="Q92" s="75" t="n">
        <f aca="false">IF(OR(AND(SUM($L92)=0,SUM($O92)&lt;=0),NOT(OR($C92="10-14",$C92="05-09"))),"",ROUND($O92*$L92,0))</f>
        <v>0</v>
      </c>
      <c r="R92" s="75" t="n">
        <f aca="false">IF(SUM($O92)&lt;=0,"",ROUND($O92*$M92*$N92,0))</f>
        <v>6</v>
      </c>
      <c r="S92" s="75" t="n">
        <f aca="false">IF(SUM($O92)&lt;=0,"",($O92*$M92)-$R92)</f>
        <v>26</v>
      </c>
      <c r="T92" s="118" t="n">
        <f aca="false">IF(OR($C92="18+",$C92="18-20",SUM($O92)&lt;=0),"",100%)</f>
        <v>1</v>
      </c>
      <c r="U92" s="115" t="n">
        <f aca="false">IF(OR($C92="18+",$C92="18-20",(SUM($R92)+SUM($S92))=0),"",ROUND(SUM($R92,$S92)*$T92,0))</f>
        <v>32</v>
      </c>
    </row>
    <row r="93" customFormat="false" ht="15" hidden="false" customHeight="false" outlineLevel="0" collapsed="false">
      <c r="A93" s="0" t="s">
        <v>146</v>
      </c>
      <c r="B93" s="0" t="s">
        <v>45</v>
      </c>
      <c r="C93" s="0" t="s">
        <v>882</v>
      </c>
      <c r="D93" s="0" t="s">
        <v>56</v>
      </c>
      <c r="E93" s="0" t="str">
        <f aca="false">B93&amp;"|"&amp;C93&amp;"|"&amp;D93</f>
        <v>Maseru [#SNU] [#DREAMS] [tKOXiaNhAyJ]|15-17|Female</v>
      </c>
      <c r="F93" s="73" t="str">
        <f aca="false">_xlfn.IFNA(INDEX(Cascade!$F:$F,MATCH($E93,Cascade!$E:$E,0)),"")</f>
        <v/>
      </c>
      <c r="G93" s="0" t="s">
        <v>887</v>
      </c>
      <c r="H93" s="73" t="n">
        <v>40</v>
      </c>
      <c r="I93" s="73" t="n">
        <v>15</v>
      </c>
      <c r="J93" s="118" t="n">
        <f aca="false">IF(SUM($I93)&lt;=0,"",0%)</f>
        <v>0</v>
      </c>
      <c r="K93" s="118"/>
      <c r="L93" s="118"/>
      <c r="M93" s="118" t="n">
        <f aca="false">1-IF(NOT(AND($D93="Female",OR($C93="10-14",$C93="15-17"))),0,$K93)-IF(NOT(OR($C93="05-09",$C93="10-14")),0,$L93)</f>
        <v>1</v>
      </c>
      <c r="N93" s="118" t="n">
        <f aca="false">20%</f>
        <v>0.2</v>
      </c>
      <c r="O93" s="73" t="n">
        <f aca="false">IF(SUM($I93)&lt;=0,"",ROUND($I93*(1+$J93),0))</f>
        <v>15</v>
      </c>
      <c r="P93" s="75" t="str">
        <f aca="false">IF(OR(AND(SUM($K93)=0,SUM($O93)&lt;=0),NOT(AND($D93="Female",$G93="Y",OR($C93="10-14",$C93="15-17")))),"",ROUND($O93*$K93,0))</f>
        <v/>
      </c>
      <c r="Q93" s="75" t="str">
        <f aca="false">IF(OR(AND(SUM($L93)=0,SUM($O93)&lt;=0),NOT(OR($C93="10-14",$C93="05-09"))),"",ROUND($O93*$L93,0))</f>
        <v/>
      </c>
      <c r="R93" s="75" t="n">
        <f aca="false">IF(SUM($O93)&lt;=0,"",ROUND($O93*$M93*$N93,0))</f>
        <v>3</v>
      </c>
      <c r="S93" s="75" t="n">
        <f aca="false">IF(SUM($O93)&lt;=0,"",($O93*$M93)-$R93)</f>
        <v>12</v>
      </c>
      <c r="T93" s="118" t="n">
        <f aca="false">IF(OR($C93="18+",$C93="18-20",SUM($O93)&lt;=0),"",100%)</f>
        <v>1</v>
      </c>
      <c r="U93" s="115" t="n">
        <f aca="false">IF(OR($C93="18+",$C93="18-20",(SUM($R93)+SUM($S93))=0),"",ROUND(SUM($R93,$S93)*$T93,0))</f>
        <v>15</v>
      </c>
    </row>
    <row r="94" customFormat="false" ht="15" hidden="false" customHeight="false" outlineLevel="0" collapsed="false">
      <c r="A94" s="0" t="s">
        <v>146</v>
      </c>
      <c r="B94" s="0" t="s">
        <v>45</v>
      </c>
      <c r="C94" s="0" t="s">
        <v>882</v>
      </c>
      <c r="D94" s="0" t="s">
        <v>58</v>
      </c>
      <c r="E94" s="0" t="str">
        <f aca="false">B94&amp;"|"&amp;C94&amp;"|"&amp;D94</f>
        <v>Maseru [#SNU] [#DREAMS] [tKOXiaNhAyJ]|15-17|Male</v>
      </c>
      <c r="F94" s="73" t="str">
        <f aca="false">_xlfn.IFNA(INDEX(Cascade!$F:$F,MATCH($E94,Cascade!$E:$E,0)),"")</f>
        <v/>
      </c>
      <c r="G94" s="0" t="s">
        <v>887</v>
      </c>
      <c r="H94" s="73" t="n">
        <v>9</v>
      </c>
      <c r="I94" s="73" t="n">
        <v>48</v>
      </c>
      <c r="J94" s="118" t="n">
        <f aca="false">IF(SUM($I94)&lt;=0,"",0%)</f>
        <v>0</v>
      </c>
      <c r="K94" s="118"/>
      <c r="L94" s="118"/>
      <c r="M94" s="118" t="n">
        <f aca="false">1-IF(NOT(AND($D94="Female",OR($C94="10-14",$C94="15-17"))),0,$K94)-IF(NOT(OR($C94="05-09",$C94="10-14")),0,$L94)</f>
        <v>1</v>
      </c>
      <c r="N94" s="118" t="n">
        <f aca="false">20%</f>
        <v>0.2</v>
      </c>
      <c r="O94" s="73" t="n">
        <f aca="false">IF(SUM($I94)&lt;=0,"",ROUND($I94*(1+$J94),0))</f>
        <v>48</v>
      </c>
      <c r="P94" s="75" t="str">
        <f aca="false">IF(OR(AND(SUM($K94)=0,SUM($O94)&lt;=0),NOT(AND($D94="Female",$G94="Y",OR($C94="10-14",$C94="15-17")))),"",ROUND($O94*$K94,0))</f>
        <v/>
      </c>
      <c r="Q94" s="75" t="str">
        <f aca="false">IF(OR(AND(SUM($L94)=0,SUM($O94)&lt;=0),NOT(OR($C94="10-14",$C94="05-09"))),"",ROUND($O94*$L94,0))</f>
        <v/>
      </c>
      <c r="R94" s="75" t="n">
        <f aca="false">IF(SUM($O94)&lt;=0,"",ROUND($O94*$M94*$N94,0))</f>
        <v>10</v>
      </c>
      <c r="S94" s="75" t="n">
        <f aca="false">IF(SUM($O94)&lt;=0,"",($O94*$M94)-$R94)</f>
        <v>38</v>
      </c>
      <c r="T94" s="118" t="n">
        <f aca="false">IF(OR($C94="18+",$C94="18-20",SUM($O94)&lt;=0),"",100%)</f>
        <v>1</v>
      </c>
      <c r="U94" s="115" t="n">
        <f aca="false">IF(OR($C94="18+",$C94="18-20",(SUM($R94)+SUM($S94))=0),"",ROUND(SUM($R94,$S94)*$T94,0))</f>
        <v>48</v>
      </c>
    </row>
    <row r="95" customFormat="false" ht="15" hidden="false" customHeight="false" outlineLevel="0" collapsed="false">
      <c r="A95" s="0" t="s">
        <v>146</v>
      </c>
      <c r="B95" s="0" t="s">
        <v>45</v>
      </c>
      <c r="C95" s="0" t="s">
        <v>883</v>
      </c>
      <c r="D95" s="0" t="s">
        <v>56</v>
      </c>
      <c r="E95" s="0" t="str">
        <f aca="false">B95&amp;"|"&amp;C95&amp;"|"&amp;D95</f>
        <v>Maseru [#SNU] [#DREAMS] [tKOXiaNhAyJ]|18-20|Female</v>
      </c>
      <c r="F95" s="73" t="str">
        <f aca="false">_xlfn.IFNA(INDEX(Cascade!$F:$F,MATCH($E95,Cascade!$E:$E,0)),"")</f>
        <v/>
      </c>
      <c r="G95" s="0" t="s">
        <v>887</v>
      </c>
      <c r="H95" s="73"/>
      <c r="I95" s="73"/>
      <c r="J95" s="118" t="str">
        <f aca="false">IF(SUM($I95)&lt;=0,"",0%)</f>
        <v/>
      </c>
      <c r="K95" s="118"/>
      <c r="L95" s="118"/>
      <c r="M95" s="118" t="n">
        <f aca="false">1-IF(NOT(AND($D95="Female",OR($C95="10-14",$C95="15-17"))),0,$K95)-IF(NOT(OR($C95="05-09",$C95="10-14")),0,$L95)</f>
        <v>1</v>
      </c>
      <c r="N95" s="118" t="n">
        <f aca="false">20%</f>
        <v>0.2</v>
      </c>
      <c r="O95" s="73" t="str">
        <f aca="false">IF(SUM($I95)&lt;=0,"",ROUND($I95*(1+$J95),0))</f>
        <v/>
      </c>
      <c r="P95" s="75" t="str">
        <f aca="false">IF(OR(AND(SUM($K95)=0,SUM($O95)&lt;=0),NOT(AND($D95="Female",$G95="Y",OR($C95="10-14",$C95="15-17")))),"",ROUND($O95*$K95,0))</f>
        <v/>
      </c>
      <c r="Q95" s="75" t="str">
        <f aca="false">IF(OR(AND(SUM($L95)=0,SUM($O95)&lt;=0),NOT(OR($C95="10-14",$C95="05-09"))),"",ROUND($O95*$L95,0))</f>
        <v/>
      </c>
      <c r="R95" s="75" t="str">
        <f aca="false">IF(SUM($O95)&lt;=0,"",ROUND($O95*$M95*$N95,0))</f>
        <v/>
      </c>
      <c r="S95" s="75" t="str">
        <f aca="false">IF(SUM($O95)&lt;=0,"",($O95*$M95)-$R95)</f>
        <v/>
      </c>
      <c r="T95" s="118" t="str">
        <f aca="false">IF(OR($C95="18+",$C95="18-20",SUM($O95)&lt;=0),"",100%)</f>
        <v/>
      </c>
      <c r="U95" s="115" t="str">
        <f aca="false">IF(OR($C95="18+",$C95="18-20",(SUM($R95)+SUM($S95))=0),"",ROUND(SUM($R95,$S95)*$T95,0))</f>
        <v/>
      </c>
    </row>
    <row r="96" customFormat="false" ht="15" hidden="false" customHeight="false" outlineLevel="0" collapsed="false">
      <c r="A96" s="0" t="s">
        <v>146</v>
      </c>
      <c r="B96" s="0" t="s">
        <v>45</v>
      </c>
      <c r="C96" s="0" t="s">
        <v>883</v>
      </c>
      <c r="D96" s="0" t="s">
        <v>58</v>
      </c>
      <c r="E96" s="0" t="str">
        <f aca="false">B96&amp;"|"&amp;C96&amp;"|"&amp;D96</f>
        <v>Maseru [#SNU] [#DREAMS] [tKOXiaNhAyJ]|18-20|Male</v>
      </c>
      <c r="F96" s="73" t="str">
        <f aca="false">_xlfn.IFNA(INDEX(Cascade!$F:$F,MATCH($E96,Cascade!$E:$E,0)),"")</f>
        <v/>
      </c>
      <c r="G96" s="0" t="s">
        <v>887</v>
      </c>
      <c r="H96" s="73"/>
      <c r="I96" s="73"/>
      <c r="J96" s="118" t="str">
        <f aca="false">IF(SUM($I96)&lt;=0,"",0%)</f>
        <v/>
      </c>
      <c r="K96" s="118"/>
      <c r="L96" s="118"/>
      <c r="M96" s="118" t="n">
        <f aca="false">1-IF(NOT(AND($D96="Female",OR($C96="10-14",$C96="15-17"))),0,$K96)-IF(NOT(OR($C96="05-09",$C96="10-14")),0,$L96)</f>
        <v>1</v>
      </c>
      <c r="N96" s="118" t="n">
        <f aca="false">20%</f>
        <v>0.2</v>
      </c>
      <c r="O96" s="73" t="str">
        <f aca="false">IF(SUM($I96)&lt;=0,"",ROUND($I96*(1+$J96),0))</f>
        <v/>
      </c>
      <c r="P96" s="75" t="str">
        <f aca="false">IF(OR(AND(SUM($K96)=0,SUM($O96)&lt;=0),NOT(AND($D96="Female",$G96="Y",OR($C96="10-14",$C96="15-17")))),"",ROUND($O96*$K96,0))</f>
        <v/>
      </c>
      <c r="Q96" s="75" t="str">
        <f aca="false">IF(OR(AND(SUM($L96)=0,SUM($O96)&lt;=0),NOT(OR($C96="10-14",$C96="05-09"))),"",ROUND($O96*$L96,0))</f>
        <v/>
      </c>
      <c r="R96" s="75" t="str">
        <f aca="false">IF(SUM($O96)&lt;=0,"",ROUND($O96*$M96*$N96,0))</f>
        <v/>
      </c>
      <c r="S96" s="75" t="str">
        <f aca="false">IF(SUM($O96)&lt;=0,"",($O96*$M96)-$R96)</f>
        <v/>
      </c>
      <c r="T96" s="118" t="str">
        <f aca="false">IF(OR($C96="18+",$C96="18-20",SUM($O96)&lt;=0),"",100%)</f>
        <v/>
      </c>
      <c r="U96" s="115" t="str">
        <f aca="false">IF(OR($C96="18+",$C96="18-20",(SUM($R96)+SUM($S96))=0),"",ROUND(SUM($R96,$S96)*$T96,0))</f>
        <v/>
      </c>
    </row>
    <row r="97" customFormat="false" ht="15" hidden="false" customHeight="false" outlineLevel="0" collapsed="false">
      <c r="A97" s="0" t="s">
        <v>146</v>
      </c>
      <c r="B97" s="0" t="s">
        <v>45</v>
      </c>
      <c r="C97" s="0" t="s">
        <v>884</v>
      </c>
      <c r="D97" s="0" t="s">
        <v>56</v>
      </c>
      <c r="E97" s="0" t="str">
        <f aca="false">B97&amp;"|"&amp;C97&amp;"|"&amp;D97</f>
        <v>Maseru [#SNU] [#DREAMS] [tKOXiaNhAyJ]|18+|Female</v>
      </c>
      <c r="F97" s="73" t="str">
        <f aca="false">_xlfn.IFNA(INDEX(Cascade!$F:$F,MATCH($E97,Cascade!$E:$E,0)),"")</f>
        <v/>
      </c>
      <c r="G97" s="0" t="s">
        <v>887</v>
      </c>
      <c r="H97" s="73" t="n">
        <v>34</v>
      </c>
      <c r="I97" s="73" t="n">
        <v>36</v>
      </c>
      <c r="J97" s="118" t="n">
        <f aca="false">IF(SUM($I97)&lt;=0,"",0%)</f>
        <v>0</v>
      </c>
      <c r="K97" s="118"/>
      <c r="L97" s="118"/>
      <c r="M97" s="118" t="n">
        <f aca="false">1-IF(NOT(AND($D97="Female",OR($C97="10-14",$C97="15-17"))),0,$K97)-IF(NOT(OR($C97="05-09",$C97="10-14")),0,$L97)</f>
        <v>1</v>
      </c>
      <c r="N97" s="118" t="n">
        <f aca="false">20%</f>
        <v>0.2</v>
      </c>
      <c r="O97" s="73" t="n">
        <f aca="false">IF(SUM($I97)&lt;=0,"",ROUND($I97*(1+$J97),0))</f>
        <v>36</v>
      </c>
      <c r="P97" s="75" t="str">
        <f aca="false">IF(OR(AND(SUM($K97)=0,SUM($O97)&lt;=0),NOT(AND($D97="Female",$G97="Y",OR($C97="10-14",$C97="15-17")))),"",ROUND($O97*$K97,0))</f>
        <v/>
      </c>
      <c r="Q97" s="75" t="str">
        <f aca="false">IF(OR(AND(SUM($L97)=0,SUM($O97)&lt;=0),NOT(OR($C97="10-14",$C97="05-09"))),"",ROUND($O97*$L97,0))</f>
        <v/>
      </c>
      <c r="R97" s="75" t="n">
        <f aca="false">IF(SUM($O97)&lt;=0,"",ROUND($O97*$M97*$N97,0))</f>
        <v>7</v>
      </c>
      <c r="S97" s="75" t="n">
        <f aca="false">IF(SUM($O97)&lt;=0,"",($O97*$M97)-$R97)</f>
        <v>29</v>
      </c>
      <c r="T97" s="118" t="str">
        <f aca="false">IF(OR($C97="18+",$C97="18-20",SUM($O97)&lt;=0),"",100%)</f>
        <v/>
      </c>
      <c r="U97" s="115" t="str">
        <f aca="false">IF(OR($C97="18+",$C97="18-20",(SUM($R97)+SUM($S97))=0),"",ROUND(SUM($R97,$S97)*$T97,0))</f>
        <v/>
      </c>
    </row>
    <row r="98" customFormat="false" ht="15" hidden="false" customHeight="false" outlineLevel="0" collapsed="false">
      <c r="A98" s="0" t="s">
        <v>146</v>
      </c>
      <c r="B98" s="0" t="s">
        <v>45</v>
      </c>
      <c r="C98" s="0" t="s">
        <v>884</v>
      </c>
      <c r="D98" s="0" t="s">
        <v>58</v>
      </c>
      <c r="E98" s="0" t="str">
        <f aca="false">B98&amp;"|"&amp;C98&amp;"|"&amp;D98</f>
        <v>Maseru [#SNU] [#DREAMS] [tKOXiaNhAyJ]|18+|Male</v>
      </c>
      <c r="F98" s="73" t="str">
        <f aca="false">_xlfn.IFNA(INDEX(Cascade!$F:$F,MATCH($E98,Cascade!$E:$E,0)),"")</f>
        <v/>
      </c>
      <c r="G98" s="0" t="s">
        <v>887</v>
      </c>
      <c r="H98" s="73" t="n">
        <v>44</v>
      </c>
      <c r="I98" s="73" t="n">
        <v>30</v>
      </c>
      <c r="J98" s="118" t="n">
        <f aca="false">IF(SUM($I98)&lt;=0,"",0%)</f>
        <v>0</v>
      </c>
      <c r="K98" s="118"/>
      <c r="L98" s="118"/>
      <c r="M98" s="118" t="n">
        <f aca="false">1-IF(NOT(AND($D98="Female",OR($C98="10-14",$C98="15-17"))),0,$K98)-IF(NOT(OR($C98="05-09",$C98="10-14")),0,$L98)</f>
        <v>1</v>
      </c>
      <c r="N98" s="118" t="n">
        <f aca="false">20%</f>
        <v>0.2</v>
      </c>
      <c r="O98" s="73" t="n">
        <f aca="false">IF(SUM($I98)&lt;=0,"",ROUND($I98*(1+$J98),0))</f>
        <v>30</v>
      </c>
      <c r="P98" s="75" t="str">
        <f aca="false">IF(OR(AND(SUM($K98)=0,SUM($O98)&lt;=0),NOT(AND($D98="Female",$G98="Y",OR($C98="10-14",$C98="15-17")))),"",ROUND($O98*$K98,0))</f>
        <v/>
      </c>
      <c r="Q98" s="75" t="str">
        <f aca="false">IF(OR(AND(SUM($L98)=0,SUM($O98)&lt;=0),NOT(OR($C98="10-14",$C98="05-09"))),"",ROUND($O98*$L98,0))</f>
        <v/>
      </c>
      <c r="R98" s="75" t="n">
        <f aca="false">IF(SUM($O98)&lt;=0,"",ROUND($O98*$M98*$N98,0))</f>
        <v>6</v>
      </c>
      <c r="S98" s="75" t="n">
        <f aca="false">IF(SUM($O98)&lt;=0,"",($O98*$M98)-$R98)</f>
        <v>24</v>
      </c>
      <c r="T98" s="118" t="str">
        <f aca="false">IF(OR($C98="18+",$C98="18-20",SUM($O98)&lt;=0),"",100%)</f>
        <v/>
      </c>
      <c r="U98" s="115" t="str">
        <f aca="false">IF(OR($C98="18+",$C98="18-20",(SUM($R98)+SUM($S98))=0),"",ROUND(SUM($R98,$S98)*$T98,0))</f>
        <v/>
      </c>
    </row>
    <row r="99" customFormat="false" ht="15" hidden="false" customHeight="false" outlineLevel="0" collapsed="false">
      <c r="A99" s="0" t="s">
        <v>147</v>
      </c>
      <c r="B99" s="0" t="s">
        <v>105</v>
      </c>
      <c r="C99" s="0" t="s">
        <v>89</v>
      </c>
      <c r="D99" s="0" t="s">
        <v>56</v>
      </c>
      <c r="E99" s="0" t="str">
        <f aca="false">B99&amp;"|"&amp;C99&amp;"|"&amp;D99</f>
        <v>Mohale's Hoek [#SNU] [#DREAMS] [YGI7vISD2kJ]|&lt;01|Female</v>
      </c>
      <c r="F99" s="73" t="n">
        <f aca="false">_xlfn.IFNA(INDEX(Cascade!$F:$F,MATCH($E99,Cascade!$E:$E,0)),"")</f>
        <v>1310</v>
      </c>
      <c r="G99" s="0" t="s">
        <v>888</v>
      </c>
      <c r="H99" s="73" t="n">
        <v>45</v>
      </c>
      <c r="I99" s="73" t="n">
        <v>43</v>
      </c>
      <c r="J99" s="118" t="n">
        <f aca="false">IF(SUM($I99)&lt;=0,"",0%)</f>
        <v>0</v>
      </c>
      <c r="K99" s="118"/>
      <c r="L99" s="118"/>
      <c r="M99" s="118" t="n">
        <f aca="false">1-IF(NOT(AND($D99="Female",OR($C99="10-14",$C99="15-17"))),0,$K99)-IF(NOT(OR($C99="05-09",$C99="10-14")),0,$L99)</f>
        <v>1</v>
      </c>
      <c r="N99" s="118" t="n">
        <f aca="false">20%</f>
        <v>0.2</v>
      </c>
      <c r="O99" s="73" t="n">
        <f aca="false">IF(SUM($I99)&lt;=0,"",ROUND($I99*(1+$J99),0))</f>
        <v>43</v>
      </c>
      <c r="P99" s="75" t="str">
        <f aca="false">IF(OR(AND(SUM($K99)=0,SUM($O99)&lt;=0),NOT(AND($D99="Female",$G99="Y",OR($C99="10-14",$C99="15-17")))),"",ROUND($O99*$K99,0))</f>
        <v/>
      </c>
      <c r="Q99" s="75" t="str">
        <f aca="false">IF(OR(AND(SUM($L99)=0,SUM($O99)&lt;=0),NOT(OR($C99="10-14",$C99="05-09"))),"",ROUND($O99*$L99,0))</f>
        <v/>
      </c>
      <c r="R99" s="75" t="n">
        <f aca="false">IF(SUM($O99)&lt;=0,"",ROUND($O99*$M99*$N99,0))</f>
        <v>9</v>
      </c>
      <c r="S99" s="75" t="n">
        <f aca="false">IF(SUM($O99)&lt;=0,"",($O99*$M99)-$R99)</f>
        <v>34</v>
      </c>
      <c r="T99" s="118" t="n">
        <f aca="false">IF(OR($C99="18+",$C99="18-20",SUM($O99)&lt;=0),"",100%)</f>
        <v>1</v>
      </c>
      <c r="U99" s="115" t="n">
        <f aca="false">IF(OR($C99="18+",$C99="18-20",(SUM($R99)+SUM($S99))=0),"",ROUND(SUM($R99,$S99)*$T99,0))</f>
        <v>43</v>
      </c>
    </row>
    <row r="100" customFormat="false" ht="15" hidden="false" customHeight="false" outlineLevel="0" collapsed="false">
      <c r="A100" s="0" t="s">
        <v>147</v>
      </c>
      <c r="B100" s="0" t="s">
        <v>105</v>
      </c>
      <c r="C100" s="0" t="s">
        <v>89</v>
      </c>
      <c r="D100" s="0" t="s">
        <v>58</v>
      </c>
      <c r="E100" s="0" t="str">
        <f aca="false">B100&amp;"|"&amp;C100&amp;"|"&amp;D100</f>
        <v>Mohale's Hoek [#SNU] [#DREAMS] [YGI7vISD2kJ]|&lt;01|Male</v>
      </c>
      <c r="F100" s="73" t="n">
        <f aca="false">_xlfn.IFNA(INDEX(Cascade!$F:$F,MATCH($E100,Cascade!$E:$E,0)),"")</f>
        <v>1350</v>
      </c>
      <c r="G100" s="0" t="s">
        <v>888</v>
      </c>
      <c r="H100" s="73" t="n">
        <v>36</v>
      </c>
      <c r="I100" s="73" t="n">
        <v>47</v>
      </c>
      <c r="J100" s="118" t="n">
        <f aca="false">IF(SUM($I100)&lt;=0,"",0%)</f>
        <v>0</v>
      </c>
      <c r="K100" s="118"/>
      <c r="L100" s="118"/>
      <c r="M100" s="118" t="n">
        <f aca="false">1-IF(NOT(AND($D100="Female",OR($C100="10-14",$C100="15-17"))),0,$K100)-IF(NOT(OR($C100="05-09",$C100="10-14")),0,$L100)</f>
        <v>1</v>
      </c>
      <c r="N100" s="118" t="n">
        <f aca="false">20%</f>
        <v>0.2</v>
      </c>
      <c r="O100" s="73" t="n">
        <f aca="false">IF(SUM($I100)&lt;=0,"",ROUND($I100*(1+$J100),0))</f>
        <v>47</v>
      </c>
      <c r="P100" s="75" t="str">
        <f aca="false">IF(OR(AND(SUM($K100)=0,SUM($O100)&lt;=0),NOT(AND($D100="Female",$G100="Y",OR($C100="10-14",$C100="15-17")))),"",ROUND($O100*$K100,0))</f>
        <v/>
      </c>
      <c r="Q100" s="75" t="str">
        <f aca="false">IF(OR(AND(SUM($L100)=0,SUM($O100)&lt;=0),NOT(OR($C100="10-14",$C100="05-09"))),"",ROUND($O100*$L100,0))</f>
        <v/>
      </c>
      <c r="R100" s="75" t="n">
        <f aca="false">IF(SUM($O100)&lt;=0,"",ROUND($O100*$M100*$N100,0))</f>
        <v>9</v>
      </c>
      <c r="S100" s="75" t="n">
        <f aca="false">IF(SUM($O100)&lt;=0,"",($O100*$M100)-$R100)</f>
        <v>38</v>
      </c>
      <c r="T100" s="118" t="n">
        <f aca="false">IF(OR($C100="18+",$C100="18-20",SUM($O100)&lt;=0),"",100%)</f>
        <v>1</v>
      </c>
      <c r="U100" s="115" t="n">
        <f aca="false">IF(OR($C100="18+",$C100="18-20",(SUM($R100)+SUM($S100))=0),"",ROUND(SUM($R100,$S100)*$T100,0))</f>
        <v>47</v>
      </c>
    </row>
    <row r="101" customFormat="false" ht="15" hidden="false" customHeight="false" outlineLevel="0" collapsed="false">
      <c r="A101" s="0" t="s">
        <v>147</v>
      </c>
      <c r="B101" s="0" t="s">
        <v>105</v>
      </c>
      <c r="C101" s="0" t="s">
        <v>54</v>
      </c>
      <c r="D101" s="0" t="s">
        <v>56</v>
      </c>
      <c r="E101" s="0" t="str">
        <f aca="false">B101&amp;"|"&amp;C101&amp;"|"&amp;D101</f>
        <v>Mohale's Hoek [#SNU] [#DREAMS] [YGI7vISD2kJ]|01-04|Female</v>
      </c>
      <c r="F101" s="73" t="n">
        <f aca="false">_xlfn.IFNA(INDEX(Cascade!$F:$F,MATCH($E101,Cascade!$E:$E,0)),"")</f>
        <v>6085</v>
      </c>
      <c r="G101" s="0" t="s">
        <v>888</v>
      </c>
      <c r="H101" s="73" t="n">
        <v>27</v>
      </c>
      <c r="I101" s="73" t="n">
        <v>17</v>
      </c>
      <c r="J101" s="118" t="n">
        <f aca="false">IF(SUM($I101)&lt;=0,"",0%)</f>
        <v>0</v>
      </c>
      <c r="K101" s="118"/>
      <c r="L101" s="118"/>
      <c r="M101" s="118" t="n">
        <f aca="false">1-IF(NOT(AND($D101="Female",OR($C101="10-14",$C101="15-17"))),0,$K101)-IF(NOT(OR($C101="05-09",$C101="10-14")),0,$L101)</f>
        <v>1</v>
      </c>
      <c r="N101" s="118" t="n">
        <f aca="false">20%</f>
        <v>0.2</v>
      </c>
      <c r="O101" s="73" t="n">
        <f aca="false">IF(SUM($I101)&lt;=0,"",ROUND($I101*(1+$J101),0))</f>
        <v>17</v>
      </c>
      <c r="P101" s="75" t="str">
        <f aca="false">IF(OR(AND(SUM($K101)=0,SUM($O101)&lt;=0),NOT(AND($D101="Female",$G101="Y",OR($C101="10-14",$C101="15-17")))),"",ROUND($O101*$K101,0))</f>
        <v/>
      </c>
      <c r="Q101" s="75" t="str">
        <f aca="false">IF(OR(AND(SUM($L101)=0,SUM($O101)&lt;=0),NOT(OR($C101="10-14",$C101="05-09"))),"",ROUND($O101*$L101,0))</f>
        <v/>
      </c>
      <c r="R101" s="75" t="n">
        <f aca="false">IF(SUM($O101)&lt;=0,"",ROUND($O101*$M101*$N101,0))</f>
        <v>3</v>
      </c>
      <c r="S101" s="75" t="n">
        <f aca="false">IF(SUM($O101)&lt;=0,"",($O101*$M101)-$R101)</f>
        <v>14</v>
      </c>
      <c r="T101" s="118" t="n">
        <f aca="false">IF(OR($C101="18+",$C101="18-20",SUM($O101)&lt;=0),"",100%)</f>
        <v>1</v>
      </c>
      <c r="U101" s="115" t="n">
        <f aca="false">IF(OR($C101="18+",$C101="18-20",(SUM($R101)+SUM($S101))=0),"",ROUND(SUM($R101,$S101)*$T101,0))</f>
        <v>17</v>
      </c>
    </row>
    <row r="102" customFormat="false" ht="15" hidden="false" customHeight="false" outlineLevel="0" collapsed="false">
      <c r="A102" s="0" t="s">
        <v>147</v>
      </c>
      <c r="B102" s="0" t="s">
        <v>105</v>
      </c>
      <c r="C102" s="0" t="s">
        <v>54</v>
      </c>
      <c r="D102" s="0" t="s">
        <v>58</v>
      </c>
      <c r="E102" s="0" t="str">
        <f aca="false">B102&amp;"|"&amp;C102&amp;"|"&amp;D102</f>
        <v>Mohale's Hoek [#SNU] [#DREAMS] [YGI7vISD2kJ]|01-04|Male</v>
      </c>
      <c r="F102" s="73" t="n">
        <f aca="false">_xlfn.IFNA(INDEX(Cascade!$F:$F,MATCH($E102,Cascade!$E:$E,0)),"")</f>
        <v>6270</v>
      </c>
      <c r="G102" s="0" t="s">
        <v>888</v>
      </c>
      <c r="H102" s="73" t="n">
        <v>3</v>
      </c>
      <c r="I102" s="73" t="n">
        <v>15</v>
      </c>
      <c r="J102" s="118" t="n">
        <f aca="false">IF(SUM($I102)&lt;=0,"",0%)</f>
        <v>0</v>
      </c>
      <c r="K102" s="118"/>
      <c r="L102" s="118"/>
      <c r="M102" s="118" t="n">
        <f aca="false">1-IF(NOT(AND($D102="Female",OR($C102="10-14",$C102="15-17"))),0,$K102)-IF(NOT(OR($C102="05-09",$C102="10-14")),0,$L102)</f>
        <v>1</v>
      </c>
      <c r="N102" s="118" t="n">
        <f aca="false">20%</f>
        <v>0.2</v>
      </c>
      <c r="O102" s="73" t="n">
        <f aca="false">IF(SUM($I102)&lt;=0,"",ROUND($I102*(1+$J102),0))</f>
        <v>15</v>
      </c>
      <c r="P102" s="75" t="str">
        <f aca="false">IF(OR(AND(SUM($K102)=0,SUM($O102)&lt;=0),NOT(AND($D102="Female",$G102="Y",OR($C102="10-14",$C102="15-17")))),"",ROUND($O102*$K102,0))</f>
        <v/>
      </c>
      <c r="Q102" s="75" t="str">
        <f aca="false">IF(OR(AND(SUM($L102)=0,SUM($O102)&lt;=0),NOT(OR($C102="10-14",$C102="05-09"))),"",ROUND($O102*$L102,0))</f>
        <v/>
      </c>
      <c r="R102" s="75" t="n">
        <f aca="false">IF(SUM($O102)&lt;=0,"",ROUND($O102*$M102*$N102,0))</f>
        <v>3</v>
      </c>
      <c r="S102" s="75" t="n">
        <f aca="false">IF(SUM($O102)&lt;=0,"",($O102*$M102)-$R102)</f>
        <v>12</v>
      </c>
      <c r="T102" s="118" t="n">
        <f aca="false">IF(OR($C102="18+",$C102="18-20",SUM($O102)&lt;=0),"",100%)</f>
        <v>1</v>
      </c>
      <c r="U102" s="115" t="n">
        <f aca="false">IF(OR($C102="18+",$C102="18-20",(SUM($R102)+SUM($S102))=0),"",ROUND(SUM($R102,$S102)*$T102,0))</f>
        <v>15</v>
      </c>
    </row>
    <row r="103" customFormat="false" ht="15" hidden="false" customHeight="false" outlineLevel="0" collapsed="false">
      <c r="A103" s="0" t="s">
        <v>147</v>
      </c>
      <c r="B103" s="0" t="s">
        <v>105</v>
      </c>
      <c r="C103" s="0" t="s">
        <v>83</v>
      </c>
      <c r="D103" s="0" t="s">
        <v>56</v>
      </c>
      <c r="E103" s="0" t="str">
        <f aca="false">B103&amp;"|"&amp;C103&amp;"|"&amp;D103</f>
        <v>Mohale's Hoek [#SNU] [#DREAMS] [YGI7vISD2kJ]|05-09|Female</v>
      </c>
      <c r="F103" s="73" t="n">
        <f aca="false">_xlfn.IFNA(INDEX(Cascade!$F:$F,MATCH($E103,Cascade!$E:$E,0)),"")</f>
        <v>9204</v>
      </c>
      <c r="G103" s="0" t="s">
        <v>888</v>
      </c>
      <c r="H103" s="73" t="n">
        <v>42</v>
      </c>
      <c r="I103" s="73" t="n">
        <v>40</v>
      </c>
      <c r="J103" s="118" t="n">
        <f aca="false">IF(SUM($I103)&lt;=0,"",0%)</f>
        <v>0</v>
      </c>
      <c r="K103" s="118"/>
      <c r="L103" s="118"/>
      <c r="M103" s="118" t="n">
        <f aca="false">1-IF(NOT(AND($D103="Female",OR($C103="10-14",$C103="15-17"))),0,$K103)-IF(NOT(OR($C103="05-09",$C103="10-14")),0,$L103)</f>
        <v>1</v>
      </c>
      <c r="N103" s="118" t="n">
        <f aca="false">20%</f>
        <v>0.2</v>
      </c>
      <c r="O103" s="73" t="n">
        <f aca="false">IF(SUM($I103)&lt;=0,"",ROUND($I103*(1+$J103),0))</f>
        <v>40</v>
      </c>
      <c r="P103" s="75" t="str">
        <f aca="false">IF(OR(AND(SUM($K103)=0,SUM($O103)&lt;=0),NOT(AND($D103="Female",$G103="Y",OR($C103="10-14",$C103="15-17")))),"",ROUND($O103*$K103,0))</f>
        <v/>
      </c>
      <c r="Q103" s="75" t="n">
        <f aca="false">IF(OR(AND(SUM($L103)=0,SUM($O103)&lt;=0),NOT(OR($C103="10-14",$C103="05-09"))),"",ROUND($O103*$L103,0))</f>
        <v>0</v>
      </c>
      <c r="R103" s="75" t="n">
        <f aca="false">IF(SUM($O103)&lt;=0,"",ROUND($O103*$M103*$N103,0))</f>
        <v>8</v>
      </c>
      <c r="S103" s="75" t="n">
        <f aca="false">IF(SUM($O103)&lt;=0,"",($O103*$M103)-$R103)</f>
        <v>32</v>
      </c>
      <c r="T103" s="118" t="n">
        <f aca="false">IF(OR($C103="18+",$C103="18-20",SUM($O103)&lt;=0),"",100%)</f>
        <v>1</v>
      </c>
      <c r="U103" s="115" t="n">
        <f aca="false">IF(OR($C103="18+",$C103="18-20",(SUM($R103)+SUM($S103))=0),"",ROUND(SUM($R103,$S103)*$T103,0))</f>
        <v>40</v>
      </c>
    </row>
    <row r="104" customFormat="false" ht="15" hidden="false" customHeight="false" outlineLevel="0" collapsed="false">
      <c r="A104" s="0" t="s">
        <v>147</v>
      </c>
      <c r="B104" s="0" t="s">
        <v>105</v>
      </c>
      <c r="C104" s="0" t="s">
        <v>83</v>
      </c>
      <c r="D104" s="0" t="s">
        <v>58</v>
      </c>
      <c r="E104" s="0" t="str">
        <f aca="false">B104&amp;"|"&amp;C104&amp;"|"&amp;D104</f>
        <v>Mohale's Hoek [#SNU] [#DREAMS] [YGI7vISD2kJ]|05-09|Male</v>
      </c>
      <c r="F104" s="73" t="n">
        <f aca="false">_xlfn.IFNA(INDEX(Cascade!$F:$F,MATCH($E104,Cascade!$E:$E,0)),"")</f>
        <v>8972</v>
      </c>
      <c r="G104" s="0" t="s">
        <v>888</v>
      </c>
      <c r="H104" s="73" t="n">
        <v>38</v>
      </c>
      <c r="I104" s="73" t="n">
        <v>14</v>
      </c>
      <c r="J104" s="118" t="n">
        <f aca="false">IF(SUM($I104)&lt;=0,"",0%)</f>
        <v>0</v>
      </c>
      <c r="K104" s="118"/>
      <c r="L104" s="118"/>
      <c r="M104" s="118" t="n">
        <f aca="false">1-IF(NOT(AND($D104="Female",OR($C104="10-14",$C104="15-17"))),0,$K104)-IF(NOT(OR($C104="05-09",$C104="10-14")),0,$L104)</f>
        <v>1</v>
      </c>
      <c r="N104" s="118" t="n">
        <f aca="false">20%</f>
        <v>0.2</v>
      </c>
      <c r="O104" s="73" t="n">
        <f aca="false">IF(SUM($I104)&lt;=0,"",ROUND($I104*(1+$J104),0))</f>
        <v>14</v>
      </c>
      <c r="P104" s="75" t="str">
        <f aca="false">IF(OR(AND(SUM($K104)=0,SUM($O104)&lt;=0),NOT(AND($D104="Female",$G104="Y",OR($C104="10-14",$C104="15-17")))),"",ROUND($O104*$K104,0))</f>
        <v/>
      </c>
      <c r="Q104" s="75" t="n">
        <f aca="false">IF(OR(AND(SUM($L104)=0,SUM($O104)&lt;=0),NOT(OR($C104="10-14",$C104="05-09"))),"",ROUND($O104*$L104,0))</f>
        <v>0</v>
      </c>
      <c r="R104" s="75" t="n">
        <f aca="false">IF(SUM($O104)&lt;=0,"",ROUND($O104*$M104*$N104,0))</f>
        <v>3</v>
      </c>
      <c r="S104" s="75" t="n">
        <f aca="false">IF(SUM($O104)&lt;=0,"",($O104*$M104)-$R104)</f>
        <v>11</v>
      </c>
      <c r="T104" s="118" t="n">
        <f aca="false">IF(OR($C104="18+",$C104="18-20",SUM($O104)&lt;=0),"",100%)</f>
        <v>1</v>
      </c>
      <c r="U104" s="115" t="n">
        <f aca="false">IF(OR($C104="18+",$C104="18-20",(SUM($R104)+SUM($S104))=0),"",ROUND(SUM($R104,$S104)*$T104,0))</f>
        <v>14</v>
      </c>
    </row>
    <row r="105" customFormat="false" ht="15" hidden="false" customHeight="false" outlineLevel="0" collapsed="false">
      <c r="A105" s="0" t="s">
        <v>147</v>
      </c>
      <c r="B105" s="0" t="s">
        <v>105</v>
      </c>
      <c r="C105" s="0" t="s">
        <v>61</v>
      </c>
      <c r="D105" s="0" t="s">
        <v>56</v>
      </c>
      <c r="E105" s="0" t="str">
        <f aca="false">B105&amp;"|"&amp;C105&amp;"|"&amp;D105</f>
        <v>Mohale's Hoek [#SNU] [#DREAMS] [YGI7vISD2kJ]|10-14|Female</v>
      </c>
      <c r="F105" s="73" t="n">
        <f aca="false">_xlfn.IFNA(INDEX(Cascade!$F:$F,MATCH($E105,Cascade!$E:$E,0)),"")</f>
        <v>8928</v>
      </c>
      <c r="G105" s="0" t="s">
        <v>888</v>
      </c>
      <c r="H105" s="73" t="n">
        <v>26</v>
      </c>
      <c r="I105" s="73" t="n">
        <v>40</v>
      </c>
      <c r="J105" s="118" t="n">
        <f aca="false">IF(SUM($I105)&lt;=0,"",0%)</f>
        <v>0</v>
      </c>
      <c r="K105" s="118"/>
      <c r="L105" s="118"/>
      <c r="M105" s="118" t="n">
        <f aca="false">1-IF(NOT(AND($D105="Female",OR($C105="10-14",$C105="15-17"))),0,$K105)-IF(NOT(OR($C105="05-09",$C105="10-14")),0,$L105)</f>
        <v>1</v>
      </c>
      <c r="N105" s="118" t="n">
        <f aca="false">20%</f>
        <v>0.2</v>
      </c>
      <c r="O105" s="73" t="n">
        <f aca="false">IF(SUM($I105)&lt;=0,"",ROUND($I105*(1+$J105),0))</f>
        <v>40</v>
      </c>
      <c r="P105" s="75" t="str">
        <f aca="false">IF(OR(AND(SUM($K105)=0,SUM($O105)&lt;=0),NOT(AND($D105="Female",$G105="Y",OR($C105="10-14",$C105="15-17")))),"",ROUND($O105*$K105,0))</f>
        <v/>
      </c>
      <c r="Q105" s="75" t="n">
        <f aca="false">IF(OR(AND(SUM($L105)=0,SUM($O105)&lt;=0),NOT(OR($C105="10-14",$C105="05-09"))),"",ROUND($O105*$L105,0))</f>
        <v>0</v>
      </c>
      <c r="R105" s="75" t="n">
        <f aca="false">IF(SUM($O105)&lt;=0,"",ROUND($O105*$M105*$N105,0))</f>
        <v>8</v>
      </c>
      <c r="S105" s="75" t="n">
        <f aca="false">IF(SUM($O105)&lt;=0,"",($O105*$M105)-$R105)</f>
        <v>32</v>
      </c>
      <c r="T105" s="118" t="n">
        <f aca="false">IF(OR($C105="18+",$C105="18-20",SUM($O105)&lt;=0),"",100%)</f>
        <v>1</v>
      </c>
      <c r="U105" s="115" t="n">
        <f aca="false">IF(OR($C105="18+",$C105="18-20",(SUM($R105)+SUM($S105))=0),"",ROUND(SUM($R105,$S105)*$T105,0))</f>
        <v>40</v>
      </c>
    </row>
    <row r="106" customFormat="false" ht="15" hidden="false" customHeight="false" outlineLevel="0" collapsed="false">
      <c r="A106" s="0" t="s">
        <v>147</v>
      </c>
      <c r="B106" s="0" t="s">
        <v>105</v>
      </c>
      <c r="C106" s="0" t="s">
        <v>61</v>
      </c>
      <c r="D106" s="0" t="s">
        <v>58</v>
      </c>
      <c r="E106" s="0" t="str">
        <f aca="false">B106&amp;"|"&amp;C106&amp;"|"&amp;D106</f>
        <v>Mohale's Hoek [#SNU] [#DREAMS] [YGI7vISD2kJ]|10-14|Male</v>
      </c>
      <c r="F106" s="73" t="n">
        <f aca="false">_xlfn.IFNA(INDEX(Cascade!$F:$F,MATCH($E106,Cascade!$E:$E,0)),"")</f>
        <v>8753</v>
      </c>
      <c r="G106" s="0" t="s">
        <v>888</v>
      </c>
      <c r="H106" s="73" t="n">
        <v>43</v>
      </c>
      <c r="I106" s="73" t="n">
        <v>48</v>
      </c>
      <c r="J106" s="118" t="n">
        <f aca="false">IF(SUM($I106)&lt;=0,"",0%)</f>
        <v>0</v>
      </c>
      <c r="K106" s="118"/>
      <c r="L106" s="118"/>
      <c r="M106" s="118" t="n">
        <f aca="false">1-IF(NOT(AND($D106="Female",OR($C106="10-14",$C106="15-17"))),0,$K106)-IF(NOT(OR($C106="05-09",$C106="10-14")),0,$L106)</f>
        <v>1</v>
      </c>
      <c r="N106" s="118" t="n">
        <f aca="false">20%</f>
        <v>0.2</v>
      </c>
      <c r="O106" s="73" t="n">
        <f aca="false">IF(SUM($I106)&lt;=0,"",ROUND($I106*(1+$J106),0))</f>
        <v>48</v>
      </c>
      <c r="P106" s="75" t="str">
        <f aca="false">IF(OR(AND(SUM($K106)=0,SUM($O106)&lt;=0),NOT(AND($D106="Female",$G106="Y",OR($C106="10-14",$C106="15-17")))),"",ROUND($O106*$K106,0))</f>
        <v/>
      </c>
      <c r="Q106" s="75" t="n">
        <f aca="false">IF(OR(AND(SUM($L106)=0,SUM($O106)&lt;=0),NOT(OR($C106="10-14",$C106="05-09"))),"",ROUND($O106*$L106,0))</f>
        <v>0</v>
      </c>
      <c r="R106" s="75" t="n">
        <f aca="false">IF(SUM($O106)&lt;=0,"",ROUND($O106*$M106*$N106,0))</f>
        <v>10</v>
      </c>
      <c r="S106" s="75" t="n">
        <f aca="false">IF(SUM($O106)&lt;=0,"",($O106*$M106)-$R106)</f>
        <v>38</v>
      </c>
      <c r="T106" s="118" t="n">
        <f aca="false">IF(OR($C106="18+",$C106="18-20",SUM($O106)&lt;=0),"",100%)</f>
        <v>1</v>
      </c>
      <c r="U106" s="115" t="n">
        <f aca="false">IF(OR($C106="18+",$C106="18-20",(SUM($R106)+SUM($S106))=0),"",ROUND(SUM($R106,$S106)*$T106,0))</f>
        <v>48</v>
      </c>
    </row>
    <row r="107" customFormat="false" ht="15" hidden="false" customHeight="false" outlineLevel="0" collapsed="false">
      <c r="A107" s="0" t="s">
        <v>147</v>
      </c>
      <c r="B107" s="0" t="s">
        <v>105</v>
      </c>
      <c r="C107" s="0" t="s">
        <v>882</v>
      </c>
      <c r="D107" s="0" t="s">
        <v>56</v>
      </c>
      <c r="E107" s="0" t="str">
        <f aca="false">B107&amp;"|"&amp;C107&amp;"|"&amp;D107</f>
        <v>Mohale's Hoek [#SNU] [#DREAMS] [YGI7vISD2kJ]|15-17|Female</v>
      </c>
      <c r="F107" s="73" t="str">
        <f aca="false">_xlfn.IFNA(INDEX(Cascade!$F:$F,MATCH($E107,Cascade!$E:$E,0)),"")</f>
        <v/>
      </c>
      <c r="G107" s="0" t="s">
        <v>888</v>
      </c>
      <c r="H107" s="73" t="n">
        <v>10</v>
      </c>
      <c r="I107" s="73" t="n">
        <v>42</v>
      </c>
      <c r="J107" s="118" t="n">
        <f aca="false">IF(SUM($I107)&lt;=0,"",0%)</f>
        <v>0</v>
      </c>
      <c r="K107" s="118"/>
      <c r="L107" s="118"/>
      <c r="M107" s="118" t="n">
        <f aca="false">1-IF(NOT(AND($D107="Female",OR($C107="10-14",$C107="15-17"))),0,$K107)-IF(NOT(OR($C107="05-09",$C107="10-14")),0,$L107)</f>
        <v>1</v>
      </c>
      <c r="N107" s="118" t="n">
        <f aca="false">20%</f>
        <v>0.2</v>
      </c>
      <c r="O107" s="73" t="n">
        <f aca="false">IF(SUM($I107)&lt;=0,"",ROUND($I107*(1+$J107),0))</f>
        <v>42</v>
      </c>
      <c r="P107" s="75" t="str">
        <f aca="false">IF(OR(AND(SUM($K107)=0,SUM($O107)&lt;=0),NOT(AND($D107="Female",$G107="Y",OR($C107="10-14",$C107="15-17")))),"",ROUND($O107*$K107,0))</f>
        <v/>
      </c>
      <c r="Q107" s="75" t="str">
        <f aca="false">IF(OR(AND(SUM($L107)=0,SUM($O107)&lt;=0),NOT(OR($C107="10-14",$C107="05-09"))),"",ROUND($O107*$L107,0))</f>
        <v/>
      </c>
      <c r="R107" s="75" t="n">
        <f aca="false">IF(SUM($O107)&lt;=0,"",ROUND($O107*$M107*$N107,0))</f>
        <v>8</v>
      </c>
      <c r="S107" s="75" t="n">
        <f aca="false">IF(SUM($O107)&lt;=0,"",($O107*$M107)-$R107)</f>
        <v>34</v>
      </c>
      <c r="T107" s="118" t="n">
        <f aca="false">IF(OR($C107="18+",$C107="18-20",SUM($O107)&lt;=0),"",100%)</f>
        <v>1</v>
      </c>
      <c r="U107" s="115" t="n">
        <f aca="false">IF(OR($C107="18+",$C107="18-20",(SUM($R107)+SUM($S107))=0),"",ROUND(SUM($R107,$S107)*$T107,0))</f>
        <v>42</v>
      </c>
    </row>
    <row r="108" customFormat="false" ht="15" hidden="false" customHeight="false" outlineLevel="0" collapsed="false">
      <c r="A108" s="0" t="s">
        <v>147</v>
      </c>
      <c r="B108" s="0" t="s">
        <v>105</v>
      </c>
      <c r="C108" s="0" t="s">
        <v>882</v>
      </c>
      <c r="D108" s="0" t="s">
        <v>58</v>
      </c>
      <c r="E108" s="0" t="str">
        <f aca="false">B108&amp;"|"&amp;C108&amp;"|"&amp;D108</f>
        <v>Mohale's Hoek [#SNU] [#DREAMS] [YGI7vISD2kJ]|15-17|Male</v>
      </c>
      <c r="F108" s="73" t="str">
        <f aca="false">_xlfn.IFNA(INDEX(Cascade!$F:$F,MATCH($E108,Cascade!$E:$E,0)),"")</f>
        <v/>
      </c>
      <c r="G108" s="0" t="s">
        <v>888</v>
      </c>
      <c r="H108" s="73" t="n">
        <v>45</v>
      </c>
      <c r="I108" s="73" t="n">
        <v>36</v>
      </c>
      <c r="J108" s="118" t="n">
        <f aca="false">IF(SUM($I108)&lt;=0,"",0%)</f>
        <v>0</v>
      </c>
      <c r="K108" s="118"/>
      <c r="L108" s="118"/>
      <c r="M108" s="118" t="n">
        <f aca="false">1-IF(NOT(AND($D108="Female",OR($C108="10-14",$C108="15-17"))),0,$K108)-IF(NOT(OR($C108="05-09",$C108="10-14")),0,$L108)</f>
        <v>1</v>
      </c>
      <c r="N108" s="118" t="n">
        <f aca="false">20%</f>
        <v>0.2</v>
      </c>
      <c r="O108" s="73" t="n">
        <f aca="false">IF(SUM($I108)&lt;=0,"",ROUND($I108*(1+$J108),0))</f>
        <v>36</v>
      </c>
      <c r="P108" s="75" t="str">
        <f aca="false">IF(OR(AND(SUM($K108)=0,SUM($O108)&lt;=0),NOT(AND($D108="Female",$G108="Y",OR($C108="10-14",$C108="15-17")))),"",ROUND($O108*$K108,0))</f>
        <v/>
      </c>
      <c r="Q108" s="75" t="str">
        <f aca="false">IF(OR(AND(SUM($L108)=0,SUM($O108)&lt;=0),NOT(OR($C108="10-14",$C108="05-09"))),"",ROUND($O108*$L108,0))</f>
        <v/>
      </c>
      <c r="R108" s="75" t="n">
        <f aca="false">IF(SUM($O108)&lt;=0,"",ROUND($O108*$M108*$N108,0))</f>
        <v>7</v>
      </c>
      <c r="S108" s="75" t="n">
        <f aca="false">IF(SUM($O108)&lt;=0,"",($O108*$M108)-$R108)</f>
        <v>29</v>
      </c>
      <c r="T108" s="118" t="n">
        <f aca="false">IF(OR($C108="18+",$C108="18-20",SUM($O108)&lt;=0),"",100%)</f>
        <v>1</v>
      </c>
      <c r="U108" s="115" t="n">
        <f aca="false">IF(OR($C108="18+",$C108="18-20",(SUM($R108)+SUM($S108))=0),"",ROUND(SUM($R108,$S108)*$T108,0))</f>
        <v>36</v>
      </c>
    </row>
    <row r="109" customFormat="false" ht="15" hidden="false" customHeight="false" outlineLevel="0" collapsed="false">
      <c r="A109" s="0" t="s">
        <v>147</v>
      </c>
      <c r="B109" s="0" t="s">
        <v>105</v>
      </c>
      <c r="C109" s="0" t="s">
        <v>883</v>
      </c>
      <c r="D109" s="0" t="s">
        <v>56</v>
      </c>
      <c r="E109" s="0" t="str">
        <f aca="false">B109&amp;"|"&amp;C109&amp;"|"&amp;D109</f>
        <v>Mohale's Hoek [#SNU] [#DREAMS] [YGI7vISD2kJ]|18-20|Female</v>
      </c>
      <c r="F109" s="73" t="str">
        <f aca="false">_xlfn.IFNA(INDEX(Cascade!$F:$F,MATCH($E109,Cascade!$E:$E,0)),"")</f>
        <v/>
      </c>
      <c r="G109" s="0" t="s">
        <v>888</v>
      </c>
      <c r="H109" s="73"/>
      <c r="I109" s="73"/>
      <c r="J109" s="118" t="str">
        <f aca="false">IF(SUM($I109)&lt;=0,"",0%)</f>
        <v/>
      </c>
      <c r="K109" s="118"/>
      <c r="L109" s="118"/>
      <c r="M109" s="118" t="n">
        <f aca="false">1-IF(NOT(AND($D109="Female",OR($C109="10-14",$C109="15-17"))),0,$K109)-IF(NOT(OR($C109="05-09",$C109="10-14")),0,$L109)</f>
        <v>1</v>
      </c>
      <c r="N109" s="118" t="n">
        <f aca="false">20%</f>
        <v>0.2</v>
      </c>
      <c r="O109" s="73" t="str">
        <f aca="false">IF(SUM($I109)&lt;=0,"",ROUND($I109*(1+$J109),0))</f>
        <v/>
      </c>
      <c r="P109" s="75" t="str">
        <f aca="false">IF(OR(AND(SUM($K109)=0,SUM($O109)&lt;=0),NOT(AND($D109="Female",$G109="Y",OR($C109="10-14",$C109="15-17")))),"",ROUND($O109*$K109,0))</f>
        <v/>
      </c>
      <c r="Q109" s="75" t="str">
        <f aca="false">IF(OR(AND(SUM($L109)=0,SUM($O109)&lt;=0),NOT(OR($C109="10-14",$C109="05-09"))),"",ROUND($O109*$L109,0))</f>
        <v/>
      </c>
      <c r="R109" s="75" t="str">
        <f aca="false">IF(SUM($O109)&lt;=0,"",ROUND($O109*$M109*$N109,0))</f>
        <v/>
      </c>
      <c r="S109" s="75" t="str">
        <f aca="false">IF(SUM($O109)&lt;=0,"",($O109*$M109)-$R109)</f>
        <v/>
      </c>
      <c r="T109" s="118" t="str">
        <f aca="false">IF(OR($C109="18+",$C109="18-20",SUM($O109)&lt;=0),"",100%)</f>
        <v/>
      </c>
      <c r="U109" s="115" t="str">
        <f aca="false">IF(OR($C109="18+",$C109="18-20",(SUM($R109)+SUM($S109))=0),"",ROUND(SUM($R109,$S109)*$T109,0))</f>
        <v/>
      </c>
    </row>
    <row r="110" customFormat="false" ht="15" hidden="false" customHeight="false" outlineLevel="0" collapsed="false">
      <c r="A110" s="0" t="s">
        <v>147</v>
      </c>
      <c r="B110" s="0" t="s">
        <v>105</v>
      </c>
      <c r="C110" s="0" t="s">
        <v>883</v>
      </c>
      <c r="D110" s="0" t="s">
        <v>58</v>
      </c>
      <c r="E110" s="0" t="str">
        <f aca="false">B110&amp;"|"&amp;C110&amp;"|"&amp;D110</f>
        <v>Mohale's Hoek [#SNU] [#DREAMS] [YGI7vISD2kJ]|18-20|Male</v>
      </c>
      <c r="F110" s="73" t="str">
        <f aca="false">_xlfn.IFNA(INDEX(Cascade!$F:$F,MATCH($E110,Cascade!$E:$E,0)),"")</f>
        <v/>
      </c>
      <c r="G110" s="0" t="s">
        <v>888</v>
      </c>
      <c r="H110" s="73"/>
      <c r="I110" s="73"/>
      <c r="J110" s="118" t="str">
        <f aca="false">IF(SUM($I110)&lt;=0,"",0%)</f>
        <v/>
      </c>
      <c r="K110" s="118"/>
      <c r="L110" s="118"/>
      <c r="M110" s="118" t="n">
        <f aca="false">1-IF(NOT(AND($D110="Female",OR($C110="10-14",$C110="15-17"))),0,$K110)-IF(NOT(OR($C110="05-09",$C110="10-14")),0,$L110)</f>
        <v>1</v>
      </c>
      <c r="N110" s="118" t="n">
        <f aca="false">20%</f>
        <v>0.2</v>
      </c>
      <c r="O110" s="73" t="str">
        <f aca="false">IF(SUM($I110)&lt;=0,"",ROUND($I110*(1+$J110),0))</f>
        <v/>
      </c>
      <c r="P110" s="75" t="str">
        <f aca="false">IF(OR(AND(SUM($K110)=0,SUM($O110)&lt;=0),NOT(AND($D110="Female",$G110="Y",OR($C110="10-14",$C110="15-17")))),"",ROUND($O110*$K110,0))</f>
        <v/>
      </c>
      <c r="Q110" s="75" t="str">
        <f aca="false">IF(OR(AND(SUM($L110)=0,SUM($O110)&lt;=0),NOT(OR($C110="10-14",$C110="05-09"))),"",ROUND($O110*$L110,0))</f>
        <v/>
      </c>
      <c r="R110" s="75" t="str">
        <f aca="false">IF(SUM($O110)&lt;=0,"",ROUND($O110*$M110*$N110,0))</f>
        <v/>
      </c>
      <c r="S110" s="75" t="str">
        <f aca="false">IF(SUM($O110)&lt;=0,"",($O110*$M110)-$R110)</f>
        <v/>
      </c>
      <c r="T110" s="118" t="str">
        <f aca="false">IF(OR($C110="18+",$C110="18-20",SUM($O110)&lt;=0),"",100%)</f>
        <v/>
      </c>
      <c r="U110" s="115" t="str">
        <f aca="false">IF(OR($C110="18+",$C110="18-20",(SUM($R110)+SUM($S110))=0),"",ROUND(SUM($R110,$S110)*$T110,0))</f>
        <v/>
      </c>
    </row>
    <row r="111" customFormat="false" ht="15" hidden="false" customHeight="false" outlineLevel="0" collapsed="false">
      <c r="A111" s="0" t="s">
        <v>147</v>
      </c>
      <c r="B111" s="0" t="s">
        <v>105</v>
      </c>
      <c r="C111" s="0" t="s">
        <v>884</v>
      </c>
      <c r="D111" s="0" t="s">
        <v>56</v>
      </c>
      <c r="E111" s="0" t="str">
        <f aca="false">B111&amp;"|"&amp;C111&amp;"|"&amp;D111</f>
        <v>Mohale's Hoek [#SNU] [#DREAMS] [YGI7vISD2kJ]|18+|Female</v>
      </c>
      <c r="F111" s="73" t="str">
        <f aca="false">_xlfn.IFNA(INDEX(Cascade!$F:$F,MATCH($E111,Cascade!$E:$E,0)),"")</f>
        <v/>
      </c>
      <c r="G111" s="0" t="s">
        <v>888</v>
      </c>
      <c r="H111" s="73" t="n">
        <v>6</v>
      </c>
      <c r="I111" s="73" t="n">
        <v>5</v>
      </c>
      <c r="J111" s="118" t="n">
        <f aca="false">IF(SUM($I111)&lt;=0,"",0%)</f>
        <v>0</v>
      </c>
      <c r="K111" s="118"/>
      <c r="L111" s="118"/>
      <c r="M111" s="118" t="n">
        <f aca="false">1-IF(NOT(AND($D111="Female",OR($C111="10-14",$C111="15-17"))),0,$K111)-IF(NOT(OR($C111="05-09",$C111="10-14")),0,$L111)</f>
        <v>1</v>
      </c>
      <c r="N111" s="118" t="n">
        <f aca="false">20%</f>
        <v>0.2</v>
      </c>
      <c r="O111" s="73" t="n">
        <f aca="false">IF(SUM($I111)&lt;=0,"",ROUND($I111*(1+$J111),0))</f>
        <v>5</v>
      </c>
      <c r="P111" s="75" t="str">
        <f aca="false">IF(OR(AND(SUM($K111)=0,SUM($O111)&lt;=0),NOT(AND($D111="Female",$G111="Y",OR($C111="10-14",$C111="15-17")))),"",ROUND($O111*$K111,0))</f>
        <v/>
      </c>
      <c r="Q111" s="75" t="str">
        <f aca="false">IF(OR(AND(SUM($L111)=0,SUM($O111)&lt;=0),NOT(OR($C111="10-14",$C111="05-09"))),"",ROUND($O111*$L111,0))</f>
        <v/>
      </c>
      <c r="R111" s="75" t="n">
        <f aca="false">IF(SUM($O111)&lt;=0,"",ROUND($O111*$M111*$N111,0))</f>
        <v>1</v>
      </c>
      <c r="S111" s="75" t="n">
        <f aca="false">IF(SUM($O111)&lt;=0,"",($O111*$M111)-$R111)</f>
        <v>4</v>
      </c>
      <c r="T111" s="118" t="str">
        <f aca="false">IF(OR($C111="18+",$C111="18-20",SUM($O111)&lt;=0),"",100%)</f>
        <v/>
      </c>
      <c r="U111" s="115" t="str">
        <f aca="false">IF(OR($C111="18+",$C111="18-20",(SUM($R111)+SUM($S111))=0),"",ROUND(SUM($R111,$S111)*$T111,0))</f>
        <v/>
      </c>
    </row>
    <row r="112" customFormat="false" ht="15" hidden="false" customHeight="false" outlineLevel="0" collapsed="false">
      <c r="A112" s="0" t="s">
        <v>147</v>
      </c>
      <c r="B112" s="0" t="s">
        <v>105</v>
      </c>
      <c r="C112" s="0" t="s">
        <v>884</v>
      </c>
      <c r="D112" s="0" t="s">
        <v>58</v>
      </c>
      <c r="E112" s="0" t="str">
        <f aca="false">B112&amp;"|"&amp;C112&amp;"|"&amp;D112</f>
        <v>Mohale's Hoek [#SNU] [#DREAMS] [YGI7vISD2kJ]|18+|Male</v>
      </c>
      <c r="F112" s="73" t="str">
        <f aca="false">_xlfn.IFNA(INDEX(Cascade!$F:$F,MATCH($E112,Cascade!$E:$E,0)),"")</f>
        <v/>
      </c>
      <c r="G112" s="0" t="s">
        <v>888</v>
      </c>
      <c r="H112" s="73" t="n">
        <v>12</v>
      </c>
      <c r="I112" s="73" t="n">
        <v>13</v>
      </c>
      <c r="J112" s="118" t="n">
        <f aca="false">IF(SUM($I112)&lt;=0,"",0%)</f>
        <v>0</v>
      </c>
      <c r="K112" s="118"/>
      <c r="L112" s="118"/>
      <c r="M112" s="118" t="n">
        <f aca="false">1-IF(NOT(AND($D112="Female",OR($C112="10-14",$C112="15-17"))),0,$K112)-IF(NOT(OR($C112="05-09",$C112="10-14")),0,$L112)</f>
        <v>1</v>
      </c>
      <c r="N112" s="118" t="n">
        <f aca="false">20%</f>
        <v>0.2</v>
      </c>
      <c r="O112" s="73" t="n">
        <f aca="false">IF(SUM($I112)&lt;=0,"",ROUND($I112*(1+$J112),0))</f>
        <v>13</v>
      </c>
      <c r="P112" s="75" t="str">
        <f aca="false">IF(OR(AND(SUM($K112)=0,SUM($O112)&lt;=0),NOT(AND($D112="Female",$G112="Y",OR($C112="10-14",$C112="15-17")))),"",ROUND($O112*$K112,0))</f>
        <v/>
      </c>
      <c r="Q112" s="75" t="str">
        <f aca="false">IF(OR(AND(SUM($L112)=0,SUM($O112)&lt;=0),NOT(OR($C112="10-14",$C112="05-09"))),"",ROUND($O112*$L112,0))</f>
        <v/>
      </c>
      <c r="R112" s="75" t="n">
        <f aca="false">IF(SUM($O112)&lt;=0,"",ROUND($O112*$M112*$N112,0))</f>
        <v>3</v>
      </c>
      <c r="S112" s="75" t="n">
        <f aca="false">IF(SUM($O112)&lt;=0,"",($O112*$M112)-$R112)</f>
        <v>10</v>
      </c>
      <c r="T112" s="118" t="str">
        <f aca="false">IF(OR($C112="18+",$C112="18-20",SUM($O112)&lt;=0),"",100%)</f>
        <v/>
      </c>
      <c r="U112" s="115" t="str">
        <f aca="false">IF(OR($C112="18+",$C112="18-20",(SUM($R112)+SUM($S112))=0),"",ROUND(SUM($R112,$S112)*$T112,0))</f>
        <v/>
      </c>
    </row>
    <row r="113" customFormat="false" ht="15" hidden="false" customHeight="false" outlineLevel="0" collapsed="false">
      <c r="A113" s="0" t="s">
        <v>148</v>
      </c>
      <c r="B113" s="0" t="s">
        <v>113</v>
      </c>
      <c r="C113" s="0" t="s">
        <v>89</v>
      </c>
      <c r="D113" s="0" t="s">
        <v>56</v>
      </c>
      <c r="E113" s="0" t="str">
        <f aca="false">B113&amp;"|"&amp;C113&amp;"|"&amp;D113</f>
        <v>Mokhotlong [#SNU] [tjhYqc1MlVo]|&lt;01|Female</v>
      </c>
      <c r="F113" s="73" t="n">
        <f aca="false">_xlfn.IFNA(INDEX(Cascade!$F:$F,MATCH($E113,Cascade!$E:$E,0)),"")</f>
        <v>892</v>
      </c>
      <c r="H113" s="73" t="n">
        <v>18</v>
      </c>
      <c r="I113" s="73" t="n">
        <v>3</v>
      </c>
      <c r="J113" s="118" t="n">
        <f aca="false">IF(SUM($I113)&lt;=0,"",0%)</f>
        <v>0</v>
      </c>
      <c r="K113" s="118"/>
      <c r="L113" s="118"/>
      <c r="M113" s="118" t="n">
        <f aca="false">1-IF(NOT(AND($D113="Female",OR($C113="10-14",$C113="15-17"))),0,$K113)-IF(NOT(OR($C113="05-09",$C113="10-14")),0,$L113)</f>
        <v>1</v>
      </c>
      <c r="N113" s="118" t="n">
        <f aca="false">20%</f>
        <v>0.2</v>
      </c>
      <c r="O113" s="73" t="n">
        <f aca="false">IF(SUM($I113)&lt;=0,"",ROUND($I113*(1+$J113),0))</f>
        <v>3</v>
      </c>
      <c r="P113" s="75" t="str">
        <f aca="false">IF(OR(AND(SUM($K113)=0,SUM($O113)&lt;=0),NOT(AND($D113="Female",$G113="Y",OR($C113="10-14",$C113="15-17")))),"",ROUND($O113*$K113,0))</f>
        <v/>
      </c>
      <c r="Q113" s="75" t="str">
        <f aca="false">IF(OR(AND(SUM($L113)=0,SUM($O113)&lt;=0),NOT(OR($C113="10-14",$C113="05-09"))),"",ROUND($O113*$L113,0))</f>
        <v/>
      </c>
      <c r="R113" s="75" t="n">
        <f aca="false">IF(SUM($O113)&lt;=0,"",ROUND($O113*$M113*$N113,0))</f>
        <v>1</v>
      </c>
      <c r="S113" s="75" t="n">
        <f aca="false">IF(SUM($O113)&lt;=0,"",($O113*$M113)-$R113)</f>
        <v>2</v>
      </c>
      <c r="T113" s="118" t="n">
        <f aca="false">IF(OR($C113="18+",$C113="18-20",SUM($O113)&lt;=0),"",100%)</f>
        <v>1</v>
      </c>
      <c r="U113" s="115" t="n">
        <f aca="false">IF(OR($C113="18+",$C113="18-20",(SUM($R113)+SUM($S113))=0),"",ROUND(SUM($R113,$S113)*$T113,0))</f>
        <v>3</v>
      </c>
    </row>
    <row r="114" customFormat="false" ht="15" hidden="false" customHeight="false" outlineLevel="0" collapsed="false">
      <c r="A114" s="0" t="s">
        <v>148</v>
      </c>
      <c r="B114" s="0" t="s">
        <v>113</v>
      </c>
      <c r="C114" s="0" t="s">
        <v>89</v>
      </c>
      <c r="D114" s="0" t="s">
        <v>58</v>
      </c>
      <c r="E114" s="0" t="str">
        <f aca="false">B114&amp;"|"&amp;C114&amp;"|"&amp;D114</f>
        <v>Mokhotlong [#SNU] [tjhYqc1MlVo]|&lt;01|Male</v>
      </c>
      <c r="F114" s="73" t="n">
        <f aca="false">_xlfn.IFNA(INDEX(Cascade!$F:$F,MATCH($E114,Cascade!$E:$E,0)),"")</f>
        <v>930</v>
      </c>
      <c r="H114" s="73" t="n">
        <v>18</v>
      </c>
      <c r="I114" s="73" t="n">
        <v>18</v>
      </c>
      <c r="J114" s="118" t="n">
        <f aca="false">IF(SUM($I114)&lt;=0,"",0%)</f>
        <v>0</v>
      </c>
      <c r="K114" s="118"/>
      <c r="L114" s="118"/>
      <c r="M114" s="118" t="n">
        <f aca="false">1-IF(NOT(AND($D114="Female",OR($C114="10-14",$C114="15-17"))),0,$K114)-IF(NOT(OR($C114="05-09",$C114="10-14")),0,$L114)</f>
        <v>1</v>
      </c>
      <c r="N114" s="118" t="n">
        <f aca="false">20%</f>
        <v>0.2</v>
      </c>
      <c r="O114" s="73" t="n">
        <f aca="false">IF(SUM($I114)&lt;=0,"",ROUND($I114*(1+$J114),0))</f>
        <v>18</v>
      </c>
      <c r="P114" s="75" t="str">
        <f aca="false">IF(OR(AND(SUM($K114)=0,SUM($O114)&lt;=0),NOT(AND($D114="Female",$G114="Y",OR($C114="10-14",$C114="15-17")))),"",ROUND($O114*$K114,0))</f>
        <v/>
      </c>
      <c r="Q114" s="75" t="str">
        <f aca="false">IF(OR(AND(SUM($L114)=0,SUM($O114)&lt;=0),NOT(OR($C114="10-14",$C114="05-09"))),"",ROUND($O114*$L114,0))</f>
        <v/>
      </c>
      <c r="R114" s="75" t="n">
        <f aca="false">IF(SUM($O114)&lt;=0,"",ROUND($O114*$M114*$N114,0))</f>
        <v>4</v>
      </c>
      <c r="S114" s="75" t="n">
        <f aca="false">IF(SUM($O114)&lt;=0,"",($O114*$M114)-$R114)</f>
        <v>14</v>
      </c>
      <c r="T114" s="118" t="n">
        <f aca="false">IF(OR($C114="18+",$C114="18-20",SUM($O114)&lt;=0),"",100%)</f>
        <v>1</v>
      </c>
      <c r="U114" s="115" t="n">
        <f aca="false">IF(OR($C114="18+",$C114="18-20",(SUM($R114)+SUM($S114))=0),"",ROUND(SUM($R114,$S114)*$T114,0))</f>
        <v>18</v>
      </c>
    </row>
    <row r="115" customFormat="false" ht="15" hidden="false" customHeight="false" outlineLevel="0" collapsed="false">
      <c r="A115" s="0" t="s">
        <v>148</v>
      </c>
      <c r="B115" s="0" t="s">
        <v>113</v>
      </c>
      <c r="C115" s="0" t="s">
        <v>54</v>
      </c>
      <c r="D115" s="0" t="s">
        <v>56</v>
      </c>
      <c r="E115" s="0" t="str">
        <f aca="false">B115&amp;"|"&amp;C115&amp;"|"&amp;D115</f>
        <v>Mokhotlong [#SNU] [tjhYqc1MlVo]|01-04|Female</v>
      </c>
      <c r="F115" s="73" t="n">
        <f aca="false">_xlfn.IFNA(INDEX(Cascade!$F:$F,MATCH($E115,Cascade!$E:$E,0)),"")</f>
        <v>4144</v>
      </c>
      <c r="H115" s="73" t="n">
        <v>42</v>
      </c>
      <c r="I115" s="73" t="n">
        <v>29</v>
      </c>
      <c r="J115" s="118" t="n">
        <f aca="false">IF(SUM($I115)&lt;=0,"",0%)</f>
        <v>0</v>
      </c>
      <c r="K115" s="118"/>
      <c r="L115" s="118"/>
      <c r="M115" s="118" t="n">
        <f aca="false">1-IF(NOT(AND($D115="Female",OR($C115="10-14",$C115="15-17"))),0,$K115)-IF(NOT(OR($C115="05-09",$C115="10-14")),0,$L115)</f>
        <v>1</v>
      </c>
      <c r="N115" s="118" t="n">
        <f aca="false">20%</f>
        <v>0.2</v>
      </c>
      <c r="O115" s="73" t="n">
        <f aca="false">IF(SUM($I115)&lt;=0,"",ROUND($I115*(1+$J115),0))</f>
        <v>29</v>
      </c>
      <c r="P115" s="75" t="str">
        <f aca="false">IF(OR(AND(SUM($K115)=0,SUM($O115)&lt;=0),NOT(AND($D115="Female",$G115="Y",OR($C115="10-14",$C115="15-17")))),"",ROUND($O115*$K115,0))</f>
        <v/>
      </c>
      <c r="Q115" s="75" t="str">
        <f aca="false">IF(OR(AND(SUM($L115)=0,SUM($O115)&lt;=0),NOT(OR($C115="10-14",$C115="05-09"))),"",ROUND($O115*$L115,0))</f>
        <v/>
      </c>
      <c r="R115" s="75" t="n">
        <f aca="false">IF(SUM($O115)&lt;=0,"",ROUND($O115*$M115*$N115,0))</f>
        <v>6</v>
      </c>
      <c r="S115" s="75" t="n">
        <f aca="false">IF(SUM($O115)&lt;=0,"",($O115*$M115)-$R115)</f>
        <v>23</v>
      </c>
      <c r="T115" s="118" t="n">
        <f aca="false">IF(OR($C115="18+",$C115="18-20",SUM($O115)&lt;=0),"",100%)</f>
        <v>1</v>
      </c>
      <c r="U115" s="115" t="n">
        <f aca="false">IF(OR($C115="18+",$C115="18-20",(SUM($R115)+SUM($S115))=0),"",ROUND(SUM($R115,$S115)*$T115,0))</f>
        <v>29</v>
      </c>
    </row>
    <row r="116" customFormat="false" ht="15" hidden="false" customHeight="false" outlineLevel="0" collapsed="false">
      <c r="A116" s="0" t="s">
        <v>148</v>
      </c>
      <c r="B116" s="0" t="s">
        <v>113</v>
      </c>
      <c r="C116" s="0" t="s">
        <v>54</v>
      </c>
      <c r="D116" s="0" t="s">
        <v>58</v>
      </c>
      <c r="E116" s="0" t="str">
        <f aca="false">B116&amp;"|"&amp;C116&amp;"|"&amp;D116</f>
        <v>Mokhotlong [#SNU] [tjhYqc1MlVo]|01-04|Male</v>
      </c>
      <c r="F116" s="73" t="n">
        <f aca="false">_xlfn.IFNA(INDEX(Cascade!$F:$F,MATCH($E116,Cascade!$E:$E,0)),"")</f>
        <v>4321</v>
      </c>
      <c r="H116" s="73" t="n">
        <v>2</v>
      </c>
      <c r="I116" s="73" t="n">
        <v>33</v>
      </c>
      <c r="J116" s="118" t="n">
        <f aca="false">IF(SUM($I116)&lt;=0,"",0%)</f>
        <v>0</v>
      </c>
      <c r="K116" s="118"/>
      <c r="L116" s="118"/>
      <c r="M116" s="118" t="n">
        <f aca="false">1-IF(NOT(AND($D116="Female",OR($C116="10-14",$C116="15-17"))),0,$K116)-IF(NOT(OR($C116="05-09",$C116="10-14")),0,$L116)</f>
        <v>1</v>
      </c>
      <c r="N116" s="118" t="n">
        <f aca="false">20%</f>
        <v>0.2</v>
      </c>
      <c r="O116" s="73" t="n">
        <f aca="false">IF(SUM($I116)&lt;=0,"",ROUND($I116*(1+$J116),0))</f>
        <v>33</v>
      </c>
      <c r="P116" s="75" t="str">
        <f aca="false">IF(OR(AND(SUM($K116)=0,SUM($O116)&lt;=0),NOT(AND($D116="Female",$G116="Y",OR($C116="10-14",$C116="15-17")))),"",ROUND($O116*$K116,0))</f>
        <v/>
      </c>
      <c r="Q116" s="75" t="str">
        <f aca="false">IF(OR(AND(SUM($L116)=0,SUM($O116)&lt;=0),NOT(OR($C116="10-14",$C116="05-09"))),"",ROUND($O116*$L116,0))</f>
        <v/>
      </c>
      <c r="R116" s="75" t="n">
        <f aca="false">IF(SUM($O116)&lt;=0,"",ROUND($O116*$M116*$N116,0))</f>
        <v>7</v>
      </c>
      <c r="S116" s="75" t="n">
        <f aca="false">IF(SUM($O116)&lt;=0,"",($O116*$M116)-$R116)</f>
        <v>26</v>
      </c>
      <c r="T116" s="118" t="n">
        <f aca="false">IF(OR($C116="18+",$C116="18-20",SUM($O116)&lt;=0),"",100%)</f>
        <v>1</v>
      </c>
      <c r="U116" s="115" t="n">
        <f aca="false">IF(OR($C116="18+",$C116="18-20",(SUM($R116)+SUM($S116))=0),"",ROUND(SUM($R116,$S116)*$T116,0))</f>
        <v>33</v>
      </c>
    </row>
    <row r="117" customFormat="false" ht="15" hidden="false" customHeight="false" outlineLevel="0" collapsed="false">
      <c r="A117" s="0" t="s">
        <v>148</v>
      </c>
      <c r="B117" s="0" t="s">
        <v>113</v>
      </c>
      <c r="C117" s="0" t="s">
        <v>83</v>
      </c>
      <c r="D117" s="0" t="s">
        <v>56</v>
      </c>
      <c r="E117" s="0" t="str">
        <f aca="false">B117&amp;"|"&amp;C117&amp;"|"&amp;D117</f>
        <v>Mokhotlong [#SNU] [tjhYqc1MlVo]|05-09|Female</v>
      </c>
      <c r="F117" s="73" t="n">
        <f aca="false">_xlfn.IFNA(INDEX(Cascade!$F:$F,MATCH($E117,Cascade!$E:$E,0)),"")</f>
        <v>6508</v>
      </c>
      <c r="H117" s="73" t="n">
        <v>13</v>
      </c>
      <c r="I117" s="73" t="n">
        <v>48</v>
      </c>
      <c r="J117" s="118" t="n">
        <f aca="false">IF(SUM($I117)&lt;=0,"",0%)</f>
        <v>0</v>
      </c>
      <c r="K117" s="118"/>
      <c r="L117" s="118"/>
      <c r="M117" s="118" t="n">
        <f aca="false">1-IF(NOT(AND($D117="Female",OR($C117="10-14",$C117="15-17"))),0,$K117)-IF(NOT(OR($C117="05-09",$C117="10-14")),0,$L117)</f>
        <v>1</v>
      </c>
      <c r="N117" s="118" t="n">
        <f aca="false">20%</f>
        <v>0.2</v>
      </c>
      <c r="O117" s="73" t="n">
        <f aca="false">IF(SUM($I117)&lt;=0,"",ROUND($I117*(1+$J117),0))</f>
        <v>48</v>
      </c>
      <c r="P117" s="75" t="str">
        <f aca="false">IF(OR(AND(SUM($K117)=0,SUM($O117)&lt;=0),NOT(AND($D117="Female",$G117="Y",OR($C117="10-14",$C117="15-17")))),"",ROUND($O117*$K117,0))</f>
        <v/>
      </c>
      <c r="Q117" s="75" t="n">
        <f aca="false">IF(OR(AND(SUM($L117)=0,SUM($O117)&lt;=0),NOT(OR($C117="10-14",$C117="05-09"))),"",ROUND($O117*$L117,0))</f>
        <v>0</v>
      </c>
      <c r="R117" s="75" t="n">
        <f aca="false">IF(SUM($O117)&lt;=0,"",ROUND($O117*$M117*$N117,0))</f>
        <v>10</v>
      </c>
      <c r="S117" s="75" t="n">
        <f aca="false">IF(SUM($O117)&lt;=0,"",($O117*$M117)-$R117)</f>
        <v>38</v>
      </c>
      <c r="T117" s="118" t="n">
        <f aca="false">IF(OR($C117="18+",$C117="18-20",SUM($O117)&lt;=0),"",100%)</f>
        <v>1</v>
      </c>
      <c r="U117" s="115" t="n">
        <f aca="false">IF(OR($C117="18+",$C117="18-20",(SUM($R117)+SUM($S117))=0),"",ROUND(SUM($R117,$S117)*$T117,0))</f>
        <v>48</v>
      </c>
    </row>
    <row r="118" customFormat="false" ht="15" hidden="false" customHeight="false" outlineLevel="0" collapsed="false">
      <c r="A118" s="0" t="s">
        <v>148</v>
      </c>
      <c r="B118" s="0" t="s">
        <v>113</v>
      </c>
      <c r="C118" s="0" t="s">
        <v>83</v>
      </c>
      <c r="D118" s="0" t="s">
        <v>58</v>
      </c>
      <c r="E118" s="0" t="str">
        <f aca="false">B118&amp;"|"&amp;C118&amp;"|"&amp;D118</f>
        <v>Mokhotlong [#SNU] [tjhYqc1MlVo]|05-09|Male</v>
      </c>
      <c r="F118" s="73" t="n">
        <f aca="false">_xlfn.IFNA(INDEX(Cascade!$F:$F,MATCH($E118,Cascade!$E:$E,0)),"")</f>
        <v>6529</v>
      </c>
      <c r="H118" s="73" t="n">
        <v>33</v>
      </c>
      <c r="I118" s="73" t="n">
        <v>9</v>
      </c>
      <c r="J118" s="118" t="n">
        <f aca="false">IF(SUM($I118)&lt;=0,"",0%)</f>
        <v>0</v>
      </c>
      <c r="K118" s="118"/>
      <c r="L118" s="118"/>
      <c r="M118" s="118" t="n">
        <f aca="false">1-IF(NOT(AND($D118="Female",OR($C118="10-14",$C118="15-17"))),0,$K118)-IF(NOT(OR($C118="05-09",$C118="10-14")),0,$L118)</f>
        <v>1</v>
      </c>
      <c r="N118" s="118" t="n">
        <f aca="false">20%</f>
        <v>0.2</v>
      </c>
      <c r="O118" s="73" t="n">
        <f aca="false">IF(SUM($I118)&lt;=0,"",ROUND($I118*(1+$J118),0))</f>
        <v>9</v>
      </c>
      <c r="P118" s="75" t="str">
        <f aca="false">IF(OR(AND(SUM($K118)=0,SUM($O118)&lt;=0),NOT(AND($D118="Female",$G118="Y",OR($C118="10-14",$C118="15-17")))),"",ROUND($O118*$K118,0))</f>
        <v/>
      </c>
      <c r="Q118" s="75" t="n">
        <f aca="false">IF(OR(AND(SUM($L118)=0,SUM($O118)&lt;=0),NOT(OR($C118="10-14",$C118="05-09"))),"",ROUND($O118*$L118,0))</f>
        <v>0</v>
      </c>
      <c r="R118" s="75" t="n">
        <f aca="false">IF(SUM($O118)&lt;=0,"",ROUND($O118*$M118*$N118,0))</f>
        <v>2</v>
      </c>
      <c r="S118" s="75" t="n">
        <f aca="false">IF(SUM($O118)&lt;=0,"",($O118*$M118)-$R118)</f>
        <v>7</v>
      </c>
      <c r="T118" s="118" t="n">
        <f aca="false">IF(OR($C118="18+",$C118="18-20",SUM($O118)&lt;=0),"",100%)</f>
        <v>1</v>
      </c>
      <c r="U118" s="115" t="n">
        <f aca="false">IF(OR($C118="18+",$C118="18-20",(SUM($R118)+SUM($S118))=0),"",ROUND(SUM($R118,$S118)*$T118,0))</f>
        <v>9</v>
      </c>
    </row>
    <row r="119" customFormat="false" ht="15" hidden="false" customHeight="false" outlineLevel="0" collapsed="false">
      <c r="A119" s="0" t="s">
        <v>148</v>
      </c>
      <c r="B119" s="0" t="s">
        <v>113</v>
      </c>
      <c r="C119" s="0" t="s">
        <v>61</v>
      </c>
      <c r="D119" s="0" t="s">
        <v>56</v>
      </c>
      <c r="E119" s="0" t="str">
        <f aca="false">B119&amp;"|"&amp;C119&amp;"|"&amp;D119</f>
        <v>Mokhotlong [#SNU] [tjhYqc1MlVo]|10-14|Female</v>
      </c>
      <c r="F119" s="73" t="n">
        <f aca="false">_xlfn.IFNA(INDEX(Cascade!$F:$F,MATCH($E119,Cascade!$E:$E,0)),"")</f>
        <v>6700</v>
      </c>
      <c r="H119" s="73" t="n">
        <v>13</v>
      </c>
      <c r="I119" s="73" t="n">
        <v>43</v>
      </c>
      <c r="J119" s="118" t="n">
        <f aca="false">IF(SUM($I119)&lt;=0,"",0%)</f>
        <v>0</v>
      </c>
      <c r="K119" s="118"/>
      <c r="L119" s="118"/>
      <c r="M119" s="118" t="n">
        <f aca="false">1-IF(NOT(AND($D119="Female",OR($C119="10-14",$C119="15-17"))),0,$K119)-IF(NOT(OR($C119="05-09",$C119="10-14")),0,$L119)</f>
        <v>1</v>
      </c>
      <c r="N119" s="118" t="n">
        <f aca="false">20%</f>
        <v>0.2</v>
      </c>
      <c r="O119" s="73" t="n">
        <f aca="false">IF(SUM($I119)&lt;=0,"",ROUND($I119*(1+$J119),0))</f>
        <v>43</v>
      </c>
      <c r="P119" s="75" t="str">
        <f aca="false">IF(OR(AND(SUM($K119)=0,SUM($O119)&lt;=0),NOT(AND($D119="Female",$G119="Y",OR($C119="10-14",$C119="15-17")))),"",ROUND($O119*$K119,0))</f>
        <v/>
      </c>
      <c r="Q119" s="75" t="n">
        <f aca="false">IF(OR(AND(SUM($L119)=0,SUM($O119)&lt;=0),NOT(OR($C119="10-14",$C119="05-09"))),"",ROUND($O119*$L119,0))</f>
        <v>0</v>
      </c>
      <c r="R119" s="75" t="n">
        <f aca="false">IF(SUM($O119)&lt;=0,"",ROUND($O119*$M119*$N119,0))</f>
        <v>9</v>
      </c>
      <c r="S119" s="75" t="n">
        <f aca="false">IF(SUM($O119)&lt;=0,"",($O119*$M119)-$R119)</f>
        <v>34</v>
      </c>
      <c r="T119" s="118" t="n">
        <f aca="false">IF(OR($C119="18+",$C119="18-20",SUM($O119)&lt;=0),"",100%)</f>
        <v>1</v>
      </c>
      <c r="U119" s="115" t="n">
        <f aca="false">IF(OR($C119="18+",$C119="18-20",(SUM($R119)+SUM($S119))=0),"",ROUND(SUM($R119,$S119)*$T119,0))</f>
        <v>43</v>
      </c>
    </row>
    <row r="120" customFormat="false" ht="15" hidden="false" customHeight="false" outlineLevel="0" collapsed="false">
      <c r="A120" s="0" t="s">
        <v>148</v>
      </c>
      <c r="B120" s="0" t="s">
        <v>113</v>
      </c>
      <c r="C120" s="0" t="s">
        <v>61</v>
      </c>
      <c r="D120" s="0" t="s">
        <v>58</v>
      </c>
      <c r="E120" s="0" t="str">
        <f aca="false">B120&amp;"|"&amp;C120&amp;"|"&amp;D120</f>
        <v>Mokhotlong [#SNU] [tjhYqc1MlVo]|10-14|Male</v>
      </c>
      <c r="F120" s="73" t="n">
        <f aca="false">_xlfn.IFNA(INDEX(Cascade!$F:$F,MATCH($E120,Cascade!$E:$E,0)),"")</f>
        <v>6580</v>
      </c>
      <c r="H120" s="73" t="n">
        <v>48</v>
      </c>
      <c r="I120" s="73" t="n">
        <v>33</v>
      </c>
      <c r="J120" s="118" t="n">
        <f aca="false">IF(SUM($I120)&lt;=0,"",0%)</f>
        <v>0</v>
      </c>
      <c r="K120" s="118"/>
      <c r="L120" s="118"/>
      <c r="M120" s="118" t="n">
        <f aca="false">1-IF(NOT(AND($D120="Female",OR($C120="10-14",$C120="15-17"))),0,$K120)-IF(NOT(OR($C120="05-09",$C120="10-14")),0,$L120)</f>
        <v>1</v>
      </c>
      <c r="N120" s="118" t="n">
        <f aca="false">20%</f>
        <v>0.2</v>
      </c>
      <c r="O120" s="73" t="n">
        <f aca="false">IF(SUM($I120)&lt;=0,"",ROUND($I120*(1+$J120),0))</f>
        <v>33</v>
      </c>
      <c r="P120" s="75" t="str">
        <f aca="false">IF(OR(AND(SUM($K120)=0,SUM($O120)&lt;=0),NOT(AND($D120="Female",$G120="Y",OR($C120="10-14",$C120="15-17")))),"",ROUND($O120*$K120,0))</f>
        <v/>
      </c>
      <c r="Q120" s="75" t="n">
        <f aca="false">IF(OR(AND(SUM($L120)=0,SUM($O120)&lt;=0),NOT(OR($C120="10-14",$C120="05-09"))),"",ROUND($O120*$L120,0))</f>
        <v>0</v>
      </c>
      <c r="R120" s="75" t="n">
        <f aca="false">IF(SUM($O120)&lt;=0,"",ROUND($O120*$M120*$N120,0))</f>
        <v>7</v>
      </c>
      <c r="S120" s="75" t="n">
        <f aca="false">IF(SUM($O120)&lt;=0,"",($O120*$M120)-$R120)</f>
        <v>26</v>
      </c>
      <c r="T120" s="118" t="n">
        <f aca="false">IF(OR($C120="18+",$C120="18-20",SUM($O120)&lt;=0),"",100%)</f>
        <v>1</v>
      </c>
      <c r="U120" s="115" t="n">
        <f aca="false">IF(OR($C120="18+",$C120="18-20",(SUM($R120)+SUM($S120))=0),"",ROUND(SUM($R120,$S120)*$T120,0))</f>
        <v>33</v>
      </c>
    </row>
    <row r="121" customFormat="false" ht="15" hidden="false" customHeight="false" outlineLevel="0" collapsed="false">
      <c r="A121" s="0" t="s">
        <v>148</v>
      </c>
      <c r="B121" s="0" t="s">
        <v>113</v>
      </c>
      <c r="C121" s="0" t="s">
        <v>882</v>
      </c>
      <c r="D121" s="0" t="s">
        <v>56</v>
      </c>
      <c r="E121" s="0" t="str">
        <f aca="false">B121&amp;"|"&amp;C121&amp;"|"&amp;D121</f>
        <v>Mokhotlong [#SNU] [tjhYqc1MlVo]|15-17|Female</v>
      </c>
      <c r="F121" s="73" t="str">
        <f aca="false">_xlfn.IFNA(INDEX(Cascade!$F:$F,MATCH($E121,Cascade!$E:$E,0)),"")</f>
        <v/>
      </c>
      <c r="H121" s="73" t="n">
        <v>27</v>
      </c>
      <c r="I121" s="73" t="n">
        <v>10</v>
      </c>
      <c r="J121" s="118" t="n">
        <f aca="false">IF(SUM($I121)&lt;=0,"",0%)</f>
        <v>0</v>
      </c>
      <c r="K121" s="118"/>
      <c r="L121" s="118"/>
      <c r="M121" s="118" t="n">
        <f aca="false">1-IF(NOT(AND($D121="Female",OR($C121="10-14",$C121="15-17"))),0,$K121)-IF(NOT(OR($C121="05-09",$C121="10-14")),0,$L121)</f>
        <v>1</v>
      </c>
      <c r="N121" s="118" t="n">
        <f aca="false">20%</f>
        <v>0.2</v>
      </c>
      <c r="O121" s="73" t="n">
        <f aca="false">IF(SUM($I121)&lt;=0,"",ROUND($I121*(1+$J121),0))</f>
        <v>10</v>
      </c>
      <c r="P121" s="75" t="str">
        <f aca="false">IF(OR(AND(SUM($K121)=0,SUM($O121)&lt;=0),NOT(AND($D121="Female",$G121="Y",OR($C121="10-14",$C121="15-17")))),"",ROUND($O121*$K121,0))</f>
        <v/>
      </c>
      <c r="Q121" s="75" t="str">
        <f aca="false">IF(OR(AND(SUM($L121)=0,SUM($O121)&lt;=0),NOT(OR($C121="10-14",$C121="05-09"))),"",ROUND($O121*$L121,0))</f>
        <v/>
      </c>
      <c r="R121" s="75" t="n">
        <f aca="false">IF(SUM($O121)&lt;=0,"",ROUND($O121*$M121*$N121,0))</f>
        <v>2</v>
      </c>
      <c r="S121" s="75" t="n">
        <f aca="false">IF(SUM($O121)&lt;=0,"",($O121*$M121)-$R121)</f>
        <v>8</v>
      </c>
      <c r="T121" s="118" t="n">
        <f aca="false">IF(OR($C121="18+",$C121="18-20",SUM($O121)&lt;=0),"",100%)</f>
        <v>1</v>
      </c>
      <c r="U121" s="115" t="n">
        <f aca="false">IF(OR($C121="18+",$C121="18-20",(SUM($R121)+SUM($S121))=0),"",ROUND(SUM($R121,$S121)*$T121,0))</f>
        <v>10</v>
      </c>
    </row>
    <row r="122" customFormat="false" ht="15" hidden="false" customHeight="false" outlineLevel="0" collapsed="false">
      <c r="A122" s="0" t="s">
        <v>148</v>
      </c>
      <c r="B122" s="0" t="s">
        <v>113</v>
      </c>
      <c r="C122" s="0" t="s">
        <v>882</v>
      </c>
      <c r="D122" s="0" t="s">
        <v>58</v>
      </c>
      <c r="E122" s="0" t="str">
        <f aca="false">B122&amp;"|"&amp;C122&amp;"|"&amp;D122</f>
        <v>Mokhotlong [#SNU] [tjhYqc1MlVo]|15-17|Male</v>
      </c>
      <c r="F122" s="73" t="str">
        <f aca="false">_xlfn.IFNA(INDEX(Cascade!$F:$F,MATCH($E122,Cascade!$E:$E,0)),"")</f>
        <v/>
      </c>
      <c r="H122" s="73" t="n">
        <v>12</v>
      </c>
      <c r="I122" s="73" t="n">
        <v>39</v>
      </c>
      <c r="J122" s="118" t="n">
        <f aca="false">IF(SUM($I122)&lt;=0,"",0%)</f>
        <v>0</v>
      </c>
      <c r="K122" s="118"/>
      <c r="L122" s="118"/>
      <c r="M122" s="118" t="n">
        <f aca="false">1-IF(NOT(AND($D122="Female",OR($C122="10-14",$C122="15-17"))),0,$K122)-IF(NOT(OR($C122="05-09",$C122="10-14")),0,$L122)</f>
        <v>1</v>
      </c>
      <c r="N122" s="118" t="n">
        <f aca="false">20%</f>
        <v>0.2</v>
      </c>
      <c r="O122" s="73" t="n">
        <f aca="false">IF(SUM($I122)&lt;=0,"",ROUND($I122*(1+$J122),0))</f>
        <v>39</v>
      </c>
      <c r="P122" s="75" t="str">
        <f aca="false">IF(OR(AND(SUM($K122)=0,SUM($O122)&lt;=0),NOT(AND($D122="Female",$G122="Y",OR($C122="10-14",$C122="15-17")))),"",ROUND($O122*$K122,0))</f>
        <v/>
      </c>
      <c r="Q122" s="75" t="str">
        <f aca="false">IF(OR(AND(SUM($L122)=0,SUM($O122)&lt;=0),NOT(OR($C122="10-14",$C122="05-09"))),"",ROUND($O122*$L122,0))</f>
        <v/>
      </c>
      <c r="R122" s="75" t="n">
        <f aca="false">IF(SUM($O122)&lt;=0,"",ROUND($O122*$M122*$N122,0))</f>
        <v>8</v>
      </c>
      <c r="S122" s="75" t="n">
        <f aca="false">IF(SUM($O122)&lt;=0,"",($O122*$M122)-$R122)</f>
        <v>31</v>
      </c>
      <c r="T122" s="118" t="n">
        <f aca="false">IF(OR($C122="18+",$C122="18-20",SUM($O122)&lt;=0),"",100%)</f>
        <v>1</v>
      </c>
      <c r="U122" s="115" t="n">
        <f aca="false">IF(OR($C122="18+",$C122="18-20",(SUM($R122)+SUM($S122))=0),"",ROUND(SUM($R122,$S122)*$T122,0))</f>
        <v>39</v>
      </c>
    </row>
    <row r="123" customFormat="false" ht="15" hidden="false" customHeight="false" outlineLevel="0" collapsed="false">
      <c r="A123" s="0" t="s">
        <v>148</v>
      </c>
      <c r="B123" s="0" t="s">
        <v>113</v>
      </c>
      <c r="C123" s="0" t="s">
        <v>883</v>
      </c>
      <c r="D123" s="0" t="s">
        <v>56</v>
      </c>
      <c r="E123" s="0" t="str">
        <f aca="false">B123&amp;"|"&amp;C123&amp;"|"&amp;D123</f>
        <v>Mokhotlong [#SNU] [tjhYqc1MlVo]|18-20|Female</v>
      </c>
      <c r="F123" s="73" t="str">
        <f aca="false">_xlfn.IFNA(INDEX(Cascade!$F:$F,MATCH($E123,Cascade!$E:$E,0)),"")</f>
        <v/>
      </c>
      <c r="H123" s="73"/>
      <c r="I123" s="73"/>
      <c r="J123" s="118" t="str">
        <f aca="false">IF(SUM($I123)&lt;=0,"",0%)</f>
        <v/>
      </c>
      <c r="K123" s="118"/>
      <c r="L123" s="118"/>
      <c r="M123" s="118" t="n">
        <f aca="false">1-IF(NOT(AND($D123="Female",OR($C123="10-14",$C123="15-17"))),0,$K123)-IF(NOT(OR($C123="05-09",$C123="10-14")),0,$L123)</f>
        <v>1</v>
      </c>
      <c r="N123" s="118" t="n">
        <f aca="false">20%</f>
        <v>0.2</v>
      </c>
      <c r="O123" s="73" t="str">
        <f aca="false">IF(SUM($I123)&lt;=0,"",ROUND($I123*(1+$J123),0))</f>
        <v/>
      </c>
      <c r="P123" s="75" t="str">
        <f aca="false">IF(OR(AND(SUM($K123)=0,SUM($O123)&lt;=0),NOT(AND($D123="Female",$G123="Y",OR($C123="10-14",$C123="15-17")))),"",ROUND($O123*$K123,0))</f>
        <v/>
      </c>
      <c r="Q123" s="75" t="str">
        <f aca="false">IF(OR(AND(SUM($L123)=0,SUM($O123)&lt;=0),NOT(OR($C123="10-14",$C123="05-09"))),"",ROUND($O123*$L123,0))</f>
        <v/>
      </c>
      <c r="R123" s="75" t="str">
        <f aca="false">IF(SUM($O123)&lt;=0,"",ROUND($O123*$M123*$N123,0))</f>
        <v/>
      </c>
      <c r="S123" s="75" t="str">
        <f aca="false">IF(SUM($O123)&lt;=0,"",($O123*$M123)-$R123)</f>
        <v/>
      </c>
      <c r="T123" s="118" t="str">
        <f aca="false">IF(OR($C123="18+",$C123="18-20",SUM($O123)&lt;=0),"",100%)</f>
        <v/>
      </c>
      <c r="U123" s="115" t="str">
        <f aca="false">IF(OR($C123="18+",$C123="18-20",(SUM($R123)+SUM($S123))=0),"",ROUND(SUM($R123,$S123)*$T123,0))</f>
        <v/>
      </c>
    </row>
    <row r="124" customFormat="false" ht="15" hidden="false" customHeight="false" outlineLevel="0" collapsed="false">
      <c r="A124" s="0" t="s">
        <v>148</v>
      </c>
      <c r="B124" s="0" t="s">
        <v>113</v>
      </c>
      <c r="C124" s="0" t="s">
        <v>883</v>
      </c>
      <c r="D124" s="0" t="s">
        <v>58</v>
      </c>
      <c r="E124" s="0" t="str">
        <f aca="false">B124&amp;"|"&amp;C124&amp;"|"&amp;D124</f>
        <v>Mokhotlong [#SNU] [tjhYqc1MlVo]|18-20|Male</v>
      </c>
      <c r="F124" s="73" t="str">
        <f aca="false">_xlfn.IFNA(INDEX(Cascade!$F:$F,MATCH($E124,Cascade!$E:$E,0)),"")</f>
        <v/>
      </c>
      <c r="H124" s="73"/>
      <c r="I124" s="73"/>
      <c r="J124" s="118" t="str">
        <f aca="false">IF(SUM($I124)&lt;=0,"",0%)</f>
        <v/>
      </c>
      <c r="K124" s="118"/>
      <c r="L124" s="118"/>
      <c r="M124" s="118" t="n">
        <f aca="false">1-IF(NOT(AND($D124="Female",OR($C124="10-14",$C124="15-17"))),0,$K124)-IF(NOT(OR($C124="05-09",$C124="10-14")),0,$L124)</f>
        <v>1</v>
      </c>
      <c r="N124" s="118" t="n">
        <f aca="false">20%</f>
        <v>0.2</v>
      </c>
      <c r="O124" s="73" t="str">
        <f aca="false">IF(SUM($I124)&lt;=0,"",ROUND($I124*(1+$J124),0))</f>
        <v/>
      </c>
      <c r="P124" s="75" t="str">
        <f aca="false">IF(OR(AND(SUM($K124)=0,SUM($O124)&lt;=0),NOT(AND($D124="Female",$G124="Y",OR($C124="10-14",$C124="15-17")))),"",ROUND($O124*$K124,0))</f>
        <v/>
      </c>
      <c r="Q124" s="75" t="str">
        <f aca="false">IF(OR(AND(SUM($L124)=0,SUM($O124)&lt;=0),NOT(OR($C124="10-14",$C124="05-09"))),"",ROUND($O124*$L124,0))</f>
        <v/>
      </c>
      <c r="R124" s="75" t="str">
        <f aca="false">IF(SUM($O124)&lt;=0,"",ROUND($O124*$M124*$N124,0))</f>
        <v/>
      </c>
      <c r="S124" s="75" t="str">
        <f aca="false">IF(SUM($O124)&lt;=0,"",($O124*$M124)-$R124)</f>
        <v/>
      </c>
      <c r="T124" s="118" t="str">
        <f aca="false">IF(OR($C124="18+",$C124="18-20",SUM($O124)&lt;=0),"",100%)</f>
        <v/>
      </c>
      <c r="U124" s="115" t="str">
        <f aca="false">IF(OR($C124="18+",$C124="18-20",(SUM($R124)+SUM($S124))=0),"",ROUND(SUM($R124,$S124)*$T124,0))</f>
        <v/>
      </c>
    </row>
    <row r="125" customFormat="false" ht="15" hidden="false" customHeight="false" outlineLevel="0" collapsed="false">
      <c r="A125" s="0" t="s">
        <v>148</v>
      </c>
      <c r="B125" s="0" t="s">
        <v>113</v>
      </c>
      <c r="C125" s="0" t="s">
        <v>884</v>
      </c>
      <c r="D125" s="0" t="s">
        <v>56</v>
      </c>
      <c r="E125" s="0" t="str">
        <f aca="false">B125&amp;"|"&amp;C125&amp;"|"&amp;D125</f>
        <v>Mokhotlong [#SNU] [tjhYqc1MlVo]|18+|Female</v>
      </c>
      <c r="F125" s="73" t="str">
        <f aca="false">_xlfn.IFNA(INDEX(Cascade!$F:$F,MATCH($E125,Cascade!$E:$E,0)),"")</f>
        <v/>
      </c>
      <c r="H125" s="73" t="n">
        <v>27</v>
      </c>
      <c r="I125" s="73" t="n">
        <v>35</v>
      </c>
      <c r="J125" s="118" t="n">
        <f aca="false">IF(SUM($I125)&lt;=0,"",0%)</f>
        <v>0</v>
      </c>
      <c r="K125" s="118"/>
      <c r="L125" s="118"/>
      <c r="M125" s="118" t="n">
        <f aca="false">1-IF(NOT(AND($D125="Female",OR($C125="10-14",$C125="15-17"))),0,$K125)-IF(NOT(OR($C125="05-09",$C125="10-14")),0,$L125)</f>
        <v>1</v>
      </c>
      <c r="N125" s="118" t="n">
        <f aca="false">20%</f>
        <v>0.2</v>
      </c>
      <c r="O125" s="73" t="n">
        <f aca="false">IF(SUM($I125)&lt;=0,"",ROUND($I125*(1+$J125),0))</f>
        <v>35</v>
      </c>
      <c r="P125" s="75" t="str">
        <f aca="false">IF(OR(AND(SUM($K125)=0,SUM($O125)&lt;=0),NOT(AND($D125="Female",$G125="Y",OR($C125="10-14",$C125="15-17")))),"",ROUND($O125*$K125,0))</f>
        <v/>
      </c>
      <c r="Q125" s="75" t="str">
        <f aca="false">IF(OR(AND(SUM($L125)=0,SUM($O125)&lt;=0),NOT(OR($C125="10-14",$C125="05-09"))),"",ROUND($O125*$L125,0))</f>
        <v/>
      </c>
      <c r="R125" s="75" t="n">
        <f aca="false">IF(SUM($O125)&lt;=0,"",ROUND($O125*$M125*$N125,0))</f>
        <v>7</v>
      </c>
      <c r="S125" s="75" t="n">
        <f aca="false">IF(SUM($O125)&lt;=0,"",($O125*$M125)-$R125)</f>
        <v>28</v>
      </c>
      <c r="T125" s="118" t="str">
        <f aca="false">IF(OR($C125="18+",$C125="18-20",SUM($O125)&lt;=0),"",100%)</f>
        <v/>
      </c>
      <c r="U125" s="115" t="str">
        <f aca="false">IF(OR($C125="18+",$C125="18-20",(SUM($R125)+SUM($S125))=0),"",ROUND(SUM($R125,$S125)*$T125,0))</f>
        <v/>
      </c>
    </row>
    <row r="126" customFormat="false" ht="15" hidden="false" customHeight="false" outlineLevel="0" collapsed="false">
      <c r="A126" s="0" t="s">
        <v>148</v>
      </c>
      <c r="B126" s="0" t="s">
        <v>113</v>
      </c>
      <c r="C126" s="0" t="s">
        <v>884</v>
      </c>
      <c r="D126" s="0" t="s">
        <v>58</v>
      </c>
      <c r="E126" s="0" t="str">
        <f aca="false">B126&amp;"|"&amp;C126&amp;"|"&amp;D126</f>
        <v>Mokhotlong [#SNU] [tjhYqc1MlVo]|18+|Male</v>
      </c>
      <c r="F126" s="73" t="str">
        <f aca="false">_xlfn.IFNA(INDEX(Cascade!$F:$F,MATCH($E126,Cascade!$E:$E,0)),"")</f>
        <v/>
      </c>
      <c r="H126" s="73" t="n">
        <v>11</v>
      </c>
      <c r="I126" s="73" t="n">
        <v>3</v>
      </c>
      <c r="J126" s="118" t="n">
        <f aca="false">IF(SUM($I126)&lt;=0,"",0%)</f>
        <v>0</v>
      </c>
      <c r="K126" s="118"/>
      <c r="L126" s="118"/>
      <c r="M126" s="118" t="n">
        <f aca="false">1-IF(NOT(AND($D126="Female",OR($C126="10-14",$C126="15-17"))),0,$K126)-IF(NOT(OR($C126="05-09",$C126="10-14")),0,$L126)</f>
        <v>1</v>
      </c>
      <c r="N126" s="118" t="n">
        <f aca="false">20%</f>
        <v>0.2</v>
      </c>
      <c r="O126" s="73" t="n">
        <f aca="false">IF(SUM($I126)&lt;=0,"",ROUND($I126*(1+$J126),0))</f>
        <v>3</v>
      </c>
      <c r="P126" s="75" t="str">
        <f aca="false">IF(OR(AND(SUM($K126)=0,SUM($O126)&lt;=0),NOT(AND($D126="Female",$G126="Y",OR($C126="10-14",$C126="15-17")))),"",ROUND($O126*$K126,0))</f>
        <v/>
      </c>
      <c r="Q126" s="75" t="str">
        <f aca="false">IF(OR(AND(SUM($L126)=0,SUM($O126)&lt;=0),NOT(OR($C126="10-14",$C126="05-09"))),"",ROUND($O126*$L126,0))</f>
        <v/>
      </c>
      <c r="R126" s="75" t="n">
        <f aca="false">IF(SUM($O126)&lt;=0,"",ROUND($O126*$M126*$N126,0))</f>
        <v>1</v>
      </c>
      <c r="S126" s="75" t="n">
        <f aca="false">IF(SUM($O126)&lt;=0,"",($O126*$M126)-$R126)</f>
        <v>2</v>
      </c>
      <c r="T126" s="118" t="str">
        <f aca="false">IF(OR($C126="18+",$C126="18-20",SUM($O126)&lt;=0),"",100%)</f>
        <v/>
      </c>
      <c r="U126" s="115" t="str">
        <f aca="false">IF(OR($C126="18+",$C126="18-20",(SUM($R126)+SUM($S126))=0),"",ROUND(SUM($R126,$S126)*$T126,0))</f>
        <v/>
      </c>
    </row>
    <row r="127" customFormat="false" ht="15" hidden="false" customHeight="false" outlineLevel="0" collapsed="false">
      <c r="A127" s="0" t="s">
        <v>149</v>
      </c>
      <c r="B127" s="0" t="s">
        <v>111</v>
      </c>
      <c r="C127" s="0" t="s">
        <v>89</v>
      </c>
      <c r="D127" s="0" t="s">
        <v>56</v>
      </c>
      <c r="E127" s="0" t="str">
        <f aca="false">B127&amp;"|"&amp;C127&amp;"|"&amp;D127</f>
        <v>Qacha's Nek [#SNU] [zTaMbxvQtJ6]|&lt;01|Female</v>
      </c>
      <c r="F127" s="73" t="n">
        <f aca="false">_xlfn.IFNA(INDEX(Cascade!$F:$F,MATCH($E127,Cascade!$E:$E,0)),"")</f>
        <v>675</v>
      </c>
      <c r="H127" s="73" t="n">
        <v>32</v>
      </c>
      <c r="I127" s="73" t="n">
        <v>20</v>
      </c>
      <c r="J127" s="118" t="n">
        <f aca="false">IF(SUM($I127)&lt;=0,"",0%)</f>
        <v>0</v>
      </c>
      <c r="K127" s="118"/>
      <c r="L127" s="118"/>
      <c r="M127" s="118" t="n">
        <f aca="false">1-IF(NOT(AND($D127="Female",OR($C127="10-14",$C127="15-17"))),0,$K127)-IF(NOT(OR($C127="05-09",$C127="10-14")),0,$L127)</f>
        <v>1</v>
      </c>
      <c r="N127" s="118" t="n">
        <f aca="false">20%</f>
        <v>0.2</v>
      </c>
      <c r="O127" s="73" t="n">
        <f aca="false">IF(SUM($I127)&lt;=0,"",ROUND($I127*(1+$J127),0))</f>
        <v>20</v>
      </c>
      <c r="P127" s="75" t="str">
        <f aca="false">IF(OR(AND(SUM($K127)=0,SUM($O127)&lt;=0),NOT(AND($D127="Female",$G127="Y",OR($C127="10-14",$C127="15-17")))),"",ROUND($O127*$K127,0))</f>
        <v/>
      </c>
      <c r="Q127" s="75" t="str">
        <f aca="false">IF(OR(AND(SUM($L127)=0,SUM($O127)&lt;=0),NOT(OR($C127="10-14",$C127="05-09"))),"",ROUND($O127*$L127,0))</f>
        <v/>
      </c>
      <c r="R127" s="75" t="n">
        <f aca="false">IF(SUM($O127)&lt;=0,"",ROUND($O127*$M127*$N127,0))</f>
        <v>4</v>
      </c>
      <c r="S127" s="75" t="n">
        <f aca="false">IF(SUM($O127)&lt;=0,"",($O127*$M127)-$R127)</f>
        <v>16</v>
      </c>
      <c r="T127" s="118" t="n">
        <f aca="false">IF(OR($C127="18+",$C127="18-20",SUM($O127)&lt;=0),"",100%)</f>
        <v>1</v>
      </c>
      <c r="U127" s="115" t="n">
        <f aca="false">IF(OR($C127="18+",$C127="18-20",(SUM($R127)+SUM($S127))=0),"",ROUND(SUM($R127,$S127)*$T127,0))</f>
        <v>20</v>
      </c>
    </row>
    <row r="128" customFormat="false" ht="15" hidden="false" customHeight="false" outlineLevel="0" collapsed="false">
      <c r="A128" s="0" t="s">
        <v>149</v>
      </c>
      <c r="B128" s="0" t="s">
        <v>111</v>
      </c>
      <c r="C128" s="0" t="s">
        <v>89</v>
      </c>
      <c r="D128" s="0" t="s">
        <v>58</v>
      </c>
      <c r="E128" s="0" t="str">
        <f aca="false">B128&amp;"|"&amp;C128&amp;"|"&amp;D128</f>
        <v>Qacha's Nek [#SNU] [zTaMbxvQtJ6]|&lt;01|Male</v>
      </c>
      <c r="F128" s="73" t="n">
        <f aca="false">_xlfn.IFNA(INDEX(Cascade!$F:$F,MATCH($E128,Cascade!$E:$E,0)),"")</f>
        <v>679</v>
      </c>
      <c r="H128" s="73" t="n">
        <v>4</v>
      </c>
      <c r="I128" s="73" t="n">
        <v>37</v>
      </c>
      <c r="J128" s="118" t="n">
        <f aca="false">IF(SUM($I128)&lt;=0,"",0%)</f>
        <v>0</v>
      </c>
      <c r="K128" s="118"/>
      <c r="L128" s="118"/>
      <c r="M128" s="118" t="n">
        <f aca="false">1-IF(NOT(AND($D128="Female",OR($C128="10-14",$C128="15-17"))),0,$K128)-IF(NOT(OR($C128="05-09",$C128="10-14")),0,$L128)</f>
        <v>1</v>
      </c>
      <c r="N128" s="118" t="n">
        <f aca="false">20%</f>
        <v>0.2</v>
      </c>
      <c r="O128" s="73" t="n">
        <f aca="false">IF(SUM($I128)&lt;=0,"",ROUND($I128*(1+$J128),0))</f>
        <v>37</v>
      </c>
      <c r="P128" s="75" t="str">
        <f aca="false">IF(OR(AND(SUM($K128)=0,SUM($O128)&lt;=0),NOT(AND($D128="Female",$G128="Y",OR($C128="10-14",$C128="15-17")))),"",ROUND($O128*$K128,0))</f>
        <v/>
      </c>
      <c r="Q128" s="75" t="str">
        <f aca="false">IF(OR(AND(SUM($L128)=0,SUM($O128)&lt;=0),NOT(OR($C128="10-14",$C128="05-09"))),"",ROUND($O128*$L128,0))</f>
        <v/>
      </c>
      <c r="R128" s="75" t="n">
        <f aca="false">IF(SUM($O128)&lt;=0,"",ROUND($O128*$M128*$N128,0))</f>
        <v>7</v>
      </c>
      <c r="S128" s="75" t="n">
        <f aca="false">IF(SUM($O128)&lt;=0,"",($O128*$M128)-$R128)</f>
        <v>30</v>
      </c>
      <c r="T128" s="118" t="n">
        <f aca="false">IF(OR($C128="18+",$C128="18-20",SUM($O128)&lt;=0),"",100%)</f>
        <v>1</v>
      </c>
      <c r="U128" s="115" t="n">
        <f aca="false">IF(OR($C128="18+",$C128="18-20",(SUM($R128)+SUM($S128))=0),"",ROUND(SUM($R128,$S128)*$T128,0))</f>
        <v>37</v>
      </c>
    </row>
    <row r="129" customFormat="false" ht="15" hidden="false" customHeight="false" outlineLevel="0" collapsed="false">
      <c r="A129" s="0" t="s">
        <v>149</v>
      </c>
      <c r="B129" s="0" t="s">
        <v>111</v>
      </c>
      <c r="C129" s="0" t="s">
        <v>54</v>
      </c>
      <c r="D129" s="0" t="s">
        <v>56</v>
      </c>
      <c r="E129" s="0" t="str">
        <f aca="false">B129&amp;"|"&amp;C129&amp;"|"&amp;D129</f>
        <v>Qacha's Nek [#SNU] [zTaMbxvQtJ6]|01-04|Female</v>
      </c>
      <c r="F129" s="73" t="n">
        <f aca="false">_xlfn.IFNA(INDEX(Cascade!$F:$F,MATCH($E129,Cascade!$E:$E,0)),"")</f>
        <v>3137</v>
      </c>
      <c r="H129" s="73" t="n">
        <v>8</v>
      </c>
      <c r="I129" s="73" t="n">
        <v>22</v>
      </c>
      <c r="J129" s="118" t="n">
        <f aca="false">IF(SUM($I129)&lt;=0,"",0%)</f>
        <v>0</v>
      </c>
      <c r="K129" s="118"/>
      <c r="L129" s="118"/>
      <c r="M129" s="118" t="n">
        <f aca="false">1-IF(NOT(AND($D129="Female",OR($C129="10-14",$C129="15-17"))),0,$K129)-IF(NOT(OR($C129="05-09",$C129="10-14")),0,$L129)</f>
        <v>1</v>
      </c>
      <c r="N129" s="118" t="n">
        <f aca="false">20%</f>
        <v>0.2</v>
      </c>
      <c r="O129" s="73" t="n">
        <f aca="false">IF(SUM($I129)&lt;=0,"",ROUND($I129*(1+$J129),0))</f>
        <v>22</v>
      </c>
      <c r="P129" s="75" t="str">
        <f aca="false">IF(OR(AND(SUM($K129)=0,SUM($O129)&lt;=0),NOT(AND($D129="Female",$G129="Y",OR($C129="10-14",$C129="15-17")))),"",ROUND($O129*$K129,0))</f>
        <v/>
      </c>
      <c r="Q129" s="75" t="str">
        <f aca="false">IF(OR(AND(SUM($L129)=0,SUM($O129)&lt;=0),NOT(OR($C129="10-14",$C129="05-09"))),"",ROUND($O129*$L129,0))</f>
        <v/>
      </c>
      <c r="R129" s="75" t="n">
        <f aca="false">IF(SUM($O129)&lt;=0,"",ROUND($O129*$M129*$N129,0))</f>
        <v>4</v>
      </c>
      <c r="S129" s="75" t="n">
        <f aca="false">IF(SUM($O129)&lt;=0,"",($O129*$M129)-$R129)</f>
        <v>18</v>
      </c>
      <c r="T129" s="118" t="n">
        <f aca="false">IF(OR($C129="18+",$C129="18-20",SUM($O129)&lt;=0),"",100%)</f>
        <v>1</v>
      </c>
      <c r="U129" s="115" t="n">
        <f aca="false">IF(OR($C129="18+",$C129="18-20",(SUM($R129)+SUM($S129))=0),"",ROUND(SUM($R129,$S129)*$T129,0))</f>
        <v>22</v>
      </c>
    </row>
    <row r="130" customFormat="false" ht="15" hidden="false" customHeight="false" outlineLevel="0" collapsed="false">
      <c r="A130" s="0" t="s">
        <v>149</v>
      </c>
      <c r="B130" s="0" t="s">
        <v>111</v>
      </c>
      <c r="C130" s="0" t="s">
        <v>54</v>
      </c>
      <c r="D130" s="0" t="s">
        <v>58</v>
      </c>
      <c r="E130" s="0" t="str">
        <f aca="false">B130&amp;"|"&amp;C130&amp;"|"&amp;D130</f>
        <v>Qacha's Nek [#SNU] [zTaMbxvQtJ6]|01-04|Male</v>
      </c>
      <c r="F130" s="73" t="n">
        <f aca="false">_xlfn.IFNA(INDEX(Cascade!$F:$F,MATCH($E130,Cascade!$E:$E,0)),"")</f>
        <v>3154</v>
      </c>
      <c r="H130" s="73" t="n">
        <v>12</v>
      </c>
      <c r="I130" s="73" t="n">
        <v>43</v>
      </c>
      <c r="J130" s="118" t="n">
        <f aca="false">IF(SUM($I130)&lt;=0,"",0%)</f>
        <v>0</v>
      </c>
      <c r="K130" s="118"/>
      <c r="L130" s="118"/>
      <c r="M130" s="118" t="n">
        <f aca="false">1-IF(NOT(AND($D130="Female",OR($C130="10-14",$C130="15-17"))),0,$K130)-IF(NOT(OR($C130="05-09",$C130="10-14")),0,$L130)</f>
        <v>1</v>
      </c>
      <c r="N130" s="118" t="n">
        <f aca="false">20%</f>
        <v>0.2</v>
      </c>
      <c r="O130" s="73" t="n">
        <f aca="false">IF(SUM($I130)&lt;=0,"",ROUND($I130*(1+$J130),0))</f>
        <v>43</v>
      </c>
      <c r="P130" s="75" t="str">
        <f aca="false">IF(OR(AND(SUM($K130)=0,SUM($O130)&lt;=0),NOT(AND($D130="Female",$G130="Y",OR($C130="10-14",$C130="15-17")))),"",ROUND($O130*$K130,0))</f>
        <v/>
      </c>
      <c r="Q130" s="75" t="str">
        <f aca="false">IF(OR(AND(SUM($L130)=0,SUM($O130)&lt;=0),NOT(OR($C130="10-14",$C130="05-09"))),"",ROUND($O130*$L130,0))</f>
        <v/>
      </c>
      <c r="R130" s="75" t="n">
        <f aca="false">IF(SUM($O130)&lt;=0,"",ROUND($O130*$M130*$N130,0))</f>
        <v>9</v>
      </c>
      <c r="S130" s="75" t="n">
        <f aca="false">IF(SUM($O130)&lt;=0,"",($O130*$M130)-$R130)</f>
        <v>34</v>
      </c>
      <c r="T130" s="118" t="n">
        <f aca="false">IF(OR($C130="18+",$C130="18-20",SUM($O130)&lt;=0),"",100%)</f>
        <v>1</v>
      </c>
      <c r="U130" s="115" t="n">
        <f aca="false">IF(OR($C130="18+",$C130="18-20",(SUM($R130)+SUM($S130))=0),"",ROUND(SUM($R130,$S130)*$T130,0))</f>
        <v>43</v>
      </c>
    </row>
    <row r="131" customFormat="false" ht="15" hidden="false" customHeight="false" outlineLevel="0" collapsed="false">
      <c r="A131" s="0" t="s">
        <v>149</v>
      </c>
      <c r="B131" s="0" t="s">
        <v>111</v>
      </c>
      <c r="C131" s="0" t="s">
        <v>83</v>
      </c>
      <c r="D131" s="0" t="s">
        <v>56</v>
      </c>
      <c r="E131" s="0" t="str">
        <f aca="false">B131&amp;"|"&amp;C131&amp;"|"&amp;D131</f>
        <v>Qacha's Nek [#SNU] [zTaMbxvQtJ6]|05-09|Female</v>
      </c>
      <c r="F131" s="73" t="n">
        <f aca="false">_xlfn.IFNA(INDEX(Cascade!$F:$F,MATCH($E131,Cascade!$E:$E,0)),"")</f>
        <v>4427</v>
      </c>
      <c r="H131" s="73" t="n">
        <v>22</v>
      </c>
      <c r="I131" s="73" t="n">
        <v>5</v>
      </c>
      <c r="J131" s="118" t="n">
        <f aca="false">IF(SUM($I131)&lt;=0,"",0%)</f>
        <v>0</v>
      </c>
      <c r="K131" s="118"/>
      <c r="L131" s="118"/>
      <c r="M131" s="118" t="n">
        <f aca="false">1-IF(NOT(AND($D131="Female",OR($C131="10-14",$C131="15-17"))),0,$K131)-IF(NOT(OR($C131="05-09",$C131="10-14")),0,$L131)</f>
        <v>1</v>
      </c>
      <c r="N131" s="118" t="n">
        <f aca="false">20%</f>
        <v>0.2</v>
      </c>
      <c r="O131" s="73" t="n">
        <f aca="false">IF(SUM($I131)&lt;=0,"",ROUND($I131*(1+$J131),0))</f>
        <v>5</v>
      </c>
      <c r="P131" s="75" t="str">
        <f aca="false">IF(OR(AND(SUM($K131)=0,SUM($O131)&lt;=0),NOT(AND($D131="Female",$G131="Y",OR($C131="10-14",$C131="15-17")))),"",ROUND($O131*$K131,0))</f>
        <v/>
      </c>
      <c r="Q131" s="75" t="n">
        <f aca="false">IF(OR(AND(SUM($L131)=0,SUM($O131)&lt;=0),NOT(OR($C131="10-14",$C131="05-09"))),"",ROUND($O131*$L131,0))</f>
        <v>0</v>
      </c>
      <c r="R131" s="75" t="n">
        <f aca="false">IF(SUM($O131)&lt;=0,"",ROUND($O131*$M131*$N131,0))</f>
        <v>1</v>
      </c>
      <c r="S131" s="75" t="n">
        <f aca="false">IF(SUM($O131)&lt;=0,"",($O131*$M131)-$R131)</f>
        <v>4</v>
      </c>
      <c r="T131" s="118" t="n">
        <f aca="false">IF(OR($C131="18+",$C131="18-20",SUM($O131)&lt;=0),"",100%)</f>
        <v>1</v>
      </c>
      <c r="U131" s="115" t="n">
        <f aca="false">IF(OR($C131="18+",$C131="18-20",(SUM($R131)+SUM($S131))=0),"",ROUND(SUM($R131,$S131)*$T131,0))</f>
        <v>5</v>
      </c>
    </row>
    <row r="132" customFormat="false" ht="15" hidden="false" customHeight="false" outlineLevel="0" collapsed="false">
      <c r="A132" s="0" t="s">
        <v>149</v>
      </c>
      <c r="B132" s="0" t="s">
        <v>111</v>
      </c>
      <c r="C132" s="0" t="s">
        <v>83</v>
      </c>
      <c r="D132" s="0" t="s">
        <v>58</v>
      </c>
      <c r="E132" s="0" t="str">
        <f aca="false">B132&amp;"|"&amp;C132&amp;"|"&amp;D132</f>
        <v>Qacha's Nek [#SNU] [zTaMbxvQtJ6]|05-09|Male</v>
      </c>
      <c r="F132" s="73" t="n">
        <f aca="false">_xlfn.IFNA(INDEX(Cascade!$F:$F,MATCH($E132,Cascade!$E:$E,0)),"")</f>
        <v>4425</v>
      </c>
      <c r="H132" s="73" t="n">
        <v>13</v>
      </c>
      <c r="I132" s="73" t="n">
        <v>28</v>
      </c>
      <c r="J132" s="118" t="n">
        <f aca="false">IF(SUM($I132)&lt;=0,"",0%)</f>
        <v>0</v>
      </c>
      <c r="K132" s="118"/>
      <c r="L132" s="118"/>
      <c r="M132" s="118" t="n">
        <f aca="false">1-IF(NOT(AND($D132="Female",OR($C132="10-14",$C132="15-17"))),0,$K132)-IF(NOT(OR($C132="05-09",$C132="10-14")),0,$L132)</f>
        <v>1</v>
      </c>
      <c r="N132" s="118" t="n">
        <f aca="false">20%</f>
        <v>0.2</v>
      </c>
      <c r="O132" s="73" t="n">
        <f aca="false">IF(SUM($I132)&lt;=0,"",ROUND($I132*(1+$J132),0))</f>
        <v>28</v>
      </c>
      <c r="P132" s="75" t="str">
        <f aca="false">IF(OR(AND(SUM($K132)=0,SUM($O132)&lt;=0),NOT(AND($D132="Female",$G132="Y",OR($C132="10-14",$C132="15-17")))),"",ROUND($O132*$K132,0))</f>
        <v/>
      </c>
      <c r="Q132" s="75" t="n">
        <f aca="false">IF(OR(AND(SUM($L132)=0,SUM($O132)&lt;=0),NOT(OR($C132="10-14",$C132="05-09"))),"",ROUND($O132*$L132,0))</f>
        <v>0</v>
      </c>
      <c r="R132" s="75" t="n">
        <f aca="false">IF(SUM($O132)&lt;=0,"",ROUND($O132*$M132*$N132,0))</f>
        <v>6</v>
      </c>
      <c r="S132" s="75" t="n">
        <f aca="false">IF(SUM($O132)&lt;=0,"",($O132*$M132)-$R132)</f>
        <v>22</v>
      </c>
      <c r="T132" s="118" t="n">
        <f aca="false">IF(OR($C132="18+",$C132="18-20",SUM($O132)&lt;=0),"",100%)</f>
        <v>1</v>
      </c>
      <c r="U132" s="115" t="n">
        <f aca="false">IF(OR($C132="18+",$C132="18-20",(SUM($R132)+SUM($S132))=0),"",ROUND(SUM($R132,$S132)*$T132,0))</f>
        <v>28</v>
      </c>
    </row>
    <row r="133" customFormat="false" ht="15" hidden="false" customHeight="false" outlineLevel="0" collapsed="false">
      <c r="A133" s="0" t="s">
        <v>149</v>
      </c>
      <c r="B133" s="0" t="s">
        <v>111</v>
      </c>
      <c r="C133" s="0" t="s">
        <v>61</v>
      </c>
      <c r="D133" s="0" t="s">
        <v>56</v>
      </c>
      <c r="E133" s="0" t="str">
        <f aca="false">B133&amp;"|"&amp;C133&amp;"|"&amp;D133</f>
        <v>Qacha's Nek [#SNU] [zTaMbxvQtJ6]|10-14|Female</v>
      </c>
      <c r="F133" s="73" t="n">
        <f aca="false">_xlfn.IFNA(INDEX(Cascade!$F:$F,MATCH($E133,Cascade!$E:$E,0)),"")</f>
        <v>4443</v>
      </c>
      <c r="H133" s="73" t="n">
        <v>39</v>
      </c>
      <c r="I133" s="73" t="n">
        <v>44</v>
      </c>
      <c r="J133" s="118" t="n">
        <f aca="false">IF(SUM($I133)&lt;=0,"",0%)</f>
        <v>0</v>
      </c>
      <c r="K133" s="118"/>
      <c r="L133" s="118"/>
      <c r="M133" s="118" t="n">
        <f aca="false">1-IF(NOT(AND($D133="Female",OR($C133="10-14",$C133="15-17"))),0,$K133)-IF(NOT(OR($C133="05-09",$C133="10-14")),0,$L133)</f>
        <v>1</v>
      </c>
      <c r="N133" s="118" t="n">
        <f aca="false">20%</f>
        <v>0.2</v>
      </c>
      <c r="O133" s="73" t="n">
        <f aca="false">IF(SUM($I133)&lt;=0,"",ROUND($I133*(1+$J133),0))</f>
        <v>44</v>
      </c>
      <c r="P133" s="75" t="str">
        <f aca="false">IF(OR(AND(SUM($K133)=0,SUM($O133)&lt;=0),NOT(AND($D133="Female",$G133="Y",OR($C133="10-14",$C133="15-17")))),"",ROUND($O133*$K133,0))</f>
        <v/>
      </c>
      <c r="Q133" s="75" t="n">
        <f aca="false">IF(OR(AND(SUM($L133)=0,SUM($O133)&lt;=0),NOT(OR($C133="10-14",$C133="05-09"))),"",ROUND($O133*$L133,0))</f>
        <v>0</v>
      </c>
      <c r="R133" s="75" t="n">
        <f aca="false">IF(SUM($O133)&lt;=0,"",ROUND($O133*$M133*$N133,0))</f>
        <v>9</v>
      </c>
      <c r="S133" s="75" t="n">
        <f aca="false">IF(SUM($O133)&lt;=0,"",($O133*$M133)-$R133)</f>
        <v>35</v>
      </c>
      <c r="T133" s="118" t="n">
        <f aca="false">IF(OR($C133="18+",$C133="18-20",SUM($O133)&lt;=0),"",100%)</f>
        <v>1</v>
      </c>
      <c r="U133" s="115" t="n">
        <f aca="false">IF(OR($C133="18+",$C133="18-20",(SUM($R133)+SUM($S133))=0),"",ROUND(SUM($R133,$S133)*$T133,0))</f>
        <v>44</v>
      </c>
    </row>
    <row r="134" customFormat="false" ht="15" hidden="false" customHeight="false" outlineLevel="0" collapsed="false">
      <c r="A134" s="0" t="s">
        <v>149</v>
      </c>
      <c r="B134" s="0" t="s">
        <v>111</v>
      </c>
      <c r="C134" s="0" t="s">
        <v>61</v>
      </c>
      <c r="D134" s="0" t="s">
        <v>58</v>
      </c>
      <c r="E134" s="0" t="str">
        <f aca="false">B134&amp;"|"&amp;C134&amp;"|"&amp;D134</f>
        <v>Qacha's Nek [#SNU] [zTaMbxvQtJ6]|10-14|Male</v>
      </c>
      <c r="F134" s="73" t="n">
        <f aca="false">_xlfn.IFNA(INDEX(Cascade!$F:$F,MATCH($E134,Cascade!$E:$E,0)),"")</f>
        <v>4412</v>
      </c>
      <c r="H134" s="73" t="n">
        <v>5</v>
      </c>
      <c r="I134" s="73" t="n">
        <v>43</v>
      </c>
      <c r="J134" s="118" t="n">
        <f aca="false">IF(SUM($I134)&lt;=0,"",0%)</f>
        <v>0</v>
      </c>
      <c r="K134" s="118"/>
      <c r="L134" s="118"/>
      <c r="M134" s="118" t="n">
        <f aca="false">1-IF(NOT(AND($D134="Female",OR($C134="10-14",$C134="15-17"))),0,$K134)-IF(NOT(OR($C134="05-09",$C134="10-14")),0,$L134)</f>
        <v>1</v>
      </c>
      <c r="N134" s="118" t="n">
        <f aca="false">20%</f>
        <v>0.2</v>
      </c>
      <c r="O134" s="73" t="n">
        <f aca="false">IF(SUM($I134)&lt;=0,"",ROUND($I134*(1+$J134),0))</f>
        <v>43</v>
      </c>
      <c r="P134" s="75" t="str">
        <f aca="false">IF(OR(AND(SUM($K134)=0,SUM($O134)&lt;=0),NOT(AND($D134="Female",$G134="Y",OR($C134="10-14",$C134="15-17")))),"",ROUND($O134*$K134,0))</f>
        <v/>
      </c>
      <c r="Q134" s="75" t="n">
        <f aca="false">IF(OR(AND(SUM($L134)=0,SUM($O134)&lt;=0),NOT(OR($C134="10-14",$C134="05-09"))),"",ROUND($O134*$L134,0))</f>
        <v>0</v>
      </c>
      <c r="R134" s="75" t="n">
        <f aca="false">IF(SUM($O134)&lt;=0,"",ROUND($O134*$M134*$N134,0))</f>
        <v>9</v>
      </c>
      <c r="S134" s="75" t="n">
        <f aca="false">IF(SUM($O134)&lt;=0,"",($O134*$M134)-$R134)</f>
        <v>34</v>
      </c>
      <c r="T134" s="118" t="n">
        <f aca="false">IF(OR($C134="18+",$C134="18-20",SUM($O134)&lt;=0),"",100%)</f>
        <v>1</v>
      </c>
      <c r="U134" s="115" t="n">
        <f aca="false">IF(OR($C134="18+",$C134="18-20",(SUM($R134)+SUM($S134))=0),"",ROUND(SUM($R134,$S134)*$T134,0))</f>
        <v>43</v>
      </c>
    </row>
    <row r="135" customFormat="false" ht="15" hidden="false" customHeight="false" outlineLevel="0" collapsed="false">
      <c r="A135" s="0" t="s">
        <v>149</v>
      </c>
      <c r="B135" s="0" t="s">
        <v>111</v>
      </c>
      <c r="C135" s="0" t="s">
        <v>882</v>
      </c>
      <c r="D135" s="0" t="s">
        <v>56</v>
      </c>
      <c r="E135" s="0" t="str">
        <f aca="false">B135&amp;"|"&amp;C135&amp;"|"&amp;D135</f>
        <v>Qacha's Nek [#SNU] [zTaMbxvQtJ6]|15-17|Female</v>
      </c>
      <c r="F135" s="73" t="str">
        <f aca="false">_xlfn.IFNA(INDEX(Cascade!$F:$F,MATCH($E135,Cascade!$E:$E,0)),"")</f>
        <v/>
      </c>
      <c r="H135" s="73" t="n">
        <v>37</v>
      </c>
      <c r="I135" s="73" t="n">
        <v>29</v>
      </c>
      <c r="J135" s="118" t="n">
        <f aca="false">IF(SUM($I135)&lt;=0,"",0%)</f>
        <v>0</v>
      </c>
      <c r="K135" s="118"/>
      <c r="L135" s="118"/>
      <c r="M135" s="118" t="n">
        <f aca="false">1-IF(NOT(AND($D135="Female",OR($C135="10-14",$C135="15-17"))),0,$K135)-IF(NOT(OR($C135="05-09",$C135="10-14")),0,$L135)</f>
        <v>1</v>
      </c>
      <c r="N135" s="118" t="n">
        <f aca="false">20%</f>
        <v>0.2</v>
      </c>
      <c r="O135" s="73" t="n">
        <f aca="false">IF(SUM($I135)&lt;=0,"",ROUND($I135*(1+$J135),0))</f>
        <v>29</v>
      </c>
      <c r="P135" s="75" t="str">
        <f aca="false">IF(OR(AND(SUM($K135)=0,SUM($O135)&lt;=0),NOT(AND($D135="Female",$G135="Y",OR($C135="10-14",$C135="15-17")))),"",ROUND($O135*$K135,0))</f>
        <v/>
      </c>
      <c r="Q135" s="75" t="str">
        <f aca="false">IF(OR(AND(SUM($L135)=0,SUM($O135)&lt;=0),NOT(OR($C135="10-14",$C135="05-09"))),"",ROUND($O135*$L135,0))</f>
        <v/>
      </c>
      <c r="R135" s="75" t="n">
        <f aca="false">IF(SUM($O135)&lt;=0,"",ROUND($O135*$M135*$N135,0))</f>
        <v>6</v>
      </c>
      <c r="S135" s="75" t="n">
        <f aca="false">IF(SUM($O135)&lt;=0,"",($O135*$M135)-$R135)</f>
        <v>23</v>
      </c>
      <c r="T135" s="118" t="n">
        <f aca="false">IF(OR($C135="18+",$C135="18-20",SUM($O135)&lt;=0),"",100%)</f>
        <v>1</v>
      </c>
      <c r="U135" s="115" t="n">
        <f aca="false">IF(OR($C135="18+",$C135="18-20",(SUM($R135)+SUM($S135))=0),"",ROUND(SUM($R135,$S135)*$T135,0))</f>
        <v>29</v>
      </c>
    </row>
    <row r="136" customFormat="false" ht="15" hidden="false" customHeight="false" outlineLevel="0" collapsed="false">
      <c r="A136" s="0" t="s">
        <v>149</v>
      </c>
      <c r="B136" s="0" t="s">
        <v>111</v>
      </c>
      <c r="C136" s="0" t="s">
        <v>882</v>
      </c>
      <c r="D136" s="0" t="s">
        <v>58</v>
      </c>
      <c r="E136" s="0" t="str">
        <f aca="false">B136&amp;"|"&amp;C136&amp;"|"&amp;D136</f>
        <v>Qacha's Nek [#SNU] [zTaMbxvQtJ6]|15-17|Male</v>
      </c>
      <c r="F136" s="73" t="str">
        <f aca="false">_xlfn.IFNA(INDEX(Cascade!$F:$F,MATCH($E136,Cascade!$E:$E,0)),"")</f>
        <v/>
      </c>
      <c r="H136" s="73" t="n">
        <v>4</v>
      </c>
      <c r="I136" s="73" t="n">
        <v>44</v>
      </c>
      <c r="J136" s="118" t="n">
        <f aca="false">IF(SUM($I136)&lt;=0,"",0%)</f>
        <v>0</v>
      </c>
      <c r="K136" s="118"/>
      <c r="L136" s="118"/>
      <c r="M136" s="118" t="n">
        <f aca="false">1-IF(NOT(AND($D136="Female",OR($C136="10-14",$C136="15-17"))),0,$K136)-IF(NOT(OR($C136="05-09",$C136="10-14")),0,$L136)</f>
        <v>1</v>
      </c>
      <c r="N136" s="118" t="n">
        <f aca="false">20%</f>
        <v>0.2</v>
      </c>
      <c r="O136" s="73" t="n">
        <f aca="false">IF(SUM($I136)&lt;=0,"",ROUND($I136*(1+$J136),0))</f>
        <v>44</v>
      </c>
      <c r="P136" s="75" t="str">
        <f aca="false">IF(OR(AND(SUM($K136)=0,SUM($O136)&lt;=0),NOT(AND($D136="Female",$G136="Y",OR($C136="10-14",$C136="15-17")))),"",ROUND($O136*$K136,0))</f>
        <v/>
      </c>
      <c r="Q136" s="75" t="str">
        <f aca="false">IF(OR(AND(SUM($L136)=0,SUM($O136)&lt;=0),NOT(OR($C136="10-14",$C136="05-09"))),"",ROUND($O136*$L136,0))</f>
        <v/>
      </c>
      <c r="R136" s="75" t="n">
        <f aca="false">IF(SUM($O136)&lt;=0,"",ROUND($O136*$M136*$N136,0))</f>
        <v>9</v>
      </c>
      <c r="S136" s="75" t="n">
        <f aca="false">IF(SUM($O136)&lt;=0,"",($O136*$M136)-$R136)</f>
        <v>35</v>
      </c>
      <c r="T136" s="118" t="n">
        <f aca="false">IF(OR($C136="18+",$C136="18-20",SUM($O136)&lt;=0),"",100%)</f>
        <v>1</v>
      </c>
      <c r="U136" s="115" t="n">
        <f aca="false">IF(OR($C136="18+",$C136="18-20",(SUM($R136)+SUM($S136))=0),"",ROUND(SUM($R136,$S136)*$T136,0))</f>
        <v>44</v>
      </c>
    </row>
    <row r="137" customFormat="false" ht="15" hidden="false" customHeight="false" outlineLevel="0" collapsed="false">
      <c r="A137" s="0" t="s">
        <v>149</v>
      </c>
      <c r="B137" s="0" t="s">
        <v>111</v>
      </c>
      <c r="C137" s="0" t="s">
        <v>883</v>
      </c>
      <c r="D137" s="0" t="s">
        <v>56</v>
      </c>
      <c r="E137" s="0" t="str">
        <f aca="false">B137&amp;"|"&amp;C137&amp;"|"&amp;D137</f>
        <v>Qacha's Nek [#SNU] [zTaMbxvQtJ6]|18-20|Female</v>
      </c>
      <c r="F137" s="73" t="str">
        <f aca="false">_xlfn.IFNA(INDEX(Cascade!$F:$F,MATCH($E137,Cascade!$E:$E,0)),"")</f>
        <v/>
      </c>
      <c r="H137" s="73"/>
      <c r="I137" s="73"/>
      <c r="J137" s="118" t="str">
        <f aca="false">IF(SUM($I137)&lt;=0,"",0%)</f>
        <v/>
      </c>
      <c r="K137" s="118"/>
      <c r="L137" s="118"/>
      <c r="M137" s="118" t="n">
        <f aca="false">1-IF(NOT(AND($D137="Female",OR($C137="10-14",$C137="15-17"))),0,$K137)-IF(NOT(OR($C137="05-09",$C137="10-14")),0,$L137)</f>
        <v>1</v>
      </c>
      <c r="N137" s="118" t="n">
        <f aca="false">20%</f>
        <v>0.2</v>
      </c>
      <c r="O137" s="73" t="str">
        <f aca="false">IF(SUM($I137)&lt;=0,"",ROUND($I137*(1+$J137),0))</f>
        <v/>
      </c>
      <c r="P137" s="75" t="str">
        <f aca="false">IF(OR(AND(SUM($K137)=0,SUM($O137)&lt;=0),NOT(AND($D137="Female",$G137="Y",OR($C137="10-14",$C137="15-17")))),"",ROUND($O137*$K137,0))</f>
        <v/>
      </c>
      <c r="Q137" s="75" t="str">
        <f aca="false">IF(OR(AND(SUM($L137)=0,SUM($O137)&lt;=0),NOT(OR($C137="10-14",$C137="05-09"))),"",ROUND($O137*$L137,0))</f>
        <v/>
      </c>
      <c r="R137" s="75" t="str">
        <f aca="false">IF(SUM($O137)&lt;=0,"",ROUND($O137*$M137*$N137,0))</f>
        <v/>
      </c>
      <c r="S137" s="75" t="str">
        <f aca="false">IF(SUM($O137)&lt;=0,"",($O137*$M137)-$R137)</f>
        <v/>
      </c>
      <c r="T137" s="118" t="str">
        <f aca="false">IF(OR($C137="18+",$C137="18-20",SUM($O137)&lt;=0),"",100%)</f>
        <v/>
      </c>
      <c r="U137" s="115" t="str">
        <f aca="false">IF(OR($C137="18+",$C137="18-20",(SUM($R137)+SUM($S137))=0),"",ROUND(SUM($R137,$S137)*$T137,0))</f>
        <v/>
      </c>
    </row>
    <row r="138" customFormat="false" ht="15" hidden="false" customHeight="false" outlineLevel="0" collapsed="false">
      <c r="A138" s="0" t="s">
        <v>149</v>
      </c>
      <c r="B138" s="0" t="s">
        <v>111</v>
      </c>
      <c r="C138" s="0" t="s">
        <v>883</v>
      </c>
      <c r="D138" s="0" t="s">
        <v>58</v>
      </c>
      <c r="E138" s="0" t="str">
        <f aca="false">B138&amp;"|"&amp;C138&amp;"|"&amp;D138</f>
        <v>Qacha's Nek [#SNU] [zTaMbxvQtJ6]|18-20|Male</v>
      </c>
      <c r="F138" s="73" t="str">
        <f aca="false">_xlfn.IFNA(INDEX(Cascade!$F:$F,MATCH($E138,Cascade!$E:$E,0)),"")</f>
        <v/>
      </c>
      <c r="H138" s="73"/>
      <c r="I138" s="73"/>
      <c r="J138" s="118" t="str">
        <f aca="false">IF(SUM($I138)&lt;=0,"",0%)</f>
        <v/>
      </c>
      <c r="K138" s="118"/>
      <c r="L138" s="118"/>
      <c r="M138" s="118" t="n">
        <f aca="false">1-IF(NOT(AND($D138="Female",OR($C138="10-14",$C138="15-17"))),0,$K138)-IF(NOT(OR($C138="05-09",$C138="10-14")),0,$L138)</f>
        <v>1</v>
      </c>
      <c r="N138" s="118" t="n">
        <f aca="false">20%</f>
        <v>0.2</v>
      </c>
      <c r="O138" s="73" t="str">
        <f aca="false">IF(SUM($I138)&lt;=0,"",ROUND($I138*(1+$J138),0))</f>
        <v/>
      </c>
      <c r="P138" s="75" t="str">
        <f aca="false">IF(OR(AND(SUM($K138)=0,SUM($O138)&lt;=0),NOT(AND($D138="Female",$G138="Y",OR($C138="10-14",$C138="15-17")))),"",ROUND($O138*$K138,0))</f>
        <v/>
      </c>
      <c r="Q138" s="75" t="str">
        <f aca="false">IF(OR(AND(SUM($L138)=0,SUM($O138)&lt;=0),NOT(OR($C138="10-14",$C138="05-09"))),"",ROUND($O138*$L138,0))</f>
        <v/>
      </c>
      <c r="R138" s="75" t="str">
        <f aca="false">IF(SUM($O138)&lt;=0,"",ROUND($O138*$M138*$N138,0))</f>
        <v/>
      </c>
      <c r="S138" s="75" t="str">
        <f aca="false">IF(SUM($O138)&lt;=0,"",($O138*$M138)-$R138)</f>
        <v/>
      </c>
      <c r="T138" s="118" t="str">
        <f aca="false">IF(OR($C138="18+",$C138="18-20",SUM($O138)&lt;=0),"",100%)</f>
        <v/>
      </c>
      <c r="U138" s="115" t="str">
        <f aca="false">IF(OR($C138="18+",$C138="18-20",(SUM($R138)+SUM($S138))=0),"",ROUND(SUM($R138,$S138)*$T138,0))</f>
        <v/>
      </c>
    </row>
    <row r="139" customFormat="false" ht="15" hidden="false" customHeight="false" outlineLevel="0" collapsed="false">
      <c r="A139" s="0" t="s">
        <v>149</v>
      </c>
      <c r="B139" s="0" t="s">
        <v>111</v>
      </c>
      <c r="C139" s="0" t="s">
        <v>884</v>
      </c>
      <c r="D139" s="0" t="s">
        <v>56</v>
      </c>
      <c r="E139" s="0" t="str">
        <f aca="false">B139&amp;"|"&amp;C139&amp;"|"&amp;D139</f>
        <v>Qacha's Nek [#SNU] [zTaMbxvQtJ6]|18+|Female</v>
      </c>
      <c r="F139" s="73" t="str">
        <f aca="false">_xlfn.IFNA(INDEX(Cascade!$F:$F,MATCH($E139,Cascade!$E:$E,0)),"")</f>
        <v/>
      </c>
      <c r="H139" s="73" t="n">
        <v>47</v>
      </c>
      <c r="I139" s="73" t="n">
        <v>2</v>
      </c>
      <c r="J139" s="118" t="n">
        <f aca="false">IF(SUM($I139)&lt;=0,"",0%)</f>
        <v>0</v>
      </c>
      <c r="K139" s="118"/>
      <c r="L139" s="118"/>
      <c r="M139" s="118" t="n">
        <f aca="false">1-IF(NOT(AND($D139="Female",OR($C139="10-14",$C139="15-17"))),0,$K139)-IF(NOT(OR($C139="05-09",$C139="10-14")),0,$L139)</f>
        <v>1</v>
      </c>
      <c r="N139" s="118" t="n">
        <f aca="false">20%</f>
        <v>0.2</v>
      </c>
      <c r="O139" s="73" t="n">
        <f aca="false">IF(SUM($I139)&lt;=0,"",ROUND($I139*(1+$J139),0))</f>
        <v>2</v>
      </c>
      <c r="P139" s="75" t="str">
        <f aca="false">IF(OR(AND(SUM($K139)=0,SUM($O139)&lt;=0),NOT(AND($D139="Female",$G139="Y",OR($C139="10-14",$C139="15-17")))),"",ROUND($O139*$K139,0))</f>
        <v/>
      </c>
      <c r="Q139" s="75" t="str">
        <f aca="false">IF(OR(AND(SUM($L139)=0,SUM($O139)&lt;=0),NOT(OR($C139="10-14",$C139="05-09"))),"",ROUND($O139*$L139,0))</f>
        <v/>
      </c>
      <c r="R139" s="75" t="n">
        <f aca="false">IF(SUM($O139)&lt;=0,"",ROUND($O139*$M139*$N139,0))</f>
        <v>0</v>
      </c>
      <c r="S139" s="75" t="n">
        <f aca="false">IF(SUM($O139)&lt;=0,"",($O139*$M139)-$R139)</f>
        <v>2</v>
      </c>
      <c r="T139" s="118" t="str">
        <f aca="false">IF(OR($C139="18+",$C139="18-20",SUM($O139)&lt;=0),"",100%)</f>
        <v/>
      </c>
      <c r="U139" s="115" t="str">
        <f aca="false">IF(OR($C139="18+",$C139="18-20",(SUM($R139)+SUM($S139))=0),"",ROUND(SUM($R139,$S139)*$T139,0))</f>
        <v/>
      </c>
    </row>
    <row r="140" customFormat="false" ht="15" hidden="false" customHeight="false" outlineLevel="0" collapsed="false">
      <c r="A140" s="0" t="s">
        <v>149</v>
      </c>
      <c r="B140" s="0" t="s">
        <v>111</v>
      </c>
      <c r="C140" s="0" t="s">
        <v>884</v>
      </c>
      <c r="D140" s="0" t="s">
        <v>58</v>
      </c>
      <c r="E140" s="0" t="str">
        <f aca="false">B140&amp;"|"&amp;C140&amp;"|"&amp;D140</f>
        <v>Qacha's Nek [#SNU] [zTaMbxvQtJ6]|18+|Male</v>
      </c>
      <c r="F140" s="73" t="str">
        <f aca="false">_xlfn.IFNA(INDEX(Cascade!$F:$F,MATCH($E140,Cascade!$E:$E,0)),"")</f>
        <v/>
      </c>
      <c r="H140" s="73" t="n">
        <v>8</v>
      </c>
      <c r="I140" s="73" t="n">
        <v>23</v>
      </c>
      <c r="J140" s="118" t="n">
        <f aca="false">IF(SUM($I140)&lt;=0,"",0%)</f>
        <v>0</v>
      </c>
      <c r="K140" s="118"/>
      <c r="L140" s="118"/>
      <c r="M140" s="118" t="n">
        <f aca="false">1-IF(NOT(AND($D140="Female",OR($C140="10-14",$C140="15-17"))),0,$K140)-IF(NOT(OR($C140="05-09",$C140="10-14")),0,$L140)</f>
        <v>1</v>
      </c>
      <c r="N140" s="118" t="n">
        <f aca="false">20%</f>
        <v>0.2</v>
      </c>
      <c r="O140" s="73" t="n">
        <f aca="false">IF(SUM($I140)&lt;=0,"",ROUND($I140*(1+$J140),0))</f>
        <v>23</v>
      </c>
      <c r="P140" s="75" t="str">
        <f aca="false">IF(OR(AND(SUM($K140)=0,SUM($O140)&lt;=0),NOT(AND($D140="Female",$G140="Y",OR($C140="10-14",$C140="15-17")))),"",ROUND($O140*$K140,0))</f>
        <v/>
      </c>
      <c r="Q140" s="75" t="str">
        <f aca="false">IF(OR(AND(SUM($L140)=0,SUM($O140)&lt;=0),NOT(OR($C140="10-14",$C140="05-09"))),"",ROUND($O140*$L140,0))</f>
        <v/>
      </c>
      <c r="R140" s="75" t="n">
        <f aca="false">IF(SUM($O140)&lt;=0,"",ROUND($O140*$M140*$N140,0))</f>
        <v>5</v>
      </c>
      <c r="S140" s="75" t="n">
        <f aca="false">IF(SUM($O140)&lt;=0,"",($O140*$M140)-$R140)</f>
        <v>18</v>
      </c>
      <c r="T140" s="118" t="str">
        <f aca="false">IF(OR($C140="18+",$C140="18-20",SUM($O140)&lt;=0),"",100%)</f>
        <v/>
      </c>
      <c r="U140" s="115" t="str">
        <f aca="false">IF(OR($C140="18+",$C140="18-20",(SUM($R140)+SUM($S140))=0),"",ROUND(SUM($R140,$S140)*$T140,0))</f>
        <v/>
      </c>
    </row>
    <row r="141" customFormat="false" ht="15" hidden="false" customHeight="false" outlineLevel="0" collapsed="false">
      <c r="A141" s="0" t="s">
        <v>150</v>
      </c>
      <c r="B141" s="0" t="s">
        <v>117</v>
      </c>
      <c r="C141" s="0" t="s">
        <v>89</v>
      </c>
      <c r="D141" s="0" t="s">
        <v>56</v>
      </c>
      <c r="E141" s="0" t="str">
        <f aca="false">B141&amp;"|"&amp;C141&amp;"|"&amp;D141</f>
        <v>Quthing [#SNU] [HuwCoDZG0FY]|&lt;01|Female</v>
      </c>
      <c r="F141" s="73" t="n">
        <f aca="false">_xlfn.IFNA(INDEX(Cascade!$F:$F,MATCH($E141,Cascade!$E:$E,0)),"")</f>
        <v>965</v>
      </c>
      <c r="H141" s="73" t="n">
        <v>25</v>
      </c>
      <c r="I141" s="73" t="n">
        <v>15</v>
      </c>
      <c r="J141" s="118" t="n">
        <f aca="false">IF(SUM($I141)&lt;=0,"",0%)</f>
        <v>0</v>
      </c>
      <c r="K141" s="118"/>
      <c r="L141" s="118"/>
      <c r="M141" s="118" t="n">
        <f aca="false">1-IF(NOT(AND($D141="Female",OR($C141="10-14",$C141="15-17"))),0,$K141)-IF(NOT(OR($C141="05-09",$C141="10-14")),0,$L141)</f>
        <v>1</v>
      </c>
      <c r="N141" s="118" t="n">
        <f aca="false">20%</f>
        <v>0.2</v>
      </c>
      <c r="O141" s="73" t="n">
        <f aca="false">IF(SUM($I141)&lt;=0,"",ROUND($I141*(1+$J141),0))</f>
        <v>15</v>
      </c>
      <c r="P141" s="75" t="str">
        <f aca="false">IF(OR(AND(SUM($K141)=0,SUM($O141)&lt;=0),NOT(AND($D141="Female",$G141="Y",OR($C141="10-14",$C141="15-17")))),"",ROUND($O141*$K141,0))</f>
        <v/>
      </c>
      <c r="Q141" s="75" t="str">
        <f aca="false">IF(OR(AND(SUM($L141)=0,SUM($O141)&lt;=0),NOT(OR($C141="10-14",$C141="05-09"))),"",ROUND($O141*$L141,0))</f>
        <v/>
      </c>
      <c r="R141" s="75" t="n">
        <f aca="false">IF(SUM($O141)&lt;=0,"",ROUND($O141*$M141*$N141,0))</f>
        <v>3</v>
      </c>
      <c r="S141" s="75" t="n">
        <f aca="false">IF(SUM($O141)&lt;=0,"",($O141*$M141)-$R141)</f>
        <v>12</v>
      </c>
      <c r="T141" s="118" t="n">
        <f aca="false">IF(OR($C141="18+",$C141="18-20",SUM($O141)&lt;=0),"",100%)</f>
        <v>1</v>
      </c>
      <c r="U141" s="115" t="n">
        <f aca="false">IF(OR($C141="18+",$C141="18-20",(SUM($R141)+SUM($S141))=0),"",ROUND(SUM($R141,$S141)*$T141,0))</f>
        <v>15</v>
      </c>
    </row>
    <row r="142" customFormat="false" ht="15" hidden="false" customHeight="false" outlineLevel="0" collapsed="false">
      <c r="A142" s="0" t="s">
        <v>150</v>
      </c>
      <c r="B142" s="0" t="s">
        <v>117</v>
      </c>
      <c r="C142" s="0" t="s">
        <v>89</v>
      </c>
      <c r="D142" s="0" t="s">
        <v>58</v>
      </c>
      <c r="E142" s="0" t="str">
        <f aca="false">B142&amp;"|"&amp;C142&amp;"|"&amp;D142</f>
        <v>Quthing [#SNU] [HuwCoDZG0FY]|&lt;01|Male</v>
      </c>
      <c r="F142" s="73" t="n">
        <f aca="false">_xlfn.IFNA(INDEX(Cascade!$F:$F,MATCH($E142,Cascade!$E:$E,0)),"")</f>
        <v>983</v>
      </c>
      <c r="H142" s="73" t="n">
        <v>47</v>
      </c>
      <c r="I142" s="73" t="n">
        <v>49</v>
      </c>
      <c r="J142" s="118" t="n">
        <f aca="false">IF(SUM($I142)&lt;=0,"",0%)</f>
        <v>0</v>
      </c>
      <c r="K142" s="118"/>
      <c r="L142" s="118"/>
      <c r="M142" s="118" t="n">
        <f aca="false">1-IF(NOT(AND($D142="Female",OR($C142="10-14",$C142="15-17"))),0,$K142)-IF(NOT(OR($C142="05-09",$C142="10-14")),0,$L142)</f>
        <v>1</v>
      </c>
      <c r="N142" s="118" t="n">
        <f aca="false">20%</f>
        <v>0.2</v>
      </c>
      <c r="O142" s="73" t="n">
        <f aca="false">IF(SUM($I142)&lt;=0,"",ROUND($I142*(1+$J142),0))</f>
        <v>49</v>
      </c>
      <c r="P142" s="75" t="str">
        <f aca="false">IF(OR(AND(SUM($K142)=0,SUM($O142)&lt;=0),NOT(AND($D142="Female",$G142="Y",OR($C142="10-14",$C142="15-17")))),"",ROUND($O142*$K142,0))</f>
        <v/>
      </c>
      <c r="Q142" s="75" t="str">
        <f aca="false">IF(OR(AND(SUM($L142)=0,SUM($O142)&lt;=0),NOT(OR($C142="10-14",$C142="05-09"))),"",ROUND($O142*$L142,0))</f>
        <v/>
      </c>
      <c r="R142" s="75" t="n">
        <f aca="false">IF(SUM($O142)&lt;=0,"",ROUND($O142*$M142*$N142,0))</f>
        <v>10</v>
      </c>
      <c r="S142" s="75" t="n">
        <f aca="false">IF(SUM($O142)&lt;=0,"",($O142*$M142)-$R142)</f>
        <v>39</v>
      </c>
      <c r="T142" s="118" t="n">
        <f aca="false">IF(OR($C142="18+",$C142="18-20",SUM($O142)&lt;=0),"",100%)</f>
        <v>1</v>
      </c>
      <c r="U142" s="115" t="n">
        <f aca="false">IF(OR($C142="18+",$C142="18-20",(SUM($R142)+SUM($S142))=0),"",ROUND(SUM($R142,$S142)*$T142,0))</f>
        <v>49</v>
      </c>
    </row>
    <row r="143" customFormat="false" ht="15" hidden="false" customHeight="false" outlineLevel="0" collapsed="false">
      <c r="A143" s="0" t="s">
        <v>150</v>
      </c>
      <c r="B143" s="0" t="s">
        <v>117</v>
      </c>
      <c r="C143" s="0" t="s">
        <v>54</v>
      </c>
      <c r="D143" s="0" t="s">
        <v>56</v>
      </c>
      <c r="E143" s="0" t="str">
        <f aca="false">B143&amp;"|"&amp;C143&amp;"|"&amp;D143</f>
        <v>Quthing [#SNU] [HuwCoDZG0FY]|01-04|Female</v>
      </c>
      <c r="F143" s="73" t="n">
        <f aca="false">_xlfn.IFNA(INDEX(Cascade!$F:$F,MATCH($E143,Cascade!$E:$E,0)),"")</f>
        <v>4483</v>
      </c>
      <c r="H143" s="73" t="n">
        <v>45</v>
      </c>
      <c r="I143" s="73" t="n">
        <v>29</v>
      </c>
      <c r="J143" s="118" t="n">
        <f aca="false">IF(SUM($I143)&lt;=0,"",0%)</f>
        <v>0</v>
      </c>
      <c r="K143" s="118"/>
      <c r="L143" s="118"/>
      <c r="M143" s="118" t="n">
        <f aca="false">1-IF(NOT(AND($D143="Female",OR($C143="10-14",$C143="15-17"))),0,$K143)-IF(NOT(OR($C143="05-09",$C143="10-14")),0,$L143)</f>
        <v>1</v>
      </c>
      <c r="N143" s="118" t="n">
        <f aca="false">20%</f>
        <v>0.2</v>
      </c>
      <c r="O143" s="73" t="n">
        <f aca="false">IF(SUM($I143)&lt;=0,"",ROUND($I143*(1+$J143),0))</f>
        <v>29</v>
      </c>
      <c r="P143" s="75" t="str">
        <f aca="false">IF(OR(AND(SUM($K143)=0,SUM($O143)&lt;=0),NOT(AND($D143="Female",$G143="Y",OR($C143="10-14",$C143="15-17")))),"",ROUND($O143*$K143,0))</f>
        <v/>
      </c>
      <c r="Q143" s="75" t="str">
        <f aca="false">IF(OR(AND(SUM($L143)=0,SUM($O143)&lt;=0),NOT(OR($C143="10-14",$C143="05-09"))),"",ROUND($O143*$L143,0))</f>
        <v/>
      </c>
      <c r="R143" s="75" t="n">
        <f aca="false">IF(SUM($O143)&lt;=0,"",ROUND($O143*$M143*$N143,0))</f>
        <v>6</v>
      </c>
      <c r="S143" s="75" t="n">
        <f aca="false">IF(SUM($O143)&lt;=0,"",($O143*$M143)-$R143)</f>
        <v>23</v>
      </c>
      <c r="T143" s="118" t="n">
        <f aca="false">IF(OR($C143="18+",$C143="18-20",SUM($O143)&lt;=0),"",100%)</f>
        <v>1</v>
      </c>
      <c r="U143" s="115" t="n">
        <f aca="false">IF(OR($C143="18+",$C143="18-20",(SUM($R143)+SUM($S143))=0),"",ROUND(SUM($R143,$S143)*$T143,0))</f>
        <v>29</v>
      </c>
    </row>
    <row r="144" customFormat="false" ht="15" hidden="false" customHeight="false" outlineLevel="0" collapsed="false">
      <c r="A144" s="0" t="s">
        <v>150</v>
      </c>
      <c r="B144" s="0" t="s">
        <v>117</v>
      </c>
      <c r="C144" s="0" t="s">
        <v>54</v>
      </c>
      <c r="D144" s="0" t="s">
        <v>58</v>
      </c>
      <c r="E144" s="0" t="str">
        <f aca="false">B144&amp;"|"&amp;C144&amp;"|"&amp;D144</f>
        <v>Quthing [#SNU] [HuwCoDZG0FY]|01-04|Male</v>
      </c>
      <c r="F144" s="73" t="n">
        <f aca="false">_xlfn.IFNA(INDEX(Cascade!$F:$F,MATCH($E144,Cascade!$E:$E,0)),"")</f>
        <v>4566</v>
      </c>
      <c r="H144" s="73" t="n">
        <v>13</v>
      </c>
      <c r="I144" s="73" t="n">
        <v>47</v>
      </c>
      <c r="J144" s="118" t="n">
        <f aca="false">IF(SUM($I144)&lt;=0,"",0%)</f>
        <v>0</v>
      </c>
      <c r="K144" s="118"/>
      <c r="L144" s="118"/>
      <c r="M144" s="118" t="n">
        <f aca="false">1-IF(NOT(AND($D144="Female",OR($C144="10-14",$C144="15-17"))),0,$K144)-IF(NOT(OR($C144="05-09",$C144="10-14")),0,$L144)</f>
        <v>1</v>
      </c>
      <c r="N144" s="118" t="n">
        <f aca="false">20%</f>
        <v>0.2</v>
      </c>
      <c r="O144" s="73" t="n">
        <f aca="false">IF(SUM($I144)&lt;=0,"",ROUND($I144*(1+$J144),0))</f>
        <v>47</v>
      </c>
      <c r="P144" s="75" t="str">
        <f aca="false">IF(OR(AND(SUM($K144)=0,SUM($O144)&lt;=0),NOT(AND($D144="Female",$G144="Y",OR($C144="10-14",$C144="15-17")))),"",ROUND($O144*$K144,0))</f>
        <v/>
      </c>
      <c r="Q144" s="75" t="str">
        <f aca="false">IF(OR(AND(SUM($L144)=0,SUM($O144)&lt;=0),NOT(OR($C144="10-14",$C144="05-09"))),"",ROUND($O144*$L144,0))</f>
        <v/>
      </c>
      <c r="R144" s="75" t="n">
        <f aca="false">IF(SUM($O144)&lt;=0,"",ROUND($O144*$M144*$N144,0))</f>
        <v>9</v>
      </c>
      <c r="S144" s="75" t="n">
        <f aca="false">IF(SUM($O144)&lt;=0,"",($O144*$M144)-$R144)</f>
        <v>38</v>
      </c>
      <c r="T144" s="118" t="n">
        <f aca="false">IF(OR($C144="18+",$C144="18-20",SUM($O144)&lt;=0),"",100%)</f>
        <v>1</v>
      </c>
      <c r="U144" s="115" t="n">
        <f aca="false">IF(OR($C144="18+",$C144="18-20",(SUM($R144)+SUM($S144))=0),"",ROUND(SUM($R144,$S144)*$T144,0))</f>
        <v>47</v>
      </c>
    </row>
    <row r="145" customFormat="false" ht="15" hidden="false" customHeight="false" outlineLevel="0" collapsed="false">
      <c r="A145" s="0" t="s">
        <v>150</v>
      </c>
      <c r="B145" s="0" t="s">
        <v>117</v>
      </c>
      <c r="C145" s="0" t="s">
        <v>83</v>
      </c>
      <c r="D145" s="0" t="s">
        <v>56</v>
      </c>
      <c r="E145" s="0" t="str">
        <f aca="false">B145&amp;"|"&amp;C145&amp;"|"&amp;D145</f>
        <v>Quthing [#SNU] [HuwCoDZG0FY]|05-09|Female</v>
      </c>
      <c r="F145" s="73" t="n">
        <f aca="false">_xlfn.IFNA(INDEX(Cascade!$F:$F,MATCH($E145,Cascade!$E:$E,0)),"")</f>
        <v>6433</v>
      </c>
      <c r="H145" s="73" t="n">
        <v>24</v>
      </c>
      <c r="I145" s="73" t="n">
        <v>7</v>
      </c>
      <c r="J145" s="118" t="n">
        <f aca="false">IF(SUM($I145)&lt;=0,"",0%)</f>
        <v>0</v>
      </c>
      <c r="K145" s="118"/>
      <c r="L145" s="118"/>
      <c r="M145" s="118" t="n">
        <f aca="false">1-IF(NOT(AND($D145="Female",OR($C145="10-14",$C145="15-17"))),0,$K145)-IF(NOT(OR($C145="05-09",$C145="10-14")),0,$L145)</f>
        <v>1</v>
      </c>
      <c r="N145" s="118" t="n">
        <f aca="false">20%</f>
        <v>0.2</v>
      </c>
      <c r="O145" s="73" t="n">
        <f aca="false">IF(SUM($I145)&lt;=0,"",ROUND($I145*(1+$J145),0))</f>
        <v>7</v>
      </c>
      <c r="P145" s="75" t="str">
        <f aca="false">IF(OR(AND(SUM($K145)=0,SUM($O145)&lt;=0),NOT(AND($D145="Female",$G145="Y",OR($C145="10-14",$C145="15-17")))),"",ROUND($O145*$K145,0))</f>
        <v/>
      </c>
      <c r="Q145" s="75" t="n">
        <f aca="false">IF(OR(AND(SUM($L145)=0,SUM($O145)&lt;=0),NOT(OR($C145="10-14",$C145="05-09"))),"",ROUND($O145*$L145,0))</f>
        <v>0</v>
      </c>
      <c r="R145" s="75" t="n">
        <f aca="false">IF(SUM($O145)&lt;=0,"",ROUND($O145*$M145*$N145,0))</f>
        <v>1</v>
      </c>
      <c r="S145" s="75" t="n">
        <f aca="false">IF(SUM($O145)&lt;=0,"",($O145*$M145)-$R145)</f>
        <v>6</v>
      </c>
      <c r="T145" s="118" t="n">
        <f aca="false">IF(OR($C145="18+",$C145="18-20",SUM($O145)&lt;=0),"",100%)</f>
        <v>1</v>
      </c>
      <c r="U145" s="115" t="n">
        <f aca="false">IF(OR($C145="18+",$C145="18-20",(SUM($R145)+SUM($S145))=0),"",ROUND(SUM($R145,$S145)*$T145,0))</f>
        <v>7</v>
      </c>
    </row>
    <row r="146" customFormat="false" ht="15" hidden="false" customHeight="false" outlineLevel="0" collapsed="false">
      <c r="A146" s="0" t="s">
        <v>150</v>
      </c>
      <c r="B146" s="0" t="s">
        <v>117</v>
      </c>
      <c r="C146" s="0" t="s">
        <v>83</v>
      </c>
      <c r="D146" s="0" t="s">
        <v>58</v>
      </c>
      <c r="E146" s="0" t="str">
        <f aca="false">B146&amp;"|"&amp;C146&amp;"|"&amp;D146</f>
        <v>Quthing [#SNU] [HuwCoDZG0FY]|05-09|Male</v>
      </c>
      <c r="F146" s="73" t="n">
        <f aca="false">_xlfn.IFNA(INDEX(Cascade!$F:$F,MATCH($E146,Cascade!$E:$E,0)),"")</f>
        <v>6248</v>
      </c>
      <c r="H146" s="73" t="n">
        <v>21</v>
      </c>
      <c r="I146" s="73" t="n">
        <v>27</v>
      </c>
      <c r="J146" s="118" t="n">
        <f aca="false">IF(SUM($I146)&lt;=0,"",0%)</f>
        <v>0</v>
      </c>
      <c r="K146" s="118"/>
      <c r="L146" s="118"/>
      <c r="M146" s="118" t="n">
        <f aca="false">1-IF(NOT(AND($D146="Female",OR($C146="10-14",$C146="15-17"))),0,$K146)-IF(NOT(OR($C146="05-09",$C146="10-14")),0,$L146)</f>
        <v>1</v>
      </c>
      <c r="N146" s="118" t="n">
        <f aca="false">20%</f>
        <v>0.2</v>
      </c>
      <c r="O146" s="73" t="n">
        <f aca="false">IF(SUM($I146)&lt;=0,"",ROUND($I146*(1+$J146),0))</f>
        <v>27</v>
      </c>
      <c r="P146" s="75" t="str">
        <f aca="false">IF(OR(AND(SUM($K146)=0,SUM($O146)&lt;=0),NOT(AND($D146="Female",$G146="Y",OR($C146="10-14",$C146="15-17")))),"",ROUND($O146*$K146,0))</f>
        <v/>
      </c>
      <c r="Q146" s="75" t="n">
        <f aca="false">IF(OR(AND(SUM($L146)=0,SUM($O146)&lt;=0),NOT(OR($C146="10-14",$C146="05-09"))),"",ROUND($O146*$L146,0))</f>
        <v>0</v>
      </c>
      <c r="R146" s="75" t="n">
        <f aca="false">IF(SUM($O146)&lt;=0,"",ROUND($O146*$M146*$N146,0))</f>
        <v>5</v>
      </c>
      <c r="S146" s="75" t="n">
        <f aca="false">IF(SUM($O146)&lt;=0,"",($O146*$M146)-$R146)</f>
        <v>22</v>
      </c>
      <c r="T146" s="118" t="n">
        <f aca="false">IF(OR($C146="18+",$C146="18-20",SUM($O146)&lt;=0),"",100%)</f>
        <v>1</v>
      </c>
      <c r="U146" s="115" t="n">
        <f aca="false">IF(OR($C146="18+",$C146="18-20",(SUM($R146)+SUM($S146))=0),"",ROUND(SUM($R146,$S146)*$T146,0))</f>
        <v>27</v>
      </c>
    </row>
    <row r="147" customFormat="false" ht="15" hidden="false" customHeight="false" outlineLevel="0" collapsed="false">
      <c r="A147" s="0" t="s">
        <v>150</v>
      </c>
      <c r="B147" s="0" t="s">
        <v>117</v>
      </c>
      <c r="C147" s="0" t="s">
        <v>61</v>
      </c>
      <c r="D147" s="0" t="s">
        <v>56</v>
      </c>
      <c r="E147" s="0" t="str">
        <f aca="false">B147&amp;"|"&amp;C147&amp;"|"&amp;D147</f>
        <v>Quthing [#SNU] [HuwCoDZG0FY]|10-14|Female</v>
      </c>
      <c r="F147" s="73" t="n">
        <f aca="false">_xlfn.IFNA(INDEX(Cascade!$F:$F,MATCH($E147,Cascade!$E:$E,0)),"")</f>
        <v>6107</v>
      </c>
      <c r="H147" s="73" t="n">
        <v>25</v>
      </c>
      <c r="I147" s="73" t="n">
        <v>13</v>
      </c>
      <c r="J147" s="118" t="n">
        <f aca="false">IF(SUM($I147)&lt;=0,"",0%)</f>
        <v>0</v>
      </c>
      <c r="K147" s="118"/>
      <c r="L147" s="118"/>
      <c r="M147" s="118" t="n">
        <f aca="false">1-IF(NOT(AND($D147="Female",OR($C147="10-14",$C147="15-17"))),0,$K147)-IF(NOT(OR($C147="05-09",$C147="10-14")),0,$L147)</f>
        <v>1</v>
      </c>
      <c r="N147" s="118" t="n">
        <f aca="false">20%</f>
        <v>0.2</v>
      </c>
      <c r="O147" s="73" t="n">
        <f aca="false">IF(SUM($I147)&lt;=0,"",ROUND($I147*(1+$J147),0))</f>
        <v>13</v>
      </c>
      <c r="P147" s="75" t="str">
        <f aca="false">IF(OR(AND(SUM($K147)=0,SUM($O147)&lt;=0),NOT(AND($D147="Female",$G147="Y",OR($C147="10-14",$C147="15-17")))),"",ROUND($O147*$K147,0))</f>
        <v/>
      </c>
      <c r="Q147" s="75" t="n">
        <f aca="false">IF(OR(AND(SUM($L147)=0,SUM($O147)&lt;=0),NOT(OR($C147="10-14",$C147="05-09"))),"",ROUND($O147*$L147,0))</f>
        <v>0</v>
      </c>
      <c r="R147" s="75" t="n">
        <f aca="false">IF(SUM($O147)&lt;=0,"",ROUND($O147*$M147*$N147,0))</f>
        <v>3</v>
      </c>
      <c r="S147" s="75" t="n">
        <f aca="false">IF(SUM($O147)&lt;=0,"",($O147*$M147)-$R147)</f>
        <v>10</v>
      </c>
      <c r="T147" s="118" t="n">
        <f aca="false">IF(OR($C147="18+",$C147="18-20",SUM($O147)&lt;=0),"",100%)</f>
        <v>1</v>
      </c>
      <c r="U147" s="115" t="n">
        <f aca="false">IF(OR($C147="18+",$C147="18-20",(SUM($R147)+SUM($S147))=0),"",ROUND(SUM($R147,$S147)*$T147,0))</f>
        <v>13</v>
      </c>
    </row>
    <row r="148" customFormat="false" ht="15" hidden="false" customHeight="false" outlineLevel="0" collapsed="false">
      <c r="A148" s="0" t="s">
        <v>150</v>
      </c>
      <c r="B148" s="0" t="s">
        <v>117</v>
      </c>
      <c r="C148" s="0" t="s">
        <v>61</v>
      </c>
      <c r="D148" s="0" t="s">
        <v>58</v>
      </c>
      <c r="E148" s="0" t="str">
        <f aca="false">B148&amp;"|"&amp;C148&amp;"|"&amp;D148</f>
        <v>Quthing [#SNU] [HuwCoDZG0FY]|10-14|Male</v>
      </c>
      <c r="F148" s="73" t="n">
        <f aca="false">_xlfn.IFNA(INDEX(Cascade!$F:$F,MATCH($E148,Cascade!$E:$E,0)),"")</f>
        <v>6372</v>
      </c>
      <c r="H148" s="73" t="n">
        <v>37</v>
      </c>
      <c r="I148" s="73" t="n">
        <v>7</v>
      </c>
      <c r="J148" s="118" t="n">
        <f aca="false">IF(SUM($I148)&lt;=0,"",0%)</f>
        <v>0</v>
      </c>
      <c r="K148" s="118"/>
      <c r="L148" s="118"/>
      <c r="M148" s="118" t="n">
        <f aca="false">1-IF(NOT(AND($D148="Female",OR($C148="10-14",$C148="15-17"))),0,$K148)-IF(NOT(OR($C148="05-09",$C148="10-14")),0,$L148)</f>
        <v>1</v>
      </c>
      <c r="N148" s="118" t="n">
        <f aca="false">20%</f>
        <v>0.2</v>
      </c>
      <c r="O148" s="73" t="n">
        <f aca="false">IF(SUM($I148)&lt;=0,"",ROUND($I148*(1+$J148),0))</f>
        <v>7</v>
      </c>
      <c r="P148" s="75" t="str">
        <f aca="false">IF(OR(AND(SUM($K148)=0,SUM($O148)&lt;=0),NOT(AND($D148="Female",$G148="Y",OR($C148="10-14",$C148="15-17")))),"",ROUND($O148*$K148,0))</f>
        <v/>
      </c>
      <c r="Q148" s="75" t="n">
        <f aca="false">IF(OR(AND(SUM($L148)=0,SUM($O148)&lt;=0),NOT(OR($C148="10-14",$C148="05-09"))),"",ROUND($O148*$L148,0))</f>
        <v>0</v>
      </c>
      <c r="R148" s="75" t="n">
        <f aca="false">IF(SUM($O148)&lt;=0,"",ROUND($O148*$M148*$N148,0))</f>
        <v>1</v>
      </c>
      <c r="S148" s="75" t="n">
        <f aca="false">IF(SUM($O148)&lt;=0,"",($O148*$M148)-$R148)</f>
        <v>6</v>
      </c>
      <c r="T148" s="118" t="n">
        <f aca="false">IF(OR($C148="18+",$C148="18-20",SUM($O148)&lt;=0),"",100%)</f>
        <v>1</v>
      </c>
      <c r="U148" s="115" t="n">
        <f aca="false">IF(OR($C148="18+",$C148="18-20",(SUM($R148)+SUM($S148))=0),"",ROUND(SUM($R148,$S148)*$T148,0))</f>
        <v>7</v>
      </c>
    </row>
    <row r="149" customFormat="false" ht="15" hidden="false" customHeight="false" outlineLevel="0" collapsed="false">
      <c r="A149" s="0" t="s">
        <v>150</v>
      </c>
      <c r="B149" s="0" t="s">
        <v>117</v>
      </c>
      <c r="C149" s="0" t="s">
        <v>882</v>
      </c>
      <c r="D149" s="0" t="s">
        <v>56</v>
      </c>
      <c r="E149" s="0" t="str">
        <f aca="false">B149&amp;"|"&amp;C149&amp;"|"&amp;D149</f>
        <v>Quthing [#SNU] [HuwCoDZG0FY]|15-17|Female</v>
      </c>
      <c r="F149" s="73" t="str">
        <f aca="false">_xlfn.IFNA(INDEX(Cascade!$F:$F,MATCH($E149,Cascade!$E:$E,0)),"")</f>
        <v/>
      </c>
      <c r="H149" s="73" t="n">
        <v>22</v>
      </c>
      <c r="I149" s="73" t="n">
        <v>1</v>
      </c>
      <c r="J149" s="118" t="n">
        <f aca="false">IF(SUM($I149)&lt;=0,"",0%)</f>
        <v>0</v>
      </c>
      <c r="K149" s="118"/>
      <c r="L149" s="118"/>
      <c r="M149" s="118" t="n">
        <f aca="false">1-IF(NOT(AND($D149="Female",OR($C149="10-14",$C149="15-17"))),0,$K149)-IF(NOT(OR($C149="05-09",$C149="10-14")),0,$L149)</f>
        <v>1</v>
      </c>
      <c r="N149" s="118" t="n">
        <f aca="false">20%</f>
        <v>0.2</v>
      </c>
      <c r="O149" s="73" t="n">
        <f aca="false">IF(SUM($I149)&lt;=0,"",ROUND($I149*(1+$J149),0))</f>
        <v>1</v>
      </c>
      <c r="P149" s="75" t="str">
        <f aca="false">IF(OR(AND(SUM($K149)=0,SUM($O149)&lt;=0),NOT(AND($D149="Female",$G149="Y",OR($C149="10-14",$C149="15-17")))),"",ROUND($O149*$K149,0))</f>
        <v/>
      </c>
      <c r="Q149" s="75" t="str">
        <f aca="false">IF(OR(AND(SUM($L149)=0,SUM($O149)&lt;=0),NOT(OR($C149="10-14",$C149="05-09"))),"",ROUND($O149*$L149,0))</f>
        <v/>
      </c>
      <c r="R149" s="75" t="n">
        <f aca="false">IF(SUM($O149)&lt;=0,"",ROUND($O149*$M149*$N149,0))</f>
        <v>0</v>
      </c>
      <c r="S149" s="75" t="n">
        <f aca="false">IF(SUM($O149)&lt;=0,"",($O149*$M149)-$R149)</f>
        <v>1</v>
      </c>
      <c r="T149" s="118" t="n">
        <f aca="false">IF(OR($C149="18+",$C149="18-20",SUM($O149)&lt;=0),"",100%)</f>
        <v>1</v>
      </c>
      <c r="U149" s="115" t="n">
        <f aca="false">IF(OR($C149="18+",$C149="18-20",(SUM($R149)+SUM($S149))=0),"",ROUND(SUM($R149,$S149)*$T149,0))</f>
        <v>1</v>
      </c>
    </row>
    <row r="150" customFormat="false" ht="15" hidden="false" customHeight="false" outlineLevel="0" collapsed="false">
      <c r="A150" s="0" t="s">
        <v>150</v>
      </c>
      <c r="B150" s="0" t="s">
        <v>117</v>
      </c>
      <c r="C150" s="0" t="s">
        <v>882</v>
      </c>
      <c r="D150" s="0" t="s">
        <v>58</v>
      </c>
      <c r="E150" s="0" t="str">
        <f aca="false">B150&amp;"|"&amp;C150&amp;"|"&amp;D150</f>
        <v>Quthing [#SNU] [HuwCoDZG0FY]|15-17|Male</v>
      </c>
      <c r="F150" s="73" t="str">
        <f aca="false">_xlfn.IFNA(INDEX(Cascade!$F:$F,MATCH($E150,Cascade!$E:$E,0)),"")</f>
        <v/>
      </c>
      <c r="H150" s="73" t="n">
        <v>15</v>
      </c>
      <c r="I150" s="73" t="n">
        <v>33</v>
      </c>
      <c r="J150" s="118" t="n">
        <f aca="false">IF(SUM($I150)&lt;=0,"",0%)</f>
        <v>0</v>
      </c>
      <c r="K150" s="118"/>
      <c r="L150" s="118"/>
      <c r="M150" s="118" t="n">
        <f aca="false">1-IF(NOT(AND($D150="Female",OR($C150="10-14",$C150="15-17"))),0,$K150)-IF(NOT(OR($C150="05-09",$C150="10-14")),0,$L150)</f>
        <v>1</v>
      </c>
      <c r="N150" s="118" t="n">
        <f aca="false">20%</f>
        <v>0.2</v>
      </c>
      <c r="O150" s="73" t="n">
        <f aca="false">IF(SUM($I150)&lt;=0,"",ROUND($I150*(1+$J150),0))</f>
        <v>33</v>
      </c>
      <c r="P150" s="75" t="str">
        <f aca="false">IF(OR(AND(SUM($K150)=0,SUM($O150)&lt;=0),NOT(AND($D150="Female",$G150="Y",OR($C150="10-14",$C150="15-17")))),"",ROUND($O150*$K150,0))</f>
        <v/>
      </c>
      <c r="Q150" s="75" t="str">
        <f aca="false">IF(OR(AND(SUM($L150)=0,SUM($O150)&lt;=0),NOT(OR($C150="10-14",$C150="05-09"))),"",ROUND($O150*$L150,0))</f>
        <v/>
      </c>
      <c r="R150" s="75" t="n">
        <f aca="false">IF(SUM($O150)&lt;=0,"",ROUND($O150*$M150*$N150,0))</f>
        <v>7</v>
      </c>
      <c r="S150" s="75" t="n">
        <f aca="false">IF(SUM($O150)&lt;=0,"",($O150*$M150)-$R150)</f>
        <v>26</v>
      </c>
      <c r="T150" s="118" t="n">
        <f aca="false">IF(OR($C150="18+",$C150="18-20",SUM($O150)&lt;=0),"",100%)</f>
        <v>1</v>
      </c>
      <c r="U150" s="115" t="n">
        <f aca="false">IF(OR($C150="18+",$C150="18-20",(SUM($R150)+SUM($S150))=0),"",ROUND(SUM($R150,$S150)*$T150,0))</f>
        <v>33</v>
      </c>
    </row>
    <row r="151" customFormat="false" ht="15" hidden="false" customHeight="false" outlineLevel="0" collapsed="false">
      <c r="A151" s="0" t="s">
        <v>150</v>
      </c>
      <c r="B151" s="0" t="s">
        <v>117</v>
      </c>
      <c r="C151" s="0" t="s">
        <v>883</v>
      </c>
      <c r="D151" s="0" t="s">
        <v>56</v>
      </c>
      <c r="E151" s="0" t="str">
        <f aca="false">B151&amp;"|"&amp;C151&amp;"|"&amp;D151</f>
        <v>Quthing [#SNU] [HuwCoDZG0FY]|18-20|Female</v>
      </c>
      <c r="F151" s="73" t="str">
        <f aca="false">_xlfn.IFNA(INDEX(Cascade!$F:$F,MATCH($E151,Cascade!$E:$E,0)),"")</f>
        <v/>
      </c>
      <c r="H151" s="73"/>
      <c r="I151" s="73"/>
      <c r="J151" s="118" t="str">
        <f aca="false">IF(SUM($I151)&lt;=0,"",0%)</f>
        <v/>
      </c>
      <c r="K151" s="118"/>
      <c r="L151" s="118"/>
      <c r="M151" s="118" t="n">
        <f aca="false">1-IF(NOT(AND($D151="Female",OR($C151="10-14",$C151="15-17"))),0,$K151)-IF(NOT(OR($C151="05-09",$C151="10-14")),0,$L151)</f>
        <v>1</v>
      </c>
      <c r="N151" s="118" t="n">
        <f aca="false">20%</f>
        <v>0.2</v>
      </c>
      <c r="O151" s="73" t="str">
        <f aca="false">IF(SUM($I151)&lt;=0,"",ROUND($I151*(1+$J151),0))</f>
        <v/>
      </c>
      <c r="P151" s="75" t="str">
        <f aca="false">IF(OR(AND(SUM($K151)=0,SUM($O151)&lt;=0),NOT(AND($D151="Female",$G151="Y",OR($C151="10-14",$C151="15-17")))),"",ROUND($O151*$K151,0))</f>
        <v/>
      </c>
      <c r="Q151" s="75" t="str">
        <f aca="false">IF(OR(AND(SUM($L151)=0,SUM($O151)&lt;=0),NOT(OR($C151="10-14",$C151="05-09"))),"",ROUND($O151*$L151,0))</f>
        <v/>
      </c>
      <c r="R151" s="75" t="str">
        <f aca="false">IF(SUM($O151)&lt;=0,"",ROUND($O151*$M151*$N151,0))</f>
        <v/>
      </c>
      <c r="S151" s="75" t="str">
        <f aca="false">IF(SUM($O151)&lt;=0,"",($O151*$M151)-$R151)</f>
        <v/>
      </c>
      <c r="T151" s="118" t="str">
        <f aca="false">IF(OR($C151="18+",$C151="18-20",SUM($O151)&lt;=0),"",100%)</f>
        <v/>
      </c>
      <c r="U151" s="115" t="str">
        <f aca="false">IF(OR($C151="18+",$C151="18-20",(SUM($R151)+SUM($S151))=0),"",ROUND(SUM($R151,$S151)*$T151,0))</f>
        <v/>
      </c>
    </row>
    <row r="152" customFormat="false" ht="15" hidden="false" customHeight="false" outlineLevel="0" collapsed="false">
      <c r="A152" s="0" t="s">
        <v>150</v>
      </c>
      <c r="B152" s="0" t="s">
        <v>117</v>
      </c>
      <c r="C152" s="0" t="s">
        <v>883</v>
      </c>
      <c r="D152" s="0" t="s">
        <v>58</v>
      </c>
      <c r="E152" s="0" t="str">
        <f aca="false">B152&amp;"|"&amp;C152&amp;"|"&amp;D152</f>
        <v>Quthing [#SNU] [HuwCoDZG0FY]|18-20|Male</v>
      </c>
      <c r="F152" s="73" t="str">
        <f aca="false">_xlfn.IFNA(INDEX(Cascade!$F:$F,MATCH($E152,Cascade!$E:$E,0)),"")</f>
        <v/>
      </c>
      <c r="H152" s="73"/>
      <c r="I152" s="73"/>
      <c r="J152" s="118" t="str">
        <f aca="false">IF(SUM($I152)&lt;=0,"",0%)</f>
        <v/>
      </c>
      <c r="K152" s="118"/>
      <c r="L152" s="118"/>
      <c r="M152" s="118" t="n">
        <f aca="false">1-IF(NOT(AND($D152="Female",OR($C152="10-14",$C152="15-17"))),0,$K152)-IF(NOT(OR($C152="05-09",$C152="10-14")),0,$L152)</f>
        <v>1</v>
      </c>
      <c r="N152" s="118" t="n">
        <f aca="false">20%</f>
        <v>0.2</v>
      </c>
      <c r="O152" s="73" t="str">
        <f aca="false">IF(SUM($I152)&lt;=0,"",ROUND($I152*(1+$J152),0))</f>
        <v/>
      </c>
      <c r="P152" s="75" t="str">
        <f aca="false">IF(OR(AND(SUM($K152)=0,SUM($O152)&lt;=0),NOT(AND($D152="Female",$G152="Y",OR($C152="10-14",$C152="15-17")))),"",ROUND($O152*$K152,0))</f>
        <v/>
      </c>
      <c r="Q152" s="75" t="str">
        <f aca="false">IF(OR(AND(SUM($L152)=0,SUM($O152)&lt;=0),NOT(OR($C152="10-14",$C152="05-09"))),"",ROUND($O152*$L152,0))</f>
        <v/>
      </c>
      <c r="R152" s="75" t="str">
        <f aca="false">IF(SUM($O152)&lt;=0,"",ROUND($O152*$M152*$N152,0))</f>
        <v/>
      </c>
      <c r="S152" s="75" t="str">
        <f aca="false">IF(SUM($O152)&lt;=0,"",($O152*$M152)-$R152)</f>
        <v/>
      </c>
      <c r="T152" s="118" t="str">
        <f aca="false">IF(OR($C152="18+",$C152="18-20",SUM($O152)&lt;=0),"",100%)</f>
        <v/>
      </c>
      <c r="U152" s="115" t="str">
        <f aca="false">IF(OR($C152="18+",$C152="18-20",(SUM($R152)+SUM($S152))=0),"",ROUND(SUM($R152,$S152)*$T152,0))</f>
        <v/>
      </c>
    </row>
    <row r="153" customFormat="false" ht="15" hidden="false" customHeight="false" outlineLevel="0" collapsed="false">
      <c r="A153" s="0" t="s">
        <v>150</v>
      </c>
      <c r="B153" s="0" t="s">
        <v>117</v>
      </c>
      <c r="C153" s="0" t="s">
        <v>884</v>
      </c>
      <c r="D153" s="0" t="s">
        <v>56</v>
      </c>
      <c r="E153" s="0" t="str">
        <f aca="false">B153&amp;"|"&amp;C153&amp;"|"&amp;D153</f>
        <v>Quthing [#SNU] [HuwCoDZG0FY]|18+|Female</v>
      </c>
      <c r="F153" s="73" t="str">
        <f aca="false">_xlfn.IFNA(INDEX(Cascade!$F:$F,MATCH($E153,Cascade!$E:$E,0)),"")</f>
        <v/>
      </c>
      <c r="H153" s="73" t="n">
        <v>24</v>
      </c>
      <c r="I153" s="73" t="n">
        <v>38</v>
      </c>
      <c r="J153" s="118" t="n">
        <f aca="false">IF(SUM($I153)&lt;=0,"",0%)</f>
        <v>0</v>
      </c>
      <c r="K153" s="118"/>
      <c r="L153" s="118"/>
      <c r="M153" s="118" t="n">
        <f aca="false">1-IF(NOT(AND($D153="Female",OR($C153="10-14",$C153="15-17"))),0,$K153)-IF(NOT(OR($C153="05-09",$C153="10-14")),0,$L153)</f>
        <v>1</v>
      </c>
      <c r="N153" s="118" t="n">
        <f aca="false">20%</f>
        <v>0.2</v>
      </c>
      <c r="O153" s="73" t="n">
        <f aca="false">IF(SUM($I153)&lt;=0,"",ROUND($I153*(1+$J153),0))</f>
        <v>38</v>
      </c>
      <c r="P153" s="75" t="str">
        <f aca="false">IF(OR(AND(SUM($K153)=0,SUM($O153)&lt;=0),NOT(AND($D153="Female",$G153="Y",OR($C153="10-14",$C153="15-17")))),"",ROUND($O153*$K153,0))</f>
        <v/>
      </c>
      <c r="Q153" s="75" t="str">
        <f aca="false">IF(OR(AND(SUM($L153)=0,SUM($O153)&lt;=0),NOT(OR($C153="10-14",$C153="05-09"))),"",ROUND($O153*$L153,0))</f>
        <v/>
      </c>
      <c r="R153" s="75" t="n">
        <f aca="false">IF(SUM($O153)&lt;=0,"",ROUND($O153*$M153*$N153,0))</f>
        <v>8</v>
      </c>
      <c r="S153" s="75" t="n">
        <f aca="false">IF(SUM($O153)&lt;=0,"",($O153*$M153)-$R153)</f>
        <v>30</v>
      </c>
      <c r="T153" s="118" t="str">
        <f aca="false">IF(OR($C153="18+",$C153="18-20",SUM($O153)&lt;=0),"",100%)</f>
        <v/>
      </c>
      <c r="U153" s="115" t="str">
        <f aca="false">IF(OR($C153="18+",$C153="18-20",(SUM($R153)+SUM($S153))=0),"",ROUND(SUM($R153,$S153)*$T153,0))</f>
        <v/>
      </c>
    </row>
    <row r="154" customFormat="false" ht="15" hidden="false" customHeight="false" outlineLevel="0" collapsed="false">
      <c r="A154" s="0" t="s">
        <v>150</v>
      </c>
      <c r="B154" s="0" t="s">
        <v>117</v>
      </c>
      <c r="C154" s="0" t="s">
        <v>884</v>
      </c>
      <c r="D154" s="0" t="s">
        <v>58</v>
      </c>
      <c r="E154" s="0" t="str">
        <f aca="false">B154&amp;"|"&amp;C154&amp;"|"&amp;D154</f>
        <v>Quthing [#SNU] [HuwCoDZG0FY]|18+|Male</v>
      </c>
      <c r="F154" s="73" t="str">
        <f aca="false">_xlfn.IFNA(INDEX(Cascade!$F:$F,MATCH($E154,Cascade!$E:$E,0)),"")</f>
        <v/>
      </c>
      <c r="H154" s="73" t="n">
        <v>28</v>
      </c>
      <c r="I154" s="73" t="n">
        <v>7</v>
      </c>
      <c r="J154" s="118" t="n">
        <f aca="false">IF(SUM($I154)&lt;=0,"",0%)</f>
        <v>0</v>
      </c>
      <c r="K154" s="118"/>
      <c r="L154" s="118"/>
      <c r="M154" s="118" t="n">
        <f aca="false">1-IF(NOT(AND($D154="Female",OR($C154="10-14",$C154="15-17"))),0,$K154)-IF(NOT(OR($C154="05-09",$C154="10-14")),0,$L154)</f>
        <v>1</v>
      </c>
      <c r="N154" s="118" t="n">
        <f aca="false">20%</f>
        <v>0.2</v>
      </c>
      <c r="O154" s="73" t="n">
        <f aca="false">IF(SUM($I154)&lt;=0,"",ROUND($I154*(1+$J154),0))</f>
        <v>7</v>
      </c>
      <c r="P154" s="75" t="str">
        <f aca="false">IF(OR(AND(SUM($K154)=0,SUM($O154)&lt;=0),NOT(AND($D154="Female",$G154="Y",OR($C154="10-14",$C154="15-17")))),"",ROUND($O154*$K154,0))</f>
        <v/>
      </c>
      <c r="Q154" s="75" t="str">
        <f aca="false">IF(OR(AND(SUM($L154)=0,SUM($O154)&lt;=0),NOT(OR($C154="10-14",$C154="05-09"))),"",ROUND($O154*$L154,0))</f>
        <v/>
      </c>
      <c r="R154" s="75" t="n">
        <f aca="false">IF(SUM($O154)&lt;=0,"",ROUND($O154*$M154*$N154,0))</f>
        <v>1</v>
      </c>
      <c r="S154" s="75" t="n">
        <f aca="false">IF(SUM($O154)&lt;=0,"",($O154*$M154)-$R154)</f>
        <v>6</v>
      </c>
      <c r="T154" s="118" t="str">
        <f aca="false">IF(OR($C154="18+",$C154="18-20",SUM($O154)&lt;=0),"",100%)</f>
        <v/>
      </c>
      <c r="U154" s="115" t="str">
        <f aca="false">IF(OR($C154="18+",$C154="18-20",(SUM($R154)+SUM($S154))=0),"",ROUND(SUM($R154,$S154)*$T154,0))</f>
        <v/>
      </c>
    </row>
    <row r="155" customFormat="false" ht="15" hidden="false" customHeight="false" outlineLevel="0" collapsed="false">
      <c r="A155" s="0" t="s">
        <v>151</v>
      </c>
      <c r="B155" s="0" t="s">
        <v>101</v>
      </c>
      <c r="C155" s="0" t="s">
        <v>89</v>
      </c>
      <c r="D155" s="0" t="s">
        <v>56</v>
      </c>
      <c r="E155" s="0" t="str">
        <f aca="false">B155&amp;"|"&amp;C155&amp;"|"&amp;D155</f>
        <v>Thaba Tseka [#SNU] [jyhIrCoB31x]|&lt;01|Female</v>
      </c>
      <c r="F155" s="73" t="n">
        <f aca="false">_xlfn.IFNA(INDEX(Cascade!$F:$F,MATCH($E155,Cascade!$E:$E,0)),"")</f>
        <v>1295</v>
      </c>
      <c r="H155" s="73" t="n">
        <v>46</v>
      </c>
      <c r="I155" s="73" t="n">
        <v>3</v>
      </c>
      <c r="J155" s="118" t="n">
        <f aca="false">IF(SUM($I155)&lt;=0,"",0%)</f>
        <v>0</v>
      </c>
      <c r="K155" s="118"/>
      <c r="L155" s="118"/>
      <c r="M155" s="118" t="n">
        <f aca="false">1-IF(NOT(AND($D155="Female",OR($C155="10-14",$C155="15-17"))),0,$K155)-IF(NOT(OR($C155="05-09",$C155="10-14")),0,$L155)</f>
        <v>1</v>
      </c>
      <c r="N155" s="118" t="n">
        <f aca="false">20%</f>
        <v>0.2</v>
      </c>
      <c r="O155" s="73" t="n">
        <f aca="false">IF(SUM($I155)&lt;=0,"",ROUND($I155*(1+$J155),0))</f>
        <v>3</v>
      </c>
      <c r="P155" s="75" t="str">
        <f aca="false">IF(OR(AND(SUM($K155)=0,SUM($O155)&lt;=0),NOT(AND($D155="Female",$G155="Y",OR($C155="10-14",$C155="15-17")))),"",ROUND($O155*$K155,0))</f>
        <v/>
      </c>
      <c r="Q155" s="75" t="str">
        <f aca="false">IF(OR(AND(SUM($L155)=0,SUM($O155)&lt;=0),NOT(OR($C155="10-14",$C155="05-09"))),"",ROUND($O155*$L155,0))</f>
        <v/>
      </c>
      <c r="R155" s="75" t="n">
        <f aca="false">IF(SUM($O155)&lt;=0,"",ROUND($O155*$M155*$N155,0))</f>
        <v>1</v>
      </c>
      <c r="S155" s="75" t="n">
        <f aca="false">IF(SUM($O155)&lt;=0,"",($O155*$M155)-$R155)</f>
        <v>2</v>
      </c>
      <c r="T155" s="118" t="n">
        <f aca="false">IF(OR($C155="18+",$C155="18-20",SUM($O155)&lt;=0),"",100%)</f>
        <v>1</v>
      </c>
      <c r="U155" s="115" t="n">
        <f aca="false">IF(OR($C155="18+",$C155="18-20",(SUM($R155)+SUM($S155))=0),"",ROUND(SUM($R155,$S155)*$T155,0))</f>
        <v>3</v>
      </c>
    </row>
    <row r="156" customFormat="false" ht="15" hidden="false" customHeight="false" outlineLevel="0" collapsed="false">
      <c r="A156" s="0" t="s">
        <v>151</v>
      </c>
      <c r="B156" s="0" t="s">
        <v>101</v>
      </c>
      <c r="C156" s="0" t="s">
        <v>89</v>
      </c>
      <c r="D156" s="0" t="s">
        <v>58</v>
      </c>
      <c r="E156" s="0" t="str">
        <f aca="false">B156&amp;"|"&amp;C156&amp;"|"&amp;D156</f>
        <v>Thaba Tseka [#SNU] [jyhIrCoB31x]|&lt;01|Male</v>
      </c>
      <c r="F156" s="73" t="n">
        <f aca="false">_xlfn.IFNA(INDEX(Cascade!$F:$F,MATCH($E156,Cascade!$E:$E,0)),"")</f>
        <v>1274</v>
      </c>
      <c r="H156" s="73" t="n">
        <v>42</v>
      </c>
      <c r="I156" s="73"/>
      <c r="J156" s="118" t="str">
        <f aca="false">IF(SUM($I156)&lt;=0,"",0%)</f>
        <v/>
      </c>
      <c r="K156" s="118"/>
      <c r="L156" s="118"/>
      <c r="M156" s="118" t="n">
        <f aca="false">1-IF(NOT(AND($D156="Female",OR($C156="10-14",$C156="15-17"))),0,$K156)-IF(NOT(OR($C156="05-09",$C156="10-14")),0,$L156)</f>
        <v>1</v>
      </c>
      <c r="N156" s="118" t="n">
        <f aca="false">20%</f>
        <v>0.2</v>
      </c>
      <c r="O156" s="73" t="str">
        <f aca="false">IF(SUM($I156)&lt;=0,"",ROUND($I156*(1+$J156),0))</f>
        <v/>
      </c>
      <c r="P156" s="75" t="str">
        <f aca="false">IF(OR(AND(SUM($K156)=0,SUM($O156)&lt;=0),NOT(AND($D156="Female",$G156="Y",OR($C156="10-14",$C156="15-17")))),"",ROUND($O156*$K156,0))</f>
        <v/>
      </c>
      <c r="Q156" s="75" t="str">
        <f aca="false">IF(OR(AND(SUM($L156)=0,SUM($O156)&lt;=0),NOT(OR($C156="10-14",$C156="05-09"))),"",ROUND($O156*$L156,0))</f>
        <v/>
      </c>
      <c r="R156" s="75" t="str">
        <f aca="false">IF(SUM($O156)&lt;=0,"",ROUND($O156*$M156*$N156,0))</f>
        <v/>
      </c>
      <c r="S156" s="75" t="str">
        <f aca="false">IF(SUM($O156)&lt;=0,"",($O156*$M156)-$R156)</f>
        <v/>
      </c>
      <c r="T156" s="118" t="str">
        <f aca="false">IF(OR($C156="18+",$C156="18-20",SUM($O156)&lt;=0),"",100%)</f>
        <v/>
      </c>
      <c r="U156" s="115" t="str">
        <f aca="false">IF(OR($C156="18+",$C156="18-20",(SUM($R156)+SUM($S156))=0),"",ROUND(SUM($R156,$S156)*$T156,0))</f>
        <v/>
      </c>
    </row>
    <row r="157" customFormat="false" ht="15" hidden="false" customHeight="false" outlineLevel="0" collapsed="false">
      <c r="A157" s="0" t="s">
        <v>151</v>
      </c>
      <c r="B157" s="0" t="s">
        <v>101</v>
      </c>
      <c r="C157" s="0" t="s">
        <v>54</v>
      </c>
      <c r="D157" s="0" t="s">
        <v>56</v>
      </c>
      <c r="E157" s="0" t="str">
        <f aca="false">B157&amp;"|"&amp;C157&amp;"|"&amp;D157</f>
        <v>Thaba Tseka [#SNU] [jyhIrCoB31x]|01-04|Female</v>
      </c>
      <c r="F157" s="73" t="n">
        <f aca="false">_xlfn.IFNA(INDEX(Cascade!$F:$F,MATCH($E157,Cascade!$E:$E,0)),"")</f>
        <v>6015</v>
      </c>
      <c r="H157" s="73" t="n">
        <v>42</v>
      </c>
      <c r="I157" s="73" t="n">
        <v>35</v>
      </c>
      <c r="J157" s="118" t="n">
        <f aca="false">IF(SUM($I157)&lt;=0,"",0%)</f>
        <v>0</v>
      </c>
      <c r="K157" s="118"/>
      <c r="L157" s="118"/>
      <c r="M157" s="118" t="n">
        <f aca="false">1-IF(NOT(AND($D157="Female",OR($C157="10-14",$C157="15-17"))),0,$K157)-IF(NOT(OR($C157="05-09",$C157="10-14")),0,$L157)</f>
        <v>1</v>
      </c>
      <c r="N157" s="118" t="n">
        <f aca="false">20%</f>
        <v>0.2</v>
      </c>
      <c r="O157" s="73" t="n">
        <f aca="false">IF(SUM($I157)&lt;=0,"",ROUND($I157*(1+$J157),0))</f>
        <v>35</v>
      </c>
      <c r="P157" s="75" t="str">
        <f aca="false">IF(OR(AND(SUM($K157)=0,SUM($O157)&lt;=0),NOT(AND($D157="Female",$G157="Y",OR($C157="10-14",$C157="15-17")))),"",ROUND($O157*$K157,0))</f>
        <v/>
      </c>
      <c r="Q157" s="75" t="str">
        <f aca="false">IF(OR(AND(SUM($L157)=0,SUM($O157)&lt;=0),NOT(OR($C157="10-14",$C157="05-09"))),"",ROUND($O157*$L157,0))</f>
        <v/>
      </c>
      <c r="R157" s="75" t="n">
        <f aca="false">IF(SUM($O157)&lt;=0,"",ROUND($O157*$M157*$N157,0))</f>
        <v>7</v>
      </c>
      <c r="S157" s="75" t="n">
        <f aca="false">IF(SUM($O157)&lt;=0,"",($O157*$M157)-$R157)</f>
        <v>28</v>
      </c>
      <c r="T157" s="118" t="n">
        <f aca="false">IF(OR($C157="18+",$C157="18-20",SUM($O157)&lt;=0),"",100%)</f>
        <v>1</v>
      </c>
      <c r="U157" s="115" t="n">
        <f aca="false">IF(OR($C157="18+",$C157="18-20",(SUM($R157)+SUM($S157))=0),"",ROUND(SUM($R157,$S157)*$T157,0))</f>
        <v>35</v>
      </c>
    </row>
    <row r="158" customFormat="false" ht="15" hidden="false" customHeight="false" outlineLevel="0" collapsed="false">
      <c r="A158" s="0" t="s">
        <v>151</v>
      </c>
      <c r="B158" s="0" t="s">
        <v>101</v>
      </c>
      <c r="C158" s="0" t="s">
        <v>54</v>
      </c>
      <c r="D158" s="0" t="s">
        <v>58</v>
      </c>
      <c r="E158" s="0" t="str">
        <f aca="false">B158&amp;"|"&amp;C158&amp;"|"&amp;D158</f>
        <v>Thaba Tseka [#SNU] [jyhIrCoB31x]|01-04|Male</v>
      </c>
      <c r="F158" s="73" t="n">
        <f aca="false">_xlfn.IFNA(INDEX(Cascade!$F:$F,MATCH($E158,Cascade!$E:$E,0)),"")</f>
        <v>5918</v>
      </c>
      <c r="H158" s="73" t="n">
        <v>40</v>
      </c>
      <c r="I158" s="73" t="n">
        <v>16</v>
      </c>
      <c r="J158" s="118" t="n">
        <f aca="false">IF(SUM($I158)&lt;=0,"",0%)</f>
        <v>0</v>
      </c>
      <c r="K158" s="118"/>
      <c r="L158" s="118"/>
      <c r="M158" s="118" t="n">
        <f aca="false">1-IF(NOT(AND($D158="Female",OR($C158="10-14",$C158="15-17"))),0,$K158)-IF(NOT(OR($C158="05-09",$C158="10-14")),0,$L158)</f>
        <v>1</v>
      </c>
      <c r="N158" s="118" t="n">
        <f aca="false">20%</f>
        <v>0.2</v>
      </c>
      <c r="O158" s="73" t="n">
        <f aca="false">IF(SUM($I158)&lt;=0,"",ROUND($I158*(1+$J158),0))</f>
        <v>16</v>
      </c>
      <c r="P158" s="75" t="str">
        <f aca="false">IF(OR(AND(SUM($K158)=0,SUM($O158)&lt;=0),NOT(AND($D158="Female",$G158="Y",OR($C158="10-14",$C158="15-17")))),"",ROUND($O158*$K158,0))</f>
        <v/>
      </c>
      <c r="Q158" s="75" t="str">
        <f aca="false">IF(OR(AND(SUM($L158)=0,SUM($O158)&lt;=0),NOT(OR($C158="10-14",$C158="05-09"))),"",ROUND($O158*$L158,0))</f>
        <v/>
      </c>
      <c r="R158" s="75" t="n">
        <f aca="false">IF(SUM($O158)&lt;=0,"",ROUND($O158*$M158*$N158,0))</f>
        <v>3</v>
      </c>
      <c r="S158" s="75" t="n">
        <f aca="false">IF(SUM($O158)&lt;=0,"",($O158*$M158)-$R158)</f>
        <v>13</v>
      </c>
      <c r="T158" s="118" t="n">
        <f aca="false">IF(OR($C158="18+",$C158="18-20",SUM($O158)&lt;=0),"",100%)</f>
        <v>1</v>
      </c>
      <c r="U158" s="115" t="n">
        <f aca="false">IF(OR($C158="18+",$C158="18-20",(SUM($R158)+SUM($S158))=0),"",ROUND(SUM($R158,$S158)*$T158,0))</f>
        <v>16</v>
      </c>
    </row>
    <row r="159" customFormat="false" ht="15" hidden="false" customHeight="false" outlineLevel="0" collapsed="false">
      <c r="A159" s="0" t="s">
        <v>151</v>
      </c>
      <c r="B159" s="0" t="s">
        <v>101</v>
      </c>
      <c r="C159" s="0" t="s">
        <v>83</v>
      </c>
      <c r="D159" s="0" t="s">
        <v>56</v>
      </c>
      <c r="E159" s="0" t="str">
        <f aca="false">B159&amp;"|"&amp;C159&amp;"|"&amp;D159</f>
        <v>Thaba Tseka [#SNU] [jyhIrCoB31x]|05-09|Female</v>
      </c>
      <c r="F159" s="73" t="n">
        <f aca="false">_xlfn.IFNA(INDEX(Cascade!$F:$F,MATCH($E159,Cascade!$E:$E,0)),"")</f>
        <v>9085</v>
      </c>
      <c r="H159" s="73" t="n">
        <v>19</v>
      </c>
      <c r="I159" s="73" t="n">
        <v>34</v>
      </c>
      <c r="J159" s="118" t="n">
        <f aca="false">IF(SUM($I159)&lt;=0,"",0%)</f>
        <v>0</v>
      </c>
      <c r="K159" s="118"/>
      <c r="L159" s="118"/>
      <c r="M159" s="118" t="n">
        <f aca="false">1-IF(NOT(AND($D159="Female",OR($C159="10-14",$C159="15-17"))),0,$K159)-IF(NOT(OR($C159="05-09",$C159="10-14")),0,$L159)</f>
        <v>1</v>
      </c>
      <c r="N159" s="118" t="n">
        <f aca="false">20%</f>
        <v>0.2</v>
      </c>
      <c r="O159" s="73" t="n">
        <f aca="false">IF(SUM($I159)&lt;=0,"",ROUND($I159*(1+$J159),0))</f>
        <v>34</v>
      </c>
      <c r="P159" s="75" t="str">
        <f aca="false">IF(OR(AND(SUM($K159)=0,SUM($O159)&lt;=0),NOT(AND($D159="Female",$G159="Y",OR($C159="10-14",$C159="15-17")))),"",ROUND($O159*$K159,0))</f>
        <v/>
      </c>
      <c r="Q159" s="75" t="n">
        <f aca="false">IF(OR(AND(SUM($L159)=0,SUM($O159)&lt;=0),NOT(OR($C159="10-14",$C159="05-09"))),"",ROUND($O159*$L159,0))</f>
        <v>0</v>
      </c>
      <c r="R159" s="75" t="n">
        <f aca="false">IF(SUM($O159)&lt;=0,"",ROUND($O159*$M159*$N159,0))</f>
        <v>7</v>
      </c>
      <c r="S159" s="75" t="n">
        <f aca="false">IF(SUM($O159)&lt;=0,"",($O159*$M159)-$R159)</f>
        <v>27</v>
      </c>
      <c r="T159" s="118" t="n">
        <f aca="false">IF(OR($C159="18+",$C159="18-20",SUM($O159)&lt;=0),"",100%)</f>
        <v>1</v>
      </c>
      <c r="U159" s="115" t="n">
        <f aca="false">IF(OR($C159="18+",$C159="18-20",(SUM($R159)+SUM($S159))=0),"",ROUND(SUM($R159,$S159)*$T159,0))</f>
        <v>34</v>
      </c>
    </row>
    <row r="160" customFormat="false" ht="15" hidden="false" customHeight="false" outlineLevel="0" collapsed="false">
      <c r="A160" s="0" t="s">
        <v>151</v>
      </c>
      <c r="B160" s="0" t="s">
        <v>101</v>
      </c>
      <c r="C160" s="0" t="s">
        <v>83</v>
      </c>
      <c r="D160" s="0" t="s">
        <v>58</v>
      </c>
      <c r="E160" s="0" t="str">
        <f aca="false">B160&amp;"|"&amp;C160&amp;"|"&amp;D160</f>
        <v>Thaba Tseka [#SNU] [jyhIrCoB31x]|05-09|Male</v>
      </c>
      <c r="F160" s="73" t="n">
        <f aca="false">_xlfn.IFNA(INDEX(Cascade!$F:$F,MATCH($E160,Cascade!$E:$E,0)),"")</f>
        <v>8759</v>
      </c>
      <c r="H160" s="73" t="n">
        <v>1</v>
      </c>
      <c r="I160" s="73" t="n">
        <v>32</v>
      </c>
      <c r="J160" s="118" t="n">
        <f aca="false">IF(SUM($I160)&lt;=0,"",0%)</f>
        <v>0</v>
      </c>
      <c r="K160" s="118"/>
      <c r="L160" s="118"/>
      <c r="M160" s="118" t="n">
        <f aca="false">1-IF(NOT(AND($D160="Female",OR($C160="10-14",$C160="15-17"))),0,$K160)-IF(NOT(OR($C160="05-09",$C160="10-14")),0,$L160)</f>
        <v>1</v>
      </c>
      <c r="N160" s="118" t="n">
        <f aca="false">20%</f>
        <v>0.2</v>
      </c>
      <c r="O160" s="73" t="n">
        <f aca="false">IF(SUM($I160)&lt;=0,"",ROUND($I160*(1+$J160),0))</f>
        <v>32</v>
      </c>
      <c r="P160" s="75" t="str">
        <f aca="false">IF(OR(AND(SUM($K160)=0,SUM($O160)&lt;=0),NOT(AND($D160="Female",$G160="Y",OR($C160="10-14",$C160="15-17")))),"",ROUND($O160*$K160,0))</f>
        <v/>
      </c>
      <c r="Q160" s="75" t="n">
        <f aca="false">IF(OR(AND(SUM($L160)=0,SUM($O160)&lt;=0),NOT(OR($C160="10-14",$C160="05-09"))),"",ROUND($O160*$L160,0))</f>
        <v>0</v>
      </c>
      <c r="R160" s="75" t="n">
        <f aca="false">IF(SUM($O160)&lt;=0,"",ROUND($O160*$M160*$N160,0))</f>
        <v>6</v>
      </c>
      <c r="S160" s="75" t="n">
        <f aca="false">IF(SUM($O160)&lt;=0,"",($O160*$M160)-$R160)</f>
        <v>26</v>
      </c>
      <c r="T160" s="118" t="n">
        <f aca="false">IF(OR($C160="18+",$C160="18-20",SUM($O160)&lt;=0),"",100%)</f>
        <v>1</v>
      </c>
      <c r="U160" s="115" t="n">
        <f aca="false">IF(OR($C160="18+",$C160="18-20",(SUM($R160)+SUM($S160))=0),"",ROUND(SUM($R160,$S160)*$T160,0))</f>
        <v>32</v>
      </c>
    </row>
    <row r="161" customFormat="false" ht="15" hidden="false" customHeight="false" outlineLevel="0" collapsed="false">
      <c r="A161" s="0" t="s">
        <v>151</v>
      </c>
      <c r="B161" s="0" t="s">
        <v>101</v>
      </c>
      <c r="C161" s="0" t="s">
        <v>61</v>
      </c>
      <c r="D161" s="0" t="s">
        <v>56</v>
      </c>
      <c r="E161" s="0" t="str">
        <f aca="false">B161&amp;"|"&amp;C161&amp;"|"&amp;D161</f>
        <v>Thaba Tseka [#SNU] [jyhIrCoB31x]|10-14|Female</v>
      </c>
      <c r="F161" s="73" t="n">
        <f aca="false">_xlfn.IFNA(INDEX(Cascade!$F:$F,MATCH($E161,Cascade!$E:$E,0)),"")</f>
        <v>8337</v>
      </c>
      <c r="H161" s="73" t="n">
        <v>42</v>
      </c>
      <c r="I161" s="73" t="n">
        <v>18</v>
      </c>
      <c r="J161" s="118" t="n">
        <f aca="false">IF(SUM($I161)&lt;=0,"",0%)</f>
        <v>0</v>
      </c>
      <c r="K161" s="118"/>
      <c r="L161" s="118"/>
      <c r="M161" s="118" t="n">
        <f aca="false">1-IF(NOT(AND($D161="Female",OR($C161="10-14",$C161="15-17"))),0,$K161)-IF(NOT(OR($C161="05-09",$C161="10-14")),0,$L161)</f>
        <v>1</v>
      </c>
      <c r="N161" s="118" t="n">
        <f aca="false">20%</f>
        <v>0.2</v>
      </c>
      <c r="O161" s="73" t="n">
        <f aca="false">IF(SUM($I161)&lt;=0,"",ROUND($I161*(1+$J161),0))</f>
        <v>18</v>
      </c>
      <c r="P161" s="75" t="str">
        <f aca="false">IF(OR(AND(SUM($K161)=0,SUM($O161)&lt;=0),NOT(AND($D161="Female",$G161="Y",OR($C161="10-14",$C161="15-17")))),"",ROUND($O161*$K161,0))</f>
        <v/>
      </c>
      <c r="Q161" s="75" t="n">
        <f aca="false">IF(OR(AND(SUM($L161)=0,SUM($O161)&lt;=0),NOT(OR($C161="10-14",$C161="05-09"))),"",ROUND($O161*$L161,0))</f>
        <v>0</v>
      </c>
      <c r="R161" s="75" t="n">
        <f aca="false">IF(SUM($O161)&lt;=0,"",ROUND($O161*$M161*$N161,0))</f>
        <v>4</v>
      </c>
      <c r="S161" s="75" t="n">
        <f aca="false">IF(SUM($O161)&lt;=0,"",($O161*$M161)-$R161)</f>
        <v>14</v>
      </c>
      <c r="T161" s="118" t="n">
        <f aca="false">IF(OR($C161="18+",$C161="18-20",SUM($O161)&lt;=0),"",100%)</f>
        <v>1</v>
      </c>
      <c r="U161" s="115" t="n">
        <f aca="false">IF(OR($C161="18+",$C161="18-20",(SUM($R161)+SUM($S161))=0),"",ROUND(SUM($R161,$S161)*$T161,0))</f>
        <v>18</v>
      </c>
    </row>
    <row r="162" customFormat="false" ht="15" hidden="false" customHeight="false" outlineLevel="0" collapsed="false">
      <c r="A162" s="0" t="s">
        <v>151</v>
      </c>
      <c r="B162" s="0" t="s">
        <v>101</v>
      </c>
      <c r="C162" s="0" t="s">
        <v>61</v>
      </c>
      <c r="D162" s="0" t="s">
        <v>58</v>
      </c>
      <c r="E162" s="0" t="str">
        <f aca="false">B162&amp;"|"&amp;C162&amp;"|"&amp;D162</f>
        <v>Thaba Tseka [#SNU] [jyhIrCoB31x]|10-14|Male</v>
      </c>
      <c r="F162" s="73" t="n">
        <f aca="false">_xlfn.IFNA(INDEX(Cascade!$F:$F,MATCH($E162,Cascade!$E:$E,0)),"")</f>
        <v>8505</v>
      </c>
      <c r="H162" s="73" t="n">
        <v>17</v>
      </c>
      <c r="I162" s="73" t="n">
        <v>13</v>
      </c>
      <c r="J162" s="118" t="n">
        <f aca="false">IF(SUM($I162)&lt;=0,"",0%)</f>
        <v>0</v>
      </c>
      <c r="K162" s="118"/>
      <c r="L162" s="118"/>
      <c r="M162" s="118" t="n">
        <f aca="false">1-IF(NOT(AND($D162="Female",OR($C162="10-14",$C162="15-17"))),0,$K162)-IF(NOT(OR($C162="05-09",$C162="10-14")),0,$L162)</f>
        <v>1</v>
      </c>
      <c r="N162" s="118" t="n">
        <f aca="false">20%</f>
        <v>0.2</v>
      </c>
      <c r="O162" s="73" t="n">
        <f aca="false">IF(SUM($I162)&lt;=0,"",ROUND($I162*(1+$J162),0))</f>
        <v>13</v>
      </c>
      <c r="P162" s="75" t="str">
        <f aca="false">IF(OR(AND(SUM($K162)=0,SUM($O162)&lt;=0),NOT(AND($D162="Female",$G162="Y",OR($C162="10-14",$C162="15-17")))),"",ROUND($O162*$K162,0))</f>
        <v/>
      </c>
      <c r="Q162" s="75" t="n">
        <f aca="false">IF(OR(AND(SUM($L162)=0,SUM($O162)&lt;=0),NOT(OR($C162="10-14",$C162="05-09"))),"",ROUND($O162*$L162,0))</f>
        <v>0</v>
      </c>
      <c r="R162" s="75" t="n">
        <f aca="false">IF(SUM($O162)&lt;=0,"",ROUND($O162*$M162*$N162,0))</f>
        <v>3</v>
      </c>
      <c r="S162" s="75" t="n">
        <f aca="false">IF(SUM($O162)&lt;=0,"",($O162*$M162)-$R162)</f>
        <v>10</v>
      </c>
      <c r="T162" s="118" t="n">
        <f aca="false">IF(OR($C162="18+",$C162="18-20",SUM($O162)&lt;=0),"",100%)</f>
        <v>1</v>
      </c>
      <c r="U162" s="115" t="n">
        <f aca="false">IF(OR($C162="18+",$C162="18-20",(SUM($R162)+SUM($S162))=0),"",ROUND(SUM($R162,$S162)*$T162,0))</f>
        <v>13</v>
      </c>
    </row>
    <row r="163" customFormat="false" ht="15" hidden="false" customHeight="false" outlineLevel="0" collapsed="false">
      <c r="A163" s="0" t="s">
        <v>151</v>
      </c>
      <c r="B163" s="0" t="s">
        <v>101</v>
      </c>
      <c r="C163" s="0" t="s">
        <v>882</v>
      </c>
      <c r="D163" s="0" t="s">
        <v>56</v>
      </c>
      <c r="E163" s="0" t="str">
        <f aca="false">B163&amp;"|"&amp;C163&amp;"|"&amp;D163</f>
        <v>Thaba Tseka [#SNU] [jyhIrCoB31x]|15-17|Female</v>
      </c>
      <c r="F163" s="73" t="str">
        <f aca="false">_xlfn.IFNA(INDEX(Cascade!$F:$F,MATCH($E163,Cascade!$E:$E,0)),"")</f>
        <v/>
      </c>
      <c r="H163" s="73" t="n">
        <v>41</v>
      </c>
      <c r="I163" s="73" t="n">
        <v>25</v>
      </c>
      <c r="J163" s="118" t="n">
        <f aca="false">IF(SUM($I163)&lt;=0,"",0%)</f>
        <v>0</v>
      </c>
      <c r="K163" s="118"/>
      <c r="L163" s="118"/>
      <c r="M163" s="118" t="n">
        <f aca="false">1-IF(NOT(AND($D163="Female",OR($C163="10-14",$C163="15-17"))),0,$K163)-IF(NOT(OR($C163="05-09",$C163="10-14")),0,$L163)</f>
        <v>1</v>
      </c>
      <c r="N163" s="118" t="n">
        <f aca="false">20%</f>
        <v>0.2</v>
      </c>
      <c r="O163" s="73" t="n">
        <f aca="false">IF(SUM($I163)&lt;=0,"",ROUND($I163*(1+$J163),0))</f>
        <v>25</v>
      </c>
      <c r="P163" s="75" t="str">
        <f aca="false">IF(OR(AND(SUM($K163)=0,SUM($O163)&lt;=0),NOT(AND($D163="Female",$G163="Y",OR($C163="10-14",$C163="15-17")))),"",ROUND($O163*$K163,0))</f>
        <v/>
      </c>
      <c r="Q163" s="75" t="str">
        <f aca="false">IF(OR(AND(SUM($L163)=0,SUM($O163)&lt;=0),NOT(OR($C163="10-14",$C163="05-09"))),"",ROUND($O163*$L163,0))</f>
        <v/>
      </c>
      <c r="R163" s="75" t="n">
        <f aca="false">IF(SUM($O163)&lt;=0,"",ROUND($O163*$M163*$N163,0))</f>
        <v>5</v>
      </c>
      <c r="S163" s="75" t="n">
        <f aca="false">IF(SUM($O163)&lt;=0,"",($O163*$M163)-$R163)</f>
        <v>20</v>
      </c>
      <c r="T163" s="118" t="n">
        <f aca="false">IF(OR($C163="18+",$C163="18-20",SUM($O163)&lt;=0),"",100%)</f>
        <v>1</v>
      </c>
      <c r="U163" s="115" t="n">
        <f aca="false">IF(OR($C163="18+",$C163="18-20",(SUM($R163)+SUM($S163))=0),"",ROUND(SUM($R163,$S163)*$T163,0))</f>
        <v>25</v>
      </c>
    </row>
    <row r="164" customFormat="false" ht="15" hidden="false" customHeight="false" outlineLevel="0" collapsed="false">
      <c r="A164" s="0" t="s">
        <v>151</v>
      </c>
      <c r="B164" s="0" t="s">
        <v>101</v>
      </c>
      <c r="C164" s="0" t="s">
        <v>882</v>
      </c>
      <c r="D164" s="0" t="s">
        <v>58</v>
      </c>
      <c r="E164" s="0" t="str">
        <f aca="false">B164&amp;"|"&amp;C164&amp;"|"&amp;D164</f>
        <v>Thaba Tseka [#SNU] [jyhIrCoB31x]|15-17|Male</v>
      </c>
      <c r="F164" s="73" t="str">
        <f aca="false">_xlfn.IFNA(INDEX(Cascade!$F:$F,MATCH($E164,Cascade!$E:$E,0)),"")</f>
        <v/>
      </c>
      <c r="H164" s="73" t="n">
        <v>45</v>
      </c>
      <c r="I164" s="73" t="n">
        <v>11</v>
      </c>
      <c r="J164" s="118" t="n">
        <f aca="false">IF(SUM($I164)&lt;=0,"",0%)</f>
        <v>0</v>
      </c>
      <c r="K164" s="118"/>
      <c r="L164" s="118"/>
      <c r="M164" s="118" t="n">
        <f aca="false">1-IF(NOT(AND($D164="Female",OR($C164="10-14",$C164="15-17"))),0,$K164)-IF(NOT(OR($C164="05-09",$C164="10-14")),0,$L164)</f>
        <v>1</v>
      </c>
      <c r="N164" s="118" t="n">
        <f aca="false">20%</f>
        <v>0.2</v>
      </c>
      <c r="O164" s="73" t="n">
        <f aca="false">IF(SUM($I164)&lt;=0,"",ROUND($I164*(1+$J164),0))</f>
        <v>11</v>
      </c>
      <c r="P164" s="75" t="str">
        <f aca="false">IF(OR(AND(SUM($K164)=0,SUM($O164)&lt;=0),NOT(AND($D164="Female",$G164="Y",OR($C164="10-14",$C164="15-17")))),"",ROUND($O164*$K164,0))</f>
        <v/>
      </c>
      <c r="Q164" s="75" t="str">
        <f aca="false">IF(OR(AND(SUM($L164)=0,SUM($O164)&lt;=0),NOT(OR($C164="10-14",$C164="05-09"))),"",ROUND($O164*$L164,0))</f>
        <v/>
      </c>
      <c r="R164" s="75" t="n">
        <f aca="false">IF(SUM($O164)&lt;=0,"",ROUND($O164*$M164*$N164,0))</f>
        <v>2</v>
      </c>
      <c r="S164" s="75" t="n">
        <f aca="false">IF(SUM($O164)&lt;=0,"",($O164*$M164)-$R164)</f>
        <v>9</v>
      </c>
      <c r="T164" s="118" t="n">
        <f aca="false">IF(OR($C164="18+",$C164="18-20",SUM($O164)&lt;=0),"",100%)</f>
        <v>1</v>
      </c>
      <c r="U164" s="115" t="n">
        <f aca="false">IF(OR($C164="18+",$C164="18-20",(SUM($R164)+SUM($S164))=0),"",ROUND(SUM($R164,$S164)*$T164,0))</f>
        <v>11</v>
      </c>
    </row>
    <row r="165" customFormat="false" ht="15" hidden="false" customHeight="false" outlineLevel="0" collapsed="false">
      <c r="A165" s="0" t="s">
        <v>151</v>
      </c>
      <c r="B165" s="0" t="s">
        <v>101</v>
      </c>
      <c r="C165" s="0" t="s">
        <v>883</v>
      </c>
      <c r="D165" s="0" t="s">
        <v>56</v>
      </c>
      <c r="E165" s="0" t="str">
        <f aca="false">B165&amp;"|"&amp;C165&amp;"|"&amp;D165</f>
        <v>Thaba Tseka [#SNU] [jyhIrCoB31x]|18-20|Female</v>
      </c>
      <c r="F165" s="73" t="str">
        <f aca="false">_xlfn.IFNA(INDEX(Cascade!$F:$F,MATCH($E165,Cascade!$E:$E,0)),"")</f>
        <v/>
      </c>
      <c r="H165" s="73"/>
      <c r="I165" s="73"/>
      <c r="J165" s="118" t="str">
        <f aca="false">IF(SUM($I165)&lt;=0,"",0%)</f>
        <v/>
      </c>
      <c r="K165" s="118"/>
      <c r="L165" s="118"/>
      <c r="M165" s="118" t="n">
        <f aca="false">1-IF(NOT(AND($D165="Female",OR($C165="10-14",$C165="15-17"))),0,$K165)-IF(NOT(OR($C165="05-09",$C165="10-14")),0,$L165)</f>
        <v>1</v>
      </c>
      <c r="N165" s="118" t="n">
        <f aca="false">20%</f>
        <v>0.2</v>
      </c>
      <c r="O165" s="73" t="str">
        <f aca="false">IF(SUM($I165)&lt;=0,"",ROUND($I165*(1+$J165),0))</f>
        <v/>
      </c>
      <c r="P165" s="75" t="str">
        <f aca="false">IF(OR(AND(SUM($K165)=0,SUM($O165)&lt;=0),NOT(AND($D165="Female",$G165="Y",OR($C165="10-14",$C165="15-17")))),"",ROUND($O165*$K165,0))</f>
        <v/>
      </c>
      <c r="Q165" s="75" t="str">
        <f aca="false">IF(OR(AND(SUM($L165)=0,SUM($O165)&lt;=0),NOT(OR($C165="10-14",$C165="05-09"))),"",ROUND($O165*$L165,0))</f>
        <v/>
      </c>
      <c r="R165" s="75" t="str">
        <f aca="false">IF(SUM($O165)&lt;=0,"",ROUND($O165*$M165*$N165,0))</f>
        <v/>
      </c>
      <c r="S165" s="75" t="str">
        <f aca="false">IF(SUM($O165)&lt;=0,"",($O165*$M165)-$R165)</f>
        <v/>
      </c>
      <c r="T165" s="118" t="str">
        <f aca="false">IF(OR($C165="18+",$C165="18-20",SUM($O165)&lt;=0),"",100%)</f>
        <v/>
      </c>
      <c r="U165" s="115" t="str">
        <f aca="false">IF(OR($C165="18+",$C165="18-20",(SUM($R165)+SUM($S165))=0),"",ROUND(SUM($R165,$S165)*$T165,0))</f>
        <v/>
      </c>
    </row>
    <row r="166" customFormat="false" ht="15" hidden="false" customHeight="false" outlineLevel="0" collapsed="false">
      <c r="A166" s="0" t="s">
        <v>151</v>
      </c>
      <c r="B166" s="0" t="s">
        <v>101</v>
      </c>
      <c r="C166" s="0" t="s">
        <v>883</v>
      </c>
      <c r="D166" s="0" t="s">
        <v>58</v>
      </c>
      <c r="E166" s="0" t="str">
        <f aca="false">B166&amp;"|"&amp;C166&amp;"|"&amp;D166</f>
        <v>Thaba Tseka [#SNU] [jyhIrCoB31x]|18-20|Male</v>
      </c>
      <c r="F166" s="73" t="str">
        <f aca="false">_xlfn.IFNA(INDEX(Cascade!$F:$F,MATCH($E166,Cascade!$E:$E,0)),"")</f>
        <v/>
      </c>
      <c r="H166" s="73"/>
      <c r="I166" s="73"/>
      <c r="J166" s="118" t="str">
        <f aca="false">IF(SUM($I166)&lt;=0,"",0%)</f>
        <v/>
      </c>
      <c r="K166" s="118"/>
      <c r="L166" s="118"/>
      <c r="M166" s="118" t="n">
        <f aca="false">1-IF(NOT(AND($D166="Female",OR($C166="10-14",$C166="15-17"))),0,$K166)-IF(NOT(OR($C166="05-09",$C166="10-14")),0,$L166)</f>
        <v>1</v>
      </c>
      <c r="N166" s="118" t="n">
        <f aca="false">20%</f>
        <v>0.2</v>
      </c>
      <c r="O166" s="73" t="str">
        <f aca="false">IF(SUM($I166)&lt;=0,"",ROUND($I166*(1+$J166),0))</f>
        <v/>
      </c>
      <c r="P166" s="75" t="str">
        <f aca="false">IF(OR(AND(SUM($K166)=0,SUM($O166)&lt;=0),NOT(AND($D166="Female",$G166="Y",OR($C166="10-14",$C166="15-17")))),"",ROUND($O166*$K166,0))</f>
        <v/>
      </c>
      <c r="Q166" s="75" t="str">
        <f aca="false">IF(OR(AND(SUM($L166)=0,SUM($O166)&lt;=0),NOT(OR($C166="10-14",$C166="05-09"))),"",ROUND($O166*$L166,0))</f>
        <v/>
      </c>
      <c r="R166" s="75" t="str">
        <f aca="false">IF(SUM($O166)&lt;=0,"",ROUND($O166*$M166*$N166,0))</f>
        <v/>
      </c>
      <c r="S166" s="75" t="str">
        <f aca="false">IF(SUM($O166)&lt;=0,"",($O166*$M166)-$R166)</f>
        <v/>
      </c>
      <c r="T166" s="118" t="str">
        <f aca="false">IF(OR($C166="18+",$C166="18-20",SUM($O166)&lt;=0),"",100%)</f>
        <v/>
      </c>
      <c r="U166" s="115" t="str">
        <f aca="false">IF(OR($C166="18+",$C166="18-20",(SUM($R166)+SUM($S166))=0),"",ROUND(SUM($R166,$S166)*$T166,0))</f>
        <v/>
      </c>
    </row>
    <row r="167" customFormat="false" ht="15" hidden="false" customHeight="false" outlineLevel="0" collapsed="false">
      <c r="A167" s="0" t="s">
        <v>151</v>
      </c>
      <c r="B167" s="0" t="s">
        <v>101</v>
      </c>
      <c r="C167" s="0" t="s">
        <v>884</v>
      </c>
      <c r="D167" s="0" t="s">
        <v>56</v>
      </c>
      <c r="E167" s="0" t="str">
        <f aca="false">B167&amp;"|"&amp;C167&amp;"|"&amp;D167</f>
        <v>Thaba Tseka [#SNU] [jyhIrCoB31x]|18+|Female</v>
      </c>
      <c r="F167" s="73" t="str">
        <f aca="false">_xlfn.IFNA(INDEX(Cascade!$F:$F,MATCH($E167,Cascade!$E:$E,0)),"")</f>
        <v/>
      </c>
      <c r="H167" s="73" t="n">
        <v>34</v>
      </c>
      <c r="I167" s="73" t="n">
        <v>8</v>
      </c>
      <c r="J167" s="118" t="n">
        <f aca="false">IF(SUM($I167)&lt;=0,"",0%)</f>
        <v>0</v>
      </c>
      <c r="K167" s="118"/>
      <c r="L167" s="118"/>
      <c r="M167" s="118" t="n">
        <f aca="false">1-IF(NOT(AND($D167="Female",OR($C167="10-14",$C167="15-17"))),0,$K167)-IF(NOT(OR($C167="05-09",$C167="10-14")),0,$L167)</f>
        <v>1</v>
      </c>
      <c r="N167" s="118" t="n">
        <f aca="false">20%</f>
        <v>0.2</v>
      </c>
      <c r="O167" s="73" t="n">
        <f aca="false">IF(SUM($I167)&lt;=0,"",ROUND($I167*(1+$J167),0))</f>
        <v>8</v>
      </c>
      <c r="P167" s="75" t="str">
        <f aca="false">IF(OR(AND(SUM($K167)=0,SUM($O167)&lt;=0),NOT(AND($D167="Female",$G167="Y",OR($C167="10-14",$C167="15-17")))),"",ROUND($O167*$K167,0))</f>
        <v/>
      </c>
      <c r="Q167" s="75" t="str">
        <f aca="false">IF(OR(AND(SUM($L167)=0,SUM($O167)&lt;=0),NOT(OR($C167="10-14",$C167="05-09"))),"",ROUND($O167*$L167,0))</f>
        <v/>
      </c>
      <c r="R167" s="75" t="n">
        <f aca="false">IF(SUM($O167)&lt;=0,"",ROUND($O167*$M167*$N167,0))</f>
        <v>2</v>
      </c>
      <c r="S167" s="75" t="n">
        <f aca="false">IF(SUM($O167)&lt;=0,"",($O167*$M167)-$R167)</f>
        <v>6</v>
      </c>
      <c r="T167" s="118" t="str">
        <f aca="false">IF(OR($C167="18+",$C167="18-20",SUM($O167)&lt;=0),"",100%)</f>
        <v/>
      </c>
      <c r="U167" s="115" t="str">
        <f aca="false">IF(OR($C167="18+",$C167="18-20",(SUM($R167)+SUM($S167))=0),"",ROUND(SUM($R167,$S167)*$T167,0))</f>
        <v/>
      </c>
    </row>
    <row r="168" customFormat="false" ht="15" hidden="false" customHeight="false" outlineLevel="0" collapsed="false">
      <c r="A168" s="0" t="s">
        <v>151</v>
      </c>
      <c r="B168" s="0" t="s">
        <v>101</v>
      </c>
      <c r="C168" s="0" t="s">
        <v>884</v>
      </c>
      <c r="D168" s="0" t="s">
        <v>58</v>
      </c>
      <c r="E168" s="0" t="str">
        <f aca="false">B168&amp;"|"&amp;C168&amp;"|"&amp;D168</f>
        <v>Thaba Tseka [#SNU] [jyhIrCoB31x]|18+|Male</v>
      </c>
      <c r="F168" s="73" t="str">
        <f aca="false">_xlfn.IFNA(INDEX(Cascade!$F:$F,MATCH($E168,Cascade!$E:$E,0)),"")</f>
        <v/>
      </c>
      <c r="H168" s="73" t="n">
        <v>4</v>
      </c>
      <c r="I168" s="73" t="n">
        <v>42</v>
      </c>
      <c r="J168" s="118" t="n">
        <f aca="false">IF(SUM($I168)&lt;=0,"",0%)</f>
        <v>0</v>
      </c>
      <c r="K168" s="118"/>
      <c r="L168" s="118"/>
      <c r="M168" s="118" t="n">
        <f aca="false">1-IF(NOT(AND($D168="Female",OR($C168="10-14",$C168="15-17"))),0,$K168)-IF(NOT(OR($C168="05-09",$C168="10-14")),0,$L168)</f>
        <v>1</v>
      </c>
      <c r="N168" s="118" t="n">
        <f aca="false">20%</f>
        <v>0.2</v>
      </c>
      <c r="O168" s="73" t="n">
        <f aca="false">IF(SUM($I168)&lt;=0,"",ROUND($I168*(1+$J168),0))</f>
        <v>42</v>
      </c>
      <c r="P168" s="75" t="str">
        <f aca="false">IF(OR(AND(SUM($K168)=0,SUM($O168)&lt;=0),NOT(AND($D168="Female",$G168="Y",OR($C168="10-14",$C168="15-17")))),"",ROUND($O168*$K168,0))</f>
        <v/>
      </c>
      <c r="Q168" s="75" t="str">
        <f aca="false">IF(OR(AND(SUM($L168)=0,SUM($O168)&lt;=0),NOT(OR($C168="10-14",$C168="05-09"))),"",ROUND($O168*$L168,0))</f>
        <v/>
      </c>
      <c r="R168" s="75" t="n">
        <f aca="false">IF(SUM($O168)&lt;=0,"",ROUND($O168*$M168*$N168,0))</f>
        <v>8</v>
      </c>
      <c r="S168" s="75" t="n">
        <f aca="false">IF(SUM($O168)&lt;=0,"",($O168*$M168)-$R168)</f>
        <v>34</v>
      </c>
      <c r="T168" s="118" t="str">
        <f aca="false">IF(OR($C168="18+",$C168="18-20",SUM($O168)&lt;=0),"",100%)</f>
        <v/>
      </c>
      <c r="U168" s="115" t="str">
        <f aca="false">IF(OR($C168="18+",$C168="18-20",(SUM($R168)+SUM($S168))=0),"",ROUND(SUM($R168,$S168)*$T168,0))</f>
        <v/>
      </c>
    </row>
  </sheetData>
  <conditionalFormatting sqref="T1:U1048576">
    <cfRule type="expression" priority="2" aboveAverage="0" equalAverage="0" bottom="0" percent="0" rank="0" text="" dxfId="0">
      <formula>OR($C1="18-20",$C1="18+")</formula>
    </cfRule>
  </conditionalFormatting>
  <conditionalFormatting sqref="T1:T1048576">
    <cfRule type="expression" priority="3" aboveAverage="0" equalAverage="0" bottom="0" percent="0" rank="0" text="" dxfId="1">
      <formula>AND(ISNUMBER($T1),ROW($T1)&gt;14,SUM($O1)&gt;0,ROUND(SUM($T1),2)&gt;1)</formula>
    </cfRule>
    <cfRule type="expression" priority="4" aboveAverage="0" equalAverage="0" bottom="0" percent="0" rank="0" text="" dxfId="2">
      <formula>AND(ISNUMBER($T1),ROW($T1)&gt;14,SUM($O1)&gt;0,ROUND(SUM($T1),2)&lt;1)</formula>
    </cfRule>
  </conditionalFormatting>
  <conditionalFormatting sqref="N1:N1048576">
    <cfRule type="expression" priority="5" aboveAverage="0" equalAverage="0" bottom="0" percent="0" rank="0" text="" dxfId="3">
      <formula>AND(ISNUMBER($N1),ROW($N1)&gt;14,(SUM($I1)*(1+SUM($J1))*SUM($M1))&gt;0,ROUND(SUM($N1),2)&lt;20%)</formula>
    </cfRule>
  </conditionalFormatting>
  <conditionalFormatting sqref="K1:K1048576 P1:P1048576">
    <cfRule type="expression" priority="6" aboveAverage="0" equalAverage="0" bottom="0" percent="0" rank="0" text="" dxfId="0">
      <formula>AND($B1&lt;&gt;"",ROW(K1)&gt;14,NOT(AND($D1="Female",$G1="Y",OR($C1="10-14",$C1="15-17"))))</formula>
    </cfRule>
  </conditionalFormatting>
  <conditionalFormatting sqref="Q1:Q1048576 L1:L1048576">
    <cfRule type="expression" priority="7" aboveAverage="0" equalAverage="0" bottom="0" percent="0" rank="0" text="" dxfId="1">
      <formula>AND($E1&lt;&gt;"",ROW(L1)&gt;14,NOT(OR($C1="05-09",$C1="10-14")))</formula>
    </cfRule>
  </conditionalFormatting>
  <conditionalFormatting sqref="M1:N1048576">
    <cfRule type="expression" priority="8" aboveAverage="0" equalAverage="0" bottom="0" percent="0" rank="0" text="" dxfId="2">
      <formula>AND(ROW(M1)&gt;14,ISNUMBER(M1),OR(M1&gt;1,M1&lt;0))</formula>
    </cfRule>
  </conditionalFormatting>
  <conditionalFormatting sqref="F1:F1048576">
    <cfRule type="expression" priority="9" aboveAverage="0" equalAverage="0" bottom="0" percent="0" rank="0" text="" dxfId="3">
      <formula>AND(ROW(F1)&gt;14,LEFT(B1,4)="_Mil")</formula>
    </cfRule>
  </conditionalFormatting>
  <hyperlinks>
    <hyperlink ref="F3" location="Cascade!F:F" display="Host Country Est. PLHIV (FY21)"/>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H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4" topLeftCell="C15" activePane="bottomRight" state="frozen"/>
      <selection pane="topLeft" activeCell="A1" activeCellId="0" sqref="A1"/>
      <selection pane="topRight" activeCell="C1" activeCellId="0" sqref="C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52.33"/>
    <col collapsed="false" customWidth="true" hidden="false" outlineLevel="0" max="8" min="3" style="0" width="11.83"/>
    <col collapsed="false" customWidth="true" hidden="false" outlineLevel="0" max="1025" min="9" style="0" width="10.61"/>
  </cols>
  <sheetData>
    <row r="1" customFormat="false" ht="31" hidden="false" customHeight="true" outlineLevel="0" collapsed="false">
      <c r="A1" s="180" t="s">
        <v>889</v>
      </c>
      <c r="B1" s="180"/>
      <c r="C1" s="175" t="s">
        <v>890</v>
      </c>
      <c r="D1" s="175"/>
      <c r="E1" s="181"/>
      <c r="F1" s="181"/>
      <c r="G1" s="175"/>
      <c r="H1" s="175"/>
    </row>
    <row r="2" customFormat="false" ht="19" hidden="false" customHeight="true" outlineLevel="0" collapsed="false">
      <c r="A2" s="57"/>
      <c r="B2" s="57"/>
      <c r="C2" s="89" t="s">
        <v>120</v>
      </c>
      <c r="D2" s="89"/>
      <c r="E2" s="87" t="s">
        <v>156</v>
      </c>
      <c r="F2" s="87"/>
      <c r="G2" s="84" t="s">
        <v>121</v>
      </c>
      <c r="H2" s="84"/>
    </row>
    <row r="3" customFormat="false" ht="117" hidden="false" customHeight="true" outlineLevel="0" collapsed="false">
      <c r="C3" s="168" t="s">
        <v>891</v>
      </c>
      <c r="D3" s="168" t="s">
        <v>892</v>
      </c>
      <c r="E3" s="146" t="s">
        <v>893</v>
      </c>
      <c r="F3" s="146" t="s">
        <v>894</v>
      </c>
      <c r="G3" s="100" t="s">
        <v>895</v>
      </c>
      <c r="H3" s="100" t="s">
        <v>896</v>
      </c>
    </row>
    <row r="4" customFormat="false" ht="15" hidden="false" customHeight="false" outlineLevel="0" collapsed="false">
      <c r="A4" s="65"/>
      <c r="B4" s="65" t="s">
        <v>125</v>
      </c>
      <c r="C4" s="73" t="n">
        <f aca="false">SUBTOTAL(109,C$15:INDEX(C:C,COUNTA($B:$B)+14-COUNTA($B$1:$B$14)))</f>
        <v>0</v>
      </c>
      <c r="D4" s="73" t="n">
        <f aca="false">SUBTOTAL(109,D$15:INDEX(D:D,COUNTA($B:$B)+14-COUNTA($B$1:$B$14)))</f>
        <v>0</v>
      </c>
      <c r="G4" s="115" t="n">
        <f aca="false">SUBTOTAL(109,G$15:INDEX(G:G,COUNTA($B:$B)+14-COUNTA($B$1:$B$14)))</f>
        <v>0</v>
      </c>
      <c r="H4" s="115" t="n">
        <f aca="false">SUBTOTAL(109,H$15:INDEX(H:H,COUNTA($B:$B)+14-COUNTA($B$1:$B$14)))</f>
        <v>0</v>
      </c>
    </row>
    <row r="5" customFormat="false" ht="12.8" hidden="false" customHeight="false" outlineLevel="0" collapsed="false">
      <c r="A5" s="65" t="s">
        <v>126</v>
      </c>
      <c r="B5" s="65" t="s">
        <v>126</v>
      </c>
      <c r="C5" s="73" t="s">
        <v>225</v>
      </c>
      <c r="D5" s="73" t="s">
        <v>225</v>
      </c>
      <c r="E5" s="118" t="s">
        <v>126</v>
      </c>
      <c r="F5" s="118" t="s">
        <v>126</v>
      </c>
      <c r="G5" s="115" t="s">
        <v>225</v>
      </c>
      <c r="H5" s="115" t="s">
        <v>225</v>
      </c>
    </row>
    <row r="6" customFormat="false" ht="12.8" hidden="false" customHeight="false" outlineLevel="0" collapsed="false">
      <c r="A6" s="65" t="s">
        <v>128</v>
      </c>
      <c r="B6" s="65" t="s">
        <v>128</v>
      </c>
      <c r="C6" s="73" t="s">
        <v>129</v>
      </c>
      <c r="D6" s="73" t="s">
        <v>129</v>
      </c>
      <c r="E6" s="118" t="s">
        <v>227</v>
      </c>
      <c r="F6" s="118" t="s">
        <v>227</v>
      </c>
      <c r="G6" s="115" t="s">
        <v>130</v>
      </c>
      <c r="H6" s="115" t="s">
        <v>130</v>
      </c>
    </row>
    <row r="7" customFormat="false" ht="12.8" hidden="false" customHeight="false" outlineLevel="0" collapsed="false">
      <c r="A7" s="65" t="s">
        <v>132</v>
      </c>
      <c r="B7" s="65" t="s">
        <v>132</v>
      </c>
      <c r="C7" s="73" t="s">
        <v>133</v>
      </c>
      <c r="D7" s="73" t="s">
        <v>133</v>
      </c>
      <c r="E7" s="118" t="s">
        <v>229</v>
      </c>
      <c r="F7" s="118" t="s">
        <v>229</v>
      </c>
      <c r="G7" s="115" t="s">
        <v>133</v>
      </c>
      <c r="H7" s="115" t="s">
        <v>133</v>
      </c>
    </row>
    <row r="8" customFormat="false" ht="12.8" hidden="false" customHeight="false" outlineLevel="0" collapsed="false">
      <c r="A8" s="65"/>
      <c r="B8" s="65"/>
      <c r="C8" s="73" t="s">
        <v>897</v>
      </c>
      <c r="D8" s="73" t="s">
        <v>897</v>
      </c>
      <c r="G8" s="115" t="s">
        <v>897</v>
      </c>
      <c r="H8" s="115" t="s">
        <v>897</v>
      </c>
    </row>
    <row r="9" customFormat="false" ht="12.8" hidden="false" customHeight="false" outlineLevel="0" collapsed="false">
      <c r="A9" s="65"/>
      <c r="B9" s="65"/>
      <c r="C9" s="73" t="s">
        <v>898</v>
      </c>
      <c r="D9" s="73" t="s">
        <v>898</v>
      </c>
      <c r="G9" s="115" t="s">
        <v>898</v>
      </c>
      <c r="H9" s="115" t="s">
        <v>898</v>
      </c>
    </row>
    <row r="10" customFormat="false" ht="12.8" hidden="false" customHeight="false" outlineLevel="0" collapsed="false">
      <c r="A10" s="65"/>
      <c r="B10" s="65"/>
      <c r="C10" s="73" t="s">
        <v>899</v>
      </c>
      <c r="D10" s="73" t="s">
        <v>900</v>
      </c>
      <c r="G10" s="115" t="s">
        <v>899</v>
      </c>
      <c r="H10" s="115" t="s">
        <v>900</v>
      </c>
    </row>
    <row r="11" customFormat="false" ht="12.8" hidden="false" customHeight="false" outlineLevel="0" collapsed="false">
      <c r="A11" s="65"/>
      <c r="B11" s="65"/>
    </row>
    <row r="12" customFormat="false" ht="12.8" hidden="false" customHeight="false" outlineLevel="0" collapsed="false">
      <c r="A12" s="65"/>
      <c r="B12" s="65"/>
    </row>
    <row r="13" customFormat="false" ht="12.8" hidden="false" customHeight="false" outlineLevel="0" collapsed="false">
      <c r="A13" s="65"/>
      <c r="B13" s="65"/>
    </row>
    <row r="14" customFormat="false" ht="15" hidden="false" customHeight="false" outlineLevel="0" collapsed="false">
      <c r="A14" s="70" t="s">
        <v>135</v>
      </c>
      <c r="B14" s="70" t="s">
        <v>136</v>
      </c>
      <c r="C14" s="131" t="s">
        <v>901</v>
      </c>
      <c r="D14" s="72" t="s">
        <v>902</v>
      </c>
      <c r="E14" s="72" t="s">
        <v>903</v>
      </c>
      <c r="F14" s="72" t="s">
        <v>904</v>
      </c>
      <c r="G14" s="165" t="s">
        <v>905</v>
      </c>
      <c r="H14" s="165" t="s">
        <v>906</v>
      </c>
    </row>
    <row r="15" customFormat="false" ht="15" hidden="false" customHeight="false" outlineLevel="0" collapsed="false">
      <c r="A15" s="0" t="s">
        <v>140</v>
      </c>
      <c r="B15" s="0" t="s">
        <v>141</v>
      </c>
      <c r="C15" s="73"/>
      <c r="D15" s="73"/>
      <c r="E15" s="118" t="str">
        <f aca="false">IF(SUM($C15)&lt;=0,"",0%)</f>
        <v/>
      </c>
      <c r="F15" s="118" t="str">
        <f aca="false">IF(SUM($D15)&lt;=0,"",0%)</f>
        <v/>
      </c>
      <c r="G15" s="115" t="str">
        <f aca="false">IF(SUM($C15)&lt;=0,"",ROUND($C15*(1+$E15),0))</f>
        <v/>
      </c>
      <c r="H15" s="115" t="str">
        <f aca="false">IF(SUM($D15)&lt;=0,"",ROUND($D15*(1+$F15),0))</f>
        <v/>
      </c>
    </row>
    <row r="16" customFormat="false" ht="15" hidden="false" customHeight="false" outlineLevel="0" collapsed="false">
      <c r="A16" s="0" t="s">
        <v>142</v>
      </c>
      <c r="B16" s="0" t="s">
        <v>109</v>
      </c>
      <c r="C16" s="73" t="n">
        <v>31</v>
      </c>
      <c r="D16" s="73" t="n">
        <v>42</v>
      </c>
      <c r="E16" s="118" t="n">
        <f aca="false">IF(SUM($C16)&lt;=0,"",0%)</f>
        <v>0</v>
      </c>
      <c r="F16" s="118" t="n">
        <f aca="false">IF(SUM($D16)&lt;=0,"",0%)</f>
        <v>0</v>
      </c>
      <c r="G16" s="75" t="n">
        <f aca="false">IF(SUM($C16)&lt;=0,"",ROUND($C16*(1+$E16),0))</f>
        <v>31</v>
      </c>
      <c r="H16" s="75" t="n">
        <f aca="false">IF(SUM($D16)&lt;=0,"",ROUND($D16*(1+$F16),0))</f>
        <v>42</v>
      </c>
    </row>
    <row r="17" customFormat="false" ht="15" hidden="false" customHeight="false" outlineLevel="0" collapsed="false">
      <c r="A17" s="0" t="s">
        <v>143</v>
      </c>
      <c r="B17" s="0" t="s">
        <v>115</v>
      </c>
      <c r="C17" s="73"/>
      <c r="D17" s="73"/>
      <c r="E17" s="118" t="str">
        <f aca="false">IF(SUM($C17)&lt;=0,"",0%)</f>
        <v/>
      </c>
      <c r="F17" s="118" t="str">
        <f aca="false">IF(SUM($D17)&lt;=0,"",0%)</f>
        <v/>
      </c>
      <c r="G17" s="75" t="str">
        <f aca="false">IF(SUM($C17)&lt;=0,"",ROUND($C17*(1+$E17),0))</f>
        <v/>
      </c>
      <c r="H17" s="75" t="str">
        <f aca="false">IF(SUM($D17)&lt;=0,"",ROUND($D17*(1+$F17),0))</f>
        <v/>
      </c>
    </row>
    <row r="18" customFormat="false" ht="15" hidden="false" customHeight="false" outlineLevel="0" collapsed="false">
      <c r="A18" s="0" t="s">
        <v>144</v>
      </c>
      <c r="B18" s="0" t="s">
        <v>103</v>
      </c>
      <c r="C18" s="73"/>
      <c r="D18" s="73"/>
      <c r="E18" s="118" t="str">
        <f aca="false">IF(SUM($C18)&lt;=0,"",0%)</f>
        <v/>
      </c>
      <c r="F18" s="118" t="str">
        <f aca="false">IF(SUM($D18)&lt;=0,"",0%)</f>
        <v/>
      </c>
      <c r="G18" s="75" t="str">
        <f aca="false">IF(SUM($C18)&lt;=0,"",ROUND($C18*(1+$E18),0))</f>
        <v/>
      </c>
      <c r="H18" s="75" t="str">
        <f aca="false">IF(SUM($D18)&lt;=0,"",ROUND($D18*(1+$F18),0))</f>
        <v/>
      </c>
    </row>
    <row r="19" customFormat="false" ht="15" hidden="false" customHeight="false" outlineLevel="0" collapsed="false">
      <c r="A19" s="0" t="s">
        <v>145</v>
      </c>
      <c r="B19" s="0" t="s">
        <v>107</v>
      </c>
      <c r="C19" s="73" t="n">
        <v>41</v>
      </c>
      <c r="D19" s="73" t="n">
        <v>32</v>
      </c>
      <c r="E19" s="118" t="n">
        <f aca="false">IF(SUM($C19)&lt;=0,"",0%)</f>
        <v>0</v>
      </c>
      <c r="F19" s="118" t="n">
        <f aca="false">IF(SUM($D19)&lt;=0,"",0%)</f>
        <v>0</v>
      </c>
      <c r="G19" s="75" t="n">
        <f aca="false">IF(SUM($C19)&lt;=0,"",ROUND($C19*(1+$E19),0))</f>
        <v>41</v>
      </c>
      <c r="H19" s="75" t="n">
        <f aca="false">IF(SUM($D19)&lt;=0,"",ROUND($D19*(1+$F19),0))</f>
        <v>32</v>
      </c>
    </row>
    <row r="20" customFormat="false" ht="15" hidden="false" customHeight="false" outlineLevel="0" collapsed="false">
      <c r="A20" s="0" t="s">
        <v>146</v>
      </c>
      <c r="B20" s="0" t="s">
        <v>45</v>
      </c>
      <c r="C20" s="73" t="n">
        <v>26</v>
      </c>
      <c r="D20" s="73" t="n">
        <v>22</v>
      </c>
      <c r="E20" s="118" t="n">
        <f aca="false">IF(SUM($C20)&lt;=0,"",0%)</f>
        <v>0</v>
      </c>
      <c r="F20" s="118" t="n">
        <f aca="false">IF(SUM($D20)&lt;=0,"",0%)</f>
        <v>0</v>
      </c>
      <c r="G20" s="75" t="n">
        <f aca="false">IF(SUM($C20)&lt;=0,"",ROUND($C20*(1+$E20),0))</f>
        <v>26</v>
      </c>
      <c r="H20" s="75" t="n">
        <f aca="false">IF(SUM($D20)&lt;=0,"",ROUND($D20*(1+$F20),0))</f>
        <v>22</v>
      </c>
    </row>
    <row r="21" customFormat="false" ht="15" hidden="false" customHeight="false" outlineLevel="0" collapsed="false">
      <c r="A21" s="0" t="s">
        <v>147</v>
      </c>
      <c r="B21" s="0" t="s">
        <v>105</v>
      </c>
      <c r="C21" s="73" t="n">
        <v>1</v>
      </c>
      <c r="D21" s="73" t="n">
        <v>2</v>
      </c>
      <c r="E21" s="118" t="n">
        <f aca="false">IF(SUM($C21)&lt;=0,"",0%)</f>
        <v>0</v>
      </c>
      <c r="F21" s="118" t="n">
        <f aca="false">IF(SUM($D21)&lt;=0,"",0%)</f>
        <v>0</v>
      </c>
      <c r="G21" s="75" t="n">
        <f aca="false">IF(SUM($C21)&lt;=0,"",ROUND($C21*(1+$E21),0))</f>
        <v>1</v>
      </c>
      <c r="H21" s="75" t="n">
        <f aca="false">IF(SUM($D21)&lt;=0,"",ROUND($D21*(1+$F21),0))</f>
        <v>2</v>
      </c>
    </row>
    <row r="22" customFormat="false" ht="15" hidden="false" customHeight="false" outlineLevel="0" collapsed="false">
      <c r="A22" s="0" t="s">
        <v>148</v>
      </c>
      <c r="B22" s="0" t="s">
        <v>113</v>
      </c>
      <c r="C22" s="73"/>
      <c r="D22" s="73" t="n">
        <v>34</v>
      </c>
      <c r="E22" s="118" t="str">
        <f aca="false">IF(SUM($C22)&lt;=0,"",0%)</f>
        <v/>
      </c>
      <c r="F22" s="118" t="n">
        <f aca="false">IF(SUM($D22)&lt;=0,"",0%)</f>
        <v>0</v>
      </c>
      <c r="G22" s="75" t="str">
        <f aca="false">IF(SUM($C22)&lt;=0,"",ROUND($C22*(1+$E22),0))</f>
        <v/>
      </c>
      <c r="H22" s="75" t="n">
        <f aca="false">IF(SUM($D22)&lt;=0,"",ROUND($D22*(1+$F22),0))</f>
        <v>34</v>
      </c>
    </row>
    <row r="23" customFormat="false" ht="15" hidden="false" customHeight="false" outlineLevel="0" collapsed="false">
      <c r="A23" s="0" t="s">
        <v>149</v>
      </c>
      <c r="B23" s="0" t="s">
        <v>111</v>
      </c>
      <c r="C23" s="73"/>
      <c r="D23" s="73" t="n">
        <v>21</v>
      </c>
      <c r="E23" s="118" t="str">
        <f aca="false">IF(SUM($C23)&lt;=0,"",0%)</f>
        <v/>
      </c>
      <c r="F23" s="118" t="n">
        <f aca="false">IF(SUM($D23)&lt;=0,"",0%)</f>
        <v>0</v>
      </c>
      <c r="G23" s="75" t="str">
        <f aca="false">IF(SUM($C23)&lt;=0,"",ROUND($C23*(1+$E23),0))</f>
        <v/>
      </c>
      <c r="H23" s="75" t="n">
        <f aca="false">IF(SUM($D23)&lt;=0,"",ROUND($D23*(1+$F23),0))</f>
        <v>21</v>
      </c>
    </row>
    <row r="24" customFormat="false" ht="15" hidden="false" customHeight="false" outlineLevel="0" collapsed="false">
      <c r="A24" s="0" t="s">
        <v>150</v>
      </c>
      <c r="B24" s="0" t="s">
        <v>117</v>
      </c>
      <c r="C24" s="73"/>
      <c r="D24" s="73" t="n">
        <v>38</v>
      </c>
      <c r="E24" s="118" t="str">
        <f aca="false">IF(SUM($C24)&lt;=0,"",0%)</f>
        <v/>
      </c>
      <c r="F24" s="118" t="n">
        <f aca="false">IF(SUM($D24)&lt;=0,"",0%)</f>
        <v>0</v>
      </c>
      <c r="G24" s="75" t="str">
        <f aca="false">IF(SUM($C24)&lt;=0,"",ROUND($C24*(1+$E24),0))</f>
        <v/>
      </c>
      <c r="H24" s="75" t="n">
        <f aca="false">IF(SUM($D24)&lt;=0,"",ROUND($D24*(1+$F24),0))</f>
        <v>38</v>
      </c>
    </row>
    <row r="25" customFormat="false" ht="15" hidden="false" customHeight="false" outlineLevel="0" collapsed="false">
      <c r="A25" s="0" t="s">
        <v>151</v>
      </c>
      <c r="B25" s="0" t="s">
        <v>101</v>
      </c>
      <c r="C25" s="73"/>
      <c r="D25" s="73" t="n">
        <v>35</v>
      </c>
      <c r="E25" s="118" t="str">
        <f aca="false">IF(SUM($C25)&lt;=0,"",0%)</f>
        <v/>
      </c>
      <c r="F25" s="118" t="n">
        <f aca="false">IF(SUM($D25)&lt;=0,"",0%)</f>
        <v>0</v>
      </c>
      <c r="G25" s="75" t="str">
        <f aca="false">IF(SUM($C25)&lt;=0,"",ROUND($C25*(1+$E25),0))</f>
        <v/>
      </c>
      <c r="H25" s="75" t="n">
        <f aca="false">IF(SUM($D25)&lt;=0,"",ROUND($D25*(1+$F25),0))</f>
        <v>35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V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33"/>
    <col collapsed="false" customWidth="true" hidden="false" outlineLevel="0" max="20" min="6" style="0" width="11.83"/>
    <col collapsed="false" customWidth="true" hidden="false" outlineLevel="0" max="22" min="21" style="0" width="12.67"/>
    <col collapsed="false" customWidth="true" hidden="false" outlineLevel="0" max="1025" min="23" style="0" width="10.61"/>
  </cols>
  <sheetData>
    <row r="1" customFormat="false" ht="31" hidden="false" customHeight="true" outlineLevel="0" collapsed="false">
      <c r="A1" s="54" t="s">
        <v>907</v>
      </c>
      <c r="B1" s="54"/>
      <c r="C1" s="54"/>
      <c r="D1" s="54"/>
      <c r="E1" s="54"/>
      <c r="F1" s="80" t="s">
        <v>908</v>
      </c>
      <c r="G1" s="76"/>
      <c r="H1" s="76"/>
      <c r="I1" s="76"/>
      <c r="J1" s="76"/>
      <c r="K1" s="76"/>
      <c r="L1" s="76"/>
      <c r="M1" s="76"/>
      <c r="N1" s="76"/>
      <c r="O1" s="76"/>
      <c r="P1" s="76"/>
      <c r="Q1" s="76"/>
      <c r="R1" s="81"/>
      <c r="S1" s="81"/>
      <c r="T1" s="81"/>
      <c r="U1" s="76"/>
      <c r="V1" s="76"/>
    </row>
    <row r="2" customFormat="false" ht="19" hidden="false" customHeight="true" outlineLevel="0" collapsed="false">
      <c r="A2" s="57"/>
      <c r="B2" s="57"/>
      <c r="C2" s="57"/>
      <c r="D2" s="57"/>
      <c r="E2" s="57"/>
      <c r="F2" s="88" t="s">
        <v>120</v>
      </c>
      <c r="G2" s="89"/>
      <c r="H2" s="89"/>
      <c r="I2" s="89"/>
      <c r="J2" s="89"/>
      <c r="K2" s="89"/>
      <c r="L2" s="89"/>
      <c r="M2" s="89"/>
      <c r="N2" s="84"/>
      <c r="O2" s="84"/>
      <c r="P2" s="84"/>
      <c r="Q2" s="84"/>
      <c r="R2" s="182"/>
      <c r="S2" s="87" t="s">
        <v>156</v>
      </c>
      <c r="T2" s="182"/>
      <c r="U2" s="84" t="s">
        <v>121</v>
      </c>
      <c r="V2" s="84"/>
    </row>
    <row r="3" customFormat="false" ht="117" hidden="false" customHeight="true" outlineLevel="0" collapsed="false">
      <c r="A3" s="61"/>
      <c r="B3" s="61"/>
      <c r="C3" s="61"/>
      <c r="D3" s="61"/>
      <c r="E3" s="61"/>
      <c r="F3" s="142" t="s">
        <v>325</v>
      </c>
      <c r="G3" s="183" t="s">
        <v>909</v>
      </c>
      <c r="H3" s="142" t="s">
        <v>910</v>
      </c>
      <c r="I3" s="142" t="s">
        <v>911</v>
      </c>
      <c r="J3" s="142" t="s">
        <v>912</v>
      </c>
      <c r="K3" s="142" t="s">
        <v>913</v>
      </c>
      <c r="L3" s="142" t="s">
        <v>914</v>
      </c>
      <c r="M3" s="168" t="s">
        <v>915</v>
      </c>
      <c r="N3" s="168" t="s">
        <v>916</v>
      </c>
      <c r="O3" s="168" t="s">
        <v>917</v>
      </c>
      <c r="P3" s="168" t="s">
        <v>918</v>
      </c>
      <c r="Q3" s="168" t="s">
        <v>919</v>
      </c>
      <c r="R3" s="95" t="s">
        <v>920</v>
      </c>
      <c r="S3" s="146" t="s">
        <v>921</v>
      </c>
      <c r="T3" s="146" t="s">
        <v>922</v>
      </c>
      <c r="U3" s="100" t="s">
        <v>923</v>
      </c>
      <c r="V3" s="100" t="s">
        <v>924</v>
      </c>
    </row>
    <row r="4" customFormat="false" ht="15" hidden="false" customHeight="false" outlineLevel="0" collapsed="false">
      <c r="A4" s="65"/>
      <c r="B4" s="65"/>
      <c r="C4" s="65"/>
      <c r="D4" s="65" t="s">
        <v>125</v>
      </c>
      <c r="E4" s="65"/>
      <c r="F4" s="110" t="n">
        <f aca="false">SUBTOTAL(109,F$15:INDEX(F:F,COUNTA($B:$B)+14-COUNTA($B$1:$B$14)))</f>
        <v>223294</v>
      </c>
      <c r="G4" s="110" t="n">
        <f aca="false">SUBTOTAL(109,G$15:INDEX(G:G,COUNTA($B:$B)+14-COUNTA($B$1:$B$14)))</f>
        <v>0</v>
      </c>
      <c r="H4" s="110" t="n">
        <f aca="false">SUBTOTAL(109,H$15:INDEX(H:H,COUNTA($B:$B)+14-COUNTA($B$1:$B$14)))</f>
        <v>0</v>
      </c>
      <c r="I4" s="110" t="n">
        <f aca="false">SUBTOTAL(109,I$15:INDEX(I:I,COUNTA($B:$B)+14-COUNTA($B$1:$B$14)))</f>
        <v>0</v>
      </c>
      <c r="J4" s="110" t="n">
        <f aca="false">SUBTOTAL(109,J$15:INDEX(J:J,COUNTA($B:$B)+14-COUNTA($B$1:$B$14)))</f>
        <v>0</v>
      </c>
      <c r="K4" s="110" t="n">
        <f aca="false">SUBTOTAL(109,K$15:INDEX(K:K,COUNTA($B:$B)+14-COUNTA($B$1:$B$14)))</f>
        <v>-251624</v>
      </c>
      <c r="L4" s="110" t="n">
        <f aca="false">SUBTOTAL(109,L$15:INDEX(L:L,COUNTA($B:$B)+14-COUNTA($B$1:$B$14)))</f>
        <v>245017</v>
      </c>
      <c r="M4" s="110" t="n">
        <f aca="false">SUBTOTAL(109,M$15:INDEX(M:M,COUNTA($B:$B)+14-COUNTA($B$1:$B$14)))</f>
        <v>0</v>
      </c>
      <c r="N4" s="110" t="n">
        <f aca="false">SUBTOTAL(109,N$15:INDEX(N:N,COUNTA($B:$B)+14-COUNTA($B$1:$B$14)))</f>
        <v>0</v>
      </c>
      <c r="O4" s="110" t="n">
        <f aca="false">SUBTOTAL(109,O$15:INDEX(O:O,COUNTA($B:$B)+14-COUNTA($B$1:$B$14)))</f>
        <v>0</v>
      </c>
      <c r="P4" s="110" t="n">
        <f aca="false">SUBTOTAL(109,P$15:INDEX(P:P,COUNTA($B:$B)+14-COUNTA($B$1:$B$14)))</f>
        <v>0</v>
      </c>
      <c r="Q4" s="110" t="n">
        <f aca="false">SUBTOTAL(109,Q$15:INDEX(Q:Q,COUNTA($B:$B)+14-COUNTA($B$1:$B$14)))</f>
        <v>0</v>
      </c>
      <c r="R4" s="108"/>
      <c r="S4" s="108"/>
      <c r="T4" s="108"/>
      <c r="U4" s="105" t="n">
        <f aca="false">SUBTOTAL(109,U$15:INDEX(U:U,COUNTA($B:$B)+14-COUNTA($B$1:$B$14)))</f>
        <v>0</v>
      </c>
      <c r="V4" s="105" t="n">
        <f aca="false">SUBTOTAL(109,V$15:INDEX(V:V,COUNTA($B:$B)+14-COUNTA($B$1:$B$14)))</f>
        <v>0</v>
      </c>
    </row>
    <row r="5" customFormat="false" ht="12.8" hidden="false" customHeight="false" outlineLevel="0" collapsed="false">
      <c r="A5" s="69" t="s">
        <v>126</v>
      </c>
      <c r="B5" s="69" t="s">
        <v>126</v>
      </c>
      <c r="C5" s="69" t="s">
        <v>126</v>
      </c>
      <c r="D5" s="69" t="s">
        <v>126</v>
      </c>
      <c r="E5" s="69" t="s">
        <v>126</v>
      </c>
      <c r="F5" s="73" t="s">
        <v>126</v>
      </c>
      <c r="G5" s="73" t="s">
        <v>126</v>
      </c>
      <c r="H5" s="73" t="s">
        <v>126</v>
      </c>
      <c r="I5" s="73" t="s">
        <v>126</v>
      </c>
      <c r="J5" s="73" t="s">
        <v>126</v>
      </c>
      <c r="K5" s="73" t="s">
        <v>126</v>
      </c>
      <c r="L5" s="73" t="s">
        <v>126</v>
      </c>
      <c r="M5" s="73" t="s">
        <v>225</v>
      </c>
      <c r="N5" s="73" t="s">
        <v>225</v>
      </c>
      <c r="O5" s="73" t="s">
        <v>225</v>
      </c>
      <c r="P5" s="73" t="s">
        <v>225</v>
      </c>
      <c r="Q5" s="73" t="s">
        <v>126</v>
      </c>
      <c r="R5" s="118" t="s">
        <v>126</v>
      </c>
      <c r="S5" s="118" t="s">
        <v>126</v>
      </c>
      <c r="T5" s="118" t="s">
        <v>126</v>
      </c>
      <c r="U5" s="115" t="s">
        <v>225</v>
      </c>
      <c r="V5" s="115" t="s">
        <v>225</v>
      </c>
    </row>
    <row r="6" customFormat="false" ht="12.8" hidden="false" customHeight="false" outlineLevel="0" collapsed="false">
      <c r="A6" s="69" t="s">
        <v>128</v>
      </c>
      <c r="B6" s="69" t="s">
        <v>128</v>
      </c>
      <c r="C6" s="69" t="s">
        <v>128</v>
      </c>
      <c r="D6" s="69" t="s">
        <v>128</v>
      </c>
      <c r="E6" s="69" t="s">
        <v>128</v>
      </c>
      <c r="F6" s="73" t="s">
        <v>131</v>
      </c>
      <c r="G6" s="73" t="s">
        <v>227</v>
      </c>
      <c r="H6" s="73" t="s">
        <v>131</v>
      </c>
      <c r="I6" s="73" t="s">
        <v>131</v>
      </c>
      <c r="J6" s="73" t="s">
        <v>131</v>
      </c>
      <c r="K6" s="73" t="s">
        <v>131</v>
      </c>
      <c r="L6" s="73" t="s">
        <v>131</v>
      </c>
      <c r="M6" s="73" t="s">
        <v>129</v>
      </c>
      <c r="N6" s="73" t="s">
        <v>129</v>
      </c>
      <c r="O6" s="73" t="s">
        <v>129</v>
      </c>
      <c r="P6" s="73" t="s">
        <v>129</v>
      </c>
      <c r="Q6" s="73" t="s">
        <v>131</v>
      </c>
      <c r="R6" s="118" t="s">
        <v>131</v>
      </c>
      <c r="S6" s="118" t="s">
        <v>227</v>
      </c>
      <c r="T6" s="118" t="s">
        <v>227</v>
      </c>
      <c r="U6" s="115" t="s">
        <v>130</v>
      </c>
      <c r="V6" s="115" t="s">
        <v>130</v>
      </c>
    </row>
    <row r="7" customFormat="false" ht="12.8" hidden="false" customHeight="false" outlineLevel="0" collapsed="false">
      <c r="A7" s="69" t="s">
        <v>132</v>
      </c>
      <c r="B7" s="69" t="s">
        <v>132</v>
      </c>
      <c r="C7" s="69" t="s">
        <v>132</v>
      </c>
      <c r="D7" s="69" t="s">
        <v>132</v>
      </c>
      <c r="E7" s="69" t="s">
        <v>132</v>
      </c>
      <c r="F7" s="73" t="s">
        <v>133</v>
      </c>
      <c r="G7" s="73" t="s">
        <v>133</v>
      </c>
      <c r="H7" s="73" t="s">
        <v>133</v>
      </c>
      <c r="I7" s="73" t="s">
        <v>133</v>
      </c>
      <c r="J7" s="73" t="s">
        <v>133</v>
      </c>
      <c r="K7" s="73" t="s">
        <v>133</v>
      </c>
      <c r="L7" s="73" t="s">
        <v>133</v>
      </c>
      <c r="M7" s="73" t="s">
        <v>133</v>
      </c>
      <c r="N7" s="73" t="s">
        <v>133</v>
      </c>
      <c r="O7" s="73" t="s">
        <v>133</v>
      </c>
      <c r="P7" s="73" t="s">
        <v>133</v>
      </c>
      <c r="Q7" s="73" t="s">
        <v>133</v>
      </c>
      <c r="R7" s="118" t="s">
        <v>229</v>
      </c>
      <c r="S7" s="118" t="s">
        <v>229</v>
      </c>
      <c r="T7" s="118" t="s">
        <v>229</v>
      </c>
      <c r="U7" s="115" t="s">
        <v>133</v>
      </c>
      <c r="V7" s="115" t="s">
        <v>133</v>
      </c>
    </row>
    <row r="8" customFormat="false" ht="12.8" hidden="false" customHeight="false" outlineLevel="0" collapsed="false">
      <c r="M8" s="184" t="s">
        <v>925</v>
      </c>
      <c r="N8" s="184" t="s">
        <v>926</v>
      </c>
      <c r="O8" s="184" t="s">
        <v>927</v>
      </c>
      <c r="P8" s="184" t="s">
        <v>928</v>
      </c>
      <c r="Q8" s="184"/>
      <c r="R8" s="185"/>
      <c r="U8" s="115" t="s">
        <v>929</v>
      </c>
      <c r="V8" s="115" t="s">
        <v>930</v>
      </c>
    </row>
    <row r="9" customFormat="false" ht="12.8" hidden="false" customHeight="false" outlineLevel="0" collapsed="false">
      <c r="F9" s="73"/>
      <c r="G9" s="73"/>
      <c r="H9" s="73"/>
      <c r="I9" s="73"/>
      <c r="J9" s="73"/>
      <c r="K9" s="73"/>
      <c r="L9" s="73"/>
      <c r="M9" s="124"/>
      <c r="N9" s="124"/>
      <c r="O9" s="124"/>
      <c r="P9" s="124"/>
      <c r="Q9" s="124"/>
      <c r="R9" s="123"/>
      <c r="U9" s="115"/>
      <c r="V9" s="115"/>
    </row>
    <row r="10" customFormat="false" ht="12.8" hidden="false" customHeight="false" outlineLevel="0" collapsed="false">
      <c r="F10" s="73"/>
      <c r="G10" s="73"/>
      <c r="H10" s="73"/>
      <c r="I10" s="73"/>
      <c r="J10" s="73"/>
      <c r="K10" s="73"/>
      <c r="L10" s="73"/>
      <c r="M10" s="184"/>
      <c r="N10" s="184"/>
      <c r="O10" s="184"/>
      <c r="P10" s="184"/>
      <c r="Q10" s="184"/>
      <c r="R10" s="185"/>
      <c r="S10" s="118"/>
      <c r="T10" s="118"/>
      <c r="U10" s="115" t="s">
        <v>931</v>
      </c>
      <c r="V10" s="115" t="s">
        <v>932</v>
      </c>
    </row>
    <row r="11" customFormat="false" ht="12.8" hidden="false" customHeight="false" outlineLevel="0" collapsed="false">
      <c r="F11" s="73" t="s">
        <v>933</v>
      </c>
      <c r="G11" s="73" t="s">
        <v>933</v>
      </c>
      <c r="H11" s="73" t="s">
        <v>934</v>
      </c>
      <c r="I11" s="73" t="s">
        <v>934</v>
      </c>
      <c r="J11" s="73" t="s">
        <v>933</v>
      </c>
      <c r="K11" s="73" t="s">
        <v>933</v>
      </c>
      <c r="L11" s="73" t="s">
        <v>933</v>
      </c>
      <c r="M11" s="73" t="s">
        <v>933</v>
      </c>
      <c r="N11" s="73" t="s">
        <v>933</v>
      </c>
      <c r="O11" s="73" t="s">
        <v>933</v>
      </c>
      <c r="P11" s="73" t="s">
        <v>933</v>
      </c>
      <c r="Q11" s="73" t="s">
        <v>933</v>
      </c>
      <c r="R11" s="118" t="s">
        <v>933</v>
      </c>
      <c r="S11" s="73" t="s">
        <v>933</v>
      </c>
      <c r="T11" s="73" t="s">
        <v>933</v>
      </c>
      <c r="U11" s="115" t="s">
        <v>933</v>
      </c>
      <c r="V11" s="115" t="s">
        <v>933</v>
      </c>
    </row>
    <row r="12" customFormat="false" ht="12.8" hidden="false" customHeight="false" outlineLevel="0" collapsed="false">
      <c r="F12" s="73" t="s">
        <v>250</v>
      </c>
      <c r="G12" s="73" t="s">
        <v>250</v>
      </c>
      <c r="H12" s="73" t="s">
        <v>250</v>
      </c>
      <c r="I12" s="73" t="s">
        <v>250</v>
      </c>
      <c r="J12" s="73" t="s">
        <v>250</v>
      </c>
      <c r="K12" s="73" t="s">
        <v>250</v>
      </c>
      <c r="L12" s="73" t="s">
        <v>250</v>
      </c>
      <c r="M12" s="73" t="s">
        <v>250</v>
      </c>
      <c r="N12" s="73" t="s">
        <v>250</v>
      </c>
      <c r="O12" s="73" t="s">
        <v>250</v>
      </c>
      <c r="P12" s="73" t="s">
        <v>250</v>
      </c>
      <c r="Q12" s="73" t="s">
        <v>250</v>
      </c>
      <c r="R12" s="118" t="s">
        <v>250</v>
      </c>
      <c r="S12" s="73" t="s">
        <v>250</v>
      </c>
      <c r="T12" s="73" t="s">
        <v>250</v>
      </c>
      <c r="U12" s="115" t="s">
        <v>250</v>
      </c>
      <c r="V12" s="115" t="s">
        <v>250</v>
      </c>
    </row>
    <row r="13" customFormat="false" ht="12.8" hidden="false" customHeight="false" outlineLevel="0" collapsed="false"/>
    <row r="14" customFormat="false" ht="15" hidden="false" customHeight="false" outlineLevel="0" collapsed="false">
      <c r="A14" s="70" t="s">
        <v>135</v>
      </c>
      <c r="B14" s="70" t="s">
        <v>136</v>
      </c>
      <c r="C14" s="70" t="s">
        <v>252</v>
      </c>
      <c r="D14" s="70" t="s">
        <v>253</v>
      </c>
      <c r="E14" s="70" t="s">
        <v>42</v>
      </c>
      <c r="F14" s="131" t="s">
        <v>52</v>
      </c>
      <c r="G14" s="131" t="s">
        <v>935</v>
      </c>
      <c r="H14" s="131" t="s">
        <v>936</v>
      </c>
      <c r="I14" s="131" t="s">
        <v>937</v>
      </c>
      <c r="J14" s="131" t="s">
        <v>831</v>
      </c>
      <c r="K14" s="131" t="s">
        <v>301</v>
      </c>
      <c r="L14" s="131" t="s">
        <v>420</v>
      </c>
      <c r="M14" s="131" t="s">
        <v>938</v>
      </c>
      <c r="N14" s="131" t="s">
        <v>939</v>
      </c>
      <c r="O14" s="131" t="s">
        <v>940</v>
      </c>
      <c r="P14" s="131" t="s">
        <v>941</v>
      </c>
      <c r="Q14" s="131" t="s">
        <v>942</v>
      </c>
      <c r="R14" s="162" t="s">
        <v>943</v>
      </c>
      <c r="S14" s="162" t="s">
        <v>944</v>
      </c>
      <c r="T14" s="162" t="s">
        <v>945</v>
      </c>
      <c r="U14" s="128" t="s">
        <v>946</v>
      </c>
      <c r="V14" s="128" t="s">
        <v>947</v>
      </c>
    </row>
    <row r="15" customFormat="false" ht="15" hidden="false" customHeight="false" outlineLevel="0" collapsed="false">
      <c r="A15" s="0" t="s">
        <v>142</v>
      </c>
      <c r="B15" s="0" t="s">
        <v>109</v>
      </c>
      <c r="C15" s="0" t="s">
        <v>61</v>
      </c>
      <c r="D15" s="0" t="s">
        <v>56</v>
      </c>
      <c r="E15" s="69" t="str">
        <f aca="false">B15&amp;"|"&amp;C15&amp;"|"&amp;D15</f>
        <v>Berea [#SNU] [#DREAMS] [wpg5evyl1OL]|10-14|Female</v>
      </c>
      <c r="F15" s="73" t="n">
        <f aca="false">_xlfn.IFNA(INDEX(Cascade!$F:$F,MATCH($E15,Cascade!$E:$E,0)),"")</f>
        <v>13166</v>
      </c>
      <c r="G15" s="73"/>
      <c r="H15" s="73" t="str">
        <f aca="false">_xlfn.IFNA(INDEX(PrEP!$L:$L,MATCH($E15,PrEP!$E:$E,0)),"")</f>
        <v/>
      </c>
      <c r="I15" s="73" t="str">
        <f aca="false">_xlfn.IFNA(INDEX(PrEP!$O:$O,MATCH($E15,PrEP!$E:$E,0)),"")</f>
        <v/>
      </c>
      <c r="J15" s="73" t="n">
        <f aca="false">_xlfn.IFNA(INDEX(PP!$H:$H,MATCH($E15,PP!$E:$E,0)),"")</f>
        <v>17</v>
      </c>
      <c r="K15" s="73" t="n">
        <f aca="false">_xlfn.IFNA(INDEX(HTS!$BN:$BN,MATCH($E15,HTS!$E:$E,0)),"")</f>
        <v>224</v>
      </c>
      <c r="L15" s="73" t="n">
        <f aca="false">_xlfn.IFNA(INDEX(HTS!$BT:$BT,MATCH($E15,HTS!$E:$E,0)),"")</f>
        <v>56</v>
      </c>
      <c r="M15" s="73" t="n">
        <v>36</v>
      </c>
      <c r="N15" s="73" t="n">
        <v>46</v>
      </c>
      <c r="O15" s="73" t="n">
        <v>27</v>
      </c>
      <c r="P15" s="73" t="n">
        <v>38</v>
      </c>
      <c r="Q15" s="73" t="n">
        <f aca="false">IF(SUM($M15:$P15)=0,"",SUM($M15:$P15))</f>
        <v>147</v>
      </c>
      <c r="R15" s="118" t="n">
        <f aca="false">IF(SUM($Q15)=0,"",SUM($O15,$P15)/SUM($Q15))</f>
        <v>0.442176870748299</v>
      </c>
      <c r="S15" s="118" t="n">
        <f aca="false">0</f>
        <v>0</v>
      </c>
      <c r="T15" s="118" t="n">
        <f aca="false">0.6</f>
        <v>0.6</v>
      </c>
      <c r="U15" s="115" t="n">
        <f aca="false">IF(SUM($Q15)=0,"",SUM($Q15)*(1+SUM($S15)))</f>
        <v>147</v>
      </c>
      <c r="V15" s="115" t="n">
        <f aca="false">IF(SUM($U15)=0,"",ROUND(SUM($U15)*T15,0))</f>
        <v>88</v>
      </c>
    </row>
    <row r="16" customFormat="false" ht="15" hidden="false" customHeight="false" outlineLevel="0" collapsed="false">
      <c r="A16" s="0" t="s">
        <v>142</v>
      </c>
      <c r="B16" s="0" t="s">
        <v>109</v>
      </c>
      <c r="C16" s="0" t="s">
        <v>63</v>
      </c>
      <c r="D16" s="0" t="s">
        <v>56</v>
      </c>
      <c r="E16" s="0" t="str">
        <f aca="false">B16&amp;"|"&amp;C16&amp;"|"&amp;D16</f>
        <v>Berea [#SNU] [#DREAMS] [wpg5evyl1OL]|15-19|Female</v>
      </c>
      <c r="F16" s="73" t="n">
        <f aca="false">_xlfn.IFNA(INDEX(Cascade!$F:$F,MATCH($E16,Cascade!$E:$E,0)),"")</f>
        <v>12445</v>
      </c>
      <c r="G16" s="73"/>
      <c r="H16" s="73" t="n">
        <f aca="false">_xlfn.IFNA(INDEX(PrEP!$L:$L,MATCH($E16,PrEP!$E:$E,0)),"")</f>
        <v>0</v>
      </c>
      <c r="I16" s="73" t="n">
        <f aca="false">_xlfn.IFNA(INDEX(PrEP!$O:$O,MATCH($E16,PrEP!$E:$E,0)),"")</f>
        <v>0</v>
      </c>
      <c r="J16" s="73" t="n">
        <f aca="false">_xlfn.IFNA(INDEX(PP!$H:$H,MATCH($E16,PP!$E:$E,0)),"")</f>
        <v>17</v>
      </c>
      <c r="K16" s="73" t="n">
        <f aca="false">_xlfn.IFNA(INDEX(HTS!$BN:$BN,MATCH($E16,HTS!$E:$E,0)),"")</f>
        <v>-5879</v>
      </c>
      <c r="L16" s="73" t="n">
        <f aca="false">_xlfn.IFNA(INDEX(HTS!$BT:$BT,MATCH($E16,HTS!$E:$E,0)),"")</f>
        <v>4621</v>
      </c>
      <c r="M16" s="73" t="n">
        <v>34</v>
      </c>
      <c r="N16" s="73" t="n">
        <v>19</v>
      </c>
      <c r="O16" s="73" t="n">
        <v>29</v>
      </c>
      <c r="P16" s="73" t="n">
        <v>32</v>
      </c>
      <c r="Q16" s="73" t="n">
        <f aca="false">IF(SUM($M16:$P16)=0,"",SUM($M16:$P16))</f>
        <v>114</v>
      </c>
      <c r="R16" s="118" t="n">
        <f aca="false">IF(SUM($Q16)=0,"",SUM($O16,$P16)/SUM($Q16))</f>
        <v>0.535087719298246</v>
      </c>
      <c r="S16" s="118" t="n">
        <f aca="false">0</f>
        <v>0</v>
      </c>
      <c r="T16" s="118" t="n">
        <f aca="false">0.6</f>
        <v>0.6</v>
      </c>
      <c r="U16" s="75" t="n">
        <f aca="false">IF(SUM($Q16)=0,"",SUM($Q16)*(1+SUM($S16)))</f>
        <v>114</v>
      </c>
      <c r="V16" s="75" t="n">
        <f aca="false">IF(SUM($U16)=0,"",ROUND(SUM($U16)*T16,0))</f>
        <v>68</v>
      </c>
    </row>
    <row r="17" customFormat="false" ht="15" hidden="false" customHeight="false" outlineLevel="0" collapsed="false">
      <c r="A17" s="0" t="s">
        <v>142</v>
      </c>
      <c r="B17" s="0" t="s">
        <v>109</v>
      </c>
      <c r="C17" s="0" t="s">
        <v>66</v>
      </c>
      <c r="D17" s="0" t="s">
        <v>56</v>
      </c>
      <c r="E17" s="0" t="str">
        <f aca="false">B17&amp;"|"&amp;C17&amp;"|"&amp;D17</f>
        <v>Berea [#SNU] [#DREAMS] [wpg5evyl1OL]|20-24|Female</v>
      </c>
      <c r="F17" s="73" t="n">
        <f aca="false">_xlfn.IFNA(INDEX(Cascade!$F:$F,MATCH($E17,Cascade!$E:$E,0)),"")</f>
        <v>11987</v>
      </c>
      <c r="G17" s="73"/>
      <c r="H17" s="73" t="n">
        <f aca="false">_xlfn.IFNA(INDEX(PrEP!$L:$L,MATCH($E17,PrEP!$E:$E,0)),"")</f>
        <v>0</v>
      </c>
      <c r="I17" s="73" t="n">
        <f aca="false">_xlfn.IFNA(INDEX(PrEP!$O:$O,MATCH($E17,PrEP!$E:$E,0)),"")</f>
        <v>0</v>
      </c>
      <c r="J17" s="73" t="n">
        <f aca="false">_xlfn.IFNA(INDEX(PP!$H:$H,MATCH($E17,PP!$E:$E,0)),"")</f>
        <v>38</v>
      </c>
      <c r="K17" s="73" t="n">
        <f aca="false">_xlfn.IFNA(INDEX(HTS!$BN:$BN,MATCH($E17,HTS!$E:$E,0)),"")</f>
        <v>-4127</v>
      </c>
      <c r="L17" s="73" t="n">
        <f aca="false">_xlfn.IFNA(INDEX(HTS!$BT:$BT,MATCH($E17,HTS!$E:$E,0)),"")</f>
        <v>4151</v>
      </c>
      <c r="M17" s="73" t="n">
        <v>42</v>
      </c>
      <c r="N17" s="73" t="n">
        <v>39</v>
      </c>
      <c r="O17" s="73" t="n">
        <v>5</v>
      </c>
      <c r="P17" s="73" t="n">
        <v>24</v>
      </c>
      <c r="Q17" s="73" t="n">
        <f aca="false">IF(SUM($M17:$P17)=0,"",SUM($M17:$P17))</f>
        <v>110</v>
      </c>
      <c r="R17" s="118" t="n">
        <f aca="false">IF(SUM($Q17)=0,"",SUM($O17,$P17)/SUM($Q17))</f>
        <v>0.263636363636364</v>
      </c>
      <c r="S17" s="118" t="n">
        <f aca="false">0</f>
        <v>0</v>
      </c>
      <c r="T17" s="118" t="n">
        <f aca="false">0.6</f>
        <v>0.6</v>
      </c>
      <c r="U17" s="75" t="n">
        <f aca="false">IF(SUM($Q17)=0,"",SUM($Q17)*(1+SUM($S17)))</f>
        <v>110</v>
      </c>
      <c r="V17" s="75" t="n">
        <f aca="false">IF(SUM($U17)=0,"",ROUND(SUM($U17)*T17,0))</f>
        <v>66</v>
      </c>
    </row>
    <row r="18" customFormat="false" ht="15" hidden="false" customHeight="false" outlineLevel="0" collapsed="false">
      <c r="A18" s="0" t="s">
        <v>142</v>
      </c>
      <c r="B18" s="0" t="s">
        <v>109</v>
      </c>
      <c r="C18" s="0" t="s">
        <v>69</v>
      </c>
      <c r="D18" s="0" t="s">
        <v>56</v>
      </c>
      <c r="E18" s="0" t="str">
        <f aca="false">B18&amp;"|"&amp;C18&amp;"|"&amp;D18</f>
        <v>Berea [#SNU] [#DREAMS] [wpg5evyl1OL]|25-29|Female</v>
      </c>
      <c r="F18" s="73" t="n">
        <f aca="false">_xlfn.IFNA(INDEX(Cascade!$F:$F,MATCH($E18,Cascade!$E:$E,0)),"")</f>
        <v>12375</v>
      </c>
      <c r="G18" s="73"/>
      <c r="H18" s="73" t="n">
        <f aca="false">_xlfn.IFNA(INDEX(PrEP!$L:$L,MATCH($E18,PrEP!$E:$E,0)),"")</f>
        <v>0</v>
      </c>
      <c r="I18" s="73" t="n">
        <f aca="false">_xlfn.IFNA(INDEX(PrEP!$O:$O,MATCH($E18,PrEP!$E:$E,0)),"")</f>
        <v>0</v>
      </c>
      <c r="J18" s="73" t="n">
        <f aca="false">_xlfn.IFNA(INDEX(PP!$H:$H,MATCH($E18,PP!$E:$E,0)),"")</f>
        <v>33</v>
      </c>
      <c r="K18" s="73" t="n">
        <f aca="false">_xlfn.IFNA(INDEX(HTS!$BN:$BN,MATCH($E18,HTS!$E:$E,0)),"")</f>
        <v>-67609</v>
      </c>
      <c r="L18" s="73" t="n">
        <f aca="false">_xlfn.IFNA(INDEX(HTS!$BT:$BT,MATCH($E18,HTS!$E:$E,0)),"")</f>
        <v>65284</v>
      </c>
      <c r="M18" s="73"/>
      <c r="N18" s="73"/>
      <c r="O18" s="73"/>
      <c r="P18" s="73"/>
      <c r="Q18" s="73" t="str">
        <f aca="false">IF(SUM($M18:$P18)=0,"",SUM($M18:$P18))</f>
        <v/>
      </c>
      <c r="R18" s="118" t="str">
        <f aca="false">IF(SUM($Q18)=0,"",SUM($O18,$P18)/SUM($Q18))</f>
        <v/>
      </c>
      <c r="S18" s="118" t="n">
        <f aca="false">0</f>
        <v>0</v>
      </c>
      <c r="T18" s="118" t="n">
        <f aca="false">0.6</f>
        <v>0.6</v>
      </c>
      <c r="U18" s="75" t="str">
        <f aca="false">IF(SUM($Q18)=0,"",SUM($Q18)*(1+SUM($S18)))</f>
        <v/>
      </c>
      <c r="V18" s="75" t="str">
        <f aca="false">IF(SUM($U18)=0,"",ROUND(SUM($U18)*T18,0))</f>
        <v/>
      </c>
    </row>
    <row r="19" customFormat="false" ht="15" hidden="false" customHeight="false" outlineLevel="0" collapsed="false">
      <c r="A19" s="0" t="s">
        <v>145</v>
      </c>
      <c r="B19" s="0" t="s">
        <v>107</v>
      </c>
      <c r="C19" s="0" t="s">
        <v>61</v>
      </c>
      <c r="D19" s="0" t="s">
        <v>56</v>
      </c>
      <c r="E19" s="0" t="str">
        <f aca="false">B19&amp;"|"&amp;C19&amp;"|"&amp;D19</f>
        <v>Mafeteng [#SNU] [#DREAMS] [DiFv5WXIHM5]|10-14|Female</v>
      </c>
      <c r="F19" s="73" t="n">
        <f aca="false">_xlfn.IFNA(INDEX(Cascade!$F:$F,MATCH($E19,Cascade!$E:$E,0)),"")</f>
        <v>9021</v>
      </c>
      <c r="G19" s="73"/>
      <c r="H19" s="73" t="str">
        <f aca="false">_xlfn.IFNA(INDEX(PrEP!$L:$L,MATCH($E19,PrEP!$E:$E,0)),"")</f>
        <v/>
      </c>
      <c r="I19" s="73" t="str">
        <f aca="false">_xlfn.IFNA(INDEX(PrEP!$O:$O,MATCH($E19,PrEP!$E:$E,0)),"")</f>
        <v/>
      </c>
      <c r="J19" s="73" t="n">
        <f aca="false">_xlfn.IFNA(INDEX(PP!$H:$H,MATCH($E19,PP!$E:$E,0)),"")</f>
        <v>29</v>
      </c>
      <c r="K19" s="73" t="n">
        <f aca="false">_xlfn.IFNA(INDEX(HTS!$BN:$BN,MATCH($E19,HTS!$E:$E,0)),"")</f>
        <v>821</v>
      </c>
      <c r="L19" s="73" t="n">
        <f aca="false">_xlfn.IFNA(INDEX(HTS!$BT:$BT,MATCH($E19,HTS!$E:$E,0)),"")</f>
        <v>-1602</v>
      </c>
      <c r="M19" s="73"/>
      <c r="N19" s="73"/>
      <c r="O19" s="73"/>
      <c r="P19" s="73"/>
      <c r="Q19" s="73" t="str">
        <f aca="false">IF(SUM($M19:$P19)=0,"",SUM($M19:$P19))</f>
        <v/>
      </c>
      <c r="R19" s="118" t="str">
        <f aca="false">IF(SUM($Q19)=0,"",SUM($O19,$P19)/SUM($Q19))</f>
        <v/>
      </c>
      <c r="S19" s="118" t="n">
        <f aca="false">0</f>
        <v>0</v>
      </c>
      <c r="T19" s="118" t="n">
        <f aca="false">0.6</f>
        <v>0.6</v>
      </c>
      <c r="U19" s="75" t="str">
        <f aca="false">IF(SUM($Q19)=0,"",SUM($Q19)*(1+SUM($S19)))</f>
        <v/>
      </c>
      <c r="V19" s="75" t="str">
        <f aca="false">IF(SUM($U19)=0,"",ROUND(SUM($U19)*T19,0))</f>
        <v/>
      </c>
    </row>
    <row r="20" customFormat="false" ht="15" hidden="false" customHeight="false" outlineLevel="0" collapsed="false">
      <c r="A20" s="0" t="s">
        <v>145</v>
      </c>
      <c r="B20" s="0" t="s">
        <v>107</v>
      </c>
      <c r="C20" s="0" t="s">
        <v>63</v>
      </c>
      <c r="D20" s="0" t="s">
        <v>56</v>
      </c>
      <c r="E20" s="0" t="str">
        <f aca="false">B20&amp;"|"&amp;C20&amp;"|"&amp;D20</f>
        <v>Mafeteng [#SNU] [#DREAMS] [DiFv5WXIHM5]|15-19|Female</v>
      </c>
      <c r="F20" s="73" t="n">
        <f aca="false">_xlfn.IFNA(INDEX(Cascade!$F:$F,MATCH($E20,Cascade!$E:$E,0)),"")</f>
        <v>8017</v>
      </c>
      <c r="G20" s="73"/>
      <c r="H20" s="73" t="n">
        <f aca="false">_xlfn.IFNA(INDEX(PrEP!$L:$L,MATCH($E20,PrEP!$E:$E,0)),"")</f>
        <v>0</v>
      </c>
      <c r="I20" s="73" t="n">
        <f aca="false">_xlfn.IFNA(INDEX(PrEP!$O:$O,MATCH($E20,PrEP!$E:$E,0)),"")</f>
        <v>0</v>
      </c>
      <c r="J20" s="73" t="n">
        <f aca="false">_xlfn.IFNA(INDEX(PP!$H:$H,MATCH($E20,PP!$E:$E,0)),"")</f>
        <v>6</v>
      </c>
      <c r="K20" s="73" t="n">
        <f aca="false">_xlfn.IFNA(INDEX(HTS!$BN:$BN,MATCH($E20,HTS!$E:$E,0)),"")</f>
        <v>-746</v>
      </c>
      <c r="L20" s="73" t="n">
        <f aca="false">_xlfn.IFNA(INDEX(HTS!$BT:$BT,MATCH($E20,HTS!$E:$E,0)),"")</f>
        <v>1136</v>
      </c>
      <c r="M20" s="73"/>
      <c r="N20" s="73"/>
      <c r="O20" s="73"/>
      <c r="P20" s="73"/>
      <c r="Q20" s="73" t="str">
        <f aca="false">IF(SUM($M20:$P20)=0,"",SUM($M20:$P20))</f>
        <v/>
      </c>
      <c r="R20" s="118" t="str">
        <f aca="false">IF(SUM($Q20)=0,"",SUM($O20,$P20)/SUM($Q20))</f>
        <v/>
      </c>
      <c r="S20" s="118" t="n">
        <f aca="false">0</f>
        <v>0</v>
      </c>
      <c r="T20" s="118" t="n">
        <f aca="false">0.6</f>
        <v>0.6</v>
      </c>
      <c r="U20" s="75" t="str">
        <f aca="false">IF(SUM($Q20)=0,"",SUM($Q20)*(1+SUM($S20)))</f>
        <v/>
      </c>
      <c r="V20" s="75" t="str">
        <f aca="false">IF(SUM($U20)=0,"",ROUND(SUM($U20)*T20,0))</f>
        <v/>
      </c>
    </row>
    <row r="21" customFormat="false" ht="15" hidden="false" customHeight="false" outlineLevel="0" collapsed="false">
      <c r="A21" s="0" t="s">
        <v>145</v>
      </c>
      <c r="B21" s="0" t="s">
        <v>107</v>
      </c>
      <c r="C21" s="0" t="s">
        <v>66</v>
      </c>
      <c r="D21" s="0" t="s">
        <v>56</v>
      </c>
      <c r="E21" s="0" t="str">
        <f aca="false">B21&amp;"|"&amp;C21&amp;"|"&amp;D21</f>
        <v>Mafeteng [#SNU] [#DREAMS] [DiFv5WXIHM5]|20-24|Female</v>
      </c>
      <c r="F21" s="73" t="n">
        <f aca="false">_xlfn.IFNA(INDEX(Cascade!$F:$F,MATCH($E21,Cascade!$E:$E,0)),"")</f>
        <v>6938</v>
      </c>
      <c r="G21" s="73"/>
      <c r="H21" s="73" t="n">
        <f aca="false">_xlfn.IFNA(INDEX(PrEP!$L:$L,MATCH($E21,PrEP!$E:$E,0)),"")</f>
        <v>0</v>
      </c>
      <c r="I21" s="73" t="n">
        <f aca="false">_xlfn.IFNA(INDEX(PrEP!$O:$O,MATCH($E21,PrEP!$E:$E,0)),"")</f>
        <v>0</v>
      </c>
      <c r="J21" s="73" t="n">
        <f aca="false">_xlfn.IFNA(INDEX(PP!$H:$H,MATCH($E21,PP!$E:$E,0)),"")</f>
        <v>50</v>
      </c>
      <c r="K21" s="73" t="n">
        <f aca="false">_xlfn.IFNA(INDEX(HTS!$BN:$BN,MATCH($E21,HTS!$E:$E,0)),"")</f>
        <v>-46473</v>
      </c>
      <c r="L21" s="73" t="n">
        <f aca="false">_xlfn.IFNA(INDEX(HTS!$BT:$BT,MATCH($E21,HTS!$E:$E,0)),"")</f>
        <v>45597</v>
      </c>
      <c r="M21" s="73"/>
      <c r="N21" s="73"/>
      <c r="O21" s="73"/>
      <c r="P21" s="73"/>
      <c r="Q21" s="73" t="str">
        <f aca="false">IF(SUM($M21:$P21)=0,"",SUM($M21:$P21))</f>
        <v/>
      </c>
      <c r="R21" s="118" t="str">
        <f aca="false">IF(SUM($Q21)=0,"",SUM($O21,$P21)/SUM($Q21))</f>
        <v/>
      </c>
      <c r="S21" s="118" t="n">
        <f aca="false">0</f>
        <v>0</v>
      </c>
      <c r="T21" s="118" t="n">
        <f aca="false">0.6</f>
        <v>0.6</v>
      </c>
      <c r="U21" s="75" t="str">
        <f aca="false">IF(SUM($Q21)=0,"",SUM($Q21)*(1+SUM($S21)))</f>
        <v/>
      </c>
      <c r="V21" s="75" t="str">
        <f aca="false">IF(SUM($U21)=0,"",ROUND(SUM($U21)*T21,0))</f>
        <v/>
      </c>
    </row>
    <row r="22" customFormat="false" ht="15" hidden="false" customHeight="false" outlineLevel="0" collapsed="false">
      <c r="A22" s="0" t="s">
        <v>145</v>
      </c>
      <c r="B22" s="0" t="s">
        <v>107</v>
      </c>
      <c r="C22" s="0" t="s">
        <v>69</v>
      </c>
      <c r="D22" s="0" t="s">
        <v>56</v>
      </c>
      <c r="E22" s="0" t="str">
        <f aca="false">B22&amp;"|"&amp;C22&amp;"|"&amp;D22</f>
        <v>Mafeteng [#SNU] [#DREAMS] [DiFv5WXIHM5]|25-29|Female</v>
      </c>
      <c r="F22" s="73" t="n">
        <f aca="false">_xlfn.IFNA(INDEX(Cascade!$F:$F,MATCH($E22,Cascade!$E:$E,0)),"")</f>
        <v>7388</v>
      </c>
      <c r="G22" s="73"/>
      <c r="H22" s="73" t="n">
        <f aca="false">_xlfn.IFNA(INDEX(PrEP!$L:$L,MATCH($E22,PrEP!$E:$E,0)),"")</f>
        <v>0</v>
      </c>
      <c r="I22" s="73" t="n">
        <f aca="false">_xlfn.IFNA(INDEX(PrEP!$O:$O,MATCH($E22,PrEP!$E:$E,0)),"")</f>
        <v>0</v>
      </c>
      <c r="J22" s="73" t="n">
        <f aca="false">_xlfn.IFNA(INDEX(PP!$H:$H,MATCH($E22,PP!$E:$E,0)),"")</f>
        <v>32</v>
      </c>
      <c r="K22" s="73" t="n">
        <f aca="false">_xlfn.IFNA(INDEX(HTS!$BN:$BN,MATCH($E22,HTS!$E:$E,0)),"")</f>
        <v>-38571</v>
      </c>
      <c r="L22" s="73" t="n">
        <f aca="false">_xlfn.IFNA(INDEX(HTS!$BT:$BT,MATCH($E22,HTS!$E:$E,0)),"")</f>
        <v>38203</v>
      </c>
      <c r="M22" s="73"/>
      <c r="N22" s="73"/>
      <c r="O22" s="73"/>
      <c r="P22" s="73"/>
      <c r="Q22" s="73" t="str">
        <f aca="false">IF(SUM($M22:$P22)=0,"",SUM($M22:$P22))</f>
        <v/>
      </c>
      <c r="R22" s="118" t="str">
        <f aca="false">IF(SUM($Q22)=0,"",SUM($O22,$P22)/SUM($Q22))</f>
        <v/>
      </c>
      <c r="S22" s="118" t="n">
        <f aca="false">0</f>
        <v>0</v>
      </c>
      <c r="T22" s="118" t="n">
        <f aca="false">0.6</f>
        <v>0.6</v>
      </c>
      <c r="U22" s="75" t="str">
        <f aca="false">IF(SUM($Q22)=0,"",SUM($Q22)*(1+SUM($S22)))</f>
        <v/>
      </c>
      <c r="V22" s="75" t="str">
        <f aca="false">IF(SUM($U22)=0,"",ROUND(SUM($U22)*T22,0))</f>
        <v/>
      </c>
    </row>
    <row r="23" customFormat="false" ht="15" hidden="false" customHeight="false" outlineLevel="0" collapsed="false">
      <c r="A23" s="0" t="s">
        <v>146</v>
      </c>
      <c r="B23" s="0" t="s">
        <v>45</v>
      </c>
      <c r="C23" s="0" t="s">
        <v>61</v>
      </c>
      <c r="D23" s="0" t="s">
        <v>56</v>
      </c>
      <c r="E23" s="0" t="str">
        <f aca="false">B23&amp;"|"&amp;C23&amp;"|"&amp;D23</f>
        <v>Maseru [#SNU] [#DREAMS] [tKOXiaNhAyJ]|10-14|Female</v>
      </c>
      <c r="F23" s="73" t="n">
        <f aca="false">_xlfn.IFNA(INDEX(Cascade!$F:$F,MATCH($E23,Cascade!$E:$E,0)),"")</f>
        <v>25419</v>
      </c>
      <c r="G23" s="73"/>
      <c r="H23" s="73" t="str">
        <f aca="false">_xlfn.IFNA(INDEX(PrEP!$L:$L,MATCH($E23,PrEP!$E:$E,0)),"")</f>
        <v/>
      </c>
      <c r="I23" s="73" t="str">
        <f aca="false">_xlfn.IFNA(INDEX(PrEP!$O:$O,MATCH($E23,PrEP!$E:$E,0)),"")</f>
        <v/>
      </c>
      <c r="J23" s="73" t="n">
        <f aca="false">_xlfn.IFNA(INDEX(PP!$H:$H,MATCH($E23,PP!$E:$E,0)),"")</f>
        <v>15</v>
      </c>
      <c r="K23" s="73" t="n">
        <f aca="false">_xlfn.IFNA(INDEX(HTS!$BN:$BN,MATCH($E23,HTS!$E:$E,0)),"")</f>
        <v>-6257</v>
      </c>
      <c r="L23" s="73" t="n">
        <f aca="false">_xlfn.IFNA(INDEX(HTS!$BT:$BT,MATCH($E23,HTS!$E:$E,0)),"")</f>
        <v>6858</v>
      </c>
      <c r="M23" s="73" t="n">
        <v>6</v>
      </c>
      <c r="N23" s="73" t="n">
        <v>11</v>
      </c>
      <c r="O23" s="73" t="n">
        <v>42</v>
      </c>
      <c r="P23" s="73" t="n">
        <v>6</v>
      </c>
      <c r="Q23" s="73" t="n">
        <f aca="false">IF(SUM($M23:$P23)=0,"",SUM($M23:$P23))</f>
        <v>65</v>
      </c>
      <c r="R23" s="118" t="n">
        <f aca="false">IF(SUM($Q23)=0,"",SUM($O23,$P23)/SUM($Q23))</f>
        <v>0.738461538461539</v>
      </c>
      <c r="S23" s="118" t="n">
        <f aca="false">0</f>
        <v>0</v>
      </c>
      <c r="T23" s="118" t="n">
        <f aca="false">0.6</f>
        <v>0.6</v>
      </c>
      <c r="U23" s="75" t="n">
        <f aca="false">IF(SUM($Q23)=0,"",SUM($Q23)*(1+SUM($S23)))</f>
        <v>65</v>
      </c>
      <c r="V23" s="75" t="n">
        <f aca="false">IF(SUM($U23)=0,"",ROUND(SUM($U23)*T23,0))</f>
        <v>39</v>
      </c>
    </row>
    <row r="24" customFormat="false" ht="15" hidden="false" customHeight="false" outlineLevel="0" collapsed="false">
      <c r="A24" s="0" t="s">
        <v>146</v>
      </c>
      <c r="B24" s="0" t="s">
        <v>45</v>
      </c>
      <c r="C24" s="0" t="s">
        <v>63</v>
      </c>
      <c r="D24" s="0" t="s">
        <v>56</v>
      </c>
      <c r="E24" s="0" t="str">
        <f aca="false">B24&amp;"|"&amp;C24&amp;"|"&amp;D24</f>
        <v>Maseru [#SNU] [#DREAMS] [tKOXiaNhAyJ]|15-19|Female</v>
      </c>
      <c r="F24" s="73" t="n">
        <f aca="false">_xlfn.IFNA(INDEX(Cascade!$F:$F,MATCH($E24,Cascade!$E:$E,0)),"")</f>
        <v>25532</v>
      </c>
      <c r="G24" s="73"/>
      <c r="H24" s="73" t="n">
        <f aca="false">_xlfn.IFNA(INDEX(PrEP!$L:$L,MATCH($E24,PrEP!$E:$E,0)),"")</f>
        <v>0</v>
      </c>
      <c r="I24" s="73" t="n">
        <f aca="false">_xlfn.IFNA(INDEX(PrEP!$O:$O,MATCH($E24,PrEP!$E:$E,0)),"")</f>
        <v>0</v>
      </c>
      <c r="J24" s="73" t="n">
        <f aca="false">_xlfn.IFNA(INDEX(PP!$H:$H,MATCH($E24,PP!$E:$E,0)),"")</f>
        <v>19</v>
      </c>
      <c r="K24" s="73" t="n">
        <f aca="false">_xlfn.IFNA(INDEX(HTS!$BN:$BN,MATCH($E24,HTS!$E:$E,0)),"")</f>
        <v>-2839</v>
      </c>
      <c r="L24" s="73" t="n">
        <f aca="false">_xlfn.IFNA(INDEX(HTS!$BT:$BT,MATCH($E24,HTS!$E:$E,0)),"")</f>
        <v>3845</v>
      </c>
      <c r="M24" s="73" t="n">
        <v>10</v>
      </c>
      <c r="N24" s="73" t="n">
        <v>8</v>
      </c>
      <c r="O24" s="73" t="n">
        <v>17</v>
      </c>
      <c r="P24" s="73" t="n">
        <v>46</v>
      </c>
      <c r="Q24" s="73" t="n">
        <f aca="false">IF(SUM($M24:$P24)=0,"",SUM($M24:$P24))</f>
        <v>81</v>
      </c>
      <c r="R24" s="118" t="n">
        <f aca="false">IF(SUM($Q24)=0,"",SUM($O24,$P24)/SUM($Q24))</f>
        <v>0.777777777777778</v>
      </c>
      <c r="S24" s="118" t="n">
        <f aca="false">0</f>
        <v>0</v>
      </c>
      <c r="T24" s="118" t="n">
        <f aca="false">0.6</f>
        <v>0.6</v>
      </c>
      <c r="U24" s="75" t="n">
        <f aca="false">IF(SUM($Q24)=0,"",SUM($Q24)*(1+SUM($S24)))</f>
        <v>81</v>
      </c>
      <c r="V24" s="75" t="n">
        <f aca="false">IF(SUM($U24)=0,"",ROUND(SUM($U24)*T24,0))</f>
        <v>49</v>
      </c>
    </row>
    <row r="25" customFormat="false" ht="15" hidden="false" customHeight="false" outlineLevel="0" collapsed="false">
      <c r="A25" s="0" t="s">
        <v>146</v>
      </c>
      <c r="B25" s="0" t="s">
        <v>45</v>
      </c>
      <c r="C25" s="0" t="s">
        <v>66</v>
      </c>
      <c r="D25" s="0" t="s">
        <v>56</v>
      </c>
      <c r="E25" s="0" t="str">
        <f aca="false">B25&amp;"|"&amp;C25&amp;"|"&amp;D25</f>
        <v>Maseru [#SNU] [#DREAMS] [tKOXiaNhAyJ]|20-24|Female</v>
      </c>
      <c r="F25" s="73" t="n">
        <f aca="false">_xlfn.IFNA(INDEX(Cascade!$F:$F,MATCH($E25,Cascade!$E:$E,0)),"")</f>
        <v>30327</v>
      </c>
      <c r="G25" s="73"/>
      <c r="H25" s="73" t="n">
        <f aca="false">_xlfn.IFNA(INDEX(PrEP!$L:$L,MATCH($E25,PrEP!$E:$E,0)),"")</f>
        <v>0</v>
      </c>
      <c r="I25" s="73" t="n">
        <f aca="false">_xlfn.IFNA(INDEX(PrEP!$O:$O,MATCH($E25,PrEP!$E:$E,0)),"")</f>
        <v>0</v>
      </c>
      <c r="J25" s="73" t="n">
        <f aca="false">_xlfn.IFNA(INDEX(PP!$H:$H,MATCH($E25,PP!$E:$E,0)),"")</f>
        <v>9</v>
      </c>
      <c r="K25" s="73" t="n">
        <f aca="false">_xlfn.IFNA(INDEX(HTS!$BN:$BN,MATCH($E25,HTS!$E:$E,0)),"")</f>
        <v>1254</v>
      </c>
      <c r="L25" s="73" t="n">
        <f aca="false">_xlfn.IFNA(INDEX(HTS!$BT:$BT,MATCH($E25,HTS!$E:$E,0)),"")</f>
        <v>-487</v>
      </c>
      <c r="M25" s="73" t="n">
        <v>32</v>
      </c>
      <c r="N25" s="73" t="n">
        <v>18</v>
      </c>
      <c r="O25" s="73" t="n">
        <v>11</v>
      </c>
      <c r="P25" s="73" t="n">
        <v>34</v>
      </c>
      <c r="Q25" s="73" t="n">
        <f aca="false">IF(SUM($M25:$P25)=0,"",SUM($M25:$P25))</f>
        <v>95</v>
      </c>
      <c r="R25" s="118" t="n">
        <f aca="false">IF(SUM($Q25)=0,"",SUM($O25,$P25)/SUM($Q25))</f>
        <v>0.473684210526316</v>
      </c>
      <c r="S25" s="118" t="n">
        <f aca="false">0</f>
        <v>0</v>
      </c>
      <c r="T25" s="118" t="n">
        <f aca="false">0.6</f>
        <v>0.6</v>
      </c>
      <c r="U25" s="75" t="n">
        <f aca="false">IF(SUM($Q25)=0,"",SUM($Q25)*(1+SUM($S25)))</f>
        <v>95</v>
      </c>
      <c r="V25" s="75" t="n">
        <f aca="false">IF(SUM($U25)=0,"",ROUND(SUM($U25)*T25,0))</f>
        <v>57</v>
      </c>
    </row>
    <row r="26" customFormat="false" ht="15" hidden="false" customHeight="false" outlineLevel="0" collapsed="false">
      <c r="A26" s="0" t="s">
        <v>146</v>
      </c>
      <c r="B26" s="0" t="s">
        <v>45</v>
      </c>
      <c r="C26" s="0" t="s">
        <v>69</v>
      </c>
      <c r="D26" s="0" t="s">
        <v>56</v>
      </c>
      <c r="E26" s="0" t="str">
        <f aca="false">B26&amp;"|"&amp;C26&amp;"|"&amp;D26</f>
        <v>Maseru [#SNU] [#DREAMS] [tKOXiaNhAyJ]|25-29|Female</v>
      </c>
      <c r="F26" s="73" t="n">
        <f aca="false">_xlfn.IFNA(INDEX(Cascade!$F:$F,MATCH($E26,Cascade!$E:$E,0)),"")</f>
        <v>30088</v>
      </c>
      <c r="G26" s="73"/>
      <c r="H26" s="73" t="n">
        <f aca="false">_xlfn.IFNA(INDEX(PrEP!$L:$L,MATCH($E26,PrEP!$E:$E,0)),"")</f>
        <v>0</v>
      </c>
      <c r="I26" s="73" t="n">
        <f aca="false">_xlfn.IFNA(INDEX(PrEP!$O:$O,MATCH($E26,PrEP!$E:$E,0)),"")</f>
        <v>0</v>
      </c>
      <c r="J26" s="73" t="n">
        <f aca="false">_xlfn.IFNA(INDEX(PP!$H:$H,MATCH($E26,PP!$E:$E,0)),"")</f>
        <v>5</v>
      </c>
      <c r="K26" s="73" t="n">
        <f aca="false">_xlfn.IFNA(INDEX(HTS!$BN:$BN,MATCH($E26,HTS!$E:$E,0)),"")</f>
        <v>-65923</v>
      </c>
      <c r="L26" s="73" t="n">
        <f aca="false">_xlfn.IFNA(INDEX(HTS!$BT:$BT,MATCH($E26,HTS!$E:$E,0)),"")</f>
        <v>64158</v>
      </c>
      <c r="M26" s="73"/>
      <c r="N26" s="73"/>
      <c r="O26" s="73"/>
      <c r="P26" s="73"/>
      <c r="Q26" s="73" t="str">
        <f aca="false">IF(SUM($M26:$P26)=0,"",SUM($M26:$P26))</f>
        <v/>
      </c>
      <c r="R26" s="118" t="str">
        <f aca="false">IF(SUM($Q26)=0,"",SUM($O26,$P26)/SUM($Q26))</f>
        <v/>
      </c>
      <c r="S26" s="118" t="n">
        <f aca="false">0</f>
        <v>0</v>
      </c>
      <c r="T26" s="118" t="n">
        <f aca="false">0.6</f>
        <v>0.6</v>
      </c>
      <c r="U26" s="75" t="str">
        <f aca="false">IF(SUM($Q26)=0,"",SUM($Q26)*(1+SUM($S26)))</f>
        <v/>
      </c>
      <c r="V26" s="75" t="str">
        <f aca="false">IF(SUM($U26)=0,"",ROUND(SUM($U26)*T26,0))</f>
        <v/>
      </c>
    </row>
    <row r="27" customFormat="false" ht="15" hidden="false" customHeight="false" outlineLevel="0" collapsed="false">
      <c r="A27" s="0" t="s">
        <v>147</v>
      </c>
      <c r="B27" s="0" t="s">
        <v>105</v>
      </c>
      <c r="C27" s="0" t="s">
        <v>61</v>
      </c>
      <c r="D27" s="0" t="s">
        <v>56</v>
      </c>
      <c r="E27" s="0" t="str">
        <f aca="false">B27&amp;"|"&amp;C27&amp;"|"&amp;D27</f>
        <v>Mohale's Hoek [#SNU] [#DREAMS] [YGI7vISD2kJ]|10-14|Female</v>
      </c>
      <c r="F27" s="73" t="n">
        <f aca="false">_xlfn.IFNA(INDEX(Cascade!$F:$F,MATCH($E27,Cascade!$E:$E,0)),"")</f>
        <v>8928</v>
      </c>
      <c r="G27" s="73"/>
      <c r="H27" s="73" t="str">
        <f aca="false">_xlfn.IFNA(INDEX(PrEP!$L:$L,MATCH($E27,PrEP!$E:$E,0)),"")</f>
        <v/>
      </c>
      <c r="I27" s="73" t="str">
        <f aca="false">_xlfn.IFNA(INDEX(PrEP!$O:$O,MATCH($E27,PrEP!$E:$E,0)),"")</f>
        <v/>
      </c>
      <c r="J27" s="73" t="n">
        <f aca="false">_xlfn.IFNA(INDEX(PP!$H:$H,MATCH($E27,PP!$E:$E,0)),"")</f>
        <v>43</v>
      </c>
      <c r="K27" s="73" t="n">
        <f aca="false">_xlfn.IFNA(INDEX(HTS!$BN:$BN,MATCH($E27,HTS!$E:$E,0)),"")</f>
        <v>698</v>
      </c>
      <c r="L27" s="73" t="n">
        <f aca="false">_xlfn.IFNA(INDEX(HTS!$BT:$BT,MATCH($E27,HTS!$E:$E,0)),"")</f>
        <v>-1832</v>
      </c>
      <c r="M27" s="73"/>
      <c r="N27" s="73"/>
      <c r="O27" s="73"/>
      <c r="P27" s="73"/>
      <c r="Q27" s="73" t="str">
        <f aca="false">IF(SUM($M27:$P27)=0,"",SUM($M27:$P27))</f>
        <v/>
      </c>
      <c r="R27" s="118" t="str">
        <f aca="false">IF(SUM($Q27)=0,"",SUM($O27,$P27)/SUM($Q27))</f>
        <v/>
      </c>
      <c r="S27" s="118" t="n">
        <f aca="false">0</f>
        <v>0</v>
      </c>
      <c r="T27" s="118" t="n">
        <f aca="false">0.6</f>
        <v>0.6</v>
      </c>
      <c r="U27" s="75" t="str">
        <f aca="false">IF(SUM($Q27)=0,"",SUM($Q27)*(1+SUM($S27)))</f>
        <v/>
      </c>
      <c r="V27" s="75" t="str">
        <f aca="false">IF(SUM($U27)=0,"",ROUND(SUM($U27)*T27,0))</f>
        <v/>
      </c>
    </row>
    <row r="28" customFormat="false" ht="15" hidden="false" customHeight="false" outlineLevel="0" collapsed="false">
      <c r="A28" s="0" t="s">
        <v>147</v>
      </c>
      <c r="B28" s="0" t="s">
        <v>105</v>
      </c>
      <c r="C28" s="0" t="s">
        <v>63</v>
      </c>
      <c r="D28" s="0" t="s">
        <v>56</v>
      </c>
      <c r="E28" s="0" t="str">
        <f aca="false">B28&amp;"|"&amp;C28&amp;"|"&amp;D28</f>
        <v>Mohale's Hoek [#SNU] [#DREAMS] [YGI7vISD2kJ]|15-19|Female</v>
      </c>
      <c r="F28" s="73" t="n">
        <f aca="false">_xlfn.IFNA(INDEX(Cascade!$F:$F,MATCH($E28,Cascade!$E:$E,0)),"")</f>
        <v>7445</v>
      </c>
      <c r="G28" s="73"/>
      <c r="H28" s="73" t="n">
        <f aca="false">_xlfn.IFNA(INDEX(PrEP!$L:$L,MATCH($E28,PrEP!$E:$E,0)),"")</f>
        <v>0</v>
      </c>
      <c r="I28" s="73" t="n">
        <f aca="false">_xlfn.IFNA(INDEX(PrEP!$O:$O,MATCH($E28,PrEP!$E:$E,0)),"")</f>
        <v>0</v>
      </c>
      <c r="J28" s="73" t="n">
        <f aca="false">_xlfn.IFNA(INDEX(PP!$H:$H,MATCH($E28,PP!$E:$E,0)),"")</f>
        <v>44</v>
      </c>
      <c r="K28" s="73" t="n">
        <f aca="false">_xlfn.IFNA(INDEX(HTS!$BN:$BN,MATCH($E28,HTS!$E:$E,0)),"")</f>
        <v>-1811</v>
      </c>
      <c r="L28" s="73" t="n">
        <f aca="false">_xlfn.IFNA(INDEX(HTS!$BT:$BT,MATCH($E28,HTS!$E:$E,0)),"")</f>
        <v>2134</v>
      </c>
      <c r="M28" s="73"/>
      <c r="N28" s="73"/>
      <c r="O28" s="73"/>
      <c r="P28" s="73"/>
      <c r="Q28" s="73" t="str">
        <f aca="false">IF(SUM($M28:$P28)=0,"",SUM($M28:$P28))</f>
        <v/>
      </c>
      <c r="R28" s="118" t="str">
        <f aca="false">IF(SUM($Q28)=0,"",SUM($O28,$P28)/SUM($Q28))</f>
        <v/>
      </c>
      <c r="S28" s="118" t="n">
        <f aca="false">0</f>
        <v>0</v>
      </c>
      <c r="T28" s="118" t="n">
        <f aca="false">0.6</f>
        <v>0.6</v>
      </c>
      <c r="U28" s="75" t="str">
        <f aca="false">IF(SUM($Q28)=0,"",SUM($Q28)*(1+SUM($S28)))</f>
        <v/>
      </c>
      <c r="V28" s="75" t="str">
        <f aca="false">IF(SUM($U28)=0,"",ROUND(SUM($U28)*T28,0))</f>
        <v/>
      </c>
    </row>
    <row r="29" customFormat="false" ht="15" hidden="false" customHeight="false" outlineLevel="0" collapsed="false">
      <c r="A29" s="0" t="s">
        <v>147</v>
      </c>
      <c r="B29" s="0" t="s">
        <v>105</v>
      </c>
      <c r="C29" s="0" t="s">
        <v>66</v>
      </c>
      <c r="D29" s="0" t="s">
        <v>56</v>
      </c>
      <c r="E29" s="0" t="str">
        <f aca="false">B29&amp;"|"&amp;C29&amp;"|"&amp;D29</f>
        <v>Mohale's Hoek [#SNU] [#DREAMS] [YGI7vISD2kJ]|20-24|Female</v>
      </c>
      <c r="F29" s="73" t="n">
        <f aca="false">_xlfn.IFNA(INDEX(Cascade!$F:$F,MATCH($E29,Cascade!$E:$E,0)),"")</f>
        <v>7079</v>
      </c>
      <c r="G29" s="73"/>
      <c r="H29" s="73" t="n">
        <f aca="false">_xlfn.IFNA(INDEX(PrEP!$L:$L,MATCH($E29,PrEP!$E:$E,0)),"")</f>
        <v>0</v>
      </c>
      <c r="I29" s="73" t="n">
        <f aca="false">_xlfn.IFNA(INDEX(PrEP!$O:$O,MATCH($E29,PrEP!$E:$E,0)),"")</f>
        <v>0</v>
      </c>
      <c r="J29" s="73" t="n">
        <f aca="false">_xlfn.IFNA(INDEX(PP!$H:$H,MATCH($E29,PP!$E:$E,0)),"")</f>
        <v>9</v>
      </c>
      <c r="K29" s="73" t="n">
        <f aca="false">_xlfn.IFNA(INDEX(HTS!$BN:$BN,MATCH($E29,HTS!$E:$E,0)),"")</f>
        <v>-3430</v>
      </c>
      <c r="L29" s="73" t="n">
        <f aca="false">_xlfn.IFNA(INDEX(HTS!$BT:$BT,MATCH($E29,HTS!$E:$E,0)),"")</f>
        <v>2223</v>
      </c>
      <c r="M29" s="73"/>
      <c r="N29" s="73"/>
      <c r="O29" s="73"/>
      <c r="P29" s="73"/>
      <c r="Q29" s="73" t="str">
        <f aca="false">IF(SUM($M29:$P29)=0,"",SUM($M29:$P29))</f>
        <v/>
      </c>
      <c r="R29" s="118" t="str">
        <f aca="false">IF(SUM($Q29)=0,"",SUM($O29,$P29)/SUM($Q29))</f>
        <v/>
      </c>
      <c r="S29" s="118" t="n">
        <f aca="false">0</f>
        <v>0</v>
      </c>
      <c r="T29" s="118" t="n">
        <f aca="false">0.6</f>
        <v>0.6</v>
      </c>
      <c r="U29" s="75" t="str">
        <f aca="false">IF(SUM($Q29)=0,"",SUM($Q29)*(1+SUM($S29)))</f>
        <v/>
      </c>
      <c r="V29" s="75" t="str">
        <f aca="false">IF(SUM($U29)=0,"",ROUND(SUM($U29)*T29,0))</f>
        <v/>
      </c>
    </row>
    <row r="30" customFormat="false" ht="15" hidden="false" customHeight="false" outlineLevel="0" collapsed="false">
      <c r="A30" s="0" t="s">
        <v>147</v>
      </c>
      <c r="B30" s="0" t="s">
        <v>105</v>
      </c>
      <c r="C30" s="0" t="s">
        <v>69</v>
      </c>
      <c r="D30" s="0" t="s">
        <v>56</v>
      </c>
      <c r="E30" s="0" t="str">
        <f aca="false">B30&amp;"|"&amp;C30&amp;"|"&amp;D30</f>
        <v>Mohale's Hoek [#SNU] [#DREAMS] [YGI7vISD2kJ]|25-29|Female</v>
      </c>
      <c r="F30" s="73" t="n">
        <f aca="false">_xlfn.IFNA(INDEX(Cascade!$F:$F,MATCH($E30,Cascade!$E:$E,0)),"")</f>
        <v>7139</v>
      </c>
      <c r="G30" s="73"/>
      <c r="H30" s="73" t="n">
        <f aca="false">_xlfn.IFNA(INDEX(PrEP!$L:$L,MATCH($E30,PrEP!$E:$E,0)),"")</f>
        <v>0</v>
      </c>
      <c r="I30" s="73" t="n">
        <f aca="false">_xlfn.IFNA(INDEX(PrEP!$O:$O,MATCH($E30,PrEP!$E:$E,0)),"")</f>
        <v>0</v>
      </c>
      <c r="J30" s="73" t="n">
        <f aca="false">_xlfn.IFNA(INDEX(PP!$H:$H,MATCH($E30,PP!$E:$E,0)),"")</f>
        <v>16</v>
      </c>
      <c r="K30" s="73" t="n">
        <f aca="false">_xlfn.IFNA(INDEX(HTS!$BN:$BN,MATCH($E30,HTS!$E:$E,0)),"")</f>
        <v>-10956</v>
      </c>
      <c r="L30" s="73" t="n">
        <f aca="false">_xlfn.IFNA(INDEX(HTS!$BT:$BT,MATCH($E30,HTS!$E:$E,0)),"")</f>
        <v>10672</v>
      </c>
      <c r="M30" s="73"/>
      <c r="N30" s="73"/>
      <c r="O30" s="73"/>
      <c r="P30" s="73"/>
      <c r="Q30" s="73" t="str">
        <f aca="false">IF(SUM($M30:$P30)=0,"",SUM($M30:$P30))</f>
        <v/>
      </c>
      <c r="R30" s="118" t="str">
        <f aca="false">IF(SUM($Q30)=0,"",SUM($O30,$P30)/SUM($Q30))</f>
        <v/>
      </c>
      <c r="S30" s="118" t="n">
        <f aca="false">0</f>
        <v>0</v>
      </c>
      <c r="T30" s="118" t="n">
        <f aca="false">0.6</f>
        <v>0.6</v>
      </c>
      <c r="U30" s="75" t="str">
        <f aca="false">IF(SUM($Q30)=0,"",SUM($Q30)*(1+SUM($S30)))</f>
        <v/>
      </c>
      <c r="V30" s="75" t="str">
        <f aca="false">IF(SUM($U30)=0,"",ROUND(SUM($U30)*T30,0))</f>
        <v/>
      </c>
    </row>
  </sheetData>
  <conditionalFormatting sqref="V1:V1048576">
    <cfRule type="expression" priority="2" aboveAverage="0" equalAverage="0" bottom="0" percent="0" rank="0" text="" dxfId="0">
      <formula>AND(ISNUMBER(V1),SUM($V1)&gt;SUM($U1))</formula>
    </cfRule>
  </conditionalFormatting>
  <conditionalFormatting sqref="H1:I1048576">
    <cfRule type="expression" priority="3" aboveAverage="0" equalAverage="0" bottom="0" percent="0" rank="0" text="" dxfId="1">
      <formula>AND(ROW(H1)&gt;14,$C1="10-14")</formula>
    </cfRule>
  </conditionalFormatting>
  <conditionalFormatting sqref="S1:T1048576">
    <cfRule type="expression" priority="4" aboveAverage="0" equalAverage="0" bottom="0" percent="0" rank="0" text="" dxfId="2">
      <formula>AND(ROUND(SUM($T1),2)&gt;100%,SUM($U1)&gt;0)</formula>
    </cfRule>
  </conditionalFormatting>
  <conditionalFormatting sqref="T1:T1048576">
    <cfRule type="expression" priority="5" aboveAverage="0" equalAverage="0" bottom="0" percent="0" rank="0" text="" dxfId="3">
      <formula>AND(ROUND(SUM($T1),2)&lt;60%,SUM($U1)&gt;0)</formula>
    </cfRule>
  </conditionalFormatting>
  <conditionalFormatting sqref="S1:S1048576">
    <cfRule type="expression" priority="6" aboveAverage="0" equalAverage="0" bottom="0" percent="0" rank="0" text="" dxfId="0">
      <formula>AND(ROUND(SUM($S1),2)&lt;&gt;0%,SUM($Q1)&gt;0,ROW($S1)&gt;14,ISNUMBER($S1))</formula>
    </cfRule>
  </conditionalFormatting>
  <conditionalFormatting sqref="F1:F1048576">
    <cfRule type="expression" priority="7" aboveAverage="0" equalAverage="0" bottom="0" percent="0" rank="0" text="" dxfId="1">
      <formula>AND(ROW(F1)&gt;14,LEFT(B1,4)="_Mil")</formula>
    </cfRule>
  </conditionalFormatting>
  <hyperlinks>
    <hyperlink ref="F3" location="Cascade!F:F" display="Host Country Est. Female Population (FY21)"/>
    <hyperlink ref="H3" location="PrEP!L:L" display="PrEP_NEW (FY22)"/>
    <hyperlink ref="I3" location="PrEP!O:O" display=" PrEP_CURR (FY22)"/>
    <hyperlink ref="J3" location="PP!H:H" display=" PP_PREV (FY22)"/>
    <hyperlink ref="K3" location="HTS!BN:BN" display="HTS_TST - Positives (FY22)"/>
    <hyperlink ref="L3" location="HTS!BT:BT" display="HTS_TST - Negatives (FY22)"/>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O19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41" activePane="bottomRight" state="frozen"/>
      <selection pane="topLeft" activeCell="A1" activeCellId="0" sqref="A1"/>
      <selection pane="topRight" activeCell="F1" activeCellId="0" sqref="F1"/>
      <selection pane="bottomLeft" activeCell="A41" activeCellId="0" sqref="A41"/>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10.83"/>
    <col collapsed="false" customWidth="true" hidden="false" outlineLevel="0" max="4" min="4" style="0" width="7.84"/>
    <col collapsed="false" customWidth="true" hidden="true" outlineLevel="0" max="5" min="5" style="0" width="7"/>
    <col collapsed="false" customWidth="true" hidden="false" outlineLevel="0" max="15" min="6" style="0" width="11.83"/>
    <col collapsed="false" customWidth="true" hidden="false" outlineLevel="0" max="1025" min="16" style="0" width="10.61"/>
  </cols>
  <sheetData>
    <row r="1" customFormat="false" ht="31" hidden="false" customHeight="true" outlineLevel="0" collapsed="false">
      <c r="A1" s="54" t="s">
        <v>948</v>
      </c>
      <c r="B1" s="54"/>
      <c r="C1" s="54"/>
      <c r="D1" s="54"/>
      <c r="E1" s="54"/>
      <c r="F1" s="76" t="s">
        <v>949</v>
      </c>
      <c r="G1" s="76"/>
      <c r="H1" s="76"/>
      <c r="I1" s="76"/>
      <c r="J1" s="76"/>
      <c r="K1" s="76"/>
      <c r="L1" s="76"/>
      <c r="M1" s="80" t="s">
        <v>950</v>
      </c>
      <c r="N1" s="76"/>
      <c r="O1" s="76"/>
    </row>
    <row r="2" customFormat="false" ht="19" hidden="false" customHeight="true" outlineLevel="0" collapsed="false">
      <c r="A2" s="57"/>
      <c r="B2" s="57"/>
      <c r="C2" s="57"/>
      <c r="D2" s="57"/>
      <c r="E2" s="57"/>
      <c r="F2" s="89" t="s">
        <v>120</v>
      </c>
      <c r="G2" s="89"/>
      <c r="H2" s="89"/>
      <c r="I2" s="89"/>
      <c r="J2" s="89"/>
      <c r="K2" s="89"/>
      <c r="L2" s="84" t="s">
        <v>121</v>
      </c>
      <c r="M2" s="88" t="s">
        <v>120</v>
      </c>
      <c r="N2" s="89"/>
      <c r="O2" s="84" t="s">
        <v>121</v>
      </c>
    </row>
    <row r="3" customFormat="false" ht="117" hidden="false" customHeight="true" outlineLevel="0" collapsed="false">
      <c r="A3" s="61"/>
      <c r="B3" s="61"/>
      <c r="C3" s="61"/>
      <c r="D3" s="61"/>
      <c r="E3" s="61"/>
      <c r="F3" s="142" t="s">
        <v>951</v>
      </c>
      <c r="G3" s="142" t="s">
        <v>952</v>
      </c>
      <c r="H3" s="142" t="s">
        <v>953</v>
      </c>
      <c r="I3" s="142" t="s">
        <v>954</v>
      </c>
      <c r="J3" s="168" t="s">
        <v>955</v>
      </c>
      <c r="K3" s="168" t="s">
        <v>956</v>
      </c>
      <c r="L3" s="92" t="s">
        <v>957</v>
      </c>
      <c r="M3" s="145" t="s">
        <v>958</v>
      </c>
      <c r="N3" s="168" t="s">
        <v>959</v>
      </c>
      <c r="O3" s="92" t="s">
        <v>960</v>
      </c>
    </row>
    <row r="4" customFormat="false" ht="15" hidden="false" customHeight="false" outlineLevel="0" collapsed="false">
      <c r="A4" s="65"/>
      <c r="B4" s="65"/>
      <c r="C4" s="65"/>
      <c r="D4" s="65" t="s">
        <v>125</v>
      </c>
      <c r="E4" s="65"/>
      <c r="F4" s="110" t="n">
        <f aca="false">SUBTOTAL(109,F$15:INDEX(F:F,COUNTA($B:$B)+14-COUNTA($B$1:$B$14)))</f>
        <v>325125</v>
      </c>
      <c r="G4" s="110" t="n">
        <f aca="false">SUBTOTAL(109,G$15:INDEX(G:G,COUNTA($B:$B)+14-COUNTA($B$1:$B$14)))</f>
        <v>2153112</v>
      </c>
      <c r="H4" s="110" t="n">
        <f aca="false">SUBTOTAL(109,H$15:INDEX(H:H,COUNTA($B:$B)+14-COUNTA($B$1:$B$14)))</f>
        <v>0</v>
      </c>
      <c r="I4" s="110" t="n">
        <f aca="false">SUBTOTAL(109,I$15:INDEX(I:I,COUNTA($B:$B)+14-COUNTA($B$1:$B$14)))</f>
        <v>0</v>
      </c>
      <c r="J4" s="110" t="n">
        <f aca="false">SUBTOTAL(109,J$15:INDEX(J:J,COUNTA($B:$B)+14-COUNTA($B$1:$B$14)))</f>
        <v>0</v>
      </c>
      <c r="K4" s="110" t="n">
        <f aca="false">SUBTOTAL(109,K$15:INDEX(K:K,COUNTA($B:$B)+14-COUNTA($B$1:$B$14)))</f>
        <v>0</v>
      </c>
      <c r="L4" s="105" t="n">
        <f aca="false">SUBTOTAL(109,L$15:INDEX(L:L,COUNTA($B:$B)+14-COUNTA($B$1:$B$14)))</f>
        <v>0</v>
      </c>
      <c r="M4" s="169" t="n">
        <f aca="false">SUBTOTAL(109,M$15:INDEX(M:M,COUNTA($B:$B)+14-COUNTA($B$1:$B$14)))</f>
        <v>0</v>
      </c>
      <c r="N4" s="110" t="n">
        <f aca="false">SUBTOTAL(109,N$15:INDEX(N:N,COUNTA($B:$B)+14-COUNTA($B$1:$B$14)))</f>
        <v>0</v>
      </c>
      <c r="O4" s="105" t="n">
        <f aca="false">SUBTOTAL(109,O$15:INDEX(O:O,COUNTA($B:$B)+14-COUNTA($B$1:$B$14)))</f>
        <v>0</v>
      </c>
    </row>
    <row r="5" customFormat="false" ht="12.8" hidden="false" customHeight="false" outlineLevel="0" collapsed="false">
      <c r="A5" s="69" t="s">
        <v>126</v>
      </c>
      <c r="B5" s="69" t="s">
        <v>126</v>
      </c>
      <c r="C5" s="69" t="s">
        <v>126</v>
      </c>
      <c r="D5" s="69" t="s">
        <v>126</v>
      </c>
      <c r="E5" s="69" t="s">
        <v>126</v>
      </c>
      <c r="F5" s="73" t="s">
        <v>126</v>
      </c>
      <c r="G5" s="73" t="s">
        <v>126</v>
      </c>
      <c r="H5" s="73" t="s">
        <v>126</v>
      </c>
      <c r="I5" s="73" t="s">
        <v>126</v>
      </c>
      <c r="J5" s="73" t="s">
        <v>225</v>
      </c>
      <c r="K5" s="73" t="s">
        <v>225</v>
      </c>
      <c r="L5" s="115" t="s">
        <v>225</v>
      </c>
      <c r="M5" s="119" t="s">
        <v>225</v>
      </c>
      <c r="N5" s="73" t="s">
        <v>225</v>
      </c>
      <c r="O5" s="115" t="s">
        <v>225</v>
      </c>
    </row>
    <row r="6" customFormat="false" ht="12.8" hidden="false" customHeight="false" outlineLevel="0" collapsed="false">
      <c r="A6" s="69" t="s">
        <v>128</v>
      </c>
      <c r="B6" s="69" t="s">
        <v>128</v>
      </c>
      <c r="C6" s="69" t="s">
        <v>128</v>
      </c>
      <c r="D6" s="69" t="s">
        <v>128</v>
      </c>
      <c r="E6" s="69" t="s">
        <v>128</v>
      </c>
      <c r="F6" s="73" t="s">
        <v>131</v>
      </c>
      <c r="G6" s="73" t="s">
        <v>131</v>
      </c>
      <c r="H6" s="73" t="s">
        <v>131</v>
      </c>
      <c r="I6" s="73" t="s">
        <v>131</v>
      </c>
      <c r="J6" s="73" t="s">
        <v>129</v>
      </c>
      <c r="K6" s="73" t="s">
        <v>129</v>
      </c>
      <c r="L6" s="115" t="s">
        <v>130</v>
      </c>
      <c r="M6" s="119" t="s">
        <v>129</v>
      </c>
      <c r="N6" s="73" t="s">
        <v>129</v>
      </c>
      <c r="O6" s="115" t="s">
        <v>130</v>
      </c>
    </row>
    <row r="7" customFormat="false" ht="12.8" hidden="false" customHeight="false" outlineLevel="0" collapsed="false">
      <c r="A7" s="69" t="s">
        <v>132</v>
      </c>
      <c r="B7" s="69" t="s">
        <v>132</v>
      </c>
      <c r="C7" s="69" t="s">
        <v>132</v>
      </c>
      <c r="D7" s="69" t="s">
        <v>132</v>
      </c>
      <c r="E7" s="69" t="s">
        <v>132</v>
      </c>
      <c r="F7" s="73" t="s">
        <v>133</v>
      </c>
      <c r="G7" s="73" t="s">
        <v>133</v>
      </c>
      <c r="H7" s="73" t="s">
        <v>133</v>
      </c>
      <c r="I7" s="73" t="s">
        <v>133</v>
      </c>
      <c r="J7" s="73" t="s">
        <v>133</v>
      </c>
      <c r="K7" s="73" t="s">
        <v>133</v>
      </c>
      <c r="L7" s="115" t="s">
        <v>133</v>
      </c>
      <c r="M7" s="119" t="s">
        <v>133</v>
      </c>
      <c r="N7" s="73" t="s">
        <v>133</v>
      </c>
      <c r="O7" s="115" t="s">
        <v>133</v>
      </c>
    </row>
    <row r="8" customFormat="false" ht="12.8" hidden="false" customHeight="false" outlineLevel="0" collapsed="false">
      <c r="J8" s="124" t="s">
        <v>961</v>
      </c>
      <c r="K8" s="73" t="s">
        <v>962</v>
      </c>
      <c r="L8" s="115" t="s">
        <v>962</v>
      </c>
      <c r="M8" s="139" t="s">
        <v>963</v>
      </c>
      <c r="N8" s="73" t="s">
        <v>964</v>
      </c>
      <c r="O8" s="115" t="s">
        <v>964</v>
      </c>
    </row>
    <row r="9" customFormat="false" ht="12.8" hidden="false" customHeight="false" outlineLevel="0" collapsed="false">
      <c r="J9" s="124" t="s">
        <v>965</v>
      </c>
      <c r="K9" s="73" t="s">
        <v>966</v>
      </c>
      <c r="L9" s="115" t="s">
        <v>966</v>
      </c>
      <c r="M9" s="139" t="s">
        <v>967</v>
      </c>
      <c r="N9" s="73" t="s">
        <v>968</v>
      </c>
      <c r="O9" s="115" t="s">
        <v>968</v>
      </c>
    </row>
    <row r="10" customFormat="false" ht="12.8" hidden="false" customHeight="false" outlineLevel="0" collapsed="false">
      <c r="F10" s="73" t="s">
        <v>243</v>
      </c>
    </row>
    <row r="11" customFormat="false" ht="12.8" hidden="false" customHeight="false" outlineLevel="0" collapsed="false">
      <c r="F11" s="73" t="s">
        <v>248</v>
      </c>
      <c r="G11" s="73" t="s">
        <v>248</v>
      </c>
      <c r="H11" s="73" t="s">
        <v>933</v>
      </c>
      <c r="I11" s="73" t="s">
        <v>933</v>
      </c>
      <c r="J11" s="73" t="s">
        <v>248</v>
      </c>
      <c r="K11" s="73" t="s">
        <v>248</v>
      </c>
      <c r="L11" s="115" t="s">
        <v>248</v>
      </c>
      <c r="M11" s="119" t="s">
        <v>248</v>
      </c>
      <c r="N11" s="73" t="s">
        <v>248</v>
      </c>
      <c r="O11" s="115" t="s">
        <v>248</v>
      </c>
    </row>
    <row r="12" customFormat="false" ht="12.8" hidden="false" customHeight="false" outlineLevel="0" collapsed="false">
      <c r="F12" s="73" t="s">
        <v>249</v>
      </c>
      <c r="G12" s="73" t="s">
        <v>249</v>
      </c>
      <c r="H12" s="73" t="s">
        <v>250</v>
      </c>
      <c r="I12" s="73" t="s">
        <v>250</v>
      </c>
      <c r="J12" s="73" t="s">
        <v>249</v>
      </c>
      <c r="K12" s="73" t="s">
        <v>249</v>
      </c>
      <c r="L12" s="115" t="s">
        <v>249</v>
      </c>
      <c r="M12" s="119" t="s">
        <v>249</v>
      </c>
      <c r="N12" s="73" t="s">
        <v>249</v>
      </c>
      <c r="O12" s="115" t="s">
        <v>249</v>
      </c>
    </row>
    <row r="13" customFormat="false" ht="12.8" hidden="false" customHeight="false" outlineLevel="0" collapsed="false"/>
    <row r="14" customFormat="false" ht="15" hidden="false" customHeight="false" outlineLevel="0" collapsed="false">
      <c r="A14" s="70" t="s">
        <v>135</v>
      </c>
      <c r="B14" s="70" t="s">
        <v>136</v>
      </c>
      <c r="C14" s="70" t="s">
        <v>252</v>
      </c>
      <c r="D14" s="70" t="s">
        <v>253</v>
      </c>
      <c r="E14" s="70" t="s">
        <v>42</v>
      </c>
      <c r="F14" s="131" t="s">
        <v>97</v>
      </c>
      <c r="G14" s="131" t="s">
        <v>969</v>
      </c>
      <c r="H14" s="131" t="s">
        <v>946</v>
      </c>
      <c r="I14" s="131" t="s">
        <v>947</v>
      </c>
      <c r="J14" s="131" t="s">
        <v>970</v>
      </c>
      <c r="K14" s="131" t="s">
        <v>971</v>
      </c>
      <c r="L14" s="128" t="s">
        <v>936</v>
      </c>
      <c r="M14" s="163" t="s">
        <v>972</v>
      </c>
      <c r="N14" s="131" t="s">
        <v>973</v>
      </c>
      <c r="O14" s="128" t="s">
        <v>937</v>
      </c>
    </row>
    <row r="15" customFormat="false" ht="15" hidden="false" customHeight="false" outlineLevel="0" collapsed="false">
      <c r="A15" s="0" t="s">
        <v>140</v>
      </c>
      <c r="B15" s="0" t="s">
        <v>141</v>
      </c>
      <c r="C15" s="0" t="s">
        <v>63</v>
      </c>
      <c r="D15" s="0" t="s">
        <v>56</v>
      </c>
      <c r="E15" s="69" t="str">
        <f aca="false">B15&amp;"|"&amp;C15&amp;"|"&amp;D15</f>
        <v>_Military Lesotho [#Military] [dDOqoFnD5Be]|15-19|Female</v>
      </c>
      <c r="F15" s="73" t="str">
        <f aca="false">_xlfn.IFNA(INDEX(Cascade!$H:$H,MATCH($E15,Cascade!$E:$E,0)),"")</f>
        <v/>
      </c>
      <c r="G15" s="73" t="str">
        <f aca="false">_xlfn.IFNA(INDEX(HTS!$BT:$BT,MATCH($E15,HTS!$E:$E,0)),"")</f>
        <v/>
      </c>
      <c r="H15" s="73" t="str">
        <f aca="false">_xlfn.IFNA(INDEX(AGYW!$U:$U,MATCH($E15,AGYW!$E:$E,0)),"")</f>
        <v/>
      </c>
      <c r="I15" s="73" t="str">
        <f aca="false">_xlfn.IFNA(INDEX(AGYW!$V:$V,MATCH($E15,AGYW!$E:$E,0)),"")</f>
        <v/>
      </c>
      <c r="J15" s="73"/>
      <c r="K15" s="73"/>
      <c r="L15" s="75"/>
      <c r="M15" s="73"/>
      <c r="N15" s="73"/>
      <c r="O15" s="75"/>
    </row>
    <row r="16" customFormat="false" ht="15" hidden="false" customHeight="false" outlineLevel="0" collapsed="false">
      <c r="A16" s="0" t="s">
        <v>140</v>
      </c>
      <c r="B16" s="0" t="s">
        <v>141</v>
      </c>
      <c r="C16" s="0" t="s">
        <v>63</v>
      </c>
      <c r="D16" s="0" t="s">
        <v>58</v>
      </c>
      <c r="E16" s="0" t="str">
        <f aca="false">B16&amp;"|"&amp;C16&amp;"|"&amp;D16</f>
        <v>_Military Lesotho [#Military] [dDOqoFnD5Be]|15-19|Male</v>
      </c>
      <c r="F16" s="73" t="str">
        <f aca="false">_xlfn.IFNA(INDEX(Cascade!$H:$H,MATCH($E16,Cascade!$E:$E,0)),"")</f>
        <v/>
      </c>
      <c r="G16" s="73" t="n">
        <f aca="false">_xlfn.IFNA(INDEX(HTS!$BT:$BT,MATCH($E16,HTS!$E:$E,0)),"")</f>
        <v>-220</v>
      </c>
      <c r="H16" s="73" t="str">
        <f aca="false">_xlfn.IFNA(INDEX(AGYW!$U:$U,MATCH($E16,AGYW!$E:$E,0)),"")</f>
        <v/>
      </c>
      <c r="I16" s="73" t="str">
        <f aca="false">_xlfn.IFNA(INDEX(AGYW!$V:$V,MATCH($E16,AGYW!$E:$E,0)),"")</f>
        <v/>
      </c>
      <c r="J16" s="73"/>
      <c r="K16" s="73"/>
      <c r="L16" s="75"/>
      <c r="M16" s="73"/>
      <c r="N16" s="73"/>
      <c r="O16" s="75"/>
    </row>
    <row r="17" customFormat="false" ht="15" hidden="false" customHeight="false" outlineLevel="0" collapsed="false">
      <c r="A17" s="0" t="s">
        <v>140</v>
      </c>
      <c r="B17" s="0" t="s">
        <v>141</v>
      </c>
      <c r="C17" s="0" t="s">
        <v>66</v>
      </c>
      <c r="D17" s="0" t="s">
        <v>56</v>
      </c>
      <c r="E17" s="0" t="str">
        <f aca="false">B17&amp;"|"&amp;C17&amp;"|"&amp;D17</f>
        <v>_Military Lesotho [#Military] [dDOqoFnD5Be]|20-24|Female</v>
      </c>
      <c r="F17" s="73" t="str">
        <f aca="false">_xlfn.IFNA(INDEX(Cascade!$H:$H,MATCH($E17,Cascade!$E:$E,0)),"")</f>
        <v/>
      </c>
      <c r="G17" s="73" t="n">
        <f aca="false">_xlfn.IFNA(INDEX(HTS!$BT:$BT,MATCH($E17,HTS!$E:$E,0)),"")</f>
        <v>-326</v>
      </c>
      <c r="H17" s="73" t="str">
        <f aca="false">_xlfn.IFNA(INDEX(AGYW!$U:$U,MATCH($E17,AGYW!$E:$E,0)),"")</f>
        <v/>
      </c>
      <c r="I17" s="73" t="str">
        <f aca="false">_xlfn.IFNA(INDEX(AGYW!$V:$V,MATCH($E17,AGYW!$E:$E,0)),"")</f>
        <v/>
      </c>
      <c r="J17" s="73"/>
      <c r="K17" s="73"/>
      <c r="L17" s="75"/>
      <c r="M17" s="73"/>
      <c r="N17" s="73"/>
      <c r="O17" s="75"/>
    </row>
    <row r="18" customFormat="false" ht="15" hidden="false" customHeight="false" outlineLevel="0" collapsed="false">
      <c r="A18" s="0" t="s">
        <v>140</v>
      </c>
      <c r="B18" s="0" t="s">
        <v>141</v>
      </c>
      <c r="C18" s="0" t="s">
        <v>66</v>
      </c>
      <c r="D18" s="0" t="s">
        <v>58</v>
      </c>
      <c r="E18" s="0" t="str">
        <f aca="false">B18&amp;"|"&amp;C18&amp;"|"&amp;D18</f>
        <v>_Military Lesotho [#Military] [dDOqoFnD5Be]|20-24|Male</v>
      </c>
      <c r="F18" s="73" t="str">
        <f aca="false">_xlfn.IFNA(INDEX(Cascade!$H:$H,MATCH($E18,Cascade!$E:$E,0)),"")</f>
        <v/>
      </c>
      <c r="G18" s="73" t="n">
        <f aca="false">_xlfn.IFNA(INDEX(HTS!$BT:$BT,MATCH($E18,HTS!$E:$E,0)),"")</f>
        <v>-520</v>
      </c>
      <c r="H18" s="73" t="str">
        <f aca="false">_xlfn.IFNA(INDEX(AGYW!$U:$U,MATCH($E18,AGYW!$E:$E,0)),"")</f>
        <v/>
      </c>
      <c r="I18" s="73" t="str">
        <f aca="false">_xlfn.IFNA(INDEX(AGYW!$V:$V,MATCH($E18,AGYW!$E:$E,0)),"")</f>
        <v/>
      </c>
      <c r="J18" s="73"/>
      <c r="K18" s="73"/>
      <c r="L18" s="75"/>
      <c r="M18" s="73"/>
      <c r="N18" s="73"/>
      <c r="O18" s="75"/>
    </row>
    <row r="19" customFormat="false" ht="15" hidden="false" customHeight="false" outlineLevel="0" collapsed="false">
      <c r="A19" s="0" t="s">
        <v>140</v>
      </c>
      <c r="B19" s="0" t="s">
        <v>141</v>
      </c>
      <c r="C19" s="0" t="s">
        <v>69</v>
      </c>
      <c r="D19" s="0" t="s">
        <v>56</v>
      </c>
      <c r="E19" s="0" t="str">
        <f aca="false">B19&amp;"|"&amp;C19&amp;"|"&amp;D19</f>
        <v>_Military Lesotho [#Military] [dDOqoFnD5Be]|25-29|Female</v>
      </c>
      <c r="F19" s="73" t="str">
        <f aca="false">_xlfn.IFNA(INDEX(Cascade!$H:$H,MATCH($E19,Cascade!$E:$E,0)),"")</f>
        <v/>
      </c>
      <c r="G19" s="73" t="n">
        <f aca="false">_xlfn.IFNA(INDEX(HTS!$BT:$BT,MATCH($E19,HTS!$E:$E,0)),"")</f>
        <v>4482</v>
      </c>
      <c r="H19" s="73" t="str">
        <f aca="false">_xlfn.IFNA(INDEX(AGYW!$U:$U,MATCH($E19,AGYW!$E:$E,0)),"")</f>
        <v/>
      </c>
      <c r="I19" s="73" t="str">
        <f aca="false">_xlfn.IFNA(INDEX(AGYW!$V:$V,MATCH($E19,AGYW!$E:$E,0)),"")</f>
        <v/>
      </c>
      <c r="J19" s="73"/>
      <c r="K19" s="73"/>
      <c r="L19" s="75"/>
      <c r="M19" s="73"/>
      <c r="N19" s="73"/>
      <c r="O19" s="75"/>
    </row>
    <row r="20" customFormat="false" ht="15" hidden="false" customHeight="false" outlineLevel="0" collapsed="false">
      <c r="A20" s="0" t="s">
        <v>140</v>
      </c>
      <c r="B20" s="0" t="s">
        <v>141</v>
      </c>
      <c r="C20" s="0" t="s">
        <v>69</v>
      </c>
      <c r="D20" s="0" t="s">
        <v>58</v>
      </c>
      <c r="E20" s="0" t="str">
        <f aca="false">B20&amp;"|"&amp;C20&amp;"|"&amp;D20</f>
        <v>_Military Lesotho [#Military] [dDOqoFnD5Be]|25-29|Male</v>
      </c>
      <c r="F20" s="73" t="str">
        <f aca="false">_xlfn.IFNA(INDEX(Cascade!$H:$H,MATCH($E20,Cascade!$E:$E,0)),"")</f>
        <v/>
      </c>
      <c r="G20" s="73" t="n">
        <f aca="false">_xlfn.IFNA(INDEX(HTS!$BT:$BT,MATCH($E20,HTS!$E:$E,0)),"")</f>
        <v>-1409</v>
      </c>
      <c r="H20" s="73" t="str">
        <f aca="false">_xlfn.IFNA(INDEX(AGYW!$U:$U,MATCH($E20,AGYW!$E:$E,0)),"")</f>
        <v/>
      </c>
      <c r="I20" s="73" t="str">
        <f aca="false">_xlfn.IFNA(INDEX(AGYW!$V:$V,MATCH($E20,AGYW!$E:$E,0)),"")</f>
        <v/>
      </c>
      <c r="J20" s="73"/>
      <c r="K20" s="73"/>
      <c r="L20" s="75"/>
      <c r="M20" s="73"/>
      <c r="N20" s="73"/>
      <c r="O20" s="75"/>
    </row>
    <row r="21" customFormat="false" ht="15" hidden="false" customHeight="false" outlineLevel="0" collapsed="false">
      <c r="A21" s="0" t="s">
        <v>140</v>
      </c>
      <c r="B21" s="0" t="s">
        <v>141</v>
      </c>
      <c r="C21" s="0" t="s">
        <v>72</v>
      </c>
      <c r="D21" s="0" t="s">
        <v>56</v>
      </c>
      <c r="E21" s="0" t="str">
        <f aca="false">B21&amp;"|"&amp;C21&amp;"|"&amp;D21</f>
        <v>_Military Lesotho [#Military] [dDOqoFnD5Be]|30-34|Female</v>
      </c>
      <c r="F21" s="73" t="str">
        <f aca="false">_xlfn.IFNA(INDEX(Cascade!$H:$H,MATCH($E21,Cascade!$E:$E,0)),"")</f>
        <v/>
      </c>
      <c r="G21" s="73" t="n">
        <f aca="false">_xlfn.IFNA(INDEX(HTS!$BT:$BT,MATCH($E21,HTS!$E:$E,0)),"")</f>
        <v>27303</v>
      </c>
      <c r="H21" s="73" t="str">
        <f aca="false">_xlfn.IFNA(INDEX(AGYW!$U:$U,MATCH($E21,AGYW!$E:$E,0)),"")</f>
        <v/>
      </c>
      <c r="I21" s="73" t="str">
        <f aca="false">_xlfn.IFNA(INDEX(AGYW!$V:$V,MATCH($E21,AGYW!$E:$E,0)),"")</f>
        <v/>
      </c>
      <c r="J21" s="73"/>
      <c r="K21" s="73"/>
      <c r="L21" s="75"/>
      <c r="M21" s="73"/>
      <c r="N21" s="73"/>
      <c r="O21" s="75"/>
    </row>
    <row r="22" customFormat="false" ht="15" hidden="false" customHeight="false" outlineLevel="0" collapsed="false">
      <c r="A22" s="0" t="s">
        <v>140</v>
      </c>
      <c r="B22" s="0" t="s">
        <v>141</v>
      </c>
      <c r="C22" s="0" t="s">
        <v>72</v>
      </c>
      <c r="D22" s="0" t="s">
        <v>58</v>
      </c>
      <c r="E22" s="0" t="str">
        <f aca="false">B22&amp;"|"&amp;C22&amp;"|"&amp;D22</f>
        <v>_Military Lesotho [#Military] [dDOqoFnD5Be]|30-34|Male</v>
      </c>
      <c r="F22" s="73" t="str">
        <f aca="false">_xlfn.IFNA(INDEX(Cascade!$H:$H,MATCH($E22,Cascade!$E:$E,0)),"")</f>
        <v/>
      </c>
      <c r="G22" s="73" t="n">
        <f aca="false">_xlfn.IFNA(INDEX(HTS!$BT:$BT,MATCH($E22,HTS!$E:$E,0)),"")</f>
        <v>8932</v>
      </c>
      <c r="H22" s="73" t="str">
        <f aca="false">_xlfn.IFNA(INDEX(AGYW!$U:$U,MATCH($E22,AGYW!$E:$E,0)),"")</f>
        <v/>
      </c>
      <c r="I22" s="73" t="str">
        <f aca="false">_xlfn.IFNA(INDEX(AGYW!$V:$V,MATCH($E22,AGYW!$E:$E,0)),"")</f>
        <v/>
      </c>
      <c r="J22" s="73"/>
      <c r="K22" s="73"/>
      <c r="L22" s="75"/>
      <c r="M22" s="73"/>
      <c r="N22" s="73"/>
      <c r="O22" s="75"/>
    </row>
    <row r="23" customFormat="false" ht="15" hidden="false" customHeight="false" outlineLevel="0" collapsed="false">
      <c r="A23" s="0" t="s">
        <v>140</v>
      </c>
      <c r="B23" s="0" t="s">
        <v>141</v>
      </c>
      <c r="C23" s="0" t="s">
        <v>75</v>
      </c>
      <c r="D23" s="0" t="s">
        <v>56</v>
      </c>
      <c r="E23" s="0" t="str">
        <f aca="false">B23&amp;"|"&amp;C23&amp;"|"&amp;D23</f>
        <v>_Military Lesotho [#Military] [dDOqoFnD5Be]|35-39|Female</v>
      </c>
      <c r="F23" s="73" t="str">
        <f aca="false">_xlfn.IFNA(INDEX(Cascade!$H:$H,MATCH($E23,Cascade!$E:$E,0)),"")</f>
        <v/>
      </c>
      <c r="G23" s="73" t="n">
        <f aca="false">_xlfn.IFNA(INDEX(HTS!$BT:$BT,MATCH($E23,HTS!$E:$E,0)),"")</f>
        <v>-1044</v>
      </c>
      <c r="H23" s="73" t="str">
        <f aca="false">_xlfn.IFNA(INDEX(AGYW!$U:$U,MATCH($E23,AGYW!$E:$E,0)),"")</f>
        <v/>
      </c>
      <c r="I23" s="73" t="str">
        <f aca="false">_xlfn.IFNA(INDEX(AGYW!$V:$V,MATCH($E23,AGYW!$E:$E,0)),"")</f>
        <v/>
      </c>
      <c r="J23" s="73"/>
      <c r="K23" s="73"/>
      <c r="L23" s="75"/>
      <c r="M23" s="73"/>
      <c r="N23" s="73"/>
      <c r="O23" s="75"/>
    </row>
    <row r="24" customFormat="false" ht="15" hidden="false" customHeight="false" outlineLevel="0" collapsed="false">
      <c r="A24" s="0" t="s">
        <v>140</v>
      </c>
      <c r="B24" s="0" t="s">
        <v>141</v>
      </c>
      <c r="C24" s="0" t="s">
        <v>75</v>
      </c>
      <c r="D24" s="0" t="s">
        <v>58</v>
      </c>
      <c r="E24" s="0" t="str">
        <f aca="false">B24&amp;"|"&amp;C24&amp;"|"&amp;D24</f>
        <v>_Military Lesotho [#Military] [dDOqoFnD5Be]|35-39|Male</v>
      </c>
      <c r="F24" s="73" t="str">
        <f aca="false">_xlfn.IFNA(INDEX(Cascade!$H:$H,MATCH($E24,Cascade!$E:$E,0)),"")</f>
        <v/>
      </c>
      <c r="G24" s="73" t="n">
        <f aca="false">_xlfn.IFNA(INDEX(HTS!$BT:$BT,MATCH($E24,HTS!$E:$E,0)),"")</f>
        <v>16815</v>
      </c>
      <c r="H24" s="73" t="str">
        <f aca="false">_xlfn.IFNA(INDEX(AGYW!$U:$U,MATCH($E24,AGYW!$E:$E,0)),"")</f>
        <v/>
      </c>
      <c r="I24" s="73" t="str">
        <f aca="false">_xlfn.IFNA(INDEX(AGYW!$V:$V,MATCH($E24,AGYW!$E:$E,0)),"")</f>
        <v/>
      </c>
      <c r="J24" s="73"/>
      <c r="K24" s="73"/>
      <c r="L24" s="75"/>
      <c r="M24" s="73"/>
      <c r="N24" s="73"/>
      <c r="O24" s="75"/>
    </row>
    <row r="25" customFormat="false" ht="15" hidden="false" customHeight="false" outlineLevel="0" collapsed="false">
      <c r="A25" s="0" t="s">
        <v>140</v>
      </c>
      <c r="B25" s="0" t="s">
        <v>141</v>
      </c>
      <c r="C25" s="0" t="s">
        <v>77</v>
      </c>
      <c r="D25" s="0" t="s">
        <v>56</v>
      </c>
      <c r="E25" s="0" t="str">
        <f aca="false">B25&amp;"|"&amp;C25&amp;"|"&amp;D25</f>
        <v>_Military Lesotho [#Military] [dDOqoFnD5Be]|40-44|Female</v>
      </c>
      <c r="F25" s="73" t="str">
        <f aca="false">_xlfn.IFNA(INDEX(Cascade!$H:$H,MATCH($E25,Cascade!$E:$E,0)),"")</f>
        <v/>
      </c>
      <c r="G25" s="73" t="n">
        <f aca="false">_xlfn.IFNA(INDEX(HTS!$BT:$BT,MATCH($E25,HTS!$E:$E,0)),"")</f>
        <v>-525</v>
      </c>
      <c r="H25" s="73" t="str">
        <f aca="false">_xlfn.IFNA(INDEX(AGYW!$U:$U,MATCH($E25,AGYW!$E:$E,0)),"")</f>
        <v/>
      </c>
      <c r="I25" s="73" t="str">
        <f aca="false">_xlfn.IFNA(INDEX(AGYW!$V:$V,MATCH($E25,AGYW!$E:$E,0)),"")</f>
        <v/>
      </c>
      <c r="J25" s="73"/>
      <c r="K25" s="73"/>
      <c r="L25" s="75"/>
      <c r="M25" s="73"/>
      <c r="N25" s="73"/>
      <c r="O25" s="75"/>
    </row>
    <row r="26" customFormat="false" ht="15" hidden="false" customHeight="false" outlineLevel="0" collapsed="false">
      <c r="A26" s="0" t="s">
        <v>140</v>
      </c>
      <c r="B26" s="0" t="s">
        <v>141</v>
      </c>
      <c r="C26" s="0" t="s">
        <v>77</v>
      </c>
      <c r="D26" s="0" t="s">
        <v>58</v>
      </c>
      <c r="E26" s="0" t="str">
        <f aca="false">B26&amp;"|"&amp;C26&amp;"|"&amp;D26</f>
        <v>_Military Lesotho [#Military] [dDOqoFnD5Be]|40-44|Male</v>
      </c>
      <c r="F26" s="73" t="str">
        <f aca="false">_xlfn.IFNA(INDEX(Cascade!$H:$H,MATCH($E26,Cascade!$E:$E,0)),"")</f>
        <v/>
      </c>
      <c r="G26" s="73" t="n">
        <f aca="false">_xlfn.IFNA(INDEX(HTS!$BT:$BT,MATCH($E26,HTS!$E:$E,0)),"")</f>
        <v>-115</v>
      </c>
      <c r="H26" s="73" t="str">
        <f aca="false">_xlfn.IFNA(INDEX(AGYW!$U:$U,MATCH($E26,AGYW!$E:$E,0)),"")</f>
        <v/>
      </c>
      <c r="I26" s="73" t="str">
        <f aca="false">_xlfn.IFNA(INDEX(AGYW!$V:$V,MATCH($E26,AGYW!$E:$E,0)),"")</f>
        <v/>
      </c>
      <c r="J26" s="73"/>
      <c r="K26" s="73"/>
      <c r="L26" s="75"/>
      <c r="M26" s="73"/>
      <c r="N26" s="73"/>
      <c r="O26" s="75"/>
    </row>
    <row r="27" customFormat="false" ht="15" hidden="false" customHeight="false" outlineLevel="0" collapsed="false">
      <c r="A27" s="0" t="s">
        <v>140</v>
      </c>
      <c r="B27" s="0" t="s">
        <v>141</v>
      </c>
      <c r="C27" s="0" t="s">
        <v>80</v>
      </c>
      <c r="D27" s="0" t="s">
        <v>56</v>
      </c>
      <c r="E27" s="0" t="str">
        <f aca="false">B27&amp;"|"&amp;C27&amp;"|"&amp;D27</f>
        <v>_Military Lesotho [#Military] [dDOqoFnD5Be]|45-49|Female</v>
      </c>
      <c r="F27" s="73" t="str">
        <f aca="false">_xlfn.IFNA(INDEX(Cascade!$H:$H,MATCH($E27,Cascade!$E:$E,0)),"")</f>
        <v/>
      </c>
      <c r="G27" s="73" t="n">
        <f aca="false">_xlfn.IFNA(INDEX(HTS!$BT:$BT,MATCH($E27,HTS!$E:$E,0)),"")</f>
        <v>-1184</v>
      </c>
      <c r="H27" s="73" t="str">
        <f aca="false">_xlfn.IFNA(INDEX(AGYW!$U:$U,MATCH($E27,AGYW!$E:$E,0)),"")</f>
        <v/>
      </c>
      <c r="I27" s="73" t="str">
        <f aca="false">_xlfn.IFNA(INDEX(AGYW!$V:$V,MATCH($E27,AGYW!$E:$E,0)),"")</f>
        <v/>
      </c>
      <c r="J27" s="73"/>
      <c r="K27" s="73"/>
      <c r="L27" s="75"/>
      <c r="M27" s="73"/>
      <c r="N27" s="73"/>
      <c r="O27" s="75"/>
    </row>
    <row r="28" customFormat="false" ht="15" hidden="false" customHeight="false" outlineLevel="0" collapsed="false">
      <c r="A28" s="0" t="s">
        <v>140</v>
      </c>
      <c r="B28" s="0" t="s">
        <v>141</v>
      </c>
      <c r="C28" s="0" t="s">
        <v>80</v>
      </c>
      <c r="D28" s="0" t="s">
        <v>58</v>
      </c>
      <c r="E28" s="0" t="str">
        <f aca="false">B28&amp;"|"&amp;C28&amp;"|"&amp;D28</f>
        <v>_Military Lesotho [#Military] [dDOqoFnD5Be]|45-49|Male</v>
      </c>
      <c r="F28" s="73" t="str">
        <f aca="false">_xlfn.IFNA(INDEX(Cascade!$H:$H,MATCH($E28,Cascade!$E:$E,0)),"")</f>
        <v/>
      </c>
      <c r="G28" s="73" t="n">
        <f aca="false">_xlfn.IFNA(INDEX(HTS!$BT:$BT,MATCH($E28,HTS!$E:$E,0)),"")</f>
        <v>-16</v>
      </c>
      <c r="H28" s="73" t="str">
        <f aca="false">_xlfn.IFNA(INDEX(AGYW!$U:$U,MATCH($E28,AGYW!$E:$E,0)),"")</f>
        <v/>
      </c>
      <c r="I28" s="73" t="str">
        <f aca="false">_xlfn.IFNA(INDEX(AGYW!$V:$V,MATCH($E28,AGYW!$E:$E,0)),"")</f>
        <v/>
      </c>
      <c r="J28" s="73"/>
      <c r="K28" s="73"/>
      <c r="L28" s="75"/>
      <c r="M28" s="73"/>
      <c r="N28" s="73"/>
      <c r="O28" s="75"/>
    </row>
    <row r="29" customFormat="false" ht="15" hidden="false" customHeight="false" outlineLevel="0" collapsed="false">
      <c r="A29" s="0" t="s">
        <v>140</v>
      </c>
      <c r="B29" s="0" t="s">
        <v>141</v>
      </c>
      <c r="C29" s="0" t="s">
        <v>86</v>
      </c>
      <c r="D29" s="0" t="s">
        <v>56</v>
      </c>
      <c r="E29" s="0" t="str">
        <f aca="false">B29&amp;"|"&amp;C29&amp;"|"&amp;D29</f>
        <v>_Military Lesotho [#Military] [dDOqoFnD5Be]|50+|Female</v>
      </c>
      <c r="F29" s="73" t="str">
        <f aca="false">_xlfn.IFNA(INDEX(Cascade!$H:$H,MATCH($E29,Cascade!$E:$E,0)),"")</f>
        <v/>
      </c>
      <c r="G29" s="73" t="n">
        <f aca="false">_xlfn.IFNA(INDEX(HTS!$BT:$BT,MATCH($E29,HTS!$E:$E,0)),"")</f>
        <v>-1654</v>
      </c>
      <c r="H29" s="73" t="str">
        <f aca="false">_xlfn.IFNA(INDEX(AGYW!$U:$U,MATCH($E29,AGYW!$E:$E,0)),"")</f>
        <v/>
      </c>
      <c r="I29" s="73" t="str">
        <f aca="false">_xlfn.IFNA(INDEX(AGYW!$V:$V,MATCH($E29,AGYW!$E:$E,0)),"")</f>
        <v/>
      </c>
      <c r="J29" s="73"/>
      <c r="K29" s="73"/>
      <c r="L29" s="75"/>
      <c r="M29" s="73"/>
      <c r="N29" s="73"/>
      <c r="O29" s="75"/>
    </row>
    <row r="30" customFormat="false" ht="15" hidden="false" customHeight="false" outlineLevel="0" collapsed="false">
      <c r="A30" s="0" t="s">
        <v>140</v>
      </c>
      <c r="B30" s="0" t="s">
        <v>141</v>
      </c>
      <c r="C30" s="0" t="s">
        <v>86</v>
      </c>
      <c r="D30" s="0" t="s">
        <v>58</v>
      </c>
      <c r="E30" s="0" t="str">
        <f aca="false">B30&amp;"|"&amp;C30&amp;"|"&amp;D30</f>
        <v>_Military Lesotho [#Military] [dDOqoFnD5Be]|50+|Male</v>
      </c>
      <c r="F30" s="73" t="str">
        <f aca="false">_xlfn.IFNA(INDEX(Cascade!$H:$H,MATCH($E30,Cascade!$E:$E,0)),"")</f>
        <v/>
      </c>
      <c r="G30" s="73" t="n">
        <f aca="false">_xlfn.IFNA(INDEX(HTS!$BT:$BT,MATCH($E30,HTS!$E:$E,0)),"")</f>
        <v>-299</v>
      </c>
      <c r="H30" s="73" t="str">
        <f aca="false">_xlfn.IFNA(INDEX(AGYW!$U:$U,MATCH($E30,AGYW!$E:$E,0)),"")</f>
        <v/>
      </c>
      <c r="I30" s="73" t="str">
        <f aca="false">_xlfn.IFNA(INDEX(AGYW!$V:$V,MATCH($E30,AGYW!$E:$E,0)),"")</f>
        <v/>
      </c>
      <c r="J30" s="73"/>
      <c r="K30" s="73"/>
      <c r="L30" s="75"/>
      <c r="M30" s="73"/>
      <c r="N30" s="73"/>
      <c r="O30" s="75"/>
    </row>
    <row r="31" customFormat="false" ht="15" hidden="false" customHeight="false" outlineLevel="0" collapsed="false">
      <c r="A31" s="0" t="s">
        <v>142</v>
      </c>
      <c r="B31" s="0" t="s">
        <v>109</v>
      </c>
      <c r="C31" s="0" t="s">
        <v>63</v>
      </c>
      <c r="D31" s="0" t="s">
        <v>56</v>
      </c>
      <c r="E31" s="0" t="str">
        <f aca="false">B31&amp;"|"&amp;C31&amp;"|"&amp;D31</f>
        <v>Berea [#SNU] [#DREAMS] [wpg5evyl1OL]|15-19|Female</v>
      </c>
      <c r="F31" s="73" t="n">
        <f aca="false">_xlfn.IFNA(INDEX(Cascade!$H:$H,MATCH($E31,Cascade!$E:$E,0)),"")</f>
        <v>522</v>
      </c>
      <c r="G31" s="73" t="n">
        <f aca="false">_xlfn.IFNA(INDEX(HTS!$BT:$BT,MATCH($E31,HTS!$E:$E,0)),"")</f>
        <v>4621</v>
      </c>
      <c r="H31" s="73" t="n">
        <f aca="false">_xlfn.IFNA(INDEX(AGYW!$U:$U,MATCH($E31,AGYW!$E:$E,0)),"")</f>
        <v>114</v>
      </c>
      <c r="I31" s="73" t="n">
        <f aca="false">_xlfn.IFNA(INDEX(AGYW!$V:$V,MATCH($E31,AGYW!$E:$E,0)),"")</f>
        <v>68</v>
      </c>
      <c r="J31" s="73" t="n">
        <v>8</v>
      </c>
      <c r="K31" s="73" t="n">
        <v>16</v>
      </c>
      <c r="L31" s="75"/>
      <c r="M31" s="73" t="n">
        <v>46</v>
      </c>
      <c r="N31" s="73" t="n">
        <v>38</v>
      </c>
      <c r="O31" s="75"/>
    </row>
    <row r="32" customFormat="false" ht="15" hidden="false" customHeight="false" outlineLevel="0" collapsed="false">
      <c r="A32" s="0" t="s">
        <v>142</v>
      </c>
      <c r="B32" s="0" t="s">
        <v>109</v>
      </c>
      <c r="C32" s="0" t="s">
        <v>63</v>
      </c>
      <c r="D32" s="0" t="s">
        <v>58</v>
      </c>
      <c r="E32" s="0" t="str">
        <f aca="false">B32&amp;"|"&amp;C32&amp;"|"&amp;D32</f>
        <v>Berea [#SNU] [#DREAMS] [wpg5evyl1OL]|15-19|Male</v>
      </c>
      <c r="F32" s="73" t="n">
        <f aca="false">_xlfn.IFNA(INDEX(Cascade!$H:$H,MATCH($E32,Cascade!$E:$E,0)),"")</f>
        <v>307</v>
      </c>
      <c r="G32" s="73" t="n">
        <f aca="false">_xlfn.IFNA(INDEX(HTS!$BT:$BT,MATCH($E32,HTS!$E:$E,0)),"")</f>
        <v>11</v>
      </c>
      <c r="H32" s="73" t="str">
        <f aca="false">_xlfn.IFNA(INDEX(AGYW!$U:$U,MATCH($E32,AGYW!$E:$E,0)),"")</f>
        <v/>
      </c>
      <c r="I32" s="73" t="str">
        <f aca="false">_xlfn.IFNA(INDEX(AGYW!$V:$V,MATCH($E32,AGYW!$E:$E,0)),"")</f>
        <v/>
      </c>
      <c r="J32" s="73" t="n">
        <v>33</v>
      </c>
      <c r="K32" s="73" t="n">
        <v>24</v>
      </c>
      <c r="L32" s="75"/>
      <c r="M32" s="73" t="n">
        <v>39</v>
      </c>
      <c r="N32" s="73" t="n">
        <v>41</v>
      </c>
      <c r="O32" s="75"/>
    </row>
    <row r="33" customFormat="false" ht="15" hidden="false" customHeight="false" outlineLevel="0" collapsed="false">
      <c r="A33" s="0" t="s">
        <v>142</v>
      </c>
      <c r="B33" s="0" t="s">
        <v>109</v>
      </c>
      <c r="C33" s="0" t="s">
        <v>66</v>
      </c>
      <c r="D33" s="0" t="s">
        <v>56</v>
      </c>
      <c r="E33" s="0" t="str">
        <f aca="false">B33&amp;"|"&amp;C33&amp;"|"&amp;D33</f>
        <v>Berea [#SNU] [#DREAMS] [wpg5evyl1OL]|20-24|Female</v>
      </c>
      <c r="F33" s="73" t="n">
        <f aca="false">_xlfn.IFNA(INDEX(Cascade!$H:$H,MATCH($E33,Cascade!$E:$E,0)),"")</f>
        <v>1425</v>
      </c>
      <c r="G33" s="73" t="n">
        <f aca="false">_xlfn.IFNA(INDEX(HTS!$BT:$BT,MATCH($E33,HTS!$E:$E,0)),"")</f>
        <v>4151</v>
      </c>
      <c r="H33" s="73" t="n">
        <f aca="false">_xlfn.IFNA(INDEX(AGYW!$U:$U,MATCH($E33,AGYW!$E:$E,0)),"")</f>
        <v>110</v>
      </c>
      <c r="I33" s="73" t="n">
        <f aca="false">_xlfn.IFNA(INDEX(AGYW!$V:$V,MATCH($E33,AGYW!$E:$E,0)),"")</f>
        <v>66</v>
      </c>
      <c r="J33" s="73" t="n">
        <v>12</v>
      </c>
      <c r="K33" s="73" t="n">
        <v>27</v>
      </c>
      <c r="L33" s="75"/>
      <c r="M33" s="73" t="n">
        <v>42</v>
      </c>
      <c r="N33" s="73" t="n">
        <v>23</v>
      </c>
      <c r="O33" s="75"/>
    </row>
    <row r="34" customFormat="false" ht="15" hidden="false" customHeight="false" outlineLevel="0" collapsed="false">
      <c r="A34" s="0" t="s">
        <v>142</v>
      </c>
      <c r="B34" s="0" t="s">
        <v>109</v>
      </c>
      <c r="C34" s="0" t="s">
        <v>66</v>
      </c>
      <c r="D34" s="0" t="s">
        <v>58</v>
      </c>
      <c r="E34" s="0" t="str">
        <f aca="false">B34&amp;"|"&amp;C34&amp;"|"&amp;D34</f>
        <v>Berea [#SNU] [#DREAMS] [wpg5evyl1OL]|20-24|Male</v>
      </c>
      <c r="F34" s="73" t="n">
        <f aca="false">_xlfn.IFNA(INDEX(Cascade!$H:$H,MATCH($E34,Cascade!$E:$E,0)),"")</f>
        <v>528</v>
      </c>
      <c r="G34" s="73" t="n">
        <f aca="false">_xlfn.IFNA(INDEX(HTS!$BT:$BT,MATCH($E34,HTS!$E:$E,0)),"")</f>
        <v>12987</v>
      </c>
      <c r="H34" s="73" t="str">
        <f aca="false">_xlfn.IFNA(INDEX(AGYW!$U:$U,MATCH($E34,AGYW!$E:$E,0)),"")</f>
        <v/>
      </c>
      <c r="I34" s="73" t="str">
        <f aca="false">_xlfn.IFNA(INDEX(AGYW!$V:$V,MATCH($E34,AGYW!$E:$E,0)),"")</f>
        <v/>
      </c>
      <c r="J34" s="73" t="n">
        <v>25</v>
      </c>
      <c r="K34" s="73" t="n">
        <v>11</v>
      </c>
      <c r="L34" s="75"/>
      <c r="M34" s="73" t="n">
        <v>3</v>
      </c>
      <c r="N34" s="73" t="n">
        <v>34</v>
      </c>
      <c r="O34" s="75"/>
    </row>
    <row r="35" customFormat="false" ht="15" hidden="false" customHeight="false" outlineLevel="0" collapsed="false">
      <c r="A35" s="0" t="s">
        <v>142</v>
      </c>
      <c r="B35" s="0" t="s">
        <v>109</v>
      </c>
      <c r="C35" s="0" t="s">
        <v>69</v>
      </c>
      <c r="D35" s="0" t="s">
        <v>56</v>
      </c>
      <c r="E35" s="0" t="str">
        <f aca="false">B35&amp;"|"&amp;C35&amp;"|"&amp;D35</f>
        <v>Berea [#SNU] [#DREAMS] [wpg5evyl1OL]|25-29|Female</v>
      </c>
      <c r="F35" s="73" t="n">
        <f aca="false">_xlfn.IFNA(INDEX(Cascade!$H:$H,MATCH($E35,Cascade!$E:$E,0)),"")</f>
        <v>2713</v>
      </c>
      <c r="G35" s="73" t="n">
        <f aca="false">_xlfn.IFNA(INDEX(HTS!$BT:$BT,MATCH($E35,HTS!$E:$E,0)),"")</f>
        <v>65284</v>
      </c>
      <c r="H35" s="73" t="str">
        <f aca="false">_xlfn.IFNA(INDEX(AGYW!$U:$U,MATCH($E35,AGYW!$E:$E,0)),"")</f>
        <v/>
      </c>
      <c r="I35" s="73" t="str">
        <f aca="false">_xlfn.IFNA(INDEX(AGYW!$V:$V,MATCH($E35,AGYW!$E:$E,0)),"")</f>
        <v/>
      </c>
      <c r="J35" s="73" t="n">
        <v>30</v>
      </c>
      <c r="K35" s="73" t="n">
        <v>41</v>
      </c>
      <c r="L35" s="75"/>
      <c r="M35" s="73" t="n">
        <v>22</v>
      </c>
      <c r="N35" s="73" t="n">
        <v>23</v>
      </c>
      <c r="O35" s="75"/>
    </row>
    <row r="36" customFormat="false" ht="15" hidden="false" customHeight="false" outlineLevel="0" collapsed="false">
      <c r="A36" s="0" t="s">
        <v>142</v>
      </c>
      <c r="B36" s="0" t="s">
        <v>109</v>
      </c>
      <c r="C36" s="0" t="s">
        <v>69</v>
      </c>
      <c r="D36" s="0" t="s">
        <v>58</v>
      </c>
      <c r="E36" s="0" t="str">
        <f aca="false">B36&amp;"|"&amp;C36&amp;"|"&amp;D36</f>
        <v>Berea [#SNU] [#DREAMS] [wpg5evyl1OL]|25-29|Male</v>
      </c>
      <c r="F36" s="73" t="n">
        <f aca="false">_xlfn.IFNA(INDEX(Cascade!$H:$H,MATCH($E36,Cascade!$E:$E,0)),"")</f>
        <v>1188</v>
      </c>
      <c r="G36" s="73" t="n">
        <f aca="false">_xlfn.IFNA(INDEX(HTS!$BT:$BT,MATCH($E36,HTS!$E:$E,0)),"")</f>
        <v>4549</v>
      </c>
      <c r="H36" s="73" t="str">
        <f aca="false">_xlfn.IFNA(INDEX(AGYW!$U:$U,MATCH($E36,AGYW!$E:$E,0)),"")</f>
        <v/>
      </c>
      <c r="I36" s="73" t="str">
        <f aca="false">_xlfn.IFNA(INDEX(AGYW!$V:$V,MATCH($E36,AGYW!$E:$E,0)),"")</f>
        <v/>
      </c>
      <c r="J36" s="73" t="n">
        <v>33</v>
      </c>
      <c r="K36" s="73" t="n">
        <v>38</v>
      </c>
      <c r="L36" s="75"/>
      <c r="M36" s="73" t="n">
        <v>13</v>
      </c>
      <c r="N36" s="73" t="n">
        <v>44</v>
      </c>
      <c r="O36" s="75"/>
    </row>
    <row r="37" customFormat="false" ht="15" hidden="false" customHeight="false" outlineLevel="0" collapsed="false">
      <c r="A37" s="0" t="s">
        <v>142</v>
      </c>
      <c r="B37" s="0" t="s">
        <v>109</v>
      </c>
      <c r="C37" s="0" t="s">
        <v>72</v>
      </c>
      <c r="D37" s="0" t="s">
        <v>56</v>
      </c>
      <c r="E37" s="0" t="str">
        <f aca="false">B37&amp;"|"&amp;C37&amp;"|"&amp;D37</f>
        <v>Berea [#SNU] [#DREAMS] [wpg5evyl1OL]|30-34|Female</v>
      </c>
      <c r="F37" s="73" t="n">
        <f aca="false">_xlfn.IFNA(INDEX(Cascade!$H:$H,MATCH($E37,Cascade!$E:$E,0)),"")</f>
        <v>3878</v>
      </c>
      <c r="G37" s="73" t="n">
        <f aca="false">_xlfn.IFNA(INDEX(HTS!$BT:$BT,MATCH($E37,HTS!$E:$E,0)),"")</f>
        <v>28911</v>
      </c>
      <c r="H37" s="73" t="str">
        <f aca="false">_xlfn.IFNA(INDEX(AGYW!$U:$U,MATCH($E37,AGYW!$E:$E,0)),"")</f>
        <v/>
      </c>
      <c r="I37" s="73" t="str">
        <f aca="false">_xlfn.IFNA(INDEX(AGYW!$V:$V,MATCH($E37,AGYW!$E:$E,0)),"")</f>
        <v/>
      </c>
      <c r="J37" s="73" t="n">
        <v>30</v>
      </c>
      <c r="K37" s="73" t="n">
        <v>1</v>
      </c>
      <c r="L37" s="75"/>
      <c r="M37" s="73" t="n">
        <v>19</v>
      </c>
      <c r="N37" s="73" t="n">
        <v>3</v>
      </c>
      <c r="O37" s="75"/>
    </row>
    <row r="38" customFormat="false" ht="15" hidden="false" customHeight="false" outlineLevel="0" collapsed="false">
      <c r="A38" s="0" t="s">
        <v>142</v>
      </c>
      <c r="B38" s="0" t="s">
        <v>109</v>
      </c>
      <c r="C38" s="0" t="s">
        <v>72</v>
      </c>
      <c r="D38" s="0" t="s">
        <v>58</v>
      </c>
      <c r="E38" s="0" t="str">
        <f aca="false">B38&amp;"|"&amp;C38&amp;"|"&amp;D38</f>
        <v>Berea [#SNU] [#DREAMS] [wpg5evyl1OL]|30-34|Male</v>
      </c>
      <c r="F38" s="73" t="n">
        <f aca="false">_xlfn.IFNA(INDEX(Cascade!$H:$H,MATCH($E38,Cascade!$E:$E,0)),"")</f>
        <v>2167</v>
      </c>
      <c r="G38" s="73" t="n">
        <f aca="false">_xlfn.IFNA(INDEX(HTS!$BT:$BT,MATCH($E38,HTS!$E:$E,0)),"")</f>
        <v>17646</v>
      </c>
      <c r="H38" s="73" t="str">
        <f aca="false">_xlfn.IFNA(INDEX(AGYW!$U:$U,MATCH($E38,AGYW!$E:$E,0)),"")</f>
        <v/>
      </c>
      <c r="I38" s="73" t="str">
        <f aca="false">_xlfn.IFNA(INDEX(AGYW!$V:$V,MATCH($E38,AGYW!$E:$E,0)),"")</f>
        <v/>
      </c>
      <c r="J38" s="73" t="n">
        <v>33</v>
      </c>
      <c r="K38" s="73" t="n">
        <v>46</v>
      </c>
      <c r="L38" s="75"/>
      <c r="M38" s="73" t="n">
        <v>13</v>
      </c>
      <c r="N38" s="73" t="n">
        <v>24</v>
      </c>
      <c r="O38" s="75"/>
    </row>
    <row r="39" customFormat="false" ht="15" hidden="false" customHeight="false" outlineLevel="0" collapsed="false">
      <c r="A39" s="0" t="s">
        <v>142</v>
      </c>
      <c r="B39" s="0" t="s">
        <v>109</v>
      </c>
      <c r="C39" s="0" t="s">
        <v>75</v>
      </c>
      <c r="D39" s="0" t="s">
        <v>56</v>
      </c>
      <c r="E39" s="0" t="str">
        <f aca="false">B39&amp;"|"&amp;C39&amp;"|"&amp;D39</f>
        <v>Berea [#SNU] [#DREAMS] [wpg5evyl1OL]|35-39|Female</v>
      </c>
      <c r="F39" s="73" t="n">
        <f aca="false">_xlfn.IFNA(INDEX(Cascade!$H:$H,MATCH($E39,Cascade!$E:$E,0)),"")</f>
        <v>3790</v>
      </c>
      <c r="G39" s="73" t="n">
        <f aca="false">_xlfn.IFNA(INDEX(HTS!$BT:$BT,MATCH($E39,HTS!$E:$E,0)),"")</f>
        <v>15113</v>
      </c>
      <c r="H39" s="73" t="str">
        <f aca="false">_xlfn.IFNA(INDEX(AGYW!$U:$U,MATCH($E39,AGYW!$E:$E,0)),"")</f>
        <v/>
      </c>
      <c r="I39" s="73" t="str">
        <f aca="false">_xlfn.IFNA(INDEX(AGYW!$V:$V,MATCH($E39,AGYW!$E:$E,0)),"")</f>
        <v/>
      </c>
      <c r="J39" s="73" t="n">
        <v>8</v>
      </c>
      <c r="K39" s="73" t="n">
        <v>10</v>
      </c>
      <c r="L39" s="75"/>
      <c r="M39" s="73" t="n">
        <v>35</v>
      </c>
      <c r="N39" s="73" t="n">
        <v>47</v>
      </c>
      <c r="O39" s="75"/>
    </row>
    <row r="40" customFormat="false" ht="15" hidden="false" customHeight="false" outlineLevel="0" collapsed="false">
      <c r="A40" s="0" t="s">
        <v>142</v>
      </c>
      <c r="B40" s="0" t="s">
        <v>109</v>
      </c>
      <c r="C40" s="0" t="s">
        <v>75</v>
      </c>
      <c r="D40" s="0" t="s">
        <v>58</v>
      </c>
      <c r="E40" s="0" t="str">
        <f aca="false">B40&amp;"|"&amp;C40&amp;"|"&amp;D40</f>
        <v>Berea [#SNU] [#DREAMS] [wpg5evyl1OL]|35-39|Male</v>
      </c>
      <c r="F40" s="73" t="n">
        <f aca="false">_xlfn.IFNA(INDEX(Cascade!$H:$H,MATCH($E40,Cascade!$E:$E,0)),"")</f>
        <v>2673</v>
      </c>
      <c r="G40" s="73" t="n">
        <f aca="false">_xlfn.IFNA(INDEX(HTS!$BT:$BT,MATCH($E40,HTS!$E:$E,0)),"")</f>
        <v>-222</v>
      </c>
      <c r="H40" s="73" t="str">
        <f aca="false">_xlfn.IFNA(INDEX(AGYW!$U:$U,MATCH($E40,AGYW!$E:$E,0)),"")</f>
        <v/>
      </c>
      <c r="I40" s="73" t="str">
        <f aca="false">_xlfn.IFNA(INDEX(AGYW!$V:$V,MATCH($E40,AGYW!$E:$E,0)),"")</f>
        <v/>
      </c>
      <c r="J40" s="73" t="n">
        <v>40</v>
      </c>
      <c r="K40" s="73" t="n">
        <v>1</v>
      </c>
      <c r="L40" s="75"/>
      <c r="M40" s="73" t="n">
        <v>27</v>
      </c>
      <c r="N40" s="73" t="n">
        <v>38</v>
      </c>
      <c r="O40" s="75"/>
    </row>
    <row r="41" customFormat="false" ht="15" hidden="false" customHeight="false" outlineLevel="0" collapsed="false">
      <c r="A41" s="0" t="s">
        <v>142</v>
      </c>
      <c r="B41" s="0" t="s">
        <v>109</v>
      </c>
      <c r="C41" s="0" t="s">
        <v>77</v>
      </c>
      <c r="D41" s="0" t="s">
        <v>56</v>
      </c>
      <c r="E41" s="0" t="str">
        <f aca="false">B41&amp;"|"&amp;C41&amp;"|"&amp;D41</f>
        <v>Berea [#SNU] [#DREAMS] [wpg5evyl1OL]|40-44|Female</v>
      </c>
      <c r="F41" s="73" t="n">
        <f aca="false">_xlfn.IFNA(INDEX(Cascade!$H:$H,MATCH($E41,Cascade!$E:$E,0)),"")</f>
        <v>3070</v>
      </c>
      <c r="G41" s="73" t="n">
        <f aca="false">_xlfn.IFNA(INDEX(HTS!$BT:$BT,MATCH($E41,HTS!$E:$E,0)),"")</f>
        <v>-1043</v>
      </c>
      <c r="H41" s="73" t="str">
        <f aca="false">_xlfn.IFNA(INDEX(AGYW!$U:$U,MATCH($E41,AGYW!$E:$E,0)),"")</f>
        <v/>
      </c>
      <c r="I41" s="73" t="str">
        <f aca="false">_xlfn.IFNA(INDEX(AGYW!$V:$V,MATCH($E41,AGYW!$E:$E,0)),"")</f>
        <v/>
      </c>
      <c r="J41" s="73" t="n">
        <v>41</v>
      </c>
      <c r="K41" s="73" t="n">
        <v>25</v>
      </c>
      <c r="L41" s="75"/>
      <c r="M41" s="73" t="n">
        <v>34</v>
      </c>
      <c r="N41" s="73" t="n">
        <v>18</v>
      </c>
      <c r="O41" s="75"/>
    </row>
    <row r="42" customFormat="false" ht="15" hidden="false" customHeight="false" outlineLevel="0" collapsed="false">
      <c r="A42" s="0" t="s">
        <v>142</v>
      </c>
      <c r="B42" s="0" t="s">
        <v>109</v>
      </c>
      <c r="C42" s="0" t="s">
        <v>77</v>
      </c>
      <c r="D42" s="0" t="s">
        <v>58</v>
      </c>
      <c r="E42" s="0" t="str">
        <f aca="false">B42&amp;"|"&amp;C42&amp;"|"&amp;D42</f>
        <v>Berea [#SNU] [#DREAMS] [wpg5evyl1OL]|40-44|Male</v>
      </c>
      <c r="F42" s="73" t="n">
        <f aca="false">_xlfn.IFNA(INDEX(Cascade!$H:$H,MATCH($E42,Cascade!$E:$E,0)),"")</f>
        <v>2413</v>
      </c>
      <c r="G42" s="73" t="n">
        <f aca="false">_xlfn.IFNA(INDEX(HTS!$BT:$BT,MATCH($E42,HTS!$E:$E,0)),"")</f>
        <v>5906</v>
      </c>
      <c r="H42" s="73" t="str">
        <f aca="false">_xlfn.IFNA(INDEX(AGYW!$U:$U,MATCH($E42,AGYW!$E:$E,0)),"")</f>
        <v/>
      </c>
      <c r="I42" s="73" t="str">
        <f aca="false">_xlfn.IFNA(INDEX(AGYW!$V:$V,MATCH($E42,AGYW!$E:$E,0)),"")</f>
        <v/>
      </c>
      <c r="J42" s="73" t="n">
        <v>11</v>
      </c>
      <c r="K42" s="73" t="n">
        <v>2</v>
      </c>
      <c r="L42" s="75"/>
      <c r="M42" s="73" t="n">
        <v>28</v>
      </c>
      <c r="N42" s="73" t="n">
        <v>44</v>
      </c>
      <c r="O42" s="75"/>
    </row>
    <row r="43" customFormat="false" ht="15" hidden="false" customHeight="false" outlineLevel="0" collapsed="false">
      <c r="A43" s="0" t="s">
        <v>142</v>
      </c>
      <c r="B43" s="0" t="s">
        <v>109</v>
      </c>
      <c r="C43" s="0" t="s">
        <v>80</v>
      </c>
      <c r="D43" s="0" t="s">
        <v>56</v>
      </c>
      <c r="E43" s="0" t="str">
        <f aca="false">B43&amp;"|"&amp;C43&amp;"|"&amp;D43</f>
        <v>Berea [#SNU] [#DREAMS] [wpg5evyl1OL]|45-49|Female</v>
      </c>
      <c r="F43" s="73" t="n">
        <f aca="false">_xlfn.IFNA(INDEX(Cascade!$H:$H,MATCH($E43,Cascade!$E:$E,0)),"")</f>
        <v>2363</v>
      </c>
      <c r="G43" s="73" t="n">
        <f aca="false">_xlfn.IFNA(INDEX(HTS!$BT:$BT,MATCH($E43,HTS!$E:$E,0)),"")</f>
        <v>26040</v>
      </c>
      <c r="H43" s="73" t="str">
        <f aca="false">_xlfn.IFNA(INDEX(AGYW!$U:$U,MATCH($E43,AGYW!$E:$E,0)),"")</f>
        <v/>
      </c>
      <c r="I43" s="73" t="str">
        <f aca="false">_xlfn.IFNA(INDEX(AGYW!$V:$V,MATCH($E43,AGYW!$E:$E,0)),"")</f>
        <v/>
      </c>
      <c r="J43" s="73" t="n">
        <v>19</v>
      </c>
      <c r="K43" s="73" t="n">
        <v>40</v>
      </c>
      <c r="L43" s="75"/>
      <c r="M43" s="73" t="n">
        <v>6</v>
      </c>
      <c r="N43" s="73" t="n">
        <v>16</v>
      </c>
      <c r="O43" s="75"/>
    </row>
    <row r="44" customFormat="false" ht="15" hidden="false" customHeight="false" outlineLevel="0" collapsed="false">
      <c r="A44" s="0" t="s">
        <v>142</v>
      </c>
      <c r="B44" s="0" t="s">
        <v>109</v>
      </c>
      <c r="C44" s="0" t="s">
        <v>80</v>
      </c>
      <c r="D44" s="0" t="s">
        <v>58</v>
      </c>
      <c r="E44" s="0" t="str">
        <f aca="false">B44&amp;"|"&amp;C44&amp;"|"&amp;D44</f>
        <v>Berea [#SNU] [#DREAMS] [wpg5evyl1OL]|45-49|Male</v>
      </c>
      <c r="F44" s="73" t="n">
        <f aca="false">_xlfn.IFNA(INDEX(Cascade!$H:$H,MATCH($E44,Cascade!$E:$E,0)),"")</f>
        <v>2031</v>
      </c>
      <c r="G44" s="73" t="n">
        <f aca="false">_xlfn.IFNA(INDEX(HTS!$BT:$BT,MATCH($E44,HTS!$E:$E,0)),"")</f>
        <v>6209</v>
      </c>
      <c r="H44" s="73" t="str">
        <f aca="false">_xlfn.IFNA(INDEX(AGYW!$U:$U,MATCH($E44,AGYW!$E:$E,0)),"")</f>
        <v/>
      </c>
      <c r="I44" s="73" t="str">
        <f aca="false">_xlfn.IFNA(INDEX(AGYW!$V:$V,MATCH($E44,AGYW!$E:$E,0)),"")</f>
        <v/>
      </c>
      <c r="J44" s="73" t="n">
        <v>21</v>
      </c>
      <c r="K44" s="73" t="n">
        <v>1</v>
      </c>
      <c r="L44" s="75"/>
      <c r="M44" s="73" t="n">
        <v>21</v>
      </c>
      <c r="N44" s="73" t="n">
        <v>36</v>
      </c>
      <c r="O44" s="75"/>
    </row>
    <row r="45" customFormat="false" ht="15" hidden="false" customHeight="false" outlineLevel="0" collapsed="false">
      <c r="A45" s="0" t="s">
        <v>142</v>
      </c>
      <c r="B45" s="0" t="s">
        <v>109</v>
      </c>
      <c r="C45" s="0" t="s">
        <v>86</v>
      </c>
      <c r="D45" s="0" t="s">
        <v>56</v>
      </c>
      <c r="E45" s="0" t="str">
        <f aca="false">B45&amp;"|"&amp;C45&amp;"|"&amp;D45</f>
        <v>Berea [#SNU] [#DREAMS] [wpg5evyl1OL]|50+|Female</v>
      </c>
      <c r="F45" s="73" t="n">
        <f aca="false">_xlfn.IFNA(INDEX(Cascade!$H:$H,MATCH($E45,Cascade!$E:$E,0)),"")</f>
        <v>6500</v>
      </c>
      <c r="G45" s="73" t="n">
        <f aca="false">_xlfn.IFNA(INDEX(HTS!$BT:$BT,MATCH($E45,HTS!$E:$E,0)),"")</f>
        <v>15540</v>
      </c>
      <c r="H45" s="73" t="str">
        <f aca="false">_xlfn.IFNA(INDEX(AGYW!$U:$U,MATCH($E45,AGYW!$E:$E,0)),"")</f>
        <v/>
      </c>
      <c r="I45" s="73" t="str">
        <f aca="false">_xlfn.IFNA(INDEX(AGYW!$V:$V,MATCH($E45,AGYW!$E:$E,0)),"")</f>
        <v/>
      </c>
      <c r="J45" s="73" t="n">
        <v>5</v>
      </c>
      <c r="K45" s="73" t="n">
        <v>37</v>
      </c>
      <c r="L45" s="75"/>
      <c r="M45" s="73" t="n">
        <v>32</v>
      </c>
      <c r="N45" s="73" t="n">
        <v>28</v>
      </c>
      <c r="O45" s="75"/>
    </row>
    <row r="46" customFormat="false" ht="15" hidden="false" customHeight="false" outlineLevel="0" collapsed="false">
      <c r="A46" s="0" t="s">
        <v>142</v>
      </c>
      <c r="B46" s="0" t="s">
        <v>109</v>
      </c>
      <c r="C46" s="0" t="s">
        <v>86</v>
      </c>
      <c r="D46" s="0" t="s">
        <v>58</v>
      </c>
      <c r="E46" s="0" t="str">
        <f aca="false">B46&amp;"|"&amp;C46&amp;"|"&amp;D46</f>
        <v>Berea [#SNU] [#DREAMS] [wpg5evyl1OL]|50+|Male</v>
      </c>
      <c r="F46" s="73" t="n">
        <f aca="false">_xlfn.IFNA(INDEX(Cascade!$H:$H,MATCH($E46,Cascade!$E:$E,0)),"")</f>
        <v>4847</v>
      </c>
      <c r="G46" s="73" t="n">
        <f aca="false">_xlfn.IFNA(INDEX(HTS!$BT:$BT,MATCH($E46,HTS!$E:$E,0)),"")</f>
        <v>61406</v>
      </c>
      <c r="H46" s="73" t="str">
        <f aca="false">_xlfn.IFNA(INDEX(AGYW!$U:$U,MATCH($E46,AGYW!$E:$E,0)),"")</f>
        <v/>
      </c>
      <c r="I46" s="73" t="str">
        <f aca="false">_xlfn.IFNA(INDEX(AGYW!$V:$V,MATCH($E46,AGYW!$E:$E,0)),"")</f>
        <v/>
      </c>
      <c r="J46" s="73" t="n">
        <v>13</v>
      </c>
      <c r="K46" s="73" t="n">
        <v>2</v>
      </c>
      <c r="L46" s="75"/>
      <c r="M46" s="73" t="n">
        <v>13</v>
      </c>
      <c r="N46" s="73" t="n">
        <v>50</v>
      </c>
      <c r="O46" s="75"/>
    </row>
    <row r="47" customFormat="false" ht="15" hidden="false" customHeight="false" outlineLevel="0" collapsed="false">
      <c r="A47" s="0" t="s">
        <v>143</v>
      </c>
      <c r="B47" s="0" t="s">
        <v>115</v>
      </c>
      <c r="C47" s="0" t="s">
        <v>63</v>
      </c>
      <c r="D47" s="0" t="s">
        <v>56</v>
      </c>
      <c r="E47" s="0" t="str">
        <f aca="false">B47&amp;"|"&amp;C47&amp;"|"&amp;D47</f>
        <v>Butha Buthe [#SNU] [mvPRqBFtVC0]|15-19|Female</v>
      </c>
      <c r="F47" s="73" t="n">
        <f aca="false">_xlfn.IFNA(INDEX(Cascade!$H:$H,MATCH($E47,Cascade!$E:$E,0)),"")</f>
        <v>208</v>
      </c>
      <c r="G47" s="73" t="n">
        <f aca="false">_xlfn.IFNA(INDEX(HTS!$BT:$BT,MATCH($E47,HTS!$E:$E,0)),"")</f>
        <v>1993</v>
      </c>
      <c r="H47" s="73" t="str">
        <f aca="false">_xlfn.IFNA(INDEX(AGYW!$U:$U,MATCH($E47,AGYW!$E:$E,0)),"")</f>
        <v/>
      </c>
      <c r="I47" s="73" t="str">
        <f aca="false">_xlfn.IFNA(INDEX(AGYW!$V:$V,MATCH($E47,AGYW!$E:$E,0)),"")</f>
        <v/>
      </c>
      <c r="J47" s="73" t="n">
        <v>45</v>
      </c>
      <c r="K47" s="73" t="n">
        <v>22</v>
      </c>
      <c r="L47" s="75"/>
      <c r="M47" s="73" t="n">
        <v>31</v>
      </c>
      <c r="N47" s="73" t="n">
        <v>28</v>
      </c>
      <c r="O47" s="75"/>
    </row>
    <row r="48" customFormat="false" ht="15" hidden="false" customHeight="false" outlineLevel="0" collapsed="false">
      <c r="A48" s="0" t="s">
        <v>143</v>
      </c>
      <c r="B48" s="0" t="s">
        <v>115</v>
      </c>
      <c r="C48" s="0" t="s">
        <v>63</v>
      </c>
      <c r="D48" s="0" t="s">
        <v>58</v>
      </c>
      <c r="E48" s="0" t="str">
        <f aca="false">B48&amp;"|"&amp;C48&amp;"|"&amp;D48</f>
        <v>Butha Buthe [#SNU] [mvPRqBFtVC0]|15-19|Male</v>
      </c>
      <c r="F48" s="73" t="n">
        <f aca="false">_xlfn.IFNA(INDEX(Cascade!$H:$H,MATCH($E48,Cascade!$E:$E,0)),"")</f>
        <v>117</v>
      </c>
      <c r="G48" s="73" t="n">
        <f aca="false">_xlfn.IFNA(INDEX(HTS!$BT:$BT,MATCH($E48,HTS!$E:$E,0)),"")</f>
        <v>39</v>
      </c>
      <c r="H48" s="73" t="str">
        <f aca="false">_xlfn.IFNA(INDEX(AGYW!$U:$U,MATCH($E48,AGYW!$E:$E,0)),"")</f>
        <v/>
      </c>
      <c r="I48" s="73" t="str">
        <f aca="false">_xlfn.IFNA(INDEX(AGYW!$V:$V,MATCH($E48,AGYW!$E:$E,0)),"")</f>
        <v/>
      </c>
      <c r="J48" s="73" t="n">
        <v>20</v>
      </c>
      <c r="K48" s="73" t="n">
        <v>27</v>
      </c>
      <c r="L48" s="75"/>
      <c r="M48" s="73" t="n">
        <v>37</v>
      </c>
      <c r="N48" s="73" t="n">
        <v>17</v>
      </c>
      <c r="O48" s="75"/>
    </row>
    <row r="49" customFormat="false" ht="15" hidden="false" customHeight="false" outlineLevel="0" collapsed="false">
      <c r="A49" s="0" t="s">
        <v>143</v>
      </c>
      <c r="B49" s="0" t="s">
        <v>115</v>
      </c>
      <c r="C49" s="0" t="s">
        <v>66</v>
      </c>
      <c r="D49" s="0" t="s">
        <v>56</v>
      </c>
      <c r="E49" s="0" t="str">
        <f aca="false">B49&amp;"|"&amp;C49&amp;"|"&amp;D49</f>
        <v>Butha Buthe [#SNU] [mvPRqBFtVC0]|20-24|Female</v>
      </c>
      <c r="F49" s="73" t="n">
        <f aca="false">_xlfn.IFNA(INDEX(Cascade!$H:$H,MATCH($E49,Cascade!$E:$E,0)),"")</f>
        <v>550</v>
      </c>
      <c r="G49" s="73" t="n">
        <f aca="false">_xlfn.IFNA(INDEX(HTS!$BT:$BT,MATCH($E49,HTS!$E:$E,0)),"")</f>
        <v>3753</v>
      </c>
      <c r="H49" s="73" t="str">
        <f aca="false">_xlfn.IFNA(INDEX(AGYW!$U:$U,MATCH($E49,AGYW!$E:$E,0)),"")</f>
        <v/>
      </c>
      <c r="I49" s="73" t="str">
        <f aca="false">_xlfn.IFNA(INDEX(AGYW!$V:$V,MATCH($E49,AGYW!$E:$E,0)),"")</f>
        <v/>
      </c>
      <c r="J49" s="73" t="n">
        <v>13</v>
      </c>
      <c r="K49" s="73" t="n">
        <v>11</v>
      </c>
      <c r="L49" s="75"/>
      <c r="M49" s="73" t="n">
        <v>21</v>
      </c>
      <c r="N49" s="73" t="n">
        <v>4</v>
      </c>
      <c r="O49" s="75"/>
    </row>
    <row r="50" customFormat="false" ht="15" hidden="false" customHeight="false" outlineLevel="0" collapsed="false">
      <c r="A50" s="0" t="s">
        <v>143</v>
      </c>
      <c r="B50" s="0" t="s">
        <v>115</v>
      </c>
      <c r="C50" s="0" t="s">
        <v>66</v>
      </c>
      <c r="D50" s="0" t="s">
        <v>58</v>
      </c>
      <c r="E50" s="0" t="str">
        <f aca="false">B50&amp;"|"&amp;C50&amp;"|"&amp;D50</f>
        <v>Butha Buthe [#SNU] [mvPRqBFtVC0]|20-24|Male</v>
      </c>
      <c r="F50" s="73" t="n">
        <f aca="false">_xlfn.IFNA(INDEX(Cascade!$H:$H,MATCH($E50,Cascade!$E:$E,0)),"")</f>
        <v>196</v>
      </c>
      <c r="G50" s="73" t="n">
        <f aca="false">_xlfn.IFNA(INDEX(HTS!$BT:$BT,MATCH($E50,HTS!$E:$E,0)),"")</f>
        <v>-1356</v>
      </c>
      <c r="H50" s="73" t="str">
        <f aca="false">_xlfn.IFNA(INDEX(AGYW!$U:$U,MATCH($E50,AGYW!$E:$E,0)),"")</f>
        <v/>
      </c>
      <c r="I50" s="73" t="str">
        <f aca="false">_xlfn.IFNA(INDEX(AGYW!$V:$V,MATCH($E50,AGYW!$E:$E,0)),"")</f>
        <v/>
      </c>
      <c r="J50" s="73" t="n">
        <v>49</v>
      </c>
      <c r="K50" s="73" t="n">
        <v>22</v>
      </c>
      <c r="L50" s="75"/>
      <c r="M50" s="73" t="n">
        <v>40</v>
      </c>
      <c r="N50" s="73" t="n">
        <v>31</v>
      </c>
      <c r="O50" s="75"/>
    </row>
    <row r="51" customFormat="false" ht="15" hidden="false" customHeight="false" outlineLevel="0" collapsed="false">
      <c r="A51" s="0" t="s">
        <v>143</v>
      </c>
      <c r="B51" s="0" t="s">
        <v>115</v>
      </c>
      <c r="C51" s="0" t="s">
        <v>69</v>
      </c>
      <c r="D51" s="0" t="s">
        <v>56</v>
      </c>
      <c r="E51" s="0" t="str">
        <f aca="false">B51&amp;"|"&amp;C51&amp;"|"&amp;D51</f>
        <v>Butha Buthe [#SNU] [mvPRqBFtVC0]|25-29|Female</v>
      </c>
      <c r="F51" s="73" t="n">
        <f aca="false">_xlfn.IFNA(INDEX(Cascade!$H:$H,MATCH($E51,Cascade!$E:$E,0)),"")</f>
        <v>1040</v>
      </c>
      <c r="G51" s="73" t="n">
        <f aca="false">_xlfn.IFNA(INDEX(HTS!$BT:$BT,MATCH($E51,HTS!$E:$E,0)),"")</f>
        <v>38085</v>
      </c>
      <c r="H51" s="73" t="str">
        <f aca="false">_xlfn.IFNA(INDEX(AGYW!$U:$U,MATCH($E51,AGYW!$E:$E,0)),"")</f>
        <v/>
      </c>
      <c r="I51" s="73" t="str">
        <f aca="false">_xlfn.IFNA(INDEX(AGYW!$V:$V,MATCH($E51,AGYW!$E:$E,0)),"")</f>
        <v/>
      </c>
      <c r="J51" s="73" t="n">
        <v>15</v>
      </c>
      <c r="K51" s="73" t="n">
        <v>14</v>
      </c>
      <c r="L51" s="75"/>
      <c r="M51" s="73" t="n">
        <v>12</v>
      </c>
      <c r="N51" s="73" t="n">
        <v>10</v>
      </c>
      <c r="O51" s="75"/>
    </row>
    <row r="52" customFormat="false" ht="15" hidden="false" customHeight="false" outlineLevel="0" collapsed="false">
      <c r="A52" s="0" t="s">
        <v>143</v>
      </c>
      <c r="B52" s="0" t="s">
        <v>115</v>
      </c>
      <c r="C52" s="0" t="s">
        <v>69</v>
      </c>
      <c r="D52" s="0" t="s">
        <v>58</v>
      </c>
      <c r="E52" s="0" t="str">
        <f aca="false">B52&amp;"|"&amp;C52&amp;"|"&amp;D52</f>
        <v>Butha Buthe [#SNU] [mvPRqBFtVC0]|25-29|Male</v>
      </c>
      <c r="F52" s="73" t="n">
        <f aca="false">_xlfn.IFNA(INDEX(Cascade!$H:$H,MATCH($E52,Cascade!$E:$E,0)),"")</f>
        <v>457</v>
      </c>
      <c r="G52" s="73" t="n">
        <f aca="false">_xlfn.IFNA(INDEX(HTS!$BT:$BT,MATCH($E52,HTS!$E:$E,0)),"")</f>
        <v>27739</v>
      </c>
      <c r="H52" s="73" t="str">
        <f aca="false">_xlfn.IFNA(INDEX(AGYW!$U:$U,MATCH($E52,AGYW!$E:$E,0)),"")</f>
        <v/>
      </c>
      <c r="I52" s="73" t="str">
        <f aca="false">_xlfn.IFNA(INDEX(AGYW!$V:$V,MATCH($E52,AGYW!$E:$E,0)),"")</f>
        <v/>
      </c>
      <c r="J52" s="73" t="n">
        <v>29</v>
      </c>
      <c r="K52" s="73" t="n">
        <v>43</v>
      </c>
      <c r="L52" s="75"/>
      <c r="M52" s="73" t="n">
        <v>50</v>
      </c>
      <c r="N52" s="73" t="n">
        <v>8</v>
      </c>
      <c r="O52" s="75"/>
    </row>
    <row r="53" customFormat="false" ht="15" hidden="false" customHeight="false" outlineLevel="0" collapsed="false">
      <c r="A53" s="0" t="s">
        <v>143</v>
      </c>
      <c r="B53" s="0" t="s">
        <v>115</v>
      </c>
      <c r="C53" s="0" t="s">
        <v>72</v>
      </c>
      <c r="D53" s="0" t="s">
        <v>56</v>
      </c>
      <c r="E53" s="0" t="str">
        <f aca="false">B53&amp;"|"&amp;C53&amp;"|"&amp;D53</f>
        <v>Butha Buthe [#SNU] [mvPRqBFtVC0]|30-34|Female</v>
      </c>
      <c r="F53" s="73" t="n">
        <f aca="false">_xlfn.IFNA(INDEX(Cascade!$H:$H,MATCH($E53,Cascade!$E:$E,0)),"")</f>
        <v>1477</v>
      </c>
      <c r="G53" s="73" t="n">
        <f aca="false">_xlfn.IFNA(INDEX(HTS!$BT:$BT,MATCH($E53,HTS!$E:$E,0)),"")</f>
        <v>11796</v>
      </c>
      <c r="H53" s="73" t="str">
        <f aca="false">_xlfn.IFNA(INDEX(AGYW!$U:$U,MATCH($E53,AGYW!$E:$E,0)),"")</f>
        <v/>
      </c>
      <c r="I53" s="73" t="str">
        <f aca="false">_xlfn.IFNA(INDEX(AGYW!$V:$V,MATCH($E53,AGYW!$E:$E,0)),"")</f>
        <v/>
      </c>
      <c r="J53" s="73" t="n">
        <v>43</v>
      </c>
      <c r="K53" s="73" t="n">
        <v>49</v>
      </c>
      <c r="L53" s="75"/>
      <c r="M53" s="73" t="n">
        <v>33</v>
      </c>
      <c r="N53" s="73" t="n">
        <v>39</v>
      </c>
      <c r="O53" s="75"/>
    </row>
    <row r="54" customFormat="false" ht="15" hidden="false" customHeight="false" outlineLevel="0" collapsed="false">
      <c r="A54" s="0" t="s">
        <v>143</v>
      </c>
      <c r="B54" s="0" t="s">
        <v>115</v>
      </c>
      <c r="C54" s="0" t="s">
        <v>72</v>
      </c>
      <c r="D54" s="0" t="s">
        <v>58</v>
      </c>
      <c r="E54" s="0" t="str">
        <f aca="false">B54&amp;"|"&amp;C54&amp;"|"&amp;D54</f>
        <v>Butha Buthe [#SNU] [mvPRqBFtVC0]|30-34|Male</v>
      </c>
      <c r="F54" s="73" t="n">
        <f aca="false">_xlfn.IFNA(INDEX(Cascade!$H:$H,MATCH($E54,Cascade!$E:$E,0)),"")</f>
        <v>862</v>
      </c>
      <c r="G54" s="73" t="n">
        <f aca="false">_xlfn.IFNA(INDEX(HTS!$BT:$BT,MATCH($E54,HTS!$E:$E,0)),"")</f>
        <v>2819</v>
      </c>
      <c r="H54" s="73" t="str">
        <f aca="false">_xlfn.IFNA(INDEX(AGYW!$U:$U,MATCH($E54,AGYW!$E:$E,0)),"")</f>
        <v/>
      </c>
      <c r="I54" s="73" t="str">
        <f aca="false">_xlfn.IFNA(INDEX(AGYW!$V:$V,MATCH($E54,AGYW!$E:$E,0)),"")</f>
        <v/>
      </c>
      <c r="J54" s="73" t="n">
        <v>27</v>
      </c>
      <c r="K54" s="73"/>
      <c r="L54" s="75"/>
      <c r="M54" s="73" t="n">
        <v>7</v>
      </c>
      <c r="N54" s="73"/>
      <c r="O54" s="75"/>
    </row>
    <row r="55" customFormat="false" ht="15" hidden="false" customHeight="false" outlineLevel="0" collapsed="false">
      <c r="A55" s="0" t="s">
        <v>143</v>
      </c>
      <c r="B55" s="0" t="s">
        <v>115</v>
      </c>
      <c r="C55" s="0" t="s">
        <v>75</v>
      </c>
      <c r="D55" s="0" t="s">
        <v>56</v>
      </c>
      <c r="E55" s="0" t="str">
        <f aca="false">B55&amp;"|"&amp;C55&amp;"|"&amp;D55</f>
        <v>Butha Buthe [#SNU] [mvPRqBFtVC0]|35-39|Female</v>
      </c>
      <c r="F55" s="73" t="n">
        <f aca="false">_xlfn.IFNA(INDEX(Cascade!$H:$H,MATCH($E55,Cascade!$E:$E,0)),"")</f>
        <v>1429</v>
      </c>
      <c r="G55" s="73" t="n">
        <f aca="false">_xlfn.IFNA(INDEX(HTS!$BT:$BT,MATCH($E55,HTS!$E:$E,0)),"")</f>
        <v>21564</v>
      </c>
      <c r="H55" s="73" t="str">
        <f aca="false">_xlfn.IFNA(INDEX(AGYW!$U:$U,MATCH($E55,AGYW!$E:$E,0)),"")</f>
        <v/>
      </c>
      <c r="I55" s="73" t="str">
        <f aca="false">_xlfn.IFNA(INDEX(AGYW!$V:$V,MATCH($E55,AGYW!$E:$E,0)),"")</f>
        <v/>
      </c>
      <c r="J55" s="73" t="n">
        <v>42</v>
      </c>
      <c r="K55" s="73" t="n">
        <v>43</v>
      </c>
      <c r="L55" s="75"/>
      <c r="M55" s="73" t="n">
        <v>50</v>
      </c>
      <c r="N55" s="73" t="n">
        <v>17</v>
      </c>
      <c r="O55" s="75"/>
    </row>
    <row r="56" customFormat="false" ht="15" hidden="false" customHeight="false" outlineLevel="0" collapsed="false">
      <c r="A56" s="0" t="s">
        <v>143</v>
      </c>
      <c r="B56" s="0" t="s">
        <v>115</v>
      </c>
      <c r="C56" s="0" t="s">
        <v>75</v>
      </c>
      <c r="D56" s="0" t="s">
        <v>58</v>
      </c>
      <c r="E56" s="0" t="str">
        <f aca="false">B56&amp;"|"&amp;C56&amp;"|"&amp;D56</f>
        <v>Butha Buthe [#SNU] [mvPRqBFtVC0]|35-39|Male</v>
      </c>
      <c r="F56" s="73" t="n">
        <f aca="false">_xlfn.IFNA(INDEX(Cascade!$H:$H,MATCH($E56,Cascade!$E:$E,0)),"")</f>
        <v>1066</v>
      </c>
      <c r="G56" s="73" t="n">
        <f aca="false">_xlfn.IFNA(INDEX(HTS!$BT:$BT,MATCH($E56,HTS!$E:$E,0)),"")</f>
        <v>42826</v>
      </c>
      <c r="H56" s="73" t="str">
        <f aca="false">_xlfn.IFNA(INDEX(AGYW!$U:$U,MATCH($E56,AGYW!$E:$E,0)),"")</f>
        <v/>
      </c>
      <c r="I56" s="73" t="str">
        <f aca="false">_xlfn.IFNA(INDEX(AGYW!$V:$V,MATCH($E56,AGYW!$E:$E,0)),"")</f>
        <v/>
      </c>
      <c r="J56" s="73" t="n">
        <v>5</v>
      </c>
      <c r="K56" s="73" t="n">
        <v>19</v>
      </c>
      <c r="L56" s="75"/>
      <c r="M56" s="73" t="n">
        <v>37</v>
      </c>
      <c r="N56" s="73" t="n">
        <v>46</v>
      </c>
      <c r="O56" s="75"/>
    </row>
    <row r="57" customFormat="false" ht="15" hidden="false" customHeight="false" outlineLevel="0" collapsed="false">
      <c r="A57" s="0" t="s">
        <v>143</v>
      </c>
      <c r="B57" s="0" t="s">
        <v>115</v>
      </c>
      <c r="C57" s="0" t="s">
        <v>77</v>
      </c>
      <c r="D57" s="0" t="s">
        <v>56</v>
      </c>
      <c r="E57" s="0" t="str">
        <f aca="false">B57&amp;"|"&amp;C57&amp;"|"&amp;D57</f>
        <v>Butha Buthe [#SNU] [mvPRqBFtVC0]|40-44|Female</v>
      </c>
      <c r="F57" s="73" t="n">
        <f aca="false">_xlfn.IFNA(INDEX(Cascade!$H:$H,MATCH($E57,Cascade!$E:$E,0)),"")</f>
        <v>1146</v>
      </c>
      <c r="G57" s="73" t="n">
        <f aca="false">_xlfn.IFNA(INDEX(HTS!$BT:$BT,MATCH($E57,HTS!$E:$E,0)),"")</f>
        <v>14757</v>
      </c>
      <c r="H57" s="73" t="str">
        <f aca="false">_xlfn.IFNA(INDEX(AGYW!$U:$U,MATCH($E57,AGYW!$E:$E,0)),"")</f>
        <v/>
      </c>
      <c r="I57" s="73" t="str">
        <f aca="false">_xlfn.IFNA(INDEX(AGYW!$V:$V,MATCH($E57,AGYW!$E:$E,0)),"")</f>
        <v/>
      </c>
      <c r="J57" s="73" t="n">
        <v>31</v>
      </c>
      <c r="K57" s="73" t="n">
        <v>15</v>
      </c>
      <c r="L57" s="75"/>
      <c r="M57" s="73" t="n">
        <v>27</v>
      </c>
      <c r="N57" s="73" t="n">
        <v>1</v>
      </c>
      <c r="O57" s="75"/>
    </row>
    <row r="58" customFormat="false" ht="15" hidden="false" customHeight="false" outlineLevel="0" collapsed="false">
      <c r="A58" s="0" t="s">
        <v>143</v>
      </c>
      <c r="B58" s="0" t="s">
        <v>115</v>
      </c>
      <c r="C58" s="0" t="s">
        <v>77</v>
      </c>
      <c r="D58" s="0" t="s">
        <v>58</v>
      </c>
      <c r="E58" s="0" t="str">
        <f aca="false">B58&amp;"|"&amp;C58&amp;"|"&amp;D58</f>
        <v>Butha Buthe [#SNU] [mvPRqBFtVC0]|40-44|Male</v>
      </c>
      <c r="F58" s="73" t="n">
        <f aca="false">_xlfn.IFNA(INDEX(Cascade!$H:$H,MATCH($E58,Cascade!$E:$E,0)),"")</f>
        <v>959</v>
      </c>
      <c r="G58" s="73" t="n">
        <f aca="false">_xlfn.IFNA(INDEX(HTS!$BT:$BT,MATCH($E58,HTS!$E:$E,0)),"")</f>
        <v>18199</v>
      </c>
      <c r="H58" s="73" t="str">
        <f aca="false">_xlfn.IFNA(INDEX(AGYW!$U:$U,MATCH($E58,AGYW!$E:$E,0)),"")</f>
        <v/>
      </c>
      <c r="I58" s="73" t="str">
        <f aca="false">_xlfn.IFNA(INDEX(AGYW!$V:$V,MATCH($E58,AGYW!$E:$E,0)),"")</f>
        <v/>
      </c>
      <c r="J58" s="73" t="n">
        <v>24</v>
      </c>
      <c r="K58" s="73" t="n">
        <v>9</v>
      </c>
      <c r="L58" s="75"/>
      <c r="M58" s="73" t="n">
        <v>12</v>
      </c>
      <c r="N58" s="73" t="n">
        <v>26</v>
      </c>
      <c r="O58" s="75"/>
    </row>
    <row r="59" customFormat="false" ht="15" hidden="false" customHeight="false" outlineLevel="0" collapsed="false">
      <c r="A59" s="0" t="s">
        <v>143</v>
      </c>
      <c r="B59" s="0" t="s">
        <v>115</v>
      </c>
      <c r="C59" s="0" t="s">
        <v>80</v>
      </c>
      <c r="D59" s="0" t="s">
        <v>56</v>
      </c>
      <c r="E59" s="0" t="str">
        <f aca="false">B59&amp;"|"&amp;C59&amp;"|"&amp;D59</f>
        <v>Butha Buthe [#SNU] [mvPRqBFtVC0]|45-49|Female</v>
      </c>
      <c r="F59" s="73" t="n">
        <f aca="false">_xlfn.IFNA(INDEX(Cascade!$H:$H,MATCH($E59,Cascade!$E:$E,0)),"")</f>
        <v>857</v>
      </c>
      <c r="G59" s="73" t="n">
        <f aca="false">_xlfn.IFNA(INDEX(HTS!$BT:$BT,MATCH($E59,HTS!$E:$E,0)),"")</f>
        <v>-431</v>
      </c>
      <c r="H59" s="73" t="str">
        <f aca="false">_xlfn.IFNA(INDEX(AGYW!$U:$U,MATCH($E59,AGYW!$E:$E,0)),"")</f>
        <v/>
      </c>
      <c r="I59" s="73" t="str">
        <f aca="false">_xlfn.IFNA(INDEX(AGYW!$V:$V,MATCH($E59,AGYW!$E:$E,0)),"")</f>
        <v/>
      </c>
      <c r="J59" s="73" t="n">
        <v>33</v>
      </c>
      <c r="K59" s="73" t="n">
        <v>35</v>
      </c>
      <c r="L59" s="75"/>
      <c r="M59" s="73" t="n">
        <v>40</v>
      </c>
      <c r="N59" s="73" t="n">
        <v>8</v>
      </c>
      <c r="O59" s="75"/>
    </row>
    <row r="60" customFormat="false" ht="15" hidden="false" customHeight="false" outlineLevel="0" collapsed="false">
      <c r="A60" s="0" t="s">
        <v>143</v>
      </c>
      <c r="B60" s="0" t="s">
        <v>115</v>
      </c>
      <c r="C60" s="0" t="s">
        <v>80</v>
      </c>
      <c r="D60" s="0" t="s">
        <v>58</v>
      </c>
      <c r="E60" s="0" t="str">
        <f aca="false">B60&amp;"|"&amp;C60&amp;"|"&amp;D60</f>
        <v>Butha Buthe [#SNU] [mvPRqBFtVC0]|45-49|Male</v>
      </c>
      <c r="F60" s="73" t="n">
        <f aca="false">_xlfn.IFNA(INDEX(Cascade!$H:$H,MATCH($E60,Cascade!$E:$E,0)),"")</f>
        <v>787</v>
      </c>
      <c r="G60" s="73" t="n">
        <f aca="false">_xlfn.IFNA(INDEX(HTS!$BT:$BT,MATCH($E60,HTS!$E:$E,0)),"")</f>
        <v>15808</v>
      </c>
      <c r="H60" s="73" t="str">
        <f aca="false">_xlfn.IFNA(INDEX(AGYW!$U:$U,MATCH($E60,AGYW!$E:$E,0)),"")</f>
        <v/>
      </c>
      <c r="I60" s="73" t="str">
        <f aca="false">_xlfn.IFNA(INDEX(AGYW!$V:$V,MATCH($E60,AGYW!$E:$E,0)),"")</f>
        <v/>
      </c>
      <c r="J60" s="73" t="n">
        <v>18</v>
      </c>
      <c r="K60" s="73" t="n">
        <v>5</v>
      </c>
      <c r="L60" s="75"/>
      <c r="M60" s="73" t="n">
        <v>33</v>
      </c>
      <c r="N60" s="73" t="n">
        <v>10</v>
      </c>
      <c r="O60" s="75"/>
    </row>
    <row r="61" customFormat="false" ht="15" hidden="false" customHeight="false" outlineLevel="0" collapsed="false">
      <c r="A61" s="0" t="s">
        <v>143</v>
      </c>
      <c r="B61" s="0" t="s">
        <v>115</v>
      </c>
      <c r="C61" s="0" t="s">
        <v>86</v>
      </c>
      <c r="D61" s="0" t="s">
        <v>56</v>
      </c>
      <c r="E61" s="0" t="str">
        <f aca="false">B61&amp;"|"&amp;C61&amp;"|"&amp;D61</f>
        <v>Butha Buthe [#SNU] [mvPRqBFtVC0]|50+|Female</v>
      </c>
      <c r="F61" s="73" t="n">
        <f aca="false">_xlfn.IFNA(INDEX(Cascade!$H:$H,MATCH($E61,Cascade!$E:$E,0)),"")</f>
        <v>2412</v>
      </c>
      <c r="G61" s="73" t="n">
        <f aca="false">_xlfn.IFNA(INDEX(HTS!$BT:$BT,MATCH($E61,HTS!$E:$E,0)),"")</f>
        <v>-496</v>
      </c>
      <c r="H61" s="73" t="str">
        <f aca="false">_xlfn.IFNA(INDEX(AGYW!$U:$U,MATCH($E61,AGYW!$E:$E,0)),"")</f>
        <v/>
      </c>
      <c r="I61" s="73" t="str">
        <f aca="false">_xlfn.IFNA(INDEX(AGYW!$V:$V,MATCH($E61,AGYW!$E:$E,0)),"")</f>
        <v/>
      </c>
      <c r="J61" s="73" t="n">
        <v>33</v>
      </c>
      <c r="K61" s="73" t="n">
        <v>4</v>
      </c>
      <c r="L61" s="75"/>
      <c r="M61" s="73" t="n">
        <v>48</v>
      </c>
      <c r="N61" s="73" t="n">
        <v>2</v>
      </c>
      <c r="O61" s="75"/>
    </row>
    <row r="62" customFormat="false" ht="15" hidden="false" customHeight="false" outlineLevel="0" collapsed="false">
      <c r="A62" s="0" t="s">
        <v>143</v>
      </c>
      <c r="B62" s="0" t="s">
        <v>115</v>
      </c>
      <c r="C62" s="0" t="s">
        <v>86</v>
      </c>
      <c r="D62" s="0" t="s">
        <v>58</v>
      </c>
      <c r="E62" s="0" t="str">
        <f aca="false">B62&amp;"|"&amp;C62&amp;"|"&amp;D62</f>
        <v>Butha Buthe [#SNU] [mvPRqBFtVC0]|50+|Male</v>
      </c>
      <c r="F62" s="73" t="n">
        <f aca="false">_xlfn.IFNA(INDEX(Cascade!$H:$H,MATCH($E62,Cascade!$E:$E,0)),"")</f>
        <v>1863</v>
      </c>
      <c r="G62" s="73" t="n">
        <f aca="false">_xlfn.IFNA(INDEX(HTS!$BT:$BT,MATCH($E62,HTS!$E:$E,0)),"")</f>
        <v>12744</v>
      </c>
      <c r="H62" s="73" t="str">
        <f aca="false">_xlfn.IFNA(INDEX(AGYW!$U:$U,MATCH($E62,AGYW!$E:$E,0)),"")</f>
        <v/>
      </c>
      <c r="I62" s="73" t="str">
        <f aca="false">_xlfn.IFNA(INDEX(AGYW!$V:$V,MATCH($E62,AGYW!$E:$E,0)),"")</f>
        <v/>
      </c>
      <c r="J62" s="73" t="n">
        <v>44</v>
      </c>
      <c r="K62" s="73"/>
      <c r="L62" s="75"/>
      <c r="M62" s="73" t="n">
        <v>29</v>
      </c>
      <c r="N62" s="73"/>
      <c r="O62" s="75"/>
    </row>
    <row r="63" customFormat="false" ht="15" hidden="false" customHeight="false" outlineLevel="0" collapsed="false">
      <c r="A63" s="0" t="s">
        <v>144</v>
      </c>
      <c r="B63" s="0" t="s">
        <v>103</v>
      </c>
      <c r="C63" s="0" t="s">
        <v>63</v>
      </c>
      <c r="D63" s="0" t="s">
        <v>56</v>
      </c>
      <c r="E63" s="0" t="str">
        <f aca="false">B63&amp;"|"&amp;C63&amp;"|"&amp;D63</f>
        <v>Leribe [#SNU] [FjSmRywOWUp]|15-19|Female</v>
      </c>
      <c r="F63" s="73" t="n">
        <f aca="false">_xlfn.IFNA(INDEX(Cascade!$H:$H,MATCH($E63,Cascade!$E:$E,0)),"")</f>
        <v>689</v>
      </c>
      <c r="G63" s="73" t="n">
        <f aca="false">_xlfn.IFNA(INDEX(HTS!$BT:$BT,MATCH($E63,HTS!$E:$E,0)),"")</f>
        <v>10898</v>
      </c>
      <c r="H63" s="73" t="str">
        <f aca="false">_xlfn.IFNA(INDEX(AGYW!$U:$U,MATCH($E63,AGYW!$E:$E,0)),"")</f>
        <v/>
      </c>
      <c r="I63" s="73" t="str">
        <f aca="false">_xlfn.IFNA(INDEX(AGYW!$V:$V,MATCH($E63,AGYW!$E:$E,0)),"")</f>
        <v/>
      </c>
      <c r="J63" s="73" t="n">
        <v>41</v>
      </c>
      <c r="K63" s="73" t="n">
        <v>23</v>
      </c>
      <c r="L63" s="75"/>
      <c r="M63" s="73" t="n">
        <v>45</v>
      </c>
      <c r="N63" s="73" t="n">
        <v>10</v>
      </c>
      <c r="O63" s="75"/>
    </row>
    <row r="64" customFormat="false" ht="15" hidden="false" customHeight="false" outlineLevel="0" collapsed="false">
      <c r="A64" s="0" t="s">
        <v>144</v>
      </c>
      <c r="B64" s="0" t="s">
        <v>103</v>
      </c>
      <c r="C64" s="0" t="s">
        <v>63</v>
      </c>
      <c r="D64" s="0" t="s">
        <v>58</v>
      </c>
      <c r="E64" s="0" t="str">
        <f aca="false">B64&amp;"|"&amp;C64&amp;"|"&amp;D64</f>
        <v>Leribe [#SNU] [FjSmRywOWUp]|15-19|Male</v>
      </c>
      <c r="F64" s="73" t="n">
        <f aca="false">_xlfn.IFNA(INDEX(Cascade!$H:$H,MATCH($E64,Cascade!$E:$E,0)),"")</f>
        <v>408</v>
      </c>
      <c r="G64" s="73" t="n">
        <f aca="false">_xlfn.IFNA(INDEX(HTS!$BT:$BT,MATCH($E64,HTS!$E:$E,0)),"")</f>
        <v>30016</v>
      </c>
      <c r="H64" s="73" t="str">
        <f aca="false">_xlfn.IFNA(INDEX(AGYW!$U:$U,MATCH($E64,AGYW!$E:$E,0)),"")</f>
        <v/>
      </c>
      <c r="I64" s="73" t="str">
        <f aca="false">_xlfn.IFNA(INDEX(AGYW!$V:$V,MATCH($E64,AGYW!$E:$E,0)),"")</f>
        <v/>
      </c>
      <c r="J64" s="73" t="n">
        <v>37</v>
      </c>
      <c r="K64" s="73" t="n">
        <v>12</v>
      </c>
      <c r="L64" s="75"/>
      <c r="M64" s="73" t="n">
        <v>42</v>
      </c>
      <c r="N64" s="73" t="n">
        <v>30</v>
      </c>
      <c r="O64" s="75"/>
    </row>
    <row r="65" customFormat="false" ht="15" hidden="false" customHeight="false" outlineLevel="0" collapsed="false">
      <c r="A65" s="0" t="s">
        <v>144</v>
      </c>
      <c r="B65" s="0" t="s">
        <v>103</v>
      </c>
      <c r="C65" s="0" t="s">
        <v>66</v>
      </c>
      <c r="D65" s="0" t="s">
        <v>56</v>
      </c>
      <c r="E65" s="0" t="str">
        <f aca="false">B65&amp;"|"&amp;C65&amp;"|"&amp;D65</f>
        <v>Leribe [#SNU] [FjSmRywOWUp]|20-24|Female</v>
      </c>
      <c r="F65" s="73" t="n">
        <f aca="false">_xlfn.IFNA(INDEX(Cascade!$H:$H,MATCH($E65,Cascade!$E:$E,0)),"")</f>
        <v>1905</v>
      </c>
      <c r="G65" s="73" t="n">
        <f aca="false">_xlfn.IFNA(INDEX(HTS!$BT:$BT,MATCH($E65,HTS!$E:$E,0)),"")</f>
        <v>-2249</v>
      </c>
      <c r="H65" s="73" t="str">
        <f aca="false">_xlfn.IFNA(INDEX(AGYW!$U:$U,MATCH($E65,AGYW!$E:$E,0)),"")</f>
        <v/>
      </c>
      <c r="I65" s="73" t="str">
        <f aca="false">_xlfn.IFNA(INDEX(AGYW!$V:$V,MATCH($E65,AGYW!$E:$E,0)),"")</f>
        <v/>
      </c>
      <c r="J65" s="73" t="n">
        <v>10</v>
      </c>
      <c r="K65" s="73" t="n">
        <v>0</v>
      </c>
      <c r="L65" s="75"/>
      <c r="M65" s="73" t="n">
        <v>40</v>
      </c>
      <c r="N65" s="73" t="n">
        <v>27</v>
      </c>
      <c r="O65" s="75"/>
    </row>
    <row r="66" customFormat="false" ht="15" hidden="false" customHeight="false" outlineLevel="0" collapsed="false">
      <c r="A66" s="0" t="s">
        <v>144</v>
      </c>
      <c r="B66" s="0" t="s">
        <v>103</v>
      </c>
      <c r="C66" s="0" t="s">
        <v>66</v>
      </c>
      <c r="D66" s="0" t="s">
        <v>58</v>
      </c>
      <c r="E66" s="0" t="str">
        <f aca="false">B66&amp;"|"&amp;C66&amp;"|"&amp;D66</f>
        <v>Leribe [#SNU] [FjSmRywOWUp]|20-24|Male</v>
      </c>
      <c r="F66" s="73" t="n">
        <f aca="false">_xlfn.IFNA(INDEX(Cascade!$H:$H,MATCH($E66,Cascade!$E:$E,0)),"")</f>
        <v>690</v>
      </c>
      <c r="G66" s="73" t="n">
        <f aca="false">_xlfn.IFNA(INDEX(HTS!$BT:$BT,MATCH($E66,HTS!$E:$E,0)),"")</f>
        <v>-682</v>
      </c>
      <c r="H66" s="73" t="str">
        <f aca="false">_xlfn.IFNA(INDEX(AGYW!$U:$U,MATCH($E66,AGYW!$E:$E,0)),"")</f>
        <v/>
      </c>
      <c r="I66" s="73" t="str">
        <f aca="false">_xlfn.IFNA(INDEX(AGYW!$V:$V,MATCH($E66,AGYW!$E:$E,0)),"")</f>
        <v/>
      </c>
      <c r="J66" s="73" t="n">
        <v>13</v>
      </c>
      <c r="K66" s="73" t="n">
        <v>39</v>
      </c>
      <c r="L66" s="75"/>
      <c r="M66" s="73" t="n">
        <v>7</v>
      </c>
      <c r="N66" s="73" t="n">
        <v>20</v>
      </c>
      <c r="O66" s="75"/>
    </row>
    <row r="67" customFormat="false" ht="15" hidden="false" customHeight="false" outlineLevel="0" collapsed="false">
      <c r="A67" s="0" t="s">
        <v>144</v>
      </c>
      <c r="B67" s="0" t="s">
        <v>103</v>
      </c>
      <c r="C67" s="0" t="s">
        <v>69</v>
      </c>
      <c r="D67" s="0" t="s">
        <v>56</v>
      </c>
      <c r="E67" s="0" t="str">
        <f aca="false">B67&amp;"|"&amp;C67&amp;"|"&amp;D67</f>
        <v>Leribe [#SNU] [FjSmRywOWUp]|25-29|Female</v>
      </c>
      <c r="F67" s="73" t="n">
        <f aca="false">_xlfn.IFNA(INDEX(Cascade!$H:$H,MATCH($E67,Cascade!$E:$E,0)),"")</f>
        <v>3689</v>
      </c>
      <c r="G67" s="73" t="n">
        <f aca="false">_xlfn.IFNA(INDEX(HTS!$BT:$BT,MATCH($E67,HTS!$E:$E,0)),"")</f>
        <v>29305</v>
      </c>
      <c r="H67" s="73" t="str">
        <f aca="false">_xlfn.IFNA(INDEX(AGYW!$U:$U,MATCH($E67,AGYW!$E:$E,0)),"")</f>
        <v/>
      </c>
      <c r="I67" s="73" t="str">
        <f aca="false">_xlfn.IFNA(INDEX(AGYW!$V:$V,MATCH($E67,AGYW!$E:$E,0)),"")</f>
        <v/>
      </c>
      <c r="J67" s="73" t="n">
        <v>31</v>
      </c>
      <c r="K67" s="73" t="n">
        <v>9</v>
      </c>
      <c r="L67" s="75"/>
      <c r="M67" s="73" t="n">
        <v>19</v>
      </c>
      <c r="N67" s="73" t="n">
        <v>12</v>
      </c>
      <c r="O67" s="75"/>
    </row>
    <row r="68" customFormat="false" ht="15" hidden="false" customHeight="false" outlineLevel="0" collapsed="false">
      <c r="A68" s="0" t="s">
        <v>144</v>
      </c>
      <c r="B68" s="0" t="s">
        <v>103</v>
      </c>
      <c r="C68" s="0" t="s">
        <v>69</v>
      </c>
      <c r="D68" s="0" t="s">
        <v>58</v>
      </c>
      <c r="E68" s="0" t="str">
        <f aca="false">B68&amp;"|"&amp;C68&amp;"|"&amp;D68</f>
        <v>Leribe [#SNU] [FjSmRywOWUp]|25-29|Male</v>
      </c>
      <c r="F68" s="73" t="n">
        <f aca="false">_xlfn.IFNA(INDEX(Cascade!$H:$H,MATCH($E68,Cascade!$E:$E,0)),"")</f>
        <v>1574</v>
      </c>
      <c r="G68" s="73" t="n">
        <f aca="false">_xlfn.IFNA(INDEX(HTS!$BT:$BT,MATCH($E68,HTS!$E:$E,0)),"")</f>
        <v>19741</v>
      </c>
      <c r="H68" s="73" t="str">
        <f aca="false">_xlfn.IFNA(INDEX(AGYW!$U:$U,MATCH($E68,AGYW!$E:$E,0)),"")</f>
        <v/>
      </c>
      <c r="I68" s="73" t="str">
        <f aca="false">_xlfn.IFNA(INDEX(AGYW!$V:$V,MATCH($E68,AGYW!$E:$E,0)),"")</f>
        <v/>
      </c>
      <c r="J68" s="73" t="n">
        <v>29</v>
      </c>
      <c r="K68" s="73" t="n">
        <v>32</v>
      </c>
      <c r="L68" s="75"/>
      <c r="M68" s="73" t="n">
        <v>38</v>
      </c>
      <c r="N68" s="73" t="n">
        <v>36</v>
      </c>
      <c r="O68" s="75"/>
    </row>
    <row r="69" customFormat="false" ht="15" hidden="false" customHeight="false" outlineLevel="0" collapsed="false">
      <c r="A69" s="0" t="s">
        <v>144</v>
      </c>
      <c r="B69" s="0" t="s">
        <v>103</v>
      </c>
      <c r="C69" s="0" t="s">
        <v>72</v>
      </c>
      <c r="D69" s="0" t="s">
        <v>56</v>
      </c>
      <c r="E69" s="0" t="str">
        <f aca="false">B69&amp;"|"&amp;C69&amp;"|"&amp;D69</f>
        <v>Leribe [#SNU] [FjSmRywOWUp]|30-34|Female</v>
      </c>
      <c r="F69" s="73" t="n">
        <f aca="false">_xlfn.IFNA(INDEX(Cascade!$H:$H,MATCH($E69,Cascade!$E:$E,0)),"")</f>
        <v>5198</v>
      </c>
      <c r="G69" s="73" t="n">
        <f aca="false">_xlfn.IFNA(INDEX(HTS!$BT:$BT,MATCH($E69,HTS!$E:$E,0)),"")</f>
        <v>29777</v>
      </c>
      <c r="H69" s="73" t="str">
        <f aca="false">_xlfn.IFNA(INDEX(AGYW!$U:$U,MATCH($E69,AGYW!$E:$E,0)),"")</f>
        <v/>
      </c>
      <c r="I69" s="73" t="str">
        <f aca="false">_xlfn.IFNA(INDEX(AGYW!$V:$V,MATCH($E69,AGYW!$E:$E,0)),"")</f>
        <v/>
      </c>
      <c r="J69" s="73" t="n">
        <v>38</v>
      </c>
      <c r="K69" s="73" t="n">
        <v>43</v>
      </c>
      <c r="L69" s="75"/>
      <c r="M69" s="73" t="n">
        <v>42</v>
      </c>
      <c r="N69" s="73" t="n">
        <v>29</v>
      </c>
      <c r="O69" s="75"/>
    </row>
    <row r="70" customFormat="false" ht="15" hidden="false" customHeight="false" outlineLevel="0" collapsed="false">
      <c r="A70" s="0" t="s">
        <v>144</v>
      </c>
      <c r="B70" s="0" t="s">
        <v>103</v>
      </c>
      <c r="C70" s="0" t="s">
        <v>72</v>
      </c>
      <c r="D70" s="0" t="s">
        <v>58</v>
      </c>
      <c r="E70" s="0" t="str">
        <f aca="false">B70&amp;"|"&amp;C70&amp;"|"&amp;D70</f>
        <v>Leribe [#SNU] [FjSmRywOWUp]|30-34|Male</v>
      </c>
      <c r="F70" s="73" t="n">
        <f aca="false">_xlfn.IFNA(INDEX(Cascade!$H:$H,MATCH($E70,Cascade!$E:$E,0)),"")</f>
        <v>2910</v>
      </c>
      <c r="G70" s="73" t="n">
        <f aca="false">_xlfn.IFNA(INDEX(HTS!$BT:$BT,MATCH($E70,HTS!$E:$E,0)),"")</f>
        <v>32217</v>
      </c>
      <c r="H70" s="73" t="str">
        <f aca="false">_xlfn.IFNA(INDEX(AGYW!$U:$U,MATCH($E70,AGYW!$E:$E,0)),"")</f>
        <v/>
      </c>
      <c r="I70" s="73" t="str">
        <f aca="false">_xlfn.IFNA(INDEX(AGYW!$V:$V,MATCH($E70,AGYW!$E:$E,0)),"")</f>
        <v/>
      </c>
      <c r="J70" s="73" t="n">
        <v>42</v>
      </c>
      <c r="K70" s="73" t="n">
        <v>19</v>
      </c>
      <c r="L70" s="75"/>
      <c r="M70" s="73" t="n">
        <v>39</v>
      </c>
      <c r="N70" s="73" t="n">
        <v>48</v>
      </c>
      <c r="O70" s="75"/>
    </row>
    <row r="71" customFormat="false" ht="15" hidden="false" customHeight="false" outlineLevel="0" collapsed="false">
      <c r="A71" s="0" t="s">
        <v>144</v>
      </c>
      <c r="B71" s="0" t="s">
        <v>103</v>
      </c>
      <c r="C71" s="0" t="s">
        <v>75</v>
      </c>
      <c r="D71" s="0" t="s">
        <v>56</v>
      </c>
      <c r="E71" s="0" t="str">
        <f aca="false">B71&amp;"|"&amp;C71&amp;"|"&amp;D71</f>
        <v>Leribe [#SNU] [FjSmRywOWUp]|35-39|Female</v>
      </c>
      <c r="F71" s="73" t="n">
        <f aca="false">_xlfn.IFNA(INDEX(Cascade!$H:$H,MATCH($E71,Cascade!$E:$E,0)),"")</f>
        <v>4971</v>
      </c>
      <c r="G71" s="73" t="n">
        <f aca="false">_xlfn.IFNA(INDEX(HTS!$BT:$BT,MATCH($E71,HTS!$E:$E,0)),"")</f>
        <v>7157</v>
      </c>
      <c r="H71" s="73" t="str">
        <f aca="false">_xlfn.IFNA(INDEX(AGYW!$U:$U,MATCH($E71,AGYW!$E:$E,0)),"")</f>
        <v/>
      </c>
      <c r="I71" s="73" t="str">
        <f aca="false">_xlfn.IFNA(INDEX(AGYW!$V:$V,MATCH($E71,AGYW!$E:$E,0)),"")</f>
        <v/>
      </c>
      <c r="J71" s="73" t="n">
        <v>48</v>
      </c>
      <c r="K71" s="73" t="n">
        <v>42</v>
      </c>
      <c r="L71" s="75"/>
      <c r="M71" s="73" t="n">
        <v>24</v>
      </c>
      <c r="N71" s="73" t="n">
        <v>44</v>
      </c>
      <c r="O71" s="75"/>
    </row>
    <row r="72" customFormat="false" ht="15" hidden="false" customHeight="false" outlineLevel="0" collapsed="false">
      <c r="A72" s="0" t="s">
        <v>144</v>
      </c>
      <c r="B72" s="0" t="s">
        <v>103</v>
      </c>
      <c r="C72" s="0" t="s">
        <v>75</v>
      </c>
      <c r="D72" s="0" t="s">
        <v>58</v>
      </c>
      <c r="E72" s="0" t="str">
        <f aca="false">B72&amp;"|"&amp;C72&amp;"|"&amp;D72</f>
        <v>Leribe [#SNU] [FjSmRywOWUp]|35-39|Male</v>
      </c>
      <c r="F72" s="73" t="n">
        <f aca="false">_xlfn.IFNA(INDEX(Cascade!$H:$H,MATCH($E72,Cascade!$E:$E,0)),"")</f>
        <v>3549</v>
      </c>
      <c r="G72" s="73" t="n">
        <f aca="false">_xlfn.IFNA(INDEX(HTS!$BT:$BT,MATCH($E72,HTS!$E:$E,0)),"")</f>
        <v>3240</v>
      </c>
      <c r="H72" s="73" t="str">
        <f aca="false">_xlfn.IFNA(INDEX(AGYW!$U:$U,MATCH($E72,AGYW!$E:$E,0)),"")</f>
        <v/>
      </c>
      <c r="I72" s="73" t="str">
        <f aca="false">_xlfn.IFNA(INDEX(AGYW!$V:$V,MATCH($E72,AGYW!$E:$E,0)),"")</f>
        <v/>
      </c>
      <c r="J72" s="73" t="n">
        <v>9</v>
      </c>
      <c r="K72" s="73" t="n">
        <v>1</v>
      </c>
      <c r="L72" s="75"/>
      <c r="M72" s="73" t="n">
        <v>48</v>
      </c>
      <c r="N72" s="73" t="n">
        <v>1</v>
      </c>
      <c r="O72" s="75"/>
    </row>
    <row r="73" customFormat="false" ht="15" hidden="false" customHeight="false" outlineLevel="0" collapsed="false">
      <c r="A73" s="0" t="s">
        <v>144</v>
      </c>
      <c r="B73" s="0" t="s">
        <v>103</v>
      </c>
      <c r="C73" s="0" t="s">
        <v>77</v>
      </c>
      <c r="D73" s="0" t="s">
        <v>56</v>
      </c>
      <c r="E73" s="0" t="str">
        <f aca="false">B73&amp;"|"&amp;C73&amp;"|"&amp;D73</f>
        <v>Leribe [#SNU] [FjSmRywOWUp]|40-44|Female</v>
      </c>
      <c r="F73" s="73" t="n">
        <f aca="false">_xlfn.IFNA(INDEX(Cascade!$H:$H,MATCH($E73,Cascade!$E:$E,0)),"")</f>
        <v>3984</v>
      </c>
      <c r="G73" s="73" t="n">
        <f aca="false">_xlfn.IFNA(INDEX(HTS!$BT:$BT,MATCH($E73,HTS!$E:$E,0)),"")</f>
        <v>12045</v>
      </c>
      <c r="H73" s="73" t="str">
        <f aca="false">_xlfn.IFNA(INDEX(AGYW!$U:$U,MATCH($E73,AGYW!$E:$E,0)),"")</f>
        <v/>
      </c>
      <c r="I73" s="73" t="str">
        <f aca="false">_xlfn.IFNA(INDEX(AGYW!$V:$V,MATCH($E73,AGYW!$E:$E,0)),"")</f>
        <v/>
      </c>
      <c r="J73" s="73" t="n">
        <v>36</v>
      </c>
      <c r="K73" s="73" t="n">
        <v>49</v>
      </c>
      <c r="L73" s="75"/>
      <c r="M73" s="73" t="n">
        <v>19</v>
      </c>
      <c r="N73" s="73" t="n">
        <v>23</v>
      </c>
      <c r="O73" s="75"/>
    </row>
    <row r="74" customFormat="false" ht="15" hidden="false" customHeight="false" outlineLevel="0" collapsed="false">
      <c r="A74" s="0" t="s">
        <v>144</v>
      </c>
      <c r="B74" s="0" t="s">
        <v>103</v>
      </c>
      <c r="C74" s="0" t="s">
        <v>77</v>
      </c>
      <c r="D74" s="0" t="s">
        <v>58</v>
      </c>
      <c r="E74" s="0" t="str">
        <f aca="false">B74&amp;"|"&amp;C74&amp;"|"&amp;D74</f>
        <v>Leribe [#SNU] [FjSmRywOWUp]|40-44|Male</v>
      </c>
      <c r="F74" s="73" t="n">
        <f aca="false">_xlfn.IFNA(INDEX(Cascade!$H:$H,MATCH($E74,Cascade!$E:$E,0)),"")</f>
        <v>3141</v>
      </c>
      <c r="G74" s="73" t="n">
        <f aca="false">_xlfn.IFNA(INDEX(HTS!$BT:$BT,MATCH($E74,HTS!$E:$E,0)),"")</f>
        <v>14810</v>
      </c>
      <c r="H74" s="73" t="str">
        <f aca="false">_xlfn.IFNA(INDEX(AGYW!$U:$U,MATCH($E74,AGYW!$E:$E,0)),"")</f>
        <v/>
      </c>
      <c r="I74" s="73" t="str">
        <f aca="false">_xlfn.IFNA(INDEX(AGYW!$V:$V,MATCH($E74,AGYW!$E:$E,0)),"")</f>
        <v/>
      </c>
      <c r="J74" s="73" t="n">
        <v>5</v>
      </c>
      <c r="K74" s="73" t="n">
        <v>2</v>
      </c>
      <c r="L74" s="75"/>
      <c r="M74" s="73" t="n">
        <v>11</v>
      </c>
      <c r="N74" s="73" t="n">
        <v>48</v>
      </c>
      <c r="O74" s="75"/>
    </row>
    <row r="75" customFormat="false" ht="15" hidden="false" customHeight="false" outlineLevel="0" collapsed="false">
      <c r="A75" s="0" t="s">
        <v>144</v>
      </c>
      <c r="B75" s="0" t="s">
        <v>103</v>
      </c>
      <c r="C75" s="0" t="s">
        <v>80</v>
      </c>
      <c r="D75" s="0" t="s">
        <v>56</v>
      </c>
      <c r="E75" s="0" t="str">
        <f aca="false">B75&amp;"|"&amp;C75&amp;"|"&amp;D75</f>
        <v>Leribe [#SNU] [FjSmRywOWUp]|45-49|Female</v>
      </c>
      <c r="F75" s="73" t="n">
        <f aca="false">_xlfn.IFNA(INDEX(Cascade!$H:$H,MATCH($E75,Cascade!$E:$E,0)),"")</f>
        <v>2981</v>
      </c>
      <c r="G75" s="73" t="n">
        <f aca="false">_xlfn.IFNA(INDEX(HTS!$BT:$BT,MATCH($E75,HTS!$E:$E,0)),"")</f>
        <v>3629</v>
      </c>
      <c r="H75" s="73" t="str">
        <f aca="false">_xlfn.IFNA(INDEX(AGYW!$U:$U,MATCH($E75,AGYW!$E:$E,0)),"")</f>
        <v/>
      </c>
      <c r="I75" s="73" t="str">
        <f aca="false">_xlfn.IFNA(INDEX(AGYW!$V:$V,MATCH($E75,AGYW!$E:$E,0)),"")</f>
        <v/>
      </c>
      <c r="J75" s="73" t="n">
        <v>14</v>
      </c>
      <c r="K75" s="73" t="n">
        <v>26</v>
      </c>
      <c r="L75" s="75"/>
      <c r="M75" s="73" t="n">
        <v>43</v>
      </c>
      <c r="N75" s="73" t="n">
        <v>28</v>
      </c>
      <c r="O75" s="75"/>
    </row>
    <row r="76" customFormat="false" ht="15" hidden="false" customHeight="false" outlineLevel="0" collapsed="false">
      <c r="A76" s="0" t="s">
        <v>144</v>
      </c>
      <c r="B76" s="0" t="s">
        <v>103</v>
      </c>
      <c r="C76" s="0" t="s">
        <v>80</v>
      </c>
      <c r="D76" s="0" t="s">
        <v>58</v>
      </c>
      <c r="E76" s="0" t="str">
        <f aca="false">B76&amp;"|"&amp;C76&amp;"|"&amp;D76</f>
        <v>Leribe [#SNU] [FjSmRywOWUp]|45-49|Male</v>
      </c>
      <c r="F76" s="73" t="n">
        <f aca="false">_xlfn.IFNA(INDEX(Cascade!$H:$H,MATCH($E76,Cascade!$E:$E,0)),"")</f>
        <v>2613</v>
      </c>
      <c r="G76" s="73" t="n">
        <f aca="false">_xlfn.IFNA(INDEX(HTS!$BT:$BT,MATCH($E76,HTS!$E:$E,0)),"")</f>
        <v>-2023</v>
      </c>
      <c r="H76" s="73" t="str">
        <f aca="false">_xlfn.IFNA(INDEX(AGYW!$U:$U,MATCH($E76,AGYW!$E:$E,0)),"")</f>
        <v/>
      </c>
      <c r="I76" s="73" t="str">
        <f aca="false">_xlfn.IFNA(INDEX(AGYW!$V:$V,MATCH($E76,AGYW!$E:$E,0)),"")</f>
        <v/>
      </c>
      <c r="J76" s="73" t="n">
        <v>50</v>
      </c>
      <c r="K76" s="73" t="n">
        <v>39</v>
      </c>
      <c r="L76" s="75"/>
      <c r="M76" s="73" t="n">
        <v>41</v>
      </c>
      <c r="N76" s="73" t="n">
        <v>37</v>
      </c>
      <c r="O76" s="75"/>
    </row>
    <row r="77" customFormat="false" ht="15" hidden="false" customHeight="false" outlineLevel="0" collapsed="false">
      <c r="A77" s="0" t="s">
        <v>144</v>
      </c>
      <c r="B77" s="0" t="s">
        <v>103</v>
      </c>
      <c r="C77" s="0" t="s">
        <v>86</v>
      </c>
      <c r="D77" s="0" t="s">
        <v>56</v>
      </c>
      <c r="E77" s="0" t="str">
        <f aca="false">B77&amp;"|"&amp;C77&amp;"|"&amp;D77</f>
        <v>Leribe [#SNU] [FjSmRywOWUp]|50+|Female</v>
      </c>
      <c r="F77" s="73" t="n">
        <f aca="false">_xlfn.IFNA(INDEX(Cascade!$H:$H,MATCH($E77,Cascade!$E:$E,0)),"")</f>
        <v>8010</v>
      </c>
      <c r="G77" s="73" t="n">
        <f aca="false">_xlfn.IFNA(INDEX(HTS!$BT:$BT,MATCH($E77,HTS!$E:$E,0)),"")</f>
        <v>1386</v>
      </c>
      <c r="H77" s="73" t="str">
        <f aca="false">_xlfn.IFNA(INDEX(AGYW!$U:$U,MATCH($E77,AGYW!$E:$E,0)),"")</f>
        <v/>
      </c>
      <c r="I77" s="73" t="str">
        <f aca="false">_xlfn.IFNA(INDEX(AGYW!$V:$V,MATCH($E77,AGYW!$E:$E,0)),"")</f>
        <v/>
      </c>
      <c r="J77" s="73" t="n">
        <v>24</v>
      </c>
      <c r="K77" s="73" t="n">
        <v>23</v>
      </c>
      <c r="L77" s="75"/>
      <c r="M77" s="73" t="n">
        <v>38</v>
      </c>
      <c r="N77" s="73" t="n">
        <v>21</v>
      </c>
      <c r="O77" s="75"/>
    </row>
    <row r="78" customFormat="false" ht="15" hidden="false" customHeight="false" outlineLevel="0" collapsed="false">
      <c r="A78" s="0" t="s">
        <v>144</v>
      </c>
      <c r="B78" s="0" t="s">
        <v>103</v>
      </c>
      <c r="C78" s="0" t="s">
        <v>86</v>
      </c>
      <c r="D78" s="0" t="s">
        <v>58</v>
      </c>
      <c r="E78" s="0" t="str">
        <f aca="false">B78&amp;"|"&amp;C78&amp;"|"&amp;D78</f>
        <v>Leribe [#SNU] [FjSmRywOWUp]|50+|Male</v>
      </c>
      <c r="F78" s="73" t="n">
        <f aca="false">_xlfn.IFNA(INDEX(Cascade!$H:$H,MATCH($E78,Cascade!$E:$E,0)),"")</f>
        <v>6065</v>
      </c>
      <c r="G78" s="73" t="n">
        <f aca="false">_xlfn.IFNA(INDEX(HTS!$BT:$BT,MATCH($E78,HTS!$E:$E,0)),"")</f>
        <v>1136</v>
      </c>
      <c r="H78" s="73" t="str">
        <f aca="false">_xlfn.IFNA(INDEX(AGYW!$U:$U,MATCH($E78,AGYW!$E:$E,0)),"")</f>
        <v/>
      </c>
      <c r="I78" s="73" t="str">
        <f aca="false">_xlfn.IFNA(INDEX(AGYW!$V:$V,MATCH($E78,AGYW!$E:$E,0)),"")</f>
        <v/>
      </c>
      <c r="J78" s="73" t="n">
        <v>34</v>
      </c>
      <c r="K78" s="73" t="n">
        <v>43</v>
      </c>
      <c r="L78" s="75"/>
      <c r="M78" s="73" t="n">
        <v>14</v>
      </c>
      <c r="N78" s="73" t="n">
        <v>29</v>
      </c>
      <c r="O78" s="75"/>
    </row>
    <row r="79" customFormat="false" ht="15" hidden="false" customHeight="false" outlineLevel="0" collapsed="false">
      <c r="A79" s="0" t="s">
        <v>145</v>
      </c>
      <c r="B79" s="0" t="s">
        <v>107</v>
      </c>
      <c r="C79" s="0" t="s">
        <v>63</v>
      </c>
      <c r="D79" s="0" t="s">
        <v>56</v>
      </c>
      <c r="E79" s="0" t="str">
        <f aca="false">B79&amp;"|"&amp;C79&amp;"|"&amp;D79</f>
        <v>Mafeteng [#SNU] [#DREAMS] [DiFv5WXIHM5]|15-19|Female</v>
      </c>
      <c r="F79" s="73" t="n">
        <f aca="false">_xlfn.IFNA(INDEX(Cascade!$H:$H,MATCH($E79,Cascade!$E:$E,0)),"")</f>
        <v>419</v>
      </c>
      <c r="G79" s="73" t="n">
        <f aca="false">_xlfn.IFNA(INDEX(HTS!$BT:$BT,MATCH($E79,HTS!$E:$E,0)),"")</f>
        <v>1136</v>
      </c>
      <c r="H79" s="73" t="str">
        <f aca="false">_xlfn.IFNA(INDEX(AGYW!$U:$U,MATCH($E79,AGYW!$E:$E,0)),"")</f>
        <v/>
      </c>
      <c r="I79" s="73" t="str">
        <f aca="false">_xlfn.IFNA(INDEX(AGYW!$V:$V,MATCH($E79,AGYW!$E:$E,0)),"")</f>
        <v/>
      </c>
      <c r="J79" s="73" t="n">
        <v>22</v>
      </c>
      <c r="K79" s="73" t="n">
        <v>0</v>
      </c>
      <c r="L79" s="75"/>
      <c r="M79" s="73" t="n">
        <v>30</v>
      </c>
      <c r="N79" s="73" t="n">
        <v>49</v>
      </c>
      <c r="O79" s="75"/>
    </row>
    <row r="80" customFormat="false" ht="15" hidden="false" customHeight="false" outlineLevel="0" collapsed="false">
      <c r="A80" s="0" t="s">
        <v>145</v>
      </c>
      <c r="B80" s="0" t="s">
        <v>107</v>
      </c>
      <c r="C80" s="0" t="s">
        <v>63</v>
      </c>
      <c r="D80" s="0" t="s">
        <v>58</v>
      </c>
      <c r="E80" s="0" t="str">
        <f aca="false">B80&amp;"|"&amp;C80&amp;"|"&amp;D80</f>
        <v>Mafeteng [#SNU] [#DREAMS] [DiFv5WXIHM5]|15-19|Male</v>
      </c>
      <c r="F80" s="73" t="n">
        <f aca="false">_xlfn.IFNA(INDEX(Cascade!$H:$H,MATCH($E80,Cascade!$E:$E,0)),"")</f>
        <v>267</v>
      </c>
      <c r="G80" s="73" t="n">
        <f aca="false">_xlfn.IFNA(INDEX(HTS!$BT:$BT,MATCH($E80,HTS!$E:$E,0)),"")</f>
        <v>-352</v>
      </c>
      <c r="H80" s="73" t="str">
        <f aca="false">_xlfn.IFNA(INDEX(AGYW!$U:$U,MATCH($E80,AGYW!$E:$E,0)),"")</f>
        <v/>
      </c>
      <c r="I80" s="73" t="str">
        <f aca="false">_xlfn.IFNA(INDEX(AGYW!$V:$V,MATCH($E80,AGYW!$E:$E,0)),"")</f>
        <v/>
      </c>
      <c r="J80" s="73" t="n">
        <v>2</v>
      </c>
      <c r="K80" s="73" t="n">
        <v>13</v>
      </c>
      <c r="L80" s="75"/>
      <c r="M80" s="73" t="n">
        <v>38</v>
      </c>
      <c r="N80" s="73" t="n">
        <v>23</v>
      </c>
      <c r="O80" s="75"/>
    </row>
    <row r="81" customFormat="false" ht="15" hidden="false" customHeight="false" outlineLevel="0" collapsed="false">
      <c r="A81" s="0" t="s">
        <v>145</v>
      </c>
      <c r="B81" s="0" t="s">
        <v>107</v>
      </c>
      <c r="C81" s="0" t="s">
        <v>66</v>
      </c>
      <c r="D81" s="0" t="s">
        <v>56</v>
      </c>
      <c r="E81" s="0" t="str">
        <f aca="false">B81&amp;"|"&amp;C81&amp;"|"&amp;D81</f>
        <v>Mafeteng [#SNU] [#DREAMS] [DiFv5WXIHM5]|20-24|Female</v>
      </c>
      <c r="F81" s="73" t="n">
        <f aca="false">_xlfn.IFNA(INDEX(Cascade!$H:$H,MATCH($E81,Cascade!$E:$E,0)),"")</f>
        <v>1051</v>
      </c>
      <c r="G81" s="73" t="n">
        <f aca="false">_xlfn.IFNA(INDEX(HTS!$BT:$BT,MATCH($E81,HTS!$E:$E,0)),"")</f>
        <v>45597</v>
      </c>
      <c r="H81" s="73" t="str">
        <f aca="false">_xlfn.IFNA(INDEX(AGYW!$U:$U,MATCH($E81,AGYW!$E:$E,0)),"")</f>
        <v/>
      </c>
      <c r="I81" s="73" t="str">
        <f aca="false">_xlfn.IFNA(INDEX(AGYW!$V:$V,MATCH($E81,AGYW!$E:$E,0)),"")</f>
        <v/>
      </c>
      <c r="J81" s="73" t="n">
        <v>40</v>
      </c>
      <c r="K81" s="73" t="n">
        <v>10</v>
      </c>
      <c r="L81" s="75"/>
      <c r="M81" s="73" t="n">
        <v>49</v>
      </c>
      <c r="N81" s="73" t="n">
        <v>28</v>
      </c>
      <c r="O81" s="75"/>
    </row>
    <row r="82" customFormat="false" ht="15" hidden="false" customHeight="false" outlineLevel="0" collapsed="false">
      <c r="A82" s="0" t="s">
        <v>145</v>
      </c>
      <c r="B82" s="0" t="s">
        <v>107</v>
      </c>
      <c r="C82" s="0" t="s">
        <v>66</v>
      </c>
      <c r="D82" s="0" t="s">
        <v>58</v>
      </c>
      <c r="E82" s="0" t="str">
        <f aca="false">B82&amp;"|"&amp;C82&amp;"|"&amp;D82</f>
        <v>Mafeteng [#SNU] [#DREAMS] [DiFv5WXIHM5]|20-24|Male</v>
      </c>
      <c r="F82" s="73" t="n">
        <f aca="false">_xlfn.IFNA(INDEX(Cascade!$H:$H,MATCH($E82,Cascade!$E:$E,0)),"")</f>
        <v>432</v>
      </c>
      <c r="G82" s="73" t="n">
        <f aca="false">_xlfn.IFNA(INDEX(HTS!$BT:$BT,MATCH($E82,HTS!$E:$E,0)),"")</f>
        <v>17393</v>
      </c>
      <c r="H82" s="73" t="str">
        <f aca="false">_xlfn.IFNA(INDEX(AGYW!$U:$U,MATCH($E82,AGYW!$E:$E,0)),"")</f>
        <v/>
      </c>
      <c r="I82" s="73" t="str">
        <f aca="false">_xlfn.IFNA(INDEX(AGYW!$V:$V,MATCH($E82,AGYW!$E:$E,0)),"")</f>
        <v/>
      </c>
      <c r="J82" s="73" t="n">
        <v>27</v>
      </c>
      <c r="K82" s="73" t="n">
        <v>1</v>
      </c>
      <c r="L82" s="75"/>
      <c r="M82" s="73" t="n">
        <v>5</v>
      </c>
      <c r="N82" s="73" t="n">
        <v>49</v>
      </c>
      <c r="O82" s="75"/>
    </row>
    <row r="83" customFormat="false" ht="15" hidden="false" customHeight="false" outlineLevel="0" collapsed="false">
      <c r="A83" s="0" t="s">
        <v>145</v>
      </c>
      <c r="B83" s="0" t="s">
        <v>107</v>
      </c>
      <c r="C83" s="0" t="s">
        <v>69</v>
      </c>
      <c r="D83" s="0" t="s">
        <v>56</v>
      </c>
      <c r="E83" s="0" t="str">
        <f aca="false">B83&amp;"|"&amp;C83&amp;"|"&amp;D83</f>
        <v>Mafeteng [#SNU] [#DREAMS] [DiFv5WXIHM5]|25-29|Female</v>
      </c>
      <c r="F83" s="73" t="n">
        <f aca="false">_xlfn.IFNA(INDEX(Cascade!$H:$H,MATCH($E83,Cascade!$E:$E,0)),"")</f>
        <v>1901</v>
      </c>
      <c r="G83" s="73" t="n">
        <f aca="false">_xlfn.IFNA(INDEX(HTS!$BT:$BT,MATCH($E83,HTS!$E:$E,0)),"")</f>
        <v>38203</v>
      </c>
      <c r="H83" s="73" t="str">
        <f aca="false">_xlfn.IFNA(INDEX(AGYW!$U:$U,MATCH($E83,AGYW!$E:$E,0)),"")</f>
        <v/>
      </c>
      <c r="I83" s="73" t="str">
        <f aca="false">_xlfn.IFNA(INDEX(AGYW!$V:$V,MATCH($E83,AGYW!$E:$E,0)),"")</f>
        <v/>
      </c>
      <c r="J83" s="73" t="n">
        <v>15</v>
      </c>
      <c r="K83" s="73" t="n">
        <v>18</v>
      </c>
      <c r="L83" s="75"/>
      <c r="M83" s="73" t="n">
        <v>13</v>
      </c>
      <c r="N83" s="73" t="n">
        <v>45</v>
      </c>
      <c r="O83" s="75"/>
    </row>
    <row r="84" customFormat="false" ht="15" hidden="false" customHeight="false" outlineLevel="0" collapsed="false">
      <c r="A84" s="0" t="s">
        <v>145</v>
      </c>
      <c r="B84" s="0" t="s">
        <v>107</v>
      </c>
      <c r="C84" s="0" t="s">
        <v>69</v>
      </c>
      <c r="D84" s="0" t="s">
        <v>58</v>
      </c>
      <c r="E84" s="0" t="str">
        <f aca="false">B84&amp;"|"&amp;C84&amp;"|"&amp;D84</f>
        <v>Mafeteng [#SNU] [#DREAMS] [DiFv5WXIHM5]|25-29|Male</v>
      </c>
      <c r="F84" s="73" t="n">
        <f aca="false">_xlfn.IFNA(INDEX(Cascade!$H:$H,MATCH($E84,Cascade!$E:$E,0)),"")</f>
        <v>963</v>
      </c>
      <c r="G84" s="73" t="n">
        <f aca="false">_xlfn.IFNA(INDEX(HTS!$BT:$BT,MATCH($E84,HTS!$E:$E,0)),"")</f>
        <v>8285</v>
      </c>
      <c r="H84" s="73" t="str">
        <f aca="false">_xlfn.IFNA(INDEX(AGYW!$U:$U,MATCH($E84,AGYW!$E:$E,0)),"")</f>
        <v/>
      </c>
      <c r="I84" s="73" t="str">
        <f aca="false">_xlfn.IFNA(INDEX(AGYW!$V:$V,MATCH($E84,AGYW!$E:$E,0)),"")</f>
        <v/>
      </c>
      <c r="J84" s="73" t="n">
        <v>25</v>
      </c>
      <c r="K84" s="73" t="n">
        <v>22</v>
      </c>
      <c r="L84" s="75"/>
      <c r="M84" s="73" t="n">
        <v>5</v>
      </c>
      <c r="N84" s="73" t="n">
        <v>30</v>
      </c>
      <c r="O84" s="75"/>
    </row>
    <row r="85" customFormat="false" ht="15" hidden="false" customHeight="false" outlineLevel="0" collapsed="false">
      <c r="A85" s="0" t="s">
        <v>145</v>
      </c>
      <c r="B85" s="0" t="s">
        <v>107</v>
      </c>
      <c r="C85" s="0" t="s">
        <v>72</v>
      </c>
      <c r="D85" s="0" t="s">
        <v>56</v>
      </c>
      <c r="E85" s="0" t="str">
        <f aca="false">B85&amp;"|"&amp;C85&amp;"|"&amp;D85</f>
        <v>Mafeteng [#SNU] [#DREAMS] [DiFv5WXIHM5]|30-34|Female</v>
      </c>
      <c r="F85" s="73" t="n">
        <f aca="false">_xlfn.IFNA(INDEX(Cascade!$H:$H,MATCH($E85,Cascade!$E:$E,0)),"")</f>
        <v>2649</v>
      </c>
      <c r="G85" s="73" t="n">
        <f aca="false">_xlfn.IFNA(INDEX(HTS!$BT:$BT,MATCH($E85,HTS!$E:$E,0)),"")</f>
        <v>4340</v>
      </c>
      <c r="H85" s="73" t="str">
        <f aca="false">_xlfn.IFNA(INDEX(AGYW!$U:$U,MATCH($E85,AGYW!$E:$E,0)),"")</f>
        <v/>
      </c>
      <c r="I85" s="73" t="str">
        <f aca="false">_xlfn.IFNA(INDEX(AGYW!$V:$V,MATCH($E85,AGYW!$E:$E,0)),"")</f>
        <v/>
      </c>
      <c r="J85" s="73" t="n">
        <v>14</v>
      </c>
      <c r="K85" s="73" t="n">
        <v>43</v>
      </c>
      <c r="L85" s="75"/>
      <c r="M85" s="73" t="n">
        <v>44</v>
      </c>
      <c r="N85" s="73" t="n">
        <v>23</v>
      </c>
      <c r="O85" s="75"/>
    </row>
    <row r="86" customFormat="false" ht="15" hidden="false" customHeight="false" outlineLevel="0" collapsed="false">
      <c r="A86" s="0" t="s">
        <v>145</v>
      </c>
      <c r="B86" s="0" t="s">
        <v>107</v>
      </c>
      <c r="C86" s="0" t="s">
        <v>72</v>
      </c>
      <c r="D86" s="0" t="s">
        <v>58</v>
      </c>
      <c r="E86" s="0" t="str">
        <f aca="false">B86&amp;"|"&amp;C86&amp;"|"&amp;D86</f>
        <v>Mafeteng [#SNU] [#DREAMS] [DiFv5WXIHM5]|30-34|Male</v>
      </c>
      <c r="F86" s="73" t="n">
        <f aca="false">_xlfn.IFNA(INDEX(Cascade!$H:$H,MATCH($E86,Cascade!$E:$E,0)),"")</f>
        <v>1717</v>
      </c>
      <c r="G86" s="73" t="n">
        <f aca="false">_xlfn.IFNA(INDEX(HTS!$BT:$BT,MATCH($E86,HTS!$E:$E,0)),"")</f>
        <v>32566</v>
      </c>
      <c r="H86" s="73" t="str">
        <f aca="false">_xlfn.IFNA(INDEX(AGYW!$U:$U,MATCH($E86,AGYW!$E:$E,0)),"")</f>
        <v/>
      </c>
      <c r="I86" s="73" t="str">
        <f aca="false">_xlfn.IFNA(INDEX(AGYW!$V:$V,MATCH($E86,AGYW!$E:$E,0)),"")</f>
        <v/>
      </c>
      <c r="J86" s="73" t="n">
        <v>4</v>
      </c>
      <c r="K86" s="73" t="n">
        <v>23</v>
      </c>
      <c r="L86" s="75"/>
      <c r="M86" s="73" t="n">
        <v>3</v>
      </c>
      <c r="N86" s="73" t="n">
        <v>4</v>
      </c>
      <c r="O86" s="75"/>
    </row>
    <row r="87" customFormat="false" ht="15" hidden="false" customHeight="false" outlineLevel="0" collapsed="false">
      <c r="A87" s="0" t="s">
        <v>145</v>
      </c>
      <c r="B87" s="0" t="s">
        <v>107</v>
      </c>
      <c r="C87" s="0" t="s">
        <v>75</v>
      </c>
      <c r="D87" s="0" t="s">
        <v>56</v>
      </c>
      <c r="E87" s="0" t="str">
        <f aca="false">B87&amp;"|"&amp;C87&amp;"|"&amp;D87</f>
        <v>Mafeteng [#SNU] [#DREAMS] [DiFv5WXIHM5]|35-39|Female</v>
      </c>
      <c r="F87" s="73" t="n">
        <f aca="false">_xlfn.IFNA(INDEX(Cascade!$H:$H,MATCH($E87,Cascade!$E:$E,0)),"")</f>
        <v>2524</v>
      </c>
      <c r="G87" s="73" t="n">
        <f aca="false">_xlfn.IFNA(INDEX(HTS!$BT:$BT,MATCH($E87,HTS!$E:$E,0)),"")</f>
        <v>80973</v>
      </c>
      <c r="H87" s="73" t="str">
        <f aca="false">_xlfn.IFNA(INDEX(AGYW!$U:$U,MATCH($E87,AGYW!$E:$E,0)),"")</f>
        <v/>
      </c>
      <c r="I87" s="73" t="str">
        <f aca="false">_xlfn.IFNA(INDEX(AGYW!$V:$V,MATCH($E87,AGYW!$E:$E,0)),"")</f>
        <v/>
      </c>
      <c r="J87" s="73" t="n">
        <v>21</v>
      </c>
      <c r="K87" s="73" t="n">
        <v>33</v>
      </c>
      <c r="L87" s="75"/>
      <c r="M87" s="73" t="n">
        <v>20</v>
      </c>
      <c r="N87" s="73" t="n">
        <v>9</v>
      </c>
      <c r="O87" s="75"/>
    </row>
    <row r="88" customFormat="false" ht="15" hidden="false" customHeight="false" outlineLevel="0" collapsed="false">
      <c r="A88" s="0" t="s">
        <v>145</v>
      </c>
      <c r="B88" s="0" t="s">
        <v>107</v>
      </c>
      <c r="C88" s="0" t="s">
        <v>75</v>
      </c>
      <c r="D88" s="0" t="s">
        <v>58</v>
      </c>
      <c r="E88" s="0" t="str">
        <f aca="false">B88&amp;"|"&amp;C88&amp;"|"&amp;D88</f>
        <v>Mafeteng [#SNU] [#DREAMS] [DiFv5WXIHM5]|35-39|Male</v>
      </c>
      <c r="F88" s="73" t="n">
        <f aca="false">_xlfn.IFNA(INDEX(Cascade!$H:$H,MATCH($E88,Cascade!$E:$E,0)),"")</f>
        <v>2020</v>
      </c>
      <c r="G88" s="73" t="n">
        <f aca="false">_xlfn.IFNA(INDEX(HTS!$BT:$BT,MATCH($E88,HTS!$E:$E,0)),"")</f>
        <v>1800</v>
      </c>
      <c r="H88" s="73" t="str">
        <f aca="false">_xlfn.IFNA(INDEX(AGYW!$U:$U,MATCH($E88,AGYW!$E:$E,0)),"")</f>
        <v/>
      </c>
      <c r="I88" s="73" t="str">
        <f aca="false">_xlfn.IFNA(INDEX(AGYW!$V:$V,MATCH($E88,AGYW!$E:$E,0)),"")</f>
        <v/>
      </c>
      <c r="J88" s="73" t="n">
        <v>24</v>
      </c>
      <c r="K88" s="73" t="n">
        <v>37</v>
      </c>
      <c r="L88" s="75"/>
      <c r="M88" s="73" t="n">
        <v>13</v>
      </c>
      <c r="N88" s="73" t="n">
        <v>36</v>
      </c>
      <c r="O88" s="75"/>
    </row>
    <row r="89" customFormat="false" ht="15" hidden="false" customHeight="false" outlineLevel="0" collapsed="false">
      <c r="A89" s="0" t="s">
        <v>145</v>
      </c>
      <c r="B89" s="0" t="s">
        <v>107</v>
      </c>
      <c r="C89" s="0" t="s">
        <v>77</v>
      </c>
      <c r="D89" s="0" t="s">
        <v>56</v>
      </c>
      <c r="E89" s="0" t="str">
        <f aca="false">B89&amp;"|"&amp;C89&amp;"|"&amp;D89</f>
        <v>Mafeteng [#SNU] [#DREAMS] [DiFv5WXIHM5]|40-44|Female</v>
      </c>
      <c r="F89" s="73" t="n">
        <f aca="false">_xlfn.IFNA(INDEX(Cascade!$H:$H,MATCH($E89,Cascade!$E:$E,0)),"")</f>
        <v>2045</v>
      </c>
      <c r="G89" s="73" t="n">
        <f aca="false">_xlfn.IFNA(INDEX(HTS!$BT:$BT,MATCH($E89,HTS!$E:$E,0)),"")</f>
        <v>5106</v>
      </c>
      <c r="H89" s="73" t="str">
        <f aca="false">_xlfn.IFNA(INDEX(AGYW!$U:$U,MATCH($E89,AGYW!$E:$E,0)),"")</f>
        <v/>
      </c>
      <c r="I89" s="73" t="str">
        <f aca="false">_xlfn.IFNA(INDEX(AGYW!$V:$V,MATCH($E89,AGYW!$E:$E,0)),"")</f>
        <v/>
      </c>
      <c r="J89" s="73" t="n">
        <v>24</v>
      </c>
      <c r="K89" s="73" t="n">
        <v>40</v>
      </c>
      <c r="L89" s="75"/>
      <c r="M89" s="73" t="n">
        <v>39</v>
      </c>
      <c r="N89" s="73" t="n">
        <v>32</v>
      </c>
      <c r="O89" s="75"/>
    </row>
    <row r="90" customFormat="false" ht="15" hidden="false" customHeight="false" outlineLevel="0" collapsed="false">
      <c r="A90" s="0" t="s">
        <v>145</v>
      </c>
      <c r="B90" s="0" t="s">
        <v>107</v>
      </c>
      <c r="C90" s="0" t="s">
        <v>77</v>
      </c>
      <c r="D90" s="0" t="s">
        <v>58</v>
      </c>
      <c r="E90" s="0" t="str">
        <f aca="false">B90&amp;"|"&amp;C90&amp;"|"&amp;D90</f>
        <v>Mafeteng [#SNU] [#DREAMS] [DiFv5WXIHM5]|40-44|Male</v>
      </c>
      <c r="F90" s="73" t="n">
        <f aca="false">_xlfn.IFNA(INDEX(Cascade!$H:$H,MATCH($E90,Cascade!$E:$E,0)),"")</f>
        <v>1769</v>
      </c>
      <c r="G90" s="73" t="n">
        <f aca="false">_xlfn.IFNA(INDEX(HTS!$BT:$BT,MATCH($E90,HTS!$E:$E,0)),"")</f>
        <v>30119</v>
      </c>
      <c r="H90" s="73" t="str">
        <f aca="false">_xlfn.IFNA(INDEX(AGYW!$U:$U,MATCH($E90,AGYW!$E:$E,0)),"")</f>
        <v/>
      </c>
      <c r="I90" s="73" t="str">
        <f aca="false">_xlfn.IFNA(INDEX(AGYW!$V:$V,MATCH($E90,AGYW!$E:$E,0)),"")</f>
        <v/>
      </c>
      <c r="J90" s="73" t="n">
        <v>48</v>
      </c>
      <c r="K90" s="73" t="n">
        <v>37</v>
      </c>
      <c r="L90" s="75"/>
      <c r="M90" s="73" t="n">
        <v>31</v>
      </c>
      <c r="N90" s="73" t="n">
        <v>25</v>
      </c>
      <c r="O90" s="75"/>
    </row>
    <row r="91" customFormat="false" ht="15" hidden="false" customHeight="false" outlineLevel="0" collapsed="false">
      <c r="A91" s="0" t="s">
        <v>145</v>
      </c>
      <c r="B91" s="0" t="s">
        <v>107</v>
      </c>
      <c r="C91" s="0" t="s">
        <v>80</v>
      </c>
      <c r="D91" s="0" t="s">
        <v>56</v>
      </c>
      <c r="E91" s="0" t="str">
        <f aca="false">B91&amp;"|"&amp;C91&amp;"|"&amp;D91</f>
        <v>Mafeteng [#SNU] [#DREAMS] [DiFv5WXIHM5]|45-49|Female</v>
      </c>
      <c r="F91" s="73" t="n">
        <f aca="false">_xlfn.IFNA(INDEX(Cascade!$H:$H,MATCH($E91,Cascade!$E:$E,0)),"")</f>
        <v>1575</v>
      </c>
      <c r="G91" s="73" t="n">
        <f aca="false">_xlfn.IFNA(INDEX(HTS!$BT:$BT,MATCH($E91,HTS!$E:$E,0)),"")</f>
        <v>7210</v>
      </c>
      <c r="H91" s="73" t="str">
        <f aca="false">_xlfn.IFNA(INDEX(AGYW!$U:$U,MATCH($E91,AGYW!$E:$E,0)),"")</f>
        <v/>
      </c>
      <c r="I91" s="73" t="str">
        <f aca="false">_xlfn.IFNA(INDEX(AGYW!$V:$V,MATCH($E91,AGYW!$E:$E,0)),"")</f>
        <v/>
      </c>
      <c r="J91" s="73" t="n">
        <v>39</v>
      </c>
      <c r="K91" s="73" t="n">
        <v>34</v>
      </c>
      <c r="L91" s="75"/>
      <c r="M91" s="73" t="n">
        <v>40</v>
      </c>
      <c r="N91" s="73" t="n">
        <v>34</v>
      </c>
      <c r="O91" s="75"/>
    </row>
    <row r="92" customFormat="false" ht="15" hidden="false" customHeight="false" outlineLevel="0" collapsed="false">
      <c r="A92" s="0" t="s">
        <v>145</v>
      </c>
      <c r="B92" s="0" t="s">
        <v>107</v>
      </c>
      <c r="C92" s="0" t="s">
        <v>80</v>
      </c>
      <c r="D92" s="0" t="s">
        <v>58</v>
      </c>
      <c r="E92" s="0" t="str">
        <f aca="false">B92&amp;"|"&amp;C92&amp;"|"&amp;D92</f>
        <v>Mafeteng [#SNU] [#DREAMS] [DiFv5WXIHM5]|45-49|Male</v>
      </c>
      <c r="F92" s="73" t="n">
        <f aca="false">_xlfn.IFNA(INDEX(Cascade!$H:$H,MATCH($E92,Cascade!$E:$E,0)),"")</f>
        <v>1448</v>
      </c>
      <c r="G92" s="73" t="n">
        <f aca="false">_xlfn.IFNA(INDEX(HTS!$BT:$BT,MATCH($E92,HTS!$E:$E,0)),"")</f>
        <v>3480</v>
      </c>
      <c r="H92" s="73" t="str">
        <f aca="false">_xlfn.IFNA(INDEX(AGYW!$U:$U,MATCH($E92,AGYW!$E:$E,0)),"")</f>
        <v/>
      </c>
      <c r="I92" s="73" t="str">
        <f aca="false">_xlfn.IFNA(INDEX(AGYW!$V:$V,MATCH($E92,AGYW!$E:$E,0)),"")</f>
        <v/>
      </c>
      <c r="J92" s="73" t="n">
        <v>26</v>
      </c>
      <c r="K92" s="73" t="n">
        <v>29</v>
      </c>
      <c r="L92" s="75"/>
      <c r="M92" s="73" t="n">
        <v>40</v>
      </c>
      <c r="N92" s="73" t="n">
        <v>48</v>
      </c>
      <c r="O92" s="75"/>
    </row>
    <row r="93" customFormat="false" ht="15" hidden="false" customHeight="false" outlineLevel="0" collapsed="false">
      <c r="A93" s="0" t="s">
        <v>145</v>
      </c>
      <c r="B93" s="0" t="s">
        <v>107</v>
      </c>
      <c r="C93" s="0" t="s">
        <v>86</v>
      </c>
      <c r="D93" s="0" t="s">
        <v>56</v>
      </c>
      <c r="E93" s="0" t="str">
        <f aca="false">B93&amp;"|"&amp;C93&amp;"|"&amp;D93</f>
        <v>Mafeteng [#SNU] [#DREAMS] [DiFv5WXIHM5]|50+|Female</v>
      </c>
      <c r="F93" s="73" t="n">
        <f aca="false">_xlfn.IFNA(INDEX(Cascade!$H:$H,MATCH($E93,Cascade!$E:$E,0)),"")</f>
        <v>5066</v>
      </c>
      <c r="G93" s="73" t="n">
        <f aca="false">_xlfn.IFNA(INDEX(HTS!$BT:$BT,MATCH($E93,HTS!$E:$E,0)),"")</f>
        <v>-1553</v>
      </c>
      <c r="H93" s="73" t="str">
        <f aca="false">_xlfn.IFNA(INDEX(AGYW!$U:$U,MATCH($E93,AGYW!$E:$E,0)),"")</f>
        <v/>
      </c>
      <c r="I93" s="73" t="str">
        <f aca="false">_xlfn.IFNA(INDEX(AGYW!$V:$V,MATCH($E93,AGYW!$E:$E,0)),"")</f>
        <v/>
      </c>
      <c r="J93" s="73" t="n">
        <v>40</v>
      </c>
      <c r="K93" s="73" t="n">
        <v>24</v>
      </c>
      <c r="L93" s="75"/>
      <c r="M93" s="73" t="n">
        <v>16</v>
      </c>
      <c r="N93" s="73" t="n">
        <v>38</v>
      </c>
      <c r="O93" s="75"/>
    </row>
    <row r="94" customFormat="false" ht="15" hidden="false" customHeight="false" outlineLevel="0" collapsed="false">
      <c r="A94" s="0" t="s">
        <v>145</v>
      </c>
      <c r="B94" s="0" t="s">
        <v>107</v>
      </c>
      <c r="C94" s="0" t="s">
        <v>86</v>
      </c>
      <c r="D94" s="0" t="s">
        <v>58</v>
      </c>
      <c r="E94" s="0" t="str">
        <f aca="false">B94&amp;"|"&amp;C94&amp;"|"&amp;D94</f>
        <v>Mafeteng [#SNU] [#DREAMS] [DiFv5WXIHM5]|50+|Male</v>
      </c>
      <c r="F94" s="73" t="n">
        <f aca="false">_xlfn.IFNA(INDEX(Cascade!$H:$H,MATCH($E94,Cascade!$E:$E,0)),"")</f>
        <v>3803</v>
      </c>
      <c r="G94" s="73" t="n">
        <f aca="false">_xlfn.IFNA(INDEX(HTS!$BT:$BT,MATCH($E94,HTS!$E:$E,0)),"")</f>
        <v>2207</v>
      </c>
      <c r="H94" s="73" t="str">
        <f aca="false">_xlfn.IFNA(INDEX(AGYW!$U:$U,MATCH($E94,AGYW!$E:$E,0)),"")</f>
        <v/>
      </c>
      <c r="I94" s="73" t="str">
        <f aca="false">_xlfn.IFNA(INDEX(AGYW!$V:$V,MATCH($E94,AGYW!$E:$E,0)),"")</f>
        <v/>
      </c>
      <c r="J94" s="73" t="n">
        <v>4</v>
      </c>
      <c r="K94" s="73" t="n">
        <v>41</v>
      </c>
      <c r="L94" s="75"/>
      <c r="M94" s="73" t="n">
        <v>24</v>
      </c>
      <c r="N94" s="73" t="n">
        <v>1</v>
      </c>
      <c r="O94" s="75"/>
    </row>
    <row r="95" customFormat="false" ht="15" hidden="false" customHeight="false" outlineLevel="0" collapsed="false">
      <c r="A95" s="0" t="s">
        <v>146</v>
      </c>
      <c r="B95" s="0" t="s">
        <v>45</v>
      </c>
      <c r="C95" s="0" t="s">
        <v>63</v>
      </c>
      <c r="D95" s="0" t="s">
        <v>56</v>
      </c>
      <c r="E95" s="0" t="str">
        <f aca="false">B95&amp;"|"&amp;C95&amp;"|"&amp;D95</f>
        <v>Maseru [#SNU] [#DREAMS] [tKOXiaNhAyJ]|15-19|Female</v>
      </c>
      <c r="F95" s="73" t="n">
        <f aca="false">_xlfn.IFNA(INDEX(Cascade!$H:$H,MATCH($E95,Cascade!$E:$E,0)),"")</f>
        <v>1223</v>
      </c>
      <c r="G95" s="73" t="n">
        <f aca="false">_xlfn.IFNA(INDEX(HTS!$BT:$BT,MATCH($E95,HTS!$E:$E,0)),"")</f>
        <v>3845</v>
      </c>
      <c r="H95" s="73" t="n">
        <f aca="false">_xlfn.IFNA(INDEX(AGYW!$U:$U,MATCH($E95,AGYW!$E:$E,0)),"")</f>
        <v>81</v>
      </c>
      <c r="I95" s="73" t="n">
        <f aca="false">_xlfn.IFNA(INDEX(AGYW!$V:$V,MATCH($E95,AGYW!$E:$E,0)),"")</f>
        <v>49</v>
      </c>
      <c r="J95" s="73" t="n">
        <v>34</v>
      </c>
      <c r="K95" s="73" t="n">
        <v>40</v>
      </c>
      <c r="L95" s="75"/>
      <c r="M95" s="73" t="n">
        <v>2</v>
      </c>
      <c r="N95" s="73" t="n">
        <v>15</v>
      </c>
      <c r="O95" s="75"/>
    </row>
    <row r="96" customFormat="false" ht="15" hidden="false" customHeight="false" outlineLevel="0" collapsed="false">
      <c r="A96" s="0" t="s">
        <v>146</v>
      </c>
      <c r="B96" s="0" t="s">
        <v>45</v>
      </c>
      <c r="C96" s="0" t="s">
        <v>63</v>
      </c>
      <c r="D96" s="0" t="s">
        <v>58</v>
      </c>
      <c r="E96" s="0" t="str">
        <f aca="false">B96&amp;"|"&amp;C96&amp;"|"&amp;D96</f>
        <v>Maseru [#SNU] [#DREAMS] [tKOXiaNhAyJ]|15-19|Male</v>
      </c>
      <c r="F96" s="73" t="n">
        <f aca="false">_xlfn.IFNA(INDEX(Cascade!$H:$H,MATCH($E96,Cascade!$E:$E,0)),"")</f>
        <v>717</v>
      </c>
      <c r="G96" s="73" t="n">
        <f aca="false">_xlfn.IFNA(INDEX(HTS!$BT:$BT,MATCH($E96,HTS!$E:$E,0)),"")</f>
        <v>-2026</v>
      </c>
      <c r="H96" s="73" t="str">
        <f aca="false">_xlfn.IFNA(INDEX(AGYW!$U:$U,MATCH($E96,AGYW!$E:$E,0)),"")</f>
        <v/>
      </c>
      <c r="I96" s="73" t="str">
        <f aca="false">_xlfn.IFNA(INDEX(AGYW!$V:$V,MATCH($E96,AGYW!$E:$E,0)),"")</f>
        <v/>
      </c>
      <c r="J96" s="73" t="n">
        <v>25</v>
      </c>
      <c r="K96" s="73" t="n">
        <v>40</v>
      </c>
      <c r="L96" s="75"/>
      <c r="M96" s="73" t="n">
        <v>17</v>
      </c>
      <c r="N96" s="73" t="n">
        <v>20</v>
      </c>
      <c r="O96" s="75"/>
    </row>
    <row r="97" customFormat="false" ht="15" hidden="false" customHeight="false" outlineLevel="0" collapsed="false">
      <c r="A97" s="0" t="s">
        <v>146</v>
      </c>
      <c r="B97" s="0" t="s">
        <v>45</v>
      </c>
      <c r="C97" s="0" t="s">
        <v>66</v>
      </c>
      <c r="D97" s="0" t="s">
        <v>56</v>
      </c>
      <c r="E97" s="0" t="str">
        <f aca="false">B97&amp;"|"&amp;C97&amp;"|"&amp;D97</f>
        <v>Maseru [#SNU] [#DREAMS] [tKOXiaNhAyJ]|20-24|Female</v>
      </c>
      <c r="F97" s="73" t="n">
        <f aca="false">_xlfn.IFNA(INDEX(Cascade!$H:$H,MATCH($E97,Cascade!$E:$E,0)),"")</f>
        <v>3721</v>
      </c>
      <c r="G97" s="73" t="n">
        <f aca="false">_xlfn.IFNA(INDEX(HTS!$BT:$BT,MATCH($E97,HTS!$E:$E,0)),"")</f>
        <v>-487</v>
      </c>
      <c r="H97" s="73" t="n">
        <f aca="false">_xlfn.IFNA(INDEX(AGYW!$U:$U,MATCH($E97,AGYW!$E:$E,0)),"")</f>
        <v>95</v>
      </c>
      <c r="I97" s="73" t="n">
        <f aca="false">_xlfn.IFNA(INDEX(AGYW!$V:$V,MATCH($E97,AGYW!$E:$E,0)),"")</f>
        <v>57</v>
      </c>
      <c r="J97" s="73" t="n">
        <v>16</v>
      </c>
      <c r="K97" s="73" t="n">
        <v>12</v>
      </c>
      <c r="L97" s="75"/>
      <c r="M97" s="73" t="n">
        <v>30</v>
      </c>
      <c r="N97" s="73" t="n">
        <v>8</v>
      </c>
      <c r="O97" s="75"/>
    </row>
    <row r="98" customFormat="false" ht="15" hidden="false" customHeight="false" outlineLevel="0" collapsed="false">
      <c r="A98" s="0" t="s">
        <v>146</v>
      </c>
      <c r="B98" s="0" t="s">
        <v>45</v>
      </c>
      <c r="C98" s="0" t="s">
        <v>66</v>
      </c>
      <c r="D98" s="0" t="s">
        <v>58</v>
      </c>
      <c r="E98" s="0" t="str">
        <f aca="false">B98&amp;"|"&amp;C98&amp;"|"&amp;D98</f>
        <v>Maseru [#SNU] [#DREAMS] [tKOXiaNhAyJ]|20-24|Male</v>
      </c>
      <c r="F98" s="73" t="n">
        <f aca="false">_xlfn.IFNA(INDEX(Cascade!$H:$H,MATCH($E98,Cascade!$E:$E,0)),"")</f>
        <v>1301</v>
      </c>
      <c r="G98" s="73" t="n">
        <f aca="false">_xlfn.IFNA(INDEX(HTS!$BT:$BT,MATCH($E98,HTS!$E:$E,0)),"")</f>
        <v>60978</v>
      </c>
      <c r="H98" s="73" t="str">
        <f aca="false">_xlfn.IFNA(INDEX(AGYW!$U:$U,MATCH($E98,AGYW!$E:$E,0)),"")</f>
        <v/>
      </c>
      <c r="I98" s="73" t="str">
        <f aca="false">_xlfn.IFNA(INDEX(AGYW!$V:$V,MATCH($E98,AGYW!$E:$E,0)),"")</f>
        <v/>
      </c>
      <c r="J98" s="73" t="n">
        <v>8</v>
      </c>
      <c r="K98" s="73" t="n">
        <v>12</v>
      </c>
      <c r="L98" s="75"/>
      <c r="M98" s="73" t="n">
        <v>28</v>
      </c>
      <c r="N98" s="73" t="n">
        <v>45</v>
      </c>
      <c r="O98" s="75"/>
    </row>
    <row r="99" customFormat="false" ht="15" hidden="false" customHeight="false" outlineLevel="0" collapsed="false">
      <c r="A99" s="0" t="s">
        <v>146</v>
      </c>
      <c r="B99" s="0" t="s">
        <v>45</v>
      </c>
      <c r="C99" s="0" t="s">
        <v>69</v>
      </c>
      <c r="D99" s="0" t="s">
        <v>56</v>
      </c>
      <c r="E99" s="0" t="str">
        <f aca="false">B99&amp;"|"&amp;C99&amp;"|"&amp;D99</f>
        <v>Maseru [#SNU] [#DREAMS] [tKOXiaNhAyJ]|25-29|Female</v>
      </c>
      <c r="F99" s="73" t="n">
        <f aca="false">_xlfn.IFNA(INDEX(Cascade!$H:$H,MATCH($E99,Cascade!$E:$E,0)),"")</f>
        <v>7438</v>
      </c>
      <c r="G99" s="73" t="n">
        <f aca="false">_xlfn.IFNA(INDEX(HTS!$BT:$BT,MATCH($E99,HTS!$E:$E,0)),"")</f>
        <v>64158</v>
      </c>
      <c r="H99" s="73" t="str">
        <f aca="false">_xlfn.IFNA(INDEX(AGYW!$U:$U,MATCH($E99,AGYW!$E:$E,0)),"")</f>
        <v/>
      </c>
      <c r="I99" s="73" t="str">
        <f aca="false">_xlfn.IFNA(INDEX(AGYW!$V:$V,MATCH($E99,AGYW!$E:$E,0)),"")</f>
        <v/>
      </c>
      <c r="J99" s="73" t="n">
        <v>6</v>
      </c>
      <c r="K99" s="73" t="n">
        <v>34</v>
      </c>
      <c r="L99" s="75"/>
      <c r="M99" s="73" t="n">
        <v>28</v>
      </c>
      <c r="N99" s="73" t="n">
        <v>21</v>
      </c>
      <c r="O99" s="75"/>
    </row>
    <row r="100" customFormat="false" ht="15" hidden="false" customHeight="false" outlineLevel="0" collapsed="false">
      <c r="A100" s="0" t="s">
        <v>146</v>
      </c>
      <c r="B100" s="0" t="s">
        <v>45</v>
      </c>
      <c r="C100" s="0" t="s">
        <v>69</v>
      </c>
      <c r="D100" s="0" t="s">
        <v>58</v>
      </c>
      <c r="E100" s="0" t="str">
        <f aca="false">B100&amp;"|"&amp;C100&amp;"|"&amp;D100</f>
        <v>Maseru [#SNU] [#DREAMS] [tKOXiaNhAyJ]|25-29|Male</v>
      </c>
      <c r="F100" s="73" t="n">
        <f aca="false">_xlfn.IFNA(INDEX(Cascade!$H:$H,MATCH($E100,Cascade!$E:$E,0)),"")</f>
        <v>3081</v>
      </c>
      <c r="G100" s="73" t="n">
        <f aca="false">_xlfn.IFNA(INDEX(HTS!$BT:$BT,MATCH($E100,HTS!$E:$E,0)),"")</f>
        <v>51793</v>
      </c>
      <c r="H100" s="73" t="str">
        <f aca="false">_xlfn.IFNA(INDEX(AGYW!$U:$U,MATCH($E100,AGYW!$E:$E,0)),"")</f>
        <v/>
      </c>
      <c r="I100" s="73" t="str">
        <f aca="false">_xlfn.IFNA(INDEX(AGYW!$V:$V,MATCH($E100,AGYW!$E:$E,0)),"")</f>
        <v/>
      </c>
      <c r="J100" s="73" t="n">
        <v>32</v>
      </c>
      <c r="K100" s="73" t="n">
        <v>37</v>
      </c>
      <c r="L100" s="75"/>
      <c r="M100" s="73" t="n">
        <v>10</v>
      </c>
      <c r="N100" s="73" t="n">
        <v>19</v>
      </c>
      <c r="O100" s="75"/>
    </row>
    <row r="101" customFormat="false" ht="15" hidden="false" customHeight="false" outlineLevel="0" collapsed="false">
      <c r="A101" s="0" t="s">
        <v>146</v>
      </c>
      <c r="B101" s="0" t="s">
        <v>45</v>
      </c>
      <c r="C101" s="0" t="s">
        <v>72</v>
      </c>
      <c r="D101" s="0" t="s">
        <v>56</v>
      </c>
      <c r="E101" s="0" t="str">
        <f aca="false">B101&amp;"|"&amp;C101&amp;"|"&amp;D101</f>
        <v>Maseru [#SNU] [#DREAMS] [tKOXiaNhAyJ]|30-34|Female</v>
      </c>
      <c r="F101" s="73" t="n">
        <f aca="false">_xlfn.IFNA(INDEX(Cascade!$H:$H,MATCH($E101,Cascade!$E:$E,0)),"")</f>
        <v>10212</v>
      </c>
      <c r="G101" s="73" t="n">
        <f aca="false">_xlfn.IFNA(INDEX(HTS!$BT:$BT,MATCH($E101,HTS!$E:$E,0)),"")</f>
        <v>24707</v>
      </c>
      <c r="H101" s="73" t="str">
        <f aca="false">_xlfn.IFNA(INDEX(AGYW!$U:$U,MATCH($E101,AGYW!$E:$E,0)),"")</f>
        <v/>
      </c>
      <c r="I101" s="73" t="str">
        <f aca="false">_xlfn.IFNA(INDEX(AGYW!$V:$V,MATCH($E101,AGYW!$E:$E,0)),"")</f>
        <v/>
      </c>
      <c r="J101" s="73" t="n">
        <v>1</v>
      </c>
      <c r="K101" s="73" t="n">
        <v>11</v>
      </c>
      <c r="L101" s="75"/>
      <c r="M101" s="73" t="n">
        <v>20</v>
      </c>
      <c r="N101" s="73" t="n">
        <v>30</v>
      </c>
      <c r="O101" s="75"/>
    </row>
    <row r="102" customFormat="false" ht="15" hidden="false" customHeight="false" outlineLevel="0" collapsed="false">
      <c r="A102" s="0" t="s">
        <v>146</v>
      </c>
      <c r="B102" s="0" t="s">
        <v>45</v>
      </c>
      <c r="C102" s="0" t="s">
        <v>72</v>
      </c>
      <c r="D102" s="0" t="s">
        <v>58</v>
      </c>
      <c r="E102" s="0" t="str">
        <f aca="false">B102&amp;"|"&amp;C102&amp;"|"&amp;D102</f>
        <v>Maseru [#SNU] [#DREAMS] [tKOXiaNhAyJ]|30-34|Male</v>
      </c>
      <c r="F102" s="73" t="n">
        <f aca="false">_xlfn.IFNA(INDEX(Cascade!$H:$H,MATCH($E102,Cascade!$E:$E,0)),"")</f>
        <v>5606</v>
      </c>
      <c r="G102" s="73" t="n">
        <f aca="false">_xlfn.IFNA(INDEX(HTS!$BT:$BT,MATCH($E102,HTS!$E:$E,0)),"")</f>
        <v>55225</v>
      </c>
      <c r="H102" s="73" t="str">
        <f aca="false">_xlfn.IFNA(INDEX(AGYW!$U:$U,MATCH($E102,AGYW!$E:$E,0)),"")</f>
        <v/>
      </c>
      <c r="I102" s="73" t="str">
        <f aca="false">_xlfn.IFNA(INDEX(AGYW!$V:$V,MATCH($E102,AGYW!$E:$E,0)),"")</f>
        <v/>
      </c>
      <c r="J102" s="73" t="n">
        <v>43</v>
      </c>
      <c r="K102" s="73" t="n">
        <v>24</v>
      </c>
      <c r="L102" s="75"/>
      <c r="M102" s="73" t="n">
        <v>33</v>
      </c>
      <c r="N102" s="73" t="n">
        <v>48</v>
      </c>
      <c r="O102" s="75"/>
    </row>
    <row r="103" customFormat="false" ht="15" hidden="false" customHeight="false" outlineLevel="0" collapsed="false">
      <c r="A103" s="0" t="s">
        <v>146</v>
      </c>
      <c r="B103" s="0" t="s">
        <v>45</v>
      </c>
      <c r="C103" s="0" t="s">
        <v>75</v>
      </c>
      <c r="D103" s="0" t="s">
        <v>56</v>
      </c>
      <c r="E103" s="0" t="str">
        <f aca="false">B103&amp;"|"&amp;C103&amp;"|"&amp;D103</f>
        <v>Maseru [#SNU] [#DREAMS] [tKOXiaNhAyJ]|35-39|Female</v>
      </c>
      <c r="F103" s="73" t="n">
        <f aca="false">_xlfn.IFNA(INDEX(Cascade!$H:$H,MATCH($E103,Cascade!$E:$E,0)),"")</f>
        <v>9645</v>
      </c>
      <c r="G103" s="73" t="n">
        <f aca="false">_xlfn.IFNA(INDEX(HTS!$BT:$BT,MATCH($E103,HTS!$E:$E,0)),"")</f>
        <v>8132</v>
      </c>
      <c r="H103" s="73" t="str">
        <f aca="false">_xlfn.IFNA(INDEX(AGYW!$U:$U,MATCH($E103,AGYW!$E:$E,0)),"")</f>
        <v/>
      </c>
      <c r="I103" s="73" t="str">
        <f aca="false">_xlfn.IFNA(INDEX(AGYW!$V:$V,MATCH($E103,AGYW!$E:$E,0)),"")</f>
        <v/>
      </c>
      <c r="J103" s="73" t="n">
        <v>7</v>
      </c>
      <c r="K103" s="73" t="n">
        <v>42</v>
      </c>
      <c r="L103" s="75"/>
      <c r="M103" s="73" t="n">
        <v>46</v>
      </c>
      <c r="N103" s="73" t="n">
        <v>42</v>
      </c>
      <c r="O103" s="75"/>
    </row>
    <row r="104" customFormat="false" ht="15" hidden="false" customHeight="false" outlineLevel="0" collapsed="false">
      <c r="A104" s="0" t="s">
        <v>146</v>
      </c>
      <c r="B104" s="0" t="s">
        <v>45</v>
      </c>
      <c r="C104" s="0" t="s">
        <v>75</v>
      </c>
      <c r="D104" s="0" t="s">
        <v>58</v>
      </c>
      <c r="E104" s="0" t="str">
        <f aca="false">B104&amp;"|"&amp;C104&amp;"|"&amp;D104</f>
        <v>Maseru [#SNU] [#DREAMS] [tKOXiaNhAyJ]|35-39|Male</v>
      </c>
      <c r="F104" s="73" t="n">
        <f aca="false">_xlfn.IFNA(INDEX(Cascade!$H:$H,MATCH($E104,Cascade!$E:$E,0)),"")</f>
        <v>6830</v>
      </c>
      <c r="G104" s="73" t="n">
        <f aca="false">_xlfn.IFNA(INDEX(HTS!$BT:$BT,MATCH($E104,HTS!$E:$E,0)),"")</f>
        <v>16537</v>
      </c>
      <c r="H104" s="73" t="str">
        <f aca="false">_xlfn.IFNA(INDEX(AGYW!$U:$U,MATCH($E104,AGYW!$E:$E,0)),"")</f>
        <v/>
      </c>
      <c r="I104" s="73" t="str">
        <f aca="false">_xlfn.IFNA(INDEX(AGYW!$V:$V,MATCH($E104,AGYW!$E:$E,0)),"")</f>
        <v/>
      </c>
      <c r="J104" s="73" t="n">
        <v>33</v>
      </c>
      <c r="K104" s="73" t="n">
        <v>49</v>
      </c>
      <c r="L104" s="75"/>
      <c r="M104" s="73" t="n">
        <v>44</v>
      </c>
      <c r="N104" s="73" t="n">
        <v>30</v>
      </c>
      <c r="O104" s="75"/>
    </row>
    <row r="105" customFormat="false" ht="15" hidden="false" customHeight="false" outlineLevel="0" collapsed="false">
      <c r="A105" s="0" t="s">
        <v>146</v>
      </c>
      <c r="B105" s="0" t="s">
        <v>45</v>
      </c>
      <c r="C105" s="0" t="s">
        <v>77</v>
      </c>
      <c r="D105" s="0" t="s">
        <v>56</v>
      </c>
      <c r="E105" s="0" t="str">
        <f aca="false">B105&amp;"|"&amp;C105&amp;"|"&amp;D105</f>
        <v>Maseru [#SNU] [#DREAMS] [tKOXiaNhAyJ]|40-44|Female</v>
      </c>
      <c r="F105" s="73" t="n">
        <f aca="false">_xlfn.IFNA(INDEX(Cascade!$H:$H,MATCH($E105,Cascade!$E:$E,0)),"")</f>
        <v>7616</v>
      </c>
      <c r="G105" s="73" t="n">
        <f aca="false">_xlfn.IFNA(INDEX(HTS!$BT:$BT,MATCH($E105,HTS!$E:$E,0)),"")</f>
        <v>10116</v>
      </c>
      <c r="H105" s="73" t="str">
        <f aca="false">_xlfn.IFNA(INDEX(AGYW!$U:$U,MATCH($E105,AGYW!$E:$E,0)),"")</f>
        <v/>
      </c>
      <c r="I105" s="73" t="str">
        <f aca="false">_xlfn.IFNA(INDEX(AGYW!$V:$V,MATCH($E105,AGYW!$E:$E,0)),"")</f>
        <v/>
      </c>
      <c r="J105" s="73" t="n">
        <v>31</v>
      </c>
      <c r="K105" s="73" t="n">
        <v>47</v>
      </c>
      <c r="L105" s="75"/>
      <c r="M105" s="73" t="n">
        <v>45</v>
      </c>
      <c r="N105" s="73" t="n">
        <v>47</v>
      </c>
      <c r="O105" s="75"/>
    </row>
    <row r="106" customFormat="false" ht="15" hidden="false" customHeight="false" outlineLevel="0" collapsed="false">
      <c r="A106" s="0" t="s">
        <v>146</v>
      </c>
      <c r="B106" s="0" t="s">
        <v>45</v>
      </c>
      <c r="C106" s="0" t="s">
        <v>77</v>
      </c>
      <c r="D106" s="0" t="s">
        <v>58</v>
      </c>
      <c r="E106" s="0" t="str">
        <f aca="false">B106&amp;"|"&amp;C106&amp;"|"&amp;D106</f>
        <v>Maseru [#SNU] [#DREAMS] [tKOXiaNhAyJ]|40-44|Male</v>
      </c>
      <c r="F106" s="73" t="n">
        <f aca="false">_xlfn.IFNA(INDEX(Cascade!$H:$H,MATCH($E106,Cascade!$E:$E,0)),"")</f>
        <v>6080</v>
      </c>
      <c r="G106" s="73" t="n">
        <f aca="false">_xlfn.IFNA(INDEX(HTS!$BT:$BT,MATCH($E106,HTS!$E:$E,0)),"")</f>
        <v>643</v>
      </c>
      <c r="H106" s="73" t="str">
        <f aca="false">_xlfn.IFNA(INDEX(AGYW!$U:$U,MATCH($E106,AGYW!$E:$E,0)),"")</f>
        <v/>
      </c>
      <c r="I106" s="73" t="str">
        <f aca="false">_xlfn.IFNA(INDEX(AGYW!$V:$V,MATCH($E106,AGYW!$E:$E,0)),"")</f>
        <v/>
      </c>
      <c r="J106" s="73" t="n">
        <v>6</v>
      </c>
      <c r="K106" s="73" t="n">
        <v>40</v>
      </c>
      <c r="L106" s="75"/>
      <c r="M106" s="73" t="n">
        <v>41</v>
      </c>
      <c r="N106" s="73" t="n">
        <v>21</v>
      </c>
      <c r="O106" s="75"/>
    </row>
    <row r="107" customFormat="false" ht="15" hidden="false" customHeight="false" outlineLevel="0" collapsed="false">
      <c r="A107" s="0" t="s">
        <v>146</v>
      </c>
      <c r="B107" s="0" t="s">
        <v>45</v>
      </c>
      <c r="C107" s="0" t="s">
        <v>80</v>
      </c>
      <c r="D107" s="0" t="s">
        <v>56</v>
      </c>
      <c r="E107" s="0" t="str">
        <f aca="false">B107&amp;"|"&amp;C107&amp;"|"&amp;D107</f>
        <v>Maseru [#SNU] [#DREAMS] [tKOXiaNhAyJ]|45-49|Female</v>
      </c>
      <c r="F107" s="73" t="n">
        <f aca="false">_xlfn.IFNA(INDEX(Cascade!$H:$H,MATCH($E107,Cascade!$E:$E,0)),"")</f>
        <v>5384</v>
      </c>
      <c r="G107" s="73" t="n">
        <f aca="false">_xlfn.IFNA(INDEX(HTS!$BT:$BT,MATCH($E107,HTS!$E:$E,0)),"")</f>
        <v>-1064</v>
      </c>
      <c r="H107" s="73" t="str">
        <f aca="false">_xlfn.IFNA(INDEX(AGYW!$U:$U,MATCH($E107,AGYW!$E:$E,0)),"")</f>
        <v/>
      </c>
      <c r="I107" s="73" t="str">
        <f aca="false">_xlfn.IFNA(INDEX(AGYW!$V:$V,MATCH($E107,AGYW!$E:$E,0)),"")</f>
        <v/>
      </c>
      <c r="J107" s="73" t="n">
        <v>9</v>
      </c>
      <c r="K107" s="73" t="n">
        <v>19</v>
      </c>
      <c r="L107" s="75"/>
      <c r="M107" s="73" t="n">
        <v>1</v>
      </c>
      <c r="N107" s="73" t="n">
        <v>19</v>
      </c>
      <c r="O107" s="75"/>
    </row>
    <row r="108" customFormat="false" ht="15" hidden="false" customHeight="false" outlineLevel="0" collapsed="false">
      <c r="A108" s="0" t="s">
        <v>146</v>
      </c>
      <c r="B108" s="0" t="s">
        <v>45</v>
      </c>
      <c r="C108" s="0" t="s">
        <v>80</v>
      </c>
      <c r="D108" s="0" t="s">
        <v>58</v>
      </c>
      <c r="E108" s="0" t="str">
        <f aca="false">B108&amp;"|"&amp;C108&amp;"|"&amp;D108</f>
        <v>Maseru [#SNU] [#DREAMS] [tKOXiaNhAyJ]|45-49|Male</v>
      </c>
      <c r="F108" s="73" t="n">
        <f aca="false">_xlfn.IFNA(INDEX(Cascade!$H:$H,MATCH($E108,Cascade!$E:$E,0)),"")</f>
        <v>4911</v>
      </c>
      <c r="G108" s="73" t="n">
        <f aca="false">_xlfn.IFNA(INDEX(HTS!$BT:$BT,MATCH($E108,HTS!$E:$E,0)),"")</f>
        <v>7476</v>
      </c>
      <c r="H108" s="73" t="str">
        <f aca="false">_xlfn.IFNA(INDEX(AGYW!$U:$U,MATCH($E108,AGYW!$E:$E,0)),"")</f>
        <v/>
      </c>
      <c r="I108" s="73" t="str">
        <f aca="false">_xlfn.IFNA(INDEX(AGYW!$V:$V,MATCH($E108,AGYW!$E:$E,0)),"")</f>
        <v/>
      </c>
      <c r="J108" s="73" t="n">
        <v>47</v>
      </c>
      <c r="K108" s="73" t="n">
        <v>26</v>
      </c>
      <c r="L108" s="75"/>
      <c r="M108" s="73" t="n">
        <v>17</v>
      </c>
      <c r="N108" s="73" t="n">
        <v>21</v>
      </c>
      <c r="O108" s="75"/>
    </row>
    <row r="109" customFormat="false" ht="15" hidden="false" customHeight="false" outlineLevel="0" collapsed="false">
      <c r="A109" s="0" t="s">
        <v>146</v>
      </c>
      <c r="B109" s="0" t="s">
        <v>45</v>
      </c>
      <c r="C109" s="0" t="s">
        <v>86</v>
      </c>
      <c r="D109" s="0" t="s">
        <v>56</v>
      </c>
      <c r="E109" s="0" t="str">
        <f aca="false">B109&amp;"|"&amp;C109&amp;"|"&amp;D109</f>
        <v>Maseru [#SNU] [#DREAMS] [tKOXiaNhAyJ]|50+|Female</v>
      </c>
      <c r="F109" s="73" t="n">
        <f aca="false">_xlfn.IFNA(INDEX(Cascade!$H:$H,MATCH($E109,Cascade!$E:$E,0)),"")</f>
        <v>12963</v>
      </c>
      <c r="G109" s="73" t="n">
        <f aca="false">_xlfn.IFNA(INDEX(HTS!$BT:$BT,MATCH($E109,HTS!$E:$E,0)),"")</f>
        <v>1119</v>
      </c>
      <c r="H109" s="73" t="str">
        <f aca="false">_xlfn.IFNA(INDEX(AGYW!$U:$U,MATCH($E109,AGYW!$E:$E,0)),"")</f>
        <v/>
      </c>
      <c r="I109" s="73" t="str">
        <f aca="false">_xlfn.IFNA(INDEX(AGYW!$V:$V,MATCH($E109,AGYW!$E:$E,0)),"")</f>
        <v/>
      </c>
      <c r="J109" s="73" t="n">
        <v>17</v>
      </c>
      <c r="K109" s="73" t="n">
        <v>23</v>
      </c>
      <c r="L109" s="75"/>
      <c r="M109" s="73" t="n">
        <v>27</v>
      </c>
      <c r="N109" s="73" t="n">
        <v>13</v>
      </c>
      <c r="O109" s="75"/>
    </row>
    <row r="110" customFormat="false" ht="15" hidden="false" customHeight="false" outlineLevel="0" collapsed="false">
      <c r="A110" s="0" t="s">
        <v>146</v>
      </c>
      <c r="B110" s="0" t="s">
        <v>45</v>
      </c>
      <c r="C110" s="0" t="s">
        <v>86</v>
      </c>
      <c r="D110" s="0" t="s">
        <v>58</v>
      </c>
      <c r="E110" s="0" t="str">
        <f aca="false">B110&amp;"|"&amp;C110&amp;"|"&amp;D110</f>
        <v>Maseru [#SNU] [#DREAMS] [tKOXiaNhAyJ]|50+|Male</v>
      </c>
      <c r="F110" s="73" t="n">
        <f aca="false">_xlfn.IFNA(INDEX(Cascade!$H:$H,MATCH($E110,Cascade!$E:$E,0)),"")</f>
        <v>10015</v>
      </c>
      <c r="G110" s="73" t="n">
        <f aca="false">_xlfn.IFNA(INDEX(HTS!$BT:$BT,MATCH($E110,HTS!$E:$E,0)),"")</f>
        <v>2043</v>
      </c>
      <c r="H110" s="73" t="str">
        <f aca="false">_xlfn.IFNA(INDEX(AGYW!$U:$U,MATCH($E110,AGYW!$E:$E,0)),"")</f>
        <v/>
      </c>
      <c r="I110" s="73" t="str">
        <f aca="false">_xlfn.IFNA(INDEX(AGYW!$V:$V,MATCH($E110,AGYW!$E:$E,0)),"")</f>
        <v/>
      </c>
      <c r="J110" s="73" t="n">
        <v>34</v>
      </c>
      <c r="K110" s="73"/>
      <c r="L110" s="75"/>
      <c r="M110" s="73" t="n">
        <v>23</v>
      </c>
      <c r="N110" s="73"/>
      <c r="O110" s="75"/>
    </row>
    <row r="111" customFormat="false" ht="15" hidden="false" customHeight="false" outlineLevel="0" collapsed="false">
      <c r="A111" s="0" t="s">
        <v>147</v>
      </c>
      <c r="B111" s="0" t="s">
        <v>105</v>
      </c>
      <c r="C111" s="0" t="s">
        <v>63</v>
      </c>
      <c r="D111" s="0" t="s">
        <v>56</v>
      </c>
      <c r="E111" s="0" t="str">
        <f aca="false">B111&amp;"|"&amp;C111&amp;"|"&amp;D111</f>
        <v>Mohale's Hoek [#SNU] [#DREAMS] [YGI7vISD2kJ]|15-19|Female</v>
      </c>
      <c r="F111" s="73" t="n">
        <f aca="false">_xlfn.IFNA(INDEX(Cascade!$H:$H,MATCH($E111,Cascade!$E:$E,0)),"")</f>
        <v>413</v>
      </c>
      <c r="G111" s="73" t="n">
        <f aca="false">_xlfn.IFNA(INDEX(HTS!$BT:$BT,MATCH($E111,HTS!$E:$E,0)),"")</f>
        <v>2134</v>
      </c>
      <c r="H111" s="73" t="str">
        <f aca="false">_xlfn.IFNA(INDEX(AGYW!$U:$U,MATCH($E111,AGYW!$E:$E,0)),"")</f>
        <v/>
      </c>
      <c r="I111" s="73" t="str">
        <f aca="false">_xlfn.IFNA(INDEX(AGYW!$V:$V,MATCH($E111,AGYW!$E:$E,0)),"")</f>
        <v/>
      </c>
      <c r="J111" s="73" t="n">
        <v>12</v>
      </c>
      <c r="K111" s="73" t="n">
        <v>27</v>
      </c>
      <c r="L111" s="75"/>
      <c r="M111" s="73" t="n">
        <v>50</v>
      </c>
      <c r="N111" s="73" t="n">
        <v>9</v>
      </c>
      <c r="O111" s="75"/>
    </row>
    <row r="112" customFormat="false" ht="15" hidden="false" customHeight="false" outlineLevel="0" collapsed="false">
      <c r="A112" s="0" t="s">
        <v>147</v>
      </c>
      <c r="B112" s="0" t="s">
        <v>105</v>
      </c>
      <c r="C112" s="0" t="s">
        <v>63</v>
      </c>
      <c r="D112" s="0" t="s">
        <v>58</v>
      </c>
      <c r="E112" s="0" t="str">
        <f aca="false">B112&amp;"|"&amp;C112&amp;"|"&amp;D112</f>
        <v>Mohale's Hoek [#SNU] [#DREAMS] [YGI7vISD2kJ]|15-19|Male</v>
      </c>
      <c r="F112" s="73" t="n">
        <f aca="false">_xlfn.IFNA(INDEX(Cascade!$H:$H,MATCH($E112,Cascade!$E:$E,0)),"")</f>
        <v>266</v>
      </c>
      <c r="G112" s="73" t="n">
        <f aca="false">_xlfn.IFNA(INDEX(HTS!$BT:$BT,MATCH($E112,HTS!$E:$E,0)),"")</f>
        <v>-815</v>
      </c>
      <c r="H112" s="73" t="str">
        <f aca="false">_xlfn.IFNA(INDEX(AGYW!$U:$U,MATCH($E112,AGYW!$E:$E,0)),"")</f>
        <v/>
      </c>
      <c r="I112" s="73" t="str">
        <f aca="false">_xlfn.IFNA(INDEX(AGYW!$V:$V,MATCH($E112,AGYW!$E:$E,0)),"")</f>
        <v/>
      </c>
      <c r="J112" s="73" t="n">
        <v>20</v>
      </c>
      <c r="K112" s="73" t="n">
        <v>10</v>
      </c>
      <c r="L112" s="75"/>
      <c r="M112" s="73"/>
      <c r="N112" s="73" t="n">
        <v>5</v>
      </c>
      <c r="O112" s="75"/>
    </row>
    <row r="113" customFormat="false" ht="15" hidden="false" customHeight="false" outlineLevel="0" collapsed="false">
      <c r="A113" s="0" t="s">
        <v>147</v>
      </c>
      <c r="B113" s="0" t="s">
        <v>105</v>
      </c>
      <c r="C113" s="0" t="s">
        <v>66</v>
      </c>
      <c r="D113" s="0" t="s">
        <v>56</v>
      </c>
      <c r="E113" s="0" t="str">
        <f aca="false">B113&amp;"|"&amp;C113&amp;"|"&amp;D113</f>
        <v>Mohale's Hoek [#SNU] [#DREAMS] [YGI7vISD2kJ]|20-24|Female</v>
      </c>
      <c r="F113" s="73" t="n">
        <f aca="false">_xlfn.IFNA(INDEX(Cascade!$H:$H,MATCH($E113,Cascade!$E:$E,0)),"")</f>
        <v>1047</v>
      </c>
      <c r="G113" s="73" t="n">
        <f aca="false">_xlfn.IFNA(INDEX(HTS!$BT:$BT,MATCH($E113,HTS!$E:$E,0)),"")</f>
        <v>2223</v>
      </c>
      <c r="H113" s="73" t="str">
        <f aca="false">_xlfn.IFNA(INDEX(AGYW!$U:$U,MATCH($E113,AGYW!$E:$E,0)),"")</f>
        <v/>
      </c>
      <c r="I113" s="73" t="str">
        <f aca="false">_xlfn.IFNA(INDEX(AGYW!$V:$V,MATCH($E113,AGYW!$E:$E,0)),"")</f>
        <v/>
      </c>
      <c r="J113" s="73" t="n">
        <v>3</v>
      </c>
      <c r="K113" s="73" t="n">
        <v>32</v>
      </c>
      <c r="L113" s="75"/>
      <c r="M113" s="73" t="n">
        <v>27</v>
      </c>
      <c r="N113" s="73" t="n">
        <v>10</v>
      </c>
      <c r="O113" s="75"/>
    </row>
    <row r="114" customFormat="false" ht="15" hidden="false" customHeight="false" outlineLevel="0" collapsed="false">
      <c r="A114" s="0" t="s">
        <v>147</v>
      </c>
      <c r="B114" s="0" t="s">
        <v>105</v>
      </c>
      <c r="C114" s="0" t="s">
        <v>66</v>
      </c>
      <c r="D114" s="0" t="s">
        <v>58</v>
      </c>
      <c r="E114" s="0" t="str">
        <f aca="false">B114&amp;"|"&amp;C114&amp;"|"&amp;D114</f>
        <v>Mohale's Hoek [#SNU] [#DREAMS] [YGI7vISD2kJ]|20-24|Male</v>
      </c>
      <c r="F114" s="73" t="n">
        <f aca="false">_xlfn.IFNA(INDEX(Cascade!$H:$H,MATCH($E114,Cascade!$E:$E,0)),"")</f>
        <v>416</v>
      </c>
      <c r="G114" s="73" t="n">
        <f aca="false">_xlfn.IFNA(INDEX(HTS!$BT:$BT,MATCH($E114,HTS!$E:$E,0)),"")</f>
        <v>-3954</v>
      </c>
      <c r="H114" s="73" t="str">
        <f aca="false">_xlfn.IFNA(INDEX(AGYW!$U:$U,MATCH($E114,AGYW!$E:$E,0)),"")</f>
        <v/>
      </c>
      <c r="I114" s="73" t="str">
        <f aca="false">_xlfn.IFNA(INDEX(AGYW!$V:$V,MATCH($E114,AGYW!$E:$E,0)),"")</f>
        <v/>
      </c>
      <c r="J114" s="73" t="n">
        <v>5</v>
      </c>
      <c r="K114" s="73" t="n">
        <v>49</v>
      </c>
      <c r="L114" s="75"/>
      <c r="M114" s="73" t="n">
        <v>23</v>
      </c>
      <c r="N114" s="73" t="n">
        <v>20</v>
      </c>
      <c r="O114" s="75"/>
    </row>
    <row r="115" customFormat="false" ht="15" hidden="false" customHeight="false" outlineLevel="0" collapsed="false">
      <c r="A115" s="0" t="s">
        <v>147</v>
      </c>
      <c r="B115" s="0" t="s">
        <v>105</v>
      </c>
      <c r="C115" s="0" t="s">
        <v>69</v>
      </c>
      <c r="D115" s="0" t="s">
        <v>56</v>
      </c>
      <c r="E115" s="0" t="str">
        <f aca="false">B115&amp;"|"&amp;C115&amp;"|"&amp;D115</f>
        <v>Mohale's Hoek [#SNU] [#DREAMS] [YGI7vISD2kJ]|25-29|Female</v>
      </c>
      <c r="F115" s="73" t="n">
        <f aca="false">_xlfn.IFNA(INDEX(Cascade!$H:$H,MATCH($E115,Cascade!$E:$E,0)),"")</f>
        <v>1900</v>
      </c>
      <c r="G115" s="73" t="n">
        <f aca="false">_xlfn.IFNA(INDEX(HTS!$BT:$BT,MATCH($E115,HTS!$E:$E,0)),"")</f>
        <v>10672</v>
      </c>
      <c r="H115" s="73" t="str">
        <f aca="false">_xlfn.IFNA(INDEX(AGYW!$U:$U,MATCH($E115,AGYW!$E:$E,0)),"")</f>
        <v/>
      </c>
      <c r="I115" s="73" t="str">
        <f aca="false">_xlfn.IFNA(INDEX(AGYW!$V:$V,MATCH($E115,AGYW!$E:$E,0)),"")</f>
        <v/>
      </c>
      <c r="J115" s="73" t="n">
        <v>35</v>
      </c>
      <c r="K115" s="73" t="n">
        <v>48</v>
      </c>
      <c r="L115" s="75"/>
      <c r="M115" s="73" t="n">
        <v>19</v>
      </c>
      <c r="N115" s="73" t="n">
        <v>18</v>
      </c>
      <c r="O115" s="75"/>
    </row>
    <row r="116" customFormat="false" ht="15" hidden="false" customHeight="false" outlineLevel="0" collapsed="false">
      <c r="A116" s="0" t="s">
        <v>147</v>
      </c>
      <c r="B116" s="0" t="s">
        <v>105</v>
      </c>
      <c r="C116" s="0" t="s">
        <v>69</v>
      </c>
      <c r="D116" s="0" t="s">
        <v>58</v>
      </c>
      <c r="E116" s="0" t="str">
        <f aca="false">B116&amp;"|"&amp;C116&amp;"|"&amp;D116</f>
        <v>Mohale's Hoek [#SNU] [#DREAMS] [YGI7vISD2kJ]|25-29|Male</v>
      </c>
      <c r="F116" s="73" t="n">
        <f aca="false">_xlfn.IFNA(INDEX(Cascade!$H:$H,MATCH($E116,Cascade!$E:$E,0)),"")</f>
        <v>912</v>
      </c>
      <c r="G116" s="73" t="n">
        <f aca="false">_xlfn.IFNA(INDEX(HTS!$BT:$BT,MATCH($E116,HTS!$E:$E,0)),"")</f>
        <v>7033</v>
      </c>
      <c r="H116" s="73" t="str">
        <f aca="false">_xlfn.IFNA(INDEX(AGYW!$U:$U,MATCH($E116,AGYW!$E:$E,0)),"")</f>
        <v/>
      </c>
      <c r="I116" s="73" t="str">
        <f aca="false">_xlfn.IFNA(INDEX(AGYW!$V:$V,MATCH($E116,AGYW!$E:$E,0)),"")</f>
        <v/>
      </c>
      <c r="J116" s="73" t="n">
        <v>3</v>
      </c>
      <c r="K116" s="73" t="n">
        <v>35</v>
      </c>
      <c r="L116" s="75"/>
      <c r="M116" s="73" t="n">
        <v>5</v>
      </c>
      <c r="N116" s="73" t="n">
        <v>16</v>
      </c>
      <c r="O116" s="75"/>
    </row>
    <row r="117" customFormat="false" ht="15" hidden="false" customHeight="false" outlineLevel="0" collapsed="false">
      <c r="A117" s="0" t="s">
        <v>147</v>
      </c>
      <c r="B117" s="0" t="s">
        <v>105</v>
      </c>
      <c r="C117" s="0" t="s">
        <v>72</v>
      </c>
      <c r="D117" s="0" t="s">
        <v>56</v>
      </c>
      <c r="E117" s="0" t="str">
        <f aca="false">B117&amp;"|"&amp;C117&amp;"|"&amp;D117</f>
        <v>Mohale's Hoek [#SNU] [#DREAMS] [YGI7vISD2kJ]|30-34|Female</v>
      </c>
      <c r="F117" s="73" t="n">
        <f aca="false">_xlfn.IFNA(INDEX(Cascade!$H:$H,MATCH($E117,Cascade!$E:$E,0)),"")</f>
        <v>2555</v>
      </c>
      <c r="G117" s="73" t="n">
        <f aca="false">_xlfn.IFNA(INDEX(HTS!$BT:$BT,MATCH($E117,HTS!$E:$E,0)),"")</f>
        <v>47486</v>
      </c>
      <c r="H117" s="73" t="str">
        <f aca="false">_xlfn.IFNA(INDEX(AGYW!$U:$U,MATCH($E117,AGYW!$E:$E,0)),"")</f>
        <v/>
      </c>
      <c r="I117" s="73" t="str">
        <f aca="false">_xlfn.IFNA(INDEX(AGYW!$V:$V,MATCH($E117,AGYW!$E:$E,0)),"")</f>
        <v/>
      </c>
      <c r="J117" s="73" t="n">
        <v>29</v>
      </c>
      <c r="K117" s="73" t="n">
        <v>38</v>
      </c>
      <c r="L117" s="75"/>
      <c r="M117" s="73" t="n">
        <v>42</v>
      </c>
      <c r="N117" s="73" t="n">
        <v>6</v>
      </c>
      <c r="O117" s="75"/>
    </row>
    <row r="118" customFormat="false" ht="15" hidden="false" customHeight="false" outlineLevel="0" collapsed="false">
      <c r="A118" s="0" t="s">
        <v>147</v>
      </c>
      <c r="B118" s="0" t="s">
        <v>105</v>
      </c>
      <c r="C118" s="0" t="s">
        <v>72</v>
      </c>
      <c r="D118" s="0" t="s">
        <v>58</v>
      </c>
      <c r="E118" s="0" t="str">
        <f aca="false">B118&amp;"|"&amp;C118&amp;"|"&amp;D118</f>
        <v>Mohale's Hoek [#SNU] [#DREAMS] [YGI7vISD2kJ]|30-34|Male</v>
      </c>
      <c r="F118" s="73" t="n">
        <f aca="false">_xlfn.IFNA(INDEX(Cascade!$H:$H,MATCH($E118,Cascade!$E:$E,0)),"")</f>
        <v>1635</v>
      </c>
      <c r="G118" s="73" t="n">
        <f aca="false">_xlfn.IFNA(INDEX(HTS!$BT:$BT,MATCH($E118,HTS!$E:$E,0)),"")</f>
        <v>45218</v>
      </c>
      <c r="H118" s="73" t="str">
        <f aca="false">_xlfn.IFNA(INDEX(AGYW!$U:$U,MATCH($E118,AGYW!$E:$E,0)),"")</f>
        <v/>
      </c>
      <c r="I118" s="73" t="str">
        <f aca="false">_xlfn.IFNA(INDEX(AGYW!$V:$V,MATCH($E118,AGYW!$E:$E,0)),"")</f>
        <v/>
      </c>
      <c r="J118" s="73" t="n">
        <v>41</v>
      </c>
      <c r="K118" s="73" t="n">
        <v>5</v>
      </c>
      <c r="L118" s="75"/>
      <c r="M118" s="73" t="n">
        <v>10</v>
      </c>
      <c r="N118" s="73" t="n">
        <v>39</v>
      </c>
      <c r="O118" s="75"/>
    </row>
    <row r="119" customFormat="false" ht="15" hidden="false" customHeight="false" outlineLevel="0" collapsed="false">
      <c r="A119" s="0" t="s">
        <v>147</v>
      </c>
      <c r="B119" s="0" t="s">
        <v>105</v>
      </c>
      <c r="C119" s="0" t="s">
        <v>75</v>
      </c>
      <c r="D119" s="0" t="s">
        <v>56</v>
      </c>
      <c r="E119" s="0" t="str">
        <f aca="false">B119&amp;"|"&amp;C119&amp;"|"&amp;D119</f>
        <v>Mohale's Hoek [#SNU] [#DREAMS] [YGI7vISD2kJ]|35-39|Female</v>
      </c>
      <c r="F119" s="73" t="n">
        <f aca="false">_xlfn.IFNA(INDEX(Cascade!$H:$H,MATCH($E119,Cascade!$E:$E,0)),"")</f>
        <v>2343</v>
      </c>
      <c r="G119" s="73" t="n">
        <f aca="false">_xlfn.IFNA(INDEX(HTS!$BT:$BT,MATCH($E119,HTS!$E:$E,0)),"")</f>
        <v>11242</v>
      </c>
      <c r="H119" s="73" t="str">
        <f aca="false">_xlfn.IFNA(INDEX(AGYW!$U:$U,MATCH($E119,AGYW!$E:$E,0)),"")</f>
        <v/>
      </c>
      <c r="I119" s="73" t="str">
        <f aca="false">_xlfn.IFNA(INDEX(AGYW!$V:$V,MATCH($E119,AGYW!$E:$E,0)),"")</f>
        <v/>
      </c>
      <c r="J119" s="73" t="n">
        <v>3</v>
      </c>
      <c r="K119" s="73" t="n">
        <v>2</v>
      </c>
      <c r="L119" s="75"/>
      <c r="M119" s="73" t="n">
        <v>41</v>
      </c>
      <c r="N119" s="73" t="n">
        <v>19</v>
      </c>
      <c r="O119" s="75"/>
    </row>
    <row r="120" customFormat="false" ht="15" hidden="false" customHeight="false" outlineLevel="0" collapsed="false">
      <c r="A120" s="0" t="s">
        <v>147</v>
      </c>
      <c r="B120" s="0" t="s">
        <v>105</v>
      </c>
      <c r="C120" s="0" t="s">
        <v>75</v>
      </c>
      <c r="D120" s="0" t="s">
        <v>58</v>
      </c>
      <c r="E120" s="0" t="str">
        <f aca="false">B120&amp;"|"&amp;C120&amp;"|"&amp;D120</f>
        <v>Mohale's Hoek [#SNU] [#DREAMS] [YGI7vISD2kJ]|35-39|Male</v>
      </c>
      <c r="F120" s="73" t="n">
        <f aca="false">_xlfn.IFNA(INDEX(Cascade!$H:$H,MATCH($E120,Cascade!$E:$E,0)),"")</f>
        <v>1903</v>
      </c>
      <c r="G120" s="73" t="n">
        <f aca="false">_xlfn.IFNA(INDEX(HTS!$BT:$BT,MATCH($E120,HTS!$E:$E,0)),"")</f>
        <v>-2845</v>
      </c>
      <c r="H120" s="73" t="str">
        <f aca="false">_xlfn.IFNA(INDEX(AGYW!$U:$U,MATCH($E120,AGYW!$E:$E,0)),"")</f>
        <v/>
      </c>
      <c r="I120" s="73" t="str">
        <f aca="false">_xlfn.IFNA(INDEX(AGYW!$V:$V,MATCH($E120,AGYW!$E:$E,0)),"")</f>
        <v/>
      </c>
      <c r="J120" s="73" t="n">
        <v>5</v>
      </c>
      <c r="K120" s="73" t="n">
        <v>12</v>
      </c>
      <c r="L120" s="75"/>
      <c r="M120" s="73" t="n">
        <v>4</v>
      </c>
      <c r="N120" s="73" t="n">
        <v>50</v>
      </c>
      <c r="O120" s="75"/>
    </row>
    <row r="121" customFormat="false" ht="15" hidden="false" customHeight="false" outlineLevel="0" collapsed="false">
      <c r="A121" s="0" t="s">
        <v>147</v>
      </c>
      <c r="B121" s="0" t="s">
        <v>105</v>
      </c>
      <c r="C121" s="0" t="s">
        <v>77</v>
      </c>
      <c r="D121" s="0" t="s">
        <v>56</v>
      </c>
      <c r="E121" s="0" t="str">
        <f aca="false">B121&amp;"|"&amp;C121&amp;"|"&amp;D121</f>
        <v>Mohale's Hoek [#SNU] [#DREAMS] [YGI7vISD2kJ]|40-44|Female</v>
      </c>
      <c r="F121" s="73" t="n">
        <f aca="false">_xlfn.IFNA(INDEX(Cascade!$H:$H,MATCH($E121,Cascade!$E:$E,0)),"")</f>
        <v>1861</v>
      </c>
      <c r="G121" s="73" t="n">
        <f aca="false">_xlfn.IFNA(INDEX(HTS!$BT:$BT,MATCH($E121,HTS!$E:$E,0)),"")</f>
        <v>45691</v>
      </c>
      <c r="H121" s="73" t="str">
        <f aca="false">_xlfn.IFNA(INDEX(AGYW!$U:$U,MATCH($E121,AGYW!$E:$E,0)),"")</f>
        <v/>
      </c>
      <c r="I121" s="73" t="str">
        <f aca="false">_xlfn.IFNA(INDEX(AGYW!$V:$V,MATCH($E121,AGYW!$E:$E,0)),"")</f>
        <v/>
      </c>
      <c r="J121" s="73" t="n">
        <v>14</v>
      </c>
      <c r="K121" s="73" t="n">
        <v>21</v>
      </c>
      <c r="L121" s="75"/>
      <c r="M121" s="73" t="n">
        <v>40</v>
      </c>
      <c r="N121" s="73" t="n">
        <v>25</v>
      </c>
      <c r="O121" s="75"/>
    </row>
    <row r="122" customFormat="false" ht="15" hidden="false" customHeight="false" outlineLevel="0" collapsed="false">
      <c r="A122" s="0" t="s">
        <v>147</v>
      </c>
      <c r="B122" s="0" t="s">
        <v>105</v>
      </c>
      <c r="C122" s="0" t="s">
        <v>77</v>
      </c>
      <c r="D122" s="0" t="s">
        <v>58</v>
      </c>
      <c r="E122" s="0" t="str">
        <f aca="false">B122&amp;"|"&amp;C122&amp;"|"&amp;D122</f>
        <v>Mohale's Hoek [#SNU] [#DREAMS] [YGI7vISD2kJ]|40-44|Male</v>
      </c>
      <c r="F122" s="73" t="n">
        <f aca="false">_xlfn.IFNA(INDEX(Cascade!$H:$H,MATCH($E122,Cascade!$E:$E,0)),"")</f>
        <v>1622</v>
      </c>
      <c r="G122" s="73" t="n">
        <f aca="false">_xlfn.IFNA(INDEX(HTS!$BT:$BT,MATCH($E122,HTS!$E:$E,0)),"")</f>
        <v>6804</v>
      </c>
      <c r="H122" s="73" t="str">
        <f aca="false">_xlfn.IFNA(INDEX(AGYW!$U:$U,MATCH($E122,AGYW!$E:$E,0)),"")</f>
        <v/>
      </c>
      <c r="I122" s="73" t="str">
        <f aca="false">_xlfn.IFNA(INDEX(AGYW!$V:$V,MATCH($E122,AGYW!$E:$E,0)),"")</f>
        <v/>
      </c>
      <c r="J122" s="73" t="n">
        <v>44</v>
      </c>
      <c r="K122" s="73" t="n">
        <v>32</v>
      </c>
      <c r="L122" s="75"/>
      <c r="M122" s="73" t="n">
        <v>48</v>
      </c>
      <c r="N122" s="73" t="n">
        <v>29</v>
      </c>
      <c r="O122" s="75"/>
    </row>
    <row r="123" customFormat="false" ht="15" hidden="false" customHeight="false" outlineLevel="0" collapsed="false">
      <c r="A123" s="0" t="s">
        <v>147</v>
      </c>
      <c r="B123" s="0" t="s">
        <v>105</v>
      </c>
      <c r="C123" s="0" t="s">
        <v>80</v>
      </c>
      <c r="D123" s="0" t="s">
        <v>56</v>
      </c>
      <c r="E123" s="0" t="str">
        <f aca="false">B123&amp;"|"&amp;C123&amp;"|"&amp;D123</f>
        <v>Mohale's Hoek [#SNU] [#DREAMS] [YGI7vISD2kJ]|45-49|Female</v>
      </c>
      <c r="F123" s="73" t="n">
        <f aca="false">_xlfn.IFNA(INDEX(Cascade!$H:$H,MATCH($E123,Cascade!$E:$E,0)),"")</f>
        <v>1478</v>
      </c>
      <c r="G123" s="73" t="n">
        <f aca="false">_xlfn.IFNA(INDEX(HTS!$BT:$BT,MATCH($E123,HTS!$E:$E,0)),"")</f>
        <v>-468</v>
      </c>
      <c r="H123" s="73" t="str">
        <f aca="false">_xlfn.IFNA(INDEX(AGYW!$U:$U,MATCH($E123,AGYW!$E:$E,0)),"")</f>
        <v/>
      </c>
      <c r="I123" s="73" t="str">
        <f aca="false">_xlfn.IFNA(INDEX(AGYW!$V:$V,MATCH($E123,AGYW!$E:$E,0)),"")</f>
        <v/>
      </c>
      <c r="J123" s="73" t="n">
        <v>21</v>
      </c>
      <c r="K123" s="73" t="n">
        <v>19</v>
      </c>
      <c r="L123" s="75"/>
      <c r="M123" s="73" t="n">
        <v>32</v>
      </c>
      <c r="N123" s="73" t="n">
        <v>37</v>
      </c>
      <c r="O123" s="75"/>
    </row>
    <row r="124" customFormat="false" ht="15" hidden="false" customHeight="false" outlineLevel="0" collapsed="false">
      <c r="A124" s="0" t="s">
        <v>147</v>
      </c>
      <c r="B124" s="0" t="s">
        <v>105</v>
      </c>
      <c r="C124" s="0" t="s">
        <v>80</v>
      </c>
      <c r="D124" s="0" t="s">
        <v>58</v>
      </c>
      <c r="E124" s="0" t="str">
        <f aca="false">B124&amp;"|"&amp;C124&amp;"|"&amp;D124</f>
        <v>Mohale's Hoek [#SNU] [#DREAMS] [YGI7vISD2kJ]|45-49|Male</v>
      </c>
      <c r="F124" s="73" t="n">
        <f aca="false">_xlfn.IFNA(INDEX(Cascade!$H:$H,MATCH($E124,Cascade!$E:$E,0)),"")</f>
        <v>1334</v>
      </c>
      <c r="G124" s="73" t="n">
        <f aca="false">_xlfn.IFNA(INDEX(HTS!$BT:$BT,MATCH($E124,HTS!$E:$E,0)),"")</f>
        <v>26826</v>
      </c>
      <c r="H124" s="73" t="str">
        <f aca="false">_xlfn.IFNA(INDEX(AGYW!$U:$U,MATCH($E124,AGYW!$E:$E,0)),"")</f>
        <v/>
      </c>
      <c r="I124" s="73" t="str">
        <f aca="false">_xlfn.IFNA(INDEX(AGYW!$V:$V,MATCH($E124,AGYW!$E:$E,0)),"")</f>
        <v/>
      </c>
      <c r="J124" s="73" t="n">
        <v>41</v>
      </c>
      <c r="K124" s="73" t="n">
        <v>48</v>
      </c>
      <c r="L124" s="75"/>
      <c r="M124" s="73" t="n">
        <v>36</v>
      </c>
      <c r="N124" s="73" t="n">
        <v>30</v>
      </c>
      <c r="O124" s="75"/>
    </row>
    <row r="125" customFormat="false" ht="15" hidden="false" customHeight="false" outlineLevel="0" collapsed="false">
      <c r="A125" s="0" t="s">
        <v>147</v>
      </c>
      <c r="B125" s="0" t="s">
        <v>105</v>
      </c>
      <c r="C125" s="0" t="s">
        <v>86</v>
      </c>
      <c r="D125" s="0" t="s">
        <v>56</v>
      </c>
      <c r="E125" s="0" t="str">
        <f aca="false">B125&amp;"|"&amp;C125&amp;"|"&amp;D125</f>
        <v>Mohale's Hoek [#SNU] [#DREAMS] [YGI7vISD2kJ]|50+|Female</v>
      </c>
      <c r="F125" s="73" t="n">
        <f aca="false">_xlfn.IFNA(INDEX(Cascade!$H:$H,MATCH($E125,Cascade!$E:$E,0)),"")</f>
        <v>4868</v>
      </c>
      <c r="G125" s="73" t="n">
        <f aca="false">_xlfn.IFNA(INDEX(HTS!$BT:$BT,MATCH($E125,HTS!$E:$E,0)),"")</f>
        <v>18185</v>
      </c>
      <c r="H125" s="73" t="str">
        <f aca="false">_xlfn.IFNA(INDEX(AGYW!$U:$U,MATCH($E125,AGYW!$E:$E,0)),"")</f>
        <v/>
      </c>
      <c r="I125" s="73" t="str">
        <f aca="false">_xlfn.IFNA(INDEX(AGYW!$V:$V,MATCH($E125,AGYW!$E:$E,0)),"")</f>
        <v/>
      </c>
      <c r="J125" s="73" t="n">
        <v>13</v>
      </c>
      <c r="K125" s="73" t="n">
        <v>48</v>
      </c>
      <c r="L125" s="75"/>
      <c r="M125" s="73" t="n">
        <v>16</v>
      </c>
      <c r="N125" s="73" t="n">
        <v>41</v>
      </c>
      <c r="O125" s="75"/>
    </row>
    <row r="126" customFormat="false" ht="15" hidden="false" customHeight="false" outlineLevel="0" collapsed="false">
      <c r="A126" s="0" t="s">
        <v>147</v>
      </c>
      <c r="B126" s="0" t="s">
        <v>105</v>
      </c>
      <c r="C126" s="0" t="s">
        <v>86</v>
      </c>
      <c r="D126" s="0" t="s">
        <v>58</v>
      </c>
      <c r="E126" s="0" t="str">
        <f aca="false">B126&amp;"|"&amp;C126&amp;"|"&amp;D126</f>
        <v>Mohale's Hoek [#SNU] [#DREAMS] [YGI7vISD2kJ]|50+|Male</v>
      </c>
      <c r="F126" s="73" t="n">
        <f aca="false">_xlfn.IFNA(INDEX(Cascade!$H:$H,MATCH($E126,Cascade!$E:$E,0)),"")</f>
        <v>3561</v>
      </c>
      <c r="G126" s="73" t="n">
        <f aca="false">_xlfn.IFNA(INDEX(HTS!$BT:$BT,MATCH($E126,HTS!$E:$E,0)),"")</f>
        <v>-1017</v>
      </c>
      <c r="H126" s="73" t="str">
        <f aca="false">_xlfn.IFNA(INDEX(AGYW!$U:$U,MATCH($E126,AGYW!$E:$E,0)),"")</f>
        <v/>
      </c>
      <c r="I126" s="73" t="str">
        <f aca="false">_xlfn.IFNA(INDEX(AGYW!$V:$V,MATCH($E126,AGYW!$E:$E,0)),"")</f>
        <v/>
      </c>
      <c r="J126" s="73" t="n">
        <v>12</v>
      </c>
      <c r="K126" s="73" t="n">
        <v>11</v>
      </c>
      <c r="L126" s="75"/>
      <c r="M126" s="73" t="n">
        <v>20</v>
      </c>
      <c r="N126" s="73" t="n">
        <v>4</v>
      </c>
      <c r="O126" s="75"/>
    </row>
    <row r="127" customFormat="false" ht="15" hidden="false" customHeight="false" outlineLevel="0" collapsed="false">
      <c r="A127" s="0" t="s">
        <v>148</v>
      </c>
      <c r="B127" s="0" t="s">
        <v>113</v>
      </c>
      <c r="C127" s="0" t="s">
        <v>63</v>
      </c>
      <c r="D127" s="0" t="s">
        <v>56</v>
      </c>
      <c r="E127" s="0" t="str">
        <f aca="false">B127&amp;"|"&amp;C127&amp;"|"&amp;D127</f>
        <v>Mokhotlong [#SNU] [tjhYqc1MlVo]|15-19|Female</v>
      </c>
      <c r="F127" s="73" t="n">
        <f aca="false">_xlfn.IFNA(INDEX(Cascade!$H:$H,MATCH($E127,Cascade!$E:$E,0)),"")</f>
        <v>273</v>
      </c>
      <c r="G127" s="73" t="n">
        <f aca="false">_xlfn.IFNA(INDEX(HTS!$BT:$BT,MATCH($E127,HTS!$E:$E,0)),"")</f>
        <v>21</v>
      </c>
      <c r="H127" s="73" t="str">
        <f aca="false">_xlfn.IFNA(INDEX(AGYW!$U:$U,MATCH($E127,AGYW!$E:$E,0)),"")</f>
        <v/>
      </c>
      <c r="I127" s="73" t="str">
        <f aca="false">_xlfn.IFNA(INDEX(AGYW!$V:$V,MATCH($E127,AGYW!$E:$E,0)),"")</f>
        <v/>
      </c>
      <c r="J127" s="73" t="n">
        <v>22</v>
      </c>
      <c r="K127" s="73" t="n">
        <v>16</v>
      </c>
      <c r="L127" s="75"/>
      <c r="M127" s="73" t="n">
        <v>13</v>
      </c>
      <c r="N127" s="73" t="n">
        <v>46</v>
      </c>
      <c r="O127" s="75"/>
    </row>
    <row r="128" customFormat="false" ht="15" hidden="false" customHeight="false" outlineLevel="0" collapsed="false">
      <c r="A128" s="0" t="s">
        <v>148</v>
      </c>
      <c r="B128" s="0" t="s">
        <v>113</v>
      </c>
      <c r="C128" s="0" t="s">
        <v>63</v>
      </c>
      <c r="D128" s="0" t="s">
        <v>58</v>
      </c>
      <c r="E128" s="0" t="str">
        <f aca="false">B128&amp;"|"&amp;C128&amp;"|"&amp;D128</f>
        <v>Mokhotlong [#SNU] [tjhYqc1MlVo]|15-19|Male</v>
      </c>
      <c r="F128" s="73" t="n">
        <f aca="false">_xlfn.IFNA(INDEX(Cascade!$H:$H,MATCH($E128,Cascade!$E:$E,0)),"")</f>
        <v>168</v>
      </c>
      <c r="G128" s="73" t="n">
        <f aca="false">_xlfn.IFNA(INDEX(HTS!$BT:$BT,MATCH($E128,HTS!$E:$E,0)),"")</f>
        <v>-12</v>
      </c>
      <c r="H128" s="73" t="str">
        <f aca="false">_xlfn.IFNA(INDEX(AGYW!$U:$U,MATCH($E128,AGYW!$E:$E,0)),"")</f>
        <v/>
      </c>
      <c r="I128" s="73" t="str">
        <f aca="false">_xlfn.IFNA(INDEX(AGYW!$V:$V,MATCH($E128,AGYW!$E:$E,0)),"")</f>
        <v/>
      </c>
      <c r="J128" s="73"/>
      <c r="K128" s="73" t="n">
        <v>32</v>
      </c>
      <c r="L128" s="75"/>
      <c r="M128" s="73"/>
      <c r="N128" s="73" t="n">
        <v>3</v>
      </c>
      <c r="O128" s="75"/>
    </row>
    <row r="129" customFormat="false" ht="15" hidden="false" customHeight="false" outlineLevel="0" collapsed="false">
      <c r="A129" s="0" t="s">
        <v>148</v>
      </c>
      <c r="B129" s="0" t="s">
        <v>113</v>
      </c>
      <c r="C129" s="0" t="s">
        <v>66</v>
      </c>
      <c r="D129" s="0" t="s">
        <v>56</v>
      </c>
      <c r="E129" s="0" t="str">
        <f aca="false">B129&amp;"|"&amp;C129&amp;"|"&amp;D129</f>
        <v>Mokhotlong [#SNU] [tjhYqc1MlVo]|20-24|Female</v>
      </c>
      <c r="F129" s="73" t="n">
        <f aca="false">_xlfn.IFNA(INDEX(Cascade!$H:$H,MATCH($E129,Cascade!$E:$E,0)),"")</f>
        <v>636</v>
      </c>
      <c r="G129" s="73" t="n">
        <f aca="false">_xlfn.IFNA(INDEX(HTS!$BT:$BT,MATCH($E129,HTS!$E:$E,0)),"")</f>
        <v>58271</v>
      </c>
      <c r="H129" s="73" t="str">
        <f aca="false">_xlfn.IFNA(INDEX(AGYW!$U:$U,MATCH($E129,AGYW!$E:$E,0)),"")</f>
        <v/>
      </c>
      <c r="I129" s="73" t="str">
        <f aca="false">_xlfn.IFNA(INDEX(AGYW!$V:$V,MATCH($E129,AGYW!$E:$E,0)),"")</f>
        <v/>
      </c>
      <c r="J129" s="73" t="n">
        <v>29</v>
      </c>
      <c r="K129" s="73" t="n">
        <v>35</v>
      </c>
      <c r="L129" s="75"/>
      <c r="M129" s="73" t="n">
        <v>49</v>
      </c>
      <c r="N129" s="73" t="n">
        <v>1</v>
      </c>
      <c r="O129" s="75"/>
    </row>
    <row r="130" customFormat="false" ht="15" hidden="false" customHeight="false" outlineLevel="0" collapsed="false">
      <c r="A130" s="0" t="s">
        <v>148</v>
      </c>
      <c r="B130" s="0" t="s">
        <v>113</v>
      </c>
      <c r="C130" s="0" t="s">
        <v>66</v>
      </c>
      <c r="D130" s="0" t="s">
        <v>58</v>
      </c>
      <c r="E130" s="0" t="str">
        <f aca="false">B130&amp;"|"&amp;C130&amp;"|"&amp;D130</f>
        <v>Mokhotlong [#SNU] [tjhYqc1MlVo]|20-24|Male</v>
      </c>
      <c r="F130" s="73" t="n">
        <f aca="false">_xlfn.IFNA(INDEX(Cascade!$H:$H,MATCH($E130,Cascade!$E:$E,0)),"")</f>
        <v>243</v>
      </c>
      <c r="G130" s="73" t="n">
        <f aca="false">_xlfn.IFNA(INDEX(HTS!$BT:$BT,MATCH($E130,HTS!$E:$E,0)),"")</f>
        <v>-998</v>
      </c>
      <c r="H130" s="73" t="str">
        <f aca="false">_xlfn.IFNA(INDEX(AGYW!$U:$U,MATCH($E130,AGYW!$E:$E,0)),"")</f>
        <v/>
      </c>
      <c r="I130" s="73" t="str">
        <f aca="false">_xlfn.IFNA(INDEX(AGYW!$V:$V,MATCH($E130,AGYW!$E:$E,0)),"")</f>
        <v/>
      </c>
      <c r="J130" s="73" t="n">
        <v>30</v>
      </c>
      <c r="K130" s="73" t="n">
        <v>43</v>
      </c>
      <c r="L130" s="75"/>
      <c r="M130" s="73" t="n">
        <v>16</v>
      </c>
      <c r="N130" s="73" t="n">
        <v>33</v>
      </c>
      <c r="O130" s="75"/>
    </row>
    <row r="131" customFormat="false" ht="15" hidden="false" customHeight="false" outlineLevel="0" collapsed="false">
      <c r="A131" s="0" t="s">
        <v>148</v>
      </c>
      <c r="B131" s="0" t="s">
        <v>113</v>
      </c>
      <c r="C131" s="0" t="s">
        <v>69</v>
      </c>
      <c r="D131" s="0" t="s">
        <v>56</v>
      </c>
      <c r="E131" s="0" t="str">
        <f aca="false">B131&amp;"|"&amp;C131&amp;"|"&amp;D131</f>
        <v>Mokhotlong [#SNU] [tjhYqc1MlVo]|25-29|Female</v>
      </c>
      <c r="F131" s="73" t="n">
        <f aca="false">_xlfn.IFNA(INDEX(Cascade!$H:$H,MATCH($E131,Cascade!$E:$E,0)),"")</f>
        <v>1036</v>
      </c>
      <c r="G131" s="73" t="n">
        <f aca="false">_xlfn.IFNA(INDEX(HTS!$BT:$BT,MATCH($E131,HTS!$E:$E,0)),"")</f>
        <v>11838</v>
      </c>
      <c r="H131" s="73" t="str">
        <f aca="false">_xlfn.IFNA(INDEX(AGYW!$U:$U,MATCH($E131,AGYW!$E:$E,0)),"")</f>
        <v/>
      </c>
      <c r="I131" s="73" t="str">
        <f aca="false">_xlfn.IFNA(INDEX(AGYW!$V:$V,MATCH($E131,AGYW!$E:$E,0)),"")</f>
        <v/>
      </c>
      <c r="J131" s="73" t="n">
        <v>11</v>
      </c>
      <c r="K131" s="73" t="n">
        <v>25</v>
      </c>
      <c r="L131" s="75"/>
      <c r="M131" s="73" t="n">
        <v>46</v>
      </c>
      <c r="N131" s="73" t="n">
        <v>44</v>
      </c>
      <c r="O131" s="75"/>
    </row>
    <row r="132" customFormat="false" ht="15" hidden="false" customHeight="false" outlineLevel="0" collapsed="false">
      <c r="A132" s="0" t="s">
        <v>148</v>
      </c>
      <c r="B132" s="0" t="s">
        <v>113</v>
      </c>
      <c r="C132" s="0" t="s">
        <v>69</v>
      </c>
      <c r="D132" s="0" t="s">
        <v>58</v>
      </c>
      <c r="E132" s="0" t="str">
        <f aca="false">B132&amp;"|"&amp;C132&amp;"|"&amp;D132</f>
        <v>Mokhotlong [#SNU] [tjhYqc1MlVo]|25-29|Male</v>
      </c>
      <c r="F132" s="73" t="n">
        <f aca="false">_xlfn.IFNA(INDEX(Cascade!$H:$H,MATCH($E132,Cascade!$E:$E,0)),"")</f>
        <v>500</v>
      </c>
      <c r="G132" s="73" t="n">
        <f aca="false">_xlfn.IFNA(INDEX(HTS!$BT:$BT,MATCH($E132,HTS!$E:$E,0)),"")</f>
        <v>28597</v>
      </c>
      <c r="H132" s="73" t="str">
        <f aca="false">_xlfn.IFNA(INDEX(AGYW!$U:$U,MATCH($E132,AGYW!$E:$E,0)),"")</f>
        <v/>
      </c>
      <c r="I132" s="73" t="str">
        <f aca="false">_xlfn.IFNA(INDEX(AGYW!$V:$V,MATCH($E132,AGYW!$E:$E,0)),"")</f>
        <v/>
      </c>
      <c r="J132" s="73" t="n">
        <v>24</v>
      </c>
      <c r="K132" s="73" t="n">
        <v>11</v>
      </c>
      <c r="L132" s="75"/>
      <c r="M132" s="73" t="n">
        <v>15</v>
      </c>
      <c r="N132" s="73" t="n">
        <v>31</v>
      </c>
      <c r="O132" s="75"/>
    </row>
    <row r="133" customFormat="false" ht="15" hidden="false" customHeight="false" outlineLevel="0" collapsed="false">
      <c r="A133" s="0" t="s">
        <v>148</v>
      </c>
      <c r="B133" s="0" t="s">
        <v>113</v>
      </c>
      <c r="C133" s="0" t="s">
        <v>72</v>
      </c>
      <c r="D133" s="0" t="s">
        <v>56</v>
      </c>
      <c r="E133" s="0" t="str">
        <f aca="false">B133&amp;"|"&amp;C133&amp;"|"&amp;D133</f>
        <v>Mokhotlong [#SNU] [tjhYqc1MlVo]|30-34|Female</v>
      </c>
      <c r="F133" s="73" t="n">
        <f aca="false">_xlfn.IFNA(INDEX(Cascade!$H:$H,MATCH($E133,Cascade!$E:$E,0)),"")</f>
        <v>1346</v>
      </c>
      <c r="G133" s="73" t="n">
        <f aca="false">_xlfn.IFNA(INDEX(HTS!$BT:$BT,MATCH($E133,HTS!$E:$E,0)),"")</f>
        <v>3506</v>
      </c>
      <c r="H133" s="73" t="str">
        <f aca="false">_xlfn.IFNA(INDEX(AGYW!$U:$U,MATCH($E133,AGYW!$E:$E,0)),"")</f>
        <v/>
      </c>
      <c r="I133" s="73" t="str">
        <f aca="false">_xlfn.IFNA(INDEX(AGYW!$V:$V,MATCH($E133,AGYW!$E:$E,0)),"")</f>
        <v/>
      </c>
      <c r="J133" s="73" t="n">
        <v>11</v>
      </c>
      <c r="K133" s="73" t="n">
        <v>18</v>
      </c>
      <c r="L133" s="75"/>
      <c r="M133" s="73" t="n">
        <v>40</v>
      </c>
      <c r="N133" s="73" t="n">
        <v>15</v>
      </c>
      <c r="O133" s="75"/>
    </row>
    <row r="134" customFormat="false" ht="15" hidden="false" customHeight="false" outlineLevel="0" collapsed="false">
      <c r="A134" s="0" t="s">
        <v>148</v>
      </c>
      <c r="B134" s="0" t="s">
        <v>113</v>
      </c>
      <c r="C134" s="0" t="s">
        <v>72</v>
      </c>
      <c r="D134" s="0" t="s">
        <v>58</v>
      </c>
      <c r="E134" s="0" t="str">
        <f aca="false">B134&amp;"|"&amp;C134&amp;"|"&amp;D134</f>
        <v>Mokhotlong [#SNU] [tjhYqc1MlVo]|30-34|Male</v>
      </c>
      <c r="F134" s="73" t="n">
        <f aca="false">_xlfn.IFNA(INDEX(Cascade!$H:$H,MATCH($E134,Cascade!$E:$E,0)),"")</f>
        <v>872</v>
      </c>
      <c r="G134" s="73" t="n">
        <f aca="false">_xlfn.IFNA(INDEX(HTS!$BT:$BT,MATCH($E134,HTS!$E:$E,0)),"")</f>
        <v>-1562</v>
      </c>
      <c r="H134" s="73" t="str">
        <f aca="false">_xlfn.IFNA(INDEX(AGYW!$U:$U,MATCH($E134,AGYW!$E:$E,0)),"")</f>
        <v/>
      </c>
      <c r="I134" s="73" t="str">
        <f aca="false">_xlfn.IFNA(INDEX(AGYW!$V:$V,MATCH($E134,AGYW!$E:$E,0)),"")</f>
        <v/>
      </c>
      <c r="J134" s="73" t="n">
        <v>30</v>
      </c>
      <c r="K134" s="73" t="n">
        <v>31</v>
      </c>
      <c r="L134" s="75"/>
      <c r="M134" s="73" t="n">
        <v>19</v>
      </c>
      <c r="N134" s="73" t="n">
        <v>42</v>
      </c>
      <c r="O134" s="75"/>
    </row>
    <row r="135" customFormat="false" ht="15" hidden="false" customHeight="false" outlineLevel="0" collapsed="false">
      <c r="A135" s="0" t="s">
        <v>148</v>
      </c>
      <c r="B135" s="0" t="s">
        <v>113</v>
      </c>
      <c r="C135" s="0" t="s">
        <v>75</v>
      </c>
      <c r="D135" s="0" t="s">
        <v>56</v>
      </c>
      <c r="E135" s="0" t="str">
        <f aca="false">B135&amp;"|"&amp;C135&amp;"|"&amp;D135</f>
        <v>Mokhotlong [#SNU] [tjhYqc1MlVo]|35-39|Female</v>
      </c>
      <c r="F135" s="73" t="n">
        <f aca="false">_xlfn.IFNA(INDEX(Cascade!$H:$H,MATCH($E135,Cascade!$E:$E,0)),"")</f>
        <v>1277</v>
      </c>
      <c r="G135" s="73" t="n">
        <f aca="false">_xlfn.IFNA(INDEX(HTS!$BT:$BT,MATCH($E135,HTS!$E:$E,0)),"")</f>
        <v>-686</v>
      </c>
      <c r="H135" s="73" t="str">
        <f aca="false">_xlfn.IFNA(INDEX(AGYW!$U:$U,MATCH($E135,AGYW!$E:$E,0)),"")</f>
        <v/>
      </c>
      <c r="I135" s="73" t="str">
        <f aca="false">_xlfn.IFNA(INDEX(AGYW!$V:$V,MATCH($E135,AGYW!$E:$E,0)),"")</f>
        <v/>
      </c>
      <c r="J135" s="73" t="n">
        <v>42</v>
      </c>
      <c r="K135" s="73" t="n">
        <v>9</v>
      </c>
      <c r="L135" s="75"/>
      <c r="M135" s="73" t="n">
        <v>36</v>
      </c>
      <c r="N135" s="73" t="n">
        <v>49</v>
      </c>
      <c r="O135" s="75"/>
    </row>
    <row r="136" customFormat="false" ht="15" hidden="false" customHeight="false" outlineLevel="0" collapsed="false">
      <c r="A136" s="0" t="s">
        <v>148</v>
      </c>
      <c r="B136" s="0" t="s">
        <v>113</v>
      </c>
      <c r="C136" s="0" t="s">
        <v>75</v>
      </c>
      <c r="D136" s="0" t="s">
        <v>58</v>
      </c>
      <c r="E136" s="0" t="str">
        <f aca="false">B136&amp;"|"&amp;C136&amp;"|"&amp;D136</f>
        <v>Mokhotlong [#SNU] [tjhYqc1MlVo]|35-39|Male</v>
      </c>
      <c r="F136" s="73" t="n">
        <f aca="false">_xlfn.IFNA(INDEX(Cascade!$H:$H,MATCH($E136,Cascade!$E:$E,0)),"")</f>
        <v>1050</v>
      </c>
      <c r="G136" s="73" t="n">
        <f aca="false">_xlfn.IFNA(INDEX(HTS!$BT:$BT,MATCH($E136,HTS!$E:$E,0)),"")</f>
        <v>19115</v>
      </c>
      <c r="H136" s="73" t="str">
        <f aca="false">_xlfn.IFNA(INDEX(AGYW!$U:$U,MATCH($E136,AGYW!$E:$E,0)),"")</f>
        <v/>
      </c>
      <c r="I136" s="73" t="str">
        <f aca="false">_xlfn.IFNA(INDEX(AGYW!$V:$V,MATCH($E136,AGYW!$E:$E,0)),"")</f>
        <v/>
      </c>
      <c r="J136" s="73" t="n">
        <v>26</v>
      </c>
      <c r="K136" s="73" t="n">
        <v>49</v>
      </c>
      <c r="L136" s="75"/>
      <c r="M136" s="73" t="n">
        <v>48</v>
      </c>
      <c r="N136" s="73" t="n">
        <v>20</v>
      </c>
      <c r="O136" s="75"/>
    </row>
    <row r="137" customFormat="false" ht="15" hidden="false" customHeight="false" outlineLevel="0" collapsed="false">
      <c r="A137" s="0" t="s">
        <v>148</v>
      </c>
      <c r="B137" s="0" t="s">
        <v>113</v>
      </c>
      <c r="C137" s="0" t="s">
        <v>77</v>
      </c>
      <c r="D137" s="0" t="s">
        <v>56</v>
      </c>
      <c r="E137" s="0" t="str">
        <f aca="false">B137&amp;"|"&amp;C137&amp;"|"&amp;D137</f>
        <v>Mokhotlong [#SNU] [tjhYqc1MlVo]|40-44|Female</v>
      </c>
      <c r="F137" s="73" t="n">
        <f aca="false">_xlfn.IFNA(INDEX(Cascade!$H:$H,MATCH($E137,Cascade!$E:$E,0)),"")</f>
        <v>1052</v>
      </c>
      <c r="G137" s="73" t="n">
        <f aca="false">_xlfn.IFNA(INDEX(HTS!$BT:$BT,MATCH($E137,HTS!$E:$E,0)),"")</f>
        <v>8088</v>
      </c>
      <c r="H137" s="73" t="str">
        <f aca="false">_xlfn.IFNA(INDEX(AGYW!$U:$U,MATCH($E137,AGYW!$E:$E,0)),"")</f>
        <v/>
      </c>
      <c r="I137" s="73" t="str">
        <f aca="false">_xlfn.IFNA(INDEX(AGYW!$V:$V,MATCH($E137,AGYW!$E:$E,0)),"")</f>
        <v/>
      </c>
      <c r="J137" s="73" t="n">
        <v>39</v>
      </c>
      <c r="K137" s="73" t="n">
        <v>40</v>
      </c>
      <c r="L137" s="75"/>
      <c r="M137" s="73" t="n">
        <v>47</v>
      </c>
      <c r="N137" s="73" t="n">
        <v>10</v>
      </c>
      <c r="O137" s="75"/>
    </row>
    <row r="138" customFormat="false" ht="15" hidden="false" customHeight="false" outlineLevel="0" collapsed="false">
      <c r="A138" s="0" t="s">
        <v>148</v>
      </c>
      <c r="B138" s="0" t="s">
        <v>113</v>
      </c>
      <c r="C138" s="0" t="s">
        <v>77</v>
      </c>
      <c r="D138" s="0" t="s">
        <v>58</v>
      </c>
      <c r="E138" s="0" t="str">
        <f aca="false">B138&amp;"|"&amp;C138&amp;"|"&amp;D138</f>
        <v>Mokhotlong [#SNU] [tjhYqc1MlVo]|40-44|Male</v>
      </c>
      <c r="F138" s="73" t="n">
        <f aca="false">_xlfn.IFNA(INDEX(Cascade!$H:$H,MATCH($E138,Cascade!$E:$E,0)),"")</f>
        <v>939</v>
      </c>
      <c r="G138" s="73" t="n">
        <f aca="false">_xlfn.IFNA(INDEX(HTS!$BT:$BT,MATCH($E138,HTS!$E:$E,0)),"")</f>
        <v>-1680</v>
      </c>
      <c r="H138" s="73" t="str">
        <f aca="false">_xlfn.IFNA(INDEX(AGYW!$U:$U,MATCH($E138,AGYW!$E:$E,0)),"")</f>
        <v/>
      </c>
      <c r="I138" s="73" t="str">
        <f aca="false">_xlfn.IFNA(INDEX(AGYW!$V:$V,MATCH($E138,AGYW!$E:$E,0)),"")</f>
        <v/>
      </c>
      <c r="J138" s="73" t="n">
        <v>29</v>
      </c>
      <c r="K138" s="73" t="n">
        <v>29</v>
      </c>
      <c r="L138" s="75"/>
      <c r="M138" s="73" t="n">
        <v>33</v>
      </c>
      <c r="N138" s="73" t="n">
        <v>5</v>
      </c>
      <c r="O138" s="75"/>
    </row>
    <row r="139" customFormat="false" ht="15" hidden="false" customHeight="false" outlineLevel="0" collapsed="false">
      <c r="A139" s="0" t="s">
        <v>148</v>
      </c>
      <c r="B139" s="0" t="s">
        <v>113</v>
      </c>
      <c r="C139" s="0" t="s">
        <v>80</v>
      </c>
      <c r="D139" s="0" t="s">
        <v>56</v>
      </c>
      <c r="E139" s="0" t="str">
        <f aca="false">B139&amp;"|"&amp;C139&amp;"|"&amp;D139</f>
        <v>Mokhotlong [#SNU] [tjhYqc1MlVo]|45-49|Female</v>
      </c>
      <c r="F139" s="73" t="n">
        <f aca="false">_xlfn.IFNA(INDEX(Cascade!$H:$H,MATCH($E139,Cascade!$E:$E,0)),"")</f>
        <v>787</v>
      </c>
      <c r="G139" s="73" t="n">
        <f aca="false">_xlfn.IFNA(INDEX(HTS!$BT:$BT,MATCH($E139,HTS!$E:$E,0)),"")</f>
        <v>5510</v>
      </c>
      <c r="H139" s="73" t="str">
        <f aca="false">_xlfn.IFNA(INDEX(AGYW!$U:$U,MATCH($E139,AGYW!$E:$E,0)),"")</f>
        <v/>
      </c>
      <c r="I139" s="73" t="str">
        <f aca="false">_xlfn.IFNA(INDEX(AGYW!$V:$V,MATCH($E139,AGYW!$E:$E,0)),"")</f>
        <v/>
      </c>
      <c r="J139" s="73" t="n">
        <v>8</v>
      </c>
      <c r="K139" s="73" t="n">
        <v>32</v>
      </c>
      <c r="L139" s="75"/>
      <c r="M139" s="73" t="n">
        <v>32</v>
      </c>
      <c r="N139" s="73" t="n">
        <v>25</v>
      </c>
      <c r="O139" s="75"/>
    </row>
    <row r="140" customFormat="false" ht="15" hidden="false" customHeight="false" outlineLevel="0" collapsed="false">
      <c r="A140" s="0" t="s">
        <v>148</v>
      </c>
      <c r="B140" s="0" t="s">
        <v>113</v>
      </c>
      <c r="C140" s="0" t="s">
        <v>80</v>
      </c>
      <c r="D140" s="0" t="s">
        <v>58</v>
      </c>
      <c r="E140" s="0" t="str">
        <f aca="false">B140&amp;"|"&amp;C140&amp;"|"&amp;D140</f>
        <v>Mokhotlong [#SNU] [tjhYqc1MlVo]|45-49|Male</v>
      </c>
      <c r="F140" s="73" t="n">
        <f aca="false">_xlfn.IFNA(INDEX(Cascade!$H:$H,MATCH($E140,Cascade!$E:$E,0)),"")</f>
        <v>753</v>
      </c>
      <c r="G140" s="73" t="n">
        <f aca="false">_xlfn.IFNA(INDEX(HTS!$BT:$BT,MATCH($E140,HTS!$E:$E,0)),"")</f>
        <v>6224</v>
      </c>
      <c r="H140" s="73" t="str">
        <f aca="false">_xlfn.IFNA(INDEX(AGYW!$U:$U,MATCH($E140,AGYW!$E:$E,0)),"")</f>
        <v/>
      </c>
      <c r="I140" s="73" t="str">
        <f aca="false">_xlfn.IFNA(INDEX(AGYW!$V:$V,MATCH($E140,AGYW!$E:$E,0)),"")</f>
        <v/>
      </c>
      <c r="J140" s="73" t="n">
        <v>9</v>
      </c>
      <c r="K140" s="73" t="n">
        <v>10</v>
      </c>
      <c r="L140" s="75"/>
      <c r="M140" s="73" t="n">
        <v>40</v>
      </c>
      <c r="N140" s="73" t="n">
        <v>38</v>
      </c>
      <c r="O140" s="75"/>
    </row>
    <row r="141" customFormat="false" ht="15" hidden="false" customHeight="false" outlineLevel="0" collapsed="false">
      <c r="A141" s="0" t="s">
        <v>148</v>
      </c>
      <c r="B141" s="0" t="s">
        <v>113</v>
      </c>
      <c r="C141" s="0" t="s">
        <v>86</v>
      </c>
      <c r="D141" s="0" t="s">
        <v>56</v>
      </c>
      <c r="E141" s="0" t="str">
        <f aca="false">B141&amp;"|"&amp;C141&amp;"|"&amp;D141</f>
        <v>Mokhotlong [#SNU] [tjhYqc1MlVo]|50+|Female</v>
      </c>
      <c r="F141" s="73" t="n">
        <f aca="false">_xlfn.IFNA(INDEX(Cascade!$H:$H,MATCH($E141,Cascade!$E:$E,0)),"")</f>
        <v>2246</v>
      </c>
      <c r="G141" s="73" t="n">
        <f aca="false">_xlfn.IFNA(INDEX(HTS!$BT:$BT,MATCH($E141,HTS!$E:$E,0)),"")</f>
        <v>-312</v>
      </c>
      <c r="H141" s="73" t="str">
        <f aca="false">_xlfn.IFNA(INDEX(AGYW!$U:$U,MATCH($E141,AGYW!$E:$E,0)),"")</f>
        <v/>
      </c>
      <c r="I141" s="73" t="str">
        <f aca="false">_xlfn.IFNA(INDEX(AGYW!$V:$V,MATCH($E141,AGYW!$E:$E,0)),"")</f>
        <v/>
      </c>
      <c r="J141" s="73" t="n">
        <v>12</v>
      </c>
      <c r="K141" s="73" t="n">
        <v>3</v>
      </c>
      <c r="L141" s="75"/>
      <c r="M141" s="73" t="n">
        <v>11</v>
      </c>
      <c r="N141" s="73" t="n">
        <v>21</v>
      </c>
      <c r="O141" s="75"/>
    </row>
    <row r="142" customFormat="false" ht="15" hidden="false" customHeight="false" outlineLevel="0" collapsed="false">
      <c r="A142" s="0" t="s">
        <v>148</v>
      </c>
      <c r="B142" s="0" t="s">
        <v>113</v>
      </c>
      <c r="C142" s="0" t="s">
        <v>86</v>
      </c>
      <c r="D142" s="0" t="s">
        <v>58</v>
      </c>
      <c r="E142" s="0" t="str">
        <f aca="false">B142&amp;"|"&amp;C142&amp;"|"&amp;D142</f>
        <v>Mokhotlong [#SNU] [tjhYqc1MlVo]|50+|Male</v>
      </c>
      <c r="F142" s="73" t="n">
        <f aca="false">_xlfn.IFNA(INDEX(Cascade!$H:$H,MATCH($E142,Cascade!$E:$E,0)),"")</f>
        <v>1709</v>
      </c>
      <c r="G142" s="73" t="n">
        <f aca="false">_xlfn.IFNA(INDEX(HTS!$BT:$BT,MATCH($E142,HTS!$E:$E,0)),"")</f>
        <v>-412</v>
      </c>
      <c r="H142" s="73" t="str">
        <f aca="false">_xlfn.IFNA(INDEX(AGYW!$U:$U,MATCH($E142,AGYW!$E:$E,0)),"")</f>
        <v/>
      </c>
      <c r="I142" s="73" t="str">
        <f aca="false">_xlfn.IFNA(INDEX(AGYW!$V:$V,MATCH($E142,AGYW!$E:$E,0)),"")</f>
        <v/>
      </c>
      <c r="J142" s="73" t="n">
        <v>33</v>
      </c>
      <c r="K142" s="73" t="n">
        <v>27</v>
      </c>
      <c r="L142" s="75"/>
      <c r="M142" s="73" t="n">
        <v>31</v>
      </c>
      <c r="N142" s="73" t="n">
        <v>14</v>
      </c>
      <c r="O142" s="75"/>
    </row>
    <row r="143" customFormat="false" ht="15" hidden="false" customHeight="false" outlineLevel="0" collapsed="false">
      <c r="A143" s="0" t="s">
        <v>149</v>
      </c>
      <c r="B143" s="0" t="s">
        <v>111</v>
      </c>
      <c r="C143" s="0" t="s">
        <v>63</v>
      </c>
      <c r="D143" s="0" t="s">
        <v>56</v>
      </c>
      <c r="E143" s="0" t="str">
        <f aca="false">B143&amp;"|"&amp;C143&amp;"|"&amp;D143</f>
        <v>Qacha's Nek [#SNU] [zTaMbxvQtJ6]|15-19|Female</v>
      </c>
      <c r="F143" s="73" t="n">
        <f aca="false">_xlfn.IFNA(INDEX(Cascade!$H:$H,MATCH($E143,Cascade!$E:$E,0)),"")</f>
        <v>172</v>
      </c>
      <c r="G143" s="73" t="n">
        <f aca="false">_xlfn.IFNA(INDEX(HTS!$BT:$BT,MATCH($E143,HTS!$E:$E,0)),"")</f>
        <v>13492</v>
      </c>
      <c r="H143" s="73" t="str">
        <f aca="false">_xlfn.IFNA(INDEX(AGYW!$U:$U,MATCH($E143,AGYW!$E:$E,0)),"")</f>
        <v/>
      </c>
      <c r="I143" s="73" t="str">
        <f aca="false">_xlfn.IFNA(INDEX(AGYW!$V:$V,MATCH($E143,AGYW!$E:$E,0)),"")</f>
        <v/>
      </c>
      <c r="J143" s="73" t="n">
        <v>25</v>
      </c>
      <c r="K143" s="73" t="n">
        <v>37</v>
      </c>
      <c r="L143" s="75"/>
      <c r="M143" s="73" t="n">
        <v>17</v>
      </c>
      <c r="N143" s="73" t="n">
        <v>25</v>
      </c>
      <c r="O143" s="75"/>
    </row>
    <row r="144" customFormat="false" ht="15" hidden="false" customHeight="false" outlineLevel="0" collapsed="false">
      <c r="A144" s="0" t="s">
        <v>149</v>
      </c>
      <c r="B144" s="0" t="s">
        <v>111</v>
      </c>
      <c r="C144" s="0" t="s">
        <v>63</v>
      </c>
      <c r="D144" s="0" t="s">
        <v>58</v>
      </c>
      <c r="E144" s="0" t="str">
        <f aca="false">B144&amp;"|"&amp;C144&amp;"|"&amp;D144</f>
        <v>Qacha's Nek [#SNU] [zTaMbxvQtJ6]|15-19|Male</v>
      </c>
      <c r="F144" s="73" t="n">
        <f aca="false">_xlfn.IFNA(INDEX(Cascade!$H:$H,MATCH($E144,Cascade!$E:$E,0)),"")</f>
        <v>107</v>
      </c>
      <c r="G144" s="73" t="n">
        <f aca="false">_xlfn.IFNA(INDEX(HTS!$BT:$BT,MATCH($E144,HTS!$E:$E,0)),"")</f>
        <v>-22</v>
      </c>
      <c r="H144" s="73" t="str">
        <f aca="false">_xlfn.IFNA(INDEX(AGYW!$U:$U,MATCH($E144,AGYW!$E:$E,0)),"")</f>
        <v/>
      </c>
      <c r="I144" s="73" t="str">
        <f aca="false">_xlfn.IFNA(INDEX(AGYW!$V:$V,MATCH($E144,AGYW!$E:$E,0)),"")</f>
        <v/>
      </c>
      <c r="J144" s="73" t="n">
        <v>2</v>
      </c>
      <c r="K144" s="73" t="n">
        <v>31</v>
      </c>
      <c r="L144" s="75"/>
      <c r="M144" s="73" t="n">
        <v>37</v>
      </c>
      <c r="N144" s="73" t="n">
        <v>0</v>
      </c>
      <c r="O144" s="75"/>
    </row>
    <row r="145" customFormat="false" ht="15" hidden="false" customHeight="false" outlineLevel="0" collapsed="false">
      <c r="A145" s="0" t="s">
        <v>149</v>
      </c>
      <c r="B145" s="0" t="s">
        <v>111</v>
      </c>
      <c r="C145" s="0" t="s">
        <v>66</v>
      </c>
      <c r="D145" s="0" t="s">
        <v>56</v>
      </c>
      <c r="E145" s="0" t="str">
        <f aca="false">B145&amp;"|"&amp;C145&amp;"|"&amp;D145</f>
        <v>Qacha's Nek [#SNU] [zTaMbxvQtJ6]|20-24|Female</v>
      </c>
      <c r="F145" s="73" t="n">
        <f aca="false">_xlfn.IFNA(INDEX(Cascade!$H:$H,MATCH($E145,Cascade!$E:$E,0)),"")</f>
        <v>423</v>
      </c>
      <c r="G145" s="73" t="n">
        <f aca="false">_xlfn.IFNA(INDEX(HTS!$BT:$BT,MATCH($E145,HTS!$E:$E,0)),"")</f>
        <v>5683</v>
      </c>
      <c r="H145" s="73" t="str">
        <f aca="false">_xlfn.IFNA(INDEX(AGYW!$U:$U,MATCH($E145,AGYW!$E:$E,0)),"")</f>
        <v/>
      </c>
      <c r="I145" s="73" t="str">
        <f aca="false">_xlfn.IFNA(INDEX(AGYW!$V:$V,MATCH($E145,AGYW!$E:$E,0)),"")</f>
        <v/>
      </c>
      <c r="J145" s="73" t="n">
        <v>35</v>
      </c>
      <c r="K145" s="73" t="n">
        <v>44</v>
      </c>
      <c r="L145" s="75"/>
      <c r="M145" s="73" t="n">
        <v>29</v>
      </c>
      <c r="N145" s="73" t="n">
        <v>5</v>
      </c>
      <c r="O145" s="75"/>
    </row>
    <row r="146" customFormat="false" ht="15" hidden="false" customHeight="false" outlineLevel="0" collapsed="false">
      <c r="A146" s="0" t="s">
        <v>149</v>
      </c>
      <c r="B146" s="0" t="s">
        <v>111</v>
      </c>
      <c r="C146" s="0" t="s">
        <v>66</v>
      </c>
      <c r="D146" s="0" t="s">
        <v>58</v>
      </c>
      <c r="E146" s="0" t="str">
        <f aca="false">B146&amp;"|"&amp;C146&amp;"|"&amp;D146</f>
        <v>Qacha's Nek [#SNU] [zTaMbxvQtJ6]|20-24|Male</v>
      </c>
      <c r="F146" s="73" t="n">
        <f aca="false">_xlfn.IFNA(INDEX(Cascade!$H:$H,MATCH($E146,Cascade!$E:$E,0)),"")</f>
        <v>165</v>
      </c>
      <c r="G146" s="73" t="n">
        <f aca="false">_xlfn.IFNA(INDEX(HTS!$BT:$BT,MATCH($E146,HTS!$E:$E,0)),"")</f>
        <v>-1293</v>
      </c>
      <c r="H146" s="73" t="str">
        <f aca="false">_xlfn.IFNA(INDEX(AGYW!$U:$U,MATCH($E146,AGYW!$E:$E,0)),"")</f>
        <v/>
      </c>
      <c r="I146" s="73" t="str">
        <f aca="false">_xlfn.IFNA(INDEX(AGYW!$V:$V,MATCH($E146,AGYW!$E:$E,0)),"")</f>
        <v/>
      </c>
      <c r="J146" s="73" t="n">
        <v>3</v>
      </c>
      <c r="K146" s="73" t="n">
        <v>37</v>
      </c>
      <c r="L146" s="75"/>
      <c r="M146" s="73" t="n">
        <v>44</v>
      </c>
      <c r="N146" s="73" t="n">
        <v>23</v>
      </c>
      <c r="O146" s="75"/>
    </row>
    <row r="147" customFormat="false" ht="15" hidden="false" customHeight="false" outlineLevel="0" collapsed="false">
      <c r="A147" s="0" t="s">
        <v>149</v>
      </c>
      <c r="B147" s="0" t="s">
        <v>111</v>
      </c>
      <c r="C147" s="0" t="s">
        <v>69</v>
      </c>
      <c r="D147" s="0" t="s">
        <v>56</v>
      </c>
      <c r="E147" s="0" t="str">
        <f aca="false">B147&amp;"|"&amp;C147&amp;"|"&amp;D147</f>
        <v>Qacha's Nek [#SNU] [zTaMbxvQtJ6]|25-29|Female</v>
      </c>
      <c r="F147" s="73" t="n">
        <f aca="false">_xlfn.IFNA(INDEX(Cascade!$H:$H,MATCH($E147,Cascade!$E:$E,0)),"")</f>
        <v>761</v>
      </c>
      <c r="G147" s="73" t="n">
        <f aca="false">_xlfn.IFNA(INDEX(HTS!$BT:$BT,MATCH($E147,HTS!$E:$E,0)),"")</f>
        <v>17018</v>
      </c>
      <c r="H147" s="73" t="str">
        <f aca="false">_xlfn.IFNA(INDEX(AGYW!$U:$U,MATCH($E147,AGYW!$E:$E,0)),"")</f>
        <v/>
      </c>
      <c r="I147" s="73" t="str">
        <f aca="false">_xlfn.IFNA(INDEX(AGYW!$V:$V,MATCH($E147,AGYW!$E:$E,0)),"")</f>
        <v/>
      </c>
      <c r="J147" s="73" t="n">
        <v>24</v>
      </c>
      <c r="K147" s="73" t="n">
        <v>40</v>
      </c>
      <c r="L147" s="75"/>
      <c r="M147" s="73" t="n">
        <v>42</v>
      </c>
      <c r="N147" s="73" t="n">
        <v>26</v>
      </c>
      <c r="O147" s="75"/>
    </row>
    <row r="148" customFormat="false" ht="15" hidden="false" customHeight="false" outlineLevel="0" collapsed="false">
      <c r="A148" s="0" t="s">
        <v>149</v>
      </c>
      <c r="B148" s="0" t="s">
        <v>111</v>
      </c>
      <c r="C148" s="0" t="s">
        <v>69</v>
      </c>
      <c r="D148" s="0" t="s">
        <v>58</v>
      </c>
      <c r="E148" s="0" t="str">
        <f aca="false">B148&amp;"|"&amp;C148&amp;"|"&amp;D148</f>
        <v>Qacha's Nek [#SNU] [zTaMbxvQtJ6]|25-29|Male</v>
      </c>
      <c r="F148" s="73" t="n">
        <f aca="false">_xlfn.IFNA(INDEX(Cascade!$H:$H,MATCH($E148,Cascade!$E:$E,0)),"")</f>
        <v>344</v>
      </c>
      <c r="G148" s="73" t="n">
        <f aca="false">_xlfn.IFNA(INDEX(HTS!$BT:$BT,MATCH($E148,HTS!$E:$E,0)),"")</f>
        <v>8647</v>
      </c>
      <c r="H148" s="73" t="str">
        <f aca="false">_xlfn.IFNA(INDEX(AGYW!$U:$U,MATCH($E148,AGYW!$E:$E,0)),"")</f>
        <v/>
      </c>
      <c r="I148" s="73" t="str">
        <f aca="false">_xlfn.IFNA(INDEX(AGYW!$V:$V,MATCH($E148,AGYW!$E:$E,0)),"")</f>
        <v/>
      </c>
      <c r="J148" s="73" t="n">
        <v>38</v>
      </c>
      <c r="K148" s="73" t="n">
        <v>29</v>
      </c>
      <c r="L148" s="75"/>
      <c r="M148" s="73" t="n">
        <v>31</v>
      </c>
      <c r="N148" s="73" t="n">
        <v>36</v>
      </c>
      <c r="O148" s="75"/>
    </row>
    <row r="149" customFormat="false" ht="15" hidden="false" customHeight="false" outlineLevel="0" collapsed="false">
      <c r="A149" s="0" t="s">
        <v>149</v>
      </c>
      <c r="B149" s="0" t="s">
        <v>111</v>
      </c>
      <c r="C149" s="0" t="s">
        <v>72</v>
      </c>
      <c r="D149" s="0" t="s">
        <v>56</v>
      </c>
      <c r="E149" s="0" t="str">
        <f aca="false">B149&amp;"|"&amp;C149&amp;"|"&amp;D149</f>
        <v>Qacha's Nek [#SNU] [zTaMbxvQtJ6]|30-34|Female</v>
      </c>
      <c r="F149" s="73" t="n">
        <f aca="false">_xlfn.IFNA(INDEX(Cascade!$H:$H,MATCH($E149,Cascade!$E:$E,0)),"")</f>
        <v>1062</v>
      </c>
      <c r="G149" s="73" t="n">
        <f aca="false">_xlfn.IFNA(INDEX(HTS!$BT:$BT,MATCH($E149,HTS!$E:$E,0)),"")</f>
        <v>24513</v>
      </c>
      <c r="H149" s="73" t="str">
        <f aca="false">_xlfn.IFNA(INDEX(AGYW!$U:$U,MATCH($E149,AGYW!$E:$E,0)),"")</f>
        <v/>
      </c>
      <c r="I149" s="73" t="str">
        <f aca="false">_xlfn.IFNA(INDEX(AGYW!$V:$V,MATCH($E149,AGYW!$E:$E,0)),"")</f>
        <v/>
      </c>
      <c r="J149" s="73" t="n">
        <v>49</v>
      </c>
      <c r="K149" s="73" t="n">
        <v>20</v>
      </c>
      <c r="L149" s="75"/>
      <c r="M149" s="73" t="n">
        <v>33</v>
      </c>
      <c r="N149" s="73" t="n">
        <v>29</v>
      </c>
      <c r="O149" s="75"/>
    </row>
    <row r="150" customFormat="false" ht="15" hidden="false" customHeight="false" outlineLevel="0" collapsed="false">
      <c r="A150" s="0" t="s">
        <v>149</v>
      </c>
      <c r="B150" s="0" t="s">
        <v>111</v>
      </c>
      <c r="C150" s="0" t="s">
        <v>72</v>
      </c>
      <c r="D150" s="0" t="s">
        <v>58</v>
      </c>
      <c r="E150" s="0" t="str">
        <f aca="false">B150&amp;"|"&amp;C150&amp;"|"&amp;D150</f>
        <v>Qacha's Nek [#SNU] [zTaMbxvQtJ6]|30-34|Male</v>
      </c>
      <c r="F150" s="73" t="n">
        <f aca="false">_xlfn.IFNA(INDEX(Cascade!$H:$H,MATCH($E150,Cascade!$E:$E,0)),"")</f>
        <v>618</v>
      </c>
      <c r="G150" s="73" t="n">
        <f aca="false">_xlfn.IFNA(INDEX(HTS!$BT:$BT,MATCH($E150,HTS!$E:$E,0)),"")</f>
        <v>-1216</v>
      </c>
      <c r="H150" s="73" t="str">
        <f aca="false">_xlfn.IFNA(INDEX(AGYW!$U:$U,MATCH($E150,AGYW!$E:$E,0)),"")</f>
        <v/>
      </c>
      <c r="I150" s="73" t="str">
        <f aca="false">_xlfn.IFNA(INDEX(AGYW!$V:$V,MATCH($E150,AGYW!$E:$E,0)),"")</f>
        <v/>
      </c>
      <c r="J150" s="73" t="n">
        <v>34</v>
      </c>
      <c r="K150" s="73"/>
      <c r="L150" s="75"/>
      <c r="M150" s="73" t="n">
        <v>34</v>
      </c>
      <c r="N150" s="73"/>
      <c r="O150" s="75"/>
    </row>
    <row r="151" customFormat="false" ht="15" hidden="false" customHeight="false" outlineLevel="0" collapsed="false">
      <c r="A151" s="0" t="s">
        <v>149</v>
      </c>
      <c r="B151" s="0" t="s">
        <v>111</v>
      </c>
      <c r="C151" s="0" t="s">
        <v>75</v>
      </c>
      <c r="D151" s="0" t="s">
        <v>56</v>
      </c>
      <c r="E151" s="0" t="str">
        <f aca="false">B151&amp;"|"&amp;C151&amp;"|"&amp;D151</f>
        <v>Qacha's Nek [#SNU] [zTaMbxvQtJ6]|35-39|Female</v>
      </c>
      <c r="F151" s="73" t="n">
        <f aca="false">_xlfn.IFNA(INDEX(Cascade!$H:$H,MATCH($E151,Cascade!$E:$E,0)),"")</f>
        <v>993</v>
      </c>
      <c r="G151" s="73" t="n">
        <f aca="false">_xlfn.IFNA(INDEX(HTS!$BT:$BT,MATCH($E151,HTS!$E:$E,0)),"")</f>
        <v>-2116</v>
      </c>
      <c r="H151" s="73" t="str">
        <f aca="false">_xlfn.IFNA(INDEX(AGYW!$U:$U,MATCH($E151,AGYW!$E:$E,0)),"")</f>
        <v/>
      </c>
      <c r="I151" s="73" t="str">
        <f aca="false">_xlfn.IFNA(INDEX(AGYW!$V:$V,MATCH($E151,AGYW!$E:$E,0)),"")</f>
        <v/>
      </c>
      <c r="J151" s="73" t="n">
        <v>38</v>
      </c>
      <c r="K151" s="73" t="n">
        <v>48</v>
      </c>
      <c r="L151" s="75"/>
      <c r="M151" s="73" t="n">
        <v>25</v>
      </c>
      <c r="N151" s="73" t="n">
        <v>35</v>
      </c>
      <c r="O151" s="75"/>
    </row>
    <row r="152" customFormat="false" ht="15" hidden="false" customHeight="false" outlineLevel="0" collapsed="false">
      <c r="A152" s="0" t="s">
        <v>149</v>
      </c>
      <c r="B152" s="0" t="s">
        <v>111</v>
      </c>
      <c r="C152" s="0" t="s">
        <v>75</v>
      </c>
      <c r="D152" s="0" t="s">
        <v>58</v>
      </c>
      <c r="E152" s="0" t="str">
        <f aca="false">B152&amp;"|"&amp;C152&amp;"|"&amp;D152</f>
        <v>Qacha's Nek [#SNU] [zTaMbxvQtJ6]|35-39|Male</v>
      </c>
      <c r="F152" s="73" t="n">
        <f aca="false">_xlfn.IFNA(INDEX(Cascade!$H:$H,MATCH($E152,Cascade!$E:$E,0)),"")</f>
        <v>747</v>
      </c>
      <c r="G152" s="73" t="n">
        <f aca="false">_xlfn.IFNA(INDEX(HTS!$BT:$BT,MATCH($E152,HTS!$E:$E,0)),"")</f>
        <v>16219</v>
      </c>
      <c r="H152" s="73" t="str">
        <f aca="false">_xlfn.IFNA(INDEX(AGYW!$U:$U,MATCH($E152,AGYW!$E:$E,0)),"")</f>
        <v/>
      </c>
      <c r="I152" s="73" t="str">
        <f aca="false">_xlfn.IFNA(INDEX(AGYW!$V:$V,MATCH($E152,AGYW!$E:$E,0)),"")</f>
        <v/>
      </c>
      <c r="J152" s="73" t="n">
        <v>9</v>
      </c>
      <c r="K152" s="73" t="n">
        <v>34</v>
      </c>
      <c r="L152" s="75"/>
      <c r="M152" s="73" t="n">
        <v>35</v>
      </c>
      <c r="N152" s="73" t="n">
        <v>0</v>
      </c>
      <c r="O152" s="75"/>
    </row>
    <row r="153" customFormat="false" ht="15" hidden="false" customHeight="false" outlineLevel="0" collapsed="false">
      <c r="A153" s="0" t="s">
        <v>149</v>
      </c>
      <c r="B153" s="0" t="s">
        <v>111</v>
      </c>
      <c r="C153" s="0" t="s">
        <v>77</v>
      </c>
      <c r="D153" s="0" t="s">
        <v>56</v>
      </c>
      <c r="E153" s="0" t="str">
        <f aca="false">B153&amp;"|"&amp;C153&amp;"|"&amp;D153</f>
        <v>Qacha's Nek [#SNU] [zTaMbxvQtJ6]|40-44|Female</v>
      </c>
      <c r="F153" s="73" t="n">
        <f aca="false">_xlfn.IFNA(INDEX(Cascade!$H:$H,MATCH($E153,Cascade!$E:$E,0)),"")</f>
        <v>768</v>
      </c>
      <c r="G153" s="73" t="n">
        <f aca="false">_xlfn.IFNA(INDEX(HTS!$BT:$BT,MATCH($E153,HTS!$E:$E,0)),"")</f>
        <v>10148</v>
      </c>
      <c r="H153" s="73" t="str">
        <f aca="false">_xlfn.IFNA(INDEX(AGYW!$U:$U,MATCH($E153,AGYW!$E:$E,0)),"")</f>
        <v/>
      </c>
      <c r="I153" s="73" t="str">
        <f aca="false">_xlfn.IFNA(INDEX(AGYW!$V:$V,MATCH($E153,AGYW!$E:$E,0)),"")</f>
        <v/>
      </c>
      <c r="J153" s="73" t="n">
        <v>36</v>
      </c>
      <c r="K153" s="73" t="n">
        <v>12</v>
      </c>
      <c r="L153" s="75"/>
      <c r="M153" s="73" t="n">
        <v>22</v>
      </c>
      <c r="N153" s="73" t="n">
        <v>13</v>
      </c>
      <c r="O153" s="75"/>
    </row>
    <row r="154" customFormat="false" ht="15" hidden="false" customHeight="false" outlineLevel="0" collapsed="false">
      <c r="A154" s="0" t="s">
        <v>149</v>
      </c>
      <c r="B154" s="0" t="s">
        <v>111</v>
      </c>
      <c r="C154" s="0" t="s">
        <v>77</v>
      </c>
      <c r="D154" s="0" t="s">
        <v>58</v>
      </c>
      <c r="E154" s="0" t="str">
        <f aca="false">B154&amp;"|"&amp;C154&amp;"|"&amp;D154</f>
        <v>Qacha's Nek [#SNU] [zTaMbxvQtJ6]|40-44|Male</v>
      </c>
      <c r="F154" s="73" t="n">
        <f aca="false">_xlfn.IFNA(INDEX(Cascade!$H:$H,MATCH($E154,Cascade!$E:$E,0)),"")</f>
        <v>641</v>
      </c>
      <c r="G154" s="73" t="n">
        <f aca="false">_xlfn.IFNA(INDEX(HTS!$BT:$BT,MATCH($E154,HTS!$E:$E,0)),"")</f>
        <v>453</v>
      </c>
      <c r="H154" s="73" t="str">
        <f aca="false">_xlfn.IFNA(INDEX(AGYW!$U:$U,MATCH($E154,AGYW!$E:$E,0)),"")</f>
        <v/>
      </c>
      <c r="I154" s="73" t="str">
        <f aca="false">_xlfn.IFNA(INDEX(AGYW!$V:$V,MATCH($E154,AGYW!$E:$E,0)),"")</f>
        <v/>
      </c>
      <c r="J154" s="73" t="n">
        <v>42</v>
      </c>
      <c r="K154" s="73" t="n">
        <v>40</v>
      </c>
      <c r="L154" s="75"/>
      <c r="M154" s="73" t="n">
        <v>5</v>
      </c>
      <c r="N154" s="73" t="n">
        <v>18</v>
      </c>
      <c r="O154" s="75"/>
    </row>
    <row r="155" customFormat="false" ht="15" hidden="false" customHeight="false" outlineLevel="0" collapsed="false">
      <c r="A155" s="0" t="s">
        <v>149</v>
      </c>
      <c r="B155" s="0" t="s">
        <v>111</v>
      </c>
      <c r="C155" s="0" t="s">
        <v>80</v>
      </c>
      <c r="D155" s="0" t="s">
        <v>56</v>
      </c>
      <c r="E155" s="0" t="str">
        <f aca="false">B155&amp;"|"&amp;C155&amp;"|"&amp;D155</f>
        <v>Qacha's Nek [#SNU] [zTaMbxvQtJ6]|45-49|Female</v>
      </c>
      <c r="F155" s="73" t="n">
        <f aca="false">_xlfn.IFNA(INDEX(Cascade!$H:$H,MATCH($E155,Cascade!$E:$E,0)),"")</f>
        <v>576</v>
      </c>
      <c r="G155" s="73" t="n">
        <f aca="false">_xlfn.IFNA(INDEX(HTS!$BT:$BT,MATCH($E155,HTS!$E:$E,0)),"")</f>
        <v>24304</v>
      </c>
      <c r="H155" s="73" t="str">
        <f aca="false">_xlfn.IFNA(INDEX(AGYW!$U:$U,MATCH($E155,AGYW!$E:$E,0)),"")</f>
        <v/>
      </c>
      <c r="I155" s="73" t="str">
        <f aca="false">_xlfn.IFNA(INDEX(AGYW!$V:$V,MATCH($E155,AGYW!$E:$E,0)),"")</f>
        <v/>
      </c>
      <c r="J155" s="73" t="n">
        <v>28</v>
      </c>
      <c r="K155" s="73" t="n">
        <v>30</v>
      </c>
      <c r="L155" s="75"/>
      <c r="M155" s="73" t="n">
        <v>12</v>
      </c>
      <c r="N155" s="73" t="n">
        <v>6</v>
      </c>
      <c r="O155" s="75"/>
    </row>
    <row r="156" customFormat="false" ht="15" hidden="false" customHeight="false" outlineLevel="0" collapsed="false">
      <c r="A156" s="0" t="s">
        <v>149</v>
      </c>
      <c r="B156" s="0" t="s">
        <v>111</v>
      </c>
      <c r="C156" s="0" t="s">
        <v>80</v>
      </c>
      <c r="D156" s="0" t="s">
        <v>58</v>
      </c>
      <c r="E156" s="0" t="str">
        <f aca="false">B156&amp;"|"&amp;C156&amp;"|"&amp;D156</f>
        <v>Qacha's Nek [#SNU] [zTaMbxvQtJ6]|45-49|Male</v>
      </c>
      <c r="F156" s="73" t="n">
        <f aca="false">_xlfn.IFNA(INDEX(Cascade!$H:$H,MATCH($E156,Cascade!$E:$E,0)),"")</f>
        <v>512</v>
      </c>
      <c r="G156" s="73" t="n">
        <f aca="false">_xlfn.IFNA(INDEX(HTS!$BT:$BT,MATCH($E156,HTS!$E:$E,0)),"")</f>
        <v>27535</v>
      </c>
      <c r="H156" s="73" t="str">
        <f aca="false">_xlfn.IFNA(INDEX(AGYW!$U:$U,MATCH($E156,AGYW!$E:$E,0)),"")</f>
        <v/>
      </c>
      <c r="I156" s="73" t="str">
        <f aca="false">_xlfn.IFNA(INDEX(AGYW!$V:$V,MATCH($E156,AGYW!$E:$E,0)),"")</f>
        <v/>
      </c>
      <c r="J156" s="73" t="n">
        <v>16</v>
      </c>
      <c r="K156" s="73" t="n">
        <v>2</v>
      </c>
      <c r="L156" s="75"/>
      <c r="M156" s="73" t="n">
        <v>41</v>
      </c>
      <c r="N156" s="73" t="n">
        <v>1</v>
      </c>
      <c r="O156" s="75"/>
    </row>
    <row r="157" customFormat="false" ht="15" hidden="false" customHeight="false" outlineLevel="0" collapsed="false">
      <c r="A157" s="0" t="s">
        <v>149</v>
      </c>
      <c r="B157" s="0" t="s">
        <v>111</v>
      </c>
      <c r="C157" s="0" t="s">
        <v>86</v>
      </c>
      <c r="D157" s="0" t="s">
        <v>56</v>
      </c>
      <c r="E157" s="0" t="str">
        <f aca="false">B157&amp;"|"&amp;C157&amp;"|"&amp;D157</f>
        <v>Qacha's Nek [#SNU] [zTaMbxvQtJ6]|50+|Female</v>
      </c>
      <c r="F157" s="73" t="n">
        <f aca="false">_xlfn.IFNA(INDEX(Cascade!$H:$H,MATCH($E157,Cascade!$E:$E,0)),"")</f>
        <v>1738</v>
      </c>
      <c r="G157" s="73" t="n">
        <f aca="false">_xlfn.IFNA(INDEX(HTS!$BT:$BT,MATCH($E157,HTS!$E:$E,0)),"")</f>
        <v>-625</v>
      </c>
      <c r="H157" s="73" t="str">
        <f aca="false">_xlfn.IFNA(INDEX(AGYW!$U:$U,MATCH($E157,AGYW!$E:$E,0)),"")</f>
        <v/>
      </c>
      <c r="I157" s="73" t="str">
        <f aca="false">_xlfn.IFNA(INDEX(AGYW!$V:$V,MATCH($E157,AGYW!$E:$E,0)),"")</f>
        <v/>
      </c>
      <c r="J157" s="73" t="n">
        <v>35</v>
      </c>
      <c r="K157" s="73"/>
      <c r="L157" s="75"/>
      <c r="M157" s="73" t="n">
        <v>0</v>
      </c>
      <c r="N157" s="73"/>
      <c r="O157" s="75"/>
    </row>
    <row r="158" customFormat="false" ht="15" hidden="false" customHeight="false" outlineLevel="0" collapsed="false">
      <c r="A158" s="0" t="s">
        <v>149</v>
      </c>
      <c r="B158" s="0" t="s">
        <v>111</v>
      </c>
      <c r="C158" s="0" t="s">
        <v>86</v>
      </c>
      <c r="D158" s="0" t="s">
        <v>58</v>
      </c>
      <c r="E158" s="0" t="str">
        <f aca="false">B158&amp;"|"&amp;C158&amp;"|"&amp;D158</f>
        <v>Qacha's Nek [#SNU] [zTaMbxvQtJ6]|50+|Male</v>
      </c>
      <c r="F158" s="73" t="n">
        <f aca="false">_xlfn.IFNA(INDEX(Cascade!$H:$H,MATCH($E158,Cascade!$E:$E,0)),"")</f>
        <v>1295</v>
      </c>
      <c r="G158" s="73" t="n">
        <f aca="false">_xlfn.IFNA(INDEX(HTS!$BT:$BT,MATCH($E158,HTS!$E:$E,0)),"")</f>
        <v>9997</v>
      </c>
      <c r="H158" s="73" t="str">
        <f aca="false">_xlfn.IFNA(INDEX(AGYW!$U:$U,MATCH($E158,AGYW!$E:$E,0)),"")</f>
        <v/>
      </c>
      <c r="I158" s="73" t="str">
        <f aca="false">_xlfn.IFNA(INDEX(AGYW!$V:$V,MATCH($E158,AGYW!$E:$E,0)),"")</f>
        <v/>
      </c>
      <c r="J158" s="73" t="n">
        <v>7</v>
      </c>
      <c r="K158" s="73" t="n">
        <v>12</v>
      </c>
      <c r="L158" s="75"/>
      <c r="M158" s="73" t="n">
        <v>16</v>
      </c>
      <c r="N158" s="73" t="n">
        <v>25</v>
      </c>
      <c r="O158" s="75"/>
    </row>
    <row r="159" customFormat="false" ht="15" hidden="false" customHeight="false" outlineLevel="0" collapsed="false">
      <c r="A159" s="0" t="s">
        <v>150</v>
      </c>
      <c r="B159" s="0" t="s">
        <v>117</v>
      </c>
      <c r="C159" s="0" t="s">
        <v>63</v>
      </c>
      <c r="D159" s="0" t="s">
        <v>56</v>
      </c>
      <c r="E159" s="0" t="str">
        <f aca="false">B159&amp;"|"&amp;C159&amp;"|"&amp;D159</f>
        <v>Quthing [#SNU] [HuwCoDZG0FY]|15-19|Female</v>
      </c>
      <c r="F159" s="73" t="n">
        <f aca="false">_xlfn.IFNA(INDEX(Cascade!$H:$H,MATCH($E159,Cascade!$E:$E,0)),"")</f>
        <v>280</v>
      </c>
      <c r="G159" s="73" t="n">
        <f aca="false">_xlfn.IFNA(INDEX(HTS!$BT:$BT,MATCH($E159,HTS!$E:$E,0)),"")</f>
        <v>52215</v>
      </c>
      <c r="H159" s="73" t="str">
        <f aca="false">_xlfn.IFNA(INDEX(AGYW!$U:$U,MATCH($E159,AGYW!$E:$E,0)),"")</f>
        <v/>
      </c>
      <c r="I159" s="73" t="str">
        <f aca="false">_xlfn.IFNA(INDEX(AGYW!$V:$V,MATCH($E159,AGYW!$E:$E,0)),"")</f>
        <v/>
      </c>
      <c r="J159" s="73" t="n">
        <v>27</v>
      </c>
      <c r="K159" s="73" t="n">
        <v>43</v>
      </c>
      <c r="L159" s="75"/>
      <c r="M159" s="73" t="n">
        <v>8</v>
      </c>
      <c r="N159" s="73" t="n">
        <v>4</v>
      </c>
      <c r="O159" s="75"/>
    </row>
    <row r="160" customFormat="false" ht="15" hidden="false" customHeight="false" outlineLevel="0" collapsed="false">
      <c r="A160" s="0" t="s">
        <v>150</v>
      </c>
      <c r="B160" s="0" t="s">
        <v>117</v>
      </c>
      <c r="C160" s="0" t="s">
        <v>63</v>
      </c>
      <c r="D160" s="0" t="s">
        <v>58</v>
      </c>
      <c r="E160" s="0" t="str">
        <f aca="false">B160&amp;"|"&amp;C160&amp;"|"&amp;D160</f>
        <v>Quthing [#SNU] [HuwCoDZG0FY]|15-19|Male</v>
      </c>
      <c r="F160" s="73" t="n">
        <f aca="false">_xlfn.IFNA(INDEX(Cascade!$H:$H,MATCH($E160,Cascade!$E:$E,0)),"")</f>
        <v>178</v>
      </c>
      <c r="G160" s="73" t="n">
        <f aca="false">_xlfn.IFNA(INDEX(HTS!$BT:$BT,MATCH($E160,HTS!$E:$E,0)),"")</f>
        <v>-41</v>
      </c>
      <c r="H160" s="73" t="str">
        <f aca="false">_xlfn.IFNA(INDEX(AGYW!$U:$U,MATCH($E160,AGYW!$E:$E,0)),"")</f>
        <v/>
      </c>
      <c r="I160" s="73" t="str">
        <f aca="false">_xlfn.IFNA(INDEX(AGYW!$V:$V,MATCH($E160,AGYW!$E:$E,0)),"")</f>
        <v/>
      </c>
      <c r="J160" s="73" t="n">
        <v>15</v>
      </c>
      <c r="K160" s="73" t="n">
        <v>42</v>
      </c>
      <c r="L160" s="75"/>
      <c r="M160" s="73" t="n">
        <v>19</v>
      </c>
      <c r="N160" s="73" t="n">
        <v>21</v>
      </c>
      <c r="O160" s="75"/>
    </row>
    <row r="161" customFormat="false" ht="15" hidden="false" customHeight="false" outlineLevel="0" collapsed="false">
      <c r="A161" s="0" t="s">
        <v>150</v>
      </c>
      <c r="B161" s="0" t="s">
        <v>117</v>
      </c>
      <c r="C161" s="0" t="s">
        <v>66</v>
      </c>
      <c r="D161" s="0" t="s">
        <v>56</v>
      </c>
      <c r="E161" s="0" t="str">
        <f aca="false">B161&amp;"|"&amp;C161&amp;"|"&amp;D161</f>
        <v>Quthing [#SNU] [HuwCoDZG0FY]|20-24|Female</v>
      </c>
      <c r="F161" s="73" t="n">
        <f aca="false">_xlfn.IFNA(INDEX(Cascade!$H:$H,MATCH($E161,Cascade!$E:$E,0)),"")</f>
        <v>729</v>
      </c>
      <c r="G161" s="73" t="n">
        <f aca="false">_xlfn.IFNA(INDEX(HTS!$BT:$BT,MATCH($E161,HTS!$E:$E,0)),"")</f>
        <v>59958</v>
      </c>
      <c r="H161" s="73" t="str">
        <f aca="false">_xlfn.IFNA(INDEX(AGYW!$U:$U,MATCH($E161,AGYW!$E:$E,0)),"")</f>
        <v/>
      </c>
      <c r="I161" s="73" t="str">
        <f aca="false">_xlfn.IFNA(INDEX(AGYW!$V:$V,MATCH($E161,AGYW!$E:$E,0)),"")</f>
        <v/>
      </c>
      <c r="J161" s="73" t="n">
        <v>8</v>
      </c>
      <c r="K161" s="73" t="n">
        <v>8</v>
      </c>
      <c r="L161" s="75"/>
      <c r="M161" s="73" t="n">
        <v>30</v>
      </c>
      <c r="N161" s="73" t="n">
        <v>32</v>
      </c>
      <c r="O161" s="75"/>
    </row>
    <row r="162" customFormat="false" ht="15" hidden="false" customHeight="false" outlineLevel="0" collapsed="false">
      <c r="A162" s="0" t="s">
        <v>150</v>
      </c>
      <c r="B162" s="0" t="s">
        <v>117</v>
      </c>
      <c r="C162" s="0" t="s">
        <v>66</v>
      </c>
      <c r="D162" s="0" t="s">
        <v>58</v>
      </c>
      <c r="E162" s="0" t="str">
        <f aca="false">B162&amp;"|"&amp;C162&amp;"|"&amp;D162</f>
        <v>Quthing [#SNU] [HuwCoDZG0FY]|20-24|Male</v>
      </c>
      <c r="F162" s="73" t="n">
        <f aca="false">_xlfn.IFNA(INDEX(Cascade!$H:$H,MATCH($E162,Cascade!$E:$E,0)),"")</f>
        <v>286</v>
      </c>
      <c r="G162" s="73" t="n">
        <f aca="false">_xlfn.IFNA(INDEX(HTS!$BT:$BT,MATCH($E162,HTS!$E:$E,0)),"")</f>
        <v>-866</v>
      </c>
      <c r="H162" s="73" t="str">
        <f aca="false">_xlfn.IFNA(INDEX(AGYW!$U:$U,MATCH($E162,AGYW!$E:$E,0)),"")</f>
        <v/>
      </c>
      <c r="I162" s="73" t="str">
        <f aca="false">_xlfn.IFNA(INDEX(AGYW!$V:$V,MATCH($E162,AGYW!$E:$E,0)),"")</f>
        <v/>
      </c>
      <c r="J162" s="73" t="n">
        <v>26</v>
      </c>
      <c r="K162" s="73" t="n">
        <v>30</v>
      </c>
      <c r="L162" s="75"/>
      <c r="M162" s="73" t="n">
        <v>26</v>
      </c>
      <c r="N162" s="73" t="n">
        <v>36</v>
      </c>
      <c r="O162" s="75"/>
    </row>
    <row r="163" customFormat="false" ht="15" hidden="false" customHeight="false" outlineLevel="0" collapsed="false">
      <c r="A163" s="0" t="s">
        <v>150</v>
      </c>
      <c r="B163" s="0" t="s">
        <v>117</v>
      </c>
      <c r="C163" s="0" t="s">
        <v>69</v>
      </c>
      <c r="D163" s="0" t="s">
        <v>56</v>
      </c>
      <c r="E163" s="0" t="str">
        <f aca="false">B163&amp;"|"&amp;C163&amp;"|"&amp;D163</f>
        <v>Quthing [#SNU] [HuwCoDZG0FY]|25-29|Female</v>
      </c>
      <c r="F163" s="73" t="n">
        <f aca="false">_xlfn.IFNA(INDEX(Cascade!$H:$H,MATCH($E163,Cascade!$E:$E,0)),"")</f>
        <v>1311</v>
      </c>
      <c r="G163" s="73" t="n">
        <f aca="false">_xlfn.IFNA(INDEX(HTS!$BT:$BT,MATCH($E163,HTS!$E:$E,0)),"")</f>
        <v>13337</v>
      </c>
      <c r="H163" s="73" t="str">
        <f aca="false">_xlfn.IFNA(INDEX(AGYW!$U:$U,MATCH($E163,AGYW!$E:$E,0)),"")</f>
        <v/>
      </c>
      <c r="I163" s="73" t="str">
        <f aca="false">_xlfn.IFNA(INDEX(AGYW!$V:$V,MATCH($E163,AGYW!$E:$E,0)),"")</f>
        <v/>
      </c>
      <c r="J163" s="73" t="n">
        <v>46</v>
      </c>
      <c r="K163" s="73" t="n">
        <v>34</v>
      </c>
      <c r="L163" s="75"/>
      <c r="M163" s="73" t="n">
        <v>42</v>
      </c>
      <c r="N163" s="73" t="n">
        <v>47</v>
      </c>
      <c r="O163" s="75"/>
    </row>
    <row r="164" customFormat="false" ht="15" hidden="false" customHeight="false" outlineLevel="0" collapsed="false">
      <c r="A164" s="0" t="s">
        <v>150</v>
      </c>
      <c r="B164" s="0" t="s">
        <v>117</v>
      </c>
      <c r="C164" s="0" t="s">
        <v>69</v>
      </c>
      <c r="D164" s="0" t="s">
        <v>58</v>
      </c>
      <c r="E164" s="0" t="str">
        <f aca="false">B164&amp;"|"&amp;C164&amp;"|"&amp;D164</f>
        <v>Quthing [#SNU] [HuwCoDZG0FY]|25-29|Male</v>
      </c>
      <c r="F164" s="73" t="n">
        <f aca="false">_xlfn.IFNA(INDEX(Cascade!$H:$H,MATCH($E164,Cascade!$E:$E,0)),"")</f>
        <v>625</v>
      </c>
      <c r="G164" s="73" t="n">
        <f aca="false">_xlfn.IFNA(INDEX(HTS!$BT:$BT,MATCH($E164,HTS!$E:$E,0)),"")</f>
        <v>-920</v>
      </c>
      <c r="H164" s="73" t="str">
        <f aca="false">_xlfn.IFNA(INDEX(AGYW!$U:$U,MATCH($E164,AGYW!$E:$E,0)),"")</f>
        <v/>
      </c>
      <c r="I164" s="73" t="str">
        <f aca="false">_xlfn.IFNA(INDEX(AGYW!$V:$V,MATCH($E164,AGYW!$E:$E,0)),"")</f>
        <v/>
      </c>
      <c r="J164" s="73" t="n">
        <v>1</v>
      </c>
      <c r="K164" s="73" t="n">
        <v>48</v>
      </c>
      <c r="L164" s="75"/>
      <c r="M164" s="73" t="n">
        <v>6</v>
      </c>
      <c r="N164" s="73" t="n">
        <v>26</v>
      </c>
      <c r="O164" s="75"/>
    </row>
    <row r="165" customFormat="false" ht="15" hidden="false" customHeight="false" outlineLevel="0" collapsed="false">
      <c r="A165" s="0" t="s">
        <v>150</v>
      </c>
      <c r="B165" s="0" t="s">
        <v>117</v>
      </c>
      <c r="C165" s="0" t="s">
        <v>72</v>
      </c>
      <c r="D165" s="0" t="s">
        <v>56</v>
      </c>
      <c r="E165" s="0" t="str">
        <f aca="false">B165&amp;"|"&amp;C165&amp;"|"&amp;D165</f>
        <v>Quthing [#SNU] [HuwCoDZG0FY]|30-34|Female</v>
      </c>
      <c r="F165" s="73" t="n">
        <f aca="false">_xlfn.IFNA(INDEX(Cascade!$H:$H,MATCH($E165,Cascade!$E:$E,0)),"")</f>
        <v>1725</v>
      </c>
      <c r="G165" s="73" t="n">
        <f aca="false">_xlfn.IFNA(INDEX(HTS!$BT:$BT,MATCH($E165,HTS!$E:$E,0)),"")</f>
        <v>57297</v>
      </c>
      <c r="H165" s="73" t="str">
        <f aca="false">_xlfn.IFNA(INDEX(AGYW!$U:$U,MATCH($E165,AGYW!$E:$E,0)),"")</f>
        <v/>
      </c>
      <c r="I165" s="73" t="str">
        <f aca="false">_xlfn.IFNA(INDEX(AGYW!$V:$V,MATCH($E165,AGYW!$E:$E,0)),"")</f>
        <v/>
      </c>
      <c r="J165" s="73" t="n">
        <v>15</v>
      </c>
      <c r="K165" s="73" t="n">
        <v>17</v>
      </c>
      <c r="L165" s="75"/>
      <c r="M165" s="73" t="n">
        <v>31</v>
      </c>
      <c r="N165" s="73" t="n">
        <v>14</v>
      </c>
      <c r="O165" s="75"/>
    </row>
    <row r="166" customFormat="false" ht="15" hidden="false" customHeight="false" outlineLevel="0" collapsed="false">
      <c r="A166" s="0" t="s">
        <v>150</v>
      </c>
      <c r="B166" s="0" t="s">
        <v>117</v>
      </c>
      <c r="C166" s="0" t="s">
        <v>72</v>
      </c>
      <c r="D166" s="0" t="s">
        <v>58</v>
      </c>
      <c r="E166" s="0" t="str">
        <f aca="false">B166&amp;"|"&amp;C166&amp;"|"&amp;D166</f>
        <v>Quthing [#SNU] [HuwCoDZG0FY]|30-34|Male</v>
      </c>
      <c r="F166" s="73" t="n">
        <f aca="false">_xlfn.IFNA(INDEX(Cascade!$H:$H,MATCH($E166,Cascade!$E:$E,0)),"")</f>
        <v>1097</v>
      </c>
      <c r="G166" s="73" t="n">
        <f aca="false">_xlfn.IFNA(INDEX(HTS!$BT:$BT,MATCH($E166,HTS!$E:$E,0)),"")</f>
        <v>-3921</v>
      </c>
      <c r="H166" s="73" t="str">
        <f aca="false">_xlfn.IFNA(INDEX(AGYW!$U:$U,MATCH($E166,AGYW!$E:$E,0)),"")</f>
        <v/>
      </c>
      <c r="I166" s="73" t="str">
        <f aca="false">_xlfn.IFNA(INDEX(AGYW!$V:$V,MATCH($E166,AGYW!$E:$E,0)),"")</f>
        <v/>
      </c>
      <c r="J166" s="73" t="n">
        <v>42</v>
      </c>
      <c r="K166" s="73" t="n">
        <v>1</v>
      </c>
      <c r="L166" s="75"/>
      <c r="M166" s="73" t="n">
        <v>6</v>
      </c>
      <c r="N166" s="73" t="n">
        <v>1</v>
      </c>
      <c r="O166" s="75"/>
    </row>
    <row r="167" customFormat="false" ht="15" hidden="false" customHeight="false" outlineLevel="0" collapsed="false">
      <c r="A167" s="0" t="s">
        <v>150</v>
      </c>
      <c r="B167" s="0" t="s">
        <v>117</v>
      </c>
      <c r="C167" s="0" t="s">
        <v>75</v>
      </c>
      <c r="D167" s="0" t="s">
        <v>56</v>
      </c>
      <c r="E167" s="0" t="str">
        <f aca="false">B167&amp;"|"&amp;C167&amp;"|"&amp;D167</f>
        <v>Quthing [#SNU] [HuwCoDZG0FY]|35-39|Female</v>
      </c>
      <c r="F167" s="73" t="n">
        <f aca="false">_xlfn.IFNA(INDEX(Cascade!$H:$H,MATCH($E167,Cascade!$E:$E,0)),"")</f>
        <v>1543</v>
      </c>
      <c r="G167" s="73" t="n">
        <f aca="false">_xlfn.IFNA(INDEX(HTS!$BT:$BT,MATCH($E167,HTS!$E:$E,0)),"")</f>
        <v>12062</v>
      </c>
      <c r="H167" s="73" t="str">
        <f aca="false">_xlfn.IFNA(INDEX(AGYW!$U:$U,MATCH($E167,AGYW!$E:$E,0)),"")</f>
        <v/>
      </c>
      <c r="I167" s="73" t="str">
        <f aca="false">_xlfn.IFNA(INDEX(AGYW!$V:$V,MATCH($E167,AGYW!$E:$E,0)),"")</f>
        <v/>
      </c>
      <c r="J167" s="73" t="n">
        <v>32</v>
      </c>
      <c r="K167" s="73" t="n">
        <v>12</v>
      </c>
      <c r="L167" s="75"/>
      <c r="M167" s="73" t="n">
        <v>18</v>
      </c>
      <c r="N167" s="73" t="n">
        <v>19</v>
      </c>
      <c r="O167" s="75"/>
    </row>
    <row r="168" customFormat="false" ht="15" hidden="false" customHeight="false" outlineLevel="0" collapsed="false">
      <c r="A168" s="0" t="s">
        <v>150</v>
      </c>
      <c r="B168" s="0" t="s">
        <v>117</v>
      </c>
      <c r="C168" s="0" t="s">
        <v>75</v>
      </c>
      <c r="D168" s="0" t="s">
        <v>58</v>
      </c>
      <c r="E168" s="0" t="str">
        <f aca="false">B168&amp;"|"&amp;C168&amp;"|"&amp;D168</f>
        <v>Quthing [#SNU] [HuwCoDZG0FY]|35-39|Male</v>
      </c>
      <c r="F168" s="73" t="n">
        <f aca="false">_xlfn.IFNA(INDEX(Cascade!$H:$H,MATCH($E168,Cascade!$E:$E,0)),"")</f>
        <v>1249</v>
      </c>
      <c r="G168" s="73" t="n">
        <f aca="false">_xlfn.IFNA(INDEX(HTS!$BT:$BT,MATCH($E168,HTS!$E:$E,0)),"")</f>
        <v>542</v>
      </c>
      <c r="H168" s="73" t="str">
        <f aca="false">_xlfn.IFNA(INDEX(AGYW!$U:$U,MATCH($E168,AGYW!$E:$E,0)),"")</f>
        <v/>
      </c>
      <c r="I168" s="73" t="str">
        <f aca="false">_xlfn.IFNA(INDEX(AGYW!$V:$V,MATCH($E168,AGYW!$E:$E,0)),"")</f>
        <v/>
      </c>
      <c r="J168" s="73" t="n">
        <v>17</v>
      </c>
      <c r="K168" s="73" t="n">
        <v>21</v>
      </c>
      <c r="L168" s="75"/>
      <c r="M168" s="73" t="n">
        <v>35</v>
      </c>
      <c r="N168" s="73" t="n">
        <v>0</v>
      </c>
      <c r="O168" s="75"/>
    </row>
    <row r="169" customFormat="false" ht="15" hidden="false" customHeight="false" outlineLevel="0" collapsed="false">
      <c r="A169" s="0" t="s">
        <v>150</v>
      </c>
      <c r="B169" s="0" t="s">
        <v>117</v>
      </c>
      <c r="C169" s="0" t="s">
        <v>77</v>
      </c>
      <c r="D169" s="0" t="s">
        <v>56</v>
      </c>
      <c r="E169" s="0" t="str">
        <f aca="false">B169&amp;"|"&amp;C169&amp;"|"&amp;D169</f>
        <v>Quthing [#SNU] [HuwCoDZG0FY]|40-44|Female</v>
      </c>
      <c r="F169" s="73" t="n">
        <f aca="false">_xlfn.IFNA(INDEX(Cascade!$H:$H,MATCH($E169,Cascade!$E:$E,0)),"")</f>
        <v>1192</v>
      </c>
      <c r="G169" s="73" t="n">
        <f aca="false">_xlfn.IFNA(INDEX(HTS!$BT:$BT,MATCH($E169,HTS!$E:$E,0)),"")</f>
        <v>24849</v>
      </c>
      <c r="H169" s="73" t="str">
        <f aca="false">_xlfn.IFNA(INDEX(AGYW!$U:$U,MATCH($E169,AGYW!$E:$E,0)),"")</f>
        <v/>
      </c>
      <c r="I169" s="73" t="str">
        <f aca="false">_xlfn.IFNA(INDEX(AGYW!$V:$V,MATCH($E169,AGYW!$E:$E,0)),"")</f>
        <v/>
      </c>
      <c r="J169" s="73" t="n">
        <v>19</v>
      </c>
      <c r="K169" s="73" t="n">
        <v>20</v>
      </c>
      <c r="L169" s="75"/>
      <c r="M169" s="73" t="n">
        <v>42</v>
      </c>
      <c r="N169" s="73" t="n">
        <v>0</v>
      </c>
      <c r="O169" s="75"/>
    </row>
    <row r="170" customFormat="false" ht="15" hidden="false" customHeight="false" outlineLevel="0" collapsed="false">
      <c r="A170" s="0" t="s">
        <v>150</v>
      </c>
      <c r="B170" s="0" t="s">
        <v>117</v>
      </c>
      <c r="C170" s="0" t="s">
        <v>77</v>
      </c>
      <c r="D170" s="0" t="s">
        <v>58</v>
      </c>
      <c r="E170" s="0" t="str">
        <f aca="false">B170&amp;"|"&amp;C170&amp;"|"&amp;D170</f>
        <v>Quthing [#SNU] [HuwCoDZG0FY]|40-44|Male</v>
      </c>
      <c r="F170" s="73" t="n">
        <f aca="false">_xlfn.IFNA(INDEX(Cascade!$H:$H,MATCH($E170,Cascade!$E:$E,0)),"")</f>
        <v>1036</v>
      </c>
      <c r="G170" s="73" t="n">
        <f aca="false">_xlfn.IFNA(INDEX(HTS!$BT:$BT,MATCH($E170,HTS!$E:$E,0)),"")</f>
        <v>3146</v>
      </c>
      <c r="H170" s="73" t="str">
        <f aca="false">_xlfn.IFNA(INDEX(AGYW!$U:$U,MATCH($E170,AGYW!$E:$E,0)),"")</f>
        <v/>
      </c>
      <c r="I170" s="73" t="str">
        <f aca="false">_xlfn.IFNA(INDEX(AGYW!$V:$V,MATCH($E170,AGYW!$E:$E,0)),"")</f>
        <v/>
      </c>
      <c r="J170" s="73" t="n">
        <v>34</v>
      </c>
      <c r="K170" s="73" t="n">
        <v>3</v>
      </c>
      <c r="L170" s="75"/>
      <c r="M170" s="73" t="n">
        <v>45</v>
      </c>
      <c r="N170" s="73" t="n">
        <v>23</v>
      </c>
      <c r="O170" s="75"/>
    </row>
    <row r="171" customFormat="false" ht="15" hidden="false" customHeight="false" outlineLevel="0" collapsed="false">
      <c r="A171" s="0" t="s">
        <v>150</v>
      </c>
      <c r="B171" s="0" t="s">
        <v>117</v>
      </c>
      <c r="C171" s="0" t="s">
        <v>80</v>
      </c>
      <c r="D171" s="0" t="s">
        <v>56</v>
      </c>
      <c r="E171" s="0" t="str">
        <f aca="false">B171&amp;"|"&amp;C171&amp;"|"&amp;D171</f>
        <v>Quthing [#SNU] [HuwCoDZG0FY]|45-49|Female</v>
      </c>
      <c r="F171" s="73" t="n">
        <f aca="false">_xlfn.IFNA(INDEX(Cascade!$H:$H,MATCH($E171,Cascade!$E:$E,0)),"")</f>
        <v>917</v>
      </c>
      <c r="G171" s="73" t="n">
        <f aca="false">_xlfn.IFNA(INDEX(HTS!$BT:$BT,MATCH($E171,HTS!$E:$E,0)),"")</f>
        <v>407</v>
      </c>
      <c r="H171" s="73" t="str">
        <f aca="false">_xlfn.IFNA(INDEX(AGYW!$U:$U,MATCH($E171,AGYW!$E:$E,0)),"")</f>
        <v/>
      </c>
      <c r="I171" s="73" t="str">
        <f aca="false">_xlfn.IFNA(INDEX(AGYW!$V:$V,MATCH($E171,AGYW!$E:$E,0)),"")</f>
        <v/>
      </c>
      <c r="J171" s="73" t="n">
        <v>49</v>
      </c>
      <c r="K171" s="73" t="n">
        <v>14</v>
      </c>
      <c r="L171" s="75"/>
      <c r="M171" s="73" t="n">
        <v>24</v>
      </c>
      <c r="N171" s="73" t="n">
        <v>32</v>
      </c>
      <c r="O171" s="75"/>
    </row>
    <row r="172" customFormat="false" ht="15" hidden="false" customHeight="false" outlineLevel="0" collapsed="false">
      <c r="A172" s="0" t="s">
        <v>150</v>
      </c>
      <c r="B172" s="0" t="s">
        <v>117</v>
      </c>
      <c r="C172" s="0" t="s">
        <v>80</v>
      </c>
      <c r="D172" s="0" t="s">
        <v>58</v>
      </c>
      <c r="E172" s="0" t="str">
        <f aca="false">B172&amp;"|"&amp;C172&amp;"|"&amp;D172</f>
        <v>Quthing [#SNU] [HuwCoDZG0FY]|45-49|Male</v>
      </c>
      <c r="F172" s="73" t="n">
        <f aca="false">_xlfn.IFNA(INDEX(Cascade!$H:$H,MATCH($E172,Cascade!$E:$E,0)),"")</f>
        <v>841</v>
      </c>
      <c r="G172" s="73" t="n">
        <f aca="false">_xlfn.IFNA(INDEX(HTS!$BT:$BT,MATCH($E172,HTS!$E:$E,0)),"")</f>
        <v>-843</v>
      </c>
      <c r="H172" s="73" t="str">
        <f aca="false">_xlfn.IFNA(INDEX(AGYW!$U:$U,MATCH($E172,AGYW!$E:$E,0)),"")</f>
        <v/>
      </c>
      <c r="I172" s="73" t="str">
        <f aca="false">_xlfn.IFNA(INDEX(AGYW!$V:$V,MATCH($E172,AGYW!$E:$E,0)),"")</f>
        <v/>
      </c>
      <c r="J172" s="73" t="n">
        <v>16</v>
      </c>
      <c r="K172" s="73" t="n">
        <v>18</v>
      </c>
      <c r="L172" s="75"/>
      <c r="M172" s="73" t="n">
        <v>39</v>
      </c>
      <c r="N172" s="73" t="n">
        <v>3</v>
      </c>
      <c r="O172" s="75"/>
    </row>
    <row r="173" customFormat="false" ht="15" hidden="false" customHeight="false" outlineLevel="0" collapsed="false">
      <c r="A173" s="0" t="s">
        <v>150</v>
      </c>
      <c r="B173" s="0" t="s">
        <v>117</v>
      </c>
      <c r="C173" s="0" t="s">
        <v>86</v>
      </c>
      <c r="D173" s="0" t="s">
        <v>56</v>
      </c>
      <c r="E173" s="0" t="str">
        <f aca="false">B173&amp;"|"&amp;C173&amp;"|"&amp;D173</f>
        <v>Quthing [#SNU] [HuwCoDZG0FY]|50+|Female</v>
      </c>
      <c r="F173" s="73" t="n">
        <f aca="false">_xlfn.IFNA(INDEX(Cascade!$H:$H,MATCH($E173,Cascade!$E:$E,0)),"")</f>
        <v>3011</v>
      </c>
      <c r="G173" s="73" t="n">
        <f aca="false">_xlfn.IFNA(INDEX(HTS!$BT:$BT,MATCH($E173,HTS!$E:$E,0)),"")</f>
        <v>-195</v>
      </c>
      <c r="H173" s="73" t="str">
        <f aca="false">_xlfn.IFNA(INDEX(AGYW!$U:$U,MATCH($E173,AGYW!$E:$E,0)),"")</f>
        <v/>
      </c>
      <c r="I173" s="73" t="str">
        <f aca="false">_xlfn.IFNA(INDEX(AGYW!$V:$V,MATCH($E173,AGYW!$E:$E,0)),"")</f>
        <v/>
      </c>
      <c r="J173" s="73" t="n">
        <v>29</v>
      </c>
      <c r="K173" s="73" t="n">
        <v>43</v>
      </c>
      <c r="L173" s="75"/>
      <c r="M173" s="73" t="n">
        <v>33</v>
      </c>
      <c r="N173" s="73" t="n">
        <v>21</v>
      </c>
      <c r="O173" s="75"/>
    </row>
    <row r="174" customFormat="false" ht="15" hidden="false" customHeight="false" outlineLevel="0" collapsed="false">
      <c r="A174" s="0" t="s">
        <v>150</v>
      </c>
      <c r="B174" s="0" t="s">
        <v>117</v>
      </c>
      <c r="C174" s="0" t="s">
        <v>86</v>
      </c>
      <c r="D174" s="0" t="s">
        <v>58</v>
      </c>
      <c r="E174" s="0" t="str">
        <f aca="false">B174&amp;"|"&amp;C174&amp;"|"&amp;D174</f>
        <v>Quthing [#SNU] [HuwCoDZG0FY]|50+|Male</v>
      </c>
      <c r="F174" s="73" t="n">
        <f aca="false">_xlfn.IFNA(INDEX(Cascade!$H:$H,MATCH($E174,Cascade!$E:$E,0)),"")</f>
        <v>2180</v>
      </c>
      <c r="G174" s="73" t="n">
        <f aca="false">_xlfn.IFNA(INDEX(HTS!$BT:$BT,MATCH($E174,HTS!$E:$E,0)),"")</f>
        <v>7509</v>
      </c>
      <c r="H174" s="73" t="str">
        <f aca="false">_xlfn.IFNA(INDEX(AGYW!$U:$U,MATCH($E174,AGYW!$E:$E,0)),"")</f>
        <v/>
      </c>
      <c r="I174" s="73" t="str">
        <f aca="false">_xlfn.IFNA(INDEX(AGYW!$V:$V,MATCH($E174,AGYW!$E:$E,0)),"")</f>
        <v/>
      </c>
      <c r="J174" s="73" t="n">
        <v>27</v>
      </c>
      <c r="K174" s="73" t="n">
        <v>41</v>
      </c>
      <c r="L174" s="75"/>
      <c r="M174" s="73" t="n">
        <v>30</v>
      </c>
      <c r="N174" s="73" t="n">
        <v>45</v>
      </c>
      <c r="O174" s="75"/>
    </row>
    <row r="175" customFormat="false" ht="15" hidden="false" customHeight="false" outlineLevel="0" collapsed="false">
      <c r="A175" s="0" t="s">
        <v>151</v>
      </c>
      <c r="B175" s="0" t="s">
        <v>101</v>
      </c>
      <c r="C175" s="0" t="s">
        <v>63</v>
      </c>
      <c r="D175" s="0" t="s">
        <v>56</v>
      </c>
      <c r="E175" s="0" t="str">
        <f aca="false">B175&amp;"|"&amp;C175&amp;"|"&amp;D175</f>
        <v>Thaba Tseka [#SNU] [jyhIrCoB31x]|15-19|Female</v>
      </c>
      <c r="F175" s="73" t="n">
        <f aca="false">_xlfn.IFNA(INDEX(Cascade!$H:$H,MATCH($E175,Cascade!$E:$E,0)),"")</f>
        <v>304</v>
      </c>
      <c r="G175" s="73" t="n">
        <f aca="false">_xlfn.IFNA(INDEX(HTS!$BT:$BT,MATCH($E175,HTS!$E:$E,0)),"")</f>
        <v>7782</v>
      </c>
      <c r="H175" s="73" t="str">
        <f aca="false">_xlfn.IFNA(INDEX(AGYW!$U:$U,MATCH($E175,AGYW!$E:$E,0)),"")</f>
        <v/>
      </c>
      <c r="I175" s="73" t="str">
        <f aca="false">_xlfn.IFNA(INDEX(AGYW!$V:$V,MATCH($E175,AGYW!$E:$E,0)),"")</f>
        <v/>
      </c>
      <c r="J175" s="73" t="n">
        <v>23</v>
      </c>
      <c r="K175" s="73" t="n">
        <v>46</v>
      </c>
      <c r="L175" s="75"/>
      <c r="M175" s="73" t="n">
        <v>12</v>
      </c>
      <c r="N175" s="73" t="n">
        <v>36</v>
      </c>
      <c r="O175" s="75"/>
    </row>
    <row r="176" customFormat="false" ht="15" hidden="false" customHeight="false" outlineLevel="0" collapsed="false">
      <c r="A176" s="0" t="s">
        <v>151</v>
      </c>
      <c r="B176" s="0" t="s">
        <v>101</v>
      </c>
      <c r="C176" s="0" t="s">
        <v>63</v>
      </c>
      <c r="D176" s="0" t="s">
        <v>58</v>
      </c>
      <c r="E176" s="0" t="str">
        <f aca="false">B176&amp;"|"&amp;C176&amp;"|"&amp;D176</f>
        <v>Thaba Tseka [#SNU] [jyhIrCoB31x]|15-19|Male</v>
      </c>
      <c r="F176" s="73" t="n">
        <f aca="false">_xlfn.IFNA(INDEX(Cascade!$H:$H,MATCH($E176,Cascade!$E:$E,0)),"")</f>
        <v>197</v>
      </c>
      <c r="G176" s="73" t="n">
        <f aca="false">_xlfn.IFNA(INDEX(HTS!$BT:$BT,MATCH($E176,HTS!$E:$E,0)),"")</f>
        <v>26</v>
      </c>
      <c r="H176" s="73" t="str">
        <f aca="false">_xlfn.IFNA(INDEX(AGYW!$U:$U,MATCH($E176,AGYW!$E:$E,0)),"")</f>
        <v/>
      </c>
      <c r="I176" s="73" t="str">
        <f aca="false">_xlfn.IFNA(INDEX(AGYW!$V:$V,MATCH($E176,AGYW!$E:$E,0)),"")</f>
        <v/>
      </c>
      <c r="J176" s="73" t="n">
        <v>16</v>
      </c>
      <c r="K176" s="73" t="n">
        <v>43</v>
      </c>
      <c r="L176" s="75"/>
      <c r="M176" s="73" t="n">
        <v>29</v>
      </c>
      <c r="N176" s="73" t="n">
        <v>35</v>
      </c>
      <c r="O176" s="75"/>
    </row>
    <row r="177" customFormat="false" ht="15" hidden="false" customHeight="false" outlineLevel="0" collapsed="false">
      <c r="A177" s="0" t="s">
        <v>151</v>
      </c>
      <c r="B177" s="0" t="s">
        <v>101</v>
      </c>
      <c r="C177" s="0" t="s">
        <v>66</v>
      </c>
      <c r="D177" s="0" t="s">
        <v>56</v>
      </c>
      <c r="E177" s="0" t="str">
        <f aca="false">B177&amp;"|"&amp;C177&amp;"|"&amp;D177</f>
        <v>Thaba Tseka [#SNU] [jyhIrCoB31x]|20-24|Female</v>
      </c>
      <c r="F177" s="73" t="n">
        <f aca="false">_xlfn.IFNA(INDEX(Cascade!$H:$H,MATCH($E177,Cascade!$E:$E,0)),"")</f>
        <v>711</v>
      </c>
      <c r="G177" s="73" t="n">
        <f aca="false">_xlfn.IFNA(INDEX(HTS!$BT:$BT,MATCH($E177,HTS!$E:$E,0)),"")</f>
        <v>49252</v>
      </c>
      <c r="H177" s="73" t="str">
        <f aca="false">_xlfn.IFNA(INDEX(AGYW!$U:$U,MATCH($E177,AGYW!$E:$E,0)),"")</f>
        <v/>
      </c>
      <c r="I177" s="73" t="str">
        <f aca="false">_xlfn.IFNA(INDEX(AGYW!$V:$V,MATCH($E177,AGYW!$E:$E,0)),"")</f>
        <v/>
      </c>
      <c r="J177" s="73" t="n">
        <v>30</v>
      </c>
      <c r="K177" s="73" t="n">
        <v>6</v>
      </c>
      <c r="L177" s="75"/>
      <c r="M177" s="73" t="n">
        <v>48</v>
      </c>
      <c r="N177" s="73" t="n">
        <v>24</v>
      </c>
      <c r="O177" s="75"/>
    </row>
    <row r="178" customFormat="false" ht="15" hidden="false" customHeight="false" outlineLevel="0" collapsed="false">
      <c r="A178" s="0" t="s">
        <v>151</v>
      </c>
      <c r="B178" s="0" t="s">
        <v>101</v>
      </c>
      <c r="C178" s="0" t="s">
        <v>66</v>
      </c>
      <c r="D178" s="0" t="s">
        <v>58</v>
      </c>
      <c r="E178" s="0" t="str">
        <f aca="false">B178&amp;"|"&amp;C178&amp;"|"&amp;D178</f>
        <v>Thaba Tseka [#SNU] [jyhIrCoB31x]|20-24|Male</v>
      </c>
      <c r="F178" s="73" t="n">
        <f aca="false">_xlfn.IFNA(INDEX(Cascade!$H:$H,MATCH($E178,Cascade!$E:$E,0)),"")</f>
        <v>289</v>
      </c>
      <c r="G178" s="73" t="n">
        <f aca="false">_xlfn.IFNA(INDEX(HTS!$BT:$BT,MATCH($E178,HTS!$E:$E,0)),"")</f>
        <v>-1500</v>
      </c>
      <c r="H178" s="73" t="str">
        <f aca="false">_xlfn.IFNA(INDEX(AGYW!$U:$U,MATCH($E178,AGYW!$E:$E,0)),"")</f>
        <v/>
      </c>
      <c r="I178" s="73" t="str">
        <f aca="false">_xlfn.IFNA(INDEX(AGYW!$V:$V,MATCH($E178,AGYW!$E:$E,0)),"")</f>
        <v/>
      </c>
      <c r="J178" s="73" t="n">
        <v>34</v>
      </c>
      <c r="K178" s="73" t="n">
        <v>36</v>
      </c>
      <c r="L178" s="75"/>
      <c r="M178" s="73" t="n">
        <v>30</v>
      </c>
      <c r="N178" s="73" t="n">
        <v>18</v>
      </c>
      <c r="O178" s="75"/>
    </row>
    <row r="179" customFormat="false" ht="15" hidden="false" customHeight="false" outlineLevel="0" collapsed="false">
      <c r="A179" s="0" t="s">
        <v>151</v>
      </c>
      <c r="B179" s="0" t="s">
        <v>101</v>
      </c>
      <c r="C179" s="0" t="s">
        <v>69</v>
      </c>
      <c r="D179" s="0" t="s">
        <v>56</v>
      </c>
      <c r="E179" s="0" t="str">
        <f aca="false">B179&amp;"|"&amp;C179&amp;"|"&amp;D179</f>
        <v>Thaba Tseka [#SNU] [jyhIrCoB31x]|25-29|Female</v>
      </c>
      <c r="F179" s="73" t="n">
        <f aca="false">_xlfn.IFNA(INDEX(Cascade!$H:$H,MATCH($E179,Cascade!$E:$E,0)),"")</f>
        <v>1225</v>
      </c>
      <c r="G179" s="73" t="n">
        <f aca="false">_xlfn.IFNA(INDEX(HTS!$BT:$BT,MATCH($E179,HTS!$E:$E,0)),"")</f>
        <v>10122</v>
      </c>
      <c r="H179" s="73" t="str">
        <f aca="false">_xlfn.IFNA(INDEX(AGYW!$U:$U,MATCH($E179,AGYW!$E:$E,0)),"")</f>
        <v/>
      </c>
      <c r="I179" s="73" t="str">
        <f aca="false">_xlfn.IFNA(INDEX(AGYW!$V:$V,MATCH($E179,AGYW!$E:$E,0)),"")</f>
        <v/>
      </c>
      <c r="J179" s="73" t="n">
        <v>2</v>
      </c>
      <c r="K179" s="73" t="n">
        <v>25</v>
      </c>
      <c r="L179" s="75"/>
      <c r="M179" s="73" t="n">
        <v>2</v>
      </c>
      <c r="N179" s="73" t="n">
        <v>36</v>
      </c>
      <c r="O179" s="75"/>
    </row>
    <row r="180" customFormat="false" ht="15" hidden="false" customHeight="false" outlineLevel="0" collapsed="false">
      <c r="A180" s="0" t="s">
        <v>151</v>
      </c>
      <c r="B180" s="0" t="s">
        <v>101</v>
      </c>
      <c r="C180" s="0" t="s">
        <v>69</v>
      </c>
      <c r="D180" s="0" t="s">
        <v>58</v>
      </c>
      <c r="E180" s="0" t="str">
        <f aca="false">B180&amp;"|"&amp;C180&amp;"|"&amp;D180</f>
        <v>Thaba Tseka [#SNU] [jyhIrCoB31x]|25-29|Male</v>
      </c>
      <c r="F180" s="73" t="n">
        <f aca="false">_xlfn.IFNA(INDEX(Cascade!$H:$H,MATCH($E180,Cascade!$E:$E,0)),"")</f>
        <v>586</v>
      </c>
      <c r="G180" s="73" t="n">
        <f aca="false">_xlfn.IFNA(INDEX(HTS!$BT:$BT,MATCH($E180,HTS!$E:$E,0)),"")</f>
        <v>-2357</v>
      </c>
      <c r="H180" s="73" t="str">
        <f aca="false">_xlfn.IFNA(INDEX(AGYW!$U:$U,MATCH($E180,AGYW!$E:$E,0)),"")</f>
        <v/>
      </c>
      <c r="I180" s="73" t="str">
        <f aca="false">_xlfn.IFNA(INDEX(AGYW!$V:$V,MATCH($E180,AGYW!$E:$E,0)),"")</f>
        <v/>
      </c>
      <c r="J180" s="73" t="n">
        <v>2</v>
      </c>
      <c r="K180" s="73" t="n">
        <v>15</v>
      </c>
      <c r="L180" s="75"/>
      <c r="M180" s="73" t="n">
        <v>14</v>
      </c>
      <c r="N180" s="73" t="n">
        <v>17</v>
      </c>
      <c r="O180" s="75"/>
    </row>
    <row r="181" customFormat="false" ht="15" hidden="false" customHeight="false" outlineLevel="0" collapsed="false">
      <c r="A181" s="0" t="s">
        <v>151</v>
      </c>
      <c r="B181" s="0" t="s">
        <v>101</v>
      </c>
      <c r="C181" s="0" t="s">
        <v>72</v>
      </c>
      <c r="D181" s="0" t="s">
        <v>56</v>
      </c>
      <c r="E181" s="0" t="str">
        <f aca="false">B181&amp;"|"&amp;C181&amp;"|"&amp;D181</f>
        <v>Thaba Tseka [#SNU] [jyhIrCoB31x]|30-34|Female</v>
      </c>
      <c r="F181" s="73" t="n">
        <f aca="false">_xlfn.IFNA(INDEX(Cascade!$H:$H,MATCH($E181,Cascade!$E:$E,0)),"")</f>
        <v>1653</v>
      </c>
      <c r="G181" s="73" t="n">
        <f aca="false">_xlfn.IFNA(INDEX(HTS!$BT:$BT,MATCH($E181,HTS!$E:$E,0)),"")</f>
        <v>44</v>
      </c>
      <c r="H181" s="73" t="str">
        <f aca="false">_xlfn.IFNA(INDEX(AGYW!$U:$U,MATCH($E181,AGYW!$E:$E,0)),"")</f>
        <v/>
      </c>
      <c r="I181" s="73" t="str">
        <f aca="false">_xlfn.IFNA(INDEX(AGYW!$V:$V,MATCH($E181,AGYW!$E:$E,0)),"")</f>
        <v/>
      </c>
      <c r="J181" s="73" t="n">
        <v>47</v>
      </c>
      <c r="K181" s="73" t="n">
        <v>33</v>
      </c>
      <c r="L181" s="75"/>
      <c r="M181" s="73" t="n">
        <v>39</v>
      </c>
      <c r="N181" s="73" t="n">
        <v>7</v>
      </c>
      <c r="O181" s="75"/>
    </row>
    <row r="182" customFormat="false" ht="15" hidden="false" customHeight="false" outlineLevel="0" collapsed="false">
      <c r="A182" s="0" t="s">
        <v>151</v>
      </c>
      <c r="B182" s="0" t="s">
        <v>101</v>
      </c>
      <c r="C182" s="0" t="s">
        <v>72</v>
      </c>
      <c r="D182" s="0" t="s">
        <v>58</v>
      </c>
      <c r="E182" s="0" t="str">
        <f aca="false">B182&amp;"|"&amp;C182&amp;"|"&amp;D182</f>
        <v>Thaba Tseka [#SNU] [jyhIrCoB31x]|30-34|Male</v>
      </c>
      <c r="F182" s="73" t="n">
        <f aca="false">_xlfn.IFNA(INDEX(Cascade!$H:$H,MATCH($E182,Cascade!$E:$E,0)),"")</f>
        <v>1027</v>
      </c>
      <c r="G182" s="73" t="n">
        <f aca="false">_xlfn.IFNA(INDEX(HTS!$BT:$BT,MATCH($E182,HTS!$E:$E,0)),"")</f>
        <v>12535</v>
      </c>
      <c r="H182" s="73" t="str">
        <f aca="false">_xlfn.IFNA(INDEX(AGYW!$U:$U,MATCH($E182,AGYW!$E:$E,0)),"")</f>
        <v/>
      </c>
      <c r="I182" s="73" t="str">
        <f aca="false">_xlfn.IFNA(INDEX(AGYW!$V:$V,MATCH($E182,AGYW!$E:$E,0)),"")</f>
        <v/>
      </c>
      <c r="J182" s="73" t="n">
        <v>46</v>
      </c>
      <c r="K182" s="73" t="n">
        <v>10</v>
      </c>
      <c r="L182" s="75"/>
      <c r="M182" s="73" t="n">
        <v>17</v>
      </c>
      <c r="N182" s="73" t="n">
        <v>37</v>
      </c>
      <c r="O182" s="75"/>
    </row>
    <row r="183" customFormat="false" ht="15" hidden="false" customHeight="false" outlineLevel="0" collapsed="false">
      <c r="A183" s="0" t="s">
        <v>151</v>
      </c>
      <c r="B183" s="0" t="s">
        <v>101</v>
      </c>
      <c r="C183" s="0" t="s">
        <v>75</v>
      </c>
      <c r="D183" s="0" t="s">
        <v>56</v>
      </c>
      <c r="E183" s="0" t="str">
        <f aca="false">B183&amp;"|"&amp;C183&amp;"|"&amp;D183</f>
        <v>Thaba Tseka [#SNU] [jyhIrCoB31x]|35-39|Female</v>
      </c>
      <c r="F183" s="73" t="n">
        <f aca="false">_xlfn.IFNA(INDEX(Cascade!$H:$H,MATCH($E183,Cascade!$E:$E,0)),"")</f>
        <v>1573</v>
      </c>
      <c r="G183" s="73" t="n">
        <f aca="false">_xlfn.IFNA(INDEX(HTS!$BT:$BT,MATCH($E183,HTS!$E:$E,0)),"")</f>
        <v>30718</v>
      </c>
      <c r="H183" s="73" t="str">
        <f aca="false">_xlfn.IFNA(INDEX(AGYW!$U:$U,MATCH($E183,AGYW!$E:$E,0)),"")</f>
        <v/>
      </c>
      <c r="I183" s="73" t="str">
        <f aca="false">_xlfn.IFNA(INDEX(AGYW!$V:$V,MATCH($E183,AGYW!$E:$E,0)),"")</f>
        <v/>
      </c>
      <c r="J183" s="73" t="n">
        <v>1</v>
      </c>
      <c r="K183" s="73" t="n">
        <v>48</v>
      </c>
      <c r="L183" s="75"/>
      <c r="M183" s="73" t="n">
        <v>0</v>
      </c>
      <c r="N183" s="73" t="n">
        <v>38</v>
      </c>
      <c r="O183" s="75"/>
    </row>
    <row r="184" customFormat="false" ht="15" hidden="false" customHeight="false" outlineLevel="0" collapsed="false">
      <c r="A184" s="0" t="s">
        <v>151</v>
      </c>
      <c r="B184" s="0" t="s">
        <v>101</v>
      </c>
      <c r="C184" s="0" t="s">
        <v>75</v>
      </c>
      <c r="D184" s="0" t="s">
        <v>58</v>
      </c>
      <c r="E184" s="0" t="str">
        <f aca="false">B184&amp;"|"&amp;C184&amp;"|"&amp;D184</f>
        <v>Thaba Tseka [#SNU] [jyhIrCoB31x]|35-39|Male</v>
      </c>
      <c r="F184" s="73" t="n">
        <f aca="false">_xlfn.IFNA(INDEX(Cascade!$H:$H,MATCH($E184,Cascade!$E:$E,0)),"")</f>
        <v>1248</v>
      </c>
      <c r="G184" s="73" t="n">
        <f aca="false">_xlfn.IFNA(INDEX(HTS!$BT:$BT,MATCH($E184,HTS!$E:$E,0)),"")</f>
        <v>4216</v>
      </c>
      <c r="H184" s="73" t="str">
        <f aca="false">_xlfn.IFNA(INDEX(AGYW!$U:$U,MATCH($E184,AGYW!$E:$E,0)),"")</f>
        <v/>
      </c>
      <c r="I184" s="73" t="str">
        <f aca="false">_xlfn.IFNA(INDEX(AGYW!$V:$V,MATCH($E184,AGYW!$E:$E,0)),"")</f>
        <v/>
      </c>
      <c r="J184" s="73" t="n">
        <v>32</v>
      </c>
      <c r="K184" s="73" t="n">
        <v>14</v>
      </c>
      <c r="L184" s="75"/>
      <c r="M184" s="73" t="n">
        <v>18</v>
      </c>
      <c r="N184" s="73" t="n">
        <v>15</v>
      </c>
      <c r="O184" s="75"/>
    </row>
    <row r="185" customFormat="false" ht="15" hidden="false" customHeight="false" outlineLevel="0" collapsed="false">
      <c r="A185" s="0" t="s">
        <v>151</v>
      </c>
      <c r="B185" s="0" t="s">
        <v>101</v>
      </c>
      <c r="C185" s="0" t="s">
        <v>77</v>
      </c>
      <c r="D185" s="0" t="s">
        <v>56</v>
      </c>
      <c r="E185" s="0" t="str">
        <f aca="false">B185&amp;"|"&amp;C185&amp;"|"&amp;D185</f>
        <v>Thaba Tseka [#SNU] [jyhIrCoB31x]|40-44|Female</v>
      </c>
      <c r="F185" s="73" t="n">
        <f aca="false">_xlfn.IFNA(INDEX(Cascade!$H:$H,MATCH($E185,Cascade!$E:$E,0)),"")</f>
        <v>1315</v>
      </c>
      <c r="G185" s="73" t="n">
        <f aca="false">_xlfn.IFNA(INDEX(HTS!$BT:$BT,MATCH($E185,HTS!$E:$E,0)),"")</f>
        <v>-1741</v>
      </c>
      <c r="H185" s="73" t="str">
        <f aca="false">_xlfn.IFNA(INDEX(AGYW!$U:$U,MATCH($E185,AGYW!$E:$E,0)),"")</f>
        <v/>
      </c>
      <c r="I185" s="73" t="str">
        <f aca="false">_xlfn.IFNA(INDEX(AGYW!$V:$V,MATCH($E185,AGYW!$E:$E,0)),"")</f>
        <v/>
      </c>
      <c r="J185" s="73" t="n">
        <v>43</v>
      </c>
      <c r="K185" s="73" t="n">
        <v>2</v>
      </c>
      <c r="L185" s="75"/>
      <c r="M185" s="73" t="n">
        <v>15</v>
      </c>
      <c r="N185" s="73" t="n">
        <v>50</v>
      </c>
      <c r="O185" s="75"/>
    </row>
    <row r="186" customFormat="false" ht="15" hidden="false" customHeight="false" outlineLevel="0" collapsed="false">
      <c r="A186" s="0" t="s">
        <v>151</v>
      </c>
      <c r="B186" s="0" t="s">
        <v>101</v>
      </c>
      <c r="C186" s="0" t="s">
        <v>77</v>
      </c>
      <c r="D186" s="0" t="s">
        <v>58</v>
      </c>
      <c r="E186" s="0" t="str">
        <f aca="false">B186&amp;"|"&amp;C186&amp;"|"&amp;D186</f>
        <v>Thaba Tseka [#SNU] [jyhIrCoB31x]|40-44|Male</v>
      </c>
      <c r="F186" s="73" t="n">
        <f aca="false">_xlfn.IFNA(INDEX(Cascade!$H:$H,MATCH($E186,Cascade!$E:$E,0)),"")</f>
        <v>1150</v>
      </c>
      <c r="G186" s="73" t="n">
        <f aca="false">_xlfn.IFNA(INDEX(HTS!$BT:$BT,MATCH($E186,HTS!$E:$E,0)),"")</f>
        <v>2687</v>
      </c>
      <c r="H186" s="73" t="str">
        <f aca="false">_xlfn.IFNA(INDEX(AGYW!$U:$U,MATCH($E186,AGYW!$E:$E,0)),"")</f>
        <v/>
      </c>
      <c r="I186" s="73" t="str">
        <f aca="false">_xlfn.IFNA(INDEX(AGYW!$V:$V,MATCH($E186,AGYW!$E:$E,0)),"")</f>
        <v/>
      </c>
      <c r="J186" s="73" t="n">
        <v>21</v>
      </c>
      <c r="K186" s="73" t="n">
        <v>4</v>
      </c>
      <c r="L186" s="75"/>
      <c r="M186" s="73" t="n">
        <v>31</v>
      </c>
      <c r="N186" s="73" t="n">
        <v>23</v>
      </c>
      <c r="O186" s="75"/>
    </row>
    <row r="187" customFormat="false" ht="15" hidden="false" customHeight="false" outlineLevel="0" collapsed="false">
      <c r="A187" s="0" t="s">
        <v>151</v>
      </c>
      <c r="B187" s="0" t="s">
        <v>101</v>
      </c>
      <c r="C187" s="0" t="s">
        <v>80</v>
      </c>
      <c r="D187" s="0" t="s">
        <v>56</v>
      </c>
      <c r="E187" s="0" t="str">
        <f aca="false">B187&amp;"|"&amp;C187&amp;"|"&amp;D187</f>
        <v>Thaba Tseka [#SNU] [jyhIrCoB31x]|45-49|Female</v>
      </c>
      <c r="F187" s="73" t="n">
        <f aca="false">_xlfn.IFNA(INDEX(Cascade!$H:$H,MATCH($E187,Cascade!$E:$E,0)),"")</f>
        <v>999</v>
      </c>
      <c r="G187" s="73" t="n">
        <f aca="false">_xlfn.IFNA(INDEX(HTS!$BT:$BT,MATCH($E187,HTS!$E:$E,0)),"")</f>
        <v>-1686</v>
      </c>
      <c r="H187" s="73" t="str">
        <f aca="false">_xlfn.IFNA(INDEX(AGYW!$U:$U,MATCH($E187,AGYW!$E:$E,0)),"")</f>
        <v/>
      </c>
      <c r="I187" s="73" t="str">
        <f aca="false">_xlfn.IFNA(INDEX(AGYW!$V:$V,MATCH($E187,AGYW!$E:$E,0)),"")</f>
        <v/>
      </c>
      <c r="J187" s="73" t="n">
        <v>25</v>
      </c>
      <c r="K187" s="73" t="n">
        <v>14</v>
      </c>
      <c r="L187" s="75"/>
      <c r="M187" s="73" t="n">
        <v>17</v>
      </c>
      <c r="N187" s="73" t="n">
        <v>48</v>
      </c>
      <c r="O187" s="75"/>
    </row>
    <row r="188" customFormat="false" ht="15" hidden="false" customHeight="false" outlineLevel="0" collapsed="false">
      <c r="A188" s="0" t="s">
        <v>151</v>
      </c>
      <c r="B188" s="0" t="s">
        <v>101</v>
      </c>
      <c r="C188" s="0" t="s">
        <v>80</v>
      </c>
      <c r="D188" s="0" t="s">
        <v>58</v>
      </c>
      <c r="E188" s="0" t="str">
        <f aca="false">B188&amp;"|"&amp;C188&amp;"|"&amp;D188</f>
        <v>Thaba Tseka [#SNU] [jyhIrCoB31x]|45-49|Male</v>
      </c>
      <c r="F188" s="73" t="n">
        <f aca="false">_xlfn.IFNA(INDEX(Cascade!$H:$H,MATCH($E188,Cascade!$E:$E,0)),"")</f>
        <v>976</v>
      </c>
      <c r="G188" s="73" t="n">
        <f aca="false">_xlfn.IFNA(INDEX(HTS!$BT:$BT,MATCH($E188,HTS!$E:$E,0)),"")</f>
        <v>6212</v>
      </c>
      <c r="H188" s="73" t="str">
        <f aca="false">_xlfn.IFNA(INDEX(AGYW!$U:$U,MATCH($E188,AGYW!$E:$E,0)),"")</f>
        <v/>
      </c>
      <c r="I188" s="73" t="str">
        <f aca="false">_xlfn.IFNA(INDEX(AGYW!$V:$V,MATCH($E188,AGYW!$E:$E,0)),"")</f>
        <v/>
      </c>
      <c r="J188" s="73" t="n">
        <v>14</v>
      </c>
      <c r="K188" s="73" t="n">
        <v>46</v>
      </c>
      <c r="L188" s="75"/>
      <c r="M188" s="73" t="n">
        <v>22</v>
      </c>
      <c r="N188" s="73" t="n">
        <v>45</v>
      </c>
      <c r="O188" s="75"/>
    </row>
    <row r="189" customFormat="false" ht="15" hidden="false" customHeight="false" outlineLevel="0" collapsed="false">
      <c r="A189" s="0" t="s">
        <v>151</v>
      </c>
      <c r="B189" s="0" t="s">
        <v>101</v>
      </c>
      <c r="C189" s="0" t="s">
        <v>86</v>
      </c>
      <c r="D189" s="0" t="s">
        <v>56</v>
      </c>
      <c r="E189" s="0" t="str">
        <f aca="false">B189&amp;"|"&amp;C189&amp;"|"&amp;D189</f>
        <v>Thaba Tseka [#SNU] [jyhIrCoB31x]|50+|Female</v>
      </c>
      <c r="F189" s="73" t="n">
        <f aca="false">_xlfn.IFNA(INDEX(Cascade!$H:$H,MATCH($E189,Cascade!$E:$E,0)),"")</f>
        <v>2898</v>
      </c>
      <c r="G189" s="73" t="n">
        <f aca="false">_xlfn.IFNA(INDEX(HTS!$BT:$BT,MATCH($E189,HTS!$E:$E,0)),"")</f>
        <v>4725</v>
      </c>
      <c r="H189" s="73" t="str">
        <f aca="false">_xlfn.IFNA(INDEX(AGYW!$U:$U,MATCH($E189,AGYW!$E:$E,0)),"")</f>
        <v/>
      </c>
      <c r="I189" s="73" t="str">
        <f aca="false">_xlfn.IFNA(INDEX(AGYW!$V:$V,MATCH($E189,AGYW!$E:$E,0)),"")</f>
        <v/>
      </c>
      <c r="J189" s="73" t="n">
        <v>2</v>
      </c>
      <c r="K189" s="73" t="n">
        <v>25</v>
      </c>
      <c r="L189" s="75"/>
      <c r="M189" s="73" t="n">
        <v>17</v>
      </c>
      <c r="N189" s="73" t="n">
        <v>6</v>
      </c>
      <c r="O189" s="75"/>
    </row>
    <row r="190" customFormat="false" ht="15" hidden="false" customHeight="false" outlineLevel="0" collapsed="false">
      <c r="A190" s="0" t="s">
        <v>151</v>
      </c>
      <c r="B190" s="0" t="s">
        <v>101</v>
      </c>
      <c r="C190" s="0" t="s">
        <v>86</v>
      </c>
      <c r="D190" s="0" t="s">
        <v>58</v>
      </c>
      <c r="E190" s="0" t="str">
        <f aca="false">B190&amp;"|"&amp;C190&amp;"|"&amp;D190</f>
        <v>Thaba Tseka [#SNU] [jyhIrCoB31x]|50+|Male</v>
      </c>
      <c r="F190" s="73" t="n">
        <f aca="false">_xlfn.IFNA(INDEX(Cascade!$H:$H,MATCH($E190,Cascade!$E:$E,0)),"")</f>
        <v>2241</v>
      </c>
      <c r="G190" s="73" t="n">
        <f aca="false">_xlfn.IFNA(INDEX(HTS!$BT:$BT,MATCH($E190,HTS!$E:$E,0)),"")</f>
        <v>7605</v>
      </c>
      <c r="H190" s="73" t="str">
        <f aca="false">_xlfn.IFNA(INDEX(AGYW!$U:$U,MATCH($E190,AGYW!$E:$E,0)),"")</f>
        <v/>
      </c>
      <c r="I190" s="73" t="str">
        <f aca="false">_xlfn.IFNA(INDEX(AGYW!$V:$V,MATCH($E190,AGYW!$E:$E,0)),"")</f>
        <v/>
      </c>
      <c r="J190" s="73" t="n">
        <v>19</v>
      </c>
      <c r="K190" s="73"/>
      <c r="L190" s="75"/>
      <c r="M190" s="73" t="n">
        <v>20</v>
      </c>
      <c r="N190" s="73"/>
      <c r="O190" s="75"/>
    </row>
  </sheetData>
  <conditionalFormatting sqref="L1:L1048576 O1:O1048576">
    <cfRule type="expression" priority="2" aboveAverage="0" equalAverage="0" bottom="0" percent="0" rank="0" text="" dxfId="0">
      <formula>AND(ISNUMBER(L1),SUM($L1)&gt;SUM($O1))</formula>
    </cfRule>
  </conditionalFormatting>
  <conditionalFormatting sqref="H1:I1048576">
    <cfRule type="expression" priority="3" aboveAverage="0" equalAverage="0" bottom="0" percent="0" rank="0" text="" dxfId="1">
      <formula>AND(ROW(H1)&gt;14,$E1&lt;&gt;"",NOT(OR($C1="10-14",$C1="15-19",$C1="20-24",$C1="25-29")))</formula>
    </cfRule>
    <cfRule type="expression" priority="4" aboveAverage="0" equalAverage="0" bottom="0" percent="0" rank="0" text="" dxfId="2">
      <formula>AND(ROW(H1)&gt;14,$E1&lt;&gt;"",$D1="Males")</formula>
    </cfRule>
  </conditionalFormatting>
  <conditionalFormatting sqref="F1:F1048576">
    <cfRule type="expression" priority="5" aboveAverage="0" equalAverage="0" bottom="0" percent="0" rank="0" text="" dxfId="3">
      <formula>AND(ROW(F1)&gt;14,LEFT(B1,4)="_Mil")</formula>
    </cfRule>
  </conditionalFormatting>
  <hyperlinks>
    <hyperlink ref="F3" location="Cascade!H:H" display="Host Country Est. PLHIV (FY22)"/>
    <hyperlink ref="G3" location="HTS!BT:BT" display="HTS_TST_NEG&#10;(FY22)"/>
    <hyperlink ref="H3" location="AGYW!U:U" display="AGYW_PREV (D) (FY22)"/>
    <hyperlink ref="I3" location="AGYW!V:V" display="AGYW_PREV (N) (FY22)"/>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N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4" topLeftCell="E15" activePane="bottomRight" state="frozen"/>
      <selection pane="topLeft" activeCell="A1" activeCellId="0" sqref="A1"/>
      <selection pane="topRight" activeCell="E1" activeCellId="0" sqref="E1"/>
      <selection pane="bottomLeft" activeCell="A15" activeCellId="0" sqref="A15"/>
      <selection pane="bottomRight" activeCell="H14" activeCellId="1" sqref="Q2:Q1432 H14"/>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35.5"/>
    <col collapsed="false" customWidth="true" hidden="true" outlineLevel="0" max="4" min="4" style="0" width="10.16"/>
    <col collapsed="false" customWidth="true" hidden="false" outlineLevel="0" max="40" min="5" style="0" width="11.83"/>
    <col collapsed="false" customWidth="true" hidden="false" outlineLevel="0" max="1025" min="41" style="0" width="10.61"/>
  </cols>
  <sheetData>
    <row r="1" customFormat="false" ht="31" hidden="false" customHeight="true" outlineLevel="0" collapsed="false">
      <c r="A1" s="54" t="s">
        <v>974</v>
      </c>
      <c r="B1" s="54"/>
      <c r="C1" s="54"/>
      <c r="D1" s="54"/>
      <c r="E1" s="80" t="s">
        <v>975</v>
      </c>
      <c r="F1" s="76"/>
      <c r="G1" s="81"/>
      <c r="H1" s="80" t="s">
        <v>950</v>
      </c>
      <c r="I1" s="76"/>
      <c r="J1" s="80" t="s">
        <v>949</v>
      </c>
      <c r="K1" s="76"/>
      <c r="L1" s="80" t="s">
        <v>976</v>
      </c>
      <c r="M1" s="76"/>
      <c r="N1" s="80" t="s">
        <v>26</v>
      </c>
      <c r="O1" s="83"/>
      <c r="P1" s="76"/>
      <c r="Q1" s="76"/>
      <c r="R1" s="76" t="s">
        <v>25</v>
      </c>
      <c r="S1" s="76"/>
      <c r="T1" s="79"/>
      <c r="U1" s="79"/>
      <c r="V1" s="76"/>
      <c r="W1" s="82" t="s">
        <v>27</v>
      </c>
      <c r="X1" s="79"/>
      <c r="Y1" s="76"/>
      <c r="Z1" s="82" t="s">
        <v>28</v>
      </c>
      <c r="AA1" s="76"/>
      <c r="AB1" s="82" t="s">
        <v>23</v>
      </c>
      <c r="AC1" s="83"/>
      <c r="AD1" s="83"/>
      <c r="AE1" s="83"/>
      <c r="AF1" s="83"/>
      <c r="AG1" s="81"/>
      <c r="AH1" s="81"/>
      <c r="AI1" s="76"/>
      <c r="AJ1" s="76"/>
      <c r="AK1" s="82" t="s">
        <v>703</v>
      </c>
      <c r="AL1" s="76"/>
      <c r="AM1" s="80" t="s">
        <v>977</v>
      </c>
      <c r="AN1" s="76"/>
    </row>
    <row r="2" customFormat="false" ht="19" hidden="false" customHeight="true" outlineLevel="0" collapsed="false">
      <c r="A2" s="57"/>
      <c r="B2" s="57"/>
      <c r="C2" s="57"/>
      <c r="D2" s="57"/>
      <c r="E2" s="90" t="s">
        <v>978</v>
      </c>
      <c r="F2" s="84"/>
      <c r="G2" s="182"/>
      <c r="H2" s="88" t="s">
        <v>120</v>
      </c>
      <c r="I2" s="84" t="s">
        <v>121</v>
      </c>
      <c r="J2" s="88" t="s">
        <v>120</v>
      </c>
      <c r="K2" s="84" t="s">
        <v>121</v>
      </c>
      <c r="L2" s="88" t="s">
        <v>120</v>
      </c>
      <c r="M2" s="84" t="s">
        <v>121</v>
      </c>
      <c r="N2" s="88" t="s">
        <v>120</v>
      </c>
      <c r="O2" s="89"/>
      <c r="P2" s="84" t="s">
        <v>121</v>
      </c>
      <c r="Q2" s="84"/>
      <c r="R2" s="89" t="s">
        <v>120</v>
      </c>
      <c r="S2" s="89" t="s">
        <v>156</v>
      </c>
      <c r="T2" s="87"/>
      <c r="U2" s="87"/>
      <c r="V2" s="84" t="s">
        <v>121</v>
      </c>
      <c r="W2" s="91" t="s">
        <v>156</v>
      </c>
      <c r="X2" s="87"/>
      <c r="Y2" s="84" t="s">
        <v>121</v>
      </c>
      <c r="Z2" s="91" t="s">
        <v>156</v>
      </c>
      <c r="AA2" s="84" t="s">
        <v>121</v>
      </c>
      <c r="AB2" s="91" t="s">
        <v>156</v>
      </c>
      <c r="AC2" s="89"/>
      <c r="AD2" s="89"/>
      <c r="AE2" s="89"/>
      <c r="AF2" s="89"/>
      <c r="AG2" s="87"/>
      <c r="AH2" s="87"/>
      <c r="AI2" s="84" t="s">
        <v>121</v>
      </c>
      <c r="AJ2" s="84"/>
      <c r="AK2" s="91" t="s">
        <v>156</v>
      </c>
      <c r="AL2" s="84" t="s">
        <v>121</v>
      </c>
      <c r="AM2" s="88" t="s">
        <v>120</v>
      </c>
      <c r="AN2" s="84" t="s">
        <v>121</v>
      </c>
    </row>
    <row r="3" customFormat="false" ht="117" hidden="false" customHeight="true" outlineLevel="0" collapsed="false">
      <c r="D3" s="186"/>
      <c r="E3" s="187" t="s">
        <v>979</v>
      </c>
      <c r="F3" s="92" t="s">
        <v>980</v>
      </c>
      <c r="G3" s="188" t="s">
        <v>162</v>
      </c>
      <c r="H3" s="145" t="s">
        <v>981</v>
      </c>
      <c r="I3" s="92" t="s">
        <v>982</v>
      </c>
      <c r="J3" s="96" t="s">
        <v>983</v>
      </c>
      <c r="K3" s="92" t="s">
        <v>984</v>
      </c>
      <c r="L3" s="96" t="s">
        <v>985</v>
      </c>
      <c r="M3" s="92" t="s">
        <v>986</v>
      </c>
      <c r="N3" s="96" t="s">
        <v>987</v>
      </c>
      <c r="O3" s="97" t="s">
        <v>988</v>
      </c>
      <c r="P3" s="92" t="s">
        <v>989</v>
      </c>
      <c r="Q3" s="100" t="s">
        <v>990</v>
      </c>
      <c r="R3" s="96" t="s">
        <v>991</v>
      </c>
      <c r="S3" s="99" t="s">
        <v>184</v>
      </c>
      <c r="T3" s="99" t="s">
        <v>186</v>
      </c>
      <c r="U3" s="99" t="s">
        <v>185</v>
      </c>
      <c r="V3" s="92" t="s">
        <v>992</v>
      </c>
      <c r="W3" s="102" t="s">
        <v>993</v>
      </c>
      <c r="X3" s="99" t="s">
        <v>994</v>
      </c>
      <c r="Y3" s="92" t="s">
        <v>995</v>
      </c>
      <c r="Z3" s="102" t="s">
        <v>196</v>
      </c>
      <c r="AA3" s="92" t="s">
        <v>996</v>
      </c>
      <c r="AB3" s="148" t="s">
        <v>997</v>
      </c>
      <c r="AC3" s="168" t="s">
        <v>201</v>
      </c>
      <c r="AD3" s="168" t="s">
        <v>202</v>
      </c>
      <c r="AE3" s="168" t="s">
        <v>998</v>
      </c>
      <c r="AF3" s="168" t="s">
        <v>999</v>
      </c>
      <c r="AG3" s="99" t="s">
        <v>204</v>
      </c>
      <c r="AH3" s="99" t="s">
        <v>1000</v>
      </c>
      <c r="AI3" s="92" t="s">
        <v>1001</v>
      </c>
      <c r="AJ3" s="92" t="s">
        <v>1002</v>
      </c>
      <c r="AK3" s="102" t="s">
        <v>1003</v>
      </c>
      <c r="AL3" s="100" t="s">
        <v>1004</v>
      </c>
      <c r="AM3" s="145" t="s">
        <v>1005</v>
      </c>
      <c r="AN3" s="92" t="s">
        <v>1006</v>
      </c>
    </row>
    <row r="4" customFormat="false" ht="15" hidden="false" customHeight="false" outlineLevel="0" collapsed="false">
      <c r="A4" s="189"/>
      <c r="B4" s="189"/>
      <c r="C4" s="189" t="s">
        <v>125</v>
      </c>
      <c r="D4" s="189"/>
      <c r="E4" s="111" t="n">
        <f aca="false">SUBTOTAL(109,E$15:INDEX(E:E,COUNTA($B:$B)+14-COUNTA($B$1:$B$14)))</f>
        <v>0</v>
      </c>
      <c r="F4" s="105" t="n">
        <f aca="false">SUBTOTAL(109,F$15:INDEX(F:F,COUNTA($B:$B)+14-COUNTA($B$1:$B$14)))</f>
        <v>0</v>
      </c>
      <c r="G4" s="190"/>
      <c r="H4" s="169" t="n">
        <f aca="false">SUBTOTAL(109,H$15:INDEX(H:H,COUNTA($B:$B)+14-COUNTA($B$1:$B$14)))</f>
        <v>0</v>
      </c>
      <c r="I4" s="105" t="n">
        <f aca="false">SUBTOTAL(109,I$15:INDEX(I:I,COUNTA($B:$B)+14-COUNTA($B$1:$B$14)))</f>
        <v>0</v>
      </c>
      <c r="J4" s="111" t="n">
        <f aca="false">SUBTOTAL(109,J$15:INDEX(J:J,COUNTA($B:$B)+14-COUNTA($B$1:$B$14)))</f>
        <v>0</v>
      </c>
      <c r="K4" s="105" t="n">
        <f aca="false">SUBTOTAL(109,K$15:INDEX(K:K,COUNTA($B:$B)+14-COUNTA($B$1:$B$14)))</f>
        <v>0</v>
      </c>
      <c r="L4" s="111" t="n">
        <f aca="false">SUBTOTAL(109,L$15:INDEX(L:L,COUNTA($B:$B)+14-COUNTA($B$1:$B$14)))</f>
        <v>0</v>
      </c>
      <c r="M4" s="105" t="n">
        <f aca="false">SUBTOTAL(109,M$15:INDEX(M:M,COUNTA($B:$B)+14-COUNTA($B$1:$B$14)))</f>
        <v>0</v>
      </c>
      <c r="N4" s="157" t="n">
        <f aca="false">SUBTOTAL(109,N$15:INDEX(N:N,COUNTA($B:$B)+14-COUNTA($B$1:$B$14)))</f>
        <v>0</v>
      </c>
      <c r="O4" s="109" t="n">
        <f aca="false">SUBTOTAL(109,O$15:INDEX(O:O,COUNTA($B:$B)+14-COUNTA($B$1:$B$14)))</f>
        <v>0</v>
      </c>
      <c r="P4" s="105" t="n">
        <f aca="false">SUBTOTAL(109,P$15:INDEX(P:P,COUNTA($B:$B)+14-COUNTA($B$1:$B$14)))</f>
        <v>0</v>
      </c>
      <c r="Q4" s="105" t="n">
        <f aca="false">SUBTOTAL(109,Q$15:INDEX(Q:Q,COUNTA($B:$B)+14-COUNTA($B$1:$B$14)))</f>
        <v>0</v>
      </c>
      <c r="R4" s="157" t="n">
        <f aca="false">SUBTOTAL(109,R$15:INDEX(R:R,COUNTA($B:$B)+14-COUNTA($B$1:$B$14)))</f>
        <v>0</v>
      </c>
      <c r="S4" s="113"/>
      <c r="T4" s="113"/>
      <c r="U4" s="113"/>
      <c r="V4" s="105" t="n">
        <f aca="false">SUBTOTAL(109,V$15:INDEX(V:V,COUNTA($B:$B)+14-COUNTA($B$1:$B$14)))</f>
        <v>0</v>
      </c>
      <c r="W4" s="112"/>
      <c r="X4" s="113"/>
      <c r="Y4" s="105" t="n">
        <f aca="false">SUBTOTAL(109,Y$15:INDEX(Y:Y,COUNTA($B:$B)+14-COUNTA($B$1:$B$14)))</f>
        <v>0</v>
      </c>
      <c r="Z4" s="112"/>
      <c r="AA4" s="105" t="n">
        <f aca="false">SUBTOTAL(109,AA$15:INDEX(AA:AA,COUNTA($B:$B)+14-COUNTA($B$1:$B$14)))</f>
        <v>0</v>
      </c>
      <c r="AB4" s="114"/>
      <c r="AC4" s="110" t="n">
        <f aca="false">SUBTOTAL(109,AC$15:INDEX(AC:AC,COUNTA($B:$B)+14-COUNTA($B$1:$B$14)))</f>
        <v>0</v>
      </c>
      <c r="AD4" s="110" t="n">
        <f aca="false">SUBTOTAL(109,AD$15:INDEX(AD:AD,COUNTA($B:$B)+14-COUNTA($B$1:$B$14)))</f>
        <v>0</v>
      </c>
      <c r="AE4" s="110" t="n">
        <f aca="false">SUBTOTAL(109,AE$15:INDEX(AE:AE,COUNTA($B:$B)+14-COUNTA($B$1:$B$14)))</f>
        <v>0</v>
      </c>
      <c r="AF4" s="110" t="n">
        <f aca="false">SUBTOTAL(109,AF$15:INDEX(AF:AF,COUNTA($B:$B)+14-COUNTA($B$1:$B$14)))</f>
        <v>0</v>
      </c>
      <c r="AG4" s="113"/>
      <c r="AH4" s="113"/>
      <c r="AI4" s="105" t="n">
        <f aca="false">SUBTOTAL(109,AI$15:INDEX(AI:AI,COUNTA($B:$B)+14-COUNTA($B$1:$B$14)))</f>
        <v>0</v>
      </c>
      <c r="AJ4" s="105" t="n">
        <f aca="false">SUBTOTAL(109,AJ$15:INDEX(AJ:AJ,COUNTA($B:$B)+14-COUNTA($B$1:$B$14)))</f>
        <v>0</v>
      </c>
      <c r="AK4" s="112"/>
      <c r="AL4" s="105" t="n">
        <f aca="false">SUBTOTAL(109,AL$15:INDEX(AL:AL,COUNTA($B:$B)+14-COUNTA($B$1:$B$14)))</f>
        <v>0</v>
      </c>
      <c r="AM4" s="169" t="n">
        <f aca="false">SUBTOTAL(109,AM$15:INDEX(AM:AM,COUNTA($B:$B)+14-COUNTA($B$1:$B$14)))</f>
        <v>0</v>
      </c>
      <c r="AN4" s="105" t="n">
        <f aca="false">SUBTOTAL(109,AN$15:INDEX(AN:AN,COUNTA($B:$B)+14-COUNTA($B$1:$B$14)))</f>
        <v>0</v>
      </c>
    </row>
    <row r="5" customFormat="false" ht="12.8" hidden="false" customHeight="false" outlineLevel="0" collapsed="false">
      <c r="A5" s="53" t="s">
        <v>126</v>
      </c>
      <c r="B5" s="53" t="s">
        <v>126</v>
      </c>
      <c r="C5" s="53" t="s">
        <v>126</v>
      </c>
      <c r="D5" s="53" t="s">
        <v>126</v>
      </c>
      <c r="E5" s="126" t="s">
        <v>127</v>
      </c>
      <c r="F5" s="115" t="s">
        <v>127</v>
      </c>
      <c r="G5" s="121" t="s">
        <v>127</v>
      </c>
      <c r="H5" s="119" t="s">
        <v>225</v>
      </c>
      <c r="I5" s="115" t="s">
        <v>225</v>
      </c>
      <c r="J5" s="139" t="s">
        <v>225</v>
      </c>
      <c r="K5" s="115" t="s">
        <v>225</v>
      </c>
      <c r="L5" s="139" t="s">
        <v>225</v>
      </c>
      <c r="M5" s="115" t="s">
        <v>225</v>
      </c>
      <c r="N5" s="139" t="s">
        <v>225</v>
      </c>
      <c r="O5" s="124" t="s">
        <v>225</v>
      </c>
      <c r="P5" s="115" t="s">
        <v>225</v>
      </c>
      <c r="Q5" s="115" t="s">
        <v>126</v>
      </c>
      <c r="R5" s="139" t="s">
        <v>225</v>
      </c>
      <c r="S5" s="123" t="s">
        <v>126</v>
      </c>
      <c r="T5" s="123" t="s">
        <v>126</v>
      </c>
      <c r="U5" s="123" t="s">
        <v>126</v>
      </c>
      <c r="V5" s="115" t="s">
        <v>225</v>
      </c>
      <c r="W5" s="122" t="s">
        <v>126</v>
      </c>
      <c r="X5" s="123" t="s">
        <v>126</v>
      </c>
      <c r="Y5" s="115" t="s">
        <v>225</v>
      </c>
      <c r="Z5" s="122" t="s">
        <v>126</v>
      </c>
      <c r="AA5" s="115" t="s">
        <v>225</v>
      </c>
      <c r="AB5" s="125" t="s">
        <v>126</v>
      </c>
      <c r="AC5" s="73" t="s">
        <v>126</v>
      </c>
      <c r="AD5" s="73" t="s">
        <v>126</v>
      </c>
      <c r="AE5" s="73" t="s">
        <v>225</v>
      </c>
      <c r="AF5" s="73" t="s">
        <v>225</v>
      </c>
      <c r="AG5" s="123" t="s">
        <v>126</v>
      </c>
      <c r="AH5" s="123" t="s">
        <v>126</v>
      </c>
      <c r="AI5" s="115" t="s">
        <v>225</v>
      </c>
      <c r="AJ5" s="115" t="s">
        <v>225</v>
      </c>
      <c r="AK5" s="122" t="s">
        <v>126</v>
      </c>
      <c r="AL5" s="115" t="s">
        <v>225</v>
      </c>
      <c r="AM5" s="119" t="s">
        <v>225</v>
      </c>
      <c r="AN5" s="115" t="s">
        <v>225</v>
      </c>
    </row>
    <row r="6" customFormat="false" ht="12.8" hidden="false" customHeight="false" outlineLevel="0" collapsed="false">
      <c r="A6" s="53" t="s">
        <v>128</v>
      </c>
      <c r="B6" s="53" t="s">
        <v>128</v>
      </c>
      <c r="C6" s="53" t="s">
        <v>128</v>
      </c>
      <c r="D6" s="53" t="s">
        <v>128</v>
      </c>
      <c r="E6" s="126" t="s">
        <v>130</v>
      </c>
      <c r="F6" s="115" t="s">
        <v>130</v>
      </c>
      <c r="G6" s="121" t="s">
        <v>130</v>
      </c>
      <c r="H6" s="119" t="s">
        <v>129</v>
      </c>
      <c r="I6" s="115" t="s">
        <v>130</v>
      </c>
      <c r="J6" s="139" t="s">
        <v>129</v>
      </c>
      <c r="K6" s="115" t="s">
        <v>130</v>
      </c>
      <c r="L6" s="139" t="s">
        <v>129</v>
      </c>
      <c r="M6" s="115" t="s">
        <v>130</v>
      </c>
      <c r="N6" s="139" t="s">
        <v>129</v>
      </c>
      <c r="O6" s="124" t="s">
        <v>129</v>
      </c>
      <c r="P6" s="115" t="s">
        <v>130</v>
      </c>
      <c r="Q6" s="115" t="s">
        <v>131</v>
      </c>
      <c r="R6" s="139" t="s">
        <v>129</v>
      </c>
      <c r="S6" s="123" t="s">
        <v>227</v>
      </c>
      <c r="T6" s="123" t="s">
        <v>227</v>
      </c>
      <c r="U6" s="123" t="s">
        <v>227</v>
      </c>
      <c r="V6" s="115" t="s">
        <v>130</v>
      </c>
      <c r="W6" s="122" t="s">
        <v>227</v>
      </c>
      <c r="X6" s="123" t="s">
        <v>227</v>
      </c>
      <c r="Y6" s="115" t="s">
        <v>130</v>
      </c>
      <c r="Z6" s="122" t="s">
        <v>227</v>
      </c>
      <c r="AA6" s="115" t="s">
        <v>130</v>
      </c>
      <c r="AB6" s="125" t="s">
        <v>131</v>
      </c>
      <c r="AC6" s="73" t="s">
        <v>131</v>
      </c>
      <c r="AD6" s="73" t="s">
        <v>131</v>
      </c>
      <c r="AE6" s="73" t="s">
        <v>129</v>
      </c>
      <c r="AF6" s="73" t="s">
        <v>129</v>
      </c>
      <c r="AG6" s="123" t="s">
        <v>227</v>
      </c>
      <c r="AH6" s="123" t="s">
        <v>227</v>
      </c>
      <c r="AI6" s="115" t="s">
        <v>130</v>
      </c>
      <c r="AJ6" s="115" t="s">
        <v>130</v>
      </c>
      <c r="AK6" s="122" t="s">
        <v>227</v>
      </c>
      <c r="AL6" s="115" t="s">
        <v>130</v>
      </c>
      <c r="AM6" s="119" t="s">
        <v>129</v>
      </c>
      <c r="AN6" s="115" t="s">
        <v>130</v>
      </c>
    </row>
    <row r="7" customFormat="false" ht="12.8" hidden="false" customHeight="false" outlineLevel="0" collapsed="false">
      <c r="A7" s="53" t="s">
        <v>132</v>
      </c>
      <c r="B7" s="53" t="s">
        <v>132</v>
      </c>
      <c r="C7" s="53" t="s">
        <v>132</v>
      </c>
      <c r="D7" s="53" t="s">
        <v>132</v>
      </c>
      <c r="E7" s="126" t="s">
        <v>133</v>
      </c>
      <c r="F7" s="115" t="s">
        <v>133</v>
      </c>
      <c r="G7" s="121" t="s">
        <v>229</v>
      </c>
      <c r="H7" s="119" t="s">
        <v>133</v>
      </c>
      <c r="I7" s="115" t="s">
        <v>133</v>
      </c>
      <c r="J7" s="139" t="s">
        <v>133</v>
      </c>
      <c r="K7" s="115" t="s">
        <v>133</v>
      </c>
      <c r="L7" s="139" t="s">
        <v>133</v>
      </c>
      <c r="M7" s="115" t="s">
        <v>133</v>
      </c>
      <c r="N7" s="139" t="s">
        <v>133</v>
      </c>
      <c r="O7" s="124" t="s">
        <v>133</v>
      </c>
      <c r="P7" s="115" t="s">
        <v>133</v>
      </c>
      <c r="Q7" s="115" t="s">
        <v>133</v>
      </c>
      <c r="R7" s="139" t="s">
        <v>133</v>
      </c>
      <c r="S7" s="123" t="s">
        <v>229</v>
      </c>
      <c r="T7" s="123" t="s">
        <v>229</v>
      </c>
      <c r="U7" s="123" t="s">
        <v>229</v>
      </c>
      <c r="V7" s="115" t="s">
        <v>133</v>
      </c>
      <c r="W7" s="122" t="s">
        <v>229</v>
      </c>
      <c r="X7" s="123" t="s">
        <v>229</v>
      </c>
      <c r="Y7" s="115" t="s">
        <v>133</v>
      </c>
      <c r="Z7" s="122" t="s">
        <v>229</v>
      </c>
      <c r="AA7" s="115" t="s">
        <v>133</v>
      </c>
      <c r="AB7" s="125" t="s">
        <v>229</v>
      </c>
      <c r="AC7" s="73" t="s">
        <v>133</v>
      </c>
      <c r="AD7" s="73" t="s">
        <v>133</v>
      </c>
      <c r="AE7" s="73" t="s">
        <v>133</v>
      </c>
      <c r="AF7" s="73" t="s">
        <v>133</v>
      </c>
      <c r="AG7" s="123" t="s">
        <v>229</v>
      </c>
      <c r="AH7" s="123" t="s">
        <v>229</v>
      </c>
      <c r="AI7" s="115" t="s">
        <v>133</v>
      </c>
      <c r="AJ7" s="115" t="s">
        <v>133</v>
      </c>
      <c r="AK7" s="122" t="s">
        <v>229</v>
      </c>
      <c r="AL7" s="115" t="s">
        <v>133</v>
      </c>
      <c r="AM7" s="119" t="s">
        <v>133</v>
      </c>
      <c r="AN7" s="115" t="s">
        <v>133</v>
      </c>
    </row>
    <row r="8" customFormat="false" ht="12.8" hidden="false" customHeight="false" outlineLevel="0" collapsed="false">
      <c r="E8" s="126" t="s">
        <v>49</v>
      </c>
      <c r="F8" s="115" t="s">
        <v>1007</v>
      </c>
      <c r="G8" s="121" t="s">
        <v>1008</v>
      </c>
      <c r="H8" s="119" t="s">
        <v>1009</v>
      </c>
      <c r="I8" s="115" t="s">
        <v>1009</v>
      </c>
      <c r="J8" s="139" t="s">
        <v>1010</v>
      </c>
      <c r="K8" s="115" t="s">
        <v>1010</v>
      </c>
      <c r="L8" s="139" t="s">
        <v>1011</v>
      </c>
      <c r="M8" s="115" t="s">
        <v>1011</v>
      </c>
      <c r="N8" s="139" t="s">
        <v>1012</v>
      </c>
      <c r="O8" s="124" t="s">
        <v>1013</v>
      </c>
      <c r="P8" s="115" t="s">
        <v>1013</v>
      </c>
      <c r="Q8" s="115"/>
      <c r="R8" s="139" t="s">
        <v>1014</v>
      </c>
      <c r="V8" s="115" t="s">
        <v>1014</v>
      </c>
      <c r="Y8" s="115" t="s">
        <v>1015</v>
      </c>
      <c r="AA8" s="115" t="s">
        <v>1016</v>
      </c>
      <c r="AE8" s="73" t="s">
        <v>1017</v>
      </c>
      <c r="AF8" s="73" t="s">
        <v>1017</v>
      </c>
      <c r="AI8" s="115" t="s">
        <v>1017</v>
      </c>
      <c r="AJ8" s="115" t="s">
        <v>1017</v>
      </c>
      <c r="AK8" s="122"/>
      <c r="AL8" s="115" t="s">
        <v>1018</v>
      </c>
      <c r="AM8" s="139" t="s">
        <v>1019</v>
      </c>
      <c r="AN8" s="115" t="s">
        <v>1019</v>
      </c>
    </row>
    <row r="9" customFormat="false" ht="12.8" hidden="false" customHeight="false" outlineLevel="0" collapsed="false">
      <c r="H9" s="119" t="s">
        <v>1020</v>
      </c>
      <c r="I9" s="115" t="s">
        <v>1020</v>
      </c>
      <c r="J9" s="139" t="s">
        <v>1021</v>
      </c>
      <c r="K9" s="115" t="s">
        <v>1021</v>
      </c>
      <c r="L9" s="139" t="s">
        <v>1022</v>
      </c>
      <c r="M9" s="115" t="s">
        <v>1022</v>
      </c>
      <c r="N9" s="139" t="s">
        <v>1023</v>
      </c>
      <c r="O9" s="124" t="s">
        <v>1024</v>
      </c>
      <c r="P9" s="115" t="s">
        <v>1024</v>
      </c>
      <c r="Q9" s="115"/>
      <c r="R9" s="139" t="s">
        <v>1025</v>
      </c>
      <c r="V9" s="115" t="s">
        <v>1025</v>
      </c>
      <c r="Y9" s="115" t="s">
        <v>1026</v>
      </c>
      <c r="AA9" s="115" t="s">
        <v>1027</v>
      </c>
      <c r="AE9" s="73" t="s">
        <v>1028</v>
      </c>
      <c r="AF9" s="73" t="s">
        <v>1028</v>
      </c>
      <c r="AI9" s="115" t="s">
        <v>1028</v>
      </c>
      <c r="AJ9" s="115" t="s">
        <v>1028</v>
      </c>
      <c r="AK9" s="122"/>
      <c r="AL9" s="115" t="s">
        <v>1029</v>
      </c>
      <c r="AM9" s="139" t="s">
        <v>1030</v>
      </c>
      <c r="AN9" s="115" t="s">
        <v>1030</v>
      </c>
    </row>
    <row r="10" customFormat="false" ht="12.8" hidden="false" customHeight="false" outlineLevel="0" collapsed="false">
      <c r="F10" s="115" t="s">
        <v>243</v>
      </c>
      <c r="G10" s="121" t="s">
        <v>243</v>
      </c>
      <c r="N10" s="139" t="s">
        <v>243</v>
      </c>
      <c r="O10" s="124" t="s">
        <v>243</v>
      </c>
      <c r="P10" s="115" t="s">
        <v>243</v>
      </c>
      <c r="Q10" s="115"/>
      <c r="R10" s="139" t="s">
        <v>243</v>
      </c>
      <c r="V10" s="115" t="s">
        <v>243</v>
      </c>
      <c r="Y10" s="115" t="s">
        <v>243</v>
      </c>
      <c r="AA10" s="115" t="s">
        <v>243</v>
      </c>
      <c r="AE10" s="73" t="s">
        <v>243</v>
      </c>
      <c r="AF10" s="73" t="s">
        <v>384</v>
      </c>
      <c r="AI10" s="115" t="s">
        <v>243</v>
      </c>
      <c r="AJ10" s="115" t="s">
        <v>384</v>
      </c>
      <c r="AK10" s="122"/>
      <c r="AL10" s="115" t="s">
        <v>243</v>
      </c>
      <c r="AM10" s="139"/>
    </row>
    <row r="11" customFormat="false" ht="12.8" hidden="false" customHeight="false" outlineLevel="0" collapsed="false">
      <c r="F11" s="115"/>
      <c r="G11" s="121"/>
      <c r="M11" s="115"/>
      <c r="N11" s="139"/>
      <c r="O11" s="124"/>
      <c r="Q11" s="115"/>
      <c r="R11" s="139"/>
      <c r="AK11" s="122"/>
    </row>
    <row r="12" customFormat="false" ht="12.8" hidden="false" customHeight="false" outlineLevel="0" collapsed="false">
      <c r="Q12" s="115"/>
      <c r="R12" s="139"/>
      <c r="AK12" s="122"/>
    </row>
    <row r="13" customFormat="false" ht="12.8" hidden="false" customHeight="false" outlineLevel="0" collapsed="false">
      <c r="E13" s="126" t="s">
        <v>1031</v>
      </c>
      <c r="F13" s="115" t="s">
        <v>1031</v>
      </c>
      <c r="G13" s="121" t="s">
        <v>1031</v>
      </c>
      <c r="H13" s="119" t="s">
        <v>1031</v>
      </c>
      <c r="I13" s="115" t="s">
        <v>1031</v>
      </c>
      <c r="J13" s="139" t="s">
        <v>1031</v>
      </c>
      <c r="K13" s="115" t="s">
        <v>1031</v>
      </c>
      <c r="L13" s="139" t="s">
        <v>1031</v>
      </c>
      <c r="M13" s="115" t="s">
        <v>1031</v>
      </c>
      <c r="N13" s="139" t="s">
        <v>1031</v>
      </c>
      <c r="O13" s="124" t="s">
        <v>1031</v>
      </c>
      <c r="P13" s="115" t="s">
        <v>1031</v>
      </c>
      <c r="Q13" s="115" t="s">
        <v>1031</v>
      </c>
      <c r="R13" s="139" t="s">
        <v>1031</v>
      </c>
      <c r="S13" s="123" t="s">
        <v>1031</v>
      </c>
      <c r="T13" s="123" t="s">
        <v>1031</v>
      </c>
      <c r="U13" s="123" t="s">
        <v>1031</v>
      </c>
      <c r="V13" s="115" t="s">
        <v>1031</v>
      </c>
      <c r="W13" s="122" t="s">
        <v>1031</v>
      </c>
      <c r="X13" s="123" t="s">
        <v>1031</v>
      </c>
      <c r="Y13" s="115" t="s">
        <v>1031</v>
      </c>
      <c r="Z13" s="122" t="s">
        <v>1031</v>
      </c>
      <c r="AA13" s="115" t="s">
        <v>1031</v>
      </c>
      <c r="AB13" s="125" t="s">
        <v>1031</v>
      </c>
      <c r="AC13" s="73" t="s">
        <v>1031</v>
      </c>
      <c r="AD13" s="73" t="s">
        <v>1031</v>
      </c>
      <c r="AE13" s="73" t="s">
        <v>1031</v>
      </c>
      <c r="AF13" s="73" t="s">
        <v>1031</v>
      </c>
      <c r="AG13" s="123" t="s">
        <v>1031</v>
      </c>
      <c r="AH13" s="123" t="s">
        <v>1031</v>
      </c>
      <c r="AI13" s="115" t="s">
        <v>1031</v>
      </c>
      <c r="AJ13" s="115" t="s">
        <v>1031</v>
      </c>
      <c r="AK13" s="122" t="s">
        <v>1031</v>
      </c>
      <c r="AL13" s="115" t="s">
        <v>1031</v>
      </c>
      <c r="AM13" s="119" t="s">
        <v>1031</v>
      </c>
      <c r="AN13" s="115" t="s">
        <v>1031</v>
      </c>
    </row>
    <row r="14" customFormat="false" ht="15" hidden="false" customHeight="false" outlineLevel="0" collapsed="false">
      <c r="A14" s="70" t="s">
        <v>135</v>
      </c>
      <c r="B14" s="70" t="s">
        <v>136</v>
      </c>
      <c r="C14" s="70" t="s">
        <v>1032</v>
      </c>
      <c r="D14" s="70" t="s">
        <v>42</v>
      </c>
      <c r="E14" s="191" t="s">
        <v>48</v>
      </c>
      <c r="F14" s="128" t="s">
        <v>1033</v>
      </c>
      <c r="G14" s="128" t="s">
        <v>1034</v>
      </c>
      <c r="H14" s="163" t="s">
        <v>1035</v>
      </c>
      <c r="I14" s="128" t="s">
        <v>1036</v>
      </c>
      <c r="J14" s="163" t="s">
        <v>1037</v>
      </c>
      <c r="K14" s="128" t="s">
        <v>1038</v>
      </c>
      <c r="L14" s="163" t="s">
        <v>1039</v>
      </c>
      <c r="M14" s="128" t="s">
        <v>1040</v>
      </c>
      <c r="N14" s="163" t="s">
        <v>1041</v>
      </c>
      <c r="O14" s="131" t="s">
        <v>1042</v>
      </c>
      <c r="P14" s="128" t="s">
        <v>1043</v>
      </c>
      <c r="Q14" s="128" t="s">
        <v>1044</v>
      </c>
      <c r="R14" s="163" t="s">
        <v>1045</v>
      </c>
      <c r="S14" s="162" t="s">
        <v>1046</v>
      </c>
      <c r="T14" s="162" t="s">
        <v>1047</v>
      </c>
      <c r="U14" s="162" t="s">
        <v>1048</v>
      </c>
      <c r="V14" s="128" t="s">
        <v>1049</v>
      </c>
      <c r="W14" s="163" t="s">
        <v>1050</v>
      </c>
      <c r="X14" s="131" t="s">
        <v>1051</v>
      </c>
      <c r="Y14" s="128" t="s">
        <v>1052</v>
      </c>
      <c r="Z14" s="163" t="s">
        <v>1053</v>
      </c>
      <c r="AA14" s="128" t="s">
        <v>1054</v>
      </c>
      <c r="AB14" s="166" t="s">
        <v>1055</v>
      </c>
      <c r="AC14" s="131" t="s">
        <v>1056</v>
      </c>
      <c r="AD14" s="131" t="s">
        <v>1057</v>
      </c>
      <c r="AE14" s="131" t="s">
        <v>1058</v>
      </c>
      <c r="AF14" s="131" t="s">
        <v>1059</v>
      </c>
      <c r="AG14" s="162" t="s">
        <v>1060</v>
      </c>
      <c r="AH14" s="162" t="s">
        <v>1061</v>
      </c>
      <c r="AI14" s="128" t="s">
        <v>1062</v>
      </c>
      <c r="AJ14" s="128" t="s">
        <v>1063</v>
      </c>
      <c r="AK14" s="163" t="s">
        <v>1064</v>
      </c>
      <c r="AL14" s="128" t="s">
        <v>1065</v>
      </c>
      <c r="AM14" s="163" t="s">
        <v>1066</v>
      </c>
      <c r="AN14" s="128" t="s">
        <v>1067</v>
      </c>
    </row>
    <row r="15" customFormat="false" ht="15" hidden="false" customHeight="false" outlineLevel="0" collapsed="false">
      <c r="A15" s="53" t="s">
        <v>140</v>
      </c>
      <c r="B15" s="53" t="s">
        <v>141</v>
      </c>
      <c r="C15" s="53" t="s">
        <v>1068</v>
      </c>
      <c r="D15" s="53" t="str">
        <f aca="false">B15&amp;"|"&amp;C15</f>
        <v>_Military Lesotho [#Military] [dDOqoFnD5Be]|FSW</v>
      </c>
      <c r="E15" s="75"/>
      <c r="F15" s="75"/>
      <c r="G15" s="192"/>
      <c r="H15" s="73"/>
      <c r="I15" s="75"/>
      <c r="J15" s="73"/>
      <c r="K15" s="75"/>
      <c r="L15" s="126"/>
      <c r="M15" s="75"/>
      <c r="N15" s="73"/>
      <c r="O15" s="73"/>
      <c r="P15" s="75"/>
      <c r="Q15" s="115" t="str">
        <f aca="false">IF(AND(SUM($O15)&lt;=0,SUM($P15)&lt;=0),"",$P15-$O15)</f>
        <v/>
      </c>
      <c r="R15" s="73"/>
      <c r="S15" s="123" t="n">
        <f aca="false">1</f>
        <v>1</v>
      </c>
      <c r="T15" s="123" t="n">
        <f aca="false">0.98</f>
        <v>0.98</v>
      </c>
      <c r="U15" s="123" t="n">
        <f aca="false">0.98</f>
        <v>0.98</v>
      </c>
      <c r="V15" s="115" t="str">
        <f aca="false">IF(SUM($P15)&lt;=0,"",ROUND((($Q15+($O15*(1-$T15)))*$S15)/$U15,0))</f>
        <v/>
      </c>
      <c r="W15" s="122" t="n">
        <f aca="false">0.7</f>
        <v>0.7</v>
      </c>
      <c r="X15" s="123" t="n">
        <f aca="false">1</f>
        <v>1</v>
      </c>
      <c r="Y15" s="115" t="str">
        <f aca="false">IF(SUM($V15,$P15)&lt;=0,"",ROUND(($V15*$W15+$O15)*$X15,0))</f>
        <v/>
      </c>
      <c r="Z15" s="122" t="n">
        <f aca="false">0.95</f>
        <v>0.95</v>
      </c>
      <c r="AA15" s="115" t="str">
        <f aca="false">IF(SUM($Y15)&lt;=0,"",ROUND($Y15*$Z15,0))</f>
        <v/>
      </c>
      <c r="AB15" s="125" t="n">
        <f aca="false">0</f>
        <v>0</v>
      </c>
      <c r="AC15" s="73" t="str">
        <f aca="false">IF(SUM($V15)&lt;=0,"",ROUND(SUM($V15)*SUM($AB15),0))</f>
        <v/>
      </c>
      <c r="AD15" s="73" t="str">
        <f aca="false">IF(SUM($V15)&lt;=0,"",SUM($V15)-SUM($AC15))</f>
        <v/>
      </c>
      <c r="AE15" s="73"/>
      <c r="AF15" s="73"/>
      <c r="AG15" s="123" t="n">
        <f aca="false">0.95</f>
        <v>0.95</v>
      </c>
      <c r="AH15" s="118"/>
      <c r="AI15" s="115" t="str">
        <f aca="false">IF(SUM($AD15)&lt;=0,"",ROUND(SUM($AD15)/SUM($AG15),0))</f>
        <v/>
      </c>
      <c r="AJ15" s="115" t="str">
        <f aca="false">IF(SUM($AH15)&lt;=0,"",ROUND($AI15/$AH15-$AI15,0))</f>
        <v/>
      </c>
      <c r="AK15" s="122" t="n">
        <f aca="false">1</f>
        <v>1</v>
      </c>
      <c r="AL15" s="115" t="str">
        <f aca="false">IF(SUM($AI15)&lt;=0,"",ROUND($AI15*$AK15,0))</f>
        <v/>
      </c>
      <c r="AM15" s="73"/>
      <c r="AN15" s="75"/>
    </row>
    <row r="16" customFormat="false" ht="15" hidden="false" customHeight="false" outlineLevel="0" collapsed="false">
      <c r="A16" s="53" t="s">
        <v>140</v>
      </c>
      <c r="B16" s="53" t="s">
        <v>141</v>
      </c>
      <c r="C16" s="53" t="s">
        <v>1069</v>
      </c>
      <c r="D16" s="53" t="str">
        <f aca="false">B16&amp;"|"&amp;C16</f>
        <v>_Military Lesotho [#Military] [dDOqoFnD5Be]|MSM</v>
      </c>
      <c r="E16" s="75"/>
      <c r="F16" s="75"/>
      <c r="G16" s="192"/>
      <c r="H16" s="73"/>
      <c r="I16" s="75"/>
      <c r="J16" s="73"/>
      <c r="K16" s="75"/>
      <c r="L16" s="126"/>
      <c r="M16" s="75"/>
      <c r="N16" s="73"/>
      <c r="O16" s="73"/>
      <c r="P16" s="75"/>
      <c r="Q16" s="73" t="str">
        <f aca="false">IF(AND(SUM($O16)&lt;=0,SUM($P16)&lt;=0),"",$P16-$O16)</f>
        <v/>
      </c>
      <c r="R16" s="73"/>
      <c r="S16" s="118" t="n">
        <f aca="false">1</f>
        <v>1</v>
      </c>
      <c r="T16" s="118" t="n">
        <f aca="false">0.98</f>
        <v>0.98</v>
      </c>
      <c r="U16" s="118" t="n">
        <f aca="false">0.98</f>
        <v>0.98</v>
      </c>
      <c r="V16" s="75" t="str">
        <f aca="false">IF(SUM($P16)&lt;=0,"",ROUND((($Q16+($O16*(1-$T16)))*$S16)/$U16,0))</f>
        <v/>
      </c>
      <c r="W16" s="118" t="n">
        <f aca="false">0.7</f>
        <v>0.7</v>
      </c>
      <c r="X16" s="118" t="n">
        <f aca="false">1</f>
        <v>1</v>
      </c>
      <c r="Y16" s="75" t="str">
        <f aca="false">IF(SUM($V16,$P16)&lt;=0,"",ROUND(($V16*$W16+$O16)*$X16,0))</f>
        <v/>
      </c>
      <c r="Z16" s="118" t="n">
        <f aca="false">0.95</f>
        <v>0.95</v>
      </c>
      <c r="AA16" s="75" t="str">
        <f aca="false">IF(SUM($Y16)&lt;=0,"",ROUND($Y16*$Z16,0))</f>
        <v/>
      </c>
      <c r="AB16" s="118" t="n">
        <f aca="false">0</f>
        <v>0</v>
      </c>
      <c r="AC16" s="73" t="str">
        <f aca="false">IF(SUM($V16)&lt;=0,"",ROUND(SUM($V16)*SUM($AB16),0))</f>
        <v/>
      </c>
      <c r="AD16" s="73" t="str">
        <f aca="false">IF(SUM($V16)&lt;=0,"",SUM($V16)-SUM($AC16))</f>
        <v/>
      </c>
      <c r="AE16" s="73"/>
      <c r="AF16" s="73"/>
      <c r="AG16" s="118" t="n">
        <f aca="false">0.95</f>
        <v>0.95</v>
      </c>
      <c r="AH16" s="118"/>
      <c r="AI16" s="75" t="str">
        <f aca="false">IF(SUM($AD16)&lt;=0,"",ROUND(SUM($AD16)/SUM($AG16),0))</f>
        <v/>
      </c>
      <c r="AJ16" s="75" t="str">
        <f aca="false">IF(SUM($AH16)&lt;=0,"",ROUND($AI16/$AH16-$AI16,0))</f>
        <v/>
      </c>
      <c r="AK16" s="118" t="n">
        <f aca="false">1</f>
        <v>1</v>
      </c>
      <c r="AL16" s="75" t="str">
        <f aca="false">IF(SUM($AI16)&lt;=0,"",ROUND($AI16*$AK16,0))</f>
        <v/>
      </c>
      <c r="AM16" s="73"/>
      <c r="AN16" s="75"/>
    </row>
    <row r="17" customFormat="false" ht="15" hidden="false" customHeight="false" outlineLevel="0" collapsed="false">
      <c r="A17" s="53" t="s">
        <v>140</v>
      </c>
      <c r="B17" s="53" t="s">
        <v>141</v>
      </c>
      <c r="C17" s="53" t="s">
        <v>1070</v>
      </c>
      <c r="D17" s="53" t="str">
        <f aca="false">B17&amp;"|"&amp;C17</f>
        <v>_Military Lesotho [#Military] [dDOqoFnD5Be]|People in prisons and other enclosed settings</v>
      </c>
      <c r="E17" s="75"/>
      <c r="F17" s="75"/>
      <c r="G17" s="192"/>
      <c r="H17" s="73"/>
      <c r="I17" s="75"/>
      <c r="J17" s="73"/>
      <c r="K17" s="75"/>
      <c r="L17" s="126"/>
      <c r="M17" s="75"/>
      <c r="N17" s="73"/>
      <c r="O17" s="73"/>
      <c r="P17" s="75"/>
      <c r="Q17" s="73" t="str">
        <f aca="false">IF(AND(SUM($O17)&lt;=0,SUM($P17)&lt;=0),"",$P17-$O17)</f>
        <v/>
      </c>
      <c r="R17" s="73"/>
      <c r="S17" s="118" t="n">
        <f aca="false">1</f>
        <v>1</v>
      </c>
      <c r="T17" s="118" t="n">
        <f aca="false">0.98</f>
        <v>0.98</v>
      </c>
      <c r="U17" s="118" t="n">
        <f aca="false">0.98</f>
        <v>0.98</v>
      </c>
      <c r="V17" s="75" t="str">
        <f aca="false">IF(SUM($P17)&lt;=0,"",ROUND((($Q17+($O17*(1-$T17)))*$S17)/$U17,0))</f>
        <v/>
      </c>
      <c r="W17" s="118" t="n">
        <f aca="false">0.7</f>
        <v>0.7</v>
      </c>
      <c r="X17" s="118" t="n">
        <f aca="false">1</f>
        <v>1</v>
      </c>
      <c r="Y17" s="75" t="str">
        <f aca="false">IF(SUM($V17,$P17)&lt;=0,"",ROUND(($V17*$W17+$O17)*$X17,0))</f>
        <v/>
      </c>
      <c r="Z17" s="118" t="n">
        <f aca="false">0.95</f>
        <v>0.95</v>
      </c>
      <c r="AA17" s="75" t="str">
        <f aca="false">IF(SUM($Y17)&lt;=0,"",ROUND($Y17*$Z17,0))</f>
        <v/>
      </c>
      <c r="AB17" s="118" t="n">
        <f aca="false">0</f>
        <v>0</v>
      </c>
      <c r="AC17" s="73" t="str">
        <f aca="false">IF(SUM($V17)&lt;=0,"",ROUND(SUM($V17)*SUM($AB17),0))</f>
        <v/>
      </c>
      <c r="AD17" s="73" t="str">
        <f aca="false">IF(SUM($V17)&lt;=0,"",SUM($V17)-SUM($AC17))</f>
        <v/>
      </c>
      <c r="AE17" s="73"/>
      <c r="AF17" s="73"/>
      <c r="AG17" s="118" t="n">
        <f aca="false">0.95</f>
        <v>0.95</v>
      </c>
      <c r="AH17" s="118"/>
      <c r="AI17" s="75" t="str">
        <f aca="false">IF(SUM($AD17)&lt;=0,"",ROUND(SUM($AD17)/SUM($AG17),0))</f>
        <v/>
      </c>
      <c r="AJ17" s="75" t="str">
        <f aca="false">IF(SUM($AH17)&lt;=0,"",ROUND($AI17/$AH17-$AI17,0))</f>
        <v/>
      </c>
      <c r="AK17" s="118" t="n">
        <f aca="false">1</f>
        <v>1</v>
      </c>
      <c r="AL17" s="75" t="str">
        <f aca="false">IF(SUM($AI17)&lt;=0,"",ROUND($AI17*$AK17,0))</f>
        <v/>
      </c>
      <c r="AM17" s="73"/>
      <c r="AN17" s="75"/>
    </row>
    <row r="18" customFormat="false" ht="15" hidden="false" customHeight="false" outlineLevel="0" collapsed="false">
      <c r="A18" s="53" t="s">
        <v>140</v>
      </c>
      <c r="B18" s="53" t="s">
        <v>141</v>
      </c>
      <c r="C18" s="53" t="s">
        <v>1071</v>
      </c>
      <c r="D18" s="53" t="str">
        <f aca="false">B18&amp;"|"&amp;C18</f>
        <v>_Military Lesotho [#Military] [dDOqoFnD5Be]|PWID</v>
      </c>
      <c r="E18" s="75"/>
      <c r="F18" s="75"/>
      <c r="G18" s="192"/>
      <c r="H18" s="73"/>
      <c r="I18" s="75"/>
      <c r="J18" s="73"/>
      <c r="K18" s="75"/>
      <c r="L18" s="73"/>
      <c r="M18" s="75"/>
      <c r="N18" s="73"/>
      <c r="O18" s="73"/>
      <c r="P18" s="75"/>
      <c r="Q18" s="73" t="str">
        <f aca="false">IF(AND(SUM($O18)&lt;=0,SUM($P18)&lt;=0),"",$P18-$O18)</f>
        <v/>
      </c>
      <c r="R18" s="73"/>
      <c r="S18" s="118" t="n">
        <f aca="false">1</f>
        <v>1</v>
      </c>
      <c r="T18" s="118" t="n">
        <f aca="false">0.98</f>
        <v>0.98</v>
      </c>
      <c r="U18" s="118" t="n">
        <f aca="false">0.98</f>
        <v>0.98</v>
      </c>
      <c r="V18" s="75" t="str">
        <f aca="false">IF(SUM($P18)&lt;=0,"",ROUND((($Q18+($O18*(1-$T18)))*$S18)/$U18,0))</f>
        <v/>
      </c>
      <c r="W18" s="118" t="n">
        <f aca="false">0.7</f>
        <v>0.7</v>
      </c>
      <c r="X18" s="118" t="n">
        <f aca="false">1</f>
        <v>1</v>
      </c>
      <c r="Y18" s="75" t="str">
        <f aca="false">IF(SUM($V18,$P18)&lt;=0,"",ROUND(($V18*$W18+$O18)*$X18,0))</f>
        <v/>
      </c>
      <c r="Z18" s="118" t="n">
        <f aca="false">0.95</f>
        <v>0.95</v>
      </c>
      <c r="AA18" s="75" t="str">
        <f aca="false">IF(SUM($Y18)&lt;=0,"",ROUND($Y18*$Z18,0))</f>
        <v/>
      </c>
      <c r="AB18" s="118" t="n">
        <f aca="false">0</f>
        <v>0</v>
      </c>
      <c r="AC18" s="73" t="str">
        <f aca="false">IF(SUM($V18)&lt;=0,"",ROUND(SUM($V18)*SUM($AB18),0))</f>
        <v/>
      </c>
      <c r="AD18" s="73" t="str">
        <f aca="false">IF(SUM($V18)&lt;=0,"",SUM($V18)-SUM($AC18))</f>
        <v/>
      </c>
      <c r="AE18" s="73"/>
      <c r="AF18" s="73"/>
      <c r="AG18" s="118" t="n">
        <f aca="false">0.95</f>
        <v>0.95</v>
      </c>
      <c r="AH18" s="118"/>
      <c r="AI18" s="75" t="str">
        <f aca="false">IF(SUM($AD18)&lt;=0,"",ROUND(SUM($AD18)/SUM($AG18),0))</f>
        <v/>
      </c>
      <c r="AJ18" s="75" t="str">
        <f aca="false">IF(SUM($AH18)&lt;=0,"",ROUND($AI18/$AH18-$AI18,0))</f>
        <v/>
      </c>
      <c r="AK18" s="118" t="n">
        <f aca="false">1</f>
        <v>1</v>
      </c>
      <c r="AL18" s="75" t="str">
        <f aca="false">IF(SUM($AI18)&lt;=0,"",ROUND($AI18*$AK18,0))</f>
        <v/>
      </c>
      <c r="AM18" s="73"/>
      <c r="AN18" s="75"/>
    </row>
    <row r="19" customFormat="false" ht="15" hidden="false" customHeight="false" outlineLevel="0" collapsed="false">
      <c r="A19" s="53" t="s">
        <v>140</v>
      </c>
      <c r="B19" s="53" t="s">
        <v>141</v>
      </c>
      <c r="C19" s="53" t="s">
        <v>1072</v>
      </c>
      <c r="D19" s="53" t="str">
        <f aca="false">B19&amp;"|"&amp;C19</f>
        <v>_Military Lesotho [#Military] [dDOqoFnD5Be]|TG</v>
      </c>
      <c r="E19" s="75"/>
      <c r="F19" s="75"/>
      <c r="G19" s="192"/>
      <c r="H19" s="73"/>
      <c r="I19" s="75"/>
      <c r="J19" s="73"/>
      <c r="K19" s="75"/>
      <c r="L19" s="73"/>
      <c r="M19" s="75"/>
      <c r="N19" s="73"/>
      <c r="O19" s="73"/>
      <c r="P19" s="75"/>
      <c r="Q19" s="73" t="str">
        <f aca="false">IF(AND(SUM($O19)&lt;=0,SUM($P19)&lt;=0),"",$P19-$O19)</f>
        <v/>
      </c>
      <c r="R19" s="73"/>
      <c r="S19" s="118" t="n">
        <f aca="false">1</f>
        <v>1</v>
      </c>
      <c r="T19" s="118" t="n">
        <f aca="false">0.98</f>
        <v>0.98</v>
      </c>
      <c r="U19" s="118" t="n">
        <f aca="false">0.98</f>
        <v>0.98</v>
      </c>
      <c r="V19" s="75" t="str">
        <f aca="false">IF(SUM($P19)&lt;=0,"",ROUND((($Q19+($O19*(1-$T19)))*$S19)/$U19,0))</f>
        <v/>
      </c>
      <c r="W19" s="118" t="n">
        <f aca="false">0.7</f>
        <v>0.7</v>
      </c>
      <c r="X19" s="118" t="n">
        <f aca="false">1</f>
        <v>1</v>
      </c>
      <c r="Y19" s="75" t="str">
        <f aca="false">IF(SUM($V19,$P19)&lt;=0,"",ROUND(($V19*$W19+$O19)*$X19,0))</f>
        <v/>
      </c>
      <c r="Z19" s="118" t="n">
        <f aca="false">0.95</f>
        <v>0.95</v>
      </c>
      <c r="AA19" s="75" t="str">
        <f aca="false">IF(SUM($Y19)&lt;=0,"",ROUND($Y19*$Z19,0))</f>
        <v/>
      </c>
      <c r="AB19" s="118" t="n">
        <f aca="false">0</f>
        <v>0</v>
      </c>
      <c r="AC19" s="73" t="str">
        <f aca="false">IF(SUM($V19)&lt;=0,"",ROUND(SUM($V19)*SUM($AB19),0))</f>
        <v/>
      </c>
      <c r="AD19" s="73" t="str">
        <f aca="false">IF(SUM($V19)&lt;=0,"",SUM($V19)-SUM($AC19))</f>
        <v/>
      </c>
      <c r="AE19" s="73"/>
      <c r="AF19" s="73"/>
      <c r="AG19" s="118" t="n">
        <f aca="false">0.95</f>
        <v>0.95</v>
      </c>
      <c r="AH19" s="118"/>
      <c r="AI19" s="75" t="str">
        <f aca="false">IF(SUM($AD19)&lt;=0,"",ROUND(SUM($AD19)/SUM($AG19),0))</f>
        <v/>
      </c>
      <c r="AJ19" s="75" t="str">
        <f aca="false">IF(SUM($AH19)&lt;=0,"",ROUND($AI19/$AH19-$AI19,0))</f>
        <v/>
      </c>
      <c r="AK19" s="118" t="n">
        <f aca="false">1</f>
        <v>1</v>
      </c>
      <c r="AL19" s="75" t="str">
        <f aca="false">IF(SUM($AI19)&lt;=0,"",ROUND($AI19*$AK19,0))</f>
        <v/>
      </c>
      <c r="AM19" s="73"/>
      <c r="AN19" s="75"/>
    </row>
    <row r="20" customFormat="false" ht="15" hidden="false" customHeight="false" outlineLevel="0" collapsed="false">
      <c r="A20" s="53" t="s">
        <v>142</v>
      </c>
      <c r="B20" s="53" t="s">
        <v>109</v>
      </c>
      <c r="C20" s="53" t="s">
        <v>1068</v>
      </c>
      <c r="D20" s="53" t="str">
        <f aca="false">B20&amp;"|"&amp;C20</f>
        <v>Berea [#SNU] [#DREAMS] [wpg5evyl1OL]|FSW</v>
      </c>
      <c r="E20" s="75"/>
      <c r="F20" s="75"/>
      <c r="G20" s="192"/>
      <c r="H20" s="73" t="n">
        <v>7</v>
      </c>
      <c r="I20" s="75"/>
      <c r="J20" s="73" t="n">
        <v>26</v>
      </c>
      <c r="K20" s="75"/>
      <c r="L20" s="126"/>
      <c r="M20" s="75"/>
      <c r="N20" s="73"/>
      <c r="O20" s="73"/>
      <c r="P20" s="75"/>
      <c r="Q20" s="73" t="str">
        <f aca="false">IF(AND(SUM($O20)&lt;=0,SUM($P20)&lt;=0),"",$P20-$O20)</f>
        <v/>
      </c>
      <c r="R20" s="73"/>
      <c r="S20" s="118" t="n">
        <f aca="false">1</f>
        <v>1</v>
      </c>
      <c r="T20" s="118" t="n">
        <f aca="false">0.98</f>
        <v>0.98</v>
      </c>
      <c r="U20" s="118" t="n">
        <f aca="false">0.98</f>
        <v>0.98</v>
      </c>
      <c r="V20" s="75" t="str">
        <f aca="false">IF(SUM($P20)&lt;=0,"",ROUND((($Q20+($O20*(1-$T20)))*$S20)/$U20,0))</f>
        <v/>
      </c>
      <c r="W20" s="118" t="n">
        <f aca="false">0.7</f>
        <v>0.7</v>
      </c>
      <c r="X20" s="118" t="n">
        <f aca="false">1</f>
        <v>1</v>
      </c>
      <c r="Y20" s="75" t="str">
        <f aca="false">IF(SUM($V20,$P20)&lt;=0,"",ROUND(($V20*$W20+$O20)*$X20,0))</f>
        <v/>
      </c>
      <c r="Z20" s="118" t="n">
        <f aca="false">0.95</f>
        <v>0.95</v>
      </c>
      <c r="AA20" s="75" t="str">
        <f aca="false">IF(SUM($Y20)&lt;=0,"",ROUND($Y20*$Z20,0))</f>
        <v/>
      </c>
      <c r="AB20" s="118" t="n">
        <f aca="false">0</f>
        <v>0</v>
      </c>
      <c r="AC20" s="73" t="str">
        <f aca="false">IF(SUM($V20)&lt;=0,"",ROUND(SUM($V20)*SUM($AB20),0))</f>
        <v/>
      </c>
      <c r="AD20" s="73" t="str">
        <f aca="false">IF(SUM($V20)&lt;=0,"",SUM($V20)-SUM($AC20))</f>
        <v/>
      </c>
      <c r="AE20" s="73"/>
      <c r="AF20" s="73"/>
      <c r="AG20" s="118" t="n">
        <f aca="false">0.95</f>
        <v>0.95</v>
      </c>
      <c r="AH20" s="118"/>
      <c r="AI20" s="75" t="str">
        <f aca="false">IF(SUM($AD20)&lt;=0,"",ROUND(SUM($AD20)/SUM($AG20),0))</f>
        <v/>
      </c>
      <c r="AJ20" s="75" t="str">
        <f aca="false">IF(SUM($AH20)&lt;=0,"",ROUND($AI20/$AH20-$AI20,0))</f>
        <v/>
      </c>
      <c r="AK20" s="118" t="n">
        <f aca="false">1</f>
        <v>1</v>
      </c>
      <c r="AL20" s="75" t="str">
        <f aca="false">IF(SUM($AI20)&lt;=0,"",ROUND($AI20*$AK20,0))</f>
        <v/>
      </c>
      <c r="AM20" s="73"/>
      <c r="AN20" s="75"/>
    </row>
    <row r="21" customFormat="false" ht="15" hidden="false" customHeight="false" outlineLevel="0" collapsed="false">
      <c r="A21" s="53" t="s">
        <v>142</v>
      </c>
      <c r="B21" s="53" t="s">
        <v>109</v>
      </c>
      <c r="C21" s="53" t="s">
        <v>1069</v>
      </c>
      <c r="D21" s="53" t="str">
        <f aca="false">B21&amp;"|"&amp;C21</f>
        <v>Berea [#SNU] [#DREAMS] [wpg5evyl1OL]|MSM</v>
      </c>
      <c r="E21" s="75"/>
      <c r="F21" s="75"/>
      <c r="G21" s="192"/>
      <c r="H21" s="73" t="n">
        <v>15</v>
      </c>
      <c r="I21" s="75"/>
      <c r="J21" s="73" t="n">
        <v>4</v>
      </c>
      <c r="K21" s="75"/>
      <c r="L21" s="126"/>
      <c r="M21" s="75"/>
      <c r="N21" s="73"/>
      <c r="O21" s="73"/>
      <c r="P21" s="75"/>
      <c r="Q21" s="73" t="str">
        <f aca="false">IF(AND(SUM($O21)&lt;=0,SUM($P21)&lt;=0),"",$P21-$O21)</f>
        <v/>
      </c>
      <c r="R21" s="73"/>
      <c r="S21" s="118" t="n">
        <f aca="false">1</f>
        <v>1</v>
      </c>
      <c r="T21" s="118" t="n">
        <f aca="false">0.98</f>
        <v>0.98</v>
      </c>
      <c r="U21" s="118" t="n">
        <f aca="false">0.98</f>
        <v>0.98</v>
      </c>
      <c r="V21" s="75" t="str">
        <f aca="false">IF(SUM($P21)&lt;=0,"",ROUND((($Q21+($O21*(1-$T21)))*$S21)/$U21,0))</f>
        <v/>
      </c>
      <c r="W21" s="118" t="n">
        <f aca="false">0.7</f>
        <v>0.7</v>
      </c>
      <c r="X21" s="118" t="n">
        <f aca="false">1</f>
        <v>1</v>
      </c>
      <c r="Y21" s="75" t="str">
        <f aca="false">IF(SUM($V21,$P21)&lt;=0,"",ROUND(($V21*$W21+$O21)*$X21,0))</f>
        <v/>
      </c>
      <c r="Z21" s="118" t="n">
        <f aca="false">0.95</f>
        <v>0.95</v>
      </c>
      <c r="AA21" s="75" t="str">
        <f aca="false">IF(SUM($Y21)&lt;=0,"",ROUND($Y21*$Z21,0))</f>
        <v/>
      </c>
      <c r="AB21" s="118" t="n">
        <f aca="false">0</f>
        <v>0</v>
      </c>
      <c r="AC21" s="73" t="str">
        <f aca="false">IF(SUM($V21)&lt;=0,"",ROUND(SUM($V21)*SUM($AB21),0))</f>
        <v/>
      </c>
      <c r="AD21" s="73" t="str">
        <f aca="false">IF(SUM($V21)&lt;=0,"",SUM($V21)-SUM($AC21))</f>
        <v/>
      </c>
      <c r="AE21" s="73"/>
      <c r="AF21" s="73"/>
      <c r="AG21" s="118" t="n">
        <f aca="false">0.95</f>
        <v>0.95</v>
      </c>
      <c r="AH21" s="118"/>
      <c r="AI21" s="75" t="str">
        <f aca="false">IF(SUM($AD21)&lt;=0,"",ROUND(SUM($AD21)/SUM($AG21),0))</f>
        <v/>
      </c>
      <c r="AJ21" s="75" t="str">
        <f aca="false">IF(SUM($AH21)&lt;=0,"",ROUND($AI21/$AH21-$AI21,0))</f>
        <v/>
      </c>
      <c r="AK21" s="118" t="n">
        <f aca="false">1</f>
        <v>1</v>
      </c>
      <c r="AL21" s="75" t="str">
        <f aca="false">IF(SUM($AI21)&lt;=0,"",ROUND($AI21*$AK21,0))</f>
        <v/>
      </c>
      <c r="AM21" s="73"/>
      <c r="AN21" s="75"/>
    </row>
    <row r="22" customFormat="false" ht="15" hidden="false" customHeight="false" outlineLevel="0" collapsed="false">
      <c r="A22" s="53" t="s">
        <v>142</v>
      </c>
      <c r="B22" s="53" t="s">
        <v>109</v>
      </c>
      <c r="C22" s="53" t="s">
        <v>1070</v>
      </c>
      <c r="D22" s="53" t="str">
        <f aca="false">B22&amp;"|"&amp;C22</f>
        <v>Berea [#SNU] [#DREAMS] [wpg5evyl1OL]|People in prisons and other enclosed settings</v>
      </c>
      <c r="E22" s="75"/>
      <c r="F22" s="75"/>
      <c r="G22" s="192"/>
      <c r="H22" s="73"/>
      <c r="I22" s="75"/>
      <c r="J22" s="73"/>
      <c r="K22" s="75"/>
      <c r="L22" s="73"/>
      <c r="M22" s="75"/>
      <c r="N22" s="73" t="n">
        <v>24</v>
      </c>
      <c r="O22" s="73"/>
      <c r="P22" s="75"/>
      <c r="Q22" s="73" t="str">
        <f aca="false">IF(AND(SUM($O22)&lt;=0,SUM($P22)&lt;=0),"",$P22-$O22)</f>
        <v/>
      </c>
      <c r="R22" s="73"/>
      <c r="S22" s="118" t="n">
        <f aca="false">1</f>
        <v>1</v>
      </c>
      <c r="T22" s="118" t="n">
        <f aca="false">0.98</f>
        <v>0.98</v>
      </c>
      <c r="U22" s="118" t="n">
        <f aca="false">0.98</f>
        <v>0.98</v>
      </c>
      <c r="V22" s="75" t="str">
        <f aca="false">IF(SUM($P22)&lt;=0,"",ROUND((($Q22+($O22*(1-$T22)))*$S22)/$U22,0))</f>
        <v/>
      </c>
      <c r="W22" s="118" t="n">
        <f aca="false">0.7</f>
        <v>0.7</v>
      </c>
      <c r="X22" s="118" t="n">
        <f aca="false">1</f>
        <v>1</v>
      </c>
      <c r="Y22" s="75" t="str">
        <f aca="false">IF(SUM($V22,$P22)&lt;=0,"",ROUND(($V22*$W22+$O22)*$X22,0))</f>
        <v/>
      </c>
      <c r="Z22" s="118" t="n">
        <f aca="false">0.95</f>
        <v>0.95</v>
      </c>
      <c r="AA22" s="75" t="str">
        <f aca="false">IF(SUM($Y22)&lt;=0,"",ROUND($Y22*$Z22,0))</f>
        <v/>
      </c>
      <c r="AB22" s="118" t="n">
        <f aca="false">0</f>
        <v>0</v>
      </c>
      <c r="AC22" s="73" t="str">
        <f aca="false">IF(SUM($V22)&lt;=0,"",ROUND(SUM($V22)*SUM($AB22),0))</f>
        <v/>
      </c>
      <c r="AD22" s="73" t="str">
        <f aca="false">IF(SUM($V22)&lt;=0,"",SUM($V22)-SUM($AC22))</f>
        <v/>
      </c>
      <c r="AE22" s="73"/>
      <c r="AF22" s="73"/>
      <c r="AG22" s="118" t="n">
        <f aca="false">0.95</f>
        <v>0.95</v>
      </c>
      <c r="AH22" s="118"/>
      <c r="AI22" s="75" t="str">
        <f aca="false">IF(SUM($AD22)&lt;=0,"",ROUND(SUM($AD22)/SUM($AG22),0))</f>
        <v/>
      </c>
      <c r="AJ22" s="75" t="str">
        <f aca="false">IF(SUM($AH22)&lt;=0,"",ROUND($AI22/$AH22-$AI22,0))</f>
        <v/>
      </c>
      <c r="AK22" s="118" t="n">
        <f aca="false">1</f>
        <v>1</v>
      </c>
      <c r="AL22" s="75" t="str">
        <f aca="false">IF(SUM($AI22)&lt;=0,"",ROUND($AI22*$AK22,0))</f>
        <v/>
      </c>
      <c r="AM22" s="73"/>
      <c r="AN22" s="75"/>
    </row>
    <row r="23" customFormat="false" ht="15" hidden="false" customHeight="false" outlineLevel="0" collapsed="false">
      <c r="A23" s="53" t="s">
        <v>142</v>
      </c>
      <c r="B23" s="53" t="s">
        <v>109</v>
      </c>
      <c r="C23" s="53" t="s">
        <v>1071</v>
      </c>
      <c r="D23" s="53" t="str">
        <f aca="false">B23&amp;"|"&amp;C23</f>
        <v>Berea [#SNU] [#DREAMS] [wpg5evyl1OL]|PWID</v>
      </c>
      <c r="E23" s="75"/>
      <c r="F23" s="75"/>
      <c r="G23" s="192"/>
      <c r="H23" s="73"/>
      <c r="I23" s="75"/>
      <c r="J23" s="73"/>
      <c r="K23" s="75"/>
      <c r="L23" s="126"/>
      <c r="M23" s="75"/>
      <c r="N23" s="73"/>
      <c r="O23" s="73"/>
      <c r="P23" s="75"/>
      <c r="Q23" s="73" t="str">
        <f aca="false">IF(AND(SUM($O23)&lt;=0,SUM($P23)&lt;=0),"",$P23-$O23)</f>
        <v/>
      </c>
      <c r="R23" s="73"/>
      <c r="S23" s="118" t="n">
        <f aca="false">1</f>
        <v>1</v>
      </c>
      <c r="T23" s="118" t="n">
        <f aca="false">0.98</f>
        <v>0.98</v>
      </c>
      <c r="U23" s="118" t="n">
        <f aca="false">0.98</f>
        <v>0.98</v>
      </c>
      <c r="V23" s="75" t="str">
        <f aca="false">IF(SUM($P23)&lt;=0,"",ROUND((($Q23+($O23*(1-$T23)))*$S23)/$U23,0))</f>
        <v/>
      </c>
      <c r="W23" s="118" t="n">
        <f aca="false">0.7</f>
        <v>0.7</v>
      </c>
      <c r="X23" s="118" t="n">
        <f aca="false">1</f>
        <v>1</v>
      </c>
      <c r="Y23" s="75" t="str">
        <f aca="false">IF(SUM($V23,$P23)&lt;=0,"",ROUND(($V23*$W23+$O23)*$X23,0))</f>
        <v/>
      </c>
      <c r="Z23" s="118" t="n">
        <f aca="false">0.95</f>
        <v>0.95</v>
      </c>
      <c r="AA23" s="75" t="str">
        <f aca="false">IF(SUM($Y23)&lt;=0,"",ROUND($Y23*$Z23,0))</f>
        <v/>
      </c>
      <c r="AB23" s="118" t="n">
        <f aca="false">0</f>
        <v>0</v>
      </c>
      <c r="AC23" s="73" t="str">
        <f aca="false">IF(SUM($V23)&lt;=0,"",ROUND(SUM($V23)*SUM($AB23),0))</f>
        <v/>
      </c>
      <c r="AD23" s="73" t="str">
        <f aca="false">IF(SUM($V23)&lt;=0,"",SUM($V23)-SUM($AC23))</f>
        <v/>
      </c>
      <c r="AE23" s="73"/>
      <c r="AF23" s="73"/>
      <c r="AG23" s="118" t="n">
        <f aca="false">0.95</f>
        <v>0.95</v>
      </c>
      <c r="AH23" s="118"/>
      <c r="AI23" s="75" t="str">
        <f aca="false">IF(SUM($AD23)&lt;=0,"",ROUND(SUM($AD23)/SUM($AG23),0))</f>
        <v/>
      </c>
      <c r="AJ23" s="75" t="str">
        <f aca="false">IF(SUM($AH23)&lt;=0,"",ROUND($AI23/$AH23-$AI23,0))</f>
        <v/>
      </c>
      <c r="AK23" s="118" t="n">
        <f aca="false">1</f>
        <v>1</v>
      </c>
      <c r="AL23" s="75" t="str">
        <f aca="false">IF(SUM($AI23)&lt;=0,"",ROUND($AI23*$AK23,0))</f>
        <v/>
      </c>
      <c r="AM23" s="73"/>
      <c r="AN23" s="75"/>
    </row>
    <row r="24" customFormat="false" ht="15" hidden="false" customHeight="false" outlineLevel="0" collapsed="false">
      <c r="A24" s="53" t="s">
        <v>142</v>
      </c>
      <c r="B24" s="53" t="s">
        <v>109</v>
      </c>
      <c r="C24" s="53" t="s">
        <v>1072</v>
      </c>
      <c r="D24" s="53" t="str">
        <f aca="false">B24&amp;"|"&amp;C24</f>
        <v>Berea [#SNU] [#DREAMS] [wpg5evyl1OL]|TG</v>
      </c>
      <c r="E24" s="75"/>
      <c r="F24" s="75"/>
      <c r="G24" s="192"/>
      <c r="H24" s="73"/>
      <c r="I24" s="75"/>
      <c r="J24" s="73"/>
      <c r="K24" s="75"/>
      <c r="L24" s="126"/>
      <c r="M24" s="75"/>
      <c r="N24" s="73"/>
      <c r="O24" s="73"/>
      <c r="P24" s="75"/>
      <c r="Q24" s="73" t="str">
        <f aca="false">IF(AND(SUM($O24)&lt;=0,SUM($P24)&lt;=0),"",$P24-$O24)</f>
        <v/>
      </c>
      <c r="R24" s="73"/>
      <c r="S24" s="118" t="n">
        <f aca="false">1</f>
        <v>1</v>
      </c>
      <c r="T24" s="118" t="n">
        <f aca="false">0.98</f>
        <v>0.98</v>
      </c>
      <c r="U24" s="118" t="n">
        <f aca="false">0.98</f>
        <v>0.98</v>
      </c>
      <c r="V24" s="75" t="str">
        <f aca="false">IF(SUM($P24)&lt;=0,"",ROUND((($Q24+($O24*(1-$T24)))*$S24)/$U24,0))</f>
        <v/>
      </c>
      <c r="W24" s="118" t="n">
        <f aca="false">0.7</f>
        <v>0.7</v>
      </c>
      <c r="X24" s="118" t="n">
        <f aca="false">1</f>
        <v>1</v>
      </c>
      <c r="Y24" s="75" t="str">
        <f aca="false">IF(SUM($V24,$P24)&lt;=0,"",ROUND(($V24*$W24+$O24)*$X24,0))</f>
        <v/>
      </c>
      <c r="Z24" s="118" t="n">
        <f aca="false">0.95</f>
        <v>0.95</v>
      </c>
      <c r="AA24" s="75" t="str">
        <f aca="false">IF(SUM($Y24)&lt;=0,"",ROUND($Y24*$Z24,0))</f>
        <v/>
      </c>
      <c r="AB24" s="118" t="n">
        <f aca="false">0</f>
        <v>0</v>
      </c>
      <c r="AC24" s="73" t="str">
        <f aca="false">IF(SUM($V24)&lt;=0,"",ROUND(SUM($V24)*SUM($AB24),0))</f>
        <v/>
      </c>
      <c r="AD24" s="73" t="str">
        <f aca="false">IF(SUM($V24)&lt;=0,"",SUM($V24)-SUM($AC24))</f>
        <v/>
      </c>
      <c r="AE24" s="73"/>
      <c r="AF24" s="73"/>
      <c r="AG24" s="118" t="n">
        <f aca="false">0.95</f>
        <v>0.95</v>
      </c>
      <c r="AH24" s="118"/>
      <c r="AI24" s="75" t="str">
        <f aca="false">IF(SUM($AD24)&lt;=0,"",ROUND(SUM($AD24)/SUM($AG24),0))</f>
        <v/>
      </c>
      <c r="AJ24" s="75" t="str">
        <f aca="false">IF(SUM($AH24)&lt;=0,"",ROUND($AI24/$AH24-$AI24,0))</f>
        <v/>
      </c>
      <c r="AK24" s="118" t="n">
        <f aca="false">1</f>
        <v>1</v>
      </c>
      <c r="AL24" s="75" t="str">
        <f aca="false">IF(SUM($AI24)&lt;=0,"",ROUND($AI24*$AK24,0))</f>
        <v/>
      </c>
      <c r="AM24" s="73"/>
      <c r="AN24" s="75"/>
    </row>
    <row r="25" customFormat="false" ht="15" hidden="false" customHeight="false" outlineLevel="0" collapsed="false">
      <c r="A25" s="53" t="s">
        <v>143</v>
      </c>
      <c r="B25" s="53" t="s">
        <v>115</v>
      </c>
      <c r="C25" s="53" t="s">
        <v>1068</v>
      </c>
      <c r="D25" s="53" t="str">
        <f aca="false">B25&amp;"|"&amp;C25</f>
        <v>Butha Buthe [#SNU] [mvPRqBFtVC0]|FSW</v>
      </c>
      <c r="E25" s="75"/>
      <c r="F25" s="75"/>
      <c r="G25" s="192"/>
      <c r="H25" s="73"/>
      <c r="I25" s="75"/>
      <c r="J25" s="73"/>
      <c r="K25" s="75"/>
      <c r="L25" s="73"/>
      <c r="M25" s="75"/>
      <c r="N25" s="73"/>
      <c r="O25" s="73"/>
      <c r="P25" s="75"/>
      <c r="Q25" s="73" t="str">
        <f aca="false">IF(AND(SUM($O25)&lt;=0,SUM($P25)&lt;=0),"",$P25-$O25)</f>
        <v/>
      </c>
      <c r="R25" s="73"/>
      <c r="S25" s="118" t="n">
        <f aca="false">1</f>
        <v>1</v>
      </c>
      <c r="T25" s="118" t="n">
        <f aca="false">0.98</f>
        <v>0.98</v>
      </c>
      <c r="U25" s="118" t="n">
        <f aca="false">0.98</f>
        <v>0.98</v>
      </c>
      <c r="V25" s="75" t="str">
        <f aca="false">IF(SUM($P25)&lt;=0,"",ROUND((($Q25+($O25*(1-$T25)))*$S25)/$U25,0))</f>
        <v/>
      </c>
      <c r="W25" s="118" t="n">
        <f aca="false">0.7</f>
        <v>0.7</v>
      </c>
      <c r="X25" s="118" t="n">
        <f aca="false">1</f>
        <v>1</v>
      </c>
      <c r="Y25" s="75" t="str">
        <f aca="false">IF(SUM($V25,$P25)&lt;=0,"",ROUND(($V25*$W25+$O25)*$X25,0))</f>
        <v/>
      </c>
      <c r="Z25" s="118" t="n">
        <f aca="false">0.95</f>
        <v>0.95</v>
      </c>
      <c r="AA25" s="75" t="str">
        <f aca="false">IF(SUM($Y25)&lt;=0,"",ROUND($Y25*$Z25,0))</f>
        <v/>
      </c>
      <c r="AB25" s="118" t="n">
        <f aca="false">0</f>
        <v>0</v>
      </c>
      <c r="AC25" s="73" t="str">
        <f aca="false">IF(SUM($V25)&lt;=0,"",ROUND(SUM($V25)*SUM($AB25),0))</f>
        <v/>
      </c>
      <c r="AD25" s="73" t="str">
        <f aca="false">IF(SUM($V25)&lt;=0,"",SUM($V25)-SUM($AC25))</f>
        <v/>
      </c>
      <c r="AE25" s="73"/>
      <c r="AF25" s="73"/>
      <c r="AG25" s="118" t="n">
        <f aca="false">0.95</f>
        <v>0.95</v>
      </c>
      <c r="AH25" s="118"/>
      <c r="AI25" s="75" t="str">
        <f aca="false">IF(SUM($AD25)&lt;=0,"",ROUND(SUM($AD25)/SUM($AG25),0))</f>
        <v/>
      </c>
      <c r="AJ25" s="75" t="str">
        <f aca="false">IF(SUM($AH25)&lt;=0,"",ROUND($AI25/$AH25-$AI25,0))</f>
        <v/>
      </c>
      <c r="AK25" s="118" t="n">
        <f aca="false">1</f>
        <v>1</v>
      </c>
      <c r="AL25" s="75" t="str">
        <f aca="false">IF(SUM($AI25)&lt;=0,"",ROUND($AI25*$AK25,0))</f>
        <v/>
      </c>
      <c r="AM25" s="73"/>
      <c r="AN25" s="75"/>
    </row>
    <row r="26" customFormat="false" ht="15" hidden="false" customHeight="false" outlineLevel="0" collapsed="false">
      <c r="A26" s="53" t="s">
        <v>143</v>
      </c>
      <c r="B26" s="53" t="s">
        <v>115</v>
      </c>
      <c r="C26" s="53" t="s">
        <v>1069</v>
      </c>
      <c r="D26" s="53" t="str">
        <f aca="false">B26&amp;"|"&amp;C26</f>
        <v>Butha Buthe [#SNU] [mvPRqBFtVC0]|MSM</v>
      </c>
      <c r="E26" s="75"/>
      <c r="F26" s="75"/>
      <c r="G26" s="192"/>
      <c r="H26" s="73"/>
      <c r="I26" s="75"/>
      <c r="J26" s="73"/>
      <c r="K26" s="75"/>
      <c r="L26" s="73"/>
      <c r="M26" s="75"/>
      <c r="N26" s="73"/>
      <c r="O26" s="73"/>
      <c r="P26" s="75"/>
      <c r="Q26" s="73" t="str">
        <f aca="false">IF(AND(SUM($O26)&lt;=0,SUM($P26)&lt;=0),"",$P26-$O26)</f>
        <v/>
      </c>
      <c r="R26" s="73"/>
      <c r="S26" s="118" t="n">
        <f aca="false">1</f>
        <v>1</v>
      </c>
      <c r="T26" s="118" t="n">
        <f aca="false">0.98</f>
        <v>0.98</v>
      </c>
      <c r="U26" s="118" t="n">
        <f aca="false">0.98</f>
        <v>0.98</v>
      </c>
      <c r="V26" s="75" t="str">
        <f aca="false">IF(SUM($P26)&lt;=0,"",ROUND((($Q26+($O26*(1-$T26)))*$S26)/$U26,0))</f>
        <v/>
      </c>
      <c r="W26" s="118" t="n">
        <f aca="false">0.7</f>
        <v>0.7</v>
      </c>
      <c r="X26" s="118" t="n">
        <f aca="false">1</f>
        <v>1</v>
      </c>
      <c r="Y26" s="75" t="str">
        <f aca="false">IF(SUM($V26,$P26)&lt;=0,"",ROUND(($V26*$W26+$O26)*$X26,0))</f>
        <v/>
      </c>
      <c r="Z26" s="118" t="n">
        <f aca="false">0.95</f>
        <v>0.95</v>
      </c>
      <c r="AA26" s="75" t="str">
        <f aca="false">IF(SUM($Y26)&lt;=0,"",ROUND($Y26*$Z26,0))</f>
        <v/>
      </c>
      <c r="AB26" s="118" t="n">
        <f aca="false">0</f>
        <v>0</v>
      </c>
      <c r="AC26" s="73" t="str">
        <f aca="false">IF(SUM($V26)&lt;=0,"",ROUND(SUM($V26)*SUM($AB26),0))</f>
        <v/>
      </c>
      <c r="AD26" s="73" t="str">
        <f aca="false">IF(SUM($V26)&lt;=0,"",SUM($V26)-SUM($AC26))</f>
        <v/>
      </c>
      <c r="AE26" s="73"/>
      <c r="AF26" s="73"/>
      <c r="AG26" s="118" t="n">
        <f aca="false">0.95</f>
        <v>0.95</v>
      </c>
      <c r="AH26" s="118"/>
      <c r="AI26" s="75" t="str">
        <f aca="false">IF(SUM($AD26)&lt;=0,"",ROUND(SUM($AD26)/SUM($AG26),0))</f>
        <v/>
      </c>
      <c r="AJ26" s="75" t="str">
        <f aca="false">IF(SUM($AH26)&lt;=0,"",ROUND($AI26/$AH26-$AI26,0))</f>
        <v/>
      </c>
      <c r="AK26" s="118" t="n">
        <f aca="false">1</f>
        <v>1</v>
      </c>
      <c r="AL26" s="75" t="str">
        <f aca="false">IF(SUM($AI26)&lt;=0,"",ROUND($AI26*$AK26,0))</f>
        <v/>
      </c>
      <c r="AM26" s="73"/>
      <c r="AN26" s="75"/>
    </row>
    <row r="27" customFormat="false" ht="15" hidden="false" customHeight="false" outlineLevel="0" collapsed="false">
      <c r="A27" s="53" t="s">
        <v>143</v>
      </c>
      <c r="B27" s="53" t="s">
        <v>115</v>
      </c>
      <c r="C27" s="53" t="s">
        <v>1070</v>
      </c>
      <c r="D27" s="53" t="str">
        <f aca="false">B27&amp;"|"&amp;C27</f>
        <v>Butha Buthe [#SNU] [mvPRqBFtVC0]|People in prisons and other enclosed settings</v>
      </c>
      <c r="E27" s="75"/>
      <c r="F27" s="75"/>
      <c r="G27" s="192"/>
      <c r="H27" s="73"/>
      <c r="I27" s="75"/>
      <c r="J27" s="73"/>
      <c r="K27" s="75"/>
      <c r="L27" s="126"/>
      <c r="M27" s="75"/>
      <c r="N27" s="73"/>
      <c r="O27" s="73"/>
      <c r="P27" s="75"/>
      <c r="Q27" s="73" t="str">
        <f aca="false">IF(AND(SUM($O27)&lt;=0,SUM($P27)&lt;=0),"",$P27-$O27)</f>
        <v/>
      </c>
      <c r="R27" s="73"/>
      <c r="S27" s="118" t="n">
        <f aca="false">1</f>
        <v>1</v>
      </c>
      <c r="T27" s="118" t="n">
        <f aca="false">0.98</f>
        <v>0.98</v>
      </c>
      <c r="U27" s="118" t="n">
        <f aca="false">0.98</f>
        <v>0.98</v>
      </c>
      <c r="V27" s="75" t="str">
        <f aca="false">IF(SUM($P27)&lt;=0,"",ROUND((($Q27+($O27*(1-$T27)))*$S27)/$U27,0))</f>
        <v/>
      </c>
      <c r="W27" s="118" t="n">
        <f aca="false">0.7</f>
        <v>0.7</v>
      </c>
      <c r="X27" s="118" t="n">
        <f aca="false">1</f>
        <v>1</v>
      </c>
      <c r="Y27" s="75" t="str">
        <f aca="false">IF(SUM($V27,$P27)&lt;=0,"",ROUND(($V27*$W27+$O27)*$X27,0))</f>
        <v/>
      </c>
      <c r="Z27" s="118" t="n">
        <f aca="false">0.95</f>
        <v>0.95</v>
      </c>
      <c r="AA27" s="75" t="str">
        <f aca="false">IF(SUM($Y27)&lt;=0,"",ROUND($Y27*$Z27,0))</f>
        <v/>
      </c>
      <c r="AB27" s="118" t="n">
        <f aca="false">0</f>
        <v>0</v>
      </c>
      <c r="AC27" s="73" t="str">
        <f aca="false">IF(SUM($V27)&lt;=0,"",ROUND(SUM($V27)*SUM($AB27),0))</f>
        <v/>
      </c>
      <c r="AD27" s="73" t="str">
        <f aca="false">IF(SUM($V27)&lt;=0,"",SUM($V27)-SUM($AC27))</f>
        <v/>
      </c>
      <c r="AE27" s="73"/>
      <c r="AF27" s="73"/>
      <c r="AG27" s="118" t="n">
        <f aca="false">0.95</f>
        <v>0.95</v>
      </c>
      <c r="AH27" s="118"/>
      <c r="AI27" s="75" t="str">
        <f aca="false">IF(SUM($AD27)&lt;=0,"",ROUND(SUM($AD27)/SUM($AG27),0))</f>
        <v/>
      </c>
      <c r="AJ27" s="75" t="str">
        <f aca="false">IF(SUM($AH27)&lt;=0,"",ROUND($AI27/$AH27-$AI27,0))</f>
        <v/>
      </c>
      <c r="AK27" s="118" t="n">
        <f aca="false">1</f>
        <v>1</v>
      </c>
      <c r="AL27" s="75" t="str">
        <f aca="false">IF(SUM($AI27)&lt;=0,"",ROUND($AI27*$AK27,0))</f>
        <v/>
      </c>
      <c r="AM27" s="73"/>
      <c r="AN27" s="75"/>
    </row>
    <row r="28" customFormat="false" ht="15" hidden="false" customHeight="false" outlineLevel="0" collapsed="false">
      <c r="A28" s="53" t="s">
        <v>143</v>
      </c>
      <c r="B28" s="53" t="s">
        <v>115</v>
      </c>
      <c r="C28" s="53" t="s">
        <v>1071</v>
      </c>
      <c r="D28" s="53" t="str">
        <f aca="false">B28&amp;"|"&amp;C28</f>
        <v>Butha Buthe [#SNU] [mvPRqBFtVC0]|PWID</v>
      </c>
      <c r="E28" s="75"/>
      <c r="F28" s="75"/>
      <c r="G28" s="192"/>
      <c r="H28" s="73"/>
      <c r="I28" s="75"/>
      <c r="J28" s="73"/>
      <c r="K28" s="75"/>
      <c r="L28" s="126"/>
      <c r="M28" s="75"/>
      <c r="N28" s="73"/>
      <c r="O28" s="73"/>
      <c r="P28" s="75"/>
      <c r="Q28" s="73" t="str">
        <f aca="false">IF(AND(SUM($O28)&lt;=0,SUM($P28)&lt;=0),"",$P28-$O28)</f>
        <v/>
      </c>
      <c r="R28" s="73"/>
      <c r="S28" s="118" t="n">
        <f aca="false">1</f>
        <v>1</v>
      </c>
      <c r="T28" s="118" t="n">
        <f aca="false">0.98</f>
        <v>0.98</v>
      </c>
      <c r="U28" s="118" t="n">
        <f aca="false">0.98</f>
        <v>0.98</v>
      </c>
      <c r="V28" s="75" t="str">
        <f aca="false">IF(SUM($P28)&lt;=0,"",ROUND((($Q28+($O28*(1-$T28)))*$S28)/$U28,0))</f>
        <v/>
      </c>
      <c r="W28" s="118" t="n">
        <f aca="false">0.7</f>
        <v>0.7</v>
      </c>
      <c r="X28" s="118" t="n">
        <f aca="false">1</f>
        <v>1</v>
      </c>
      <c r="Y28" s="75" t="str">
        <f aca="false">IF(SUM($V28,$P28)&lt;=0,"",ROUND(($V28*$W28+$O28)*$X28,0))</f>
        <v/>
      </c>
      <c r="Z28" s="118" t="n">
        <f aca="false">0.95</f>
        <v>0.95</v>
      </c>
      <c r="AA28" s="75" t="str">
        <f aca="false">IF(SUM($Y28)&lt;=0,"",ROUND($Y28*$Z28,0))</f>
        <v/>
      </c>
      <c r="AB28" s="118" t="n">
        <f aca="false">0</f>
        <v>0</v>
      </c>
      <c r="AC28" s="73" t="str">
        <f aca="false">IF(SUM($V28)&lt;=0,"",ROUND(SUM($V28)*SUM($AB28),0))</f>
        <v/>
      </c>
      <c r="AD28" s="73" t="str">
        <f aca="false">IF(SUM($V28)&lt;=0,"",SUM($V28)-SUM($AC28))</f>
        <v/>
      </c>
      <c r="AE28" s="73"/>
      <c r="AF28" s="73"/>
      <c r="AG28" s="118" t="n">
        <f aca="false">0.95</f>
        <v>0.95</v>
      </c>
      <c r="AH28" s="118"/>
      <c r="AI28" s="75" t="str">
        <f aca="false">IF(SUM($AD28)&lt;=0,"",ROUND(SUM($AD28)/SUM($AG28),0))</f>
        <v/>
      </c>
      <c r="AJ28" s="75" t="str">
        <f aca="false">IF(SUM($AH28)&lt;=0,"",ROUND($AI28/$AH28-$AI28,0))</f>
        <v/>
      </c>
      <c r="AK28" s="118" t="n">
        <f aca="false">1</f>
        <v>1</v>
      </c>
      <c r="AL28" s="75" t="str">
        <f aca="false">IF(SUM($AI28)&lt;=0,"",ROUND($AI28*$AK28,0))</f>
        <v/>
      </c>
      <c r="AM28" s="73"/>
      <c r="AN28" s="75"/>
    </row>
    <row r="29" customFormat="false" ht="15" hidden="false" customHeight="false" outlineLevel="0" collapsed="false">
      <c r="A29" s="53" t="s">
        <v>143</v>
      </c>
      <c r="B29" s="53" t="s">
        <v>115</v>
      </c>
      <c r="C29" s="53" t="s">
        <v>1072</v>
      </c>
      <c r="D29" s="53" t="str">
        <f aca="false">B29&amp;"|"&amp;C29</f>
        <v>Butha Buthe [#SNU] [mvPRqBFtVC0]|TG</v>
      </c>
      <c r="E29" s="75"/>
      <c r="F29" s="75"/>
      <c r="G29" s="192"/>
      <c r="H29" s="73"/>
      <c r="I29" s="75"/>
      <c r="J29" s="73"/>
      <c r="K29" s="75"/>
      <c r="L29" s="73"/>
      <c r="M29" s="75"/>
      <c r="N29" s="73"/>
      <c r="O29" s="73"/>
      <c r="P29" s="75"/>
      <c r="Q29" s="73" t="str">
        <f aca="false">IF(AND(SUM($O29)&lt;=0,SUM($P29)&lt;=0),"",$P29-$O29)</f>
        <v/>
      </c>
      <c r="R29" s="73"/>
      <c r="S29" s="118" t="n">
        <f aca="false">1</f>
        <v>1</v>
      </c>
      <c r="T29" s="118" t="n">
        <f aca="false">0.98</f>
        <v>0.98</v>
      </c>
      <c r="U29" s="118" t="n">
        <f aca="false">0.98</f>
        <v>0.98</v>
      </c>
      <c r="V29" s="75" t="str">
        <f aca="false">IF(SUM($P29)&lt;=0,"",ROUND((($Q29+($O29*(1-$T29)))*$S29)/$U29,0))</f>
        <v/>
      </c>
      <c r="W29" s="118" t="n">
        <f aca="false">0.7</f>
        <v>0.7</v>
      </c>
      <c r="X29" s="118" t="n">
        <f aca="false">1</f>
        <v>1</v>
      </c>
      <c r="Y29" s="75" t="str">
        <f aca="false">IF(SUM($V29,$P29)&lt;=0,"",ROUND(($V29*$W29+$O29)*$X29,0))</f>
        <v/>
      </c>
      <c r="Z29" s="118" t="n">
        <f aca="false">0.95</f>
        <v>0.95</v>
      </c>
      <c r="AA29" s="75" t="str">
        <f aca="false">IF(SUM($Y29)&lt;=0,"",ROUND($Y29*$Z29,0))</f>
        <v/>
      </c>
      <c r="AB29" s="118" t="n">
        <f aca="false">0</f>
        <v>0</v>
      </c>
      <c r="AC29" s="73" t="str">
        <f aca="false">IF(SUM($V29)&lt;=0,"",ROUND(SUM($V29)*SUM($AB29),0))</f>
        <v/>
      </c>
      <c r="AD29" s="73" t="str">
        <f aca="false">IF(SUM($V29)&lt;=0,"",SUM($V29)-SUM($AC29))</f>
        <v/>
      </c>
      <c r="AE29" s="73"/>
      <c r="AF29" s="73"/>
      <c r="AG29" s="118" t="n">
        <f aca="false">0.95</f>
        <v>0.95</v>
      </c>
      <c r="AH29" s="118"/>
      <c r="AI29" s="75" t="str">
        <f aca="false">IF(SUM($AD29)&lt;=0,"",ROUND(SUM($AD29)/SUM($AG29),0))</f>
        <v/>
      </c>
      <c r="AJ29" s="75" t="str">
        <f aca="false">IF(SUM($AH29)&lt;=0,"",ROUND($AI29/$AH29-$AI29,0))</f>
        <v/>
      </c>
      <c r="AK29" s="118" t="n">
        <f aca="false">1</f>
        <v>1</v>
      </c>
      <c r="AL29" s="75" t="str">
        <f aca="false">IF(SUM($AI29)&lt;=0,"",ROUND($AI29*$AK29,0))</f>
        <v/>
      </c>
      <c r="AM29" s="73"/>
      <c r="AN29" s="75"/>
    </row>
    <row r="30" customFormat="false" ht="15" hidden="false" customHeight="false" outlineLevel="0" collapsed="false">
      <c r="A30" s="53" t="s">
        <v>144</v>
      </c>
      <c r="B30" s="53" t="s">
        <v>103</v>
      </c>
      <c r="C30" s="53" t="s">
        <v>1068</v>
      </c>
      <c r="D30" s="53" t="str">
        <f aca="false">B30&amp;"|"&amp;C30</f>
        <v>Leribe [#SNU] [FjSmRywOWUp]|FSW</v>
      </c>
      <c r="E30" s="75"/>
      <c r="F30" s="75"/>
      <c r="G30" s="192"/>
      <c r="H30" s="73" t="n">
        <v>2</v>
      </c>
      <c r="I30" s="75"/>
      <c r="J30" s="73" t="n">
        <v>22</v>
      </c>
      <c r="K30" s="75"/>
      <c r="L30" s="73" t="n">
        <v>48</v>
      </c>
      <c r="M30" s="75"/>
      <c r="N30" s="73" t="n">
        <v>5</v>
      </c>
      <c r="O30" s="73" t="n">
        <v>44</v>
      </c>
      <c r="P30" s="75"/>
      <c r="Q30" s="73" t="n">
        <f aca="false">IF(AND(SUM($O30)&lt;=0,SUM($P30)&lt;=0),"",$P30-$O30)</f>
        <v>-44</v>
      </c>
      <c r="R30" s="73" t="n">
        <v>25</v>
      </c>
      <c r="S30" s="118" t="n">
        <f aca="false">1</f>
        <v>1</v>
      </c>
      <c r="T30" s="118" t="n">
        <f aca="false">0.98</f>
        <v>0.98</v>
      </c>
      <c r="U30" s="118" t="n">
        <f aca="false">0.98</f>
        <v>0.98</v>
      </c>
      <c r="V30" s="75" t="str">
        <f aca="false">IF(SUM($P30)&lt;=0,"",ROUND((($Q30+($O30*(1-$T30)))*$S30)/$U30,0))</f>
        <v/>
      </c>
      <c r="W30" s="118" t="n">
        <f aca="false">0.7</f>
        <v>0.7</v>
      </c>
      <c r="X30" s="118" t="n">
        <f aca="false">1</f>
        <v>1</v>
      </c>
      <c r="Y30" s="75" t="str">
        <f aca="false">IF(SUM($V30,$P30)&lt;=0,"",ROUND(($V30*$W30+$O30)*$X30,0))</f>
        <v/>
      </c>
      <c r="Z30" s="118" t="n">
        <f aca="false">0.95</f>
        <v>0.95</v>
      </c>
      <c r="AA30" s="75" t="str">
        <f aca="false">IF(SUM($Y30)&lt;=0,"",ROUND($Y30*$Z30,0))</f>
        <v/>
      </c>
      <c r="AB30" s="118" t="n">
        <f aca="false">0</f>
        <v>0</v>
      </c>
      <c r="AC30" s="73" t="str">
        <f aca="false">IF(SUM($V30)&lt;=0,"",ROUND(SUM($V30)*SUM($AB30),0))</f>
        <v/>
      </c>
      <c r="AD30" s="73" t="str">
        <f aca="false">IF(SUM($V30)&lt;=0,"",SUM($V30)-SUM($AC30))</f>
        <v/>
      </c>
      <c r="AE30" s="73" t="n">
        <v>20</v>
      </c>
      <c r="AF30" s="73" t="n">
        <v>19</v>
      </c>
      <c r="AG30" s="118" t="n">
        <f aca="false">0.95</f>
        <v>0.95</v>
      </c>
      <c r="AH30" s="118"/>
      <c r="AI30" s="75" t="str">
        <f aca="false">IF(SUM($AD30)&lt;=0,"",ROUND(SUM($AD30)/SUM($AG30),0))</f>
        <v/>
      </c>
      <c r="AJ30" s="75" t="str">
        <f aca="false">IF(SUM($AH30)&lt;=0,"",ROUND($AI30/$AH30-$AI30,0))</f>
        <v/>
      </c>
      <c r="AK30" s="118" t="n">
        <f aca="false">1</f>
        <v>1</v>
      </c>
      <c r="AL30" s="75" t="str">
        <f aca="false">IF(SUM($AI30)&lt;=0,"",ROUND($AI30*$AK30,0))</f>
        <v/>
      </c>
      <c r="AM30" s="73" t="n">
        <v>26</v>
      </c>
      <c r="AN30" s="75"/>
    </row>
    <row r="31" customFormat="false" ht="15" hidden="false" customHeight="false" outlineLevel="0" collapsed="false">
      <c r="A31" s="53" t="s">
        <v>144</v>
      </c>
      <c r="B31" s="53" t="s">
        <v>103</v>
      </c>
      <c r="C31" s="53" t="s">
        <v>1069</v>
      </c>
      <c r="D31" s="53" t="str">
        <f aca="false">B31&amp;"|"&amp;C31</f>
        <v>Leribe [#SNU] [FjSmRywOWUp]|MSM</v>
      </c>
      <c r="E31" s="75"/>
      <c r="F31" s="75"/>
      <c r="G31" s="192"/>
      <c r="H31" s="73" t="n">
        <v>38</v>
      </c>
      <c r="I31" s="75"/>
      <c r="J31" s="73" t="n">
        <v>15</v>
      </c>
      <c r="K31" s="75"/>
      <c r="L31" s="126" t="n">
        <v>23</v>
      </c>
      <c r="M31" s="75"/>
      <c r="N31" s="73" t="n">
        <v>27</v>
      </c>
      <c r="O31" s="73" t="n">
        <v>7</v>
      </c>
      <c r="P31" s="75"/>
      <c r="Q31" s="73" t="n">
        <f aca="false">IF(AND(SUM($O31)&lt;=0,SUM($P31)&lt;=0),"",$P31-$O31)</f>
        <v>-7</v>
      </c>
      <c r="R31" s="73" t="n">
        <v>34</v>
      </c>
      <c r="S31" s="118" t="n">
        <f aca="false">1</f>
        <v>1</v>
      </c>
      <c r="T31" s="118" t="n">
        <f aca="false">0.98</f>
        <v>0.98</v>
      </c>
      <c r="U31" s="118" t="n">
        <f aca="false">0.98</f>
        <v>0.98</v>
      </c>
      <c r="V31" s="75" t="str">
        <f aca="false">IF(SUM($P31)&lt;=0,"",ROUND((($Q31+($O31*(1-$T31)))*$S31)/$U31,0))</f>
        <v/>
      </c>
      <c r="W31" s="118" t="n">
        <f aca="false">0.7</f>
        <v>0.7</v>
      </c>
      <c r="X31" s="118" t="n">
        <f aca="false">1</f>
        <v>1</v>
      </c>
      <c r="Y31" s="75" t="str">
        <f aca="false">IF(SUM($V31,$P31)&lt;=0,"",ROUND(($V31*$W31+$O31)*$X31,0))</f>
        <v/>
      </c>
      <c r="Z31" s="118" t="n">
        <f aca="false">0.95</f>
        <v>0.95</v>
      </c>
      <c r="AA31" s="75" t="str">
        <f aca="false">IF(SUM($Y31)&lt;=0,"",ROUND($Y31*$Z31,0))</f>
        <v/>
      </c>
      <c r="AB31" s="118" t="n">
        <f aca="false">0</f>
        <v>0</v>
      </c>
      <c r="AC31" s="73" t="str">
        <f aca="false">IF(SUM($V31)&lt;=0,"",ROUND(SUM($V31)*SUM($AB31),0))</f>
        <v/>
      </c>
      <c r="AD31" s="73" t="str">
        <f aca="false">IF(SUM($V31)&lt;=0,"",SUM($V31)-SUM($AC31))</f>
        <v/>
      </c>
      <c r="AE31" s="73" t="n">
        <v>47</v>
      </c>
      <c r="AF31" s="73" t="n">
        <v>31</v>
      </c>
      <c r="AG31" s="118" t="n">
        <f aca="false">0.95</f>
        <v>0.95</v>
      </c>
      <c r="AH31" s="118"/>
      <c r="AI31" s="75" t="str">
        <f aca="false">IF(SUM($AD31)&lt;=0,"",ROUND(SUM($AD31)/SUM($AG31),0))</f>
        <v/>
      </c>
      <c r="AJ31" s="75" t="str">
        <f aca="false">IF(SUM($AH31)&lt;=0,"",ROUND($AI31/$AH31-$AI31,0))</f>
        <v/>
      </c>
      <c r="AK31" s="118" t="n">
        <f aca="false">1</f>
        <v>1</v>
      </c>
      <c r="AL31" s="75" t="str">
        <f aca="false">IF(SUM($AI31)&lt;=0,"",ROUND($AI31*$AK31,0))</f>
        <v/>
      </c>
      <c r="AM31" s="73" t="n">
        <v>45</v>
      </c>
      <c r="AN31" s="75"/>
    </row>
    <row r="32" customFormat="false" ht="15" hidden="false" customHeight="false" outlineLevel="0" collapsed="false">
      <c r="A32" s="53" t="s">
        <v>144</v>
      </c>
      <c r="B32" s="53" t="s">
        <v>103</v>
      </c>
      <c r="C32" s="53" t="s">
        <v>1070</v>
      </c>
      <c r="D32" s="53" t="str">
        <f aca="false">B32&amp;"|"&amp;C32</f>
        <v>Leribe [#SNU] [FjSmRywOWUp]|People in prisons and other enclosed settings</v>
      </c>
      <c r="E32" s="75"/>
      <c r="F32" s="75"/>
      <c r="G32" s="192"/>
      <c r="H32" s="73"/>
      <c r="I32" s="75"/>
      <c r="J32" s="73"/>
      <c r="K32" s="75"/>
      <c r="L32" s="126"/>
      <c r="M32" s="75"/>
      <c r="N32" s="73" t="n">
        <v>43</v>
      </c>
      <c r="O32" s="73"/>
      <c r="P32" s="75"/>
      <c r="Q32" s="73" t="str">
        <f aca="false">IF(AND(SUM($O32)&lt;=0,SUM($P32)&lt;=0),"",$P32-$O32)</f>
        <v/>
      </c>
      <c r="R32" s="73"/>
      <c r="S32" s="118" t="n">
        <f aca="false">1</f>
        <v>1</v>
      </c>
      <c r="T32" s="118" t="n">
        <f aca="false">0.98</f>
        <v>0.98</v>
      </c>
      <c r="U32" s="118" t="n">
        <f aca="false">0.98</f>
        <v>0.98</v>
      </c>
      <c r="V32" s="75" t="str">
        <f aca="false">IF(SUM($P32)&lt;=0,"",ROUND((($Q32+($O32*(1-$T32)))*$S32)/$U32,0))</f>
        <v/>
      </c>
      <c r="W32" s="118" t="n">
        <f aca="false">0.7</f>
        <v>0.7</v>
      </c>
      <c r="X32" s="118" t="n">
        <f aca="false">1</f>
        <v>1</v>
      </c>
      <c r="Y32" s="75" t="str">
        <f aca="false">IF(SUM($V32,$P32)&lt;=0,"",ROUND(($V32*$W32+$O32)*$X32,0))</f>
        <v/>
      </c>
      <c r="Z32" s="118" t="n">
        <f aca="false">0.95</f>
        <v>0.95</v>
      </c>
      <c r="AA32" s="75" t="str">
        <f aca="false">IF(SUM($Y32)&lt;=0,"",ROUND($Y32*$Z32,0))</f>
        <v/>
      </c>
      <c r="AB32" s="118" t="n">
        <f aca="false">0</f>
        <v>0</v>
      </c>
      <c r="AC32" s="73" t="str">
        <f aca="false">IF(SUM($V32)&lt;=0,"",ROUND(SUM($V32)*SUM($AB32),0))</f>
        <v/>
      </c>
      <c r="AD32" s="73" t="str">
        <f aca="false">IF(SUM($V32)&lt;=0,"",SUM($V32)-SUM($AC32))</f>
        <v/>
      </c>
      <c r="AE32" s="73"/>
      <c r="AF32" s="73"/>
      <c r="AG32" s="118" t="n">
        <f aca="false">0.95</f>
        <v>0.95</v>
      </c>
      <c r="AH32" s="118"/>
      <c r="AI32" s="75" t="str">
        <f aca="false">IF(SUM($AD32)&lt;=0,"",ROUND(SUM($AD32)/SUM($AG32),0))</f>
        <v/>
      </c>
      <c r="AJ32" s="75" t="str">
        <f aca="false">IF(SUM($AH32)&lt;=0,"",ROUND($AI32/$AH32-$AI32,0))</f>
        <v/>
      </c>
      <c r="AK32" s="118" t="n">
        <f aca="false">1</f>
        <v>1</v>
      </c>
      <c r="AL32" s="75" t="str">
        <f aca="false">IF(SUM($AI32)&lt;=0,"",ROUND($AI32*$AK32,0))</f>
        <v/>
      </c>
      <c r="AM32" s="73"/>
      <c r="AN32" s="75"/>
    </row>
    <row r="33" customFormat="false" ht="15" hidden="false" customHeight="false" outlineLevel="0" collapsed="false">
      <c r="A33" s="53" t="s">
        <v>144</v>
      </c>
      <c r="B33" s="53" t="s">
        <v>103</v>
      </c>
      <c r="C33" s="53" t="s">
        <v>1071</v>
      </c>
      <c r="D33" s="53" t="str">
        <f aca="false">B33&amp;"|"&amp;C33</f>
        <v>Leribe [#SNU] [FjSmRywOWUp]|PWID</v>
      </c>
      <c r="E33" s="75"/>
      <c r="F33" s="75"/>
      <c r="G33" s="192"/>
      <c r="H33" s="73"/>
      <c r="I33" s="75"/>
      <c r="J33" s="73"/>
      <c r="K33" s="75"/>
      <c r="L33" s="73"/>
      <c r="M33" s="75"/>
      <c r="N33" s="73"/>
      <c r="O33" s="73"/>
      <c r="P33" s="75"/>
      <c r="Q33" s="73" t="str">
        <f aca="false">IF(AND(SUM($O33)&lt;=0,SUM($P33)&lt;=0),"",$P33-$O33)</f>
        <v/>
      </c>
      <c r="R33" s="73"/>
      <c r="S33" s="118" t="n">
        <f aca="false">1</f>
        <v>1</v>
      </c>
      <c r="T33" s="118" t="n">
        <f aca="false">0.98</f>
        <v>0.98</v>
      </c>
      <c r="U33" s="118" t="n">
        <f aca="false">0.98</f>
        <v>0.98</v>
      </c>
      <c r="V33" s="75" t="str">
        <f aca="false">IF(SUM($P33)&lt;=0,"",ROUND((($Q33+($O33*(1-$T33)))*$S33)/$U33,0))</f>
        <v/>
      </c>
      <c r="W33" s="118" t="n">
        <f aca="false">0.7</f>
        <v>0.7</v>
      </c>
      <c r="X33" s="118" t="n">
        <f aca="false">1</f>
        <v>1</v>
      </c>
      <c r="Y33" s="75" t="str">
        <f aca="false">IF(SUM($V33,$P33)&lt;=0,"",ROUND(($V33*$W33+$O33)*$X33,0))</f>
        <v/>
      </c>
      <c r="Z33" s="118" t="n">
        <f aca="false">0.95</f>
        <v>0.95</v>
      </c>
      <c r="AA33" s="75" t="str">
        <f aca="false">IF(SUM($Y33)&lt;=0,"",ROUND($Y33*$Z33,0))</f>
        <v/>
      </c>
      <c r="AB33" s="118" t="n">
        <f aca="false">0</f>
        <v>0</v>
      </c>
      <c r="AC33" s="73" t="str">
        <f aca="false">IF(SUM($V33)&lt;=0,"",ROUND(SUM($V33)*SUM($AB33),0))</f>
        <v/>
      </c>
      <c r="AD33" s="73" t="str">
        <f aca="false">IF(SUM($V33)&lt;=0,"",SUM($V33)-SUM($AC33))</f>
        <v/>
      </c>
      <c r="AE33" s="73"/>
      <c r="AF33" s="73"/>
      <c r="AG33" s="118" t="n">
        <f aca="false">0.95</f>
        <v>0.95</v>
      </c>
      <c r="AH33" s="118"/>
      <c r="AI33" s="75" t="str">
        <f aca="false">IF(SUM($AD33)&lt;=0,"",ROUND(SUM($AD33)/SUM($AG33),0))</f>
        <v/>
      </c>
      <c r="AJ33" s="75" t="str">
        <f aca="false">IF(SUM($AH33)&lt;=0,"",ROUND($AI33/$AH33-$AI33,0))</f>
        <v/>
      </c>
      <c r="AK33" s="118" t="n">
        <f aca="false">1</f>
        <v>1</v>
      </c>
      <c r="AL33" s="75" t="str">
        <f aca="false">IF(SUM($AI33)&lt;=0,"",ROUND($AI33*$AK33,0))</f>
        <v/>
      </c>
      <c r="AM33" s="73"/>
      <c r="AN33" s="75"/>
    </row>
    <row r="34" customFormat="false" ht="15" hidden="false" customHeight="false" outlineLevel="0" collapsed="false">
      <c r="A34" s="53" t="s">
        <v>144</v>
      </c>
      <c r="B34" s="53" t="s">
        <v>103</v>
      </c>
      <c r="C34" s="53" t="s">
        <v>1072</v>
      </c>
      <c r="D34" s="53" t="str">
        <f aca="false">B34&amp;"|"&amp;C34</f>
        <v>Leribe [#SNU] [FjSmRywOWUp]|TG</v>
      </c>
      <c r="E34" s="75"/>
      <c r="F34" s="75"/>
      <c r="G34" s="192"/>
      <c r="H34" s="73"/>
      <c r="I34" s="75"/>
      <c r="J34" s="73"/>
      <c r="K34" s="75"/>
      <c r="L34" s="126"/>
      <c r="M34" s="75"/>
      <c r="N34" s="73"/>
      <c r="O34" s="73"/>
      <c r="P34" s="75"/>
      <c r="Q34" s="73" t="str">
        <f aca="false">IF(AND(SUM($O34)&lt;=0,SUM($P34)&lt;=0),"",$P34-$O34)</f>
        <v/>
      </c>
      <c r="R34" s="73"/>
      <c r="S34" s="118" t="n">
        <f aca="false">1</f>
        <v>1</v>
      </c>
      <c r="T34" s="118" t="n">
        <f aca="false">0.98</f>
        <v>0.98</v>
      </c>
      <c r="U34" s="118" t="n">
        <f aca="false">0.98</f>
        <v>0.98</v>
      </c>
      <c r="V34" s="75" t="str">
        <f aca="false">IF(SUM($P34)&lt;=0,"",ROUND((($Q34+($O34*(1-$T34)))*$S34)/$U34,0))</f>
        <v/>
      </c>
      <c r="W34" s="118" t="n">
        <f aca="false">0.7</f>
        <v>0.7</v>
      </c>
      <c r="X34" s="118" t="n">
        <f aca="false">1</f>
        <v>1</v>
      </c>
      <c r="Y34" s="75" t="str">
        <f aca="false">IF(SUM($V34,$P34)&lt;=0,"",ROUND(($V34*$W34+$O34)*$X34,0))</f>
        <v/>
      </c>
      <c r="Z34" s="118" t="n">
        <f aca="false">0.95</f>
        <v>0.95</v>
      </c>
      <c r="AA34" s="75" t="str">
        <f aca="false">IF(SUM($Y34)&lt;=0,"",ROUND($Y34*$Z34,0))</f>
        <v/>
      </c>
      <c r="AB34" s="118" t="n">
        <f aca="false">0</f>
        <v>0</v>
      </c>
      <c r="AC34" s="73" t="str">
        <f aca="false">IF(SUM($V34)&lt;=0,"",ROUND(SUM($V34)*SUM($AB34),0))</f>
        <v/>
      </c>
      <c r="AD34" s="73" t="str">
        <f aca="false">IF(SUM($V34)&lt;=0,"",SUM($V34)-SUM($AC34))</f>
        <v/>
      </c>
      <c r="AE34" s="73"/>
      <c r="AF34" s="73"/>
      <c r="AG34" s="118" t="n">
        <f aca="false">0.95</f>
        <v>0.95</v>
      </c>
      <c r="AH34" s="118"/>
      <c r="AI34" s="75" t="str">
        <f aca="false">IF(SUM($AD34)&lt;=0,"",ROUND(SUM($AD34)/SUM($AG34),0))</f>
        <v/>
      </c>
      <c r="AJ34" s="75" t="str">
        <f aca="false">IF(SUM($AH34)&lt;=0,"",ROUND($AI34/$AH34-$AI34,0))</f>
        <v/>
      </c>
      <c r="AK34" s="118" t="n">
        <f aca="false">1</f>
        <v>1</v>
      </c>
      <c r="AL34" s="75" t="str">
        <f aca="false">IF(SUM($AI34)&lt;=0,"",ROUND($AI34*$AK34,0))</f>
        <v/>
      </c>
      <c r="AM34" s="73"/>
      <c r="AN34" s="75"/>
    </row>
    <row r="35" customFormat="false" ht="15" hidden="false" customHeight="false" outlineLevel="0" collapsed="false">
      <c r="A35" s="53" t="s">
        <v>145</v>
      </c>
      <c r="B35" s="53" t="s">
        <v>107</v>
      </c>
      <c r="C35" s="53" t="s">
        <v>1068</v>
      </c>
      <c r="D35" s="53" t="str">
        <f aca="false">B35&amp;"|"&amp;C35</f>
        <v>Mafeteng [#SNU] [#DREAMS] [DiFv5WXIHM5]|FSW</v>
      </c>
      <c r="E35" s="75"/>
      <c r="F35" s="75"/>
      <c r="G35" s="192"/>
      <c r="H35" s="73"/>
      <c r="I35" s="75"/>
      <c r="J35" s="73"/>
      <c r="K35" s="75"/>
      <c r="L35" s="126"/>
      <c r="M35" s="75"/>
      <c r="N35" s="73" t="n">
        <v>19</v>
      </c>
      <c r="O35" s="73"/>
      <c r="P35" s="75"/>
      <c r="Q35" s="73" t="str">
        <f aca="false">IF(AND(SUM($O35)&lt;=0,SUM($P35)&lt;=0),"",$P35-$O35)</f>
        <v/>
      </c>
      <c r="R35" s="73"/>
      <c r="S35" s="118" t="n">
        <f aca="false">1</f>
        <v>1</v>
      </c>
      <c r="T35" s="118" t="n">
        <f aca="false">0.98</f>
        <v>0.98</v>
      </c>
      <c r="U35" s="118" t="n">
        <f aca="false">0.98</f>
        <v>0.98</v>
      </c>
      <c r="V35" s="75" t="str">
        <f aca="false">IF(SUM($P35)&lt;=0,"",ROUND((($Q35+($O35*(1-$T35)))*$S35)/$U35,0))</f>
        <v/>
      </c>
      <c r="W35" s="118" t="n">
        <f aca="false">0.7</f>
        <v>0.7</v>
      </c>
      <c r="X35" s="118" t="n">
        <f aca="false">1</f>
        <v>1</v>
      </c>
      <c r="Y35" s="75" t="str">
        <f aca="false">IF(SUM($V35,$P35)&lt;=0,"",ROUND(($V35*$W35+$O35)*$X35,0))</f>
        <v/>
      </c>
      <c r="Z35" s="118" t="n">
        <f aca="false">0.95</f>
        <v>0.95</v>
      </c>
      <c r="AA35" s="75" t="str">
        <f aca="false">IF(SUM($Y35)&lt;=0,"",ROUND($Y35*$Z35,0))</f>
        <v/>
      </c>
      <c r="AB35" s="118" t="n">
        <f aca="false">0</f>
        <v>0</v>
      </c>
      <c r="AC35" s="73" t="str">
        <f aca="false">IF(SUM($V35)&lt;=0,"",ROUND(SUM($V35)*SUM($AB35),0))</f>
        <v/>
      </c>
      <c r="AD35" s="73" t="str">
        <f aca="false">IF(SUM($V35)&lt;=0,"",SUM($V35)-SUM($AC35))</f>
        <v/>
      </c>
      <c r="AE35" s="73"/>
      <c r="AF35" s="73"/>
      <c r="AG35" s="118" t="n">
        <f aca="false">0.95</f>
        <v>0.95</v>
      </c>
      <c r="AH35" s="118"/>
      <c r="AI35" s="75" t="str">
        <f aca="false">IF(SUM($AD35)&lt;=0,"",ROUND(SUM($AD35)/SUM($AG35),0))</f>
        <v/>
      </c>
      <c r="AJ35" s="75" t="str">
        <f aca="false">IF(SUM($AH35)&lt;=0,"",ROUND($AI35/$AH35-$AI35,0))</f>
        <v/>
      </c>
      <c r="AK35" s="118" t="n">
        <f aca="false">1</f>
        <v>1</v>
      </c>
      <c r="AL35" s="75" t="str">
        <f aca="false">IF(SUM($AI35)&lt;=0,"",ROUND($AI35*$AK35,0))</f>
        <v/>
      </c>
      <c r="AM35" s="73"/>
      <c r="AN35" s="75"/>
    </row>
    <row r="36" customFormat="false" ht="15" hidden="false" customHeight="false" outlineLevel="0" collapsed="false">
      <c r="A36" s="53" t="s">
        <v>145</v>
      </c>
      <c r="B36" s="53" t="s">
        <v>107</v>
      </c>
      <c r="C36" s="53" t="s">
        <v>1069</v>
      </c>
      <c r="D36" s="53" t="str">
        <f aca="false">B36&amp;"|"&amp;C36</f>
        <v>Mafeteng [#SNU] [#DREAMS] [DiFv5WXIHM5]|MSM</v>
      </c>
      <c r="E36" s="75"/>
      <c r="F36" s="75"/>
      <c r="G36" s="192"/>
      <c r="H36" s="73"/>
      <c r="I36" s="75"/>
      <c r="J36" s="73"/>
      <c r="K36" s="75"/>
      <c r="L36" s="73"/>
      <c r="M36" s="75"/>
      <c r="N36" s="73" t="n">
        <v>7</v>
      </c>
      <c r="O36" s="73"/>
      <c r="P36" s="75"/>
      <c r="Q36" s="73" t="str">
        <f aca="false">IF(AND(SUM($O36)&lt;=0,SUM($P36)&lt;=0),"",$P36-$O36)</f>
        <v/>
      </c>
      <c r="R36" s="73"/>
      <c r="S36" s="118" t="n">
        <f aca="false">1</f>
        <v>1</v>
      </c>
      <c r="T36" s="118" t="n">
        <f aca="false">0.98</f>
        <v>0.98</v>
      </c>
      <c r="U36" s="118" t="n">
        <f aca="false">0.98</f>
        <v>0.98</v>
      </c>
      <c r="V36" s="75" t="str">
        <f aca="false">IF(SUM($P36)&lt;=0,"",ROUND((($Q36+($O36*(1-$T36)))*$S36)/$U36,0))</f>
        <v/>
      </c>
      <c r="W36" s="118" t="n">
        <f aca="false">0.7</f>
        <v>0.7</v>
      </c>
      <c r="X36" s="118" t="n">
        <f aca="false">1</f>
        <v>1</v>
      </c>
      <c r="Y36" s="75" t="str">
        <f aca="false">IF(SUM($V36,$P36)&lt;=0,"",ROUND(($V36*$W36+$O36)*$X36,0))</f>
        <v/>
      </c>
      <c r="Z36" s="118" t="n">
        <f aca="false">0.95</f>
        <v>0.95</v>
      </c>
      <c r="AA36" s="75" t="str">
        <f aca="false">IF(SUM($Y36)&lt;=0,"",ROUND($Y36*$Z36,0))</f>
        <v/>
      </c>
      <c r="AB36" s="118" t="n">
        <f aca="false">0</f>
        <v>0</v>
      </c>
      <c r="AC36" s="73" t="str">
        <f aca="false">IF(SUM($V36)&lt;=0,"",ROUND(SUM($V36)*SUM($AB36),0))</f>
        <v/>
      </c>
      <c r="AD36" s="73" t="str">
        <f aca="false">IF(SUM($V36)&lt;=0,"",SUM($V36)-SUM($AC36))</f>
        <v/>
      </c>
      <c r="AE36" s="73"/>
      <c r="AF36" s="73"/>
      <c r="AG36" s="118" t="n">
        <f aca="false">0.95</f>
        <v>0.95</v>
      </c>
      <c r="AH36" s="118"/>
      <c r="AI36" s="75" t="str">
        <f aca="false">IF(SUM($AD36)&lt;=0,"",ROUND(SUM($AD36)/SUM($AG36),0))</f>
        <v/>
      </c>
      <c r="AJ36" s="75" t="str">
        <f aca="false">IF(SUM($AH36)&lt;=0,"",ROUND($AI36/$AH36-$AI36,0))</f>
        <v/>
      </c>
      <c r="AK36" s="118" t="n">
        <f aca="false">1</f>
        <v>1</v>
      </c>
      <c r="AL36" s="75" t="str">
        <f aca="false">IF(SUM($AI36)&lt;=0,"",ROUND($AI36*$AK36,0))</f>
        <v/>
      </c>
      <c r="AM36" s="73"/>
      <c r="AN36" s="75"/>
    </row>
    <row r="37" customFormat="false" ht="15" hidden="false" customHeight="false" outlineLevel="0" collapsed="false">
      <c r="A37" s="53" t="s">
        <v>145</v>
      </c>
      <c r="B37" s="53" t="s">
        <v>107</v>
      </c>
      <c r="C37" s="53" t="s">
        <v>1070</v>
      </c>
      <c r="D37" s="53" t="str">
        <f aca="false">B37&amp;"|"&amp;C37</f>
        <v>Mafeteng [#SNU] [#DREAMS] [DiFv5WXIHM5]|People in prisons and other enclosed settings</v>
      </c>
      <c r="E37" s="75"/>
      <c r="F37" s="75"/>
      <c r="G37" s="192"/>
      <c r="H37" s="73"/>
      <c r="I37" s="75"/>
      <c r="J37" s="73"/>
      <c r="K37" s="75"/>
      <c r="L37" s="73"/>
      <c r="M37" s="75"/>
      <c r="N37" s="73"/>
      <c r="O37" s="73"/>
      <c r="P37" s="75"/>
      <c r="Q37" s="73" t="str">
        <f aca="false">IF(AND(SUM($O37)&lt;=0,SUM($P37)&lt;=0),"",$P37-$O37)</f>
        <v/>
      </c>
      <c r="R37" s="73"/>
      <c r="S37" s="118" t="n">
        <f aca="false">1</f>
        <v>1</v>
      </c>
      <c r="T37" s="118" t="n">
        <f aca="false">0.98</f>
        <v>0.98</v>
      </c>
      <c r="U37" s="118" t="n">
        <f aca="false">0.98</f>
        <v>0.98</v>
      </c>
      <c r="V37" s="75" t="str">
        <f aca="false">IF(SUM($P37)&lt;=0,"",ROUND((($Q37+($O37*(1-$T37)))*$S37)/$U37,0))</f>
        <v/>
      </c>
      <c r="W37" s="118" t="n">
        <f aca="false">0.7</f>
        <v>0.7</v>
      </c>
      <c r="X37" s="118" t="n">
        <f aca="false">1</f>
        <v>1</v>
      </c>
      <c r="Y37" s="75" t="str">
        <f aca="false">IF(SUM($V37,$P37)&lt;=0,"",ROUND(($V37*$W37+$O37)*$X37,0))</f>
        <v/>
      </c>
      <c r="Z37" s="118" t="n">
        <f aca="false">0.95</f>
        <v>0.95</v>
      </c>
      <c r="AA37" s="75" t="str">
        <f aca="false">IF(SUM($Y37)&lt;=0,"",ROUND($Y37*$Z37,0))</f>
        <v/>
      </c>
      <c r="AB37" s="118" t="n">
        <f aca="false">0</f>
        <v>0</v>
      </c>
      <c r="AC37" s="73" t="str">
        <f aca="false">IF(SUM($V37)&lt;=0,"",ROUND(SUM($V37)*SUM($AB37),0))</f>
        <v/>
      </c>
      <c r="AD37" s="73" t="str">
        <f aca="false">IF(SUM($V37)&lt;=0,"",SUM($V37)-SUM($AC37))</f>
        <v/>
      </c>
      <c r="AE37" s="73"/>
      <c r="AF37" s="73"/>
      <c r="AG37" s="118" t="n">
        <f aca="false">0.95</f>
        <v>0.95</v>
      </c>
      <c r="AH37" s="118"/>
      <c r="AI37" s="75" t="str">
        <f aca="false">IF(SUM($AD37)&lt;=0,"",ROUND(SUM($AD37)/SUM($AG37),0))</f>
        <v/>
      </c>
      <c r="AJ37" s="75" t="str">
        <f aca="false">IF(SUM($AH37)&lt;=0,"",ROUND($AI37/$AH37-$AI37,0))</f>
        <v/>
      </c>
      <c r="AK37" s="118" t="n">
        <f aca="false">1</f>
        <v>1</v>
      </c>
      <c r="AL37" s="75" t="str">
        <f aca="false">IF(SUM($AI37)&lt;=0,"",ROUND($AI37*$AK37,0))</f>
        <v/>
      </c>
      <c r="AM37" s="73"/>
      <c r="AN37" s="75"/>
    </row>
    <row r="38" customFormat="false" ht="15" hidden="false" customHeight="false" outlineLevel="0" collapsed="false">
      <c r="A38" s="53" t="s">
        <v>145</v>
      </c>
      <c r="B38" s="53" t="s">
        <v>107</v>
      </c>
      <c r="C38" s="53" t="s">
        <v>1071</v>
      </c>
      <c r="D38" s="53" t="str">
        <f aca="false">B38&amp;"|"&amp;C38</f>
        <v>Mafeteng [#SNU] [#DREAMS] [DiFv5WXIHM5]|PWID</v>
      </c>
      <c r="E38" s="75"/>
      <c r="F38" s="75"/>
      <c r="G38" s="192"/>
      <c r="H38" s="73"/>
      <c r="I38" s="75"/>
      <c r="J38" s="73"/>
      <c r="K38" s="75"/>
      <c r="L38" s="126"/>
      <c r="M38" s="75"/>
      <c r="N38" s="73"/>
      <c r="O38" s="73"/>
      <c r="P38" s="75"/>
      <c r="Q38" s="73" t="str">
        <f aca="false">IF(AND(SUM($O38)&lt;=0,SUM($P38)&lt;=0),"",$P38-$O38)</f>
        <v/>
      </c>
      <c r="R38" s="73"/>
      <c r="S38" s="118" t="n">
        <f aca="false">1</f>
        <v>1</v>
      </c>
      <c r="T38" s="118" t="n">
        <f aca="false">0.98</f>
        <v>0.98</v>
      </c>
      <c r="U38" s="118" t="n">
        <f aca="false">0.98</f>
        <v>0.98</v>
      </c>
      <c r="V38" s="75" t="str">
        <f aca="false">IF(SUM($P38)&lt;=0,"",ROUND((($Q38+($O38*(1-$T38)))*$S38)/$U38,0))</f>
        <v/>
      </c>
      <c r="W38" s="118" t="n">
        <f aca="false">0.7</f>
        <v>0.7</v>
      </c>
      <c r="X38" s="118" t="n">
        <f aca="false">1</f>
        <v>1</v>
      </c>
      <c r="Y38" s="75" t="str">
        <f aca="false">IF(SUM($V38,$P38)&lt;=0,"",ROUND(($V38*$W38+$O38)*$X38,0))</f>
        <v/>
      </c>
      <c r="Z38" s="118" t="n">
        <f aca="false">0.95</f>
        <v>0.95</v>
      </c>
      <c r="AA38" s="75" t="str">
        <f aca="false">IF(SUM($Y38)&lt;=0,"",ROUND($Y38*$Z38,0))</f>
        <v/>
      </c>
      <c r="AB38" s="118" t="n">
        <f aca="false">0</f>
        <v>0</v>
      </c>
      <c r="AC38" s="73" t="str">
        <f aca="false">IF(SUM($V38)&lt;=0,"",ROUND(SUM($V38)*SUM($AB38),0))</f>
        <v/>
      </c>
      <c r="AD38" s="73" t="str">
        <f aca="false">IF(SUM($V38)&lt;=0,"",SUM($V38)-SUM($AC38))</f>
        <v/>
      </c>
      <c r="AE38" s="73"/>
      <c r="AF38" s="73"/>
      <c r="AG38" s="118" t="n">
        <f aca="false">0.95</f>
        <v>0.95</v>
      </c>
      <c r="AH38" s="118"/>
      <c r="AI38" s="75" t="str">
        <f aca="false">IF(SUM($AD38)&lt;=0,"",ROUND(SUM($AD38)/SUM($AG38),0))</f>
        <v/>
      </c>
      <c r="AJ38" s="75" t="str">
        <f aca="false">IF(SUM($AH38)&lt;=0,"",ROUND($AI38/$AH38-$AI38,0))</f>
        <v/>
      </c>
      <c r="AK38" s="118" t="n">
        <f aca="false">1</f>
        <v>1</v>
      </c>
      <c r="AL38" s="75" t="str">
        <f aca="false">IF(SUM($AI38)&lt;=0,"",ROUND($AI38*$AK38,0))</f>
        <v/>
      </c>
      <c r="AM38" s="73"/>
      <c r="AN38" s="75"/>
    </row>
    <row r="39" customFormat="false" ht="15" hidden="false" customHeight="false" outlineLevel="0" collapsed="false">
      <c r="A39" s="53" t="s">
        <v>145</v>
      </c>
      <c r="B39" s="53" t="s">
        <v>107</v>
      </c>
      <c r="C39" s="53" t="s">
        <v>1072</v>
      </c>
      <c r="D39" s="53" t="str">
        <f aca="false">B39&amp;"|"&amp;C39</f>
        <v>Mafeteng [#SNU] [#DREAMS] [DiFv5WXIHM5]|TG</v>
      </c>
      <c r="E39" s="75"/>
      <c r="F39" s="75"/>
      <c r="G39" s="192"/>
      <c r="H39" s="73"/>
      <c r="I39" s="75"/>
      <c r="J39" s="73"/>
      <c r="K39" s="75"/>
      <c r="L39" s="126"/>
      <c r="M39" s="75"/>
      <c r="N39" s="73"/>
      <c r="O39" s="73"/>
      <c r="P39" s="75"/>
      <c r="Q39" s="73" t="str">
        <f aca="false">IF(AND(SUM($O39)&lt;=0,SUM($P39)&lt;=0),"",$P39-$O39)</f>
        <v/>
      </c>
      <c r="R39" s="73"/>
      <c r="S39" s="118" t="n">
        <f aca="false">1</f>
        <v>1</v>
      </c>
      <c r="T39" s="118" t="n">
        <f aca="false">0.98</f>
        <v>0.98</v>
      </c>
      <c r="U39" s="118" t="n">
        <f aca="false">0.98</f>
        <v>0.98</v>
      </c>
      <c r="V39" s="75" t="str">
        <f aca="false">IF(SUM($P39)&lt;=0,"",ROUND((($Q39+($O39*(1-$T39)))*$S39)/$U39,0))</f>
        <v/>
      </c>
      <c r="W39" s="118" t="n">
        <f aca="false">0.7</f>
        <v>0.7</v>
      </c>
      <c r="X39" s="118" t="n">
        <f aca="false">1</f>
        <v>1</v>
      </c>
      <c r="Y39" s="75" t="str">
        <f aca="false">IF(SUM($V39,$P39)&lt;=0,"",ROUND(($V39*$W39+$O39)*$X39,0))</f>
        <v/>
      </c>
      <c r="Z39" s="118" t="n">
        <f aca="false">0.95</f>
        <v>0.95</v>
      </c>
      <c r="AA39" s="75" t="str">
        <f aca="false">IF(SUM($Y39)&lt;=0,"",ROUND($Y39*$Z39,0))</f>
        <v/>
      </c>
      <c r="AB39" s="118" t="n">
        <f aca="false">0</f>
        <v>0</v>
      </c>
      <c r="AC39" s="73" t="str">
        <f aca="false">IF(SUM($V39)&lt;=0,"",ROUND(SUM($V39)*SUM($AB39),0))</f>
        <v/>
      </c>
      <c r="AD39" s="73" t="str">
        <f aca="false">IF(SUM($V39)&lt;=0,"",SUM($V39)-SUM($AC39))</f>
        <v/>
      </c>
      <c r="AE39" s="73"/>
      <c r="AF39" s="73"/>
      <c r="AG39" s="118" t="n">
        <f aca="false">0.95</f>
        <v>0.95</v>
      </c>
      <c r="AH39" s="118"/>
      <c r="AI39" s="75" t="str">
        <f aca="false">IF(SUM($AD39)&lt;=0,"",ROUND(SUM($AD39)/SUM($AG39),0))</f>
        <v/>
      </c>
      <c r="AJ39" s="75" t="str">
        <f aca="false">IF(SUM($AH39)&lt;=0,"",ROUND($AI39/$AH39-$AI39,0))</f>
        <v/>
      </c>
      <c r="AK39" s="118" t="n">
        <f aca="false">1</f>
        <v>1</v>
      </c>
      <c r="AL39" s="75" t="str">
        <f aca="false">IF(SUM($AI39)&lt;=0,"",ROUND($AI39*$AK39,0))</f>
        <v/>
      </c>
      <c r="AM39" s="73"/>
      <c r="AN39" s="75"/>
    </row>
    <row r="40" customFormat="false" ht="15" hidden="false" customHeight="false" outlineLevel="0" collapsed="false">
      <c r="A40" s="53" t="s">
        <v>146</v>
      </c>
      <c r="B40" s="53" t="s">
        <v>45</v>
      </c>
      <c r="C40" s="53" t="s">
        <v>1068</v>
      </c>
      <c r="D40" s="53" t="str">
        <f aca="false">B40&amp;"|"&amp;C40</f>
        <v>Maseru [#SNU] [#DREAMS] [tKOXiaNhAyJ]|FSW</v>
      </c>
      <c r="E40" s="75"/>
      <c r="F40" s="75"/>
      <c r="G40" s="192"/>
      <c r="H40" s="73" t="n">
        <v>23</v>
      </c>
      <c r="I40" s="75"/>
      <c r="J40" s="73" t="n">
        <v>22</v>
      </c>
      <c r="K40" s="75"/>
      <c r="L40" s="73" t="n">
        <v>45</v>
      </c>
      <c r="M40" s="75"/>
      <c r="N40" s="73" t="n">
        <v>21</v>
      </c>
      <c r="O40" s="73" t="n">
        <v>45</v>
      </c>
      <c r="P40" s="75"/>
      <c r="Q40" s="73" t="n">
        <f aca="false">IF(AND(SUM($O40)&lt;=0,SUM($P40)&lt;=0),"",$P40-$O40)</f>
        <v>-45</v>
      </c>
      <c r="R40" s="73" t="n">
        <v>19</v>
      </c>
      <c r="S40" s="118" t="n">
        <f aca="false">1</f>
        <v>1</v>
      </c>
      <c r="T40" s="118" t="n">
        <f aca="false">0.98</f>
        <v>0.98</v>
      </c>
      <c r="U40" s="118" t="n">
        <f aca="false">0.98</f>
        <v>0.98</v>
      </c>
      <c r="V40" s="75" t="str">
        <f aca="false">IF(SUM($P40)&lt;=0,"",ROUND((($Q40+($O40*(1-$T40)))*$S40)/$U40,0))</f>
        <v/>
      </c>
      <c r="W40" s="118" t="n">
        <f aca="false">0.7</f>
        <v>0.7</v>
      </c>
      <c r="X40" s="118" t="n">
        <f aca="false">1</f>
        <v>1</v>
      </c>
      <c r="Y40" s="75" t="str">
        <f aca="false">IF(SUM($V40,$P40)&lt;=0,"",ROUND(($V40*$W40+$O40)*$X40,0))</f>
        <v/>
      </c>
      <c r="Z40" s="118" t="n">
        <f aca="false">0.95</f>
        <v>0.95</v>
      </c>
      <c r="AA40" s="75" t="str">
        <f aca="false">IF(SUM($Y40)&lt;=0,"",ROUND($Y40*$Z40,0))</f>
        <v/>
      </c>
      <c r="AB40" s="118" t="n">
        <f aca="false">0</f>
        <v>0</v>
      </c>
      <c r="AC40" s="73" t="str">
        <f aca="false">IF(SUM($V40)&lt;=0,"",ROUND(SUM($V40)*SUM($AB40),0))</f>
        <v/>
      </c>
      <c r="AD40" s="73" t="str">
        <f aca="false">IF(SUM($V40)&lt;=0,"",SUM($V40)-SUM($AC40))</f>
        <v/>
      </c>
      <c r="AE40" s="73" t="n">
        <v>34</v>
      </c>
      <c r="AF40" s="73" t="n">
        <v>2</v>
      </c>
      <c r="AG40" s="118" t="n">
        <f aca="false">0.95</f>
        <v>0.95</v>
      </c>
      <c r="AH40" s="118"/>
      <c r="AI40" s="75" t="str">
        <f aca="false">IF(SUM($AD40)&lt;=0,"",ROUND(SUM($AD40)/SUM($AG40),0))</f>
        <v/>
      </c>
      <c r="AJ40" s="75" t="str">
        <f aca="false">IF(SUM($AH40)&lt;=0,"",ROUND($AI40/$AH40-$AI40,0))</f>
        <v/>
      </c>
      <c r="AK40" s="118" t="n">
        <f aca="false">1</f>
        <v>1</v>
      </c>
      <c r="AL40" s="75" t="str">
        <f aca="false">IF(SUM($AI40)&lt;=0,"",ROUND($AI40*$AK40,0))</f>
        <v/>
      </c>
      <c r="AM40" s="73" t="n">
        <v>37</v>
      </c>
      <c r="AN40" s="75"/>
    </row>
    <row r="41" customFormat="false" ht="15" hidden="false" customHeight="false" outlineLevel="0" collapsed="false">
      <c r="A41" s="53" t="s">
        <v>146</v>
      </c>
      <c r="B41" s="53" t="s">
        <v>45</v>
      </c>
      <c r="C41" s="53" t="s">
        <v>1069</v>
      </c>
      <c r="D41" s="53" t="str">
        <f aca="false">B41&amp;"|"&amp;C41</f>
        <v>Maseru [#SNU] [#DREAMS] [tKOXiaNhAyJ]|MSM</v>
      </c>
      <c r="E41" s="75"/>
      <c r="F41" s="75"/>
      <c r="G41" s="192"/>
      <c r="H41" s="73" t="n">
        <v>41</v>
      </c>
      <c r="I41" s="75"/>
      <c r="J41" s="73" t="n">
        <v>2</v>
      </c>
      <c r="K41" s="75"/>
      <c r="L41" s="73" t="n">
        <v>48</v>
      </c>
      <c r="M41" s="75"/>
      <c r="N41" s="73" t="n">
        <v>13</v>
      </c>
      <c r="O41" s="73" t="n">
        <v>6</v>
      </c>
      <c r="P41" s="75"/>
      <c r="Q41" s="73" t="n">
        <f aca="false">IF(AND(SUM($O41)&lt;=0,SUM($P41)&lt;=0),"",$P41-$O41)</f>
        <v>-6</v>
      </c>
      <c r="R41" s="73" t="n">
        <v>7</v>
      </c>
      <c r="S41" s="118" t="n">
        <f aca="false">1</f>
        <v>1</v>
      </c>
      <c r="T41" s="118" t="n">
        <f aca="false">0.98</f>
        <v>0.98</v>
      </c>
      <c r="U41" s="118" t="n">
        <f aca="false">0.98</f>
        <v>0.98</v>
      </c>
      <c r="V41" s="75" t="str">
        <f aca="false">IF(SUM($P41)&lt;=0,"",ROUND((($Q41+($O41*(1-$T41)))*$S41)/$U41,0))</f>
        <v/>
      </c>
      <c r="W41" s="118" t="n">
        <f aca="false">0.7</f>
        <v>0.7</v>
      </c>
      <c r="X41" s="118" t="n">
        <f aca="false">1</f>
        <v>1</v>
      </c>
      <c r="Y41" s="75" t="str">
        <f aca="false">IF(SUM($V41,$P41)&lt;=0,"",ROUND(($V41*$W41+$O41)*$X41,0))</f>
        <v/>
      </c>
      <c r="Z41" s="118" t="n">
        <f aca="false">0.95</f>
        <v>0.95</v>
      </c>
      <c r="AA41" s="75" t="str">
        <f aca="false">IF(SUM($Y41)&lt;=0,"",ROUND($Y41*$Z41,0))</f>
        <v/>
      </c>
      <c r="AB41" s="118" t="n">
        <f aca="false">0</f>
        <v>0</v>
      </c>
      <c r="AC41" s="73" t="str">
        <f aca="false">IF(SUM($V41)&lt;=0,"",ROUND(SUM($V41)*SUM($AB41),0))</f>
        <v/>
      </c>
      <c r="AD41" s="73" t="str">
        <f aca="false">IF(SUM($V41)&lt;=0,"",SUM($V41)-SUM($AC41))</f>
        <v/>
      </c>
      <c r="AE41" s="73" t="n">
        <v>10</v>
      </c>
      <c r="AF41" s="73" t="n">
        <v>7</v>
      </c>
      <c r="AG41" s="118" t="n">
        <f aca="false">0.95</f>
        <v>0.95</v>
      </c>
      <c r="AH41" s="118"/>
      <c r="AI41" s="75" t="str">
        <f aca="false">IF(SUM($AD41)&lt;=0,"",ROUND(SUM($AD41)/SUM($AG41),0))</f>
        <v/>
      </c>
      <c r="AJ41" s="75" t="str">
        <f aca="false">IF(SUM($AH41)&lt;=0,"",ROUND($AI41/$AH41-$AI41,0))</f>
        <v/>
      </c>
      <c r="AK41" s="118" t="n">
        <f aca="false">1</f>
        <v>1</v>
      </c>
      <c r="AL41" s="75" t="str">
        <f aca="false">IF(SUM($AI41)&lt;=0,"",ROUND($AI41*$AK41,0))</f>
        <v/>
      </c>
      <c r="AM41" s="73" t="n">
        <v>24</v>
      </c>
      <c r="AN41" s="75"/>
    </row>
    <row r="42" customFormat="false" ht="15" hidden="false" customHeight="false" outlineLevel="0" collapsed="false">
      <c r="A42" s="53" t="s">
        <v>146</v>
      </c>
      <c r="B42" s="53" t="s">
        <v>45</v>
      </c>
      <c r="C42" s="53" t="s">
        <v>1070</v>
      </c>
      <c r="D42" s="53" t="str">
        <f aca="false">B42&amp;"|"&amp;C42</f>
        <v>Maseru [#SNU] [#DREAMS] [tKOXiaNhAyJ]|People in prisons and other enclosed settings</v>
      </c>
      <c r="E42" s="75"/>
      <c r="F42" s="75"/>
      <c r="G42" s="192"/>
      <c r="H42" s="73"/>
      <c r="I42" s="75"/>
      <c r="J42" s="73"/>
      <c r="K42" s="75"/>
      <c r="L42" s="126"/>
      <c r="M42" s="75"/>
      <c r="N42" s="73" t="n">
        <v>4</v>
      </c>
      <c r="O42" s="73"/>
      <c r="P42" s="75"/>
      <c r="Q42" s="73" t="str">
        <f aca="false">IF(AND(SUM($O42)&lt;=0,SUM($P42)&lt;=0),"",$P42-$O42)</f>
        <v/>
      </c>
      <c r="R42" s="73"/>
      <c r="S42" s="118" t="n">
        <f aca="false">1</f>
        <v>1</v>
      </c>
      <c r="T42" s="118" t="n">
        <f aca="false">0.98</f>
        <v>0.98</v>
      </c>
      <c r="U42" s="118" t="n">
        <f aca="false">0.98</f>
        <v>0.98</v>
      </c>
      <c r="V42" s="75" t="str">
        <f aca="false">IF(SUM($P42)&lt;=0,"",ROUND((($Q42+($O42*(1-$T42)))*$S42)/$U42,0))</f>
        <v/>
      </c>
      <c r="W42" s="118" t="n">
        <f aca="false">0.7</f>
        <v>0.7</v>
      </c>
      <c r="X42" s="118" t="n">
        <f aca="false">1</f>
        <v>1</v>
      </c>
      <c r="Y42" s="75" t="str">
        <f aca="false">IF(SUM($V42,$P42)&lt;=0,"",ROUND(($V42*$W42+$O42)*$X42,0))</f>
        <v/>
      </c>
      <c r="Z42" s="118" t="n">
        <f aca="false">0.95</f>
        <v>0.95</v>
      </c>
      <c r="AA42" s="75" t="str">
        <f aca="false">IF(SUM($Y42)&lt;=0,"",ROUND($Y42*$Z42,0))</f>
        <v/>
      </c>
      <c r="AB42" s="118" t="n">
        <f aca="false">0</f>
        <v>0</v>
      </c>
      <c r="AC42" s="73" t="str">
        <f aca="false">IF(SUM($V42)&lt;=0,"",ROUND(SUM($V42)*SUM($AB42),0))</f>
        <v/>
      </c>
      <c r="AD42" s="73" t="str">
        <f aca="false">IF(SUM($V42)&lt;=0,"",SUM($V42)-SUM($AC42))</f>
        <v/>
      </c>
      <c r="AE42" s="73"/>
      <c r="AF42" s="73"/>
      <c r="AG42" s="118" t="n">
        <f aca="false">0.95</f>
        <v>0.95</v>
      </c>
      <c r="AH42" s="118"/>
      <c r="AI42" s="75" t="str">
        <f aca="false">IF(SUM($AD42)&lt;=0,"",ROUND(SUM($AD42)/SUM($AG42),0))</f>
        <v/>
      </c>
      <c r="AJ42" s="75" t="str">
        <f aca="false">IF(SUM($AH42)&lt;=0,"",ROUND($AI42/$AH42-$AI42,0))</f>
        <v/>
      </c>
      <c r="AK42" s="118" t="n">
        <f aca="false">1</f>
        <v>1</v>
      </c>
      <c r="AL42" s="75" t="str">
        <f aca="false">IF(SUM($AI42)&lt;=0,"",ROUND($AI42*$AK42,0))</f>
        <v/>
      </c>
      <c r="AM42" s="73"/>
      <c r="AN42" s="75"/>
    </row>
    <row r="43" customFormat="false" ht="15" hidden="false" customHeight="false" outlineLevel="0" collapsed="false">
      <c r="A43" s="53" t="s">
        <v>146</v>
      </c>
      <c r="B43" s="53" t="s">
        <v>45</v>
      </c>
      <c r="C43" s="53" t="s">
        <v>1071</v>
      </c>
      <c r="D43" s="53" t="str">
        <f aca="false">B43&amp;"|"&amp;C43</f>
        <v>Maseru [#SNU] [#DREAMS] [tKOXiaNhAyJ]|PWID</v>
      </c>
      <c r="E43" s="75"/>
      <c r="F43" s="75"/>
      <c r="G43" s="192"/>
      <c r="H43" s="73"/>
      <c r="I43" s="75"/>
      <c r="J43" s="73"/>
      <c r="K43" s="75"/>
      <c r="L43" s="126"/>
      <c r="M43" s="75"/>
      <c r="N43" s="73"/>
      <c r="O43" s="73"/>
      <c r="P43" s="75"/>
      <c r="Q43" s="73" t="str">
        <f aca="false">IF(AND(SUM($O43)&lt;=0,SUM($P43)&lt;=0),"",$P43-$O43)</f>
        <v/>
      </c>
      <c r="R43" s="73"/>
      <c r="S43" s="118" t="n">
        <f aca="false">1</f>
        <v>1</v>
      </c>
      <c r="T43" s="118" t="n">
        <f aca="false">0.98</f>
        <v>0.98</v>
      </c>
      <c r="U43" s="118" t="n">
        <f aca="false">0.98</f>
        <v>0.98</v>
      </c>
      <c r="V43" s="75" t="str">
        <f aca="false">IF(SUM($P43)&lt;=0,"",ROUND((($Q43+($O43*(1-$T43)))*$S43)/$U43,0))</f>
        <v/>
      </c>
      <c r="W43" s="118" t="n">
        <f aca="false">0.7</f>
        <v>0.7</v>
      </c>
      <c r="X43" s="118" t="n">
        <f aca="false">1</f>
        <v>1</v>
      </c>
      <c r="Y43" s="75" t="str">
        <f aca="false">IF(SUM($V43,$P43)&lt;=0,"",ROUND(($V43*$W43+$O43)*$X43,0))</f>
        <v/>
      </c>
      <c r="Z43" s="118" t="n">
        <f aca="false">0.95</f>
        <v>0.95</v>
      </c>
      <c r="AA43" s="75" t="str">
        <f aca="false">IF(SUM($Y43)&lt;=0,"",ROUND($Y43*$Z43,0))</f>
        <v/>
      </c>
      <c r="AB43" s="118" t="n">
        <f aca="false">0</f>
        <v>0</v>
      </c>
      <c r="AC43" s="73" t="str">
        <f aca="false">IF(SUM($V43)&lt;=0,"",ROUND(SUM($V43)*SUM($AB43),0))</f>
        <v/>
      </c>
      <c r="AD43" s="73" t="str">
        <f aca="false">IF(SUM($V43)&lt;=0,"",SUM($V43)-SUM($AC43))</f>
        <v/>
      </c>
      <c r="AE43" s="73"/>
      <c r="AF43" s="73"/>
      <c r="AG43" s="118" t="n">
        <f aca="false">0.95</f>
        <v>0.95</v>
      </c>
      <c r="AH43" s="118"/>
      <c r="AI43" s="75" t="str">
        <f aca="false">IF(SUM($AD43)&lt;=0,"",ROUND(SUM($AD43)/SUM($AG43),0))</f>
        <v/>
      </c>
      <c r="AJ43" s="75" t="str">
        <f aca="false">IF(SUM($AH43)&lt;=0,"",ROUND($AI43/$AH43-$AI43,0))</f>
        <v/>
      </c>
      <c r="AK43" s="118" t="n">
        <f aca="false">1</f>
        <v>1</v>
      </c>
      <c r="AL43" s="75" t="str">
        <f aca="false">IF(SUM($AI43)&lt;=0,"",ROUND($AI43*$AK43,0))</f>
        <v/>
      </c>
      <c r="AM43" s="73"/>
      <c r="AN43" s="75"/>
    </row>
    <row r="44" customFormat="false" ht="15" hidden="false" customHeight="false" outlineLevel="0" collapsed="false">
      <c r="A44" s="53" t="s">
        <v>146</v>
      </c>
      <c r="B44" s="53" t="s">
        <v>45</v>
      </c>
      <c r="C44" s="53" t="s">
        <v>1072</v>
      </c>
      <c r="D44" s="53" t="str">
        <f aca="false">B44&amp;"|"&amp;C44</f>
        <v>Maseru [#SNU] [#DREAMS] [tKOXiaNhAyJ]|TG</v>
      </c>
      <c r="E44" s="75"/>
      <c r="F44" s="75"/>
      <c r="G44" s="192"/>
      <c r="H44" s="73"/>
      <c r="I44" s="75"/>
      <c r="J44" s="73"/>
      <c r="K44" s="75"/>
      <c r="L44" s="73"/>
      <c r="M44" s="75"/>
      <c r="N44" s="73" t="n">
        <v>6</v>
      </c>
      <c r="O44" s="73"/>
      <c r="P44" s="75"/>
      <c r="Q44" s="73" t="str">
        <f aca="false">IF(AND(SUM($O44)&lt;=0,SUM($P44)&lt;=0),"",$P44-$O44)</f>
        <v/>
      </c>
      <c r="R44" s="73"/>
      <c r="S44" s="118" t="n">
        <f aca="false">1</f>
        <v>1</v>
      </c>
      <c r="T44" s="118" t="n">
        <f aca="false">0.98</f>
        <v>0.98</v>
      </c>
      <c r="U44" s="118" t="n">
        <f aca="false">0.98</f>
        <v>0.98</v>
      </c>
      <c r="V44" s="75" t="str">
        <f aca="false">IF(SUM($P44)&lt;=0,"",ROUND((($Q44+($O44*(1-$T44)))*$S44)/$U44,0))</f>
        <v/>
      </c>
      <c r="W44" s="118" t="n">
        <f aca="false">0.7</f>
        <v>0.7</v>
      </c>
      <c r="X44" s="118" t="n">
        <f aca="false">1</f>
        <v>1</v>
      </c>
      <c r="Y44" s="75" t="str">
        <f aca="false">IF(SUM($V44,$P44)&lt;=0,"",ROUND(($V44*$W44+$O44)*$X44,0))</f>
        <v/>
      </c>
      <c r="Z44" s="118" t="n">
        <f aca="false">0.95</f>
        <v>0.95</v>
      </c>
      <c r="AA44" s="75" t="str">
        <f aca="false">IF(SUM($Y44)&lt;=0,"",ROUND($Y44*$Z44,0))</f>
        <v/>
      </c>
      <c r="AB44" s="118" t="n">
        <f aca="false">0</f>
        <v>0</v>
      </c>
      <c r="AC44" s="73" t="str">
        <f aca="false">IF(SUM($V44)&lt;=0,"",ROUND(SUM($V44)*SUM($AB44),0))</f>
        <v/>
      </c>
      <c r="AD44" s="73" t="str">
        <f aca="false">IF(SUM($V44)&lt;=0,"",SUM($V44)-SUM($AC44))</f>
        <v/>
      </c>
      <c r="AE44" s="73"/>
      <c r="AF44" s="73"/>
      <c r="AG44" s="118" t="n">
        <f aca="false">0.95</f>
        <v>0.95</v>
      </c>
      <c r="AH44" s="118"/>
      <c r="AI44" s="75" t="str">
        <f aca="false">IF(SUM($AD44)&lt;=0,"",ROUND(SUM($AD44)/SUM($AG44),0))</f>
        <v/>
      </c>
      <c r="AJ44" s="75" t="str">
        <f aca="false">IF(SUM($AH44)&lt;=0,"",ROUND($AI44/$AH44-$AI44,0))</f>
        <v/>
      </c>
      <c r="AK44" s="118" t="n">
        <f aca="false">1</f>
        <v>1</v>
      </c>
      <c r="AL44" s="75" t="str">
        <f aca="false">IF(SUM($AI44)&lt;=0,"",ROUND($AI44*$AK44,0))</f>
        <v/>
      </c>
      <c r="AM44" s="73"/>
      <c r="AN44" s="75"/>
    </row>
    <row r="45" customFormat="false" ht="15" hidden="false" customHeight="false" outlineLevel="0" collapsed="false">
      <c r="A45" s="53" t="s">
        <v>147</v>
      </c>
      <c r="B45" s="53" t="s">
        <v>105</v>
      </c>
      <c r="C45" s="53" t="s">
        <v>1068</v>
      </c>
      <c r="D45" s="53" t="str">
        <f aca="false">B45&amp;"|"&amp;C45</f>
        <v>Mohale's Hoek [#SNU] [#DREAMS] [YGI7vISD2kJ]|FSW</v>
      </c>
      <c r="E45" s="75"/>
      <c r="F45" s="75"/>
      <c r="G45" s="192"/>
      <c r="H45" s="73"/>
      <c r="I45" s="75"/>
      <c r="J45" s="73"/>
      <c r="K45" s="75"/>
      <c r="L45" s="126"/>
      <c r="M45" s="75"/>
      <c r="N45" s="73" t="n">
        <v>24</v>
      </c>
      <c r="O45" s="73"/>
      <c r="P45" s="75"/>
      <c r="Q45" s="73" t="str">
        <f aca="false">IF(AND(SUM($O45)&lt;=0,SUM($P45)&lt;=0),"",$P45-$O45)</f>
        <v/>
      </c>
      <c r="R45" s="73"/>
      <c r="S45" s="118" t="n">
        <f aca="false">1</f>
        <v>1</v>
      </c>
      <c r="T45" s="118" t="n">
        <f aca="false">0.98</f>
        <v>0.98</v>
      </c>
      <c r="U45" s="118" t="n">
        <f aca="false">0.98</f>
        <v>0.98</v>
      </c>
      <c r="V45" s="75" t="str">
        <f aca="false">IF(SUM($P45)&lt;=0,"",ROUND((($Q45+($O45*(1-$T45)))*$S45)/$U45,0))</f>
        <v/>
      </c>
      <c r="W45" s="118" t="n">
        <f aca="false">0.7</f>
        <v>0.7</v>
      </c>
      <c r="X45" s="118" t="n">
        <f aca="false">1</f>
        <v>1</v>
      </c>
      <c r="Y45" s="75" t="str">
        <f aca="false">IF(SUM($V45,$P45)&lt;=0,"",ROUND(($V45*$W45+$O45)*$X45,0))</f>
        <v/>
      </c>
      <c r="Z45" s="118" t="n">
        <f aca="false">0.95</f>
        <v>0.95</v>
      </c>
      <c r="AA45" s="75" t="str">
        <f aca="false">IF(SUM($Y45)&lt;=0,"",ROUND($Y45*$Z45,0))</f>
        <v/>
      </c>
      <c r="AB45" s="118" t="n">
        <f aca="false">0</f>
        <v>0</v>
      </c>
      <c r="AC45" s="73" t="str">
        <f aca="false">IF(SUM($V45)&lt;=0,"",ROUND(SUM($V45)*SUM($AB45),0))</f>
        <v/>
      </c>
      <c r="AD45" s="73" t="str">
        <f aca="false">IF(SUM($V45)&lt;=0,"",SUM($V45)-SUM($AC45))</f>
        <v/>
      </c>
      <c r="AE45" s="73"/>
      <c r="AF45" s="73"/>
      <c r="AG45" s="118" t="n">
        <f aca="false">0.95</f>
        <v>0.95</v>
      </c>
      <c r="AH45" s="118"/>
      <c r="AI45" s="75" t="str">
        <f aca="false">IF(SUM($AD45)&lt;=0,"",ROUND(SUM($AD45)/SUM($AG45),0))</f>
        <v/>
      </c>
      <c r="AJ45" s="75" t="str">
        <f aca="false">IF(SUM($AH45)&lt;=0,"",ROUND($AI45/$AH45-$AI45,0))</f>
        <v/>
      </c>
      <c r="AK45" s="118" t="n">
        <f aca="false">1</f>
        <v>1</v>
      </c>
      <c r="AL45" s="75" t="str">
        <f aca="false">IF(SUM($AI45)&lt;=0,"",ROUND($AI45*$AK45,0))</f>
        <v/>
      </c>
      <c r="AM45" s="73"/>
      <c r="AN45" s="75"/>
    </row>
    <row r="46" customFormat="false" ht="15" hidden="false" customHeight="false" outlineLevel="0" collapsed="false">
      <c r="A46" s="53" t="s">
        <v>147</v>
      </c>
      <c r="B46" s="53" t="s">
        <v>105</v>
      </c>
      <c r="C46" s="53" t="s">
        <v>1069</v>
      </c>
      <c r="D46" s="53" t="str">
        <f aca="false">B46&amp;"|"&amp;C46</f>
        <v>Mohale's Hoek [#SNU] [#DREAMS] [YGI7vISD2kJ]|MSM</v>
      </c>
      <c r="E46" s="75"/>
      <c r="F46" s="75"/>
      <c r="G46" s="192"/>
      <c r="H46" s="73"/>
      <c r="I46" s="75"/>
      <c r="J46" s="73"/>
      <c r="K46" s="75"/>
      <c r="L46" s="126"/>
      <c r="M46" s="75"/>
      <c r="N46" s="73" t="n">
        <v>40</v>
      </c>
      <c r="O46" s="73"/>
      <c r="P46" s="75"/>
      <c r="Q46" s="73" t="str">
        <f aca="false">IF(AND(SUM($O46)&lt;=0,SUM($P46)&lt;=0),"",$P46-$O46)</f>
        <v/>
      </c>
      <c r="R46" s="73"/>
      <c r="S46" s="118" t="n">
        <f aca="false">1</f>
        <v>1</v>
      </c>
      <c r="T46" s="118" t="n">
        <f aca="false">0.98</f>
        <v>0.98</v>
      </c>
      <c r="U46" s="118" t="n">
        <f aca="false">0.98</f>
        <v>0.98</v>
      </c>
      <c r="V46" s="75" t="str">
        <f aca="false">IF(SUM($P46)&lt;=0,"",ROUND((($Q46+($O46*(1-$T46)))*$S46)/$U46,0))</f>
        <v/>
      </c>
      <c r="W46" s="118" t="n">
        <f aca="false">0.7</f>
        <v>0.7</v>
      </c>
      <c r="X46" s="118" t="n">
        <f aca="false">1</f>
        <v>1</v>
      </c>
      <c r="Y46" s="75" t="str">
        <f aca="false">IF(SUM($V46,$P46)&lt;=0,"",ROUND(($V46*$W46+$O46)*$X46,0))</f>
        <v/>
      </c>
      <c r="Z46" s="118" t="n">
        <f aca="false">0.95</f>
        <v>0.95</v>
      </c>
      <c r="AA46" s="75" t="str">
        <f aca="false">IF(SUM($Y46)&lt;=0,"",ROUND($Y46*$Z46,0))</f>
        <v/>
      </c>
      <c r="AB46" s="118" t="n">
        <f aca="false">0</f>
        <v>0</v>
      </c>
      <c r="AC46" s="73" t="str">
        <f aca="false">IF(SUM($V46)&lt;=0,"",ROUND(SUM($V46)*SUM($AB46),0))</f>
        <v/>
      </c>
      <c r="AD46" s="73" t="str">
        <f aca="false">IF(SUM($V46)&lt;=0,"",SUM($V46)-SUM($AC46))</f>
        <v/>
      </c>
      <c r="AE46" s="73"/>
      <c r="AF46" s="73"/>
      <c r="AG46" s="118" t="n">
        <f aca="false">0.95</f>
        <v>0.95</v>
      </c>
      <c r="AH46" s="118"/>
      <c r="AI46" s="75" t="str">
        <f aca="false">IF(SUM($AD46)&lt;=0,"",ROUND(SUM($AD46)/SUM($AG46),0))</f>
        <v/>
      </c>
      <c r="AJ46" s="75" t="str">
        <f aca="false">IF(SUM($AH46)&lt;=0,"",ROUND($AI46/$AH46-$AI46,0))</f>
        <v/>
      </c>
      <c r="AK46" s="118" t="n">
        <f aca="false">1</f>
        <v>1</v>
      </c>
      <c r="AL46" s="75" t="str">
        <f aca="false">IF(SUM($AI46)&lt;=0,"",ROUND($AI46*$AK46,0))</f>
        <v/>
      </c>
      <c r="AM46" s="73"/>
      <c r="AN46" s="75"/>
    </row>
    <row r="47" customFormat="false" ht="15" hidden="false" customHeight="false" outlineLevel="0" collapsed="false">
      <c r="A47" s="53" t="s">
        <v>147</v>
      </c>
      <c r="B47" s="53" t="s">
        <v>105</v>
      </c>
      <c r="C47" s="53" t="s">
        <v>1070</v>
      </c>
      <c r="D47" s="53" t="str">
        <f aca="false">B47&amp;"|"&amp;C47</f>
        <v>Mohale's Hoek [#SNU] [#DREAMS] [YGI7vISD2kJ]|People in prisons and other enclosed settings</v>
      </c>
      <c r="E47" s="75"/>
      <c r="F47" s="75"/>
      <c r="G47" s="192"/>
      <c r="H47" s="73"/>
      <c r="I47" s="75"/>
      <c r="J47" s="73"/>
      <c r="K47" s="75"/>
      <c r="L47" s="73"/>
      <c r="M47" s="75"/>
      <c r="N47" s="73" t="n">
        <v>19</v>
      </c>
      <c r="O47" s="73"/>
      <c r="P47" s="75"/>
      <c r="Q47" s="73" t="str">
        <f aca="false">IF(AND(SUM($O47)&lt;=0,SUM($P47)&lt;=0),"",$P47-$O47)</f>
        <v/>
      </c>
      <c r="R47" s="73"/>
      <c r="S47" s="118" t="n">
        <f aca="false">1</f>
        <v>1</v>
      </c>
      <c r="T47" s="118" t="n">
        <f aca="false">0.98</f>
        <v>0.98</v>
      </c>
      <c r="U47" s="118" t="n">
        <f aca="false">0.98</f>
        <v>0.98</v>
      </c>
      <c r="V47" s="75" t="str">
        <f aca="false">IF(SUM($P47)&lt;=0,"",ROUND((($Q47+($O47*(1-$T47)))*$S47)/$U47,0))</f>
        <v/>
      </c>
      <c r="W47" s="118" t="n">
        <f aca="false">0.7</f>
        <v>0.7</v>
      </c>
      <c r="X47" s="118" t="n">
        <f aca="false">1</f>
        <v>1</v>
      </c>
      <c r="Y47" s="75" t="str">
        <f aca="false">IF(SUM($V47,$P47)&lt;=0,"",ROUND(($V47*$W47+$O47)*$X47,0))</f>
        <v/>
      </c>
      <c r="Z47" s="118" t="n">
        <f aca="false">0.95</f>
        <v>0.95</v>
      </c>
      <c r="AA47" s="75" t="str">
        <f aca="false">IF(SUM($Y47)&lt;=0,"",ROUND($Y47*$Z47,0))</f>
        <v/>
      </c>
      <c r="AB47" s="118" t="n">
        <f aca="false">0</f>
        <v>0</v>
      </c>
      <c r="AC47" s="73" t="str">
        <f aca="false">IF(SUM($V47)&lt;=0,"",ROUND(SUM($V47)*SUM($AB47),0))</f>
        <v/>
      </c>
      <c r="AD47" s="73" t="str">
        <f aca="false">IF(SUM($V47)&lt;=0,"",SUM($V47)-SUM($AC47))</f>
        <v/>
      </c>
      <c r="AE47" s="73"/>
      <c r="AF47" s="73"/>
      <c r="AG47" s="118" t="n">
        <f aca="false">0.95</f>
        <v>0.95</v>
      </c>
      <c r="AH47" s="118"/>
      <c r="AI47" s="75" t="str">
        <f aca="false">IF(SUM($AD47)&lt;=0,"",ROUND(SUM($AD47)/SUM($AG47),0))</f>
        <v/>
      </c>
      <c r="AJ47" s="75" t="str">
        <f aca="false">IF(SUM($AH47)&lt;=0,"",ROUND($AI47/$AH47-$AI47,0))</f>
        <v/>
      </c>
      <c r="AK47" s="118" t="n">
        <f aca="false">1</f>
        <v>1</v>
      </c>
      <c r="AL47" s="75" t="str">
        <f aca="false">IF(SUM($AI47)&lt;=0,"",ROUND($AI47*$AK47,0))</f>
        <v/>
      </c>
      <c r="AM47" s="73"/>
      <c r="AN47" s="75"/>
    </row>
    <row r="48" customFormat="false" ht="15" hidden="false" customHeight="false" outlineLevel="0" collapsed="false">
      <c r="A48" s="53" t="s">
        <v>147</v>
      </c>
      <c r="B48" s="53" t="s">
        <v>105</v>
      </c>
      <c r="C48" s="53" t="s">
        <v>1071</v>
      </c>
      <c r="D48" s="53" t="str">
        <f aca="false">B48&amp;"|"&amp;C48</f>
        <v>Mohale's Hoek [#SNU] [#DREAMS] [YGI7vISD2kJ]|PWID</v>
      </c>
      <c r="E48" s="75"/>
      <c r="F48" s="75"/>
      <c r="G48" s="192"/>
      <c r="H48" s="73"/>
      <c r="I48" s="75"/>
      <c r="J48" s="73"/>
      <c r="K48" s="75"/>
      <c r="L48" s="73"/>
      <c r="M48" s="75"/>
      <c r="N48" s="73"/>
      <c r="O48" s="73"/>
      <c r="P48" s="75"/>
      <c r="Q48" s="73" t="str">
        <f aca="false">IF(AND(SUM($O48)&lt;=0,SUM($P48)&lt;=0),"",$P48-$O48)</f>
        <v/>
      </c>
      <c r="R48" s="73"/>
      <c r="S48" s="118" t="n">
        <f aca="false">1</f>
        <v>1</v>
      </c>
      <c r="T48" s="118" t="n">
        <f aca="false">0.98</f>
        <v>0.98</v>
      </c>
      <c r="U48" s="118" t="n">
        <f aca="false">0.98</f>
        <v>0.98</v>
      </c>
      <c r="V48" s="75" t="str">
        <f aca="false">IF(SUM($P48)&lt;=0,"",ROUND((($Q48+($O48*(1-$T48)))*$S48)/$U48,0))</f>
        <v/>
      </c>
      <c r="W48" s="118" t="n">
        <f aca="false">0.7</f>
        <v>0.7</v>
      </c>
      <c r="X48" s="118" t="n">
        <f aca="false">1</f>
        <v>1</v>
      </c>
      <c r="Y48" s="75" t="str">
        <f aca="false">IF(SUM($V48,$P48)&lt;=0,"",ROUND(($V48*$W48+$O48)*$X48,0))</f>
        <v/>
      </c>
      <c r="Z48" s="118" t="n">
        <f aca="false">0.95</f>
        <v>0.95</v>
      </c>
      <c r="AA48" s="75" t="str">
        <f aca="false">IF(SUM($Y48)&lt;=0,"",ROUND($Y48*$Z48,0))</f>
        <v/>
      </c>
      <c r="AB48" s="118" t="n">
        <f aca="false">0</f>
        <v>0</v>
      </c>
      <c r="AC48" s="73" t="str">
        <f aca="false">IF(SUM($V48)&lt;=0,"",ROUND(SUM($V48)*SUM($AB48),0))</f>
        <v/>
      </c>
      <c r="AD48" s="73" t="str">
        <f aca="false">IF(SUM($V48)&lt;=0,"",SUM($V48)-SUM($AC48))</f>
        <v/>
      </c>
      <c r="AE48" s="73"/>
      <c r="AF48" s="73"/>
      <c r="AG48" s="118" t="n">
        <f aca="false">0.95</f>
        <v>0.95</v>
      </c>
      <c r="AH48" s="118"/>
      <c r="AI48" s="75" t="str">
        <f aca="false">IF(SUM($AD48)&lt;=0,"",ROUND(SUM($AD48)/SUM($AG48),0))</f>
        <v/>
      </c>
      <c r="AJ48" s="75" t="str">
        <f aca="false">IF(SUM($AH48)&lt;=0,"",ROUND($AI48/$AH48-$AI48,0))</f>
        <v/>
      </c>
      <c r="AK48" s="118" t="n">
        <f aca="false">1</f>
        <v>1</v>
      </c>
      <c r="AL48" s="75" t="str">
        <f aca="false">IF(SUM($AI48)&lt;=0,"",ROUND($AI48*$AK48,0))</f>
        <v/>
      </c>
      <c r="AM48" s="73"/>
      <c r="AN48" s="75"/>
    </row>
    <row r="49" customFormat="false" ht="15" hidden="false" customHeight="false" outlineLevel="0" collapsed="false">
      <c r="A49" s="53" t="s">
        <v>147</v>
      </c>
      <c r="B49" s="53" t="s">
        <v>105</v>
      </c>
      <c r="C49" s="53" t="s">
        <v>1072</v>
      </c>
      <c r="D49" s="53" t="str">
        <f aca="false">B49&amp;"|"&amp;C49</f>
        <v>Mohale's Hoek [#SNU] [#DREAMS] [YGI7vISD2kJ]|TG</v>
      </c>
      <c r="E49" s="75"/>
      <c r="F49" s="75"/>
      <c r="G49" s="192"/>
      <c r="H49" s="73"/>
      <c r="I49" s="75"/>
      <c r="J49" s="73"/>
      <c r="K49" s="75"/>
      <c r="L49" s="126"/>
      <c r="M49" s="75"/>
      <c r="N49" s="73"/>
      <c r="O49" s="73"/>
      <c r="P49" s="75"/>
      <c r="Q49" s="73" t="str">
        <f aca="false">IF(AND(SUM($O49)&lt;=0,SUM($P49)&lt;=0),"",$P49-$O49)</f>
        <v/>
      </c>
      <c r="R49" s="73"/>
      <c r="S49" s="118" t="n">
        <f aca="false">1</f>
        <v>1</v>
      </c>
      <c r="T49" s="118" t="n">
        <f aca="false">0.98</f>
        <v>0.98</v>
      </c>
      <c r="U49" s="118" t="n">
        <f aca="false">0.98</f>
        <v>0.98</v>
      </c>
      <c r="V49" s="75" t="str">
        <f aca="false">IF(SUM($P49)&lt;=0,"",ROUND((($Q49+($O49*(1-$T49)))*$S49)/$U49,0))</f>
        <v/>
      </c>
      <c r="W49" s="118" t="n">
        <f aca="false">0.7</f>
        <v>0.7</v>
      </c>
      <c r="X49" s="118" t="n">
        <f aca="false">1</f>
        <v>1</v>
      </c>
      <c r="Y49" s="75" t="str">
        <f aca="false">IF(SUM($V49,$P49)&lt;=0,"",ROUND(($V49*$W49+$O49)*$X49,0))</f>
        <v/>
      </c>
      <c r="Z49" s="118" t="n">
        <f aca="false">0.95</f>
        <v>0.95</v>
      </c>
      <c r="AA49" s="75" t="str">
        <f aca="false">IF(SUM($Y49)&lt;=0,"",ROUND($Y49*$Z49,0))</f>
        <v/>
      </c>
      <c r="AB49" s="118" t="n">
        <f aca="false">0</f>
        <v>0</v>
      </c>
      <c r="AC49" s="73" t="str">
        <f aca="false">IF(SUM($V49)&lt;=0,"",ROUND(SUM($V49)*SUM($AB49),0))</f>
        <v/>
      </c>
      <c r="AD49" s="73" t="str">
        <f aca="false">IF(SUM($V49)&lt;=0,"",SUM($V49)-SUM($AC49))</f>
        <v/>
      </c>
      <c r="AE49" s="73"/>
      <c r="AF49" s="73"/>
      <c r="AG49" s="118" t="n">
        <f aca="false">0.95</f>
        <v>0.95</v>
      </c>
      <c r="AH49" s="118"/>
      <c r="AI49" s="75" t="str">
        <f aca="false">IF(SUM($AD49)&lt;=0,"",ROUND(SUM($AD49)/SUM($AG49),0))</f>
        <v/>
      </c>
      <c r="AJ49" s="75" t="str">
        <f aca="false">IF(SUM($AH49)&lt;=0,"",ROUND($AI49/$AH49-$AI49,0))</f>
        <v/>
      </c>
      <c r="AK49" s="118" t="n">
        <f aca="false">1</f>
        <v>1</v>
      </c>
      <c r="AL49" s="75" t="str">
        <f aca="false">IF(SUM($AI49)&lt;=0,"",ROUND($AI49*$AK49,0))</f>
        <v/>
      </c>
      <c r="AM49" s="73"/>
      <c r="AN49" s="75"/>
    </row>
    <row r="50" customFormat="false" ht="15" hidden="false" customHeight="false" outlineLevel="0" collapsed="false">
      <c r="A50" s="53" t="s">
        <v>148</v>
      </c>
      <c r="B50" s="53" t="s">
        <v>113</v>
      </c>
      <c r="C50" s="53" t="s">
        <v>1068</v>
      </c>
      <c r="D50" s="53" t="str">
        <f aca="false">B50&amp;"|"&amp;C50</f>
        <v>Mokhotlong [#SNU] [tjhYqc1MlVo]|FSW</v>
      </c>
      <c r="E50" s="75"/>
      <c r="F50" s="75"/>
      <c r="G50" s="192"/>
      <c r="H50" s="73"/>
      <c r="I50" s="75"/>
      <c r="J50" s="73"/>
      <c r="K50" s="75"/>
      <c r="L50" s="126"/>
      <c r="M50" s="75"/>
      <c r="N50" s="73"/>
      <c r="O50" s="73"/>
      <c r="P50" s="75"/>
      <c r="Q50" s="73" t="str">
        <f aca="false">IF(AND(SUM($O50)&lt;=0,SUM($P50)&lt;=0),"",$P50-$O50)</f>
        <v/>
      </c>
      <c r="R50" s="73"/>
      <c r="S50" s="118" t="n">
        <f aca="false">1</f>
        <v>1</v>
      </c>
      <c r="T50" s="118" t="n">
        <f aca="false">0.98</f>
        <v>0.98</v>
      </c>
      <c r="U50" s="118" t="n">
        <f aca="false">0.98</f>
        <v>0.98</v>
      </c>
      <c r="V50" s="75" t="str">
        <f aca="false">IF(SUM($P50)&lt;=0,"",ROUND((($Q50+($O50*(1-$T50)))*$S50)/$U50,0))</f>
        <v/>
      </c>
      <c r="W50" s="118" t="n">
        <f aca="false">0.7</f>
        <v>0.7</v>
      </c>
      <c r="X50" s="118" t="n">
        <f aca="false">1</f>
        <v>1</v>
      </c>
      <c r="Y50" s="75" t="str">
        <f aca="false">IF(SUM($V50,$P50)&lt;=0,"",ROUND(($V50*$W50+$O50)*$X50,0))</f>
        <v/>
      </c>
      <c r="Z50" s="118" t="n">
        <f aca="false">0.95</f>
        <v>0.95</v>
      </c>
      <c r="AA50" s="75" t="str">
        <f aca="false">IF(SUM($Y50)&lt;=0,"",ROUND($Y50*$Z50,0))</f>
        <v/>
      </c>
      <c r="AB50" s="118" t="n">
        <f aca="false">0</f>
        <v>0</v>
      </c>
      <c r="AC50" s="73" t="str">
        <f aca="false">IF(SUM($V50)&lt;=0,"",ROUND(SUM($V50)*SUM($AB50),0))</f>
        <v/>
      </c>
      <c r="AD50" s="73" t="str">
        <f aca="false">IF(SUM($V50)&lt;=0,"",SUM($V50)-SUM($AC50))</f>
        <v/>
      </c>
      <c r="AE50" s="73"/>
      <c r="AF50" s="73"/>
      <c r="AG50" s="118" t="n">
        <f aca="false">0.95</f>
        <v>0.95</v>
      </c>
      <c r="AH50" s="118"/>
      <c r="AI50" s="75" t="str">
        <f aca="false">IF(SUM($AD50)&lt;=0,"",ROUND(SUM($AD50)/SUM($AG50),0))</f>
        <v/>
      </c>
      <c r="AJ50" s="75" t="str">
        <f aca="false">IF(SUM($AH50)&lt;=0,"",ROUND($AI50/$AH50-$AI50,0))</f>
        <v/>
      </c>
      <c r="AK50" s="118" t="n">
        <f aca="false">1</f>
        <v>1</v>
      </c>
      <c r="AL50" s="75" t="str">
        <f aca="false">IF(SUM($AI50)&lt;=0,"",ROUND($AI50*$AK50,0))</f>
        <v/>
      </c>
      <c r="AM50" s="73"/>
      <c r="AN50" s="75"/>
    </row>
    <row r="51" customFormat="false" ht="15" hidden="false" customHeight="false" outlineLevel="0" collapsed="false">
      <c r="A51" s="53" t="s">
        <v>148</v>
      </c>
      <c r="B51" s="53" t="s">
        <v>113</v>
      </c>
      <c r="C51" s="53" t="s">
        <v>1069</v>
      </c>
      <c r="D51" s="53" t="str">
        <f aca="false">B51&amp;"|"&amp;C51</f>
        <v>Mokhotlong [#SNU] [tjhYqc1MlVo]|MSM</v>
      </c>
      <c r="E51" s="75"/>
      <c r="F51" s="75"/>
      <c r="G51" s="192"/>
      <c r="H51" s="73"/>
      <c r="I51" s="75"/>
      <c r="J51" s="73"/>
      <c r="K51" s="75"/>
      <c r="L51" s="73"/>
      <c r="M51" s="75"/>
      <c r="N51" s="73"/>
      <c r="O51" s="73"/>
      <c r="P51" s="75"/>
      <c r="Q51" s="73" t="str">
        <f aca="false">IF(AND(SUM($O51)&lt;=0,SUM($P51)&lt;=0),"",$P51-$O51)</f>
        <v/>
      </c>
      <c r="R51" s="73"/>
      <c r="S51" s="118" t="n">
        <f aca="false">1</f>
        <v>1</v>
      </c>
      <c r="T51" s="118" t="n">
        <f aca="false">0.98</f>
        <v>0.98</v>
      </c>
      <c r="U51" s="118" t="n">
        <f aca="false">0.98</f>
        <v>0.98</v>
      </c>
      <c r="V51" s="75" t="str">
        <f aca="false">IF(SUM($P51)&lt;=0,"",ROUND((($Q51+($O51*(1-$T51)))*$S51)/$U51,0))</f>
        <v/>
      </c>
      <c r="W51" s="118" t="n">
        <f aca="false">0.7</f>
        <v>0.7</v>
      </c>
      <c r="X51" s="118" t="n">
        <f aca="false">1</f>
        <v>1</v>
      </c>
      <c r="Y51" s="75" t="str">
        <f aca="false">IF(SUM($V51,$P51)&lt;=0,"",ROUND(($V51*$W51+$O51)*$X51,0))</f>
        <v/>
      </c>
      <c r="Z51" s="118" t="n">
        <f aca="false">0.95</f>
        <v>0.95</v>
      </c>
      <c r="AA51" s="75" t="str">
        <f aca="false">IF(SUM($Y51)&lt;=0,"",ROUND($Y51*$Z51,0))</f>
        <v/>
      </c>
      <c r="AB51" s="118" t="n">
        <f aca="false">0</f>
        <v>0</v>
      </c>
      <c r="AC51" s="73" t="str">
        <f aca="false">IF(SUM($V51)&lt;=0,"",ROUND(SUM($V51)*SUM($AB51),0))</f>
        <v/>
      </c>
      <c r="AD51" s="73" t="str">
        <f aca="false">IF(SUM($V51)&lt;=0,"",SUM($V51)-SUM($AC51))</f>
        <v/>
      </c>
      <c r="AE51" s="73"/>
      <c r="AF51" s="73"/>
      <c r="AG51" s="118" t="n">
        <f aca="false">0.95</f>
        <v>0.95</v>
      </c>
      <c r="AH51" s="118"/>
      <c r="AI51" s="75" t="str">
        <f aca="false">IF(SUM($AD51)&lt;=0,"",ROUND(SUM($AD51)/SUM($AG51),0))</f>
        <v/>
      </c>
      <c r="AJ51" s="75" t="str">
        <f aca="false">IF(SUM($AH51)&lt;=0,"",ROUND($AI51/$AH51-$AI51,0))</f>
        <v/>
      </c>
      <c r="AK51" s="118" t="n">
        <f aca="false">1</f>
        <v>1</v>
      </c>
      <c r="AL51" s="75" t="str">
        <f aca="false">IF(SUM($AI51)&lt;=0,"",ROUND($AI51*$AK51,0))</f>
        <v/>
      </c>
      <c r="AM51" s="73"/>
      <c r="AN51" s="75"/>
    </row>
    <row r="52" customFormat="false" ht="15" hidden="false" customHeight="false" outlineLevel="0" collapsed="false">
      <c r="A52" s="53" t="s">
        <v>148</v>
      </c>
      <c r="B52" s="53" t="s">
        <v>113</v>
      </c>
      <c r="C52" s="53" t="s">
        <v>1070</v>
      </c>
      <c r="D52" s="53" t="str">
        <f aca="false">B52&amp;"|"&amp;C52</f>
        <v>Mokhotlong [#SNU] [tjhYqc1MlVo]|People in prisons and other enclosed settings</v>
      </c>
      <c r="E52" s="75"/>
      <c r="F52" s="75"/>
      <c r="G52" s="192"/>
      <c r="H52" s="73"/>
      <c r="I52" s="75"/>
      <c r="J52" s="73"/>
      <c r="K52" s="75"/>
      <c r="L52" s="73"/>
      <c r="M52" s="75"/>
      <c r="N52" s="73"/>
      <c r="O52" s="73"/>
      <c r="P52" s="75"/>
      <c r="Q52" s="73" t="str">
        <f aca="false">IF(AND(SUM($O52)&lt;=0,SUM($P52)&lt;=0),"",$P52-$O52)</f>
        <v/>
      </c>
      <c r="R52" s="73"/>
      <c r="S52" s="118" t="n">
        <f aca="false">1</f>
        <v>1</v>
      </c>
      <c r="T52" s="118" t="n">
        <f aca="false">0.98</f>
        <v>0.98</v>
      </c>
      <c r="U52" s="118" t="n">
        <f aca="false">0.98</f>
        <v>0.98</v>
      </c>
      <c r="V52" s="75" t="str">
        <f aca="false">IF(SUM($P52)&lt;=0,"",ROUND((($Q52+($O52*(1-$T52)))*$S52)/$U52,0))</f>
        <v/>
      </c>
      <c r="W52" s="118" t="n">
        <f aca="false">0.7</f>
        <v>0.7</v>
      </c>
      <c r="X52" s="118" t="n">
        <f aca="false">1</f>
        <v>1</v>
      </c>
      <c r="Y52" s="75" t="str">
        <f aca="false">IF(SUM($V52,$P52)&lt;=0,"",ROUND(($V52*$W52+$O52)*$X52,0))</f>
        <v/>
      </c>
      <c r="Z52" s="118" t="n">
        <f aca="false">0.95</f>
        <v>0.95</v>
      </c>
      <c r="AA52" s="75" t="str">
        <f aca="false">IF(SUM($Y52)&lt;=0,"",ROUND($Y52*$Z52,0))</f>
        <v/>
      </c>
      <c r="AB52" s="118" t="n">
        <f aca="false">0</f>
        <v>0</v>
      </c>
      <c r="AC52" s="73" t="str">
        <f aca="false">IF(SUM($V52)&lt;=0,"",ROUND(SUM($V52)*SUM($AB52),0))</f>
        <v/>
      </c>
      <c r="AD52" s="73" t="str">
        <f aca="false">IF(SUM($V52)&lt;=0,"",SUM($V52)-SUM($AC52))</f>
        <v/>
      </c>
      <c r="AE52" s="73"/>
      <c r="AF52" s="73"/>
      <c r="AG52" s="118" t="n">
        <f aca="false">0.95</f>
        <v>0.95</v>
      </c>
      <c r="AH52" s="118"/>
      <c r="AI52" s="75" t="str">
        <f aca="false">IF(SUM($AD52)&lt;=0,"",ROUND(SUM($AD52)/SUM($AG52),0))</f>
        <v/>
      </c>
      <c r="AJ52" s="75" t="str">
        <f aca="false">IF(SUM($AH52)&lt;=0,"",ROUND($AI52/$AH52-$AI52,0))</f>
        <v/>
      </c>
      <c r="AK52" s="118" t="n">
        <f aca="false">1</f>
        <v>1</v>
      </c>
      <c r="AL52" s="75" t="str">
        <f aca="false">IF(SUM($AI52)&lt;=0,"",ROUND($AI52*$AK52,0))</f>
        <v/>
      </c>
      <c r="AM52" s="73"/>
      <c r="AN52" s="75"/>
    </row>
    <row r="53" customFormat="false" ht="15" hidden="false" customHeight="false" outlineLevel="0" collapsed="false">
      <c r="A53" s="53" t="s">
        <v>148</v>
      </c>
      <c r="B53" s="53" t="s">
        <v>113</v>
      </c>
      <c r="C53" s="53" t="s">
        <v>1071</v>
      </c>
      <c r="D53" s="53" t="str">
        <f aca="false">B53&amp;"|"&amp;C53</f>
        <v>Mokhotlong [#SNU] [tjhYqc1MlVo]|PWID</v>
      </c>
      <c r="E53" s="75"/>
      <c r="F53" s="75"/>
      <c r="G53" s="192"/>
      <c r="H53" s="73"/>
      <c r="I53" s="75"/>
      <c r="J53" s="73"/>
      <c r="K53" s="75"/>
      <c r="L53" s="126"/>
      <c r="M53" s="75"/>
      <c r="N53" s="73"/>
      <c r="O53" s="73"/>
      <c r="P53" s="75"/>
      <c r="Q53" s="73" t="str">
        <f aca="false">IF(AND(SUM($O53)&lt;=0,SUM($P53)&lt;=0),"",$P53-$O53)</f>
        <v/>
      </c>
      <c r="R53" s="73"/>
      <c r="S53" s="118" t="n">
        <f aca="false">1</f>
        <v>1</v>
      </c>
      <c r="T53" s="118" t="n">
        <f aca="false">0.98</f>
        <v>0.98</v>
      </c>
      <c r="U53" s="118" t="n">
        <f aca="false">0.98</f>
        <v>0.98</v>
      </c>
      <c r="V53" s="75" t="str">
        <f aca="false">IF(SUM($P53)&lt;=0,"",ROUND((($Q53+($O53*(1-$T53)))*$S53)/$U53,0))</f>
        <v/>
      </c>
      <c r="W53" s="118" t="n">
        <f aca="false">0.7</f>
        <v>0.7</v>
      </c>
      <c r="X53" s="118" t="n">
        <f aca="false">1</f>
        <v>1</v>
      </c>
      <c r="Y53" s="75" t="str">
        <f aca="false">IF(SUM($V53,$P53)&lt;=0,"",ROUND(($V53*$W53+$O53)*$X53,0))</f>
        <v/>
      </c>
      <c r="Z53" s="118" t="n">
        <f aca="false">0.95</f>
        <v>0.95</v>
      </c>
      <c r="AA53" s="75" t="str">
        <f aca="false">IF(SUM($Y53)&lt;=0,"",ROUND($Y53*$Z53,0))</f>
        <v/>
      </c>
      <c r="AB53" s="118" t="n">
        <f aca="false">0</f>
        <v>0</v>
      </c>
      <c r="AC53" s="73" t="str">
        <f aca="false">IF(SUM($V53)&lt;=0,"",ROUND(SUM($V53)*SUM($AB53),0))</f>
        <v/>
      </c>
      <c r="AD53" s="73" t="str">
        <f aca="false">IF(SUM($V53)&lt;=0,"",SUM($V53)-SUM($AC53))</f>
        <v/>
      </c>
      <c r="AE53" s="73"/>
      <c r="AF53" s="73"/>
      <c r="AG53" s="118" t="n">
        <f aca="false">0.95</f>
        <v>0.95</v>
      </c>
      <c r="AH53" s="118"/>
      <c r="AI53" s="75" t="str">
        <f aca="false">IF(SUM($AD53)&lt;=0,"",ROUND(SUM($AD53)/SUM($AG53),0))</f>
        <v/>
      </c>
      <c r="AJ53" s="75" t="str">
        <f aca="false">IF(SUM($AH53)&lt;=0,"",ROUND($AI53/$AH53-$AI53,0))</f>
        <v/>
      </c>
      <c r="AK53" s="118" t="n">
        <f aca="false">1</f>
        <v>1</v>
      </c>
      <c r="AL53" s="75" t="str">
        <f aca="false">IF(SUM($AI53)&lt;=0,"",ROUND($AI53*$AK53,0))</f>
        <v/>
      </c>
      <c r="AM53" s="73"/>
      <c r="AN53" s="75"/>
    </row>
    <row r="54" customFormat="false" ht="15" hidden="false" customHeight="false" outlineLevel="0" collapsed="false">
      <c r="A54" s="53" t="s">
        <v>148</v>
      </c>
      <c r="B54" s="53" t="s">
        <v>113</v>
      </c>
      <c r="C54" s="53" t="s">
        <v>1072</v>
      </c>
      <c r="D54" s="53" t="str">
        <f aca="false">B54&amp;"|"&amp;C54</f>
        <v>Mokhotlong [#SNU] [tjhYqc1MlVo]|TG</v>
      </c>
      <c r="E54" s="75"/>
      <c r="F54" s="75"/>
      <c r="G54" s="192"/>
      <c r="H54" s="73"/>
      <c r="I54" s="75"/>
      <c r="J54" s="73"/>
      <c r="K54" s="75"/>
      <c r="L54" s="126"/>
      <c r="M54" s="75"/>
      <c r="N54" s="73"/>
      <c r="O54" s="73"/>
      <c r="P54" s="75"/>
      <c r="Q54" s="73" t="str">
        <f aca="false">IF(AND(SUM($O54)&lt;=0,SUM($P54)&lt;=0),"",$P54-$O54)</f>
        <v/>
      </c>
      <c r="R54" s="73"/>
      <c r="S54" s="118" t="n">
        <f aca="false">1</f>
        <v>1</v>
      </c>
      <c r="T54" s="118" t="n">
        <f aca="false">0.98</f>
        <v>0.98</v>
      </c>
      <c r="U54" s="118" t="n">
        <f aca="false">0.98</f>
        <v>0.98</v>
      </c>
      <c r="V54" s="75" t="str">
        <f aca="false">IF(SUM($P54)&lt;=0,"",ROUND((($Q54+($O54*(1-$T54)))*$S54)/$U54,0))</f>
        <v/>
      </c>
      <c r="W54" s="118" t="n">
        <f aca="false">0.7</f>
        <v>0.7</v>
      </c>
      <c r="X54" s="118" t="n">
        <f aca="false">1</f>
        <v>1</v>
      </c>
      <c r="Y54" s="75" t="str">
        <f aca="false">IF(SUM($V54,$P54)&lt;=0,"",ROUND(($V54*$W54+$O54)*$X54,0))</f>
        <v/>
      </c>
      <c r="Z54" s="118" t="n">
        <f aca="false">0.95</f>
        <v>0.95</v>
      </c>
      <c r="AA54" s="75" t="str">
        <f aca="false">IF(SUM($Y54)&lt;=0,"",ROUND($Y54*$Z54,0))</f>
        <v/>
      </c>
      <c r="AB54" s="118" t="n">
        <f aca="false">0</f>
        <v>0</v>
      </c>
      <c r="AC54" s="73" t="str">
        <f aca="false">IF(SUM($V54)&lt;=0,"",ROUND(SUM($V54)*SUM($AB54),0))</f>
        <v/>
      </c>
      <c r="AD54" s="73" t="str">
        <f aca="false">IF(SUM($V54)&lt;=0,"",SUM($V54)-SUM($AC54))</f>
        <v/>
      </c>
      <c r="AE54" s="73"/>
      <c r="AF54" s="73"/>
      <c r="AG54" s="118" t="n">
        <f aca="false">0.95</f>
        <v>0.95</v>
      </c>
      <c r="AH54" s="118"/>
      <c r="AI54" s="75" t="str">
        <f aca="false">IF(SUM($AD54)&lt;=0,"",ROUND(SUM($AD54)/SUM($AG54),0))</f>
        <v/>
      </c>
      <c r="AJ54" s="75" t="str">
        <f aca="false">IF(SUM($AH54)&lt;=0,"",ROUND($AI54/$AH54-$AI54,0))</f>
        <v/>
      </c>
      <c r="AK54" s="118" t="n">
        <f aca="false">1</f>
        <v>1</v>
      </c>
      <c r="AL54" s="75" t="str">
        <f aca="false">IF(SUM($AI54)&lt;=0,"",ROUND($AI54*$AK54,0))</f>
        <v/>
      </c>
      <c r="AM54" s="73"/>
      <c r="AN54" s="75"/>
    </row>
    <row r="55" customFormat="false" ht="15" hidden="false" customHeight="false" outlineLevel="0" collapsed="false">
      <c r="A55" s="53" t="s">
        <v>149</v>
      </c>
      <c r="B55" s="53" t="s">
        <v>111</v>
      </c>
      <c r="C55" s="53" t="s">
        <v>1068</v>
      </c>
      <c r="D55" s="53" t="str">
        <f aca="false">B55&amp;"|"&amp;C55</f>
        <v>Qacha's Nek [#SNU] [zTaMbxvQtJ6]|FSW</v>
      </c>
      <c r="E55" s="75"/>
      <c r="F55" s="75"/>
      <c r="G55" s="192"/>
      <c r="H55" s="73"/>
      <c r="I55" s="75"/>
      <c r="J55" s="73"/>
      <c r="K55" s="75"/>
      <c r="L55" s="73"/>
      <c r="M55" s="75"/>
      <c r="N55" s="73"/>
      <c r="O55" s="73"/>
      <c r="P55" s="75"/>
      <c r="Q55" s="73" t="str">
        <f aca="false">IF(AND(SUM($O55)&lt;=0,SUM($P55)&lt;=0),"",$P55-$O55)</f>
        <v/>
      </c>
      <c r="R55" s="73"/>
      <c r="S55" s="118" t="n">
        <f aca="false">1</f>
        <v>1</v>
      </c>
      <c r="T55" s="118" t="n">
        <f aca="false">0.98</f>
        <v>0.98</v>
      </c>
      <c r="U55" s="118" t="n">
        <f aca="false">0.98</f>
        <v>0.98</v>
      </c>
      <c r="V55" s="75" t="str">
        <f aca="false">IF(SUM($P55)&lt;=0,"",ROUND((($Q55+($O55*(1-$T55)))*$S55)/$U55,0))</f>
        <v/>
      </c>
      <c r="W55" s="118" t="n">
        <f aca="false">0.7</f>
        <v>0.7</v>
      </c>
      <c r="X55" s="118" t="n">
        <f aca="false">1</f>
        <v>1</v>
      </c>
      <c r="Y55" s="75" t="str">
        <f aca="false">IF(SUM($V55,$P55)&lt;=0,"",ROUND(($V55*$W55+$O55)*$X55,0))</f>
        <v/>
      </c>
      <c r="Z55" s="118" t="n">
        <f aca="false">0.95</f>
        <v>0.95</v>
      </c>
      <c r="AA55" s="75" t="str">
        <f aca="false">IF(SUM($Y55)&lt;=0,"",ROUND($Y55*$Z55,0))</f>
        <v/>
      </c>
      <c r="AB55" s="118" t="n">
        <f aca="false">0</f>
        <v>0</v>
      </c>
      <c r="AC55" s="73" t="str">
        <f aca="false">IF(SUM($V55)&lt;=0,"",ROUND(SUM($V55)*SUM($AB55),0))</f>
        <v/>
      </c>
      <c r="AD55" s="73" t="str">
        <f aca="false">IF(SUM($V55)&lt;=0,"",SUM($V55)-SUM($AC55))</f>
        <v/>
      </c>
      <c r="AE55" s="73"/>
      <c r="AF55" s="73"/>
      <c r="AG55" s="118" t="n">
        <f aca="false">0.95</f>
        <v>0.95</v>
      </c>
      <c r="AH55" s="118"/>
      <c r="AI55" s="75" t="str">
        <f aca="false">IF(SUM($AD55)&lt;=0,"",ROUND(SUM($AD55)/SUM($AG55),0))</f>
        <v/>
      </c>
      <c r="AJ55" s="75" t="str">
        <f aca="false">IF(SUM($AH55)&lt;=0,"",ROUND($AI55/$AH55-$AI55,0))</f>
        <v/>
      </c>
      <c r="AK55" s="118" t="n">
        <f aca="false">1</f>
        <v>1</v>
      </c>
      <c r="AL55" s="75" t="str">
        <f aca="false">IF(SUM($AI55)&lt;=0,"",ROUND($AI55*$AK55,0))</f>
        <v/>
      </c>
      <c r="AM55" s="73"/>
      <c r="AN55" s="75"/>
    </row>
    <row r="56" customFormat="false" ht="15" hidden="false" customHeight="false" outlineLevel="0" collapsed="false">
      <c r="A56" s="53" t="s">
        <v>149</v>
      </c>
      <c r="B56" s="53" t="s">
        <v>111</v>
      </c>
      <c r="C56" s="53" t="s">
        <v>1069</v>
      </c>
      <c r="D56" s="53" t="str">
        <f aca="false">B56&amp;"|"&amp;C56</f>
        <v>Qacha's Nek [#SNU] [zTaMbxvQtJ6]|MSM</v>
      </c>
      <c r="E56" s="75"/>
      <c r="F56" s="75"/>
      <c r="G56" s="192"/>
      <c r="H56" s="73"/>
      <c r="I56" s="75"/>
      <c r="J56" s="73"/>
      <c r="K56" s="75"/>
      <c r="L56" s="126"/>
      <c r="M56" s="75"/>
      <c r="N56" s="73"/>
      <c r="O56" s="73"/>
      <c r="P56" s="75"/>
      <c r="Q56" s="73" t="str">
        <f aca="false">IF(AND(SUM($O56)&lt;=0,SUM($P56)&lt;=0),"",$P56-$O56)</f>
        <v/>
      </c>
      <c r="R56" s="73"/>
      <c r="S56" s="118" t="n">
        <f aca="false">1</f>
        <v>1</v>
      </c>
      <c r="T56" s="118" t="n">
        <f aca="false">0.98</f>
        <v>0.98</v>
      </c>
      <c r="U56" s="118" t="n">
        <f aca="false">0.98</f>
        <v>0.98</v>
      </c>
      <c r="V56" s="75" t="str">
        <f aca="false">IF(SUM($P56)&lt;=0,"",ROUND((($Q56+($O56*(1-$T56)))*$S56)/$U56,0))</f>
        <v/>
      </c>
      <c r="W56" s="118" t="n">
        <f aca="false">0.7</f>
        <v>0.7</v>
      </c>
      <c r="X56" s="118" t="n">
        <f aca="false">1</f>
        <v>1</v>
      </c>
      <c r="Y56" s="75" t="str">
        <f aca="false">IF(SUM($V56,$P56)&lt;=0,"",ROUND(($V56*$W56+$O56)*$X56,0))</f>
        <v/>
      </c>
      <c r="Z56" s="118" t="n">
        <f aca="false">0.95</f>
        <v>0.95</v>
      </c>
      <c r="AA56" s="75" t="str">
        <f aca="false">IF(SUM($Y56)&lt;=0,"",ROUND($Y56*$Z56,0))</f>
        <v/>
      </c>
      <c r="AB56" s="118" t="n">
        <f aca="false">0</f>
        <v>0</v>
      </c>
      <c r="AC56" s="73" t="str">
        <f aca="false">IF(SUM($V56)&lt;=0,"",ROUND(SUM($V56)*SUM($AB56),0))</f>
        <v/>
      </c>
      <c r="AD56" s="73" t="str">
        <f aca="false">IF(SUM($V56)&lt;=0,"",SUM($V56)-SUM($AC56))</f>
        <v/>
      </c>
      <c r="AE56" s="73"/>
      <c r="AF56" s="73"/>
      <c r="AG56" s="118" t="n">
        <f aca="false">0.95</f>
        <v>0.95</v>
      </c>
      <c r="AH56" s="118"/>
      <c r="AI56" s="75" t="str">
        <f aca="false">IF(SUM($AD56)&lt;=0,"",ROUND(SUM($AD56)/SUM($AG56),0))</f>
        <v/>
      </c>
      <c r="AJ56" s="75" t="str">
        <f aca="false">IF(SUM($AH56)&lt;=0,"",ROUND($AI56/$AH56-$AI56,0))</f>
        <v/>
      </c>
      <c r="AK56" s="118" t="n">
        <f aca="false">1</f>
        <v>1</v>
      </c>
      <c r="AL56" s="75" t="str">
        <f aca="false">IF(SUM($AI56)&lt;=0,"",ROUND($AI56*$AK56,0))</f>
        <v/>
      </c>
      <c r="AM56" s="73"/>
      <c r="AN56" s="75"/>
    </row>
    <row r="57" customFormat="false" ht="15" hidden="false" customHeight="false" outlineLevel="0" collapsed="false">
      <c r="A57" s="53" t="s">
        <v>149</v>
      </c>
      <c r="B57" s="53" t="s">
        <v>111</v>
      </c>
      <c r="C57" s="53" t="s">
        <v>1070</v>
      </c>
      <c r="D57" s="53" t="str">
        <f aca="false">B57&amp;"|"&amp;C57</f>
        <v>Qacha's Nek [#SNU] [zTaMbxvQtJ6]|People in prisons and other enclosed settings</v>
      </c>
      <c r="E57" s="75"/>
      <c r="F57" s="75"/>
      <c r="G57" s="192"/>
      <c r="H57" s="73"/>
      <c r="I57" s="75"/>
      <c r="J57" s="73"/>
      <c r="K57" s="75"/>
      <c r="L57" s="126"/>
      <c r="M57" s="75"/>
      <c r="N57" s="73" t="n">
        <v>18</v>
      </c>
      <c r="O57" s="73"/>
      <c r="P57" s="75"/>
      <c r="Q57" s="73" t="str">
        <f aca="false">IF(AND(SUM($O57)&lt;=0,SUM($P57)&lt;=0),"",$P57-$O57)</f>
        <v/>
      </c>
      <c r="R57" s="73"/>
      <c r="S57" s="118" t="n">
        <f aca="false">1</f>
        <v>1</v>
      </c>
      <c r="T57" s="118" t="n">
        <f aca="false">0.98</f>
        <v>0.98</v>
      </c>
      <c r="U57" s="118" t="n">
        <f aca="false">0.98</f>
        <v>0.98</v>
      </c>
      <c r="V57" s="75" t="str">
        <f aca="false">IF(SUM($P57)&lt;=0,"",ROUND((($Q57+($O57*(1-$T57)))*$S57)/$U57,0))</f>
        <v/>
      </c>
      <c r="W57" s="118" t="n">
        <f aca="false">0.7</f>
        <v>0.7</v>
      </c>
      <c r="X57" s="118" t="n">
        <f aca="false">1</f>
        <v>1</v>
      </c>
      <c r="Y57" s="75" t="str">
        <f aca="false">IF(SUM($V57,$P57)&lt;=0,"",ROUND(($V57*$W57+$O57)*$X57,0))</f>
        <v/>
      </c>
      <c r="Z57" s="118" t="n">
        <f aca="false">0.95</f>
        <v>0.95</v>
      </c>
      <c r="AA57" s="75" t="str">
        <f aca="false">IF(SUM($Y57)&lt;=0,"",ROUND($Y57*$Z57,0))</f>
        <v/>
      </c>
      <c r="AB57" s="118" t="n">
        <f aca="false">0</f>
        <v>0</v>
      </c>
      <c r="AC57" s="73" t="str">
        <f aca="false">IF(SUM($V57)&lt;=0,"",ROUND(SUM($V57)*SUM($AB57),0))</f>
        <v/>
      </c>
      <c r="AD57" s="73" t="str">
        <f aca="false">IF(SUM($V57)&lt;=0,"",SUM($V57)-SUM($AC57))</f>
        <v/>
      </c>
      <c r="AE57" s="73"/>
      <c r="AF57" s="73"/>
      <c r="AG57" s="118" t="n">
        <f aca="false">0.95</f>
        <v>0.95</v>
      </c>
      <c r="AH57" s="118"/>
      <c r="AI57" s="75" t="str">
        <f aca="false">IF(SUM($AD57)&lt;=0,"",ROUND(SUM($AD57)/SUM($AG57),0))</f>
        <v/>
      </c>
      <c r="AJ57" s="75" t="str">
        <f aca="false">IF(SUM($AH57)&lt;=0,"",ROUND($AI57/$AH57-$AI57,0))</f>
        <v/>
      </c>
      <c r="AK57" s="118" t="n">
        <f aca="false">1</f>
        <v>1</v>
      </c>
      <c r="AL57" s="75" t="str">
        <f aca="false">IF(SUM($AI57)&lt;=0,"",ROUND($AI57*$AK57,0))</f>
        <v/>
      </c>
      <c r="AM57" s="73"/>
      <c r="AN57" s="75"/>
    </row>
    <row r="58" customFormat="false" ht="15" hidden="false" customHeight="false" outlineLevel="0" collapsed="false">
      <c r="A58" s="53" t="s">
        <v>149</v>
      </c>
      <c r="B58" s="53" t="s">
        <v>111</v>
      </c>
      <c r="C58" s="53" t="s">
        <v>1071</v>
      </c>
      <c r="D58" s="53" t="str">
        <f aca="false">B58&amp;"|"&amp;C58</f>
        <v>Qacha's Nek [#SNU] [zTaMbxvQtJ6]|PWID</v>
      </c>
      <c r="E58" s="75"/>
      <c r="F58" s="75"/>
      <c r="G58" s="192"/>
      <c r="H58" s="73"/>
      <c r="I58" s="75"/>
      <c r="J58" s="73"/>
      <c r="K58" s="75"/>
      <c r="L58" s="73"/>
      <c r="M58" s="75"/>
      <c r="N58" s="73"/>
      <c r="O58" s="73"/>
      <c r="P58" s="75"/>
      <c r="Q58" s="73" t="str">
        <f aca="false">IF(AND(SUM($O58)&lt;=0,SUM($P58)&lt;=0),"",$P58-$O58)</f>
        <v/>
      </c>
      <c r="R58" s="73"/>
      <c r="S58" s="118" t="n">
        <f aca="false">1</f>
        <v>1</v>
      </c>
      <c r="T58" s="118" t="n">
        <f aca="false">0.98</f>
        <v>0.98</v>
      </c>
      <c r="U58" s="118" t="n">
        <f aca="false">0.98</f>
        <v>0.98</v>
      </c>
      <c r="V58" s="75" t="str">
        <f aca="false">IF(SUM($P58)&lt;=0,"",ROUND((($Q58+($O58*(1-$T58)))*$S58)/$U58,0))</f>
        <v/>
      </c>
      <c r="W58" s="118" t="n">
        <f aca="false">0.7</f>
        <v>0.7</v>
      </c>
      <c r="X58" s="118" t="n">
        <f aca="false">1</f>
        <v>1</v>
      </c>
      <c r="Y58" s="75" t="str">
        <f aca="false">IF(SUM($V58,$P58)&lt;=0,"",ROUND(($V58*$W58+$O58)*$X58,0))</f>
        <v/>
      </c>
      <c r="Z58" s="118" t="n">
        <f aca="false">0.95</f>
        <v>0.95</v>
      </c>
      <c r="AA58" s="75" t="str">
        <f aca="false">IF(SUM($Y58)&lt;=0,"",ROUND($Y58*$Z58,0))</f>
        <v/>
      </c>
      <c r="AB58" s="118" t="n">
        <f aca="false">0</f>
        <v>0</v>
      </c>
      <c r="AC58" s="73" t="str">
        <f aca="false">IF(SUM($V58)&lt;=0,"",ROUND(SUM($V58)*SUM($AB58),0))</f>
        <v/>
      </c>
      <c r="AD58" s="73" t="str">
        <f aca="false">IF(SUM($V58)&lt;=0,"",SUM($V58)-SUM($AC58))</f>
        <v/>
      </c>
      <c r="AE58" s="73"/>
      <c r="AF58" s="73"/>
      <c r="AG58" s="118" t="n">
        <f aca="false">0.95</f>
        <v>0.95</v>
      </c>
      <c r="AH58" s="118"/>
      <c r="AI58" s="75" t="str">
        <f aca="false">IF(SUM($AD58)&lt;=0,"",ROUND(SUM($AD58)/SUM($AG58),0))</f>
        <v/>
      </c>
      <c r="AJ58" s="75" t="str">
        <f aca="false">IF(SUM($AH58)&lt;=0,"",ROUND($AI58/$AH58-$AI58,0))</f>
        <v/>
      </c>
      <c r="AK58" s="118" t="n">
        <f aca="false">1</f>
        <v>1</v>
      </c>
      <c r="AL58" s="75" t="str">
        <f aca="false">IF(SUM($AI58)&lt;=0,"",ROUND($AI58*$AK58,0))</f>
        <v/>
      </c>
      <c r="AM58" s="73"/>
      <c r="AN58" s="75"/>
    </row>
    <row r="59" customFormat="false" ht="15" hidden="false" customHeight="false" outlineLevel="0" collapsed="false">
      <c r="A59" s="53" t="s">
        <v>149</v>
      </c>
      <c r="B59" s="53" t="s">
        <v>111</v>
      </c>
      <c r="C59" s="53" t="s">
        <v>1072</v>
      </c>
      <c r="D59" s="53" t="str">
        <f aca="false">B59&amp;"|"&amp;C59</f>
        <v>Qacha's Nek [#SNU] [zTaMbxvQtJ6]|TG</v>
      </c>
      <c r="E59" s="75"/>
      <c r="F59" s="75"/>
      <c r="G59" s="192"/>
      <c r="H59" s="73"/>
      <c r="I59" s="75"/>
      <c r="J59" s="73"/>
      <c r="K59" s="75"/>
      <c r="L59" s="73"/>
      <c r="M59" s="75"/>
      <c r="N59" s="73"/>
      <c r="O59" s="73"/>
      <c r="P59" s="75"/>
      <c r="Q59" s="73" t="str">
        <f aca="false">IF(AND(SUM($O59)&lt;=0,SUM($P59)&lt;=0),"",$P59-$O59)</f>
        <v/>
      </c>
      <c r="R59" s="73"/>
      <c r="S59" s="118" t="n">
        <f aca="false">1</f>
        <v>1</v>
      </c>
      <c r="T59" s="118" t="n">
        <f aca="false">0.98</f>
        <v>0.98</v>
      </c>
      <c r="U59" s="118" t="n">
        <f aca="false">0.98</f>
        <v>0.98</v>
      </c>
      <c r="V59" s="75" t="str">
        <f aca="false">IF(SUM($P59)&lt;=0,"",ROUND((($Q59+($O59*(1-$T59)))*$S59)/$U59,0))</f>
        <v/>
      </c>
      <c r="W59" s="118" t="n">
        <f aca="false">0.7</f>
        <v>0.7</v>
      </c>
      <c r="X59" s="118" t="n">
        <f aca="false">1</f>
        <v>1</v>
      </c>
      <c r="Y59" s="75" t="str">
        <f aca="false">IF(SUM($V59,$P59)&lt;=0,"",ROUND(($V59*$W59+$O59)*$X59,0))</f>
        <v/>
      </c>
      <c r="Z59" s="118" t="n">
        <f aca="false">0.95</f>
        <v>0.95</v>
      </c>
      <c r="AA59" s="75" t="str">
        <f aca="false">IF(SUM($Y59)&lt;=0,"",ROUND($Y59*$Z59,0))</f>
        <v/>
      </c>
      <c r="AB59" s="118" t="n">
        <f aca="false">0</f>
        <v>0</v>
      </c>
      <c r="AC59" s="73" t="str">
        <f aca="false">IF(SUM($V59)&lt;=0,"",ROUND(SUM($V59)*SUM($AB59),0))</f>
        <v/>
      </c>
      <c r="AD59" s="73" t="str">
        <f aca="false">IF(SUM($V59)&lt;=0,"",SUM($V59)-SUM($AC59))</f>
        <v/>
      </c>
      <c r="AE59" s="73"/>
      <c r="AF59" s="73"/>
      <c r="AG59" s="118" t="n">
        <f aca="false">0.95</f>
        <v>0.95</v>
      </c>
      <c r="AH59" s="118"/>
      <c r="AI59" s="75" t="str">
        <f aca="false">IF(SUM($AD59)&lt;=0,"",ROUND(SUM($AD59)/SUM($AG59),0))</f>
        <v/>
      </c>
      <c r="AJ59" s="75" t="str">
        <f aca="false">IF(SUM($AH59)&lt;=0,"",ROUND($AI59/$AH59-$AI59,0))</f>
        <v/>
      </c>
      <c r="AK59" s="118" t="n">
        <f aca="false">1</f>
        <v>1</v>
      </c>
      <c r="AL59" s="75" t="str">
        <f aca="false">IF(SUM($AI59)&lt;=0,"",ROUND($AI59*$AK59,0))</f>
        <v/>
      </c>
      <c r="AM59" s="73"/>
      <c r="AN59" s="75"/>
    </row>
    <row r="60" customFormat="false" ht="15" hidden="false" customHeight="false" outlineLevel="0" collapsed="false">
      <c r="A60" s="53" t="s">
        <v>150</v>
      </c>
      <c r="B60" s="53" t="s">
        <v>117</v>
      </c>
      <c r="C60" s="53" t="s">
        <v>1068</v>
      </c>
      <c r="D60" s="53" t="str">
        <f aca="false">B60&amp;"|"&amp;C60</f>
        <v>Quthing [#SNU] [HuwCoDZG0FY]|FSW</v>
      </c>
      <c r="E60" s="75"/>
      <c r="F60" s="75"/>
      <c r="G60" s="192"/>
      <c r="H60" s="73"/>
      <c r="I60" s="75"/>
      <c r="J60" s="73"/>
      <c r="K60" s="75"/>
      <c r="L60" s="126"/>
      <c r="M60" s="75"/>
      <c r="N60" s="73"/>
      <c r="O60" s="73"/>
      <c r="P60" s="75"/>
      <c r="Q60" s="73" t="str">
        <f aca="false">IF(AND(SUM($O60)&lt;=0,SUM($P60)&lt;=0),"",$P60-$O60)</f>
        <v/>
      </c>
      <c r="R60" s="73"/>
      <c r="S60" s="118" t="n">
        <f aca="false">1</f>
        <v>1</v>
      </c>
      <c r="T60" s="118" t="n">
        <f aca="false">0.98</f>
        <v>0.98</v>
      </c>
      <c r="U60" s="118" t="n">
        <f aca="false">0.98</f>
        <v>0.98</v>
      </c>
      <c r="V60" s="75" t="str">
        <f aca="false">IF(SUM($P60)&lt;=0,"",ROUND((($Q60+($O60*(1-$T60)))*$S60)/$U60,0))</f>
        <v/>
      </c>
      <c r="W60" s="118" t="n">
        <f aca="false">0.7</f>
        <v>0.7</v>
      </c>
      <c r="X60" s="118" t="n">
        <f aca="false">1</f>
        <v>1</v>
      </c>
      <c r="Y60" s="75" t="str">
        <f aca="false">IF(SUM($V60,$P60)&lt;=0,"",ROUND(($V60*$W60+$O60)*$X60,0))</f>
        <v/>
      </c>
      <c r="Z60" s="118" t="n">
        <f aca="false">0.95</f>
        <v>0.95</v>
      </c>
      <c r="AA60" s="75" t="str">
        <f aca="false">IF(SUM($Y60)&lt;=0,"",ROUND($Y60*$Z60,0))</f>
        <v/>
      </c>
      <c r="AB60" s="118" t="n">
        <f aca="false">0</f>
        <v>0</v>
      </c>
      <c r="AC60" s="73" t="str">
        <f aca="false">IF(SUM($V60)&lt;=0,"",ROUND(SUM($V60)*SUM($AB60),0))</f>
        <v/>
      </c>
      <c r="AD60" s="73" t="str">
        <f aca="false">IF(SUM($V60)&lt;=0,"",SUM($V60)-SUM($AC60))</f>
        <v/>
      </c>
      <c r="AE60" s="73"/>
      <c r="AF60" s="73"/>
      <c r="AG60" s="118" t="n">
        <f aca="false">0.95</f>
        <v>0.95</v>
      </c>
      <c r="AH60" s="118"/>
      <c r="AI60" s="75" t="str">
        <f aca="false">IF(SUM($AD60)&lt;=0,"",ROUND(SUM($AD60)/SUM($AG60),0))</f>
        <v/>
      </c>
      <c r="AJ60" s="75" t="str">
        <f aca="false">IF(SUM($AH60)&lt;=0,"",ROUND($AI60/$AH60-$AI60,0))</f>
        <v/>
      </c>
      <c r="AK60" s="118" t="n">
        <f aca="false">1</f>
        <v>1</v>
      </c>
      <c r="AL60" s="75" t="str">
        <f aca="false">IF(SUM($AI60)&lt;=0,"",ROUND($AI60*$AK60,0))</f>
        <v/>
      </c>
      <c r="AM60" s="73"/>
      <c r="AN60" s="75"/>
    </row>
    <row r="61" customFormat="false" ht="15" hidden="false" customHeight="false" outlineLevel="0" collapsed="false">
      <c r="A61" s="53" t="s">
        <v>150</v>
      </c>
      <c r="B61" s="53" t="s">
        <v>117</v>
      </c>
      <c r="C61" s="53" t="s">
        <v>1069</v>
      </c>
      <c r="D61" s="53" t="str">
        <f aca="false">B61&amp;"|"&amp;C61</f>
        <v>Quthing [#SNU] [HuwCoDZG0FY]|MSM</v>
      </c>
      <c r="E61" s="75"/>
      <c r="F61" s="75"/>
      <c r="G61" s="192"/>
      <c r="H61" s="73"/>
      <c r="I61" s="75"/>
      <c r="J61" s="73"/>
      <c r="K61" s="75"/>
      <c r="L61" s="126"/>
      <c r="M61" s="75"/>
      <c r="N61" s="73"/>
      <c r="O61" s="73"/>
      <c r="P61" s="75"/>
      <c r="Q61" s="73" t="str">
        <f aca="false">IF(AND(SUM($O61)&lt;=0,SUM($P61)&lt;=0),"",$P61-$O61)</f>
        <v/>
      </c>
      <c r="R61" s="73"/>
      <c r="S61" s="118" t="n">
        <f aca="false">1</f>
        <v>1</v>
      </c>
      <c r="T61" s="118" t="n">
        <f aca="false">0.98</f>
        <v>0.98</v>
      </c>
      <c r="U61" s="118" t="n">
        <f aca="false">0.98</f>
        <v>0.98</v>
      </c>
      <c r="V61" s="75" t="str">
        <f aca="false">IF(SUM($P61)&lt;=0,"",ROUND((($Q61+($O61*(1-$T61)))*$S61)/$U61,0))</f>
        <v/>
      </c>
      <c r="W61" s="118" t="n">
        <f aca="false">0.7</f>
        <v>0.7</v>
      </c>
      <c r="X61" s="118" t="n">
        <f aca="false">1</f>
        <v>1</v>
      </c>
      <c r="Y61" s="75" t="str">
        <f aca="false">IF(SUM($V61,$P61)&lt;=0,"",ROUND(($V61*$W61+$O61)*$X61,0))</f>
        <v/>
      </c>
      <c r="Z61" s="118" t="n">
        <f aca="false">0.95</f>
        <v>0.95</v>
      </c>
      <c r="AA61" s="75" t="str">
        <f aca="false">IF(SUM($Y61)&lt;=0,"",ROUND($Y61*$Z61,0))</f>
        <v/>
      </c>
      <c r="AB61" s="118" t="n">
        <f aca="false">0</f>
        <v>0</v>
      </c>
      <c r="AC61" s="73" t="str">
        <f aca="false">IF(SUM($V61)&lt;=0,"",ROUND(SUM($V61)*SUM($AB61),0))</f>
        <v/>
      </c>
      <c r="AD61" s="73" t="str">
        <f aca="false">IF(SUM($V61)&lt;=0,"",SUM($V61)-SUM($AC61))</f>
        <v/>
      </c>
      <c r="AE61" s="73"/>
      <c r="AF61" s="73"/>
      <c r="AG61" s="118" t="n">
        <f aca="false">0.95</f>
        <v>0.95</v>
      </c>
      <c r="AH61" s="118"/>
      <c r="AI61" s="75" t="str">
        <f aca="false">IF(SUM($AD61)&lt;=0,"",ROUND(SUM($AD61)/SUM($AG61),0))</f>
        <v/>
      </c>
      <c r="AJ61" s="75" t="str">
        <f aca="false">IF(SUM($AH61)&lt;=0,"",ROUND($AI61/$AH61-$AI61,0))</f>
        <v/>
      </c>
      <c r="AK61" s="118" t="n">
        <f aca="false">1</f>
        <v>1</v>
      </c>
      <c r="AL61" s="75" t="str">
        <f aca="false">IF(SUM($AI61)&lt;=0,"",ROUND($AI61*$AK61,0))</f>
        <v/>
      </c>
      <c r="AM61" s="73"/>
      <c r="AN61" s="75"/>
    </row>
    <row r="62" customFormat="false" ht="15" hidden="false" customHeight="false" outlineLevel="0" collapsed="false">
      <c r="A62" s="53" t="s">
        <v>150</v>
      </c>
      <c r="B62" s="53" t="s">
        <v>117</v>
      </c>
      <c r="C62" s="53" t="s">
        <v>1070</v>
      </c>
      <c r="D62" s="53" t="str">
        <f aca="false">B62&amp;"|"&amp;C62</f>
        <v>Quthing [#SNU] [HuwCoDZG0FY]|People in prisons and other enclosed settings</v>
      </c>
      <c r="E62" s="75"/>
      <c r="F62" s="75"/>
      <c r="G62" s="192"/>
      <c r="H62" s="73"/>
      <c r="I62" s="75"/>
      <c r="J62" s="73"/>
      <c r="K62" s="75"/>
      <c r="L62" s="73"/>
      <c r="M62" s="75"/>
      <c r="N62" s="73" t="n">
        <v>23</v>
      </c>
      <c r="O62" s="73"/>
      <c r="P62" s="75"/>
      <c r="Q62" s="73" t="str">
        <f aca="false">IF(AND(SUM($O62)&lt;=0,SUM($P62)&lt;=0),"",$P62-$O62)</f>
        <v/>
      </c>
      <c r="R62" s="73"/>
      <c r="S62" s="118" t="n">
        <f aca="false">1</f>
        <v>1</v>
      </c>
      <c r="T62" s="118" t="n">
        <f aca="false">0.98</f>
        <v>0.98</v>
      </c>
      <c r="U62" s="118" t="n">
        <f aca="false">0.98</f>
        <v>0.98</v>
      </c>
      <c r="V62" s="75" t="str">
        <f aca="false">IF(SUM($P62)&lt;=0,"",ROUND((($Q62+($O62*(1-$T62)))*$S62)/$U62,0))</f>
        <v/>
      </c>
      <c r="W62" s="118" t="n">
        <f aca="false">0.7</f>
        <v>0.7</v>
      </c>
      <c r="X62" s="118" t="n">
        <f aca="false">1</f>
        <v>1</v>
      </c>
      <c r="Y62" s="75" t="str">
        <f aca="false">IF(SUM($V62,$P62)&lt;=0,"",ROUND(($V62*$W62+$O62)*$X62,0))</f>
        <v/>
      </c>
      <c r="Z62" s="118" t="n">
        <f aca="false">0.95</f>
        <v>0.95</v>
      </c>
      <c r="AA62" s="75" t="str">
        <f aca="false">IF(SUM($Y62)&lt;=0,"",ROUND($Y62*$Z62,0))</f>
        <v/>
      </c>
      <c r="AB62" s="118" t="n">
        <f aca="false">0</f>
        <v>0</v>
      </c>
      <c r="AC62" s="73" t="str">
        <f aca="false">IF(SUM($V62)&lt;=0,"",ROUND(SUM($V62)*SUM($AB62),0))</f>
        <v/>
      </c>
      <c r="AD62" s="73" t="str">
        <f aca="false">IF(SUM($V62)&lt;=0,"",SUM($V62)-SUM($AC62))</f>
        <v/>
      </c>
      <c r="AE62" s="73"/>
      <c r="AF62" s="73"/>
      <c r="AG62" s="118" t="n">
        <f aca="false">0.95</f>
        <v>0.95</v>
      </c>
      <c r="AH62" s="118"/>
      <c r="AI62" s="75" t="str">
        <f aca="false">IF(SUM($AD62)&lt;=0,"",ROUND(SUM($AD62)/SUM($AG62),0))</f>
        <v/>
      </c>
      <c r="AJ62" s="75" t="str">
        <f aca="false">IF(SUM($AH62)&lt;=0,"",ROUND($AI62/$AH62-$AI62,0))</f>
        <v/>
      </c>
      <c r="AK62" s="118" t="n">
        <f aca="false">1</f>
        <v>1</v>
      </c>
      <c r="AL62" s="75" t="str">
        <f aca="false">IF(SUM($AI62)&lt;=0,"",ROUND($AI62*$AK62,0))</f>
        <v/>
      </c>
      <c r="AM62" s="73"/>
      <c r="AN62" s="75"/>
    </row>
    <row r="63" customFormat="false" ht="15" hidden="false" customHeight="false" outlineLevel="0" collapsed="false">
      <c r="A63" s="53" t="s">
        <v>150</v>
      </c>
      <c r="B63" s="53" t="s">
        <v>117</v>
      </c>
      <c r="C63" s="53" t="s">
        <v>1071</v>
      </c>
      <c r="D63" s="53" t="str">
        <f aca="false">B63&amp;"|"&amp;C63</f>
        <v>Quthing [#SNU] [HuwCoDZG0FY]|PWID</v>
      </c>
      <c r="E63" s="75"/>
      <c r="F63" s="75"/>
      <c r="G63" s="192"/>
      <c r="H63" s="73"/>
      <c r="I63" s="75"/>
      <c r="J63" s="73"/>
      <c r="K63" s="75"/>
      <c r="L63" s="73"/>
      <c r="M63" s="75"/>
      <c r="N63" s="73"/>
      <c r="O63" s="73"/>
      <c r="P63" s="75"/>
      <c r="Q63" s="73" t="str">
        <f aca="false">IF(AND(SUM($O63)&lt;=0,SUM($P63)&lt;=0),"",$P63-$O63)</f>
        <v/>
      </c>
      <c r="R63" s="73"/>
      <c r="S63" s="118" t="n">
        <f aca="false">1</f>
        <v>1</v>
      </c>
      <c r="T63" s="118" t="n">
        <f aca="false">0.98</f>
        <v>0.98</v>
      </c>
      <c r="U63" s="118" t="n">
        <f aca="false">0.98</f>
        <v>0.98</v>
      </c>
      <c r="V63" s="75" t="str">
        <f aca="false">IF(SUM($P63)&lt;=0,"",ROUND((($Q63+($O63*(1-$T63)))*$S63)/$U63,0))</f>
        <v/>
      </c>
      <c r="W63" s="118" t="n">
        <f aca="false">0.7</f>
        <v>0.7</v>
      </c>
      <c r="X63" s="118" t="n">
        <f aca="false">1</f>
        <v>1</v>
      </c>
      <c r="Y63" s="75" t="str">
        <f aca="false">IF(SUM($V63,$P63)&lt;=0,"",ROUND(($V63*$W63+$O63)*$X63,0))</f>
        <v/>
      </c>
      <c r="Z63" s="118" t="n">
        <f aca="false">0.95</f>
        <v>0.95</v>
      </c>
      <c r="AA63" s="75" t="str">
        <f aca="false">IF(SUM($Y63)&lt;=0,"",ROUND($Y63*$Z63,0))</f>
        <v/>
      </c>
      <c r="AB63" s="118" t="n">
        <f aca="false">0</f>
        <v>0</v>
      </c>
      <c r="AC63" s="73" t="str">
        <f aca="false">IF(SUM($V63)&lt;=0,"",ROUND(SUM($V63)*SUM($AB63),0))</f>
        <v/>
      </c>
      <c r="AD63" s="73" t="str">
        <f aca="false">IF(SUM($V63)&lt;=0,"",SUM($V63)-SUM($AC63))</f>
        <v/>
      </c>
      <c r="AE63" s="73"/>
      <c r="AF63" s="73"/>
      <c r="AG63" s="118" t="n">
        <f aca="false">0.95</f>
        <v>0.95</v>
      </c>
      <c r="AH63" s="118"/>
      <c r="AI63" s="75" t="str">
        <f aca="false">IF(SUM($AD63)&lt;=0,"",ROUND(SUM($AD63)/SUM($AG63),0))</f>
        <v/>
      </c>
      <c r="AJ63" s="75" t="str">
        <f aca="false">IF(SUM($AH63)&lt;=0,"",ROUND($AI63/$AH63-$AI63,0))</f>
        <v/>
      </c>
      <c r="AK63" s="118" t="n">
        <f aca="false">1</f>
        <v>1</v>
      </c>
      <c r="AL63" s="75" t="str">
        <f aca="false">IF(SUM($AI63)&lt;=0,"",ROUND($AI63*$AK63,0))</f>
        <v/>
      </c>
      <c r="AM63" s="73"/>
      <c r="AN63" s="75"/>
    </row>
    <row r="64" customFormat="false" ht="15" hidden="false" customHeight="false" outlineLevel="0" collapsed="false">
      <c r="A64" s="53" t="s">
        <v>150</v>
      </c>
      <c r="B64" s="53" t="s">
        <v>117</v>
      </c>
      <c r="C64" s="53" t="s">
        <v>1072</v>
      </c>
      <c r="D64" s="53" t="str">
        <f aca="false">B64&amp;"|"&amp;C64</f>
        <v>Quthing [#SNU] [HuwCoDZG0FY]|TG</v>
      </c>
      <c r="E64" s="75"/>
      <c r="F64" s="75"/>
      <c r="G64" s="192"/>
      <c r="H64" s="73"/>
      <c r="I64" s="75"/>
      <c r="J64" s="73"/>
      <c r="K64" s="75"/>
      <c r="L64" s="126"/>
      <c r="M64" s="75"/>
      <c r="N64" s="73"/>
      <c r="O64" s="73"/>
      <c r="P64" s="75"/>
      <c r="Q64" s="73" t="str">
        <f aca="false">IF(AND(SUM($O64)&lt;=0,SUM($P64)&lt;=0),"",$P64-$O64)</f>
        <v/>
      </c>
      <c r="R64" s="73"/>
      <c r="S64" s="118" t="n">
        <f aca="false">1</f>
        <v>1</v>
      </c>
      <c r="T64" s="118" t="n">
        <f aca="false">0.98</f>
        <v>0.98</v>
      </c>
      <c r="U64" s="118" t="n">
        <f aca="false">0.98</f>
        <v>0.98</v>
      </c>
      <c r="V64" s="75" t="str">
        <f aca="false">IF(SUM($P64)&lt;=0,"",ROUND((($Q64+($O64*(1-$T64)))*$S64)/$U64,0))</f>
        <v/>
      </c>
      <c r="W64" s="118" t="n">
        <f aca="false">0.7</f>
        <v>0.7</v>
      </c>
      <c r="X64" s="118" t="n">
        <f aca="false">1</f>
        <v>1</v>
      </c>
      <c r="Y64" s="75" t="str">
        <f aca="false">IF(SUM($V64,$P64)&lt;=0,"",ROUND(($V64*$W64+$O64)*$X64,0))</f>
        <v/>
      </c>
      <c r="Z64" s="118" t="n">
        <f aca="false">0.95</f>
        <v>0.95</v>
      </c>
      <c r="AA64" s="75" t="str">
        <f aca="false">IF(SUM($Y64)&lt;=0,"",ROUND($Y64*$Z64,0))</f>
        <v/>
      </c>
      <c r="AB64" s="118" t="n">
        <f aca="false">0</f>
        <v>0</v>
      </c>
      <c r="AC64" s="73" t="str">
        <f aca="false">IF(SUM($V64)&lt;=0,"",ROUND(SUM($V64)*SUM($AB64),0))</f>
        <v/>
      </c>
      <c r="AD64" s="73" t="str">
        <f aca="false">IF(SUM($V64)&lt;=0,"",SUM($V64)-SUM($AC64))</f>
        <v/>
      </c>
      <c r="AE64" s="73"/>
      <c r="AF64" s="73"/>
      <c r="AG64" s="118" t="n">
        <f aca="false">0.95</f>
        <v>0.95</v>
      </c>
      <c r="AH64" s="118"/>
      <c r="AI64" s="75" t="str">
        <f aca="false">IF(SUM($AD64)&lt;=0,"",ROUND(SUM($AD64)/SUM($AG64),0))</f>
        <v/>
      </c>
      <c r="AJ64" s="75" t="str">
        <f aca="false">IF(SUM($AH64)&lt;=0,"",ROUND($AI64/$AH64-$AI64,0))</f>
        <v/>
      </c>
      <c r="AK64" s="118" t="n">
        <f aca="false">1</f>
        <v>1</v>
      </c>
      <c r="AL64" s="75" t="str">
        <f aca="false">IF(SUM($AI64)&lt;=0,"",ROUND($AI64*$AK64,0))</f>
        <v/>
      </c>
      <c r="AM64" s="73"/>
      <c r="AN64" s="75"/>
    </row>
    <row r="65" customFormat="false" ht="15" hidden="false" customHeight="false" outlineLevel="0" collapsed="false">
      <c r="A65" s="53" t="s">
        <v>151</v>
      </c>
      <c r="B65" s="53" t="s">
        <v>101</v>
      </c>
      <c r="C65" s="53" t="s">
        <v>1068</v>
      </c>
      <c r="D65" s="53" t="str">
        <f aca="false">B65&amp;"|"&amp;C65</f>
        <v>Thaba Tseka [#SNU] [jyhIrCoB31x]|FSW</v>
      </c>
      <c r="E65" s="75"/>
      <c r="F65" s="75"/>
      <c r="G65" s="192"/>
      <c r="H65" s="73"/>
      <c r="I65" s="75"/>
      <c r="J65" s="73"/>
      <c r="K65" s="75"/>
      <c r="L65" s="126"/>
      <c r="M65" s="75"/>
      <c r="N65" s="73"/>
      <c r="O65" s="73"/>
      <c r="P65" s="75"/>
      <c r="Q65" s="73" t="str">
        <f aca="false">IF(AND(SUM($O65)&lt;=0,SUM($P65)&lt;=0),"",$P65-$O65)</f>
        <v/>
      </c>
      <c r="R65" s="73"/>
      <c r="S65" s="118" t="n">
        <f aca="false">1</f>
        <v>1</v>
      </c>
      <c r="T65" s="118" t="n">
        <f aca="false">0.98</f>
        <v>0.98</v>
      </c>
      <c r="U65" s="118" t="n">
        <f aca="false">0.98</f>
        <v>0.98</v>
      </c>
      <c r="V65" s="75" t="str">
        <f aca="false">IF(SUM($P65)&lt;=0,"",ROUND((($Q65+($O65*(1-$T65)))*$S65)/$U65,0))</f>
        <v/>
      </c>
      <c r="W65" s="118" t="n">
        <f aca="false">0.7</f>
        <v>0.7</v>
      </c>
      <c r="X65" s="118" t="n">
        <f aca="false">1</f>
        <v>1</v>
      </c>
      <c r="Y65" s="75" t="str">
        <f aca="false">IF(SUM($V65,$P65)&lt;=0,"",ROUND(($V65*$W65+$O65)*$X65,0))</f>
        <v/>
      </c>
      <c r="Z65" s="118" t="n">
        <f aca="false">0.95</f>
        <v>0.95</v>
      </c>
      <c r="AA65" s="75" t="str">
        <f aca="false">IF(SUM($Y65)&lt;=0,"",ROUND($Y65*$Z65,0))</f>
        <v/>
      </c>
      <c r="AB65" s="118" t="n">
        <f aca="false">0</f>
        <v>0</v>
      </c>
      <c r="AC65" s="73" t="str">
        <f aca="false">IF(SUM($V65)&lt;=0,"",ROUND(SUM($V65)*SUM($AB65),0))</f>
        <v/>
      </c>
      <c r="AD65" s="73" t="str">
        <f aca="false">IF(SUM($V65)&lt;=0,"",SUM($V65)-SUM($AC65))</f>
        <v/>
      </c>
      <c r="AE65" s="73"/>
      <c r="AF65" s="73"/>
      <c r="AG65" s="118" t="n">
        <f aca="false">0.95</f>
        <v>0.95</v>
      </c>
      <c r="AH65" s="118"/>
      <c r="AI65" s="75" t="str">
        <f aca="false">IF(SUM($AD65)&lt;=0,"",ROUND(SUM($AD65)/SUM($AG65),0))</f>
        <v/>
      </c>
      <c r="AJ65" s="75" t="str">
        <f aca="false">IF(SUM($AH65)&lt;=0,"",ROUND($AI65/$AH65-$AI65,0))</f>
        <v/>
      </c>
      <c r="AK65" s="118" t="n">
        <f aca="false">1</f>
        <v>1</v>
      </c>
      <c r="AL65" s="75" t="str">
        <f aca="false">IF(SUM($AI65)&lt;=0,"",ROUND($AI65*$AK65,0))</f>
        <v/>
      </c>
      <c r="AM65" s="73"/>
      <c r="AN65" s="75"/>
    </row>
    <row r="66" customFormat="false" ht="15" hidden="false" customHeight="false" outlineLevel="0" collapsed="false">
      <c r="A66" s="53" t="s">
        <v>151</v>
      </c>
      <c r="B66" s="53" t="s">
        <v>101</v>
      </c>
      <c r="C66" s="53" t="s">
        <v>1069</v>
      </c>
      <c r="D66" s="53" t="str">
        <f aca="false">B66&amp;"|"&amp;C66</f>
        <v>Thaba Tseka [#SNU] [jyhIrCoB31x]|MSM</v>
      </c>
      <c r="E66" s="75"/>
      <c r="F66" s="75"/>
      <c r="G66" s="192"/>
      <c r="H66" s="73"/>
      <c r="I66" s="75"/>
      <c r="J66" s="73"/>
      <c r="K66" s="75"/>
      <c r="L66" s="73"/>
      <c r="M66" s="75"/>
      <c r="N66" s="73"/>
      <c r="O66" s="73"/>
      <c r="P66" s="75"/>
      <c r="Q66" s="73" t="str">
        <f aca="false">IF(AND(SUM($O66)&lt;=0,SUM($P66)&lt;=0),"",$P66-$O66)</f>
        <v/>
      </c>
      <c r="R66" s="73"/>
      <c r="S66" s="118" t="n">
        <f aca="false">1</f>
        <v>1</v>
      </c>
      <c r="T66" s="118" t="n">
        <f aca="false">0.98</f>
        <v>0.98</v>
      </c>
      <c r="U66" s="118" t="n">
        <f aca="false">0.98</f>
        <v>0.98</v>
      </c>
      <c r="V66" s="75" t="str">
        <f aca="false">IF(SUM($P66)&lt;=0,"",ROUND((($Q66+($O66*(1-$T66)))*$S66)/$U66,0))</f>
        <v/>
      </c>
      <c r="W66" s="118" t="n">
        <f aca="false">0.7</f>
        <v>0.7</v>
      </c>
      <c r="X66" s="118" t="n">
        <f aca="false">1</f>
        <v>1</v>
      </c>
      <c r="Y66" s="75" t="str">
        <f aca="false">IF(SUM($V66,$P66)&lt;=0,"",ROUND(($V66*$W66+$O66)*$X66,0))</f>
        <v/>
      </c>
      <c r="Z66" s="118" t="n">
        <f aca="false">0.95</f>
        <v>0.95</v>
      </c>
      <c r="AA66" s="75" t="str">
        <f aca="false">IF(SUM($Y66)&lt;=0,"",ROUND($Y66*$Z66,0))</f>
        <v/>
      </c>
      <c r="AB66" s="118" t="n">
        <f aca="false">0</f>
        <v>0</v>
      </c>
      <c r="AC66" s="73" t="str">
        <f aca="false">IF(SUM($V66)&lt;=0,"",ROUND(SUM($V66)*SUM($AB66),0))</f>
        <v/>
      </c>
      <c r="AD66" s="73" t="str">
        <f aca="false">IF(SUM($V66)&lt;=0,"",SUM($V66)-SUM($AC66))</f>
        <v/>
      </c>
      <c r="AE66" s="73"/>
      <c r="AF66" s="73"/>
      <c r="AG66" s="118" t="n">
        <f aca="false">0.95</f>
        <v>0.95</v>
      </c>
      <c r="AH66" s="118"/>
      <c r="AI66" s="75" t="str">
        <f aca="false">IF(SUM($AD66)&lt;=0,"",ROUND(SUM($AD66)/SUM($AG66),0))</f>
        <v/>
      </c>
      <c r="AJ66" s="75" t="str">
        <f aca="false">IF(SUM($AH66)&lt;=0,"",ROUND($AI66/$AH66-$AI66,0))</f>
        <v/>
      </c>
      <c r="AK66" s="118" t="n">
        <f aca="false">1</f>
        <v>1</v>
      </c>
      <c r="AL66" s="75" t="str">
        <f aca="false">IF(SUM($AI66)&lt;=0,"",ROUND($AI66*$AK66,0))</f>
        <v/>
      </c>
      <c r="AM66" s="73"/>
      <c r="AN66" s="75"/>
    </row>
    <row r="67" customFormat="false" ht="15" hidden="false" customHeight="false" outlineLevel="0" collapsed="false">
      <c r="A67" s="0" t="s">
        <v>151</v>
      </c>
      <c r="B67" s="0" t="s">
        <v>101</v>
      </c>
      <c r="C67" s="0" t="s">
        <v>1070</v>
      </c>
      <c r="D67" s="0" t="str">
        <f aca="false">B67&amp;"|"&amp;C67</f>
        <v>Thaba Tseka [#SNU] [jyhIrCoB31x]|People in prisons and other enclosed settings</v>
      </c>
      <c r="E67" s="75"/>
      <c r="F67" s="75"/>
      <c r="G67" s="192"/>
      <c r="H67" s="73"/>
      <c r="I67" s="75"/>
      <c r="J67" s="73"/>
      <c r="K67" s="75"/>
      <c r="L67" s="73"/>
      <c r="M67" s="75"/>
      <c r="N67" s="73"/>
      <c r="O67" s="73"/>
      <c r="P67" s="75"/>
      <c r="Q67" s="73" t="str">
        <f aca="false">IF(AND(SUM($O67)&lt;=0,SUM($P67)&lt;=0),"",$P67-$O67)</f>
        <v/>
      </c>
      <c r="R67" s="73"/>
      <c r="S67" s="118" t="n">
        <f aca="false">1</f>
        <v>1</v>
      </c>
      <c r="T67" s="118" t="n">
        <f aca="false">0.98</f>
        <v>0.98</v>
      </c>
      <c r="U67" s="118" t="n">
        <f aca="false">0.98</f>
        <v>0.98</v>
      </c>
      <c r="V67" s="75" t="str">
        <f aca="false">IF(SUM($P67)&lt;=0,"",ROUND((($Q67+($O67*(1-$T67)))*$S67)/$U67,0))</f>
        <v/>
      </c>
      <c r="W67" s="118" t="n">
        <f aca="false">0.7</f>
        <v>0.7</v>
      </c>
      <c r="X67" s="118" t="n">
        <f aca="false">1</f>
        <v>1</v>
      </c>
      <c r="Y67" s="75" t="str">
        <f aca="false">IF(SUM($V67,$P67)&lt;=0,"",ROUND(($V67*$W67+$O67)*$X67,0))</f>
        <v/>
      </c>
      <c r="Z67" s="118" t="n">
        <f aca="false">0.95</f>
        <v>0.95</v>
      </c>
      <c r="AA67" s="75" t="str">
        <f aca="false">IF(SUM($Y67)&lt;=0,"",ROUND($Y67*$Z67,0))</f>
        <v/>
      </c>
      <c r="AB67" s="118" t="n">
        <f aca="false">0</f>
        <v>0</v>
      </c>
      <c r="AC67" s="73" t="str">
        <f aca="false">IF(SUM($V67)&lt;=0,"",ROUND(SUM($V67)*SUM($AB67),0))</f>
        <v/>
      </c>
      <c r="AD67" s="73" t="str">
        <f aca="false">IF(SUM($V67)&lt;=0,"",SUM($V67)-SUM($AC67))</f>
        <v/>
      </c>
      <c r="AE67" s="73"/>
      <c r="AF67" s="73"/>
      <c r="AG67" s="118" t="n">
        <f aca="false">0.95</f>
        <v>0.95</v>
      </c>
      <c r="AH67" s="118"/>
      <c r="AI67" s="75" t="str">
        <f aca="false">IF(SUM($AD67)&lt;=0,"",ROUND(SUM($AD67)/SUM($AG67),0))</f>
        <v/>
      </c>
      <c r="AJ67" s="75" t="str">
        <f aca="false">IF(SUM($AH67)&lt;=0,"",ROUND($AI67/$AH67-$AI67,0))</f>
        <v/>
      </c>
      <c r="AK67" s="118" t="n">
        <f aca="false">1</f>
        <v>1</v>
      </c>
      <c r="AL67" s="75" t="str">
        <f aca="false">IF(SUM($AI67)&lt;=0,"",ROUND($AI67*$AK67,0))</f>
        <v/>
      </c>
      <c r="AM67" s="73"/>
      <c r="AN67" s="75"/>
    </row>
    <row r="68" customFormat="false" ht="15" hidden="false" customHeight="false" outlineLevel="0" collapsed="false">
      <c r="A68" s="0" t="s">
        <v>151</v>
      </c>
      <c r="B68" s="0" t="s">
        <v>101</v>
      </c>
      <c r="C68" s="0" t="s">
        <v>1071</v>
      </c>
      <c r="D68" s="0" t="str">
        <f aca="false">B68&amp;"|"&amp;C68</f>
        <v>Thaba Tseka [#SNU] [jyhIrCoB31x]|PWID</v>
      </c>
      <c r="E68" s="75"/>
      <c r="F68" s="75"/>
      <c r="G68" s="192"/>
      <c r="H68" s="73"/>
      <c r="I68" s="75"/>
      <c r="J68" s="73"/>
      <c r="K68" s="75"/>
      <c r="L68" s="73"/>
      <c r="M68" s="75"/>
      <c r="N68" s="73"/>
      <c r="O68" s="73"/>
      <c r="P68" s="75"/>
      <c r="Q68" s="73" t="str">
        <f aca="false">IF(AND(SUM($O68)&lt;=0,SUM($P68)&lt;=0),"",$P68-$O68)</f>
        <v/>
      </c>
      <c r="R68" s="73"/>
      <c r="S68" s="118" t="n">
        <f aca="false">1</f>
        <v>1</v>
      </c>
      <c r="T68" s="118" t="n">
        <f aca="false">0.98</f>
        <v>0.98</v>
      </c>
      <c r="U68" s="118" t="n">
        <f aca="false">0.98</f>
        <v>0.98</v>
      </c>
      <c r="V68" s="75" t="str">
        <f aca="false">IF(SUM($P68)&lt;=0,"",ROUND((($Q68+($O68*(1-$T68)))*$S68)/$U68,0))</f>
        <v/>
      </c>
      <c r="W68" s="118" t="n">
        <f aca="false">0.7</f>
        <v>0.7</v>
      </c>
      <c r="X68" s="118" t="n">
        <f aca="false">1</f>
        <v>1</v>
      </c>
      <c r="Y68" s="75" t="str">
        <f aca="false">IF(SUM($V68,$P68)&lt;=0,"",ROUND(($V68*$W68+$O68)*$X68,0))</f>
        <v/>
      </c>
      <c r="Z68" s="118" t="n">
        <f aca="false">0.95</f>
        <v>0.95</v>
      </c>
      <c r="AA68" s="75" t="str">
        <f aca="false">IF(SUM($Y68)&lt;=0,"",ROUND($Y68*$Z68,0))</f>
        <v/>
      </c>
      <c r="AB68" s="118" t="n">
        <f aca="false">0</f>
        <v>0</v>
      </c>
      <c r="AC68" s="73" t="str">
        <f aca="false">IF(SUM($V68)&lt;=0,"",ROUND(SUM($V68)*SUM($AB68),0))</f>
        <v/>
      </c>
      <c r="AD68" s="73" t="str">
        <f aca="false">IF(SUM($V68)&lt;=0,"",SUM($V68)-SUM($AC68))</f>
        <v/>
      </c>
      <c r="AE68" s="73"/>
      <c r="AF68" s="73"/>
      <c r="AG68" s="118" t="n">
        <f aca="false">0.95</f>
        <v>0.95</v>
      </c>
      <c r="AH68" s="118"/>
      <c r="AI68" s="75" t="str">
        <f aca="false">IF(SUM($AD68)&lt;=0,"",ROUND(SUM($AD68)/SUM($AG68),0))</f>
        <v/>
      </c>
      <c r="AJ68" s="75" t="str">
        <f aca="false">IF(SUM($AH68)&lt;=0,"",ROUND($AI68/$AH68-$AI68,0))</f>
        <v/>
      </c>
      <c r="AK68" s="118" t="n">
        <f aca="false">1</f>
        <v>1</v>
      </c>
      <c r="AL68" s="75" t="str">
        <f aca="false">IF(SUM($AI68)&lt;=0,"",ROUND($AI68*$AK68,0))</f>
        <v/>
      </c>
      <c r="AM68" s="73"/>
      <c r="AN68" s="75"/>
    </row>
    <row r="69" customFormat="false" ht="15" hidden="false" customHeight="false" outlineLevel="0" collapsed="false">
      <c r="A69" s="0" t="s">
        <v>151</v>
      </c>
      <c r="B69" s="0" t="s">
        <v>101</v>
      </c>
      <c r="C69" s="0" t="s">
        <v>1072</v>
      </c>
      <c r="D69" s="0" t="str">
        <f aca="false">B69&amp;"|"&amp;C69</f>
        <v>Thaba Tseka [#SNU] [jyhIrCoB31x]|TG</v>
      </c>
      <c r="E69" s="75"/>
      <c r="F69" s="75"/>
      <c r="G69" s="192"/>
      <c r="H69" s="73"/>
      <c r="I69" s="75"/>
      <c r="J69" s="73"/>
      <c r="K69" s="75"/>
      <c r="L69" s="73"/>
      <c r="M69" s="75"/>
      <c r="N69" s="73"/>
      <c r="O69" s="73"/>
      <c r="P69" s="75"/>
      <c r="Q69" s="73" t="str">
        <f aca="false">IF(AND(SUM($O69)&lt;=0,SUM($P69)&lt;=0),"",$P69-$O69)</f>
        <v/>
      </c>
      <c r="R69" s="73"/>
      <c r="S69" s="118" t="n">
        <f aca="false">1</f>
        <v>1</v>
      </c>
      <c r="T69" s="118" t="n">
        <f aca="false">0.98</f>
        <v>0.98</v>
      </c>
      <c r="U69" s="118" t="n">
        <f aca="false">0.98</f>
        <v>0.98</v>
      </c>
      <c r="V69" s="75" t="str">
        <f aca="false">IF(SUM($P69)&lt;=0,"",ROUND((($Q69+($O69*(1-$T69)))*$S69)/$U69,0))</f>
        <v/>
      </c>
      <c r="W69" s="118" t="n">
        <f aca="false">0.7</f>
        <v>0.7</v>
      </c>
      <c r="X69" s="118" t="n">
        <f aca="false">1</f>
        <v>1</v>
      </c>
      <c r="Y69" s="75" t="str">
        <f aca="false">IF(SUM($V69,$P69)&lt;=0,"",ROUND(($V69*$W69+$O69)*$X69,0))</f>
        <v/>
      </c>
      <c r="Z69" s="118" t="n">
        <f aca="false">0.95</f>
        <v>0.95</v>
      </c>
      <c r="AA69" s="75" t="str">
        <f aca="false">IF(SUM($Y69)&lt;=0,"",ROUND($Y69*$Z69,0))</f>
        <v/>
      </c>
      <c r="AB69" s="118" t="n">
        <f aca="false">0</f>
        <v>0</v>
      </c>
      <c r="AC69" s="73" t="str">
        <f aca="false">IF(SUM($V69)&lt;=0,"",ROUND(SUM($V69)*SUM($AB69),0))</f>
        <v/>
      </c>
      <c r="AD69" s="73" t="str">
        <f aca="false">IF(SUM($V69)&lt;=0,"",SUM($V69)-SUM($AC69))</f>
        <v/>
      </c>
      <c r="AE69" s="73"/>
      <c r="AF69" s="73"/>
      <c r="AG69" s="118" t="n">
        <f aca="false">0.95</f>
        <v>0.95</v>
      </c>
      <c r="AH69" s="118"/>
      <c r="AI69" s="75" t="str">
        <f aca="false">IF(SUM($AD69)&lt;=0,"",ROUND(SUM($AD69)/SUM($AG69),0))</f>
        <v/>
      </c>
      <c r="AJ69" s="75" t="str">
        <f aca="false">IF(SUM($AH69)&lt;=0,"",ROUND($AI69/$AH69-$AI69,0))</f>
        <v/>
      </c>
      <c r="AK69" s="118" t="n">
        <f aca="false">1</f>
        <v>1</v>
      </c>
      <c r="AL69" s="75" t="str">
        <f aca="false">IF(SUM($AI69)&lt;=0,"",ROUND($AI69*$AK69,0))</f>
        <v/>
      </c>
      <c r="AM69" s="73"/>
      <c r="AN69" s="75"/>
    </row>
  </sheetData>
  <conditionalFormatting sqref="X1:X1048576">
    <cfRule type="expression" priority="2" aboveAverage="0" equalAverage="0" bottom="0" percent="0" rank="0" text="" dxfId="0">
      <formula>AND(ISNUMBER($X1),ROUND(SUM($X1),2)&lt;1)</formula>
    </cfRule>
  </conditionalFormatting>
  <conditionalFormatting sqref="Z1:Z1048576">
    <cfRule type="expression" priority="3" aboveAverage="0" equalAverage="0" bottom="0" percent="0" rank="0" text="" dxfId="1">
      <formula>AND(ISNUMBER($Z1),SUM($Y1)&gt;0,ROUND(SUM($Z1),2)&lt;95%)</formula>
    </cfRule>
  </conditionalFormatting>
  <conditionalFormatting sqref="AK1:AK1048576">
    <cfRule type="expression" priority="4" aboveAverage="0" equalAverage="0" bottom="0" percent="0" rank="0" text="" dxfId="2">
      <formula>AND(ISNUMBER($AK1),SUM($AI1)&gt;0,ROUND(SUM($AK1),2)&lt;1)</formula>
    </cfRule>
  </conditionalFormatting>
  <conditionalFormatting sqref="E1:G1048576">
    <cfRule type="expression" priority="5" aboveAverage="0" equalAverage="0" bottom="0" percent="0" rank="0" text="" dxfId="3">
      <formula>LEFT($B1,4)="_Mil"</formula>
    </cfRule>
  </conditionalFormatting>
  <conditionalFormatting sqref="W1:W1048576">
    <cfRule type="expression" priority="6" aboveAverage="0" equalAverage="0" bottom="0" percent="0" rank="0" text="" dxfId="0">
      <formula>AND(ROW($W1)&gt;14,ISNUMBER($W1),SUM($V1)&gt;0,SUM($W1)&lt;70%)</formula>
    </cfRule>
  </conditionalFormatting>
  <conditionalFormatting sqref="AG1:AG1048576">
    <cfRule type="expression" priority="7" aboveAverage="0" equalAverage="0" bottom="0" percent="0" rank="0" text="" dxfId="1">
      <formula>AND(ROW($AG1)&gt;14,ISNUMBER($AG1),SUM($AG1)&lt;95%,SUM($V1)&gt;0)</formula>
    </cfRule>
  </conditionalFormatting>
  <conditionalFormatting sqref="T1:T1048576">
    <cfRule type="expression" priority="8" aboveAverage="0" equalAverage="0" bottom="0" percent="0" rank="0" text="" dxfId="2">
      <formula>AND(ROW($T1)&gt;14,SUM($O1)&gt;0,SUM($T1)&lt;98%)</formula>
    </cfRule>
  </conditionalFormatting>
  <conditionalFormatting sqref="U1:U1048576">
    <cfRule type="expression" priority="9" aboveAverage="0" equalAverage="0" bottom="0" percent="0" rank="0" text="" dxfId="3">
      <formula>AND(ROW($U1)&gt;14,ISNUMBER($U1),SUM($U1)&lt;98%)</formula>
    </cfRule>
  </conditionalFormatting>
  <conditionalFormatting sqref="S1:S1048576">
    <cfRule type="expression" priority="10" aboveAverage="0" equalAverage="0" bottom="0" percent="0" rank="0" text="" dxfId="4">
      <formula>AND(ROW($S1)&gt;14,ISNUMBER($S1),SUM($S1)&lt;100%)</formula>
    </cfRule>
  </conditionalFormatting>
  <conditionalFormatting sqref="S1:U1048576 W1:X1048576 Z1:Z1048576 AB1:AB1048576 AG1:AG1048576 AK1:AK1048576">
    <cfRule type="expression" priority="11" aboveAverage="0" equalAverage="0" bottom="0" percent="0" rank="0" text="" dxfId="5">
      <formula>AND(ISNUMBER(S1),ROW(S1)&gt;14,SUM(S1)&gt;1)</formula>
    </cfRule>
  </conditionalFormatting>
  <conditionalFormatting sqref="AB1:AB1048576">
    <cfRule type="expression" priority="12" aboveAverage="0" equalAverage="0" bottom="0" percent="0" rank="0" text="" dxfId="6">
      <formula>AND(ISNUMBER($AB1),ROW($AB1)&gt;14,SUM($AB1)&gt;0,SUM($V1)&gt;0)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V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4" topLeftCell="C15" activePane="bottomRight" state="frozen"/>
      <selection pane="topLeft" activeCell="A1" activeCellId="0" sqref="A1"/>
      <selection pane="topRight" activeCell="C1" activeCellId="0" sqref="C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74" min="3" style="0" width="11.83"/>
    <col collapsed="false" customWidth="true" hidden="false" outlineLevel="0" max="1025" min="75" style="0" width="10.61"/>
  </cols>
  <sheetData>
    <row r="1" customFormat="false" ht="31" hidden="false" customHeight="true" outlineLevel="0" collapsed="false">
      <c r="A1" s="54" t="s">
        <v>1073</v>
      </c>
      <c r="B1" s="54"/>
      <c r="C1" s="80" t="s">
        <v>950</v>
      </c>
      <c r="D1" s="76"/>
      <c r="E1" s="193"/>
      <c r="F1" s="194"/>
      <c r="G1" s="76"/>
      <c r="H1" s="76"/>
      <c r="I1" s="76"/>
      <c r="J1" s="76"/>
      <c r="K1" s="80" t="s">
        <v>949</v>
      </c>
      <c r="L1" s="76"/>
      <c r="M1" s="193"/>
      <c r="N1" s="194"/>
      <c r="O1" s="76"/>
      <c r="P1" s="76"/>
      <c r="Q1" s="76"/>
      <c r="R1" s="76"/>
      <c r="S1" s="80" t="s">
        <v>26</v>
      </c>
      <c r="T1" s="193"/>
      <c r="U1" s="194"/>
      <c r="V1" s="76"/>
      <c r="W1" s="76"/>
      <c r="X1" s="76"/>
      <c r="Y1" s="76"/>
      <c r="Z1" s="80" t="s">
        <v>25</v>
      </c>
      <c r="AA1" s="193"/>
      <c r="AB1" s="194"/>
      <c r="AC1" s="76"/>
      <c r="AD1" s="76"/>
      <c r="AE1" s="76"/>
      <c r="AF1" s="76"/>
      <c r="AG1" s="80" t="s">
        <v>27</v>
      </c>
      <c r="AH1" s="193"/>
      <c r="AI1" s="194"/>
      <c r="AJ1" s="76"/>
      <c r="AK1" s="76"/>
      <c r="AL1" s="76"/>
      <c r="AM1" s="76"/>
      <c r="AN1" s="80" t="s">
        <v>28</v>
      </c>
      <c r="AO1" s="193"/>
      <c r="AP1" s="194"/>
      <c r="AQ1" s="76"/>
      <c r="AR1" s="76"/>
      <c r="AS1" s="76"/>
      <c r="AT1" s="76"/>
      <c r="AU1" s="80" t="s">
        <v>1074</v>
      </c>
      <c r="AV1" s="193"/>
      <c r="AW1" s="194"/>
      <c r="AX1" s="76"/>
      <c r="AY1" s="76"/>
      <c r="AZ1" s="76"/>
      <c r="BA1" s="76"/>
      <c r="BB1" s="80" t="s">
        <v>1075</v>
      </c>
      <c r="BC1" s="193"/>
      <c r="BD1" s="194"/>
      <c r="BE1" s="76"/>
      <c r="BF1" s="76"/>
      <c r="BG1" s="76"/>
      <c r="BH1" s="76"/>
      <c r="BI1" s="80" t="s">
        <v>703</v>
      </c>
      <c r="BJ1" s="193"/>
      <c r="BK1" s="194"/>
      <c r="BL1" s="76"/>
      <c r="BM1" s="76"/>
      <c r="BN1" s="76"/>
      <c r="BO1" s="76"/>
      <c r="BP1" s="80" t="s">
        <v>977</v>
      </c>
      <c r="BQ1" s="193"/>
      <c r="BR1" s="194"/>
      <c r="BS1" s="76"/>
      <c r="BT1" s="76"/>
      <c r="BU1" s="76"/>
      <c r="BV1" s="76"/>
    </row>
    <row r="2" customFormat="false" ht="19" hidden="false" customHeight="true" outlineLevel="0" collapsed="false">
      <c r="A2" s="57"/>
      <c r="B2" s="57"/>
      <c r="C2" s="88" t="s">
        <v>1076</v>
      </c>
      <c r="D2" s="89"/>
      <c r="E2" s="195"/>
      <c r="F2" s="196" t="s">
        <v>1077</v>
      </c>
      <c r="G2" s="84"/>
      <c r="H2" s="84"/>
      <c r="I2" s="197"/>
      <c r="J2" s="84"/>
      <c r="K2" s="88" t="s">
        <v>1076</v>
      </c>
      <c r="L2" s="89"/>
      <c r="M2" s="195"/>
      <c r="N2" s="196" t="s">
        <v>1077</v>
      </c>
      <c r="O2" s="84"/>
      <c r="P2" s="84"/>
      <c r="Q2" s="197"/>
      <c r="R2" s="84"/>
      <c r="S2" s="88" t="s">
        <v>1076</v>
      </c>
      <c r="T2" s="195"/>
      <c r="U2" s="196" t="s">
        <v>1077</v>
      </c>
      <c r="V2" s="84"/>
      <c r="W2" s="84"/>
      <c r="X2" s="197"/>
      <c r="Y2" s="84"/>
      <c r="Z2" s="88" t="s">
        <v>1076</v>
      </c>
      <c r="AA2" s="195"/>
      <c r="AB2" s="196" t="s">
        <v>1077</v>
      </c>
      <c r="AC2" s="84"/>
      <c r="AD2" s="84"/>
      <c r="AE2" s="197"/>
      <c r="AF2" s="84"/>
      <c r="AG2" s="88" t="s">
        <v>1076</v>
      </c>
      <c r="AH2" s="195"/>
      <c r="AI2" s="196" t="s">
        <v>1077</v>
      </c>
      <c r="AJ2" s="84"/>
      <c r="AK2" s="84"/>
      <c r="AL2" s="197"/>
      <c r="AM2" s="84"/>
      <c r="AN2" s="88" t="s">
        <v>1076</v>
      </c>
      <c r="AO2" s="195"/>
      <c r="AP2" s="196" t="s">
        <v>1077</v>
      </c>
      <c r="AQ2" s="84"/>
      <c r="AR2" s="84"/>
      <c r="AS2" s="197"/>
      <c r="AT2" s="84"/>
      <c r="AU2" s="88" t="s">
        <v>1076</v>
      </c>
      <c r="AV2" s="195"/>
      <c r="AW2" s="196" t="s">
        <v>1077</v>
      </c>
      <c r="AX2" s="84"/>
      <c r="AY2" s="84"/>
      <c r="AZ2" s="197"/>
      <c r="BA2" s="84"/>
      <c r="BB2" s="88" t="s">
        <v>1076</v>
      </c>
      <c r="BC2" s="195"/>
      <c r="BD2" s="196" t="s">
        <v>1077</v>
      </c>
      <c r="BE2" s="84"/>
      <c r="BF2" s="84"/>
      <c r="BG2" s="197"/>
      <c r="BH2" s="84"/>
      <c r="BI2" s="88" t="s">
        <v>1076</v>
      </c>
      <c r="BJ2" s="195"/>
      <c r="BK2" s="196" t="s">
        <v>1077</v>
      </c>
      <c r="BL2" s="84"/>
      <c r="BM2" s="84"/>
      <c r="BN2" s="197"/>
      <c r="BO2" s="84"/>
      <c r="BP2" s="88" t="s">
        <v>1076</v>
      </c>
      <c r="BQ2" s="195"/>
      <c r="BR2" s="196" t="s">
        <v>1077</v>
      </c>
      <c r="BS2" s="84"/>
      <c r="BT2" s="84"/>
      <c r="BU2" s="197"/>
      <c r="BV2" s="84"/>
    </row>
    <row r="3" customFormat="false" ht="117" hidden="false" customHeight="true" outlineLevel="0" collapsed="false">
      <c r="C3" s="156" t="s">
        <v>1078</v>
      </c>
      <c r="D3" s="142" t="s">
        <v>1079</v>
      </c>
      <c r="E3" s="198" t="s">
        <v>1080</v>
      </c>
      <c r="F3" s="199" t="s">
        <v>1068</v>
      </c>
      <c r="G3" s="142" t="s">
        <v>1069</v>
      </c>
      <c r="H3" s="142" t="s">
        <v>1070</v>
      </c>
      <c r="I3" s="142" t="s">
        <v>1071</v>
      </c>
      <c r="J3" s="142" t="s">
        <v>1072</v>
      </c>
      <c r="K3" s="156" t="s">
        <v>1078</v>
      </c>
      <c r="L3" s="142" t="s">
        <v>1079</v>
      </c>
      <c r="M3" s="198" t="s">
        <v>1080</v>
      </c>
      <c r="N3" s="199" t="s">
        <v>1068</v>
      </c>
      <c r="O3" s="142" t="s">
        <v>1069</v>
      </c>
      <c r="P3" s="142" t="s">
        <v>1070</v>
      </c>
      <c r="Q3" s="142" t="s">
        <v>1071</v>
      </c>
      <c r="R3" s="142" t="s">
        <v>1072</v>
      </c>
      <c r="S3" s="156" t="s">
        <v>1078</v>
      </c>
      <c r="T3" s="198" t="s">
        <v>1080</v>
      </c>
      <c r="U3" s="199" t="s">
        <v>1068</v>
      </c>
      <c r="V3" s="142" t="s">
        <v>1069</v>
      </c>
      <c r="W3" s="142" t="s">
        <v>1070</v>
      </c>
      <c r="X3" s="142" t="s">
        <v>1071</v>
      </c>
      <c r="Y3" s="142" t="s">
        <v>1072</v>
      </c>
      <c r="Z3" s="156" t="s">
        <v>1078</v>
      </c>
      <c r="AA3" s="198" t="s">
        <v>1080</v>
      </c>
      <c r="AB3" s="199" t="s">
        <v>1068</v>
      </c>
      <c r="AC3" s="142" t="s">
        <v>1069</v>
      </c>
      <c r="AD3" s="142" t="s">
        <v>1070</v>
      </c>
      <c r="AE3" s="142" t="s">
        <v>1071</v>
      </c>
      <c r="AF3" s="142" t="s">
        <v>1072</v>
      </c>
      <c r="AG3" s="156" t="s">
        <v>1078</v>
      </c>
      <c r="AH3" s="198" t="s">
        <v>1080</v>
      </c>
      <c r="AI3" s="199" t="s">
        <v>1068</v>
      </c>
      <c r="AJ3" s="142" t="s">
        <v>1069</v>
      </c>
      <c r="AK3" s="142" t="s">
        <v>1070</v>
      </c>
      <c r="AL3" s="142" t="s">
        <v>1071</v>
      </c>
      <c r="AM3" s="142" t="s">
        <v>1072</v>
      </c>
      <c r="AN3" s="156" t="s">
        <v>1078</v>
      </c>
      <c r="AO3" s="198" t="s">
        <v>1080</v>
      </c>
      <c r="AP3" s="199" t="s">
        <v>1068</v>
      </c>
      <c r="AQ3" s="142" t="s">
        <v>1069</v>
      </c>
      <c r="AR3" s="142" t="s">
        <v>1070</v>
      </c>
      <c r="AS3" s="142" t="s">
        <v>1071</v>
      </c>
      <c r="AT3" s="142" t="s">
        <v>1072</v>
      </c>
      <c r="AU3" s="156" t="s">
        <v>1078</v>
      </c>
      <c r="AV3" s="198" t="s">
        <v>1080</v>
      </c>
      <c r="AW3" s="199" t="s">
        <v>1068</v>
      </c>
      <c r="AX3" s="142" t="s">
        <v>1069</v>
      </c>
      <c r="AY3" s="142" t="s">
        <v>1070</v>
      </c>
      <c r="AZ3" s="142" t="s">
        <v>1071</v>
      </c>
      <c r="BA3" s="142" t="s">
        <v>1072</v>
      </c>
      <c r="BB3" s="156" t="s">
        <v>1078</v>
      </c>
      <c r="BC3" s="198" t="s">
        <v>1080</v>
      </c>
      <c r="BD3" s="199" t="s">
        <v>1068</v>
      </c>
      <c r="BE3" s="142" t="s">
        <v>1069</v>
      </c>
      <c r="BF3" s="142" t="s">
        <v>1070</v>
      </c>
      <c r="BG3" s="142" t="s">
        <v>1071</v>
      </c>
      <c r="BH3" s="142" t="s">
        <v>1072</v>
      </c>
      <c r="BI3" s="156" t="s">
        <v>1078</v>
      </c>
      <c r="BJ3" s="198" t="s">
        <v>1080</v>
      </c>
      <c r="BK3" s="199" t="s">
        <v>1068</v>
      </c>
      <c r="BL3" s="142" t="s">
        <v>1069</v>
      </c>
      <c r="BM3" s="142" t="s">
        <v>1070</v>
      </c>
      <c r="BN3" s="142" t="s">
        <v>1071</v>
      </c>
      <c r="BO3" s="142" t="s">
        <v>1072</v>
      </c>
      <c r="BP3" s="156" t="s">
        <v>1078</v>
      </c>
      <c r="BQ3" s="198" t="s">
        <v>1080</v>
      </c>
      <c r="BR3" s="199" t="s">
        <v>1068</v>
      </c>
      <c r="BS3" s="142" t="s">
        <v>1069</v>
      </c>
      <c r="BT3" s="142" t="s">
        <v>1070</v>
      </c>
      <c r="BU3" s="142" t="s">
        <v>1071</v>
      </c>
      <c r="BV3" s="142" t="s">
        <v>1072</v>
      </c>
    </row>
    <row r="4" customFormat="false" ht="15" hidden="false" customHeight="false" outlineLevel="0" collapsed="false">
      <c r="A4" s="189"/>
      <c r="B4" s="189" t="s">
        <v>125</v>
      </c>
      <c r="C4" s="157" t="n">
        <f aca="false">SUBTOTAL(109,C$15:INDEX(C:C,COUNTA($B:$B)+14-COUNTA($B$1:$B$14)))</f>
        <v>0</v>
      </c>
      <c r="D4" s="109" t="n">
        <f aca="false">SUBTOTAL(109,D$15:INDEX(D:D,COUNTA($B:$B)+14-COUNTA($B$1:$B$14)))</f>
        <v>0</v>
      </c>
      <c r="E4" s="200" t="n">
        <f aca="false">SUBTOTAL(109,E$15:INDEX(E:E,COUNTA($B:$B)+14-COUNTA($B$1:$B$14)))</f>
        <v>0</v>
      </c>
      <c r="F4" s="201" t="n">
        <f aca="false">SUBTOTAL(109,F$15:INDEX(F:F,COUNTA($B:$B)+14-COUNTA($B$1:$B$14)))</f>
        <v>0</v>
      </c>
      <c r="G4" s="105" t="n">
        <f aca="false">SUBTOTAL(109,G$15:INDEX(G:G,COUNTA($B:$B)+14-COUNTA($B$1:$B$14)))</f>
        <v>0</v>
      </c>
      <c r="H4" s="105" t="n">
        <f aca="false">SUBTOTAL(109,H$15:INDEX(H:H,COUNTA($B:$B)+14-COUNTA($B$1:$B$14)))</f>
        <v>0</v>
      </c>
      <c r="I4" s="105" t="n">
        <f aca="false">SUBTOTAL(109,I$15:INDEX(I:I,COUNTA($B:$B)+14-COUNTA($B$1:$B$14)))</f>
        <v>0</v>
      </c>
      <c r="J4" s="105" t="n">
        <f aca="false">SUBTOTAL(109,J$15:INDEX(J:J,COUNTA($B:$B)+14-COUNTA($B$1:$B$14)))</f>
        <v>0</v>
      </c>
      <c r="K4" s="157" t="n">
        <f aca="false">SUBTOTAL(109,K$15:INDEX(K:K,COUNTA($B:$B)+14-COUNTA($B$1:$B$14)))</f>
        <v>0</v>
      </c>
      <c r="L4" s="109" t="n">
        <f aca="false">SUBTOTAL(109,L$15:INDEX(L:L,COUNTA($B:$B)+14-COUNTA($B$1:$B$14)))</f>
        <v>0</v>
      </c>
      <c r="M4" s="200" t="n">
        <f aca="false">SUBTOTAL(109,M$15:INDEX(M:M,COUNTA($B:$B)+14-COUNTA($B$1:$B$14)))</f>
        <v>0</v>
      </c>
      <c r="N4" s="201" t="n">
        <f aca="false">SUBTOTAL(109,N$15:INDEX(N:N,COUNTA($B:$B)+14-COUNTA($B$1:$B$14)))</f>
        <v>0</v>
      </c>
      <c r="O4" s="105" t="n">
        <f aca="false">SUBTOTAL(109,O$15:INDEX(O:O,COUNTA($B:$B)+14-COUNTA($B$1:$B$14)))</f>
        <v>0</v>
      </c>
      <c r="P4" s="105" t="n">
        <f aca="false">SUBTOTAL(109,P$15:INDEX(P:P,COUNTA($B:$B)+14-COUNTA($B$1:$B$14)))</f>
        <v>0</v>
      </c>
      <c r="Q4" s="105" t="n">
        <f aca="false">SUBTOTAL(109,Q$15:INDEX(Q:Q,COUNTA($B:$B)+14-COUNTA($B$1:$B$14)))</f>
        <v>0</v>
      </c>
      <c r="R4" s="105" t="n">
        <f aca="false">SUBTOTAL(109,R$15:INDEX(R:R,COUNTA($B:$B)+14-COUNTA($B$1:$B$14)))</f>
        <v>0</v>
      </c>
      <c r="S4" s="157" t="n">
        <f aca="false">SUBTOTAL(109,S$15:INDEX(S:S,COUNTA($B:$B)+14-COUNTA($B$1:$B$14)))</f>
        <v>437</v>
      </c>
      <c r="T4" s="200" t="n">
        <f aca="false">SUBTOTAL(109,T$15:INDEX(T:T,COUNTA($B:$B)+14-COUNTA($B$1:$B$14)))</f>
        <v>248</v>
      </c>
      <c r="U4" s="201" t="n">
        <f aca="false">SUBTOTAL(109,U$15:INDEX(U:U,COUNTA($B:$B)+14-COUNTA($B$1:$B$14)))</f>
        <v>0</v>
      </c>
      <c r="V4" s="105" t="n">
        <f aca="false">SUBTOTAL(109,V$15:INDEX(V:V,COUNTA($B:$B)+14-COUNTA($B$1:$B$14)))</f>
        <v>0</v>
      </c>
      <c r="W4" s="105" t="n">
        <f aca="false">SUBTOTAL(109,W$15:INDEX(W:W,COUNTA($B:$B)+14-COUNTA($B$1:$B$14)))</f>
        <v>0</v>
      </c>
      <c r="X4" s="105" t="n">
        <f aca="false">SUBTOTAL(109,X$15:INDEX(X:X,COUNTA($B:$B)+14-COUNTA($B$1:$B$14)))</f>
        <v>0</v>
      </c>
      <c r="Y4" s="105" t="n">
        <f aca="false">SUBTOTAL(109,Y$15:INDEX(Y:Y,COUNTA($B:$B)+14-COUNTA($B$1:$B$14)))</f>
        <v>0</v>
      </c>
      <c r="Z4" s="157" t="n">
        <f aca="false">SUBTOTAL(109,Z$15:INDEX(Z:Z,COUNTA($B:$B)+14-COUNTA($B$1:$B$14)))</f>
        <v>96</v>
      </c>
      <c r="AA4" s="200" t="n">
        <f aca="false">SUBTOTAL(109,AA$15:INDEX(AA:AA,COUNTA($B:$B)+14-COUNTA($B$1:$B$14)))</f>
        <v>9</v>
      </c>
      <c r="AB4" s="201" t="n">
        <f aca="false">SUBTOTAL(109,AB$15:INDEX(AB:AB,COUNTA($B:$B)+14-COUNTA($B$1:$B$14)))</f>
        <v>0</v>
      </c>
      <c r="AC4" s="105" t="n">
        <f aca="false">SUBTOTAL(109,AC$15:INDEX(AC:AC,COUNTA($B:$B)+14-COUNTA($B$1:$B$14)))</f>
        <v>0</v>
      </c>
      <c r="AD4" s="105" t="n">
        <f aca="false">SUBTOTAL(109,AD$15:INDEX(AD:AD,COUNTA($B:$B)+14-COUNTA($B$1:$B$14)))</f>
        <v>0</v>
      </c>
      <c r="AE4" s="105" t="n">
        <f aca="false">SUBTOTAL(109,AE$15:INDEX(AE:AE,COUNTA($B:$B)+14-COUNTA($B$1:$B$14)))</f>
        <v>0</v>
      </c>
      <c r="AF4" s="105" t="n">
        <f aca="false">SUBTOTAL(109,AF$15:INDEX(AF:AF,COUNTA($B:$B)+14-COUNTA($B$1:$B$14)))</f>
        <v>0</v>
      </c>
      <c r="AG4" s="157" t="n">
        <f aca="false">SUBTOTAL(109,AG$15:INDEX(AG:AG,COUNTA($B:$B)+14-COUNTA($B$1:$B$14)))</f>
        <v>416</v>
      </c>
      <c r="AH4" s="200" t="n">
        <f aca="false">SUBTOTAL(109,AH$15:INDEX(AH:AH,COUNTA($B:$B)+14-COUNTA($B$1:$B$14)))</f>
        <v>251</v>
      </c>
      <c r="AI4" s="201" t="n">
        <f aca="false">SUBTOTAL(109,AI$15:INDEX(AI:AI,COUNTA($B:$B)+14-COUNTA($B$1:$B$14)))</f>
        <v>0</v>
      </c>
      <c r="AJ4" s="105" t="n">
        <f aca="false">SUBTOTAL(109,AJ$15:INDEX(AJ:AJ,COUNTA($B:$B)+14-COUNTA($B$1:$B$14)))</f>
        <v>0</v>
      </c>
      <c r="AK4" s="105" t="n">
        <f aca="false">SUBTOTAL(109,AK$15:INDEX(AK:AK,COUNTA($B:$B)+14-COUNTA($B$1:$B$14)))</f>
        <v>0</v>
      </c>
      <c r="AL4" s="105" t="n">
        <f aca="false">SUBTOTAL(109,AL$15:INDEX(AL:AL,COUNTA($B:$B)+14-COUNTA($B$1:$B$14)))</f>
        <v>0</v>
      </c>
      <c r="AM4" s="105" t="n">
        <f aca="false">SUBTOTAL(109,AM$15:INDEX(AM:AM,COUNTA($B:$B)+14-COUNTA($B$1:$B$14)))</f>
        <v>0</v>
      </c>
      <c r="AN4" s="157" t="n">
        <f aca="false">SUBTOTAL(109,AN$15:INDEX(AN:AN,COUNTA($B:$B)+14-COUNTA($B$1:$B$14)))</f>
        <v>395</v>
      </c>
      <c r="AO4" s="200" t="n">
        <f aca="false">SUBTOTAL(109,AO$15:INDEX(AO:AO,COUNTA($B:$B)+14-COUNTA($B$1:$B$14)))</f>
        <v>241</v>
      </c>
      <c r="AP4" s="201" t="n">
        <f aca="false">SUBTOTAL(109,AP$15:INDEX(AP:AP,COUNTA($B:$B)+14-COUNTA($B$1:$B$14)))</f>
        <v>0</v>
      </c>
      <c r="AQ4" s="105" t="n">
        <f aca="false">SUBTOTAL(109,AQ$15:INDEX(AQ:AQ,COUNTA($B:$B)+14-COUNTA($B$1:$B$14)))</f>
        <v>0</v>
      </c>
      <c r="AR4" s="105" t="n">
        <f aca="false">SUBTOTAL(109,AR$15:INDEX(AR:AR,COUNTA($B:$B)+14-COUNTA($B$1:$B$14)))</f>
        <v>0</v>
      </c>
      <c r="AS4" s="105" t="n">
        <f aca="false">SUBTOTAL(109,AS$15:INDEX(AS:AS,COUNTA($B:$B)+14-COUNTA($B$1:$B$14)))</f>
        <v>0</v>
      </c>
      <c r="AT4" s="105" t="n">
        <f aca="false">SUBTOTAL(109,AT$15:INDEX(AT:AT,COUNTA($B:$B)+14-COUNTA($B$1:$B$14)))</f>
        <v>0</v>
      </c>
      <c r="AU4" s="157" t="n">
        <f aca="false">SUBTOTAL(109,AU$15:INDEX(AU:AU,COUNTA($B:$B)+14-COUNTA($B$1:$B$14)))</f>
        <v>-93201</v>
      </c>
      <c r="AV4" s="200" t="n">
        <f aca="false">SUBTOTAL(109,AV$15:INDEX(AV:AV,COUNTA($B:$B)+14-COUNTA($B$1:$B$14)))</f>
        <v>-29465</v>
      </c>
      <c r="AW4" s="201" t="n">
        <f aca="false">SUBTOTAL(109,AW$15:INDEX(AW:AW,COUNTA($B:$B)+14-COUNTA($B$1:$B$14)))</f>
        <v>0</v>
      </c>
      <c r="AX4" s="105" t="n">
        <f aca="false">SUBTOTAL(109,AX$15:INDEX(AX:AX,COUNTA($B:$B)+14-COUNTA($B$1:$B$14)))</f>
        <v>0</v>
      </c>
      <c r="AY4" s="105" t="n">
        <f aca="false">SUBTOTAL(109,AY$15:INDEX(AY:AY,COUNTA($B:$B)+14-COUNTA($B$1:$B$14)))</f>
        <v>0</v>
      </c>
      <c r="AZ4" s="105" t="n">
        <f aca="false">SUBTOTAL(109,AZ$15:INDEX(AZ:AZ,COUNTA($B:$B)+14-COUNTA($B$1:$B$14)))</f>
        <v>0</v>
      </c>
      <c r="BA4" s="105" t="n">
        <f aca="false">SUBTOTAL(109,BA$15:INDEX(BA:BA,COUNTA($B:$B)+14-COUNTA($B$1:$B$14)))</f>
        <v>0</v>
      </c>
      <c r="BB4" s="157" t="n">
        <f aca="false">SUBTOTAL(109,BB$15:INDEX(BB:BB,COUNTA($B:$B)+14-COUNTA($B$1:$B$14)))</f>
        <v>98137</v>
      </c>
      <c r="BC4" s="200" t="n">
        <f aca="false">SUBTOTAL(109,BC$15:INDEX(BC:BC,COUNTA($B:$B)+14-COUNTA($B$1:$B$14)))</f>
        <v>26604</v>
      </c>
      <c r="BD4" s="201" t="n">
        <f aca="false">SUBTOTAL(109,BD$15:INDEX(BD:BD,COUNTA($B:$B)+14-COUNTA($B$1:$B$14)))</f>
        <v>0</v>
      </c>
      <c r="BE4" s="105" t="n">
        <f aca="false">SUBTOTAL(109,BE$15:INDEX(BE:BE,COUNTA($B:$B)+14-COUNTA($B$1:$B$14)))</f>
        <v>0</v>
      </c>
      <c r="BF4" s="105" t="n">
        <f aca="false">SUBTOTAL(109,BF$15:INDEX(BF:BF,COUNTA($B:$B)+14-COUNTA($B$1:$B$14)))</f>
        <v>0</v>
      </c>
      <c r="BG4" s="105" t="n">
        <f aca="false">SUBTOTAL(109,BG$15:INDEX(BG:BG,COUNTA($B:$B)+14-COUNTA($B$1:$B$14)))</f>
        <v>0</v>
      </c>
      <c r="BH4" s="105" t="n">
        <f aca="false">SUBTOTAL(109,BH$15:INDEX(BH:BH,COUNTA($B:$B)+14-COUNTA($B$1:$B$14)))</f>
        <v>0</v>
      </c>
      <c r="BI4" s="157" t="n">
        <f aca="false">SUBTOTAL(109,BI$15:INDEX(BI:BI,COUNTA($B:$B)+14-COUNTA($B$1:$B$14)))</f>
        <v>-93201</v>
      </c>
      <c r="BJ4" s="200" t="n">
        <f aca="false">SUBTOTAL(109,BJ$15:INDEX(BJ:BJ,COUNTA($B:$B)+14-COUNTA($B$1:$B$14)))</f>
        <v>-29465</v>
      </c>
      <c r="BK4" s="201" t="n">
        <f aca="false">SUBTOTAL(109,BK$15:INDEX(BK:BK,COUNTA($B:$B)+14-COUNTA($B$1:$B$14)))</f>
        <v>0</v>
      </c>
      <c r="BL4" s="105" t="n">
        <f aca="false">SUBTOTAL(109,BL$15:INDEX(BL:BL,COUNTA($B:$B)+14-COUNTA($B$1:$B$14)))</f>
        <v>0</v>
      </c>
      <c r="BM4" s="105" t="n">
        <f aca="false">SUBTOTAL(109,BM$15:INDEX(BM:BM,COUNTA($B:$B)+14-COUNTA($B$1:$B$14)))</f>
        <v>0</v>
      </c>
      <c r="BN4" s="105" t="n">
        <f aca="false">SUBTOTAL(109,BN$15:INDEX(BN:BN,COUNTA($B:$B)+14-COUNTA($B$1:$B$14)))</f>
        <v>0</v>
      </c>
      <c r="BO4" s="105" t="n">
        <f aca="false">SUBTOTAL(109,BO$15:INDEX(BO:BO,COUNTA($B:$B)+14-COUNTA($B$1:$B$14)))</f>
        <v>0</v>
      </c>
      <c r="BP4" s="157" t="n">
        <f aca="false">SUBTOTAL(109,BP$15:INDEX(BP:BP,COUNTA($B:$B)+14-COUNTA($B$1:$B$14)))</f>
        <v>0</v>
      </c>
      <c r="BQ4" s="200" t="n">
        <f aca="false">SUBTOTAL(109,BQ$15:INDEX(BQ:BQ,COUNTA($B:$B)+14-COUNTA($B$1:$B$14)))</f>
        <v>0</v>
      </c>
      <c r="BR4" s="201" t="n">
        <f aca="false">SUBTOTAL(109,BR$15:INDEX(BR:BR,COUNTA($B:$B)+14-COUNTA($B$1:$B$14)))</f>
        <v>0</v>
      </c>
      <c r="BS4" s="105" t="n">
        <f aca="false">SUBTOTAL(109,BS$15:INDEX(BS:BS,COUNTA($B:$B)+14-COUNTA($B$1:$B$14)))</f>
        <v>0</v>
      </c>
      <c r="BT4" s="105" t="n">
        <f aca="false">SUBTOTAL(109,BT$15:INDEX(BT:BT,COUNTA($B:$B)+14-COUNTA($B$1:$B$14)))</f>
        <v>0</v>
      </c>
      <c r="BU4" s="105" t="n">
        <f aca="false">SUBTOTAL(109,BU$15:INDEX(BU:BU,COUNTA($B:$B)+14-COUNTA($B$1:$B$14)))</f>
        <v>0</v>
      </c>
      <c r="BV4" s="105" t="n">
        <f aca="false">SUBTOTAL(109,BV$15:INDEX(BV:BV,COUNTA($B:$B)+14-COUNTA($B$1:$B$14)))</f>
        <v>0</v>
      </c>
    </row>
    <row r="5" customFormat="false" ht="12.8" hidden="false" customHeight="false" outlineLevel="0" collapsed="false">
      <c r="A5" s="53" t="s">
        <v>126</v>
      </c>
      <c r="B5" s="53" t="s">
        <v>126</v>
      </c>
      <c r="C5" s="139" t="s">
        <v>126</v>
      </c>
      <c r="D5" s="124" t="s">
        <v>126</v>
      </c>
      <c r="E5" s="202" t="s">
        <v>126</v>
      </c>
      <c r="F5" s="203" t="s">
        <v>126</v>
      </c>
      <c r="G5" s="115" t="s">
        <v>126</v>
      </c>
      <c r="H5" s="115" t="s">
        <v>126</v>
      </c>
      <c r="I5" s="115" t="s">
        <v>126</v>
      </c>
      <c r="J5" s="115" t="s">
        <v>126</v>
      </c>
      <c r="K5" s="139" t="s">
        <v>126</v>
      </c>
      <c r="L5" s="124" t="s">
        <v>126</v>
      </c>
      <c r="M5" s="202" t="s">
        <v>126</v>
      </c>
      <c r="N5" s="203" t="s">
        <v>126</v>
      </c>
      <c r="O5" s="115" t="s">
        <v>126</v>
      </c>
      <c r="P5" s="115" t="s">
        <v>126</v>
      </c>
      <c r="Q5" s="115" t="s">
        <v>126</v>
      </c>
      <c r="R5" s="115" t="s">
        <v>126</v>
      </c>
      <c r="S5" s="139" t="s">
        <v>126</v>
      </c>
      <c r="T5" s="202" t="s">
        <v>126</v>
      </c>
      <c r="U5" s="203" t="s">
        <v>126</v>
      </c>
      <c r="V5" s="115" t="s">
        <v>126</v>
      </c>
      <c r="W5" s="115" t="s">
        <v>126</v>
      </c>
      <c r="X5" s="115" t="s">
        <v>126</v>
      </c>
      <c r="Y5" s="115" t="s">
        <v>126</v>
      </c>
      <c r="Z5" s="139" t="s">
        <v>126</v>
      </c>
      <c r="AA5" s="202" t="s">
        <v>126</v>
      </c>
      <c r="AB5" s="203" t="s">
        <v>126</v>
      </c>
      <c r="AC5" s="115" t="s">
        <v>126</v>
      </c>
      <c r="AD5" s="115" t="s">
        <v>126</v>
      </c>
      <c r="AE5" s="115" t="s">
        <v>126</v>
      </c>
      <c r="AF5" s="115" t="s">
        <v>126</v>
      </c>
      <c r="AG5" s="139" t="s">
        <v>126</v>
      </c>
      <c r="AH5" s="202" t="s">
        <v>126</v>
      </c>
      <c r="AI5" s="203" t="s">
        <v>126</v>
      </c>
      <c r="AJ5" s="115" t="s">
        <v>126</v>
      </c>
      <c r="AK5" s="115" t="s">
        <v>126</v>
      </c>
      <c r="AL5" s="115" t="s">
        <v>126</v>
      </c>
      <c r="AM5" s="115" t="s">
        <v>126</v>
      </c>
      <c r="AN5" s="139" t="s">
        <v>126</v>
      </c>
      <c r="AO5" s="202" t="s">
        <v>126</v>
      </c>
      <c r="AP5" s="203" t="s">
        <v>126</v>
      </c>
      <c r="AQ5" s="115" t="s">
        <v>126</v>
      </c>
      <c r="AR5" s="115" t="s">
        <v>126</v>
      </c>
      <c r="AS5" s="115" t="s">
        <v>126</v>
      </c>
      <c r="AT5" s="115" t="s">
        <v>126</v>
      </c>
      <c r="AU5" s="139" t="s">
        <v>126</v>
      </c>
      <c r="AV5" s="202" t="s">
        <v>126</v>
      </c>
      <c r="AW5" s="203" t="s">
        <v>126</v>
      </c>
      <c r="AX5" s="115" t="s">
        <v>126</v>
      </c>
      <c r="AY5" s="115" t="s">
        <v>126</v>
      </c>
      <c r="AZ5" s="115" t="s">
        <v>126</v>
      </c>
      <c r="BA5" s="115" t="s">
        <v>126</v>
      </c>
      <c r="BB5" s="139" t="s">
        <v>126</v>
      </c>
      <c r="BC5" s="202" t="s">
        <v>126</v>
      </c>
      <c r="BD5" s="203" t="s">
        <v>126</v>
      </c>
      <c r="BE5" s="115" t="s">
        <v>126</v>
      </c>
      <c r="BF5" s="115" t="s">
        <v>126</v>
      </c>
      <c r="BG5" s="115" t="s">
        <v>126</v>
      </c>
      <c r="BH5" s="115" t="s">
        <v>126</v>
      </c>
      <c r="BI5" s="139" t="s">
        <v>126</v>
      </c>
      <c r="BJ5" s="202" t="s">
        <v>126</v>
      </c>
      <c r="BK5" s="203" t="s">
        <v>126</v>
      </c>
      <c r="BL5" s="115" t="s">
        <v>126</v>
      </c>
      <c r="BM5" s="115" t="s">
        <v>126</v>
      </c>
      <c r="BN5" s="115" t="s">
        <v>126</v>
      </c>
      <c r="BO5" s="115" t="s">
        <v>126</v>
      </c>
      <c r="BP5" s="139" t="s">
        <v>126</v>
      </c>
      <c r="BQ5" s="202" t="s">
        <v>126</v>
      </c>
      <c r="BR5" s="203" t="s">
        <v>126</v>
      </c>
      <c r="BS5" s="115" t="s">
        <v>126</v>
      </c>
      <c r="BT5" s="115" t="s">
        <v>126</v>
      </c>
      <c r="BU5" s="115" t="s">
        <v>126</v>
      </c>
      <c r="BV5" s="115" t="s">
        <v>126</v>
      </c>
    </row>
    <row r="6" customFormat="false" ht="12.8" hidden="false" customHeight="false" outlineLevel="0" collapsed="false">
      <c r="A6" s="53" t="s">
        <v>128</v>
      </c>
      <c r="B6" s="53" t="s">
        <v>128</v>
      </c>
      <c r="C6" s="139" t="s">
        <v>131</v>
      </c>
      <c r="D6" s="124" t="s">
        <v>131</v>
      </c>
      <c r="E6" s="202" t="s">
        <v>131</v>
      </c>
      <c r="F6" s="203" t="s">
        <v>131</v>
      </c>
      <c r="G6" s="115" t="s">
        <v>131</v>
      </c>
      <c r="H6" s="115" t="s">
        <v>131</v>
      </c>
      <c r="I6" s="115" t="s">
        <v>131</v>
      </c>
      <c r="J6" s="115" t="s">
        <v>131</v>
      </c>
      <c r="K6" s="139" t="s">
        <v>131</v>
      </c>
      <c r="L6" s="124" t="s">
        <v>131</v>
      </c>
      <c r="M6" s="202" t="s">
        <v>131</v>
      </c>
      <c r="N6" s="203" t="s">
        <v>131</v>
      </c>
      <c r="O6" s="115" t="s">
        <v>131</v>
      </c>
      <c r="P6" s="115" t="s">
        <v>131</v>
      </c>
      <c r="Q6" s="115" t="s">
        <v>131</v>
      </c>
      <c r="R6" s="115" t="s">
        <v>131</v>
      </c>
      <c r="S6" s="139" t="s">
        <v>131</v>
      </c>
      <c r="T6" s="202" t="s">
        <v>131</v>
      </c>
      <c r="U6" s="203" t="s">
        <v>131</v>
      </c>
      <c r="V6" s="115" t="s">
        <v>131</v>
      </c>
      <c r="W6" s="115" t="s">
        <v>131</v>
      </c>
      <c r="X6" s="115" t="s">
        <v>131</v>
      </c>
      <c r="Y6" s="115" t="s">
        <v>131</v>
      </c>
      <c r="Z6" s="139" t="s">
        <v>131</v>
      </c>
      <c r="AA6" s="202" t="s">
        <v>131</v>
      </c>
      <c r="AB6" s="203" t="s">
        <v>131</v>
      </c>
      <c r="AC6" s="115" t="s">
        <v>131</v>
      </c>
      <c r="AD6" s="115" t="s">
        <v>131</v>
      </c>
      <c r="AE6" s="115" t="s">
        <v>131</v>
      </c>
      <c r="AF6" s="115" t="s">
        <v>131</v>
      </c>
      <c r="AG6" s="139" t="s">
        <v>131</v>
      </c>
      <c r="AH6" s="202" t="s">
        <v>131</v>
      </c>
      <c r="AI6" s="203" t="s">
        <v>131</v>
      </c>
      <c r="AJ6" s="115" t="s">
        <v>131</v>
      </c>
      <c r="AK6" s="115" t="s">
        <v>131</v>
      </c>
      <c r="AL6" s="115" t="s">
        <v>131</v>
      </c>
      <c r="AM6" s="115" t="s">
        <v>131</v>
      </c>
      <c r="AN6" s="139" t="s">
        <v>131</v>
      </c>
      <c r="AO6" s="202" t="s">
        <v>131</v>
      </c>
      <c r="AP6" s="203" t="s">
        <v>131</v>
      </c>
      <c r="AQ6" s="115" t="s">
        <v>131</v>
      </c>
      <c r="AR6" s="115" t="s">
        <v>131</v>
      </c>
      <c r="AS6" s="115" t="s">
        <v>131</v>
      </c>
      <c r="AT6" s="115" t="s">
        <v>131</v>
      </c>
      <c r="AU6" s="139" t="s">
        <v>131</v>
      </c>
      <c r="AV6" s="202" t="s">
        <v>131</v>
      </c>
      <c r="AW6" s="203" t="s">
        <v>131</v>
      </c>
      <c r="AX6" s="115" t="s">
        <v>131</v>
      </c>
      <c r="AY6" s="115" t="s">
        <v>131</v>
      </c>
      <c r="AZ6" s="115" t="s">
        <v>131</v>
      </c>
      <c r="BA6" s="115" t="s">
        <v>131</v>
      </c>
      <c r="BB6" s="139" t="s">
        <v>131</v>
      </c>
      <c r="BC6" s="202" t="s">
        <v>131</v>
      </c>
      <c r="BD6" s="203" t="s">
        <v>131</v>
      </c>
      <c r="BE6" s="115" t="s">
        <v>131</v>
      </c>
      <c r="BF6" s="115" t="s">
        <v>131</v>
      </c>
      <c r="BG6" s="115" t="s">
        <v>131</v>
      </c>
      <c r="BH6" s="115" t="s">
        <v>131</v>
      </c>
      <c r="BI6" s="139" t="s">
        <v>131</v>
      </c>
      <c r="BJ6" s="202" t="s">
        <v>131</v>
      </c>
      <c r="BK6" s="203" t="s">
        <v>131</v>
      </c>
      <c r="BL6" s="115" t="s">
        <v>131</v>
      </c>
      <c r="BM6" s="115" t="s">
        <v>131</v>
      </c>
      <c r="BN6" s="115" t="s">
        <v>131</v>
      </c>
      <c r="BO6" s="115" t="s">
        <v>131</v>
      </c>
      <c r="BP6" s="139" t="s">
        <v>131</v>
      </c>
      <c r="BQ6" s="202" t="s">
        <v>131</v>
      </c>
      <c r="BR6" s="203" t="s">
        <v>131</v>
      </c>
      <c r="BS6" s="115" t="s">
        <v>131</v>
      </c>
      <c r="BT6" s="115" t="s">
        <v>131</v>
      </c>
      <c r="BU6" s="115" t="s">
        <v>131</v>
      </c>
      <c r="BV6" s="115" t="s">
        <v>131</v>
      </c>
    </row>
    <row r="7" customFormat="false" ht="12.8" hidden="false" customHeight="false" outlineLevel="0" collapsed="false">
      <c r="A7" s="53" t="s">
        <v>132</v>
      </c>
      <c r="B7" s="53" t="s">
        <v>132</v>
      </c>
      <c r="C7" s="139" t="s">
        <v>133</v>
      </c>
      <c r="D7" s="124" t="s">
        <v>133</v>
      </c>
      <c r="E7" s="202" t="s">
        <v>133</v>
      </c>
      <c r="F7" s="203" t="s">
        <v>133</v>
      </c>
      <c r="G7" s="115" t="s">
        <v>133</v>
      </c>
      <c r="H7" s="115" t="s">
        <v>133</v>
      </c>
      <c r="I7" s="115" t="s">
        <v>133</v>
      </c>
      <c r="J7" s="115" t="s">
        <v>133</v>
      </c>
      <c r="K7" s="139" t="s">
        <v>133</v>
      </c>
      <c r="L7" s="124" t="s">
        <v>133</v>
      </c>
      <c r="M7" s="202" t="s">
        <v>133</v>
      </c>
      <c r="N7" s="203" t="s">
        <v>133</v>
      </c>
      <c r="O7" s="115" t="s">
        <v>133</v>
      </c>
      <c r="P7" s="115" t="s">
        <v>133</v>
      </c>
      <c r="Q7" s="115" t="s">
        <v>133</v>
      </c>
      <c r="R7" s="115" t="s">
        <v>133</v>
      </c>
      <c r="S7" s="139" t="s">
        <v>133</v>
      </c>
      <c r="T7" s="202" t="s">
        <v>133</v>
      </c>
      <c r="U7" s="203" t="s">
        <v>133</v>
      </c>
      <c r="V7" s="115" t="s">
        <v>133</v>
      </c>
      <c r="W7" s="115" t="s">
        <v>133</v>
      </c>
      <c r="X7" s="115" t="s">
        <v>133</v>
      </c>
      <c r="Y7" s="115" t="s">
        <v>133</v>
      </c>
      <c r="Z7" s="139" t="s">
        <v>133</v>
      </c>
      <c r="AA7" s="202" t="s">
        <v>133</v>
      </c>
      <c r="AB7" s="203" t="s">
        <v>133</v>
      </c>
      <c r="AC7" s="115" t="s">
        <v>133</v>
      </c>
      <c r="AD7" s="115" t="s">
        <v>133</v>
      </c>
      <c r="AE7" s="115" t="s">
        <v>133</v>
      </c>
      <c r="AF7" s="115" t="s">
        <v>133</v>
      </c>
      <c r="AG7" s="139" t="s">
        <v>133</v>
      </c>
      <c r="AH7" s="202" t="s">
        <v>133</v>
      </c>
      <c r="AI7" s="203" t="s">
        <v>133</v>
      </c>
      <c r="AJ7" s="115" t="s">
        <v>133</v>
      </c>
      <c r="AK7" s="115" t="s">
        <v>133</v>
      </c>
      <c r="AL7" s="115" t="s">
        <v>133</v>
      </c>
      <c r="AM7" s="115" t="s">
        <v>133</v>
      </c>
      <c r="AN7" s="139" t="s">
        <v>133</v>
      </c>
      <c r="AO7" s="202" t="s">
        <v>133</v>
      </c>
      <c r="AP7" s="203" t="s">
        <v>133</v>
      </c>
      <c r="AQ7" s="115" t="s">
        <v>133</v>
      </c>
      <c r="AR7" s="115" t="s">
        <v>133</v>
      </c>
      <c r="AS7" s="115" t="s">
        <v>133</v>
      </c>
      <c r="AT7" s="115" t="s">
        <v>133</v>
      </c>
      <c r="AU7" s="139" t="s">
        <v>133</v>
      </c>
      <c r="AV7" s="202" t="s">
        <v>133</v>
      </c>
      <c r="AW7" s="203" t="s">
        <v>133</v>
      </c>
      <c r="AX7" s="115" t="s">
        <v>133</v>
      </c>
      <c r="AY7" s="115" t="s">
        <v>133</v>
      </c>
      <c r="AZ7" s="115" t="s">
        <v>133</v>
      </c>
      <c r="BA7" s="115" t="s">
        <v>133</v>
      </c>
      <c r="BB7" s="139" t="s">
        <v>133</v>
      </c>
      <c r="BC7" s="202" t="s">
        <v>133</v>
      </c>
      <c r="BD7" s="203" t="s">
        <v>133</v>
      </c>
      <c r="BE7" s="115" t="s">
        <v>133</v>
      </c>
      <c r="BF7" s="115" t="s">
        <v>133</v>
      </c>
      <c r="BG7" s="115" t="s">
        <v>133</v>
      </c>
      <c r="BH7" s="115" t="s">
        <v>133</v>
      </c>
      <c r="BI7" s="139" t="s">
        <v>133</v>
      </c>
      <c r="BJ7" s="202" t="s">
        <v>133</v>
      </c>
      <c r="BK7" s="203" t="s">
        <v>133</v>
      </c>
      <c r="BL7" s="115" t="s">
        <v>133</v>
      </c>
      <c r="BM7" s="115" t="s">
        <v>133</v>
      </c>
      <c r="BN7" s="115" t="s">
        <v>133</v>
      </c>
      <c r="BO7" s="115" t="s">
        <v>133</v>
      </c>
      <c r="BP7" s="139" t="s">
        <v>133</v>
      </c>
      <c r="BQ7" s="202" t="s">
        <v>133</v>
      </c>
      <c r="BR7" s="203" t="s">
        <v>133</v>
      </c>
      <c r="BS7" s="115" t="s">
        <v>133</v>
      </c>
      <c r="BT7" s="115" t="s">
        <v>133</v>
      </c>
      <c r="BU7" s="115" t="s">
        <v>133</v>
      </c>
      <c r="BV7" s="115" t="s">
        <v>133</v>
      </c>
    </row>
    <row r="8" customFormat="false" ht="12.8" hidden="false" customHeight="false" outlineLevel="0" collapsed="false">
      <c r="C8" s="139"/>
      <c r="D8" s="124"/>
      <c r="E8" s="202"/>
      <c r="K8" s="139"/>
      <c r="L8" s="124"/>
      <c r="M8" s="202"/>
      <c r="S8" s="139"/>
      <c r="T8" s="202"/>
      <c r="Z8" s="139"/>
      <c r="AA8" s="202"/>
      <c r="AG8" s="139"/>
      <c r="AH8" s="202"/>
      <c r="AN8" s="139"/>
      <c r="AO8" s="202"/>
      <c r="AU8" s="139"/>
      <c r="AV8" s="202"/>
      <c r="BB8" s="139"/>
      <c r="BC8" s="202"/>
      <c r="BI8" s="139"/>
      <c r="BJ8" s="202"/>
      <c r="BP8" s="139"/>
      <c r="BQ8" s="202"/>
    </row>
    <row r="9" customFormat="false" ht="12.8" hidden="false" customHeight="false" outlineLevel="0" collapsed="false">
      <c r="C9" s="139"/>
      <c r="D9" s="124"/>
      <c r="E9" s="202"/>
      <c r="K9" s="139"/>
      <c r="L9" s="124"/>
      <c r="M9" s="202"/>
      <c r="S9" s="139"/>
      <c r="T9" s="202"/>
      <c r="Z9" s="139"/>
      <c r="AA9" s="202"/>
      <c r="AG9" s="139"/>
      <c r="AH9" s="202"/>
      <c r="AN9" s="139"/>
      <c r="AO9" s="202"/>
      <c r="AU9" s="139"/>
      <c r="AV9" s="202"/>
      <c r="BB9" s="139"/>
      <c r="BC9" s="202"/>
      <c r="BI9" s="139"/>
      <c r="BJ9" s="202"/>
      <c r="BP9" s="139"/>
      <c r="BQ9" s="202"/>
    </row>
    <row r="10" customFormat="false" ht="12.8" hidden="false" customHeight="false" outlineLevel="0" collapsed="false">
      <c r="C10" s="139"/>
      <c r="D10" s="124"/>
      <c r="E10" s="202"/>
      <c r="K10" s="139"/>
      <c r="L10" s="124"/>
      <c r="M10" s="202"/>
      <c r="S10" s="139"/>
      <c r="T10" s="202"/>
      <c r="Z10" s="139"/>
      <c r="AA10" s="202"/>
      <c r="AG10" s="139"/>
      <c r="AH10" s="202"/>
      <c r="AN10" s="139"/>
      <c r="AO10" s="202"/>
      <c r="AU10" s="139"/>
      <c r="AV10" s="202"/>
      <c r="BB10" s="139"/>
      <c r="BC10" s="202"/>
      <c r="BI10" s="139"/>
      <c r="BJ10" s="202"/>
      <c r="BP10" s="139"/>
      <c r="BQ10" s="202"/>
    </row>
    <row r="11" customFormat="false" ht="12.8" hidden="false" customHeight="false" outlineLevel="0" collapsed="false">
      <c r="C11" s="139"/>
      <c r="D11" s="124"/>
      <c r="E11" s="202"/>
      <c r="K11" s="139"/>
      <c r="L11" s="124"/>
      <c r="M11" s="202"/>
      <c r="S11" s="139"/>
      <c r="T11" s="202"/>
      <c r="Z11" s="139"/>
      <c r="AA11" s="202"/>
      <c r="AG11" s="139"/>
      <c r="AH11" s="202"/>
      <c r="AN11" s="139"/>
      <c r="AO11" s="202"/>
      <c r="AU11" s="139"/>
      <c r="AV11" s="202"/>
      <c r="BB11" s="139"/>
      <c r="BC11" s="202"/>
      <c r="BI11" s="139"/>
      <c r="BJ11" s="202"/>
      <c r="BP11" s="139"/>
      <c r="BQ11" s="202"/>
    </row>
    <row r="12" customFormat="false" ht="12.8" hidden="false" customHeight="false" outlineLevel="0" collapsed="false"/>
    <row r="13" customFormat="false" ht="12.8" hidden="false" customHeight="false" outlineLevel="0" collapsed="false"/>
    <row r="14" customFormat="false" ht="15" hidden="false" customHeight="false" outlineLevel="0" collapsed="false">
      <c r="A14" s="70" t="s">
        <v>135</v>
      </c>
      <c r="B14" s="70" t="s">
        <v>136</v>
      </c>
      <c r="C14" s="163" t="s">
        <v>1081</v>
      </c>
      <c r="D14" s="131" t="s">
        <v>1082</v>
      </c>
      <c r="E14" s="204" t="s">
        <v>1083</v>
      </c>
      <c r="F14" s="205" t="s">
        <v>1084</v>
      </c>
      <c r="G14" s="128" t="s">
        <v>1085</v>
      </c>
      <c r="H14" s="128" t="s">
        <v>1086</v>
      </c>
      <c r="I14" s="128" t="s">
        <v>1087</v>
      </c>
      <c r="J14" s="128" t="s">
        <v>1088</v>
      </c>
      <c r="K14" s="163" t="s">
        <v>1089</v>
      </c>
      <c r="L14" s="131" t="s">
        <v>1090</v>
      </c>
      <c r="M14" s="204" t="s">
        <v>1091</v>
      </c>
      <c r="N14" s="205" t="s">
        <v>1092</v>
      </c>
      <c r="O14" s="128" t="s">
        <v>1093</v>
      </c>
      <c r="P14" s="128" t="s">
        <v>1094</v>
      </c>
      <c r="Q14" s="128" t="s">
        <v>1095</v>
      </c>
      <c r="R14" s="128" t="s">
        <v>1096</v>
      </c>
      <c r="S14" s="163" t="s">
        <v>1097</v>
      </c>
      <c r="T14" s="204" t="s">
        <v>1098</v>
      </c>
      <c r="U14" s="205" t="s">
        <v>1099</v>
      </c>
      <c r="V14" s="128" t="s">
        <v>1100</v>
      </c>
      <c r="W14" s="128" t="s">
        <v>1101</v>
      </c>
      <c r="X14" s="128" t="s">
        <v>1102</v>
      </c>
      <c r="Y14" s="128" t="s">
        <v>1103</v>
      </c>
      <c r="Z14" s="163" t="s">
        <v>1104</v>
      </c>
      <c r="AA14" s="204" t="s">
        <v>1105</v>
      </c>
      <c r="AB14" s="205" t="s">
        <v>1106</v>
      </c>
      <c r="AC14" s="128" t="s">
        <v>1107</v>
      </c>
      <c r="AD14" s="128" t="s">
        <v>1108</v>
      </c>
      <c r="AE14" s="128" t="s">
        <v>1109</v>
      </c>
      <c r="AF14" s="128" t="s">
        <v>1110</v>
      </c>
      <c r="AG14" s="163" t="s">
        <v>1111</v>
      </c>
      <c r="AH14" s="204" t="s">
        <v>1112</v>
      </c>
      <c r="AI14" s="205" t="s">
        <v>1113</v>
      </c>
      <c r="AJ14" s="128" t="s">
        <v>1114</v>
      </c>
      <c r="AK14" s="128" t="s">
        <v>1115</v>
      </c>
      <c r="AL14" s="128" t="s">
        <v>1116</v>
      </c>
      <c r="AM14" s="128" t="s">
        <v>1117</v>
      </c>
      <c r="AN14" s="163" t="s">
        <v>1118</v>
      </c>
      <c r="AO14" s="204" t="s">
        <v>1119</v>
      </c>
      <c r="AP14" s="205" t="s">
        <v>1120</v>
      </c>
      <c r="AQ14" s="128" t="s">
        <v>1121</v>
      </c>
      <c r="AR14" s="128" t="s">
        <v>1122</v>
      </c>
      <c r="AS14" s="128" t="s">
        <v>1123</v>
      </c>
      <c r="AT14" s="128" t="s">
        <v>1124</v>
      </c>
      <c r="AU14" s="163" t="s">
        <v>1125</v>
      </c>
      <c r="AV14" s="204" t="s">
        <v>1126</v>
      </c>
      <c r="AW14" s="205" t="s">
        <v>1127</v>
      </c>
      <c r="AX14" s="128" t="s">
        <v>1128</v>
      </c>
      <c r="AY14" s="128" t="s">
        <v>1129</v>
      </c>
      <c r="AZ14" s="128" t="s">
        <v>1130</v>
      </c>
      <c r="BA14" s="128" t="s">
        <v>1131</v>
      </c>
      <c r="BB14" s="163" t="s">
        <v>1132</v>
      </c>
      <c r="BC14" s="204" t="s">
        <v>1133</v>
      </c>
      <c r="BD14" s="205" t="s">
        <v>1134</v>
      </c>
      <c r="BE14" s="128" t="s">
        <v>1135</v>
      </c>
      <c r="BF14" s="128" t="s">
        <v>1136</v>
      </c>
      <c r="BG14" s="128" t="s">
        <v>1137</v>
      </c>
      <c r="BH14" s="128" t="s">
        <v>1138</v>
      </c>
      <c r="BI14" s="163" t="s">
        <v>1139</v>
      </c>
      <c r="BJ14" s="204" t="s">
        <v>1140</v>
      </c>
      <c r="BK14" s="205" t="s">
        <v>1141</v>
      </c>
      <c r="BL14" s="128" t="s">
        <v>1142</v>
      </c>
      <c r="BM14" s="128" t="s">
        <v>1143</v>
      </c>
      <c r="BN14" s="128" t="s">
        <v>1144</v>
      </c>
      <c r="BO14" s="128" t="s">
        <v>1145</v>
      </c>
      <c r="BP14" s="163" t="s">
        <v>1146</v>
      </c>
      <c r="BQ14" s="204" t="s">
        <v>1147</v>
      </c>
      <c r="BR14" s="205" t="s">
        <v>1148</v>
      </c>
      <c r="BS14" s="128" t="s">
        <v>1149</v>
      </c>
      <c r="BT14" s="128" t="s">
        <v>1150</v>
      </c>
      <c r="BU14" s="128" t="s">
        <v>1151</v>
      </c>
      <c r="BV14" s="128" t="s">
        <v>1152</v>
      </c>
    </row>
    <row r="15" customFormat="false" ht="15" hidden="false" customHeight="false" outlineLevel="0" collapsed="false">
      <c r="A15" s="53" t="s">
        <v>140</v>
      </c>
      <c r="B15" s="53" t="s">
        <v>141</v>
      </c>
      <c r="C15" s="139" t="n">
        <f aca="false">SUM(SUMIFS(PrEP!$O:$O,PrEP!$B:$B,$B15,PrEP!$C:$C,{"15-19","20-24","25-29","30-34","35-39","40-44","45-49","50+"},PrEP!$D:$D,"Female"))</f>
        <v>0</v>
      </c>
      <c r="D15" s="124" t="n">
        <f aca="false">SUM(SUMIFS(PrEP!$O:$O,PrEP!$B:$B,$B15,PrEP!$C:$C,{"15-19","20-24","25-29"},PrEP!$D:$D,"Female"))</f>
        <v>0</v>
      </c>
      <c r="E15" s="202" t="n">
        <f aca="false">SUM(SUMIFS(PrEP!$O:$O,PrEP!$B:$B,$B15,PrEP!$C:$C,{"15-19","20-24","25-29","30-34","35-39","40-44","45-49","50+"},PrEP!$D:$D,"Male"))</f>
        <v>0</v>
      </c>
      <c r="F15" s="203" t="n">
        <f aca="false">_xlfn.IFNA(INDEX(KP!$I:$I,MATCH(($B15&amp;"|"&amp;F$3),KP!$D:$D,0)),"")</f>
        <v>0</v>
      </c>
      <c r="G15" s="115" t="n">
        <f aca="false">_xlfn.IFNA(INDEX(KP!$I:$I,MATCH(($B15&amp;"|"&amp;G$3),KP!$D:$D,0)),"")</f>
        <v>0</v>
      </c>
      <c r="H15" s="115" t="n">
        <f aca="false">_xlfn.IFNA(INDEX(KP!$I:$I,MATCH(($B15&amp;"|"&amp;H$3),KP!$D:$D,0)),"")</f>
        <v>0</v>
      </c>
      <c r="I15" s="115" t="n">
        <f aca="false">_xlfn.IFNA(INDEX(KP!$I:$I,MATCH(($B15&amp;"|"&amp;I$3),KP!$D:$D,0)),"")</f>
        <v>0</v>
      </c>
      <c r="J15" s="115" t="n">
        <f aca="false">_xlfn.IFNA(INDEX(KP!$I:$I,MATCH(($B15&amp;"|"&amp;J$3),KP!$D:$D,0)),"")</f>
        <v>0</v>
      </c>
      <c r="K15" s="139" t="n">
        <f aca="false">SUM(SUMIFS(PrEP!$L:$L,PrEP!$B:$B,$B15,PrEP!$C:$C,{"15-19","20-24","25-29","30-34","35-39","40-44","45-49","50+"},PrEP!$D:$D,"Female"))</f>
        <v>0</v>
      </c>
      <c r="L15" s="73"/>
      <c r="M15" s="202" t="n">
        <f aca="false">SUM(SUMIFS(PrEP!$L:$L,PrEP!$B:$B,$B15,PrEP!$C:$C,{"15-19","20-24","25-29","30-34","35-39","40-44","45-49","50+"},PrEP!$D:$D,"Male"))</f>
        <v>0</v>
      </c>
      <c r="N15" s="203" t="n">
        <f aca="false">_xlfn.IFNA(INDEX(KP!$K:$K,MATCH(($B15&amp;"|"&amp;N$3),KP!$D:$D,0)),"")</f>
        <v>0</v>
      </c>
      <c r="O15" s="115" t="n">
        <f aca="false">_xlfn.IFNA(INDEX(KP!$K:$K,MATCH(($B15&amp;"|"&amp;O$3),KP!$D:$D,0)),"")</f>
        <v>0</v>
      </c>
      <c r="P15" s="115" t="n">
        <f aca="false">_xlfn.IFNA(INDEX(KP!$K:$K,MATCH(($B15&amp;"|"&amp;P$3),KP!$D:$D,0)),"")</f>
        <v>0</v>
      </c>
      <c r="Q15" s="115" t="n">
        <f aca="false">_xlfn.IFNA(INDEX(KP!$K:$K,MATCH(($B15&amp;"|"&amp;Q$3),KP!$D:$D,0)),"")</f>
        <v>0</v>
      </c>
      <c r="R15" s="115" t="n">
        <f aca="false">_xlfn.IFNA(INDEX(KP!$K:$K,MATCH(($B15&amp;"|"&amp;R$3),KP!$D:$D,0)),"")</f>
        <v>0</v>
      </c>
      <c r="S15" s="139" t="n">
        <f aca="false">SUM(SUMIFS(Cascade!$AE:$AE,Cascade!$B:$B,$B15,Cascade!$C:$C,{"15-19","20-24","25-29","30-34","35-39","40-44","45-49","50+"},Cascade!$D:$D,"Female"))</f>
        <v>40</v>
      </c>
      <c r="T15" s="202" t="n">
        <f aca="false">SUM(SUMIFS(Cascade!$AE:$AE,Cascade!$B:$B,$B15,Cascade!$C:$C,{"15-19","20-24","25-29","30-34","35-39","40-44","45-49","50+"},Cascade!$D:$D,"Male"))</f>
        <v>46</v>
      </c>
      <c r="U15" s="203" t="n">
        <f aca="false">_xlfn.IFNA(INDEX(KP!$P:$P,MATCH(($B15&amp;"|"&amp;U$3),KP!$D:$D,0)),"")</f>
        <v>0</v>
      </c>
      <c r="V15" s="115" t="n">
        <f aca="false">_xlfn.IFNA(INDEX(KP!$P:$P,MATCH(($B15&amp;"|"&amp;V$3),KP!$D:$D,0)),"")</f>
        <v>0</v>
      </c>
      <c r="W15" s="115" t="n">
        <f aca="false">_xlfn.IFNA(INDEX(KP!$P:$P,MATCH(($B15&amp;"|"&amp;W$3),KP!$D:$D,0)),"")</f>
        <v>0</v>
      </c>
      <c r="X15" s="115" t="n">
        <f aca="false">_xlfn.IFNA(INDEX(KP!$P:$P,MATCH(($B15&amp;"|"&amp;X$3),KP!$D:$D,0)),"")</f>
        <v>0</v>
      </c>
      <c r="Y15" s="115" t="n">
        <f aca="false">_xlfn.IFNA(INDEX(KP!$P:$P,MATCH(($B15&amp;"|"&amp;Y$3),KP!$D:$D,0)),"")</f>
        <v>0</v>
      </c>
      <c r="Z15" s="139" t="n">
        <f aca="false">SUM(SUMIFS(Cascade!$AM:$AM,Cascade!$B:$B,$B15,Cascade!$C:$C,{"15-19","20-24","25-29","30-34","35-39","40-44","45-49","50+"},Cascade!$D:$D,"Female"))</f>
        <v>1</v>
      </c>
      <c r="AA15" s="202" t="n">
        <f aca="false">SUM(SUMIFS(Cascade!$AM:$AM,Cascade!$B:$B,$B15,Cascade!$C:$C,{"15-19","20-24","25-29","30-34","35-39","40-44","45-49","50+"},Cascade!$D:$D,"Male"))</f>
        <v>1</v>
      </c>
      <c r="AB15" s="203" t="str">
        <f aca="false">_xlfn.IFNA(INDEX(KP!$V:$V,MATCH(($B15&amp;"|"&amp;AB$3),KP!$D:$D,0)),"")</f>
        <v/>
      </c>
      <c r="AC15" s="115" t="str">
        <f aca="false">_xlfn.IFNA(INDEX(KP!$V:$V,MATCH(($B15&amp;"|"&amp;AC$3),KP!$D:$D,0)),"")</f>
        <v/>
      </c>
      <c r="AD15" s="115" t="str">
        <f aca="false">_xlfn.IFNA(INDEX(KP!$V:$V,MATCH(($B15&amp;"|"&amp;AD$3),KP!$D:$D,0)),"")</f>
        <v/>
      </c>
      <c r="AE15" s="115" t="str">
        <f aca="false">_xlfn.IFNA(INDEX(KP!$V:$V,MATCH(($B15&amp;"|"&amp;AE$3),KP!$D:$D,0)),"")</f>
        <v/>
      </c>
      <c r="AF15" s="115" t="str">
        <f aca="false">_xlfn.IFNA(INDEX(KP!$V:$V,MATCH(($B15&amp;"|"&amp;AF$3),KP!$D:$D,0)),"")</f>
        <v/>
      </c>
      <c r="AG15" s="139" t="n">
        <f aca="false">SUM(SUMIFS(Cascade!$AP:$AP,Cascade!$B:$B,$B15,Cascade!$C:$C,{"15-19","20-24","25-29","30-34","35-39","40-44","45-49","50+"},Cascade!$D:$D,"Female"))</f>
        <v>41</v>
      </c>
      <c r="AH15" s="202" t="n">
        <f aca="false">SUM(SUMIFS(Cascade!$AP:$AP,Cascade!$B:$B,$B15,Cascade!$C:$C,{"15-19","20-24","25-29","30-34","35-39","40-44","45-49","50+"},Cascade!$D:$D,"Male"))</f>
        <v>47</v>
      </c>
      <c r="AI15" s="203" t="str">
        <f aca="false">_xlfn.IFNA(INDEX(KP!$Y:$Y,MATCH(($B15&amp;"|"&amp;AI$3),KP!$D:$D,0)),"")</f>
        <v/>
      </c>
      <c r="AJ15" s="115" t="str">
        <f aca="false">_xlfn.IFNA(INDEX(KP!$Y:$Y,MATCH(($B15&amp;"|"&amp;AJ$3),KP!$D:$D,0)),"")</f>
        <v/>
      </c>
      <c r="AK15" s="115" t="str">
        <f aca="false">_xlfn.IFNA(INDEX(KP!$Y:$Y,MATCH(($B15&amp;"|"&amp;AK$3),KP!$D:$D,0)),"")</f>
        <v/>
      </c>
      <c r="AL15" s="115" t="str">
        <f aca="false">_xlfn.IFNA(INDEX(KP!$Y:$Y,MATCH(($B15&amp;"|"&amp;AL$3),KP!$D:$D,0)),"")</f>
        <v/>
      </c>
      <c r="AM15" s="115" t="str">
        <f aca="false">_xlfn.IFNA(INDEX(KP!$Y:$Y,MATCH(($B15&amp;"|"&amp;AM$3),KP!$D:$D,0)),"")</f>
        <v/>
      </c>
      <c r="AN15" s="139" t="n">
        <f aca="false">SUM(SUMIFS(Cascade!$AT:$AT,Cascade!$B:$B,$B15,Cascade!$C:$C,{"15-19","20-24","25-29","30-34","35-39","40-44","45-49","50+"},Cascade!$D:$D,"Female"))</f>
        <v>39</v>
      </c>
      <c r="AO15" s="202" t="n">
        <f aca="false">SUM(SUMIFS(Cascade!$AT:$AT,Cascade!$B:$B,$B15,Cascade!$C:$C,{"15-19","20-24","25-29","30-34","35-39","40-44","45-49","50+"},Cascade!$D:$D,"Male"))</f>
        <v>45</v>
      </c>
      <c r="AP15" s="203" t="str">
        <f aca="false">_xlfn.IFNA(INDEX(KP!$AA:$AA,MATCH(($B15&amp;"|"&amp;AP$3),KP!$D:$D,0)),"")</f>
        <v/>
      </c>
      <c r="AQ15" s="115" t="str">
        <f aca="false">_xlfn.IFNA(INDEX(KP!$AA:$AA,MATCH(($B15&amp;"|"&amp;AQ$3),KP!$D:$D,0)),"")</f>
        <v/>
      </c>
      <c r="AR15" s="115" t="str">
        <f aca="false">_xlfn.IFNA(INDEX(KP!$AA:$AA,MATCH(($B15&amp;"|"&amp;AR$3),KP!$D:$D,0)),"")</f>
        <v/>
      </c>
      <c r="AS15" s="115" t="str">
        <f aca="false">_xlfn.IFNA(INDEX(KP!$AA:$AA,MATCH(($B15&amp;"|"&amp;AS$3),KP!$D:$D,0)),"")</f>
        <v/>
      </c>
      <c r="AT15" s="115" t="str">
        <f aca="false">_xlfn.IFNA(INDEX(KP!$AA:$AA,MATCH(($B15&amp;"|"&amp;AT$3),KP!$D:$D,0)),"")</f>
        <v/>
      </c>
      <c r="AU15" s="139" t="n">
        <f aca="false">SUM(SUMIFS(HTS!$BN:$BN,HTS!$B:$B,$B15,HTS!$C:$C,{"15-19","20-24","25-29","30-34","35-39","40-44","45-49","50+"},HTS!$D:$D,"Female"))</f>
        <v>0</v>
      </c>
      <c r="AV15" s="202" t="n">
        <f aca="false">SUM(SUMIFS(HTS!$BN:$BN,HTS!$B:$B,$B15,HTS!$C:$C,{"15-19","20-24","25-29","30-34","35-39","40-44","45-49","50+"},HTS!$D:$D,"Male"))</f>
        <v>0</v>
      </c>
      <c r="AW15" s="203" t="str">
        <f aca="false">_xlfn.IFNA(INDEX(KP!$AI:$AI,MATCH(($B15&amp;"|"&amp;AW$3),KP!$D:$D,0)),"")</f>
        <v/>
      </c>
      <c r="AX15" s="115" t="str">
        <f aca="false">_xlfn.IFNA(INDEX(KP!$AI:$AI,MATCH(($B15&amp;"|"&amp;AX$3),KP!$D:$D,0)),"")</f>
        <v/>
      </c>
      <c r="AY15" s="115" t="str">
        <f aca="false">_xlfn.IFNA(INDEX(KP!$AI:$AI,MATCH(($B15&amp;"|"&amp;AY$3),KP!$D:$D,0)),"")</f>
        <v/>
      </c>
      <c r="AZ15" s="115" t="str">
        <f aca="false">_xlfn.IFNA(INDEX(KP!$AI:$AI,MATCH(($B15&amp;"|"&amp;AZ$3),KP!$D:$D,0)),"")</f>
        <v/>
      </c>
      <c r="BA15" s="115" t="str">
        <f aca="false">_xlfn.IFNA(INDEX(KP!$AI:$AI,MATCH(($B15&amp;"|"&amp;BA$3),KP!$D:$D,0)),"")</f>
        <v/>
      </c>
      <c r="BB15" s="139" t="n">
        <f aca="false">SUM(SUMIFS(HTS!$BT:$BT,HTS!$B:$B,$B15,HTS!$C:$C,{"15-19","20-24","25-29","30-34","35-39","40-44","45-49","50+"},HTS!$D:$D,"Female"))</f>
        <v>0</v>
      </c>
      <c r="BC15" s="202" t="n">
        <f aca="false">SUM(SUMIFS(HTS!$BT:$BT,HTS!$B:$B,$B15,HTS!$C:$C,{"15-19","20-24","25-29","30-34","35-39","40-44","45-49","50+"},HTS!$D:$D,"Male"))</f>
        <v>-220</v>
      </c>
      <c r="BD15" s="203" t="str">
        <f aca="false">_xlfn.IFNA(INDEX(KP!$AJ:$AJ,MATCH(($B15&amp;"|"&amp;BD$3),KP!$D:$D,0)),"")</f>
        <v/>
      </c>
      <c r="BE15" s="115" t="str">
        <f aca="false">_xlfn.IFNA(INDEX(KP!$AJ:$AJ,MATCH(($B15&amp;"|"&amp;BE$3),KP!$D:$D,0)),"")</f>
        <v/>
      </c>
      <c r="BF15" s="115" t="str">
        <f aca="false">_xlfn.IFNA(INDEX(KP!$AJ:$AJ,MATCH(($B15&amp;"|"&amp;BF$3),KP!$D:$D,0)),"")</f>
        <v/>
      </c>
      <c r="BG15" s="115" t="str">
        <f aca="false">_xlfn.IFNA(INDEX(KP!$AJ:$AJ,MATCH(($B15&amp;"|"&amp;BG$3),KP!$D:$D,0)),"")</f>
        <v/>
      </c>
      <c r="BH15" s="115" t="str">
        <f aca="false">_xlfn.IFNA(INDEX(KP!$AJ:$AJ,MATCH(($B15&amp;"|"&amp;BH$3),KP!$D:$D,0)),"")</f>
        <v/>
      </c>
      <c r="BI15" s="139" t="n">
        <f aca="false">SUM(SUMIFS(HTS_RECENT!$AF:$AF,HTS_RECENT!$B:$B,$B15,HTS_RECENT!$C:$C,{"15-19","20-24","25-29","30-34","35-39","40-44","45-49","50+"},HTS_RECENT!$D:$D,"Female"))</f>
        <v>0</v>
      </c>
      <c r="BJ15" s="202" t="n">
        <f aca="false">SUM(SUMIFS(HTS_RECENT!$AF:$AF,HTS_RECENT!$B:$B,$B15,HTS_RECENT!$C:$C,{"15-19","20-24","25-29","30-34","35-39","40-44","45-49","50+"},HTS_RECENT!$D:$D,"Male"))</f>
        <v>0</v>
      </c>
      <c r="BK15" s="203" t="str">
        <f aca="false">_xlfn.IFNA(INDEX(KP!$AL:$AL,MATCH(($B15&amp;"|"&amp;BK$3),KP!$D:$D,0)),"")</f>
        <v/>
      </c>
      <c r="BL15" s="115" t="str">
        <f aca="false">_xlfn.IFNA(INDEX(KP!$AL:$AL,MATCH(($B15&amp;"|"&amp;BL$3),KP!$D:$D,0)),"")</f>
        <v/>
      </c>
      <c r="BM15" s="115" t="str">
        <f aca="false">_xlfn.IFNA(INDEX(KP!$AL:$AL,MATCH(($B15&amp;"|"&amp;BM$3),KP!$D:$D,0)),"")</f>
        <v/>
      </c>
      <c r="BN15" s="115" t="str">
        <f aca="false">_xlfn.IFNA(INDEX(KP!$AL:$AL,MATCH(($B15&amp;"|"&amp;BN$3),KP!$D:$D,0)),"")</f>
        <v/>
      </c>
      <c r="BO15" s="115" t="str">
        <f aca="false">_xlfn.IFNA(INDEX(KP!$AL:$AL,MATCH(($B15&amp;"|"&amp;BO$3),KP!$D:$D,0)),"")</f>
        <v/>
      </c>
      <c r="BP15" s="139" t="n">
        <f aca="false">SUM(SUMIFS(HTS!$BY:$BY,HTS!$B:$B,$B15,HTS!$C:$C,{"15-19","20-24","25-29","30-34","35-39","40-44","45-49","50+"},HTS!$D:$D,"Female"))</f>
        <v>24</v>
      </c>
      <c r="BQ15" s="202" t="n">
        <f aca="false">SUM(SUMIFS(HTS!$BY:$BY,HTS!$B:$B,$B15,HTS!$C:$C,{"15-19","20-24","25-29","30-34","35-39","40-44","45-49","50+"},HTS!$D:$D,"Male"))</f>
        <v>6</v>
      </c>
      <c r="BR15" s="203" t="n">
        <f aca="false">_xlfn.IFNA(INDEX(KP!$AN:$AN,MATCH(($B15&amp;"|"&amp;BR$3),KP!$D:$D,0)),"")</f>
        <v>0</v>
      </c>
      <c r="BS15" s="115" t="n">
        <f aca="false">_xlfn.IFNA(INDEX(KP!$AN:$AN,MATCH(($B15&amp;"|"&amp;BS$3),KP!$D:$D,0)),"")</f>
        <v>0</v>
      </c>
      <c r="BT15" s="115" t="n">
        <f aca="false">_xlfn.IFNA(INDEX(KP!$AN:$AN,MATCH(($B15&amp;"|"&amp;BT$3),KP!$D:$D,0)),"")</f>
        <v>0</v>
      </c>
      <c r="BU15" s="115" t="n">
        <f aca="false">_xlfn.IFNA(INDEX(KP!$AN:$AN,MATCH(($B15&amp;"|"&amp;BU$3),KP!$D:$D,0)),"")</f>
        <v>0</v>
      </c>
      <c r="BV15" s="115" t="n">
        <f aca="false">_xlfn.IFNA(INDEX(KP!$AN:$AN,MATCH(($B15&amp;"|"&amp;BV$3),KP!$D:$D,0)),"")</f>
        <v>0</v>
      </c>
    </row>
    <row r="16" customFormat="false" ht="15" hidden="false" customHeight="false" outlineLevel="0" collapsed="false">
      <c r="A16" s="53" t="s">
        <v>142</v>
      </c>
      <c r="B16" s="53" t="s">
        <v>109</v>
      </c>
      <c r="C16" s="73" t="n">
        <f aca="false">SUM(SUMIFS(PrEP!$O:$O,PrEP!$B:$B,$B16,PrEP!$C:$C,{"15-19","20-24","25-29","30-34","35-39","40-44","45-49","50+"},PrEP!$D:$D,"Female"))</f>
        <v>0</v>
      </c>
      <c r="D16" s="73" t="n">
        <f aca="false">SUM(SUMIFS(PrEP!$O:$O,PrEP!$B:$B,$B16,PrEP!$C:$C,{"15-19","20-24","25-29"},PrEP!$D:$D,"Female"))</f>
        <v>0</v>
      </c>
      <c r="E16" s="73" t="n">
        <f aca="false">SUM(SUMIFS(PrEP!$O:$O,PrEP!$B:$B,$B16,PrEP!$C:$C,{"15-19","20-24","25-29","30-34","35-39","40-44","45-49","50+"},PrEP!$D:$D,"Male"))</f>
        <v>0</v>
      </c>
      <c r="F16" s="73" t="n">
        <f aca="false">_xlfn.IFNA(INDEX(KP!$I:$I,MATCH(($B16&amp;"|"&amp;F$3),KP!$D:$D,0)),"")</f>
        <v>0</v>
      </c>
      <c r="G16" s="73" t="n">
        <f aca="false">_xlfn.IFNA(INDEX(KP!$I:$I,MATCH(($B16&amp;"|"&amp;G$3),KP!$D:$D,0)),"")</f>
        <v>0</v>
      </c>
      <c r="H16" s="73" t="n">
        <f aca="false">_xlfn.IFNA(INDEX(KP!$I:$I,MATCH(($B16&amp;"|"&amp;H$3),KP!$D:$D,0)),"")</f>
        <v>0</v>
      </c>
      <c r="I16" s="73" t="n">
        <f aca="false">_xlfn.IFNA(INDEX(KP!$I:$I,MATCH(($B16&amp;"|"&amp;I$3),KP!$D:$D,0)),"")</f>
        <v>0</v>
      </c>
      <c r="J16" s="73" t="n">
        <f aca="false">_xlfn.IFNA(INDEX(KP!$I:$I,MATCH(($B16&amp;"|"&amp;J$3),KP!$D:$D,0)),"")</f>
        <v>0</v>
      </c>
      <c r="K16" s="73" t="n">
        <f aca="false">SUM(SUMIFS(PrEP!$L:$L,PrEP!$B:$B,$B16,PrEP!$C:$C,{"15-19","20-24","25-29","30-34","35-39","40-44","45-49","50+"},PrEP!$D:$D,"Female"))</f>
        <v>0</v>
      </c>
      <c r="L16" s="73"/>
      <c r="M16" s="73" t="n">
        <f aca="false">SUM(SUMIFS(PrEP!$L:$L,PrEP!$B:$B,$B16,PrEP!$C:$C,{"15-19","20-24","25-29","30-34","35-39","40-44","45-49","50+"},PrEP!$D:$D,"Male"))</f>
        <v>0</v>
      </c>
      <c r="N16" s="73" t="n">
        <f aca="false">_xlfn.IFNA(INDEX(KP!$K:$K,MATCH(($B16&amp;"|"&amp;N$3),KP!$D:$D,0)),"")</f>
        <v>0</v>
      </c>
      <c r="O16" s="73" t="n">
        <f aca="false">_xlfn.IFNA(INDEX(KP!$K:$K,MATCH(($B16&amp;"|"&amp;O$3),KP!$D:$D,0)),"")</f>
        <v>0</v>
      </c>
      <c r="P16" s="73" t="n">
        <f aca="false">_xlfn.IFNA(INDEX(KP!$K:$K,MATCH(($B16&amp;"|"&amp;P$3),KP!$D:$D,0)),"")</f>
        <v>0</v>
      </c>
      <c r="Q16" s="73" t="n">
        <f aca="false">_xlfn.IFNA(INDEX(KP!$K:$K,MATCH(($B16&amp;"|"&amp;Q$3),KP!$D:$D,0)),"")</f>
        <v>0</v>
      </c>
      <c r="R16" s="73" t="n">
        <f aca="false">_xlfn.IFNA(INDEX(KP!$K:$K,MATCH(($B16&amp;"|"&amp;R$3),KP!$D:$D,0)),"")</f>
        <v>0</v>
      </c>
      <c r="S16" s="73" t="n">
        <f aca="false">SUM(SUMIFS(Cascade!$AE:$AE,Cascade!$B:$B,$B16,Cascade!$C:$C,{"15-19","20-24","25-29","30-34","35-39","40-44","45-49","50+"},Cascade!$D:$D,"Female"))</f>
        <v>5</v>
      </c>
      <c r="T16" s="73" t="n">
        <f aca="false">SUM(SUMIFS(Cascade!$AE:$AE,Cascade!$B:$B,$B16,Cascade!$C:$C,{"15-19","20-24","25-29","30-34","35-39","40-44","45-49","50+"},Cascade!$D:$D,"Male"))</f>
        <v>1</v>
      </c>
      <c r="U16" s="73" t="n">
        <f aca="false">_xlfn.IFNA(INDEX(KP!$P:$P,MATCH(($B16&amp;"|"&amp;U$3),KP!$D:$D,0)),"")</f>
        <v>0</v>
      </c>
      <c r="V16" s="73" t="n">
        <f aca="false">_xlfn.IFNA(INDEX(KP!$P:$P,MATCH(($B16&amp;"|"&amp;V$3),KP!$D:$D,0)),"")</f>
        <v>0</v>
      </c>
      <c r="W16" s="73" t="n">
        <f aca="false">_xlfn.IFNA(INDEX(KP!$P:$P,MATCH(($B16&amp;"|"&amp;W$3),KP!$D:$D,0)),"")</f>
        <v>0</v>
      </c>
      <c r="X16" s="73" t="n">
        <f aca="false">_xlfn.IFNA(INDEX(KP!$P:$P,MATCH(($B16&amp;"|"&amp;X$3),KP!$D:$D,0)),"")</f>
        <v>0</v>
      </c>
      <c r="Y16" s="73" t="n">
        <f aca="false">_xlfn.IFNA(INDEX(KP!$P:$P,MATCH(($B16&amp;"|"&amp;Y$3),KP!$D:$D,0)),"")</f>
        <v>0</v>
      </c>
      <c r="Z16" s="73" t="n">
        <f aca="false">SUM(SUMIFS(Cascade!$AM:$AM,Cascade!$B:$B,$B16,Cascade!$C:$C,{"15-19","20-24","25-29","30-34","35-39","40-44","45-49","50+"},Cascade!$D:$D,"Female"))</f>
        <v>1</v>
      </c>
      <c r="AA16" s="73" t="n">
        <f aca="false">SUM(SUMIFS(Cascade!$AM:$AM,Cascade!$B:$B,$B16,Cascade!$C:$C,{"15-19","20-24","25-29","30-34","35-39","40-44","45-49","50+"},Cascade!$D:$D,"Male"))</f>
        <v>0</v>
      </c>
      <c r="AB16" s="73" t="str">
        <f aca="false">_xlfn.IFNA(INDEX(KP!$V:$V,MATCH(($B16&amp;"|"&amp;AB$3),KP!$D:$D,0)),"")</f>
        <v/>
      </c>
      <c r="AC16" s="73" t="str">
        <f aca="false">_xlfn.IFNA(INDEX(KP!$V:$V,MATCH(($B16&amp;"|"&amp;AC$3),KP!$D:$D,0)),"")</f>
        <v/>
      </c>
      <c r="AD16" s="73" t="str">
        <f aca="false">_xlfn.IFNA(INDEX(KP!$V:$V,MATCH(($B16&amp;"|"&amp;AD$3),KP!$D:$D,0)),"")</f>
        <v/>
      </c>
      <c r="AE16" s="73" t="str">
        <f aca="false">_xlfn.IFNA(INDEX(KP!$V:$V,MATCH(($B16&amp;"|"&amp;AE$3),KP!$D:$D,0)),"")</f>
        <v/>
      </c>
      <c r="AF16" s="73" t="str">
        <f aca="false">_xlfn.IFNA(INDEX(KP!$V:$V,MATCH(($B16&amp;"|"&amp;AF$3),KP!$D:$D,0)),"")</f>
        <v/>
      </c>
      <c r="AG16" s="73" t="n">
        <f aca="false">SUM(SUMIFS(Cascade!$AP:$AP,Cascade!$B:$B,$B16,Cascade!$C:$C,{"15-19","20-24","25-29","30-34","35-39","40-44","45-49","50+"},Cascade!$D:$D,"Female"))</f>
        <v>5</v>
      </c>
      <c r="AH16" s="73" t="n">
        <f aca="false">SUM(SUMIFS(Cascade!$AP:$AP,Cascade!$B:$B,$B16,Cascade!$C:$C,{"15-19","20-24","25-29","30-34","35-39","40-44","45-49","50+"},Cascade!$D:$D,"Male"))</f>
        <v>1</v>
      </c>
      <c r="AI16" s="73" t="str">
        <f aca="false">_xlfn.IFNA(INDEX(KP!$Y:$Y,MATCH(($B16&amp;"|"&amp;AI$3),KP!$D:$D,0)),"")</f>
        <v/>
      </c>
      <c r="AJ16" s="73" t="str">
        <f aca="false">_xlfn.IFNA(INDEX(KP!$Y:$Y,MATCH(($B16&amp;"|"&amp;AJ$3),KP!$D:$D,0)),"")</f>
        <v/>
      </c>
      <c r="AK16" s="73" t="str">
        <f aca="false">_xlfn.IFNA(INDEX(KP!$Y:$Y,MATCH(($B16&amp;"|"&amp;AK$3),KP!$D:$D,0)),"")</f>
        <v/>
      </c>
      <c r="AL16" s="73" t="str">
        <f aca="false">_xlfn.IFNA(INDEX(KP!$Y:$Y,MATCH(($B16&amp;"|"&amp;AL$3),KP!$D:$D,0)),"")</f>
        <v/>
      </c>
      <c r="AM16" s="73" t="str">
        <f aca="false">_xlfn.IFNA(INDEX(KP!$Y:$Y,MATCH(($B16&amp;"|"&amp;AM$3),KP!$D:$D,0)),"")</f>
        <v/>
      </c>
      <c r="AN16" s="73" t="n">
        <f aca="false">SUM(SUMIFS(Cascade!$AT:$AT,Cascade!$B:$B,$B16,Cascade!$C:$C,{"15-19","20-24","25-29","30-34","35-39","40-44","45-49","50+"},Cascade!$D:$D,"Female"))</f>
        <v>5</v>
      </c>
      <c r="AO16" s="73" t="n">
        <f aca="false">SUM(SUMIFS(Cascade!$AT:$AT,Cascade!$B:$B,$B16,Cascade!$C:$C,{"15-19","20-24","25-29","30-34","35-39","40-44","45-49","50+"},Cascade!$D:$D,"Male"))</f>
        <v>1</v>
      </c>
      <c r="AP16" s="73" t="str">
        <f aca="false">_xlfn.IFNA(INDEX(KP!$AA:$AA,MATCH(($B16&amp;"|"&amp;AP$3),KP!$D:$D,0)),"")</f>
        <v/>
      </c>
      <c r="AQ16" s="73" t="str">
        <f aca="false">_xlfn.IFNA(INDEX(KP!$AA:$AA,MATCH(($B16&amp;"|"&amp;AQ$3),KP!$D:$D,0)),"")</f>
        <v/>
      </c>
      <c r="AR16" s="73" t="str">
        <f aca="false">_xlfn.IFNA(INDEX(KP!$AA:$AA,MATCH(($B16&amp;"|"&amp;AR$3),KP!$D:$D,0)),"")</f>
        <v/>
      </c>
      <c r="AS16" s="73" t="str">
        <f aca="false">_xlfn.IFNA(INDEX(KP!$AA:$AA,MATCH(($B16&amp;"|"&amp;AS$3),KP!$D:$D,0)),"")</f>
        <v/>
      </c>
      <c r="AT16" s="73" t="str">
        <f aca="false">_xlfn.IFNA(INDEX(KP!$AA:$AA,MATCH(($B16&amp;"|"&amp;AT$3),KP!$D:$D,0)),"")</f>
        <v/>
      </c>
      <c r="AU16" s="73" t="n">
        <f aca="false">SUM(SUMIFS(HTS!$BN:$BN,HTS!$B:$B,$B16,HTS!$C:$C,{"15-19","20-24","25-29","30-34","35-39","40-44","45-49","50+"},HTS!$D:$D,"Female"))</f>
        <v>-5879</v>
      </c>
      <c r="AV16" s="73" t="n">
        <f aca="false">SUM(SUMIFS(HTS!$BN:$BN,HTS!$B:$B,$B16,HTS!$C:$C,{"15-19","20-24","25-29","30-34","35-39","40-44","45-49","50+"},HTS!$D:$D,"Male"))</f>
        <v>0</v>
      </c>
      <c r="AW16" s="73" t="str">
        <f aca="false">_xlfn.IFNA(INDEX(KP!$AI:$AI,MATCH(($B16&amp;"|"&amp;AW$3),KP!$D:$D,0)),"")</f>
        <v/>
      </c>
      <c r="AX16" s="73" t="str">
        <f aca="false">_xlfn.IFNA(INDEX(KP!$AI:$AI,MATCH(($B16&amp;"|"&amp;AX$3),KP!$D:$D,0)),"")</f>
        <v/>
      </c>
      <c r="AY16" s="73" t="str">
        <f aca="false">_xlfn.IFNA(INDEX(KP!$AI:$AI,MATCH(($B16&amp;"|"&amp;AY$3),KP!$D:$D,0)),"")</f>
        <v/>
      </c>
      <c r="AZ16" s="73" t="str">
        <f aca="false">_xlfn.IFNA(INDEX(KP!$AI:$AI,MATCH(($B16&amp;"|"&amp;AZ$3),KP!$D:$D,0)),"")</f>
        <v/>
      </c>
      <c r="BA16" s="73" t="str">
        <f aca="false">_xlfn.IFNA(INDEX(KP!$AI:$AI,MATCH(($B16&amp;"|"&amp;BA$3),KP!$D:$D,0)),"")</f>
        <v/>
      </c>
      <c r="BB16" s="73" t="n">
        <f aca="false">SUM(SUMIFS(HTS!$BT:$BT,HTS!$B:$B,$B16,HTS!$C:$C,{"15-19","20-24","25-29","30-34","35-39","40-44","45-49","50+"},HTS!$D:$D,"Female"))</f>
        <v>4621</v>
      </c>
      <c r="BC16" s="73" t="n">
        <f aca="false">SUM(SUMIFS(HTS!$BT:$BT,HTS!$B:$B,$B16,HTS!$C:$C,{"15-19","20-24","25-29","30-34","35-39","40-44","45-49","50+"},HTS!$D:$D,"Male"))</f>
        <v>11</v>
      </c>
      <c r="BD16" s="73" t="str">
        <f aca="false">_xlfn.IFNA(INDEX(KP!$AJ:$AJ,MATCH(($B16&amp;"|"&amp;BD$3),KP!$D:$D,0)),"")</f>
        <v/>
      </c>
      <c r="BE16" s="73" t="str">
        <f aca="false">_xlfn.IFNA(INDEX(KP!$AJ:$AJ,MATCH(($B16&amp;"|"&amp;BE$3),KP!$D:$D,0)),"")</f>
        <v/>
      </c>
      <c r="BF16" s="73" t="str">
        <f aca="false">_xlfn.IFNA(INDEX(KP!$AJ:$AJ,MATCH(($B16&amp;"|"&amp;BF$3),KP!$D:$D,0)),"")</f>
        <v/>
      </c>
      <c r="BG16" s="73" t="str">
        <f aca="false">_xlfn.IFNA(INDEX(KP!$AJ:$AJ,MATCH(($B16&amp;"|"&amp;BG$3),KP!$D:$D,0)),"")</f>
        <v/>
      </c>
      <c r="BH16" s="73" t="str">
        <f aca="false">_xlfn.IFNA(INDEX(KP!$AJ:$AJ,MATCH(($B16&amp;"|"&amp;BH$3),KP!$D:$D,0)),"")</f>
        <v/>
      </c>
      <c r="BI16" s="73" t="n">
        <f aca="false">SUM(SUMIFS(HTS_RECENT!$AF:$AF,HTS_RECENT!$B:$B,$B16,HTS_RECENT!$C:$C,{"15-19","20-24","25-29","30-34","35-39","40-44","45-49","50+"},HTS_RECENT!$D:$D,"Female"))</f>
        <v>-5879</v>
      </c>
      <c r="BJ16" s="73" t="n">
        <f aca="false">SUM(SUMIFS(HTS_RECENT!$AF:$AF,HTS_RECENT!$B:$B,$B16,HTS_RECENT!$C:$C,{"15-19","20-24","25-29","30-34","35-39","40-44","45-49","50+"},HTS_RECENT!$D:$D,"Male"))</f>
        <v>0</v>
      </c>
      <c r="BK16" s="73" t="str">
        <f aca="false">_xlfn.IFNA(INDEX(KP!$AL:$AL,MATCH(($B16&amp;"|"&amp;BK$3),KP!$D:$D,0)),"")</f>
        <v/>
      </c>
      <c r="BL16" s="73" t="str">
        <f aca="false">_xlfn.IFNA(INDEX(KP!$AL:$AL,MATCH(($B16&amp;"|"&amp;BL$3),KP!$D:$D,0)),"")</f>
        <v/>
      </c>
      <c r="BM16" s="73" t="str">
        <f aca="false">_xlfn.IFNA(INDEX(KP!$AL:$AL,MATCH(($B16&amp;"|"&amp;BM$3),KP!$D:$D,0)),"")</f>
        <v/>
      </c>
      <c r="BN16" s="73" t="str">
        <f aca="false">_xlfn.IFNA(INDEX(KP!$AL:$AL,MATCH(($B16&amp;"|"&amp;BN$3),KP!$D:$D,0)),"")</f>
        <v/>
      </c>
      <c r="BO16" s="73" t="str">
        <f aca="false">_xlfn.IFNA(INDEX(KP!$AL:$AL,MATCH(($B16&amp;"|"&amp;BO$3),KP!$D:$D,0)),"")</f>
        <v/>
      </c>
      <c r="BP16" s="73" t="n">
        <f aca="false">SUM(SUMIFS(HTS!$BY:$BY,HTS!$B:$B,$B16,HTS!$C:$C,{"15-19","20-24","25-29","30-34","35-39","40-44","45-49","50+"},HTS!$D:$D,"Female"))</f>
        <v>27</v>
      </c>
      <c r="BQ16" s="73" t="n">
        <f aca="false">SUM(SUMIFS(HTS!$BY:$BY,HTS!$B:$B,$B16,HTS!$C:$C,{"15-19","20-24","25-29","30-34","35-39","40-44","45-49","50+"},HTS!$D:$D,"Male"))</f>
        <v>29</v>
      </c>
      <c r="BR16" s="73" t="n">
        <f aca="false">_xlfn.IFNA(INDEX(KP!$AN:$AN,MATCH(($B16&amp;"|"&amp;BR$3),KP!$D:$D,0)),"")</f>
        <v>0</v>
      </c>
      <c r="BS16" s="73" t="n">
        <f aca="false">_xlfn.IFNA(INDEX(KP!$AN:$AN,MATCH(($B16&amp;"|"&amp;BS$3),KP!$D:$D,0)),"")</f>
        <v>0</v>
      </c>
      <c r="BT16" s="73" t="n">
        <f aca="false">_xlfn.IFNA(INDEX(KP!$AN:$AN,MATCH(($B16&amp;"|"&amp;BT$3),KP!$D:$D,0)),"")</f>
        <v>0</v>
      </c>
      <c r="BU16" s="73" t="n">
        <f aca="false">_xlfn.IFNA(INDEX(KP!$AN:$AN,MATCH(($B16&amp;"|"&amp;BU$3),KP!$D:$D,0)),"")</f>
        <v>0</v>
      </c>
      <c r="BV16" s="73" t="n">
        <f aca="false">_xlfn.IFNA(INDEX(KP!$AN:$AN,MATCH(($B16&amp;"|"&amp;BV$3),KP!$D:$D,0)),"")</f>
        <v>0</v>
      </c>
    </row>
    <row r="17" customFormat="false" ht="15" hidden="false" customHeight="false" outlineLevel="0" collapsed="false">
      <c r="A17" s="53" t="s">
        <v>143</v>
      </c>
      <c r="B17" s="53" t="s">
        <v>115</v>
      </c>
      <c r="C17" s="73" t="n">
        <f aca="false">SUM(SUMIFS(PrEP!$O:$O,PrEP!$B:$B,$B17,PrEP!$C:$C,{"15-19","20-24","25-29","30-34","35-39","40-44","45-49","50+"},PrEP!$D:$D,"Female"))</f>
        <v>0</v>
      </c>
      <c r="D17" s="73" t="n">
        <f aca="false">SUM(SUMIFS(PrEP!$O:$O,PrEP!$B:$B,$B17,PrEP!$C:$C,{"15-19","20-24","25-29"},PrEP!$D:$D,"Female"))</f>
        <v>0</v>
      </c>
      <c r="E17" s="73" t="n">
        <f aca="false">SUM(SUMIFS(PrEP!$O:$O,PrEP!$B:$B,$B17,PrEP!$C:$C,{"15-19","20-24","25-29","30-34","35-39","40-44","45-49","50+"},PrEP!$D:$D,"Male"))</f>
        <v>0</v>
      </c>
      <c r="F17" s="73" t="n">
        <f aca="false">_xlfn.IFNA(INDEX(KP!$I:$I,MATCH(($B17&amp;"|"&amp;F$3),KP!$D:$D,0)),"")</f>
        <v>0</v>
      </c>
      <c r="G17" s="73" t="n">
        <f aca="false">_xlfn.IFNA(INDEX(KP!$I:$I,MATCH(($B17&amp;"|"&amp;G$3),KP!$D:$D,0)),"")</f>
        <v>0</v>
      </c>
      <c r="H17" s="73" t="n">
        <f aca="false">_xlfn.IFNA(INDEX(KP!$I:$I,MATCH(($B17&amp;"|"&amp;H$3),KP!$D:$D,0)),"")</f>
        <v>0</v>
      </c>
      <c r="I17" s="73" t="n">
        <f aca="false">_xlfn.IFNA(INDEX(KP!$I:$I,MATCH(($B17&amp;"|"&amp;I$3),KP!$D:$D,0)),"")</f>
        <v>0</v>
      </c>
      <c r="J17" s="73" t="n">
        <f aca="false">_xlfn.IFNA(INDEX(KP!$I:$I,MATCH(($B17&amp;"|"&amp;J$3),KP!$D:$D,0)),"")</f>
        <v>0</v>
      </c>
      <c r="K17" s="73" t="n">
        <f aca="false">SUM(SUMIFS(PrEP!$L:$L,PrEP!$B:$B,$B17,PrEP!$C:$C,{"15-19","20-24","25-29","30-34","35-39","40-44","45-49","50+"},PrEP!$D:$D,"Female"))</f>
        <v>0</v>
      </c>
      <c r="L17" s="73"/>
      <c r="M17" s="73" t="n">
        <f aca="false">SUM(SUMIFS(PrEP!$L:$L,PrEP!$B:$B,$B17,PrEP!$C:$C,{"15-19","20-24","25-29","30-34","35-39","40-44","45-49","50+"},PrEP!$D:$D,"Male"))</f>
        <v>0</v>
      </c>
      <c r="N17" s="73" t="n">
        <f aca="false">_xlfn.IFNA(INDEX(KP!$K:$K,MATCH(($B17&amp;"|"&amp;N$3),KP!$D:$D,0)),"")</f>
        <v>0</v>
      </c>
      <c r="O17" s="73" t="n">
        <f aca="false">_xlfn.IFNA(INDEX(KP!$K:$K,MATCH(($B17&amp;"|"&amp;O$3),KP!$D:$D,0)),"")</f>
        <v>0</v>
      </c>
      <c r="P17" s="73" t="n">
        <f aca="false">_xlfn.IFNA(INDEX(KP!$K:$K,MATCH(($B17&amp;"|"&amp;P$3),KP!$D:$D,0)),"")</f>
        <v>0</v>
      </c>
      <c r="Q17" s="73" t="n">
        <f aca="false">_xlfn.IFNA(INDEX(KP!$K:$K,MATCH(($B17&amp;"|"&amp;Q$3),KP!$D:$D,0)),"")</f>
        <v>0</v>
      </c>
      <c r="R17" s="73" t="n">
        <f aca="false">_xlfn.IFNA(INDEX(KP!$K:$K,MATCH(($B17&amp;"|"&amp;R$3),KP!$D:$D,0)),"")</f>
        <v>0</v>
      </c>
      <c r="S17" s="73" t="n">
        <f aca="false">SUM(SUMIFS(Cascade!$AE:$AE,Cascade!$B:$B,$B17,Cascade!$C:$C,{"15-19","20-24","25-29","30-34","35-39","40-44","45-49","50+"},Cascade!$D:$D,"Female"))</f>
        <v>33</v>
      </c>
      <c r="T17" s="73" t="n">
        <f aca="false">SUM(SUMIFS(Cascade!$AE:$AE,Cascade!$B:$B,$B17,Cascade!$C:$C,{"15-19","20-24","25-29","30-34","35-39","40-44","45-49","50+"},Cascade!$D:$D,"Male"))</f>
        <v>47</v>
      </c>
      <c r="U17" s="73" t="n">
        <f aca="false">_xlfn.IFNA(INDEX(KP!$P:$P,MATCH(($B17&amp;"|"&amp;U$3),KP!$D:$D,0)),"")</f>
        <v>0</v>
      </c>
      <c r="V17" s="73" t="n">
        <f aca="false">_xlfn.IFNA(INDEX(KP!$P:$P,MATCH(($B17&amp;"|"&amp;V$3),KP!$D:$D,0)),"")</f>
        <v>0</v>
      </c>
      <c r="W17" s="73" t="n">
        <f aca="false">_xlfn.IFNA(INDEX(KP!$P:$P,MATCH(($B17&amp;"|"&amp;W$3),KP!$D:$D,0)),"")</f>
        <v>0</v>
      </c>
      <c r="X17" s="73" t="n">
        <f aca="false">_xlfn.IFNA(INDEX(KP!$P:$P,MATCH(($B17&amp;"|"&amp;X$3),KP!$D:$D,0)),"")</f>
        <v>0</v>
      </c>
      <c r="Y17" s="73" t="n">
        <f aca="false">_xlfn.IFNA(INDEX(KP!$P:$P,MATCH(($B17&amp;"|"&amp;Y$3),KP!$D:$D,0)),"")</f>
        <v>0</v>
      </c>
      <c r="Z17" s="73" t="n">
        <f aca="false">SUM(SUMIFS(Cascade!$AM:$AM,Cascade!$B:$B,$B17,Cascade!$C:$C,{"15-19","20-24","25-29","30-34","35-39","40-44","45-49","50+"},Cascade!$D:$D,"Female"))</f>
        <v>6</v>
      </c>
      <c r="AA17" s="73" t="n">
        <f aca="false">SUM(SUMIFS(Cascade!$AM:$AM,Cascade!$B:$B,$B17,Cascade!$C:$C,{"15-19","20-24","25-29","30-34","35-39","40-44","45-49","50+"},Cascade!$D:$D,"Male"))</f>
        <v>1</v>
      </c>
      <c r="AB17" s="73" t="str">
        <f aca="false">_xlfn.IFNA(INDEX(KP!$V:$V,MATCH(($B17&amp;"|"&amp;AB$3),KP!$D:$D,0)),"")</f>
        <v/>
      </c>
      <c r="AC17" s="73" t="str">
        <f aca="false">_xlfn.IFNA(INDEX(KP!$V:$V,MATCH(($B17&amp;"|"&amp;AC$3),KP!$D:$D,0)),"")</f>
        <v/>
      </c>
      <c r="AD17" s="73" t="str">
        <f aca="false">_xlfn.IFNA(INDEX(KP!$V:$V,MATCH(($B17&amp;"|"&amp;AD$3),KP!$D:$D,0)),"")</f>
        <v/>
      </c>
      <c r="AE17" s="73" t="str">
        <f aca="false">_xlfn.IFNA(INDEX(KP!$V:$V,MATCH(($B17&amp;"|"&amp;AE$3),KP!$D:$D,0)),"")</f>
        <v/>
      </c>
      <c r="AF17" s="73" t="str">
        <f aca="false">_xlfn.IFNA(INDEX(KP!$V:$V,MATCH(($B17&amp;"|"&amp;AF$3),KP!$D:$D,0)),"")</f>
        <v/>
      </c>
      <c r="AG17" s="73" t="n">
        <f aca="false">SUM(SUMIFS(Cascade!$AP:$AP,Cascade!$B:$B,$B17,Cascade!$C:$C,{"15-19","20-24","25-29","30-34","35-39","40-44","45-49","50+"},Cascade!$D:$D,"Female"))</f>
        <v>32</v>
      </c>
      <c r="AH17" s="73" t="n">
        <f aca="false">SUM(SUMIFS(Cascade!$AP:$AP,Cascade!$B:$B,$B17,Cascade!$C:$C,{"15-19","20-24","25-29","30-34","35-39","40-44","45-49","50+"},Cascade!$D:$D,"Male"))</f>
        <v>48</v>
      </c>
      <c r="AI17" s="73" t="str">
        <f aca="false">_xlfn.IFNA(INDEX(KP!$Y:$Y,MATCH(($B17&amp;"|"&amp;AI$3),KP!$D:$D,0)),"")</f>
        <v/>
      </c>
      <c r="AJ17" s="73" t="str">
        <f aca="false">_xlfn.IFNA(INDEX(KP!$Y:$Y,MATCH(($B17&amp;"|"&amp;AJ$3),KP!$D:$D,0)),"")</f>
        <v/>
      </c>
      <c r="AK17" s="73" t="str">
        <f aca="false">_xlfn.IFNA(INDEX(KP!$Y:$Y,MATCH(($B17&amp;"|"&amp;AK$3),KP!$D:$D,0)),"")</f>
        <v/>
      </c>
      <c r="AL17" s="73" t="str">
        <f aca="false">_xlfn.IFNA(INDEX(KP!$Y:$Y,MATCH(($B17&amp;"|"&amp;AL$3),KP!$D:$D,0)),"")</f>
        <v/>
      </c>
      <c r="AM17" s="73" t="str">
        <f aca="false">_xlfn.IFNA(INDEX(KP!$Y:$Y,MATCH(($B17&amp;"|"&amp;AM$3),KP!$D:$D,0)),"")</f>
        <v/>
      </c>
      <c r="AN17" s="73" t="n">
        <f aca="false">SUM(SUMIFS(Cascade!$AT:$AT,Cascade!$B:$B,$B17,Cascade!$C:$C,{"15-19","20-24","25-29","30-34","35-39","40-44","45-49","50+"},Cascade!$D:$D,"Female"))</f>
        <v>30</v>
      </c>
      <c r="AO17" s="73" t="n">
        <f aca="false">SUM(SUMIFS(Cascade!$AT:$AT,Cascade!$B:$B,$B17,Cascade!$C:$C,{"15-19","20-24","25-29","30-34","35-39","40-44","45-49","50+"},Cascade!$D:$D,"Male"))</f>
        <v>46</v>
      </c>
      <c r="AP17" s="73" t="str">
        <f aca="false">_xlfn.IFNA(INDEX(KP!$AA:$AA,MATCH(($B17&amp;"|"&amp;AP$3),KP!$D:$D,0)),"")</f>
        <v/>
      </c>
      <c r="AQ17" s="73" t="str">
        <f aca="false">_xlfn.IFNA(INDEX(KP!$AA:$AA,MATCH(($B17&amp;"|"&amp;AQ$3),KP!$D:$D,0)),"")</f>
        <v/>
      </c>
      <c r="AR17" s="73" t="str">
        <f aca="false">_xlfn.IFNA(INDEX(KP!$AA:$AA,MATCH(($B17&amp;"|"&amp;AR$3),KP!$D:$D,0)),"")</f>
        <v/>
      </c>
      <c r="AS17" s="73" t="str">
        <f aca="false">_xlfn.IFNA(INDEX(KP!$AA:$AA,MATCH(($B17&amp;"|"&amp;AS$3),KP!$D:$D,0)),"")</f>
        <v/>
      </c>
      <c r="AT17" s="73" t="str">
        <f aca="false">_xlfn.IFNA(INDEX(KP!$AA:$AA,MATCH(($B17&amp;"|"&amp;AT$3),KP!$D:$D,0)),"")</f>
        <v/>
      </c>
      <c r="AU17" s="73" t="n">
        <f aca="false">SUM(SUMIFS(HTS!$BN:$BN,HTS!$B:$B,$B17,HTS!$C:$C,{"15-19","20-24","25-29","30-34","35-39","40-44","45-49","50+"},HTS!$D:$D,"Female"))</f>
        <v>-2022</v>
      </c>
      <c r="AV17" s="73" t="n">
        <f aca="false">SUM(SUMIFS(HTS!$BN:$BN,HTS!$B:$B,$B17,HTS!$C:$C,{"15-19","20-24","25-29","30-34","35-39","40-44","45-49","50+"},HTS!$D:$D,"Male"))</f>
        <v>133</v>
      </c>
      <c r="AW17" s="73" t="str">
        <f aca="false">_xlfn.IFNA(INDEX(KP!$AI:$AI,MATCH(($B17&amp;"|"&amp;AW$3),KP!$D:$D,0)),"")</f>
        <v/>
      </c>
      <c r="AX17" s="73" t="str">
        <f aca="false">_xlfn.IFNA(INDEX(KP!$AI:$AI,MATCH(($B17&amp;"|"&amp;AX$3),KP!$D:$D,0)),"")</f>
        <v/>
      </c>
      <c r="AY17" s="73" t="str">
        <f aca="false">_xlfn.IFNA(INDEX(KP!$AI:$AI,MATCH(($B17&amp;"|"&amp;AY$3),KP!$D:$D,0)),"")</f>
        <v/>
      </c>
      <c r="AZ17" s="73" t="str">
        <f aca="false">_xlfn.IFNA(INDEX(KP!$AI:$AI,MATCH(($B17&amp;"|"&amp;AZ$3),KP!$D:$D,0)),"")</f>
        <v/>
      </c>
      <c r="BA17" s="73" t="str">
        <f aca="false">_xlfn.IFNA(INDEX(KP!$AI:$AI,MATCH(($B17&amp;"|"&amp;BA$3),KP!$D:$D,0)),"")</f>
        <v/>
      </c>
      <c r="BB17" s="73" t="n">
        <f aca="false">SUM(SUMIFS(HTS!$BT:$BT,HTS!$B:$B,$B17,HTS!$C:$C,{"15-19","20-24","25-29","30-34","35-39","40-44","45-49","50+"},HTS!$D:$D,"Female"))</f>
        <v>1993</v>
      </c>
      <c r="BC17" s="73" t="n">
        <f aca="false">SUM(SUMIFS(HTS!$BT:$BT,HTS!$B:$B,$B17,HTS!$C:$C,{"15-19","20-24","25-29","30-34","35-39","40-44","45-49","50+"},HTS!$D:$D,"Male"))</f>
        <v>39</v>
      </c>
      <c r="BD17" s="73" t="str">
        <f aca="false">_xlfn.IFNA(INDEX(KP!$AJ:$AJ,MATCH(($B17&amp;"|"&amp;BD$3),KP!$D:$D,0)),"")</f>
        <v/>
      </c>
      <c r="BE17" s="73" t="str">
        <f aca="false">_xlfn.IFNA(INDEX(KP!$AJ:$AJ,MATCH(($B17&amp;"|"&amp;BE$3),KP!$D:$D,0)),"")</f>
        <v/>
      </c>
      <c r="BF17" s="73" t="str">
        <f aca="false">_xlfn.IFNA(INDEX(KP!$AJ:$AJ,MATCH(($B17&amp;"|"&amp;BF$3),KP!$D:$D,0)),"")</f>
        <v/>
      </c>
      <c r="BG17" s="73" t="str">
        <f aca="false">_xlfn.IFNA(INDEX(KP!$AJ:$AJ,MATCH(($B17&amp;"|"&amp;BG$3),KP!$D:$D,0)),"")</f>
        <v/>
      </c>
      <c r="BH17" s="73" t="str">
        <f aca="false">_xlfn.IFNA(INDEX(KP!$AJ:$AJ,MATCH(($B17&amp;"|"&amp;BH$3),KP!$D:$D,0)),"")</f>
        <v/>
      </c>
      <c r="BI17" s="73" t="n">
        <f aca="false">SUM(SUMIFS(HTS_RECENT!$AF:$AF,HTS_RECENT!$B:$B,$B17,HTS_RECENT!$C:$C,{"15-19","20-24","25-29","30-34","35-39","40-44","45-49","50+"},HTS_RECENT!$D:$D,"Female"))</f>
        <v>-2022</v>
      </c>
      <c r="BJ17" s="73" t="n">
        <f aca="false">SUM(SUMIFS(HTS_RECENT!$AF:$AF,HTS_RECENT!$B:$B,$B17,HTS_RECENT!$C:$C,{"15-19","20-24","25-29","30-34","35-39","40-44","45-49","50+"},HTS_RECENT!$D:$D,"Male"))</f>
        <v>133</v>
      </c>
      <c r="BK17" s="73" t="str">
        <f aca="false">_xlfn.IFNA(INDEX(KP!$AL:$AL,MATCH(($B17&amp;"|"&amp;BK$3),KP!$D:$D,0)),"")</f>
        <v/>
      </c>
      <c r="BL17" s="73" t="str">
        <f aca="false">_xlfn.IFNA(INDEX(KP!$AL:$AL,MATCH(($B17&amp;"|"&amp;BL$3),KP!$D:$D,0)),"")</f>
        <v/>
      </c>
      <c r="BM17" s="73" t="str">
        <f aca="false">_xlfn.IFNA(INDEX(KP!$AL:$AL,MATCH(($B17&amp;"|"&amp;BM$3),KP!$D:$D,0)),"")</f>
        <v/>
      </c>
      <c r="BN17" s="73" t="str">
        <f aca="false">_xlfn.IFNA(INDEX(KP!$AL:$AL,MATCH(($B17&amp;"|"&amp;BN$3),KP!$D:$D,0)),"")</f>
        <v/>
      </c>
      <c r="BO17" s="73" t="str">
        <f aca="false">_xlfn.IFNA(INDEX(KP!$AL:$AL,MATCH(($B17&amp;"|"&amp;BO$3),KP!$D:$D,0)),"")</f>
        <v/>
      </c>
      <c r="BP17" s="73" t="n">
        <f aca="false">SUM(SUMIFS(HTS!$BY:$BY,HTS!$B:$B,$B17,HTS!$C:$C,{"15-19","20-24","25-29","30-34","35-39","40-44","45-49","50+"},HTS!$D:$D,"Female"))</f>
        <v>0</v>
      </c>
      <c r="BQ17" s="73" t="n">
        <f aca="false">SUM(SUMIFS(HTS!$BY:$BY,HTS!$B:$B,$B17,HTS!$C:$C,{"15-19","20-24","25-29","30-34","35-39","40-44","45-49","50+"},HTS!$D:$D,"Male"))</f>
        <v>0</v>
      </c>
      <c r="BR17" s="73" t="n">
        <f aca="false">_xlfn.IFNA(INDEX(KP!$AN:$AN,MATCH(($B17&amp;"|"&amp;BR$3),KP!$D:$D,0)),"")</f>
        <v>0</v>
      </c>
      <c r="BS17" s="73" t="n">
        <f aca="false">_xlfn.IFNA(INDEX(KP!$AN:$AN,MATCH(($B17&amp;"|"&amp;BS$3),KP!$D:$D,0)),"")</f>
        <v>0</v>
      </c>
      <c r="BT17" s="73" t="n">
        <f aca="false">_xlfn.IFNA(INDEX(KP!$AN:$AN,MATCH(($B17&amp;"|"&amp;BT$3),KP!$D:$D,0)),"")</f>
        <v>0</v>
      </c>
      <c r="BU17" s="73" t="n">
        <f aca="false">_xlfn.IFNA(INDEX(KP!$AN:$AN,MATCH(($B17&amp;"|"&amp;BU$3),KP!$D:$D,0)),"")</f>
        <v>0</v>
      </c>
      <c r="BV17" s="73" t="n">
        <f aca="false">_xlfn.IFNA(INDEX(KP!$AN:$AN,MATCH(($B17&amp;"|"&amp;BV$3),KP!$D:$D,0)),"")</f>
        <v>0</v>
      </c>
    </row>
    <row r="18" customFormat="false" ht="15" hidden="false" customHeight="false" outlineLevel="0" collapsed="false">
      <c r="A18" s="53" t="s">
        <v>144</v>
      </c>
      <c r="B18" s="53" t="s">
        <v>103</v>
      </c>
      <c r="C18" s="73" t="n">
        <f aca="false">SUM(SUMIFS(PrEP!$O:$O,PrEP!$B:$B,$B18,PrEP!$C:$C,{"15-19","20-24","25-29","30-34","35-39","40-44","45-49","50+"},PrEP!$D:$D,"Female"))</f>
        <v>0</v>
      </c>
      <c r="D18" s="73" t="n">
        <f aca="false">SUM(SUMIFS(PrEP!$O:$O,PrEP!$B:$B,$B18,PrEP!$C:$C,{"15-19","20-24","25-29"},PrEP!$D:$D,"Female"))</f>
        <v>0</v>
      </c>
      <c r="E18" s="73" t="n">
        <f aca="false">SUM(SUMIFS(PrEP!$O:$O,PrEP!$B:$B,$B18,PrEP!$C:$C,{"15-19","20-24","25-29","30-34","35-39","40-44","45-49","50+"},PrEP!$D:$D,"Male"))</f>
        <v>0</v>
      </c>
      <c r="F18" s="73" t="n">
        <f aca="false">_xlfn.IFNA(INDEX(KP!$I:$I,MATCH(($B18&amp;"|"&amp;F$3),KP!$D:$D,0)),"")</f>
        <v>0</v>
      </c>
      <c r="G18" s="73" t="n">
        <f aca="false">_xlfn.IFNA(INDEX(KP!$I:$I,MATCH(($B18&amp;"|"&amp;G$3),KP!$D:$D,0)),"")</f>
        <v>0</v>
      </c>
      <c r="H18" s="73" t="n">
        <f aca="false">_xlfn.IFNA(INDEX(KP!$I:$I,MATCH(($B18&amp;"|"&amp;H$3),KP!$D:$D,0)),"")</f>
        <v>0</v>
      </c>
      <c r="I18" s="73" t="n">
        <f aca="false">_xlfn.IFNA(INDEX(KP!$I:$I,MATCH(($B18&amp;"|"&amp;I$3),KP!$D:$D,0)),"")</f>
        <v>0</v>
      </c>
      <c r="J18" s="73" t="n">
        <f aca="false">_xlfn.IFNA(INDEX(KP!$I:$I,MATCH(($B18&amp;"|"&amp;J$3),KP!$D:$D,0)),"")</f>
        <v>0</v>
      </c>
      <c r="K18" s="73" t="n">
        <f aca="false">SUM(SUMIFS(PrEP!$L:$L,PrEP!$B:$B,$B18,PrEP!$C:$C,{"15-19","20-24","25-29","30-34","35-39","40-44","45-49","50+"},PrEP!$D:$D,"Female"))</f>
        <v>0</v>
      </c>
      <c r="L18" s="73"/>
      <c r="M18" s="73" t="n">
        <f aca="false">SUM(SUMIFS(PrEP!$L:$L,PrEP!$B:$B,$B18,PrEP!$C:$C,{"15-19","20-24","25-29","30-34","35-39","40-44","45-49","50+"},PrEP!$D:$D,"Male"))</f>
        <v>0</v>
      </c>
      <c r="N18" s="73" t="n">
        <f aca="false">_xlfn.IFNA(INDEX(KP!$K:$K,MATCH(($B18&amp;"|"&amp;N$3),KP!$D:$D,0)),"")</f>
        <v>0</v>
      </c>
      <c r="O18" s="73" t="n">
        <f aca="false">_xlfn.IFNA(INDEX(KP!$K:$K,MATCH(($B18&amp;"|"&amp;O$3),KP!$D:$D,0)),"")</f>
        <v>0</v>
      </c>
      <c r="P18" s="73" t="n">
        <f aca="false">_xlfn.IFNA(INDEX(KP!$K:$K,MATCH(($B18&amp;"|"&amp;P$3),KP!$D:$D,0)),"")</f>
        <v>0</v>
      </c>
      <c r="Q18" s="73" t="n">
        <f aca="false">_xlfn.IFNA(INDEX(KP!$K:$K,MATCH(($B18&amp;"|"&amp;Q$3),KP!$D:$D,0)),"")</f>
        <v>0</v>
      </c>
      <c r="R18" s="73" t="n">
        <f aca="false">_xlfn.IFNA(INDEX(KP!$K:$K,MATCH(($B18&amp;"|"&amp;R$3),KP!$D:$D,0)),"")</f>
        <v>0</v>
      </c>
      <c r="S18" s="73" t="n">
        <f aca="false">SUM(SUMIFS(Cascade!$AE:$AE,Cascade!$B:$B,$B18,Cascade!$C:$C,{"15-19","20-24","25-29","30-34","35-39","40-44","45-49","50+"},Cascade!$D:$D,"Female"))</f>
        <v>13</v>
      </c>
      <c r="T18" s="73" t="n">
        <f aca="false">SUM(SUMIFS(Cascade!$AE:$AE,Cascade!$B:$B,$B18,Cascade!$C:$C,{"15-19","20-24","25-29","30-34","35-39","40-44","45-49","50+"},Cascade!$D:$D,"Male"))</f>
        <v>48</v>
      </c>
      <c r="U18" s="73" t="n">
        <f aca="false">_xlfn.IFNA(INDEX(KP!$P:$P,MATCH(($B18&amp;"|"&amp;U$3),KP!$D:$D,0)),"")</f>
        <v>0</v>
      </c>
      <c r="V18" s="73" t="n">
        <f aca="false">_xlfn.IFNA(INDEX(KP!$P:$P,MATCH(($B18&amp;"|"&amp;V$3),KP!$D:$D,0)),"")</f>
        <v>0</v>
      </c>
      <c r="W18" s="73" t="n">
        <f aca="false">_xlfn.IFNA(INDEX(KP!$P:$P,MATCH(($B18&amp;"|"&amp;W$3),KP!$D:$D,0)),"")</f>
        <v>0</v>
      </c>
      <c r="X18" s="73" t="n">
        <f aca="false">_xlfn.IFNA(INDEX(KP!$P:$P,MATCH(($B18&amp;"|"&amp;X$3),KP!$D:$D,0)),"")</f>
        <v>0</v>
      </c>
      <c r="Y18" s="73" t="n">
        <f aca="false">_xlfn.IFNA(INDEX(KP!$P:$P,MATCH(($B18&amp;"|"&amp;Y$3),KP!$D:$D,0)),"")</f>
        <v>0</v>
      </c>
      <c r="Z18" s="73" t="n">
        <f aca="false">SUM(SUMIFS(Cascade!$AM:$AM,Cascade!$B:$B,$B18,Cascade!$C:$C,{"15-19","20-24","25-29","30-34","35-39","40-44","45-49","50+"},Cascade!$D:$D,"Female"))</f>
        <v>2</v>
      </c>
      <c r="AA18" s="73" t="n">
        <f aca="false">SUM(SUMIFS(Cascade!$AM:$AM,Cascade!$B:$B,$B18,Cascade!$C:$C,{"15-19","20-24","25-29","30-34","35-39","40-44","45-49","50+"},Cascade!$D:$D,"Male"))</f>
        <v>1</v>
      </c>
      <c r="AB18" s="73" t="str">
        <f aca="false">_xlfn.IFNA(INDEX(KP!$V:$V,MATCH(($B18&amp;"|"&amp;AB$3),KP!$D:$D,0)),"")</f>
        <v/>
      </c>
      <c r="AC18" s="73" t="str">
        <f aca="false">_xlfn.IFNA(INDEX(KP!$V:$V,MATCH(($B18&amp;"|"&amp;AC$3),KP!$D:$D,0)),"")</f>
        <v/>
      </c>
      <c r="AD18" s="73" t="str">
        <f aca="false">_xlfn.IFNA(INDEX(KP!$V:$V,MATCH(($B18&amp;"|"&amp;AD$3),KP!$D:$D,0)),"")</f>
        <v/>
      </c>
      <c r="AE18" s="73" t="str">
        <f aca="false">_xlfn.IFNA(INDEX(KP!$V:$V,MATCH(($B18&amp;"|"&amp;AE$3),KP!$D:$D,0)),"")</f>
        <v/>
      </c>
      <c r="AF18" s="73" t="str">
        <f aca="false">_xlfn.IFNA(INDEX(KP!$V:$V,MATCH(($B18&amp;"|"&amp;AF$3),KP!$D:$D,0)),"")</f>
        <v/>
      </c>
      <c r="AG18" s="73" t="n">
        <f aca="false">SUM(SUMIFS(Cascade!$AP:$AP,Cascade!$B:$B,$B18,Cascade!$C:$C,{"15-19","20-24","25-29","30-34","35-39","40-44","45-49","50+"},Cascade!$D:$D,"Female"))</f>
        <v>12</v>
      </c>
      <c r="AH18" s="73" t="n">
        <f aca="false">SUM(SUMIFS(Cascade!$AP:$AP,Cascade!$B:$B,$B18,Cascade!$C:$C,{"15-19","20-24","25-29","30-34","35-39","40-44","45-49","50+"},Cascade!$D:$D,"Male"))</f>
        <v>49</v>
      </c>
      <c r="AI18" s="73" t="str">
        <f aca="false">_xlfn.IFNA(INDEX(KP!$Y:$Y,MATCH(($B18&amp;"|"&amp;AI$3),KP!$D:$D,0)),"")</f>
        <v/>
      </c>
      <c r="AJ18" s="73" t="str">
        <f aca="false">_xlfn.IFNA(INDEX(KP!$Y:$Y,MATCH(($B18&amp;"|"&amp;AJ$3),KP!$D:$D,0)),"")</f>
        <v/>
      </c>
      <c r="AK18" s="73" t="str">
        <f aca="false">_xlfn.IFNA(INDEX(KP!$Y:$Y,MATCH(($B18&amp;"|"&amp;AK$3),KP!$D:$D,0)),"")</f>
        <v/>
      </c>
      <c r="AL18" s="73" t="str">
        <f aca="false">_xlfn.IFNA(INDEX(KP!$Y:$Y,MATCH(($B18&amp;"|"&amp;AL$3),KP!$D:$D,0)),"")</f>
        <v/>
      </c>
      <c r="AM18" s="73" t="str">
        <f aca="false">_xlfn.IFNA(INDEX(KP!$Y:$Y,MATCH(($B18&amp;"|"&amp;AM$3),KP!$D:$D,0)),"")</f>
        <v/>
      </c>
      <c r="AN18" s="73" t="n">
        <f aca="false">SUM(SUMIFS(Cascade!$AT:$AT,Cascade!$B:$B,$B18,Cascade!$C:$C,{"15-19","20-24","25-29","30-34","35-39","40-44","45-49","50+"},Cascade!$D:$D,"Female"))</f>
        <v>11</v>
      </c>
      <c r="AO18" s="73" t="n">
        <f aca="false">SUM(SUMIFS(Cascade!$AT:$AT,Cascade!$B:$B,$B18,Cascade!$C:$C,{"15-19","20-24","25-29","30-34","35-39","40-44","45-49","50+"},Cascade!$D:$D,"Male"))</f>
        <v>47</v>
      </c>
      <c r="AP18" s="73" t="str">
        <f aca="false">_xlfn.IFNA(INDEX(KP!$AA:$AA,MATCH(($B18&amp;"|"&amp;AP$3),KP!$D:$D,0)),"")</f>
        <v/>
      </c>
      <c r="AQ18" s="73" t="str">
        <f aca="false">_xlfn.IFNA(INDEX(KP!$AA:$AA,MATCH(($B18&amp;"|"&amp;AQ$3),KP!$D:$D,0)),"")</f>
        <v/>
      </c>
      <c r="AR18" s="73" t="str">
        <f aca="false">_xlfn.IFNA(INDEX(KP!$AA:$AA,MATCH(($B18&amp;"|"&amp;AR$3),KP!$D:$D,0)),"")</f>
        <v/>
      </c>
      <c r="AS18" s="73" t="str">
        <f aca="false">_xlfn.IFNA(INDEX(KP!$AA:$AA,MATCH(($B18&amp;"|"&amp;AS$3),KP!$D:$D,0)),"")</f>
        <v/>
      </c>
      <c r="AT18" s="73" t="str">
        <f aca="false">_xlfn.IFNA(INDEX(KP!$AA:$AA,MATCH(($B18&amp;"|"&amp;AT$3),KP!$D:$D,0)),"")</f>
        <v/>
      </c>
      <c r="AU18" s="73" t="n">
        <f aca="false">SUM(SUMIFS(HTS!$BN:$BN,HTS!$B:$B,$B18,HTS!$C:$C,{"15-19","20-24","25-29","30-34","35-39","40-44","45-49","50+"},HTS!$D:$D,"Female"))</f>
        <v>-12056</v>
      </c>
      <c r="AV18" s="73" t="n">
        <f aca="false">SUM(SUMIFS(HTS!$BN:$BN,HTS!$B:$B,$B18,HTS!$C:$C,{"15-19","20-24","25-29","30-34","35-39","40-44","45-49","50+"},HTS!$D:$D,"Male"))</f>
        <v>-30715</v>
      </c>
      <c r="AW18" s="73" t="str">
        <f aca="false">_xlfn.IFNA(INDEX(KP!$AI:$AI,MATCH(($B18&amp;"|"&amp;AW$3),KP!$D:$D,0)),"")</f>
        <v/>
      </c>
      <c r="AX18" s="73" t="str">
        <f aca="false">_xlfn.IFNA(INDEX(KP!$AI:$AI,MATCH(($B18&amp;"|"&amp;AX$3),KP!$D:$D,0)),"")</f>
        <v/>
      </c>
      <c r="AY18" s="73" t="str">
        <f aca="false">_xlfn.IFNA(INDEX(KP!$AI:$AI,MATCH(($B18&amp;"|"&amp;AY$3),KP!$D:$D,0)),"")</f>
        <v/>
      </c>
      <c r="AZ18" s="73" t="str">
        <f aca="false">_xlfn.IFNA(INDEX(KP!$AI:$AI,MATCH(($B18&amp;"|"&amp;AZ$3),KP!$D:$D,0)),"")</f>
        <v/>
      </c>
      <c r="BA18" s="73" t="str">
        <f aca="false">_xlfn.IFNA(INDEX(KP!$AI:$AI,MATCH(($B18&amp;"|"&amp;BA$3),KP!$D:$D,0)),"")</f>
        <v/>
      </c>
      <c r="BB18" s="73" t="n">
        <f aca="false">SUM(SUMIFS(HTS!$BT:$BT,HTS!$B:$B,$B18,HTS!$C:$C,{"15-19","20-24","25-29","30-34","35-39","40-44","45-49","50+"},HTS!$D:$D,"Female"))</f>
        <v>10898</v>
      </c>
      <c r="BC18" s="73" t="n">
        <f aca="false">SUM(SUMIFS(HTS!$BT:$BT,HTS!$B:$B,$B18,HTS!$C:$C,{"15-19","20-24","25-29","30-34","35-39","40-44","45-49","50+"},HTS!$D:$D,"Male"))</f>
        <v>30016</v>
      </c>
      <c r="BD18" s="73" t="str">
        <f aca="false">_xlfn.IFNA(INDEX(KP!$AJ:$AJ,MATCH(($B18&amp;"|"&amp;BD$3),KP!$D:$D,0)),"")</f>
        <v/>
      </c>
      <c r="BE18" s="73" t="str">
        <f aca="false">_xlfn.IFNA(INDEX(KP!$AJ:$AJ,MATCH(($B18&amp;"|"&amp;BE$3),KP!$D:$D,0)),"")</f>
        <v/>
      </c>
      <c r="BF18" s="73" t="str">
        <f aca="false">_xlfn.IFNA(INDEX(KP!$AJ:$AJ,MATCH(($B18&amp;"|"&amp;BF$3),KP!$D:$D,0)),"")</f>
        <v/>
      </c>
      <c r="BG18" s="73" t="str">
        <f aca="false">_xlfn.IFNA(INDEX(KP!$AJ:$AJ,MATCH(($B18&amp;"|"&amp;BG$3),KP!$D:$D,0)),"")</f>
        <v/>
      </c>
      <c r="BH18" s="73" t="str">
        <f aca="false">_xlfn.IFNA(INDEX(KP!$AJ:$AJ,MATCH(($B18&amp;"|"&amp;BH$3),KP!$D:$D,0)),"")</f>
        <v/>
      </c>
      <c r="BI18" s="73" t="n">
        <f aca="false">SUM(SUMIFS(HTS_RECENT!$AF:$AF,HTS_RECENT!$B:$B,$B18,HTS_RECENT!$C:$C,{"15-19","20-24","25-29","30-34","35-39","40-44","45-49","50+"},HTS_RECENT!$D:$D,"Female"))</f>
        <v>-12056</v>
      </c>
      <c r="BJ18" s="73" t="n">
        <f aca="false">SUM(SUMIFS(HTS_RECENT!$AF:$AF,HTS_RECENT!$B:$B,$B18,HTS_RECENT!$C:$C,{"15-19","20-24","25-29","30-34","35-39","40-44","45-49","50+"},HTS_RECENT!$D:$D,"Male"))</f>
        <v>-30715</v>
      </c>
      <c r="BK18" s="73" t="str">
        <f aca="false">_xlfn.IFNA(INDEX(KP!$AL:$AL,MATCH(($B18&amp;"|"&amp;BK$3),KP!$D:$D,0)),"")</f>
        <v/>
      </c>
      <c r="BL18" s="73" t="str">
        <f aca="false">_xlfn.IFNA(INDEX(KP!$AL:$AL,MATCH(($B18&amp;"|"&amp;BL$3),KP!$D:$D,0)),"")</f>
        <v/>
      </c>
      <c r="BM18" s="73" t="str">
        <f aca="false">_xlfn.IFNA(INDEX(KP!$AL:$AL,MATCH(($B18&amp;"|"&amp;BM$3),KP!$D:$D,0)),"")</f>
        <v/>
      </c>
      <c r="BN18" s="73" t="str">
        <f aca="false">_xlfn.IFNA(INDEX(KP!$AL:$AL,MATCH(($B18&amp;"|"&amp;BN$3),KP!$D:$D,0)),"")</f>
        <v/>
      </c>
      <c r="BO18" s="73" t="str">
        <f aca="false">_xlfn.IFNA(INDEX(KP!$AL:$AL,MATCH(($B18&amp;"|"&amp;BO$3),KP!$D:$D,0)),"")</f>
        <v/>
      </c>
      <c r="BP18" s="73" t="n">
        <f aca="false">SUM(SUMIFS(HTS!$BY:$BY,HTS!$B:$B,$B18,HTS!$C:$C,{"15-19","20-24","25-29","30-34","35-39","40-44","45-49","50+"},HTS!$D:$D,"Female"))</f>
        <v>38</v>
      </c>
      <c r="BQ18" s="73" t="n">
        <f aca="false">SUM(SUMIFS(HTS!$BY:$BY,HTS!$B:$B,$B18,HTS!$C:$C,{"15-19","20-24","25-29","30-34","35-39","40-44","45-49","50+"},HTS!$D:$D,"Male"))</f>
        <v>9</v>
      </c>
      <c r="BR18" s="73" t="n">
        <f aca="false">_xlfn.IFNA(INDEX(KP!$AN:$AN,MATCH(($B18&amp;"|"&amp;BR$3),KP!$D:$D,0)),"")</f>
        <v>0</v>
      </c>
      <c r="BS18" s="73" t="n">
        <f aca="false">_xlfn.IFNA(INDEX(KP!$AN:$AN,MATCH(($B18&amp;"|"&amp;BS$3),KP!$D:$D,0)),"")</f>
        <v>0</v>
      </c>
      <c r="BT18" s="73" t="n">
        <f aca="false">_xlfn.IFNA(INDEX(KP!$AN:$AN,MATCH(($B18&amp;"|"&amp;BT$3),KP!$D:$D,0)),"")</f>
        <v>0</v>
      </c>
      <c r="BU18" s="73" t="n">
        <f aca="false">_xlfn.IFNA(INDEX(KP!$AN:$AN,MATCH(($B18&amp;"|"&amp;BU$3),KP!$D:$D,0)),"")</f>
        <v>0</v>
      </c>
      <c r="BV18" s="73" t="n">
        <f aca="false">_xlfn.IFNA(INDEX(KP!$AN:$AN,MATCH(($B18&amp;"|"&amp;BV$3),KP!$D:$D,0)),"")</f>
        <v>0</v>
      </c>
    </row>
    <row r="19" customFormat="false" ht="15" hidden="false" customHeight="false" outlineLevel="0" collapsed="false">
      <c r="A19" s="53" t="s">
        <v>145</v>
      </c>
      <c r="B19" s="53" t="s">
        <v>107</v>
      </c>
      <c r="C19" s="73" t="n">
        <f aca="false">SUM(SUMIFS(PrEP!$O:$O,PrEP!$B:$B,$B19,PrEP!$C:$C,{"15-19","20-24","25-29","30-34","35-39","40-44","45-49","50+"},PrEP!$D:$D,"Female"))</f>
        <v>0</v>
      </c>
      <c r="D19" s="73" t="n">
        <f aca="false">SUM(SUMIFS(PrEP!$O:$O,PrEP!$B:$B,$B19,PrEP!$C:$C,{"15-19","20-24","25-29"},PrEP!$D:$D,"Female"))</f>
        <v>0</v>
      </c>
      <c r="E19" s="73" t="n">
        <f aca="false">SUM(SUMIFS(PrEP!$O:$O,PrEP!$B:$B,$B19,PrEP!$C:$C,{"15-19","20-24","25-29","30-34","35-39","40-44","45-49","50+"},PrEP!$D:$D,"Male"))</f>
        <v>0</v>
      </c>
      <c r="F19" s="73" t="n">
        <f aca="false">_xlfn.IFNA(INDEX(KP!$I:$I,MATCH(($B19&amp;"|"&amp;F$3),KP!$D:$D,0)),"")</f>
        <v>0</v>
      </c>
      <c r="G19" s="73" t="n">
        <f aca="false">_xlfn.IFNA(INDEX(KP!$I:$I,MATCH(($B19&amp;"|"&amp;G$3),KP!$D:$D,0)),"")</f>
        <v>0</v>
      </c>
      <c r="H19" s="73" t="n">
        <f aca="false">_xlfn.IFNA(INDEX(KP!$I:$I,MATCH(($B19&amp;"|"&amp;H$3),KP!$D:$D,0)),"")</f>
        <v>0</v>
      </c>
      <c r="I19" s="73" t="n">
        <f aca="false">_xlfn.IFNA(INDEX(KP!$I:$I,MATCH(($B19&amp;"|"&amp;I$3),KP!$D:$D,0)),"")</f>
        <v>0</v>
      </c>
      <c r="J19" s="73" t="n">
        <f aca="false">_xlfn.IFNA(INDEX(KP!$I:$I,MATCH(($B19&amp;"|"&amp;J$3),KP!$D:$D,0)),"")</f>
        <v>0</v>
      </c>
      <c r="K19" s="73" t="n">
        <f aca="false">SUM(SUMIFS(PrEP!$L:$L,PrEP!$B:$B,$B19,PrEP!$C:$C,{"15-19","20-24","25-29","30-34","35-39","40-44","45-49","50+"},PrEP!$D:$D,"Female"))</f>
        <v>0</v>
      </c>
      <c r="L19" s="73"/>
      <c r="M19" s="73" t="n">
        <f aca="false">SUM(SUMIFS(PrEP!$L:$L,PrEP!$B:$B,$B19,PrEP!$C:$C,{"15-19","20-24","25-29","30-34","35-39","40-44","45-49","50+"},PrEP!$D:$D,"Male"))</f>
        <v>0</v>
      </c>
      <c r="N19" s="73" t="n">
        <f aca="false">_xlfn.IFNA(INDEX(KP!$K:$K,MATCH(($B19&amp;"|"&amp;N$3),KP!$D:$D,0)),"")</f>
        <v>0</v>
      </c>
      <c r="O19" s="73" t="n">
        <f aca="false">_xlfn.IFNA(INDEX(KP!$K:$K,MATCH(($B19&amp;"|"&amp;O$3),KP!$D:$D,0)),"")</f>
        <v>0</v>
      </c>
      <c r="P19" s="73" t="n">
        <f aca="false">_xlfn.IFNA(INDEX(KP!$K:$K,MATCH(($B19&amp;"|"&amp;P$3),KP!$D:$D,0)),"")</f>
        <v>0</v>
      </c>
      <c r="Q19" s="73" t="n">
        <f aca="false">_xlfn.IFNA(INDEX(KP!$K:$K,MATCH(($B19&amp;"|"&amp;Q$3),KP!$D:$D,0)),"")</f>
        <v>0</v>
      </c>
      <c r="R19" s="73" t="n">
        <f aca="false">_xlfn.IFNA(INDEX(KP!$K:$K,MATCH(($B19&amp;"|"&amp;R$3),KP!$D:$D,0)),"")</f>
        <v>0</v>
      </c>
      <c r="S19" s="73" t="n">
        <f aca="false">SUM(SUMIFS(Cascade!$AE:$AE,Cascade!$B:$B,$B19,Cascade!$C:$C,{"15-19","20-24","25-29","30-34","35-39","40-44","45-49","50+"},Cascade!$D:$D,"Female"))</f>
        <v>56</v>
      </c>
      <c r="T19" s="73" t="n">
        <f aca="false">SUM(SUMIFS(Cascade!$AE:$AE,Cascade!$B:$B,$B19,Cascade!$C:$C,{"15-19","20-24","25-29","30-34","35-39","40-44","45-49","50+"},Cascade!$D:$D,"Male"))</f>
        <v>9</v>
      </c>
      <c r="U19" s="73" t="n">
        <f aca="false">_xlfn.IFNA(INDEX(KP!$P:$P,MATCH(($B19&amp;"|"&amp;U$3),KP!$D:$D,0)),"")</f>
        <v>0</v>
      </c>
      <c r="V19" s="73" t="n">
        <f aca="false">_xlfn.IFNA(INDEX(KP!$P:$P,MATCH(($B19&amp;"|"&amp;V$3),KP!$D:$D,0)),"")</f>
        <v>0</v>
      </c>
      <c r="W19" s="73" t="n">
        <f aca="false">_xlfn.IFNA(INDEX(KP!$P:$P,MATCH(($B19&amp;"|"&amp;W$3),KP!$D:$D,0)),"")</f>
        <v>0</v>
      </c>
      <c r="X19" s="73" t="n">
        <f aca="false">_xlfn.IFNA(INDEX(KP!$P:$P,MATCH(($B19&amp;"|"&amp;X$3),KP!$D:$D,0)),"")</f>
        <v>0</v>
      </c>
      <c r="Y19" s="73" t="n">
        <f aca="false">_xlfn.IFNA(INDEX(KP!$P:$P,MATCH(($B19&amp;"|"&amp;Y$3),KP!$D:$D,0)),"")</f>
        <v>0</v>
      </c>
      <c r="Z19" s="73" t="n">
        <f aca="false">SUM(SUMIFS(Cascade!$AM:$AM,Cascade!$B:$B,$B19,Cascade!$C:$C,{"15-19","20-24","25-29","30-34","35-39","40-44","45-49","50+"},Cascade!$D:$D,"Female"))</f>
        <v>11</v>
      </c>
      <c r="AA19" s="73" t="n">
        <f aca="false">SUM(SUMIFS(Cascade!$AM:$AM,Cascade!$B:$B,$B19,Cascade!$C:$C,{"15-19","20-24","25-29","30-34","35-39","40-44","45-49","50+"},Cascade!$D:$D,"Male"))</f>
        <v>0</v>
      </c>
      <c r="AB19" s="73" t="str">
        <f aca="false">_xlfn.IFNA(INDEX(KP!$V:$V,MATCH(($B19&amp;"|"&amp;AB$3),KP!$D:$D,0)),"")</f>
        <v/>
      </c>
      <c r="AC19" s="73" t="str">
        <f aca="false">_xlfn.IFNA(INDEX(KP!$V:$V,MATCH(($B19&amp;"|"&amp;AC$3),KP!$D:$D,0)),"")</f>
        <v/>
      </c>
      <c r="AD19" s="73" t="str">
        <f aca="false">_xlfn.IFNA(INDEX(KP!$V:$V,MATCH(($B19&amp;"|"&amp;AD$3),KP!$D:$D,0)),"")</f>
        <v/>
      </c>
      <c r="AE19" s="73" t="str">
        <f aca="false">_xlfn.IFNA(INDEX(KP!$V:$V,MATCH(($B19&amp;"|"&amp;AE$3),KP!$D:$D,0)),"")</f>
        <v/>
      </c>
      <c r="AF19" s="73" t="str">
        <f aca="false">_xlfn.IFNA(INDEX(KP!$V:$V,MATCH(($B19&amp;"|"&amp;AF$3),KP!$D:$D,0)),"")</f>
        <v/>
      </c>
      <c r="AG19" s="73" t="n">
        <f aca="false">SUM(SUMIFS(Cascade!$AP:$AP,Cascade!$B:$B,$B19,Cascade!$C:$C,{"15-19","20-24","25-29","30-34","35-39","40-44","45-49","50+"},Cascade!$D:$D,"Female"))</f>
        <v>54</v>
      </c>
      <c r="AH19" s="73" t="n">
        <f aca="false">SUM(SUMIFS(Cascade!$AP:$AP,Cascade!$B:$B,$B19,Cascade!$C:$C,{"15-19","20-24","25-29","30-34","35-39","40-44","45-49","50+"},Cascade!$D:$D,"Male"))</f>
        <v>9</v>
      </c>
      <c r="AI19" s="73" t="str">
        <f aca="false">_xlfn.IFNA(INDEX(KP!$Y:$Y,MATCH(($B19&amp;"|"&amp;AI$3),KP!$D:$D,0)),"")</f>
        <v/>
      </c>
      <c r="AJ19" s="73" t="str">
        <f aca="false">_xlfn.IFNA(INDEX(KP!$Y:$Y,MATCH(($B19&amp;"|"&amp;AJ$3),KP!$D:$D,0)),"")</f>
        <v/>
      </c>
      <c r="AK19" s="73" t="str">
        <f aca="false">_xlfn.IFNA(INDEX(KP!$Y:$Y,MATCH(($B19&amp;"|"&amp;AK$3),KP!$D:$D,0)),"")</f>
        <v/>
      </c>
      <c r="AL19" s="73" t="str">
        <f aca="false">_xlfn.IFNA(INDEX(KP!$Y:$Y,MATCH(($B19&amp;"|"&amp;AL$3),KP!$D:$D,0)),"")</f>
        <v/>
      </c>
      <c r="AM19" s="73" t="str">
        <f aca="false">_xlfn.IFNA(INDEX(KP!$Y:$Y,MATCH(($B19&amp;"|"&amp;AM$3),KP!$D:$D,0)),"")</f>
        <v/>
      </c>
      <c r="AN19" s="73" t="n">
        <f aca="false">SUM(SUMIFS(Cascade!$AT:$AT,Cascade!$B:$B,$B19,Cascade!$C:$C,{"15-19","20-24","25-29","30-34","35-39","40-44","45-49","50+"},Cascade!$D:$D,"Female"))</f>
        <v>51</v>
      </c>
      <c r="AO19" s="73" t="n">
        <f aca="false">SUM(SUMIFS(Cascade!$AT:$AT,Cascade!$B:$B,$B19,Cascade!$C:$C,{"15-19","20-24","25-29","30-34","35-39","40-44","45-49","50+"},Cascade!$D:$D,"Male"))</f>
        <v>9</v>
      </c>
      <c r="AP19" s="73" t="str">
        <f aca="false">_xlfn.IFNA(INDEX(KP!$AA:$AA,MATCH(($B19&amp;"|"&amp;AP$3),KP!$D:$D,0)),"")</f>
        <v/>
      </c>
      <c r="AQ19" s="73" t="str">
        <f aca="false">_xlfn.IFNA(INDEX(KP!$AA:$AA,MATCH(($B19&amp;"|"&amp;AQ$3),KP!$D:$D,0)),"")</f>
        <v/>
      </c>
      <c r="AR19" s="73" t="str">
        <f aca="false">_xlfn.IFNA(INDEX(KP!$AA:$AA,MATCH(($B19&amp;"|"&amp;AR$3),KP!$D:$D,0)),"")</f>
        <v/>
      </c>
      <c r="AS19" s="73" t="str">
        <f aca="false">_xlfn.IFNA(INDEX(KP!$AA:$AA,MATCH(($B19&amp;"|"&amp;AS$3),KP!$D:$D,0)),"")</f>
        <v/>
      </c>
      <c r="AT19" s="73" t="str">
        <f aca="false">_xlfn.IFNA(INDEX(KP!$AA:$AA,MATCH(($B19&amp;"|"&amp;AT$3),KP!$D:$D,0)),"")</f>
        <v/>
      </c>
      <c r="AU19" s="73" t="n">
        <f aca="false">SUM(SUMIFS(HTS!$BN:$BN,HTS!$B:$B,$B19,HTS!$C:$C,{"15-19","20-24","25-29","30-34","35-39","40-44","45-49","50+"},HTS!$D:$D,"Female"))</f>
        <v>-746</v>
      </c>
      <c r="AV19" s="73" t="n">
        <f aca="false">SUM(SUMIFS(HTS!$BN:$BN,HTS!$B:$B,$B19,HTS!$C:$C,{"15-19","20-24","25-29","30-34","35-39","40-44","45-49","50+"},HTS!$D:$D,"Male"))</f>
        <v>0</v>
      </c>
      <c r="AW19" s="73" t="str">
        <f aca="false">_xlfn.IFNA(INDEX(KP!$AI:$AI,MATCH(($B19&amp;"|"&amp;AW$3),KP!$D:$D,0)),"")</f>
        <v/>
      </c>
      <c r="AX19" s="73" t="str">
        <f aca="false">_xlfn.IFNA(INDEX(KP!$AI:$AI,MATCH(($B19&amp;"|"&amp;AX$3),KP!$D:$D,0)),"")</f>
        <v/>
      </c>
      <c r="AY19" s="73" t="str">
        <f aca="false">_xlfn.IFNA(INDEX(KP!$AI:$AI,MATCH(($B19&amp;"|"&amp;AY$3),KP!$D:$D,0)),"")</f>
        <v/>
      </c>
      <c r="AZ19" s="73" t="str">
        <f aca="false">_xlfn.IFNA(INDEX(KP!$AI:$AI,MATCH(($B19&amp;"|"&amp;AZ$3),KP!$D:$D,0)),"")</f>
        <v/>
      </c>
      <c r="BA19" s="73" t="str">
        <f aca="false">_xlfn.IFNA(INDEX(KP!$AI:$AI,MATCH(($B19&amp;"|"&amp;BA$3),KP!$D:$D,0)),"")</f>
        <v/>
      </c>
      <c r="BB19" s="73" t="n">
        <f aca="false">SUM(SUMIFS(HTS!$BT:$BT,HTS!$B:$B,$B19,HTS!$C:$C,{"15-19","20-24","25-29","30-34","35-39","40-44","45-49","50+"},HTS!$D:$D,"Female"))</f>
        <v>1136</v>
      </c>
      <c r="BC19" s="73" t="n">
        <f aca="false">SUM(SUMIFS(HTS!$BT:$BT,HTS!$B:$B,$B19,HTS!$C:$C,{"15-19","20-24","25-29","30-34","35-39","40-44","45-49","50+"},HTS!$D:$D,"Male"))</f>
        <v>-352</v>
      </c>
      <c r="BD19" s="73" t="str">
        <f aca="false">_xlfn.IFNA(INDEX(KP!$AJ:$AJ,MATCH(($B19&amp;"|"&amp;BD$3),KP!$D:$D,0)),"")</f>
        <v/>
      </c>
      <c r="BE19" s="73" t="str">
        <f aca="false">_xlfn.IFNA(INDEX(KP!$AJ:$AJ,MATCH(($B19&amp;"|"&amp;BE$3),KP!$D:$D,0)),"")</f>
        <v/>
      </c>
      <c r="BF19" s="73" t="str">
        <f aca="false">_xlfn.IFNA(INDEX(KP!$AJ:$AJ,MATCH(($B19&amp;"|"&amp;BF$3),KP!$D:$D,0)),"")</f>
        <v/>
      </c>
      <c r="BG19" s="73" t="str">
        <f aca="false">_xlfn.IFNA(INDEX(KP!$AJ:$AJ,MATCH(($B19&amp;"|"&amp;BG$3),KP!$D:$D,0)),"")</f>
        <v/>
      </c>
      <c r="BH19" s="73" t="str">
        <f aca="false">_xlfn.IFNA(INDEX(KP!$AJ:$AJ,MATCH(($B19&amp;"|"&amp;BH$3),KP!$D:$D,0)),"")</f>
        <v/>
      </c>
      <c r="BI19" s="73" t="n">
        <f aca="false">SUM(SUMIFS(HTS_RECENT!$AF:$AF,HTS_RECENT!$B:$B,$B19,HTS_RECENT!$C:$C,{"15-19","20-24","25-29","30-34","35-39","40-44","45-49","50+"},HTS_RECENT!$D:$D,"Female"))</f>
        <v>-746</v>
      </c>
      <c r="BJ19" s="73" t="n">
        <f aca="false">SUM(SUMIFS(HTS_RECENT!$AF:$AF,HTS_RECENT!$B:$B,$B19,HTS_RECENT!$C:$C,{"15-19","20-24","25-29","30-34","35-39","40-44","45-49","50+"},HTS_RECENT!$D:$D,"Male"))</f>
        <v>0</v>
      </c>
      <c r="BK19" s="73" t="str">
        <f aca="false">_xlfn.IFNA(INDEX(KP!$AL:$AL,MATCH(($B19&amp;"|"&amp;BK$3),KP!$D:$D,0)),"")</f>
        <v/>
      </c>
      <c r="BL19" s="73" t="str">
        <f aca="false">_xlfn.IFNA(INDEX(KP!$AL:$AL,MATCH(($B19&amp;"|"&amp;BL$3),KP!$D:$D,0)),"")</f>
        <v/>
      </c>
      <c r="BM19" s="73" t="str">
        <f aca="false">_xlfn.IFNA(INDEX(KP!$AL:$AL,MATCH(($B19&amp;"|"&amp;BM$3),KP!$D:$D,0)),"")</f>
        <v/>
      </c>
      <c r="BN19" s="73" t="str">
        <f aca="false">_xlfn.IFNA(INDEX(KP!$AL:$AL,MATCH(($B19&amp;"|"&amp;BN$3),KP!$D:$D,0)),"")</f>
        <v/>
      </c>
      <c r="BO19" s="73" t="str">
        <f aca="false">_xlfn.IFNA(INDEX(KP!$AL:$AL,MATCH(($B19&amp;"|"&amp;BO$3),KP!$D:$D,0)),"")</f>
        <v/>
      </c>
      <c r="BP19" s="73" t="n">
        <f aca="false">SUM(SUMIFS(HTS!$BY:$BY,HTS!$B:$B,$B19,HTS!$C:$C,{"15-19","20-24","25-29","30-34","35-39","40-44","45-49","50+"},HTS!$D:$D,"Female"))</f>
        <v>49</v>
      </c>
      <c r="BQ19" s="73" t="n">
        <f aca="false">SUM(SUMIFS(HTS!$BY:$BY,HTS!$B:$B,$B19,HTS!$C:$C,{"15-19","20-24","25-29","30-34","35-39","40-44","45-49","50+"},HTS!$D:$D,"Male"))</f>
        <v>38</v>
      </c>
      <c r="BR19" s="73" t="n">
        <f aca="false">_xlfn.IFNA(INDEX(KP!$AN:$AN,MATCH(($B19&amp;"|"&amp;BR$3),KP!$D:$D,0)),"")</f>
        <v>0</v>
      </c>
      <c r="BS19" s="73" t="n">
        <f aca="false">_xlfn.IFNA(INDEX(KP!$AN:$AN,MATCH(($B19&amp;"|"&amp;BS$3),KP!$D:$D,0)),"")</f>
        <v>0</v>
      </c>
      <c r="BT19" s="73" t="n">
        <f aca="false">_xlfn.IFNA(INDEX(KP!$AN:$AN,MATCH(($B19&amp;"|"&amp;BT$3),KP!$D:$D,0)),"")</f>
        <v>0</v>
      </c>
      <c r="BU19" s="73" t="n">
        <f aca="false">_xlfn.IFNA(INDEX(KP!$AN:$AN,MATCH(($B19&amp;"|"&amp;BU$3),KP!$D:$D,0)),"")</f>
        <v>0</v>
      </c>
      <c r="BV19" s="73" t="n">
        <f aca="false">_xlfn.IFNA(INDEX(KP!$AN:$AN,MATCH(($B19&amp;"|"&amp;BV$3),KP!$D:$D,0)),"")</f>
        <v>0</v>
      </c>
    </row>
    <row r="20" customFormat="false" ht="15" hidden="false" customHeight="false" outlineLevel="0" collapsed="false">
      <c r="A20" s="53" t="s">
        <v>146</v>
      </c>
      <c r="B20" s="53" t="s">
        <v>45</v>
      </c>
      <c r="C20" s="73" t="n">
        <f aca="false">SUM(SUMIFS(PrEP!$O:$O,PrEP!$B:$B,$B20,PrEP!$C:$C,{"15-19","20-24","25-29","30-34","35-39","40-44","45-49","50+"},PrEP!$D:$D,"Female"))</f>
        <v>0</v>
      </c>
      <c r="D20" s="73" t="n">
        <f aca="false">SUM(SUMIFS(PrEP!$O:$O,PrEP!$B:$B,$B20,PrEP!$C:$C,{"15-19","20-24","25-29"},PrEP!$D:$D,"Female"))</f>
        <v>0</v>
      </c>
      <c r="E20" s="73" t="n">
        <f aca="false">SUM(SUMIFS(PrEP!$O:$O,PrEP!$B:$B,$B20,PrEP!$C:$C,{"15-19","20-24","25-29","30-34","35-39","40-44","45-49","50+"},PrEP!$D:$D,"Male"))</f>
        <v>0</v>
      </c>
      <c r="F20" s="73" t="n">
        <f aca="false">_xlfn.IFNA(INDEX(KP!$I:$I,MATCH(($B20&amp;"|"&amp;F$3),KP!$D:$D,0)),"")</f>
        <v>0</v>
      </c>
      <c r="G20" s="73" t="n">
        <f aca="false">_xlfn.IFNA(INDEX(KP!$I:$I,MATCH(($B20&amp;"|"&amp;G$3),KP!$D:$D,0)),"")</f>
        <v>0</v>
      </c>
      <c r="H20" s="73" t="n">
        <f aca="false">_xlfn.IFNA(INDEX(KP!$I:$I,MATCH(($B20&amp;"|"&amp;H$3),KP!$D:$D,0)),"")</f>
        <v>0</v>
      </c>
      <c r="I20" s="73" t="n">
        <f aca="false">_xlfn.IFNA(INDEX(KP!$I:$I,MATCH(($B20&amp;"|"&amp;I$3),KP!$D:$D,0)),"")</f>
        <v>0</v>
      </c>
      <c r="J20" s="73" t="n">
        <f aca="false">_xlfn.IFNA(INDEX(KP!$I:$I,MATCH(($B20&amp;"|"&amp;J$3),KP!$D:$D,0)),"")</f>
        <v>0</v>
      </c>
      <c r="K20" s="73" t="n">
        <f aca="false">SUM(SUMIFS(PrEP!$L:$L,PrEP!$B:$B,$B20,PrEP!$C:$C,{"15-19","20-24","25-29","30-34","35-39","40-44","45-49","50+"},PrEP!$D:$D,"Female"))</f>
        <v>0</v>
      </c>
      <c r="L20" s="73"/>
      <c r="M20" s="73" t="n">
        <f aca="false">SUM(SUMIFS(PrEP!$L:$L,PrEP!$B:$B,$B20,PrEP!$C:$C,{"15-19","20-24","25-29","30-34","35-39","40-44","45-49","50+"},PrEP!$D:$D,"Male"))</f>
        <v>0</v>
      </c>
      <c r="N20" s="73" t="n">
        <f aca="false">_xlfn.IFNA(INDEX(KP!$K:$K,MATCH(($B20&amp;"|"&amp;N$3),KP!$D:$D,0)),"")</f>
        <v>0</v>
      </c>
      <c r="O20" s="73" t="n">
        <f aca="false">_xlfn.IFNA(INDEX(KP!$K:$K,MATCH(($B20&amp;"|"&amp;O$3),KP!$D:$D,0)),"")</f>
        <v>0</v>
      </c>
      <c r="P20" s="73" t="n">
        <f aca="false">_xlfn.IFNA(INDEX(KP!$K:$K,MATCH(($B20&amp;"|"&amp;P$3),KP!$D:$D,0)),"")</f>
        <v>0</v>
      </c>
      <c r="Q20" s="73" t="n">
        <f aca="false">_xlfn.IFNA(INDEX(KP!$K:$K,MATCH(($B20&amp;"|"&amp;Q$3),KP!$D:$D,0)),"")</f>
        <v>0</v>
      </c>
      <c r="R20" s="73" t="n">
        <f aca="false">_xlfn.IFNA(INDEX(KP!$K:$K,MATCH(($B20&amp;"|"&amp;R$3),KP!$D:$D,0)),"")</f>
        <v>0</v>
      </c>
      <c r="S20" s="73" t="n">
        <f aca="false">SUM(SUMIFS(Cascade!$AE:$AE,Cascade!$B:$B,$B20,Cascade!$C:$C,{"15-19","20-24","25-29","30-34","35-39","40-44","45-49","50+"},Cascade!$D:$D,"Female"))</f>
        <v>49</v>
      </c>
      <c r="T20" s="73" t="n">
        <f aca="false">SUM(SUMIFS(Cascade!$AE:$AE,Cascade!$B:$B,$B20,Cascade!$C:$C,{"15-19","20-24","25-29","30-34","35-39","40-44","45-49","50+"},Cascade!$D:$D,"Male"))</f>
        <v>9</v>
      </c>
      <c r="U20" s="73" t="n">
        <f aca="false">_xlfn.IFNA(INDEX(KP!$P:$P,MATCH(($B20&amp;"|"&amp;U$3),KP!$D:$D,0)),"")</f>
        <v>0</v>
      </c>
      <c r="V20" s="73" t="n">
        <f aca="false">_xlfn.IFNA(INDEX(KP!$P:$P,MATCH(($B20&amp;"|"&amp;V$3),KP!$D:$D,0)),"")</f>
        <v>0</v>
      </c>
      <c r="W20" s="73" t="n">
        <f aca="false">_xlfn.IFNA(INDEX(KP!$P:$P,MATCH(($B20&amp;"|"&amp;W$3),KP!$D:$D,0)),"")</f>
        <v>0</v>
      </c>
      <c r="X20" s="73" t="n">
        <f aca="false">_xlfn.IFNA(INDEX(KP!$P:$P,MATCH(($B20&amp;"|"&amp;X$3),KP!$D:$D,0)),"")</f>
        <v>0</v>
      </c>
      <c r="Y20" s="73" t="n">
        <f aca="false">_xlfn.IFNA(INDEX(KP!$P:$P,MATCH(($B20&amp;"|"&amp;Y$3),KP!$D:$D,0)),"")</f>
        <v>0</v>
      </c>
      <c r="Z20" s="73" t="n">
        <f aca="false">SUM(SUMIFS(Cascade!$AM:$AM,Cascade!$B:$B,$B20,Cascade!$C:$C,{"15-19","20-24","25-29","30-34","35-39","40-44","45-49","50+"},Cascade!$D:$D,"Female"))</f>
        <v>13</v>
      </c>
      <c r="AA20" s="73" t="n">
        <f aca="false">SUM(SUMIFS(Cascade!$AM:$AM,Cascade!$B:$B,$B20,Cascade!$C:$C,{"15-19","20-24","25-29","30-34","35-39","40-44","45-49","50+"},Cascade!$D:$D,"Male"))</f>
        <v>1</v>
      </c>
      <c r="AB20" s="73" t="str">
        <f aca="false">_xlfn.IFNA(INDEX(KP!$V:$V,MATCH(($B20&amp;"|"&amp;AB$3),KP!$D:$D,0)),"")</f>
        <v/>
      </c>
      <c r="AC20" s="73" t="str">
        <f aca="false">_xlfn.IFNA(INDEX(KP!$V:$V,MATCH(($B20&amp;"|"&amp;AC$3),KP!$D:$D,0)),"")</f>
        <v/>
      </c>
      <c r="AD20" s="73" t="str">
        <f aca="false">_xlfn.IFNA(INDEX(KP!$V:$V,MATCH(($B20&amp;"|"&amp;AD$3),KP!$D:$D,0)),"")</f>
        <v/>
      </c>
      <c r="AE20" s="73" t="str">
        <f aca="false">_xlfn.IFNA(INDEX(KP!$V:$V,MATCH(($B20&amp;"|"&amp;AE$3),KP!$D:$D,0)),"")</f>
        <v/>
      </c>
      <c r="AF20" s="73" t="str">
        <f aca="false">_xlfn.IFNA(INDEX(KP!$V:$V,MATCH(($B20&amp;"|"&amp;AF$3),KP!$D:$D,0)),"")</f>
        <v/>
      </c>
      <c r="AG20" s="73" t="n">
        <f aca="false">SUM(SUMIFS(Cascade!$AP:$AP,Cascade!$B:$B,$B20,Cascade!$C:$C,{"15-19","20-24","25-29","30-34","35-39","40-44","45-49","50+"},Cascade!$D:$D,"Female"))</f>
        <v>46</v>
      </c>
      <c r="AH20" s="73" t="n">
        <f aca="false">SUM(SUMIFS(Cascade!$AP:$AP,Cascade!$B:$B,$B20,Cascade!$C:$C,{"15-19","20-24","25-29","30-34","35-39","40-44","45-49","50+"},Cascade!$D:$D,"Male"))</f>
        <v>9</v>
      </c>
      <c r="AI20" s="73" t="str">
        <f aca="false">_xlfn.IFNA(INDEX(KP!$Y:$Y,MATCH(($B20&amp;"|"&amp;AI$3),KP!$D:$D,0)),"")</f>
        <v/>
      </c>
      <c r="AJ20" s="73" t="str">
        <f aca="false">_xlfn.IFNA(INDEX(KP!$Y:$Y,MATCH(($B20&amp;"|"&amp;AJ$3),KP!$D:$D,0)),"")</f>
        <v/>
      </c>
      <c r="AK20" s="73" t="str">
        <f aca="false">_xlfn.IFNA(INDEX(KP!$Y:$Y,MATCH(($B20&amp;"|"&amp;AK$3),KP!$D:$D,0)),"")</f>
        <v/>
      </c>
      <c r="AL20" s="73" t="str">
        <f aca="false">_xlfn.IFNA(INDEX(KP!$Y:$Y,MATCH(($B20&amp;"|"&amp;AL$3),KP!$D:$D,0)),"")</f>
        <v/>
      </c>
      <c r="AM20" s="73" t="str">
        <f aca="false">_xlfn.IFNA(INDEX(KP!$Y:$Y,MATCH(($B20&amp;"|"&amp;AM$3),KP!$D:$D,0)),"")</f>
        <v/>
      </c>
      <c r="AN20" s="73" t="n">
        <f aca="false">SUM(SUMIFS(Cascade!$AT:$AT,Cascade!$B:$B,$B20,Cascade!$C:$C,{"15-19","20-24","25-29","30-34","35-39","40-44","45-49","50+"},Cascade!$D:$D,"Female"))</f>
        <v>44</v>
      </c>
      <c r="AO20" s="73" t="n">
        <f aca="false">SUM(SUMIFS(Cascade!$AT:$AT,Cascade!$B:$B,$B20,Cascade!$C:$C,{"15-19","20-24","25-29","30-34","35-39","40-44","45-49","50+"},Cascade!$D:$D,"Male"))</f>
        <v>9</v>
      </c>
      <c r="AP20" s="73" t="str">
        <f aca="false">_xlfn.IFNA(INDEX(KP!$AA:$AA,MATCH(($B20&amp;"|"&amp;AP$3),KP!$D:$D,0)),"")</f>
        <v/>
      </c>
      <c r="AQ20" s="73" t="str">
        <f aca="false">_xlfn.IFNA(INDEX(KP!$AA:$AA,MATCH(($B20&amp;"|"&amp;AQ$3),KP!$D:$D,0)),"")</f>
        <v/>
      </c>
      <c r="AR20" s="73" t="str">
        <f aca="false">_xlfn.IFNA(INDEX(KP!$AA:$AA,MATCH(($B20&amp;"|"&amp;AR$3),KP!$D:$D,0)),"")</f>
        <v/>
      </c>
      <c r="AS20" s="73" t="str">
        <f aca="false">_xlfn.IFNA(INDEX(KP!$AA:$AA,MATCH(($B20&amp;"|"&amp;AS$3),KP!$D:$D,0)),"")</f>
        <v/>
      </c>
      <c r="AT20" s="73" t="str">
        <f aca="false">_xlfn.IFNA(INDEX(KP!$AA:$AA,MATCH(($B20&amp;"|"&amp;AT$3),KP!$D:$D,0)),"")</f>
        <v/>
      </c>
      <c r="AU20" s="73" t="n">
        <f aca="false">SUM(SUMIFS(HTS!$BN:$BN,HTS!$B:$B,$B20,HTS!$C:$C,{"15-19","20-24","25-29","30-34","35-39","40-44","45-49","50+"},HTS!$D:$D,"Female"))</f>
        <v>-2839</v>
      </c>
      <c r="AV20" s="73" t="n">
        <f aca="false">SUM(SUMIFS(HTS!$BN:$BN,HTS!$B:$B,$B20,HTS!$C:$C,{"15-19","20-24","25-29","30-34","35-39","40-44","45-49","50+"},HTS!$D:$D,"Male"))</f>
        <v>108</v>
      </c>
      <c r="AW20" s="73" t="str">
        <f aca="false">_xlfn.IFNA(INDEX(KP!$AI:$AI,MATCH(($B20&amp;"|"&amp;AW$3),KP!$D:$D,0)),"")</f>
        <v/>
      </c>
      <c r="AX20" s="73" t="str">
        <f aca="false">_xlfn.IFNA(INDEX(KP!$AI:$AI,MATCH(($B20&amp;"|"&amp;AX$3),KP!$D:$D,0)),"")</f>
        <v/>
      </c>
      <c r="AY20" s="73" t="str">
        <f aca="false">_xlfn.IFNA(INDEX(KP!$AI:$AI,MATCH(($B20&amp;"|"&amp;AY$3),KP!$D:$D,0)),"")</f>
        <v/>
      </c>
      <c r="AZ20" s="73" t="str">
        <f aca="false">_xlfn.IFNA(INDEX(KP!$AI:$AI,MATCH(($B20&amp;"|"&amp;AZ$3),KP!$D:$D,0)),"")</f>
        <v/>
      </c>
      <c r="BA20" s="73" t="str">
        <f aca="false">_xlfn.IFNA(INDEX(KP!$AI:$AI,MATCH(($B20&amp;"|"&amp;BA$3),KP!$D:$D,0)),"")</f>
        <v/>
      </c>
      <c r="BB20" s="73" t="n">
        <f aca="false">SUM(SUMIFS(HTS!$BT:$BT,HTS!$B:$B,$B20,HTS!$C:$C,{"15-19","20-24","25-29","30-34","35-39","40-44","45-49","50+"},HTS!$D:$D,"Female"))</f>
        <v>3845</v>
      </c>
      <c r="BC20" s="73" t="n">
        <f aca="false">SUM(SUMIFS(HTS!$BT:$BT,HTS!$B:$B,$B20,HTS!$C:$C,{"15-19","20-24","25-29","30-34","35-39","40-44","45-49","50+"},HTS!$D:$D,"Male"))</f>
        <v>-2026</v>
      </c>
      <c r="BD20" s="73" t="str">
        <f aca="false">_xlfn.IFNA(INDEX(KP!$AJ:$AJ,MATCH(($B20&amp;"|"&amp;BD$3),KP!$D:$D,0)),"")</f>
        <v/>
      </c>
      <c r="BE20" s="73" t="str">
        <f aca="false">_xlfn.IFNA(INDEX(KP!$AJ:$AJ,MATCH(($B20&amp;"|"&amp;BE$3),KP!$D:$D,0)),"")</f>
        <v/>
      </c>
      <c r="BF20" s="73" t="str">
        <f aca="false">_xlfn.IFNA(INDEX(KP!$AJ:$AJ,MATCH(($B20&amp;"|"&amp;BF$3),KP!$D:$D,0)),"")</f>
        <v/>
      </c>
      <c r="BG20" s="73" t="str">
        <f aca="false">_xlfn.IFNA(INDEX(KP!$AJ:$AJ,MATCH(($B20&amp;"|"&amp;BG$3),KP!$D:$D,0)),"")</f>
        <v/>
      </c>
      <c r="BH20" s="73" t="str">
        <f aca="false">_xlfn.IFNA(INDEX(KP!$AJ:$AJ,MATCH(($B20&amp;"|"&amp;BH$3),KP!$D:$D,0)),"")</f>
        <v/>
      </c>
      <c r="BI20" s="73" t="n">
        <f aca="false">SUM(SUMIFS(HTS_RECENT!$AF:$AF,HTS_RECENT!$B:$B,$B20,HTS_RECENT!$C:$C,{"15-19","20-24","25-29","30-34","35-39","40-44","45-49","50+"},HTS_RECENT!$D:$D,"Female"))</f>
        <v>-2839</v>
      </c>
      <c r="BJ20" s="73" t="n">
        <f aca="false">SUM(SUMIFS(HTS_RECENT!$AF:$AF,HTS_RECENT!$B:$B,$B20,HTS_RECENT!$C:$C,{"15-19","20-24","25-29","30-34","35-39","40-44","45-49","50+"},HTS_RECENT!$D:$D,"Male"))</f>
        <v>108</v>
      </c>
      <c r="BK20" s="73" t="str">
        <f aca="false">_xlfn.IFNA(INDEX(KP!$AL:$AL,MATCH(($B20&amp;"|"&amp;BK$3),KP!$D:$D,0)),"")</f>
        <v/>
      </c>
      <c r="BL20" s="73" t="str">
        <f aca="false">_xlfn.IFNA(INDEX(KP!$AL:$AL,MATCH(($B20&amp;"|"&amp;BL$3),KP!$D:$D,0)),"")</f>
        <v/>
      </c>
      <c r="BM20" s="73" t="str">
        <f aca="false">_xlfn.IFNA(INDEX(KP!$AL:$AL,MATCH(($B20&amp;"|"&amp;BM$3),KP!$D:$D,0)),"")</f>
        <v/>
      </c>
      <c r="BN20" s="73" t="str">
        <f aca="false">_xlfn.IFNA(INDEX(KP!$AL:$AL,MATCH(($B20&amp;"|"&amp;BN$3),KP!$D:$D,0)),"")</f>
        <v/>
      </c>
      <c r="BO20" s="73" t="str">
        <f aca="false">_xlfn.IFNA(INDEX(KP!$AL:$AL,MATCH(($B20&amp;"|"&amp;BO$3),KP!$D:$D,0)),"")</f>
        <v/>
      </c>
      <c r="BP20" s="73" t="n">
        <f aca="false">SUM(SUMIFS(HTS!$BY:$BY,HTS!$B:$B,$B20,HTS!$C:$C,{"15-19","20-24","25-29","30-34","35-39","40-44","45-49","50+"},HTS!$D:$D,"Female"))</f>
        <v>32</v>
      </c>
      <c r="BQ20" s="73" t="n">
        <f aca="false">SUM(SUMIFS(HTS!$BY:$BY,HTS!$B:$B,$B20,HTS!$C:$C,{"15-19","20-24","25-29","30-34","35-39","40-44","45-49","50+"},HTS!$D:$D,"Male"))</f>
        <v>30</v>
      </c>
      <c r="BR20" s="73" t="n">
        <f aca="false">_xlfn.IFNA(INDEX(KP!$AN:$AN,MATCH(($B20&amp;"|"&amp;BR$3),KP!$D:$D,0)),"")</f>
        <v>0</v>
      </c>
      <c r="BS20" s="73" t="n">
        <f aca="false">_xlfn.IFNA(INDEX(KP!$AN:$AN,MATCH(($B20&amp;"|"&amp;BS$3),KP!$D:$D,0)),"")</f>
        <v>0</v>
      </c>
      <c r="BT20" s="73" t="n">
        <f aca="false">_xlfn.IFNA(INDEX(KP!$AN:$AN,MATCH(($B20&amp;"|"&amp;BT$3),KP!$D:$D,0)),"")</f>
        <v>0</v>
      </c>
      <c r="BU20" s="73" t="n">
        <f aca="false">_xlfn.IFNA(INDEX(KP!$AN:$AN,MATCH(($B20&amp;"|"&amp;BU$3),KP!$D:$D,0)),"")</f>
        <v>0</v>
      </c>
      <c r="BV20" s="73" t="n">
        <f aca="false">_xlfn.IFNA(INDEX(KP!$AN:$AN,MATCH(($B20&amp;"|"&amp;BV$3),KP!$D:$D,0)),"")</f>
        <v>0</v>
      </c>
    </row>
    <row r="21" customFormat="false" ht="15" hidden="false" customHeight="false" outlineLevel="0" collapsed="false">
      <c r="A21" s="53" t="s">
        <v>147</v>
      </c>
      <c r="B21" s="53" t="s">
        <v>105</v>
      </c>
      <c r="C21" s="73" t="n">
        <f aca="false">SUM(SUMIFS(PrEP!$O:$O,PrEP!$B:$B,$B21,PrEP!$C:$C,{"15-19","20-24","25-29","30-34","35-39","40-44","45-49","50+"},PrEP!$D:$D,"Female"))</f>
        <v>0</v>
      </c>
      <c r="D21" s="73" t="n">
        <f aca="false">SUM(SUMIFS(PrEP!$O:$O,PrEP!$B:$B,$B21,PrEP!$C:$C,{"15-19","20-24","25-29"},PrEP!$D:$D,"Female"))</f>
        <v>0</v>
      </c>
      <c r="E21" s="73" t="n">
        <f aca="false">SUM(SUMIFS(PrEP!$O:$O,PrEP!$B:$B,$B21,PrEP!$C:$C,{"15-19","20-24","25-29","30-34","35-39","40-44","45-49","50+"},PrEP!$D:$D,"Male"))</f>
        <v>0</v>
      </c>
      <c r="F21" s="73" t="n">
        <f aca="false">_xlfn.IFNA(INDEX(KP!$I:$I,MATCH(($B21&amp;"|"&amp;F$3),KP!$D:$D,0)),"")</f>
        <v>0</v>
      </c>
      <c r="G21" s="73" t="n">
        <f aca="false">_xlfn.IFNA(INDEX(KP!$I:$I,MATCH(($B21&amp;"|"&amp;G$3),KP!$D:$D,0)),"")</f>
        <v>0</v>
      </c>
      <c r="H21" s="73" t="n">
        <f aca="false">_xlfn.IFNA(INDEX(KP!$I:$I,MATCH(($B21&amp;"|"&amp;H$3),KP!$D:$D,0)),"")</f>
        <v>0</v>
      </c>
      <c r="I21" s="73" t="n">
        <f aca="false">_xlfn.IFNA(INDEX(KP!$I:$I,MATCH(($B21&amp;"|"&amp;I$3),KP!$D:$D,0)),"")</f>
        <v>0</v>
      </c>
      <c r="J21" s="73" t="n">
        <f aca="false">_xlfn.IFNA(INDEX(KP!$I:$I,MATCH(($B21&amp;"|"&amp;J$3),KP!$D:$D,0)),"")</f>
        <v>0</v>
      </c>
      <c r="K21" s="73" t="n">
        <f aca="false">SUM(SUMIFS(PrEP!$L:$L,PrEP!$B:$B,$B21,PrEP!$C:$C,{"15-19","20-24","25-29","30-34","35-39","40-44","45-49","50+"},PrEP!$D:$D,"Female"))</f>
        <v>0</v>
      </c>
      <c r="L21" s="73"/>
      <c r="M21" s="73" t="n">
        <f aca="false">SUM(SUMIFS(PrEP!$L:$L,PrEP!$B:$B,$B21,PrEP!$C:$C,{"15-19","20-24","25-29","30-34","35-39","40-44","45-49","50+"},PrEP!$D:$D,"Male"))</f>
        <v>0</v>
      </c>
      <c r="N21" s="73" t="n">
        <f aca="false">_xlfn.IFNA(INDEX(KP!$K:$K,MATCH(($B21&amp;"|"&amp;N$3),KP!$D:$D,0)),"")</f>
        <v>0</v>
      </c>
      <c r="O21" s="73" t="n">
        <f aca="false">_xlfn.IFNA(INDEX(KP!$K:$K,MATCH(($B21&amp;"|"&amp;O$3),KP!$D:$D,0)),"")</f>
        <v>0</v>
      </c>
      <c r="P21" s="73" t="n">
        <f aca="false">_xlfn.IFNA(INDEX(KP!$K:$K,MATCH(($B21&amp;"|"&amp;P$3),KP!$D:$D,0)),"")</f>
        <v>0</v>
      </c>
      <c r="Q21" s="73" t="n">
        <f aca="false">_xlfn.IFNA(INDEX(KP!$K:$K,MATCH(($B21&amp;"|"&amp;Q$3),KP!$D:$D,0)),"")</f>
        <v>0</v>
      </c>
      <c r="R21" s="73" t="n">
        <f aca="false">_xlfn.IFNA(INDEX(KP!$K:$K,MATCH(($B21&amp;"|"&amp;R$3),KP!$D:$D,0)),"")</f>
        <v>0</v>
      </c>
      <c r="S21" s="73" t="n">
        <f aca="false">SUM(SUMIFS(Cascade!$AE:$AE,Cascade!$B:$B,$B21,Cascade!$C:$C,{"15-19","20-24","25-29","30-34","35-39","40-44","45-49","50+"},Cascade!$D:$D,"Female"))</f>
        <v>30</v>
      </c>
      <c r="T21" s="73" t="n">
        <f aca="false">SUM(SUMIFS(Cascade!$AE:$AE,Cascade!$B:$B,$B21,Cascade!$C:$C,{"15-19","20-24","25-29","30-34","35-39","40-44","45-49","50+"},Cascade!$D:$D,"Male"))</f>
        <v>15</v>
      </c>
      <c r="U21" s="73" t="n">
        <f aca="false">_xlfn.IFNA(INDEX(KP!$P:$P,MATCH(($B21&amp;"|"&amp;U$3),KP!$D:$D,0)),"")</f>
        <v>0</v>
      </c>
      <c r="V21" s="73" t="n">
        <f aca="false">_xlfn.IFNA(INDEX(KP!$P:$P,MATCH(($B21&amp;"|"&amp;V$3),KP!$D:$D,0)),"")</f>
        <v>0</v>
      </c>
      <c r="W21" s="73" t="n">
        <f aca="false">_xlfn.IFNA(INDEX(KP!$P:$P,MATCH(($B21&amp;"|"&amp;W$3),KP!$D:$D,0)),"")</f>
        <v>0</v>
      </c>
      <c r="X21" s="73" t="n">
        <f aca="false">_xlfn.IFNA(INDEX(KP!$P:$P,MATCH(($B21&amp;"|"&amp;X$3),KP!$D:$D,0)),"")</f>
        <v>0</v>
      </c>
      <c r="Y21" s="73" t="n">
        <f aca="false">_xlfn.IFNA(INDEX(KP!$P:$P,MATCH(($B21&amp;"|"&amp;Y$3),KP!$D:$D,0)),"")</f>
        <v>0</v>
      </c>
      <c r="Z21" s="73" t="n">
        <f aca="false">SUM(SUMIFS(Cascade!$AM:$AM,Cascade!$B:$B,$B21,Cascade!$C:$C,{"15-19","20-24","25-29","30-34","35-39","40-44","45-49","50+"},Cascade!$D:$D,"Female"))</f>
        <v>7</v>
      </c>
      <c r="AA21" s="73" t="n">
        <f aca="false">SUM(SUMIFS(Cascade!$AM:$AM,Cascade!$B:$B,$B21,Cascade!$C:$C,{"15-19","20-24","25-29","30-34","35-39","40-44","45-49","50+"},Cascade!$D:$D,"Male"))</f>
        <v>1</v>
      </c>
      <c r="AB21" s="73" t="str">
        <f aca="false">_xlfn.IFNA(INDEX(KP!$V:$V,MATCH(($B21&amp;"|"&amp;AB$3),KP!$D:$D,0)),"")</f>
        <v/>
      </c>
      <c r="AC21" s="73" t="str">
        <f aca="false">_xlfn.IFNA(INDEX(KP!$V:$V,MATCH(($B21&amp;"|"&amp;AC$3),KP!$D:$D,0)),"")</f>
        <v/>
      </c>
      <c r="AD21" s="73" t="str">
        <f aca="false">_xlfn.IFNA(INDEX(KP!$V:$V,MATCH(($B21&amp;"|"&amp;AD$3),KP!$D:$D,0)),"")</f>
        <v/>
      </c>
      <c r="AE21" s="73" t="str">
        <f aca="false">_xlfn.IFNA(INDEX(KP!$V:$V,MATCH(($B21&amp;"|"&amp;AE$3),KP!$D:$D,0)),"")</f>
        <v/>
      </c>
      <c r="AF21" s="73" t="str">
        <f aca="false">_xlfn.IFNA(INDEX(KP!$V:$V,MATCH(($B21&amp;"|"&amp;AF$3),KP!$D:$D,0)),"")</f>
        <v/>
      </c>
      <c r="AG21" s="73" t="n">
        <f aca="false">SUM(SUMIFS(Cascade!$AP:$AP,Cascade!$B:$B,$B21,Cascade!$C:$C,{"15-19","20-24","25-29","30-34","35-39","40-44","45-49","50+"},Cascade!$D:$D,"Female"))</f>
        <v>28</v>
      </c>
      <c r="AH21" s="73" t="n">
        <f aca="false">SUM(SUMIFS(Cascade!$AP:$AP,Cascade!$B:$B,$B21,Cascade!$C:$C,{"15-19","20-24","25-29","30-34","35-39","40-44","45-49","50+"},Cascade!$D:$D,"Male"))</f>
        <v>15</v>
      </c>
      <c r="AI21" s="73" t="str">
        <f aca="false">_xlfn.IFNA(INDEX(KP!$Y:$Y,MATCH(($B21&amp;"|"&amp;AI$3),KP!$D:$D,0)),"")</f>
        <v/>
      </c>
      <c r="AJ21" s="73" t="str">
        <f aca="false">_xlfn.IFNA(INDEX(KP!$Y:$Y,MATCH(($B21&amp;"|"&amp;AJ$3),KP!$D:$D,0)),"")</f>
        <v/>
      </c>
      <c r="AK21" s="73" t="str">
        <f aca="false">_xlfn.IFNA(INDEX(KP!$Y:$Y,MATCH(($B21&amp;"|"&amp;AK$3),KP!$D:$D,0)),"")</f>
        <v/>
      </c>
      <c r="AL21" s="73" t="str">
        <f aca="false">_xlfn.IFNA(INDEX(KP!$Y:$Y,MATCH(($B21&amp;"|"&amp;AL$3),KP!$D:$D,0)),"")</f>
        <v/>
      </c>
      <c r="AM21" s="73" t="str">
        <f aca="false">_xlfn.IFNA(INDEX(KP!$Y:$Y,MATCH(($B21&amp;"|"&amp;AM$3),KP!$D:$D,0)),"")</f>
        <v/>
      </c>
      <c r="AN21" s="73" t="n">
        <f aca="false">SUM(SUMIFS(Cascade!$AT:$AT,Cascade!$B:$B,$B21,Cascade!$C:$C,{"15-19","20-24","25-29","30-34","35-39","40-44","45-49","50+"},Cascade!$D:$D,"Female"))</f>
        <v>27</v>
      </c>
      <c r="AO21" s="73" t="n">
        <f aca="false">SUM(SUMIFS(Cascade!$AT:$AT,Cascade!$B:$B,$B21,Cascade!$C:$C,{"15-19","20-24","25-29","30-34","35-39","40-44","45-49","50+"},Cascade!$D:$D,"Male"))</f>
        <v>14</v>
      </c>
      <c r="AP21" s="73" t="str">
        <f aca="false">_xlfn.IFNA(INDEX(KP!$AA:$AA,MATCH(($B21&amp;"|"&amp;AP$3),KP!$D:$D,0)),"")</f>
        <v/>
      </c>
      <c r="AQ21" s="73" t="str">
        <f aca="false">_xlfn.IFNA(INDEX(KP!$AA:$AA,MATCH(($B21&amp;"|"&amp;AQ$3),KP!$D:$D,0)),"")</f>
        <v/>
      </c>
      <c r="AR21" s="73" t="str">
        <f aca="false">_xlfn.IFNA(INDEX(KP!$AA:$AA,MATCH(($B21&amp;"|"&amp;AR$3),KP!$D:$D,0)),"")</f>
        <v/>
      </c>
      <c r="AS21" s="73" t="str">
        <f aca="false">_xlfn.IFNA(INDEX(KP!$AA:$AA,MATCH(($B21&amp;"|"&amp;AS$3),KP!$D:$D,0)),"")</f>
        <v/>
      </c>
      <c r="AT21" s="73" t="str">
        <f aca="false">_xlfn.IFNA(INDEX(KP!$AA:$AA,MATCH(($B21&amp;"|"&amp;AT$3),KP!$D:$D,0)),"")</f>
        <v/>
      </c>
      <c r="AU21" s="73" t="n">
        <f aca="false">SUM(SUMIFS(HTS!$BN:$BN,HTS!$B:$B,$B21,HTS!$C:$C,{"15-19","20-24","25-29","30-34","35-39","40-44","45-49","50+"},HTS!$D:$D,"Female"))</f>
        <v>-1811</v>
      </c>
      <c r="AV21" s="73" t="n">
        <f aca="false">SUM(SUMIFS(HTS!$BN:$BN,HTS!$B:$B,$B21,HTS!$C:$C,{"15-19","20-24","25-29","30-34","35-39","40-44","45-49","50+"},HTS!$D:$D,"Male"))</f>
        <v>187</v>
      </c>
      <c r="AW21" s="73" t="str">
        <f aca="false">_xlfn.IFNA(INDEX(KP!$AI:$AI,MATCH(($B21&amp;"|"&amp;AW$3),KP!$D:$D,0)),"")</f>
        <v/>
      </c>
      <c r="AX21" s="73" t="str">
        <f aca="false">_xlfn.IFNA(INDEX(KP!$AI:$AI,MATCH(($B21&amp;"|"&amp;AX$3),KP!$D:$D,0)),"")</f>
        <v/>
      </c>
      <c r="AY21" s="73" t="str">
        <f aca="false">_xlfn.IFNA(INDEX(KP!$AI:$AI,MATCH(($B21&amp;"|"&amp;AY$3),KP!$D:$D,0)),"")</f>
        <v/>
      </c>
      <c r="AZ21" s="73" t="str">
        <f aca="false">_xlfn.IFNA(INDEX(KP!$AI:$AI,MATCH(($B21&amp;"|"&amp;AZ$3),KP!$D:$D,0)),"")</f>
        <v/>
      </c>
      <c r="BA21" s="73" t="str">
        <f aca="false">_xlfn.IFNA(INDEX(KP!$AI:$AI,MATCH(($B21&amp;"|"&amp;BA$3),KP!$D:$D,0)),"")</f>
        <v/>
      </c>
      <c r="BB21" s="73" t="n">
        <f aca="false">SUM(SUMIFS(HTS!$BT:$BT,HTS!$B:$B,$B21,HTS!$C:$C,{"15-19","20-24","25-29","30-34","35-39","40-44","45-49","50+"},HTS!$D:$D,"Female"))</f>
        <v>2134</v>
      </c>
      <c r="BC21" s="73" t="n">
        <f aca="false">SUM(SUMIFS(HTS!$BT:$BT,HTS!$B:$B,$B21,HTS!$C:$C,{"15-19","20-24","25-29","30-34","35-39","40-44","45-49","50+"},HTS!$D:$D,"Male"))</f>
        <v>-815</v>
      </c>
      <c r="BD21" s="73" t="str">
        <f aca="false">_xlfn.IFNA(INDEX(KP!$AJ:$AJ,MATCH(($B21&amp;"|"&amp;BD$3),KP!$D:$D,0)),"")</f>
        <v/>
      </c>
      <c r="BE21" s="73" t="str">
        <f aca="false">_xlfn.IFNA(INDEX(KP!$AJ:$AJ,MATCH(($B21&amp;"|"&amp;BE$3),KP!$D:$D,0)),"")</f>
        <v/>
      </c>
      <c r="BF21" s="73" t="str">
        <f aca="false">_xlfn.IFNA(INDEX(KP!$AJ:$AJ,MATCH(($B21&amp;"|"&amp;BF$3),KP!$D:$D,0)),"")</f>
        <v/>
      </c>
      <c r="BG21" s="73" t="str">
        <f aca="false">_xlfn.IFNA(INDEX(KP!$AJ:$AJ,MATCH(($B21&amp;"|"&amp;BG$3),KP!$D:$D,0)),"")</f>
        <v/>
      </c>
      <c r="BH21" s="73" t="str">
        <f aca="false">_xlfn.IFNA(INDEX(KP!$AJ:$AJ,MATCH(($B21&amp;"|"&amp;BH$3),KP!$D:$D,0)),"")</f>
        <v/>
      </c>
      <c r="BI21" s="73" t="n">
        <f aca="false">SUM(SUMIFS(HTS_RECENT!$AF:$AF,HTS_RECENT!$B:$B,$B21,HTS_RECENT!$C:$C,{"15-19","20-24","25-29","30-34","35-39","40-44","45-49","50+"},HTS_RECENT!$D:$D,"Female"))</f>
        <v>-1811</v>
      </c>
      <c r="BJ21" s="73" t="n">
        <f aca="false">SUM(SUMIFS(HTS_RECENT!$AF:$AF,HTS_RECENT!$B:$B,$B21,HTS_RECENT!$C:$C,{"15-19","20-24","25-29","30-34","35-39","40-44","45-49","50+"},HTS_RECENT!$D:$D,"Male"))</f>
        <v>187</v>
      </c>
      <c r="BK21" s="73" t="str">
        <f aca="false">_xlfn.IFNA(INDEX(KP!$AL:$AL,MATCH(($B21&amp;"|"&amp;BK$3),KP!$D:$D,0)),"")</f>
        <v/>
      </c>
      <c r="BL21" s="73" t="str">
        <f aca="false">_xlfn.IFNA(INDEX(KP!$AL:$AL,MATCH(($B21&amp;"|"&amp;BL$3),KP!$D:$D,0)),"")</f>
        <v/>
      </c>
      <c r="BM21" s="73" t="str">
        <f aca="false">_xlfn.IFNA(INDEX(KP!$AL:$AL,MATCH(($B21&amp;"|"&amp;BM$3),KP!$D:$D,0)),"")</f>
        <v/>
      </c>
      <c r="BN21" s="73" t="str">
        <f aca="false">_xlfn.IFNA(INDEX(KP!$AL:$AL,MATCH(($B21&amp;"|"&amp;BN$3),KP!$D:$D,0)),"")</f>
        <v/>
      </c>
      <c r="BO21" s="73" t="str">
        <f aca="false">_xlfn.IFNA(INDEX(KP!$AL:$AL,MATCH(($B21&amp;"|"&amp;BO$3),KP!$D:$D,0)),"")</f>
        <v/>
      </c>
      <c r="BP21" s="73" t="n">
        <f aca="false">SUM(SUMIFS(HTS!$BY:$BY,HTS!$B:$B,$B21,HTS!$C:$C,{"15-19","20-24","25-29","30-34","35-39","40-44","45-49","50+"},HTS!$D:$D,"Female"))</f>
        <v>13</v>
      </c>
      <c r="BQ21" s="73" t="n">
        <f aca="false">SUM(SUMIFS(HTS!$BY:$BY,HTS!$B:$B,$B21,HTS!$C:$C,{"15-19","20-24","25-29","30-34","35-39","40-44","45-49","50+"},HTS!$D:$D,"Male"))</f>
        <v>24</v>
      </c>
      <c r="BR21" s="73" t="n">
        <f aca="false">_xlfn.IFNA(INDEX(KP!$AN:$AN,MATCH(($B21&amp;"|"&amp;BR$3),KP!$D:$D,0)),"")</f>
        <v>0</v>
      </c>
      <c r="BS21" s="73" t="n">
        <f aca="false">_xlfn.IFNA(INDEX(KP!$AN:$AN,MATCH(($B21&amp;"|"&amp;BS$3),KP!$D:$D,0)),"")</f>
        <v>0</v>
      </c>
      <c r="BT21" s="73" t="n">
        <f aca="false">_xlfn.IFNA(INDEX(KP!$AN:$AN,MATCH(($B21&amp;"|"&amp;BT$3),KP!$D:$D,0)),"")</f>
        <v>0</v>
      </c>
      <c r="BU21" s="73" t="n">
        <f aca="false">_xlfn.IFNA(INDEX(KP!$AN:$AN,MATCH(($B21&amp;"|"&amp;BU$3),KP!$D:$D,0)),"")</f>
        <v>0</v>
      </c>
      <c r="BV21" s="73" t="n">
        <f aca="false">_xlfn.IFNA(INDEX(KP!$AN:$AN,MATCH(($B21&amp;"|"&amp;BV$3),KP!$D:$D,0)),"")</f>
        <v>0</v>
      </c>
    </row>
    <row r="22" customFormat="false" ht="15" hidden="false" customHeight="false" outlineLevel="0" collapsed="false">
      <c r="A22" s="53" t="s">
        <v>148</v>
      </c>
      <c r="B22" s="53" t="s">
        <v>113</v>
      </c>
      <c r="C22" s="73" t="n">
        <f aca="false">SUM(SUMIFS(PrEP!$O:$O,PrEP!$B:$B,$B22,PrEP!$C:$C,{"15-19","20-24","25-29","30-34","35-39","40-44","45-49","50+"},PrEP!$D:$D,"Female"))</f>
        <v>0</v>
      </c>
      <c r="D22" s="73" t="n">
        <f aca="false">SUM(SUMIFS(PrEP!$O:$O,PrEP!$B:$B,$B22,PrEP!$C:$C,{"15-19","20-24","25-29"},PrEP!$D:$D,"Female"))</f>
        <v>0</v>
      </c>
      <c r="E22" s="73" t="n">
        <f aca="false">SUM(SUMIFS(PrEP!$O:$O,PrEP!$B:$B,$B22,PrEP!$C:$C,{"15-19","20-24","25-29","30-34","35-39","40-44","45-49","50+"},PrEP!$D:$D,"Male"))</f>
        <v>0</v>
      </c>
      <c r="F22" s="73" t="n">
        <f aca="false">_xlfn.IFNA(INDEX(KP!$I:$I,MATCH(($B22&amp;"|"&amp;F$3),KP!$D:$D,0)),"")</f>
        <v>0</v>
      </c>
      <c r="G22" s="73" t="n">
        <f aca="false">_xlfn.IFNA(INDEX(KP!$I:$I,MATCH(($B22&amp;"|"&amp;G$3),KP!$D:$D,0)),"")</f>
        <v>0</v>
      </c>
      <c r="H22" s="73" t="n">
        <f aca="false">_xlfn.IFNA(INDEX(KP!$I:$I,MATCH(($B22&amp;"|"&amp;H$3),KP!$D:$D,0)),"")</f>
        <v>0</v>
      </c>
      <c r="I22" s="73" t="n">
        <f aca="false">_xlfn.IFNA(INDEX(KP!$I:$I,MATCH(($B22&amp;"|"&amp;I$3),KP!$D:$D,0)),"")</f>
        <v>0</v>
      </c>
      <c r="J22" s="73" t="n">
        <f aca="false">_xlfn.IFNA(INDEX(KP!$I:$I,MATCH(($B22&amp;"|"&amp;J$3),KP!$D:$D,0)),"")</f>
        <v>0</v>
      </c>
      <c r="K22" s="73" t="n">
        <f aca="false">SUM(SUMIFS(PrEP!$L:$L,PrEP!$B:$B,$B22,PrEP!$C:$C,{"15-19","20-24","25-29","30-34","35-39","40-44","45-49","50+"},PrEP!$D:$D,"Female"))</f>
        <v>0</v>
      </c>
      <c r="L22" s="73"/>
      <c r="M22" s="73" t="n">
        <f aca="false">SUM(SUMIFS(PrEP!$L:$L,PrEP!$B:$B,$B22,PrEP!$C:$C,{"15-19","20-24","25-29","30-34","35-39","40-44","45-49","50+"},PrEP!$D:$D,"Male"))</f>
        <v>0</v>
      </c>
      <c r="N22" s="73" t="n">
        <f aca="false">_xlfn.IFNA(INDEX(KP!$K:$K,MATCH(($B22&amp;"|"&amp;N$3),KP!$D:$D,0)),"")</f>
        <v>0</v>
      </c>
      <c r="O22" s="73" t="n">
        <f aca="false">_xlfn.IFNA(INDEX(KP!$K:$K,MATCH(($B22&amp;"|"&amp;O$3),KP!$D:$D,0)),"")</f>
        <v>0</v>
      </c>
      <c r="P22" s="73" t="n">
        <f aca="false">_xlfn.IFNA(INDEX(KP!$K:$K,MATCH(($B22&amp;"|"&amp;P$3),KP!$D:$D,0)),"")</f>
        <v>0</v>
      </c>
      <c r="Q22" s="73" t="n">
        <f aca="false">_xlfn.IFNA(INDEX(KP!$K:$K,MATCH(($B22&amp;"|"&amp;Q$3),KP!$D:$D,0)),"")</f>
        <v>0</v>
      </c>
      <c r="R22" s="73" t="n">
        <f aca="false">_xlfn.IFNA(INDEX(KP!$K:$K,MATCH(($B22&amp;"|"&amp;R$3),KP!$D:$D,0)),"")</f>
        <v>0</v>
      </c>
      <c r="S22" s="73" t="n">
        <f aca="false">SUM(SUMIFS(Cascade!$AE:$AE,Cascade!$B:$B,$B22,Cascade!$C:$C,{"15-19","20-24","25-29","30-34","35-39","40-44","45-49","50+"},Cascade!$D:$D,"Female"))</f>
        <v>65</v>
      </c>
      <c r="T22" s="73" t="n">
        <f aca="false">SUM(SUMIFS(Cascade!$AE:$AE,Cascade!$B:$B,$B22,Cascade!$C:$C,{"15-19","20-24","25-29","30-34","35-39","40-44","45-49","50+"},Cascade!$D:$D,"Male"))</f>
        <v>19</v>
      </c>
      <c r="U22" s="73" t="n">
        <f aca="false">_xlfn.IFNA(INDEX(KP!$P:$P,MATCH(($B22&amp;"|"&amp;U$3),KP!$D:$D,0)),"")</f>
        <v>0</v>
      </c>
      <c r="V22" s="73" t="n">
        <f aca="false">_xlfn.IFNA(INDEX(KP!$P:$P,MATCH(($B22&amp;"|"&amp;V$3),KP!$D:$D,0)),"")</f>
        <v>0</v>
      </c>
      <c r="W22" s="73" t="n">
        <f aca="false">_xlfn.IFNA(INDEX(KP!$P:$P,MATCH(($B22&amp;"|"&amp;W$3),KP!$D:$D,0)),"")</f>
        <v>0</v>
      </c>
      <c r="X22" s="73" t="n">
        <f aca="false">_xlfn.IFNA(INDEX(KP!$P:$P,MATCH(($B22&amp;"|"&amp;X$3),KP!$D:$D,0)),"")</f>
        <v>0</v>
      </c>
      <c r="Y22" s="73" t="n">
        <f aca="false">_xlfn.IFNA(INDEX(KP!$P:$P,MATCH(($B22&amp;"|"&amp;Y$3),KP!$D:$D,0)),"")</f>
        <v>0</v>
      </c>
      <c r="Z22" s="73" t="n">
        <f aca="false">SUM(SUMIFS(Cascade!$AM:$AM,Cascade!$B:$B,$B22,Cascade!$C:$C,{"15-19","20-24","25-29","30-34","35-39","40-44","45-49","50+"},Cascade!$D:$D,"Female"))</f>
        <v>19</v>
      </c>
      <c r="AA22" s="73" t="n">
        <f aca="false">SUM(SUMIFS(Cascade!$AM:$AM,Cascade!$B:$B,$B22,Cascade!$C:$C,{"15-19","20-24","25-29","30-34","35-39","40-44","45-49","50+"},Cascade!$D:$D,"Male"))</f>
        <v>2</v>
      </c>
      <c r="AB22" s="73" t="str">
        <f aca="false">_xlfn.IFNA(INDEX(KP!$V:$V,MATCH(($B22&amp;"|"&amp;AB$3),KP!$D:$D,0)),"")</f>
        <v/>
      </c>
      <c r="AC22" s="73" t="str">
        <f aca="false">_xlfn.IFNA(INDEX(KP!$V:$V,MATCH(($B22&amp;"|"&amp;AC$3),KP!$D:$D,0)),"")</f>
        <v/>
      </c>
      <c r="AD22" s="73" t="str">
        <f aca="false">_xlfn.IFNA(INDEX(KP!$V:$V,MATCH(($B22&amp;"|"&amp;AD$3),KP!$D:$D,0)),"")</f>
        <v/>
      </c>
      <c r="AE22" s="73" t="str">
        <f aca="false">_xlfn.IFNA(INDEX(KP!$V:$V,MATCH(($B22&amp;"|"&amp;AE$3),KP!$D:$D,0)),"")</f>
        <v/>
      </c>
      <c r="AF22" s="73" t="str">
        <f aca="false">_xlfn.IFNA(INDEX(KP!$V:$V,MATCH(($B22&amp;"|"&amp;AF$3),KP!$D:$D,0)),"")</f>
        <v/>
      </c>
      <c r="AG22" s="73" t="n">
        <f aca="false">SUM(SUMIFS(Cascade!$AP:$AP,Cascade!$B:$B,$B22,Cascade!$C:$C,{"15-19","20-24","25-29","30-34","35-39","40-44","45-49","50+"},Cascade!$D:$D,"Female"))</f>
        <v>60</v>
      </c>
      <c r="AH22" s="73" t="n">
        <f aca="false">SUM(SUMIFS(Cascade!$AP:$AP,Cascade!$B:$B,$B22,Cascade!$C:$C,{"15-19","20-24","25-29","30-34","35-39","40-44","45-49","50+"},Cascade!$D:$D,"Male"))</f>
        <v>18</v>
      </c>
      <c r="AI22" s="73" t="str">
        <f aca="false">_xlfn.IFNA(INDEX(KP!$Y:$Y,MATCH(($B22&amp;"|"&amp;AI$3),KP!$D:$D,0)),"")</f>
        <v/>
      </c>
      <c r="AJ22" s="73" t="str">
        <f aca="false">_xlfn.IFNA(INDEX(KP!$Y:$Y,MATCH(($B22&amp;"|"&amp;AJ$3),KP!$D:$D,0)),"")</f>
        <v/>
      </c>
      <c r="AK22" s="73" t="str">
        <f aca="false">_xlfn.IFNA(INDEX(KP!$Y:$Y,MATCH(($B22&amp;"|"&amp;AK$3),KP!$D:$D,0)),"")</f>
        <v/>
      </c>
      <c r="AL22" s="73" t="str">
        <f aca="false">_xlfn.IFNA(INDEX(KP!$Y:$Y,MATCH(($B22&amp;"|"&amp;AL$3),KP!$D:$D,0)),"")</f>
        <v/>
      </c>
      <c r="AM22" s="73" t="str">
        <f aca="false">_xlfn.IFNA(INDEX(KP!$Y:$Y,MATCH(($B22&amp;"|"&amp;AM$3),KP!$D:$D,0)),"")</f>
        <v/>
      </c>
      <c r="AN22" s="73" t="n">
        <f aca="false">SUM(SUMIFS(Cascade!$AT:$AT,Cascade!$B:$B,$B22,Cascade!$C:$C,{"15-19","20-24","25-29","30-34","35-39","40-44","45-49","50+"},Cascade!$D:$D,"Female"))</f>
        <v>57</v>
      </c>
      <c r="AO22" s="73" t="n">
        <f aca="false">SUM(SUMIFS(Cascade!$AT:$AT,Cascade!$B:$B,$B22,Cascade!$C:$C,{"15-19","20-24","25-29","30-34","35-39","40-44","45-49","50+"},Cascade!$D:$D,"Male"))</f>
        <v>17</v>
      </c>
      <c r="AP22" s="73" t="str">
        <f aca="false">_xlfn.IFNA(INDEX(KP!$AA:$AA,MATCH(($B22&amp;"|"&amp;AP$3),KP!$D:$D,0)),"")</f>
        <v/>
      </c>
      <c r="AQ22" s="73" t="str">
        <f aca="false">_xlfn.IFNA(INDEX(KP!$AA:$AA,MATCH(($B22&amp;"|"&amp;AQ$3),KP!$D:$D,0)),"")</f>
        <v/>
      </c>
      <c r="AR22" s="73" t="str">
        <f aca="false">_xlfn.IFNA(INDEX(KP!$AA:$AA,MATCH(($B22&amp;"|"&amp;AR$3),KP!$D:$D,0)),"")</f>
        <v/>
      </c>
      <c r="AS22" s="73" t="str">
        <f aca="false">_xlfn.IFNA(INDEX(KP!$AA:$AA,MATCH(($B22&amp;"|"&amp;AS$3),KP!$D:$D,0)),"")</f>
        <v/>
      </c>
      <c r="AT22" s="73" t="str">
        <f aca="false">_xlfn.IFNA(INDEX(KP!$AA:$AA,MATCH(($B22&amp;"|"&amp;AT$3),KP!$D:$D,0)),"")</f>
        <v/>
      </c>
      <c r="AU22" s="73" t="n">
        <f aca="false">SUM(SUMIFS(HTS!$BN:$BN,HTS!$B:$B,$B22,HTS!$C:$C,{"15-19","20-24","25-29","30-34","35-39","40-44","45-49","50+"},HTS!$D:$D,"Female"))</f>
        <v>2510</v>
      </c>
      <c r="AV22" s="73" t="n">
        <f aca="false">SUM(SUMIFS(HTS!$BN:$BN,HTS!$B:$B,$B22,HTS!$C:$C,{"15-19","20-24","25-29","30-34","35-39","40-44","45-49","50+"},HTS!$D:$D,"Male"))</f>
        <v>384</v>
      </c>
      <c r="AW22" s="73" t="str">
        <f aca="false">_xlfn.IFNA(INDEX(KP!$AI:$AI,MATCH(($B22&amp;"|"&amp;AW$3),KP!$D:$D,0)),"")</f>
        <v/>
      </c>
      <c r="AX22" s="73" t="str">
        <f aca="false">_xlfn.IFNA(INDEX(KP!$AI:$AI,MATCH(($B22&amp;"|"&amp;AX$3),KP!$D:$D,0)),"")</f>
        <v/>
      </c>
      <c r="AY22" s="73" t="str">
        <f aca="false">_xlfn.IFNA(INDEX(KP!$AI:$AI,MATCH(($B22&amp;"|"&amp;AY$3),KP!$D:$D,0)),"")</f>
        <v/>
      </c>
      <c r="AZ22" s="73" t="str">
        <f aca="false">_xlfn.IFNA(INDEX(KP!$AI:$AI,MATCH(($B22&amp;"|"&amp;AZ$3),KP!$D:$D,0)),"")</f>
        <v/>
      </c>
      <c r="BA22" s="73" t="str">
        <f aca="false">_xlfn.IFNA(INDEX(KP!$AI:$AI,MATCH(($B22&amp;"|"&amp;BA$3),KP!$D:$D,0)),"")</f>
        <v/>
      </c>
      <c r="BB22" s="73" t="n">
        <f aca="false">SUM(SUMIFS(HTS!$BT:$BT,HTS!$B:$B,$B22,HTS!$C:$C,{"15-19","20-24","25-29","30-34","35-39","40-44","45-49","50+"},HTS!$D:$D,"Female"))</f>
        <v>21</v>
      </c>
      <c r="BC22" s="73" t="n">
        <f aca="false">SUM(SUMIFS(HTS!$BT:$BT,HTS!$B:$B,$B22,HTS!$C:$C,{"15-19","20-24","25-29","30-34","35-39","40-44","45-49","50+"},HTS!$D:$D,"Male"))</f>
        <v>-12</v>
      </c>
      <c r="BD22" s="73" t="str">
        <f aca="false">_xlfn.IFNA(INDEX(KP!$AJ:$AJ,MATCH(($B22&amp;"|"&amp;BD$3),KP!$D:$D,0)),"")</f>
        <v/>
      </c>
      <c r="BE22" s="73" t="str">
        <f aca="false">_xlfn.IFNA(INDEX(KP!$AJ:$AJ,MATCH(($B22&amp;"|"&amp;BE$3),KP!$D:$D,0)),"")</f>
        <v/>
      </c>
      <c r="BF22" s="73" t="str">
        <f aca="false">_xlfn.IFNA(INDEX(KP!$AJ:$AJ,MATCH(($B22&amp;"|"&amp;BF$3),KP!$D:$D,0)),"")</f>
        <v/>
      </c>
      <c r="BG22" s="73" t="str">
        <f aca="false">_xlfn.IFNA(INDEX(KP!$AJ:$AJ,MATCH(($B22&amp;"|"&amp;BG$3),KP!$D:$D,0)),"")</f>
        <v/>
      </c>
      <c r="BH22" s="73" t="str">
        <f aca="false">_xlfn.IFNA(INDEX(KP!$AJ:$AJ,MATCH(($B22&amp;"|"&amp;BH$3),KP!$D:$D,0)),"")</f>
        <v/>
      </c>
      <c r="BI22" s="73" t="n">
        <f aca="false">SUM(SUMIFS(HTS_RECENT!$AF:$AF,HTS_RECENT!$B:$B,$B22,HTS_RECENT!$C:$C,{"15-19","20-24","25-29","30-34","35-39","40-44","45-49","50+"},HTS_RECENT!$D:$D,"Female"))</f>
        <v>2510</v>
      </c>
      <c r="BJ22" s="73" t="n">
        <f aca="false">SUM(SUMIFS(HTS_RECENT!$AF:$AF,HTS_RECENT!$B:$B,$B22,HTS_RECENT!$C:$C,{"15-19","20-24","25-29","30-34","35-39","40-44","45-49","50+"},HTS_RECENT!$D:$D,"Male"))</f>
        <v>384</v>
      </c>
      <c r="BK22" s="73" t="str">
        <f aca="false">_xlfn.IFNA(INDEX(KP!$AL:$AL,MATCH(($B22&amp;"|"&amp;BK$3),KP!$D:$D,0)),"")</f>
        <v/>
      </c>
      <c r="BL22" s="73" t="str">
        <f aca="false">_xlfn.IFNA(INDEX(KP!$AL:$AL,MATCH(($B22&amp;"|"&amp;BL$3),KP!$D:$D,0)),"")</f>
        <v/>
      </c>
      <c r="BM22" s="73" t="str">
        <f aca="false">_xlfn.IFNA(INDEX(KP!$AL:$AL,MATCH(($B22&amp;"|"&amp;BM$3),KP!$D:$D,0)),"")</f>
        <v/>
      </c>
      <c r="BN22" s="73" t="str">
        <f aca="false">_xlfn.IFNA(INDEX(KP!$AL:$AL,MATCH(($B22&amp;"|"&amp;BN$3),KP!$D:$D,0)),"")</f>
        <v/>
      </c>
      <c r="BO22" s="73" t="str">
        <f aca="false">_xlfn.IFNA(INDEX(KP!$AL:$AL,MATCH(($B22&amp;"|"&amp;BO$3),KP!$D:$D,0)),"")</f>
        <v/>
      </c>
      <c r="BP22" s="73" t="n">
        <f aca="false">SUM(SUMIFS(HTS!$BY:$BY,HTS!$B:$B,$B22,HTS!$C:$C,{"15-19","20-24","25-29","30-34","35-39","40-44","45-49","50+"},HTS!$D:$D,"Female"))</f>
        <v>0</v>
      </c>
      <c r="BQ22" s="73" t="n">
        <f aca="false">SUM(SUMIFS(HTS!$BY:$BY,HTS!$B:$B,$B22,HTS!$C:$C,{"15-19","20-24","25-29","30-34","35-39","40-44","45-49","50+"},HTS!$D:$D,"Male"))</f>
        <v>0</v>
      </c>
      <c r="BR22" s="73" t="n">
        <f aca="false">_xlfn.IFNA(INDEX(KP!$AN:$AN,MATCH(($B22&amp;"|"&amp;BR$3),KP!$D:$D,0)),"")</f>
        <v>0</v>
      </c>
      <c r="BS22" s="73" t="n">
        <f aca="false">_xlfn.IFNA(INDEX(KP!$AN:$AN,MATCH(($B22&amp;"|"&amp;BS$3),KP!$D:$D,0)),"")</f>
        <v>0</v>
      </c>
      <c r="BT22" s="73" t="n">
        <f aca="false">_xlfn.IFNA(INDEX(KP!$AN:$AN,MATCH(($B22&amp;"|"&amp;BT$3),KP!$D:$D,0)),"")</f>
        <v>0</v>
      </c>
      <c r="BU22" s="73" t="n">
        <f aca="false">_xlfn.IFNA(INDEX(KP!$AN:$AN,MATCH(($B22&amp;"|"&amp;BU$3),KP!$D:$D,0)),"")</f>
        <v>0</v>
      </c>
      <c r="BV22" s="73" t="n">
        <f aca="false">_xlfn.IFNA(INDEX(KP!$AN:$AN,MATCH(($B22&amp;"|"&amp;BV$3),KP!$D:$D,0)),"")</f>
        <v>0</v>
      </c>
    </row>
    <row r="23" customFormat="false" ht="15" hidden="false" customHeight="false" outlineLevel="0" collapsed="false">
      <c r="A23" s="53" t="s">
        <v>149</v>
      </c>
      <c r="B23" s="53" t="s">
        <v>111</v>
      </c>
      <c r="C23" s="73" t="n">
        <f aca="false">SUM(SUMIFS(PrEP!$O:$O,PrEP!$B:$B,$B23,PrEP!$C:$C,{"15-19","20-24","25-29","30-34","35-39","40-44","45-49","50+"},PrEP!$D:$D,"Female"))</f>
        <v>0</v>
      </c>
      <c r="D23" s="73" t="n">
        <f aca="false">SUM(SUMIFS(PrEP!$O:$O,PrEP!$B:$B,$B23,PrEP!$C:$C,{"15-19","20-24","25-29"},PrEP!$D:$D,"Female"))</f>
        <v>0</v>
      </c>
      <c r="E23" s="73" t="n">
        <f aca="false">SUM(SUMIFS(PrEP!$O:$O,PrEP!$B:$B,$B23,PrEP!$C:$C,{"15-19","20-24","25-29","30-34","35-39","40-44","45-49","50+"},PrEP!$D:$D,"Male"))</f>
        <v>0</v>
      </c>
      <c r="F23" s="73" t="n">
        <f aca="false">_xlfn.IFNA(INDEX(KP!$I:$I,MATCH(($B23&amp;"|"&amp;F$3),KP!$D:$D,0)),"")</f>
        <v>0</v>
      </c>
      <c r="G23" s="73" t="n">
        <f aca="false">_xlfn.IFNA(INDEX(KP!$I:$I,MATCH(($B23&amp;"|"&amp;G$3),KP!$D:$D,0)),"")</f>
        <v>0</v>
      </c>
      <c r="H23" s="73" t="n">
        <f aca="false">_xlfn.IFNA(INDEX(KP!$I:$I,MATCH(($B23&amp;"|"&amp;H$3),KP!$D:$D,0)),"")</f>
        <v>0</v>
      </c>
      <c r="I23" s="73" t="n">
        <f aca="false">_xlfn.IFNA(INDEX(KP!$I:$I,MATCH(($B23&amp;"|"&amp;I$3),KP!$D:$D,0)),"")</f>
        <v>0</v>
      </c>
      <c r="J23" s="73" t="n">
        <f aca="false">_xlfn.IFNA(INDEX(KP!$I:$I,MATCH(($B23&amp;"|"&amp;J$3),KP!$D:$D,0)),"")</f>
        <v>0</v>
      </c>
      <c r="K23" s="73" t="n">
        <f aca="false">SUM(SUMIFS(PrEP!$L:$L,PrEP!$B:$B,$B23,PrEP!$C:$C,{"15-19","20-24","25-29","30-34","35-39","40-44","45-49","50+"},PrEP!$D:$D,"Female"))</f>
        <v>0</v>
      </c>
      <c r="L23" s="73"/>
      <c r="M23" s="73" t="n">
        <f aca="false">SUM(SUMIFS(PrEP!$L:$L,PrEP!$B:$B,$B23,PrEP!$C:$C,{"15-19","20-24","25-29","30-34","35-39","40-44","45-49","50+"},PrEP!$D:$D,"Male"))</f>
        <v>0</v>
      </c>
      <c r="N23" s="73" t="n">
        <f aca="false">_xlfn.IFNA(INDEX(KP!$K:$K,MATCH(($B23&amp;"|"&amp;N$3),KP!$D:$D,0)),"")</f>
        <v>0</v>
      </c>
      <c r="O23" s="73" t="n">
        <f aca="false">_xlfn.IFNA(INDEX(KP!$K:$K,MATCH(($B23&amp;"|"&amp;O$3),KP!$D:$D,0)),"")</f>
        <v>0</v>
      </c>
      <c r="P23" s="73" t="n">
        <f aca="false">_xlfn.IFNA(INDEX(KP!$K:$K,MATCH(($B23&amp;"|"&amp;P$3),KP!$D:$D,0)),"")</f>
        <v>0</v>
      </c>
      <c r="Q23" s="73" t="n">
        <f aca="false">_xlfn.IFNA(INDEX(KP!$K:$K,MATCH(($B23&amp;"|"&amp;Q$3),KP!$D:$D,0)),"")</f>
        <v>0</v>
      </c>
      <c r="R23" s="73" t="n">
        <f aca="false">_xlfn.IFNA(INDEX(KP!$K:$K,MATCH(($B23&amp;"|"&amp;R$3),KP!$D:$D,0)),"")</f>
        <v>0</v>
      </c>
      <c r="S23" s="73" t="n">
        <f aca="false">SUM(SUMIFS(Cascade!$AE:$AE,Cascade!$B:$B,$B23,Cascade!$C:$C,{"15-19","20-24","25-29","30-34","35-39","40-44","45-49","50+"},Cascade!$D:$D,"Female"))</f>
        <v>41</v>
      </c>
      <c r="T23" s="73" t="n">
        <f aca="false">SUM(SUMIFS(Cascade!$AE:$AE,Cascade!$B:$B,$B23,Cascade!$C:$C,{"15-19","20-24","25-29","30-34","35-39","40-44","45-49","50+"},Cascade!$D:$D,"Male"))</f>
        <v>42</v>
      </c>
      <c r="U23" s="73" t="n">
        <f aca="false">_xlfn.IFNA(INDEX(KP!$P:$P,MATCH(($B23&amp;"|"&amp;U$3),KP!$D:$D,0)),"")</f>
        <v>0</v>
      </c>
      <c r="V23" s="73" t="n">
        <f aca="false">_xlfn.IFNA(INDEX(KP!$P:$P,MATCH(($B23&amp;"|"&amp;V$3),KP!$D:$D,0)),"")</f>
        <v>0</v>
      </c>
      <c r="W23" s="73" t="n">
        <f aca="false">_xlfn.IFNA(INDEX(KP!$P:$P,MATCH(($B23&amp;"|"&amp;W$3),KP!$D:$D,0)),"")</f>
        <v>0</v>
      </c>
      <c r="X23" s="73" t="n">
        <f aca="false">_xlfn.IFNA(INDEX(KP!$P:$P,MATCH(($B23&amp;"|"&amp;X$3),KP!$D:$D,0)),"")</f>
        <v>0</v>
      </c>
      <c r="Y23" s="73" t="n">
        <f aca="false">_xlfn.IFNA(INDEX(KP!$P:$P,MATCH(($B23&amp;"|"&amp;Y$3),KP!$D:$D,0)),"")</f>
        <v>0</v>
      </c>
      <c r="Z23" s="73" t="n">
        <f aca="false">SUM(SUMIFS(Cascade!$AM:$AM,Cascade!$B:$B,$B23,Cascade!$C:$C,{"15-19","20-24","25-29","30-34","35-39","40-44","45-49","50+"},Cascade!$D:$D,"Female"))</f>
        <v>9</v>
      </c>
      <c r="AA23" s="73" t="n">
        <f aca="false">SUM(SUMIFS(Cascade!$AM:$AM,Cascade!$B:$B,$B23,Cascade!$C:$C,{"15-19","20-24","25-29","30-34","35-39","40-44","45-49","50+"},Cascade!$D:$D,"Male"))</f>
        <v>1</v>
      </c>
      <c r="AB23" s="73" t="str">
        <f aca="false">_xlfn.IFNA(INDEX(KP!$V:$V,MATCH(($B23&amp;"|"&amp;AB$3),KP!$D:$D,0)),"")</f>
        <v/>
      </c>
      <c r="AC23" s="73" t="str">
        <f aca="false">_xlfn.IFNA(INDEX(KP!$V:$V,MATCH(($B23&amp;"|"&amp;AC$3),KP!$D:$D,0)),"")</f>
        <v/>
      </c>
      <c r="AD23" s="73" t="str">
        <f aca="false">_xlfn.IFNA(INDEX(KP!$V:$V,MATCH(($B23&amp;"|"&amp;AD$3),KP!$D:$D,0)),"")</f>
        <v/>
      </c>
      <c r="AE23" s="73" t="str">
        <f aca="false">_xlfn.IFNA(INDEX(KP!$V:$V,MATCH(($B23&amp;"|"&amp;AE$3),KP!$D:$D,0)),"")</f>
        <v/>
      </c>
      <c r="AF23" s="73" t="str">
        <f aca="false">_xlfn.IFNA(INDEX(KP!$V:$V,MATCH(($B23&amp;"|"&amp;AF$3),KP!$D:$D,0)),"")</f>
        <v/>
      </c>
      <c r="AG23" s="73" t="n">
        <f aca="false">SUM(SUMIFS(Cascade!$AP:$AP,Cascade!$B:$B,$B23,Cascade!$C:$C,{"15-19","20-24","25-29","30-34","35-39","40-44","45-49","50+"},Cascade!$D:$D,"Female"))</f>
        <v>39</v>
      </c>
      <c r="AH23" s="73" t="n">
        <f aca="false">SUM(SUMIFS(Cascade!$AP:$AP,Cascade!$B:$B,$B23,Cascade!$C:$C,{"15-19","20-24","25-29","30-34","35-39","40-44","45-49","50+"},Cascade!$D:$D,"Male"))</f>
        <v>43</v>
      </c>
      <c r="AI23" s="73" t="str">
        <f aca="false">_xlfn.IFNA(INDEX(KP!$Y:$Y,MATCH(($B23&amp;"|"&amp;AI$3),KP!$D:$D,0)),"")</f>
        <v/>
      </c>
      <c r="AJ23" s="73" t="str">
        <f aca="false">_xlfn.IFNA(INDEX(KP!$Y:$Y,MATCH(($B23&amp;"|"&amp;AJ$3),KP!$D:$D,0)),"")</f>
        <v/>
      </c>
      <c r="AK23" s="73" t="str">
        <f aca="false">_xlfn.IFNA(INDEX(KP!$Y:$Y,MATCH(($B23&amp;"|"&amp;AK$3),KP!$D:$D,0)),"")</f>
        <v/>
      </c>
      <c r="AL23" s="73" t="str">
        <f aca="false">_xlfn.IFNA(INDEX(KP!$Y:$Y,MATCH(($B23&amp;"|"&amp;AL$3),KP!$D:$D,0)),"")</f>
        <v/>
      </c>
      <c r="AM23" s="73" t="str">
        <f aca="false">_xlfn.IFNA(INDEX(KP!$Y:$Y,MATCH(($B23&amp;"|"&amp;AM$3),KP!$D:$D,0)),"")</f>
        <v/>
      </c>
      <c r="AN23" s="73" t="n">
        <f aca="false">SUM(SUMIFS(Cascade!$AT:$AT,Cascade!$B:$B,$B23,Cascade!$C:$C,{"15-19","20-24","25-29","30-34","35-39","40-44","45-49","50+"},Cascade!$D:$D,"Female"))</f>
        <v>37</v>
      </c>
      <c r="AO23" s="73" t="n">
        <f aca="false">SUM(SUMIFS(Cascade!$AT:$AT,Cascade!$B:$B,$B23,Cascade!$C:$C,{"15-19","20-24","25-29","30-34","35-39","40-44","45-49","50+"},Cascade!$D:$D,"Male"))</f>
        <v>41</v>
      </c>
      <c r="AP23" s="73" t="str">
        <f aca="false">_xlfn.IFNA(INDEX(KP!$AA:$AA,MATCH(($B23&amp;"|"&amp;AP$3),KP!$D:$D,0)),"")</f>
        <v/>
      </c>
      <c r="AQ23" s="73" t="str">
        <f aca="false">_xlfn.IFNA(INDEX(KP!$AA:$AA,MATCH(($B23&amp;"|"&amp;AQ$3),KP!$D:$D,0)),"")</f>
        <v/>
      </c>
      <c r="AR23" s="73" t="str">
        <f aca="false">_xlfn.IFNA(INDEX(KP!$AA:$AA,MATCH(($B23&amp;"|"&amp;AR$3),KP!$D:$D,0)),"")</f>
        <v/>
      </c>
      <c r="AS23" s="73" t="str">
        <f aca="false">_xlfn.IFNA(INDEX(KP!$AA:$AA,MATCH(($B23&amp;"|"&amp;AS$3),KP!$D:$D,0)),"")</f>
        <v/>
      </c>
      <c r="AT23" s="73" t="str">
        <f aca="false">_xlfn.IFNA(INDEX(KP!$AA:$AA,MATCH(($B23&amp;"|"&amp;AT$3),KP!$D:$D,0)),"")</f>
        <v/>
      </c>
      <c r="AU23" s="73" t="n">
        <f aca="false">SUM(SUMIFS(HTS!$BN:$BN,HTS!$B:$B,$B23,HTS!$C:$C,{"15-19","20-24","25-29","30-34","35-39","40-44","45-49","50+"},HTS!$D:$D,"Female"))</f>
        <v>-13279</v>
      </c>
      <c r="AV23" s="73" t="n">
        <f aca="false">SUM(SUMIFS(HTS!$BN:$BN,HTS!$B:$B,$B23,HTS!$C:$C,{"15-19","20-24","25-29","30-34","35-39","40-44","45-49","50+"},HTS!$D:$D,"Male"))</f>
        <v>199</v>
      </c>
      <c r="AW23" s="73" t="str">
        <f aca="false">_xlfn.IFNA(INDEX(KP!$AI:$AI,MATCH(($B23&amp;"|"&amp;AW$3),KP!$D:$D,0)),"")</f>
        <v/>
      </c>
      <c r="AX23" s="73" t="str">
        <f aca="false">_xlfn.IFNA(INDEX(KP!$AI:$AI,MATCH(($B23&amp;"|"&amp;AX$3),KP!$D:$D,0)),"")</f>
        <v/>
      </c>
      <c r="AY23" s="73" t="str">
        <f aca="false">_xlfn.IFNA(INDEX(KP!$AI:$AI,MATCH(($B23&amp;"|"&amp;AY$3),KP!$D:$D,0)),"")</f>
        <v/>
      </c>
      <c r="AZ23" s="73" t="str">
        <f aca="false">_xlfn.IFNA(INDEX(KP!$AI:$AI,MATCH(($B23&amp;"|"&amp;AZ$3),KP!$D:$D,0)),"")</f>
        <v/>
      </c>
      <c r="BA23" s="73" t="str">
        <f aca="false">_xlfn.IFNA(INDEX(KP!$AI:$AI,MATCH(($B23&amp;"|"&amp;BA$3),KP!$D:$D,0)),"")</f>
        <v/>
      </c>
      <c r="BB23" s="73" t="n">
        <f aca="false">SUM(SUMIFS(HTS!$BT:$BT,HTS!$B:$B,$B23,HTS!$C:$C,{"15-19","20-24","25-29","30-34","35-39","40-44","45-49","50+"},HTS!$D:$D,"Female"))</f>
        <v>13492</v>
      </c>
      <c r="BC23" s="73" t="n">
        <f aca="false">SUM(SUMIFS(HTS!$BT:$BT,HTS!$B:$B,$B23,HTS!$C:$C,{"15-19","20-24","25-29","30-34","35-39","40-44","45-49","50+"},HTS!$D:$D,"Male"))</f>
        <v>-22</v>
      </c>
      <c r="BD23" s="73" t="str">
        <f aca="false">_xlfn.IFNA(INDEX(KP!$AJ:$AJ,MATCH(($B23&amp;"|"&amp;BD$3),KP!$D:$D,0)),"")</f>
        <v/>
      </c>
      <c r="BE23" s="73" t="str">
        <f aca="false">_xlfn.IFNA(INDEX(KP!$AJ:$AJ,MATCH(($B23&amp;"|"&amp;BE$3),KP!$D:$D,0)),"")</f>
        <v/>
      </c>
      <c r="BF23" s="73" t="str">
        <f aca="false">_xlfn.IFNA(INDEX(KP!$AJ:$AJ,MATCH(($B23&amp;"|"&amp;BF$3),KP!$D:$D,0)),"")</f>
        <v/>
      </c>
      <c r="BG23" s="73" t="str">
        <f aca="false">_xlfn.IFNA(INDEX(KP!$AJ:$AJ,MATCH(($B23&amp;"|"&amp;BG$3),KP!$D:$D,0)),"")</f>
        <v/>
      </c>
      <c r="BH23" s="73" t="str">
        <f aca="false">_xlfn.IFNA(INDEX(KP!$AJ:$AJ,MATCH(($B23&amp;"|"&amp;BH$3),KP!$D:$D,0)),"")</f>
        <v/>
      </c>
      <c r="BI23" s="73" t="n">
        <f aca="false">SUM(SUMIFS(HTS_RECENT!$AF:$AF,HTS_RECENT!$B:$B,$B23,HTS_RECENT!$C:$C,{"15-19","20-24","25-29","30-34","35-39","40-44","45-49","50+"},HTS_RECENT!$D:$D,"Female"))</f>
        <v>-13279</v>
      </c>
      <c r="BJ23" s="73" t="n">
        <f aca="false">SUM(SUMIFS(HTS_RECENT!$AF:$AF,HTS_RECENT!$B:$B,$B23,HTS_RECENT!$C:$C,{"15-19","20-24","25-29","30-34","35-39","40-44","45-49","50+"},HTS_RECENT!$D:$D,"Male"))</f>
        <v>199</v>
      </c>
      <c r="BK23" s="73" t="str">
        <f aca="false">_xlfn.IFNA(INDEX(KP!$AL:$AL,MATCH(($B23&amp;"|"&amp;BK$3),KP!$D:$D,0)),"")</f>
        <v/>
      </c>
      <c r="BL23" s="73" t="str">
        <f aca="false">_xlfn.IFNA(INDEX(KP!$AL:$AL,MATCH(($B23&amp;"|"&amp;BL$3),KP!$D:$D,0)),"")</f>
        <v/>
      </c>
      <c r="BM23" s="73" t="str">
        <f aca="false">_xlfn.IFNA(INDEX(KP!$AL:$AL,MATCH(($B23&amp;"|"&amp;BM$3),KP!$D:$D,0)),"")</f>
        <v/>
      </c>
      <c r="BN23" s="73" t="str">
        <f aca="false">_xlfn.IFNA(INDEX(KP!$AL:$AL,MATCH(($B23&amp;"|"&amp;BN$3),KP!$D:$D,0)),"")</f>
        <v/>
      </c>
      <c r="BO23" s="73" t="str">
        <f aca="false">_xlfn.IFNA(INDEX(KP!$AL:$AL,MATCH(($B23&amp;"|"&amp;BO$3),KP!$D:$D,0)),"")</f>
        <v/>
      </c>
      <c r="BP23" s="73" t="n">
        <f aca="false">SUM(SUMIFS(HTS!$BY:$BY,HTS!$B:$B,$B23,HTS!$C:$C,{"15-19","20-24","25-29","30-34","35-39","40-44","45-49","50+"},HTS!$D:$D,"Female"))</f>
        <v>0</v>
      </c>
      <c r="BQ23" s="73" t="n">
        <f aca="false">SUM(SUMIFS(HTS!$BY:$BY,HTS!$B:$B,$B23,HTS!$C:$C,{"15-19","20-24","25-29","30-34","35-39","40-44","45-49","50+"},HTS!$D:$D,"Male"))</f>
        <v>0</v>
      </c>
      <c r="BR23" s="73" t="n">
        <f aca="false">_xlfn.IFNA(INDEX(KP!$AN:$AN,MATCH(($B23&amp;"|"&amp;BR$3),KP!$D:$D,0)),"")</f>
        <v>0</v>
      </c>
      <c r="BS23" s="73" t="n">
        <f aca="false">_xlfn.IFNA(INDEX(KP!$AN:$AN,MATCH(($B23&amp;"|"&amp;BS$3),KP!$D:$D,0)),"")</f>
        <v>0</v>
      </c>
      <c r="BT23" s="73" t="n">
        <f aca="false">_xlfn.IFNA(INDEX(KP!$AN:$AN,MATCH(($B23&amp;"|"&amp;BT$3),KP!$D:$D,0)),"")</f>
        <v>0</v>
      </c>
      <c r="BU23" s="73" t="n">
        <f aca="false">_xlfn.IFNA(INDEX(KP!$AN:$AN,MATCH(($B23&amp;"|"&amp;BU$3),KP!$D:$D,0)),"")</f>
        <v>0</v>
      </c>
      <c r="BV23" s="73" t="n">
        <f aca="false">_xlfn.IFNA(INDEX(KP!$AN:$AN,MATCH(($B23&amp;"|"&amp;BV$3),KP!$D:$D,0)),"")</f>
        <v>0</v>
      </c>
    </row>
    <row r="24" customFormat="false" ht="15" hidden="false" customHeight="false" outlineLevel="0" collapsed="false">
      <c r="A24" s="53" t="s">
        <v>150</v>
      </c>
      <c r="B24" s="53" t="s">
        <v>117</v>
      </c>
      <c r="C24" s="73" t="n">
        <f aca="false">SUM(SUMIFS(PrEP!$O:$O,PrEP!$B:$B,$B24,PrEP!$C:$C,{"15-19","20-24","25-29","30-34","35-39","40-44","45-49","50+"},PrEP!$D:$D,"Female"))</f>
        <v>0</v>
      </c>
      <c r="D24" s="73" t="n">
        <f aca="false">SUM(SUMIFS(PrEP!$O:$O,PrEP!$B:$B,$B24,PrEP!$C:$C,{"15-19","20-24","25-29"},PrEP!$D:$D,"Female"))</f>
        <v>0</v>
      </c>
      <c r="E24" s="73" t="n">
        <f aca="false">SUM(SUMIFS(PrEP!$O:$O,PrEP!$B:$B,$B24,PrEP!$C:$C,{"15-19","20-24","25-29","30-34","35-39","40-44","45-49","50+"},PrEP!$D:$D,"Male"))</f>
        <v>0</v>
      </c>
      <c r="F24" s="73" t="n">
        <f aca="false">_xlfn.IFNA(INDEX(KP!$I:$I,MATCH(($B24&amp;"|"&amp;F$3),KP!$D:$D,0)),"")</f>
        <v>0</v>
      </c>
      <c r="G24" s="73" t="n">
        <f aca="false">_xlfn.IFNA(INDEX(KP!$I:$I,MATCH(($B24&amp;"|"&amp;G$3),KP!$D:$D,0)),"")</f>
        <v>0</v>
      </c>
      <c r="H24" s="73" t="n">
        <f aca="false">_xlfn.IFNA(INDEX(KP!$I:$I,MATCH(($B24&amp;"|"&amp;H$3),KP!$D:$D,0)),"")</f>
        <v>0</v>
      </c>
      <c r="I24" s="73" t="n">
        <f aca="false">_xlfn.IFNA(INDEX(KP!$I:$I,MATCH(($B24&amp;"|"&amp;I$3),KP!$D:$D,0)),"")</f>
        <v>0</v>
      </c>
      <c r="J24" s="73" t="n">
        <f aca="false">_xlfn.IFNA(INDEX(KP!$I:$I,MATCH(($B24&amp;"|"&amp;J$3),KP!$D:$D,0)),"")</f>
        <v>0</v>
      </c>
      <c r="K24" s="73" t="n">
        <f aca="false">SUM(SUMIFS(PrEP!$L:$L,PrEP!$B:$B,$B24,PrEP!$C:$C,{"15-19","20-24","25-29","30-34","35-39","40-44","45-49","50+"},PrEP!$D:$D,"Female"))</f>
        <v>0</v>
      </c>
      <c r="L24" s="73"/>
      <c r="M24" s="73" t="n">
        <f aca="false">SUM(SUMIFS(PrEP!$L:$L,PrEP!$B:$B,$B24,PrEP!$C:$C,{"15-19","20-24","25-29","30-34","35-39","40-44","45-49","50+"},PrEP!$D:$D,"Male"))</f>
        <v>0</v>
      </c>
      <c r="N24" s="73" t="n">
        <f aca="false">_xlfn.IFNA(INDEX(KP!$K:$K,MATCH(($B24&amp;"|"&amp;N$3),KP!$D:$D,0)),"")</f>
        <v>0</v>
      </c>
      <c r="O24" s="73" t="n">
        <f aca="false">_xlfn.IFNA(INDEX(KP!$K:$K,MATCH(($B24&amp;"|"&amp;O$3),KP!$D:$D,0)),"")</f>
        <v>0</v>
      </c>
      <c r="P24" s="73" t="n">
        <f aca="false">_xlfn.IFNA(INDEX(KP!$K:$K,MATCH(($B24&amp;"|"&amp;P$3),KP!$D:$D,0)),"")</f>
        <v>0</v>
      </c>
      <c r="Q24" s="73" t="n">
        <f aca="false">_xlfn.IFNA(INDEX(KP!$K:$K,MATCH(($B24&amp;"|"&amp;Q$3),KP!$D:$D,0)),"")</f>
        <v>0</v>
      </c>
      <c r="R24" s="73" t="n">
        <f aca="false">_xlfn.IFNA(INDEX(KP!$K:$K,MATCH(($B24&amp;"|"&amp;R$3),KP!$D:$D,0)),"")</f>
        <v>0</v>
      </c>
      <c r="S24" s="73" t="n">
        <f aca="false">SUM(SUMIFS(Cascade!$AE:$AE,Cascade!$B:$B,$B24,Cascade!$C:$C,{"15-19","20-24","25-29","30-34","35-39","40-44","45-49","50+"},Cascade!$D:$D,"Female"))</f>
        <v>52</v>
      </c>
      <c r="T24" s="73" t="n">
        <f aca="false">SUM(SUMIFS(Cascade!$AE:$AE,Cascade!$B:$B,$B24,Cascade!$C:$C,{"15-19","20-24","25-29","30-34","35-39","40-44","45-49","50+"},Cascade!$D:$D,"Male"))</f>
        <v>8</v>
      </c>
      <c r="U24" s="73" t="n">
        <f aca="false">_xlfn.IFNA(INDEX(KP!$P:$P,MATCH(($B24&amp;"|"&amp;U$3),KP!$D:$D,0)),"")</f>
        <v>0</v>
      </c>
      <c r="V24" s="73" t="n">
        <f aca="false">_xlfn.IFNA(INDEX(KP!$P:$P,MATCH(($B24&amp;"|"&amp;V$3),KP!$D:$D,0)),"")</f>
        <v>0</v>
      </c>
      <c r="W24" s="73" t="n">
        <f aca="false">_xlfn.IFNA(INDEX(KP!$P:$P,MATCH(($B24&amp;"|"&amp;W$3),KP!$D:$D,0)),"")</f>
        <v>0</v>
      </c>
      <c r="X24" s="73" t="n">
        <f aca="false">_xlfn.IFNA(INDEX(KP!$P:$P,MATCH(($B24&amp;"|"&amp;X$3),KP!$D:$D,0)),"")</f>
        <v>0</v>
      </c>
      <c r="Y24" s="73" t="n">
        <f aca="false">_xlfn.IFNA(INDEX(KP!$P:$P,MATCH(($B24&amp;"|"&amp;Y$3),KP!$D:$D,0)),"")</f>
        <v>0</v>
      </c>
      <c r="Z24" s="73" t="n">
        <f aca="false">SUM(SUMIFS(Cascade!$AM:$AM,Cascade!$B:$B,$B24,Cascade!$C:$C,{"15-19","20-24","25-29","30-34","35-39","40-44","45-49","50+"},Cascade!$D:$D,"Female"))</f>
        <v>16</v>
      </c>
      <c r="AA24" s="73" t="n">
        <f aca="false">SUM(SUMIFS(Cascade!$AM:$AM,Cascade!$B:$B,$B24,Cascade!$C:$C,{"15-19","20-24","25-29","30-34","35-39","40-44","45-49","50+"},Cascade!$D:$D,"Male"))</f>
        <v>1</v>
      </c>
      <c r="AB24" s="73" t="str">
        <f aca="false">_xlfn.IFNA(INDEX(KP!$V:$V,MATCH(($B24&amp;"|"&amp;AB$3),KP!$D:$D,0)),"")</f>
        <v/>
      </c>
      <c r="AC24" s="73" t="str">
        <f aca="false">_xlfn.IFNA(INDEX(KP!$V:$V,MATCH(($B24&amp;"|"&amp;AC$3),KP!$D:$D,0)),"")</f>
        <v/>
      </c>
      <c r="AD24" s="73" t="str">
        <f aca="false">_xlfn.IFNA(INDEX(KP!$V:$V,MATCH(($B24&amp;"|"&amp;AD$3),KP!$D:$D,0)),"")</f>
        <v/>
      </c>
      <c r="AE24" s="73" t="str">
        <f aca="false">_xlfn.IFNA(INDEX(KP!$V:$V,MATCH(($B24&amp;"|"&amp;AE$3),KP!$D:$D,0)),"")</f>
        <v/>
      </c>
      <c r="AF24" s="73" t="str">
        <f aca="false">_xlfn.IFNA(INDEX(KP!$V:$V,MATCH(($B24&amp;"|"&amp;AF$3),KP!$D:$D,0)),"")</f>
        <v/>
      </c>
      <c r="AG24" s="73" t="n">
        <f aca="false">SUM(SUMIFS(Cascade!$AP:$AP,Cascade!$B:$B,$B24,Cascade!$C:$C,{"15-19","20-24","25-29","30-34","35-39","40-44","45-49","50+"},Cascade!$D:$D,"Female"))</f>
        <v>48</v>
      </c>
      <c r="AH24" s="73" t="n">
        <f aca="false">SUM(SUMIFS(Cascade!$AP:$AP,Cascade!$B:$B,$B24,Cascade!$C:$C,{"15-19","20-24","25-29","30-34","35-39","40-44","45-49","50+"},Cascade!$D:$D,"Male"))</f>
        <v>8</v>
      </c>
      <c r="AI24" s="73" t="str">
        <f aca="false">_xlfn.IFNA(INDEX(KP!$Y:$Y,MATCH(($B24&amp;"|"&amp;AI$3),KP!$D:$D,0)),"")</f>
        <v/>
      </c>
      <c r="AJ24" s="73" t="str">
        <f aca="false">_xlfn.IFNA(INDEX(KP!$Y:$Y,MATCH(($B24&amp;"|"&amp;AJ$3),KP!$D:$D,0)),"")</f>
        <v/>
      </c>
      <c r="AK24" s="73" t="str">
        <f aca="false">_xlfn.IFNA(INDEX(KP!$Y:$Y,MATCH(($B24&amp;"|"&amp;AK$3),KP!$D:$D,0)),"")</f>
        <v/>
      </c>
      <c r="AL24" s="73" t="str">
        <f aca="false">_xlfn.IFNA(INDEX(KP!$Y:$Y,MATCH(($B24&amp;"|"&amp;AL$3),KP!$D:$D,0)),"")</f>
        <v/>
      </c>
      <c r="AM24" s="73" t="str">
        <f aca="false">_xlfn.IFNA(INDEX(KP!$Y:$Y,MATCH(($B24&amp;"|"&amp;AM$3),KP!$D:$D,0)),"")</f>
        <v/>
      </c>
      <c r="AN24" s="73" t="n">
        <f aca="false">SUM(SUMIFS(Cascade!$AT:$AT,Cascade!$B:$B,$B24,Cascade!$C:$C,{"15-19","20-24","25-29","30-34","35-39","40-44","45-49","50+"},Cascade!$D:$D,"Female"))</f>
        <v>46</v>
      </c>
      <c r="AO24" s="73" t="n">
        <f aca="false">SUM(SUMIFS(Cascade!$AT:$AT,Cascade!$B:$B,$B24,Cascade!$C:$C,{"15-19","20-24","25-29","30-34","35-39","40-44","45-49","50+"},Cascade!$D:$D,"Male"))</f>
        <v>8</v>
      </c>
      <c r="AP24" s="73" t="str">
        <f aca="false">_xlfn.IFNA(INDEX(KP!$AA:$AA,MATCH(($B24&amp;"|"&amp;AP$3),KP!$D:$D,0)),"")</f>
        <v/>
      </c>
      <c r="AQ24" s="73" t="str">
        <f aca="false">_xlfn.IFNA(INDEX(KP!$AA:$AA,MATCH(($B24&amp;"|"&amp;AQ$3),KP!$D:$D,0)),"")</f>
        <v/>
      </c>
      <c r="AR24" s="73" t="str">
        <f aca="false">_xlfn.IFNA(INDEX(KP!$AA:$AA,MATCH(($B24&amp;"|"&amp;AR$3),KP!$D:$D,0)),"")</f>
        <v/>
      </c>
      <c r="AS24" s="73" t="str">
        <f aca="false">_xlfn.IFNA(INDEX(KP!$AA:$AA,MATCH(($B24&amp;"|"&amp;AS$3),KP!$D:$D,0)),"")</f>
        <v/>
      </c>
      <c r="AT24" s="73" t="str">
        <f aca="false">_xlfn.IFNA(INDEX(KP!$AA:$AA,MATCH(($B24&amp;"|"&amp;AT$3),KP!$D:$D,0)),"")</f>
        <v/>
      </c>
      <c r="AU24" s="73" t="n">
        <f aca="false">SUM(SUMIFS(HTS!$BN:$BN,HTS!$B:$B,$B24,HTS!$C:$C,{"15-19","20-24","25-29","30-34","35-39","40-44","45-49","50+"},HTS!$D:$D,"Female"))</f>
        <v>-50749</v>
      </c>
      <c r="AV24" s="73" t="n">
        <f aca="false">SUM(SUMIFS(HTS!$BN:$BN,HTS!$B:$B,$B24,HTS!$C:$C,{"15-19","20-24","25-29","30-34","35-39","40-44","45-49","50+"},HTS!$D:$D,"Male"))</f>
        <v>239</v>
      </c>
      <c r="AW24" s="73" t="str">
        <f aca="false">_xlfn.IFNA(INDEX(KP!$AI:$AI,MATCH(($B24&amp;"|"&amp;AW$3),KP!$D:$D,0)),"")</f>
        <v/>
      </c>
      <c r="AX24" s="73" t="str">
        <f aca="false">_xlfn.IFNA(INDEX(KP!$AI:$AI,MATCH(($B24&amp;"|"&amp;AX$3),KP!$D:$D,0)),"")</f>
        <v/>
      </c>
      <c r="AY24" s="73" t="str">
        <f aca="false">_xlfn.IFNA(INDEX(KP!$AI:$AI,MATCH(($B24&amp;"|"&amp;AY$3),KP!$D:$D,0)),"")</f>
        <v/>
      </c>
      <c r="AZ24" s="73" t="str">
        <f aca="false">_xlfn.IFNA(INDEX(KP!$AI:$AI,MATCH(($B24&amp;"|"&amp;AZ$3),KP!$D:$D,0)),"")</f>
        <v/>
      </c>
      <c r="BA24" s="73" t="str">
        <f aca="false">_xlfn.IFNA(INDEX(KP!$AI:$AI,MATCH(($B24&amp;"|"&amp;BA$3),KP!$D:$D,0)),"")</f>
        <v/>
      </c>
      <c r="BB24" s="73" t="n">
        <f aca="false">SUM(SUMIFS(HTS!$BT:$BT,HTS!$B:$B,$B24,HTS!$C:$C,{"15-19","20-24","25-29","30-34","35-39","40-44","45-49","50+"},HTS!$D:$D,"Female"))</f>
        <v>52215</v>
      </c>
      <c r="BC24" s="73" t="n">
        <f aca="false">SUM(SUMIFS(HTS!$BT:$BT,HTS!$B:$B,$B24,HTS!$C:$C,{"15-19","20-24","25-29","30-34","35-39","40-44","45-49","50+"},HTS!$D:$D,"Male"))</f>
        <v>-41</v>
      </c>
      <c r="BD24" s="73" t="str">
        <f aca="false">_xlfn.IFNA(INDEX(KP!$AJ:$AJ,MATCH(($B24&amp;"|"&amp;BD$3),KP!$D:$D,0)),"")</f>
        <v/>
      </c>
      <c r="BE24" s="73" t="str">
        <f aca="false">_xlfn.IFNA(INDEX(KP!$AJ:$AJ,MATCH(($B24&amp;"|"&amp;BE$3),KP!$D:$D,0)),"")</f>
        <v/>
      </c>
      <c r="BF24" s="73" t="str">
        <f aca="false">_xlfn.IFNA(INDEX(KP!$AJ:$AJ,MATCH(($B24&amp;"|"&amp;BF$3),KP!$D:$D,0)),"")</f>
        <v/>
      </c>
      <c r="BG24" s="73" t="str">
        <f aca="false">_xlfn.IFNA(INDEX(KP!$AJ:$AJ,MATCH(($B24&amp;"|"&amp;BG$3),KP!$D:$D,0)),"")</f>
        <v/>
      </c>
      <c r="BH24" s="73" t="str">
        <f aca="false">_xlfn.IFNA(INDEX(KP!$AJ:$AJ,MATCH(($B24&amp;"|"&amp;BH$3),KP!$D:$D,0)),"")</f>
        <v/>
      </c>
      <c r="BI24" s="73" t="n">
        <f aca="false">SUM(SUMIFS(HTS_RECENT!$AF:$AF,HTS_RECENT!$B:$B,$B24,HTS_RECENT!$C:$C,{"15-19","20-24","25-29","30-34","35-39","40-44","45-49","50+"},HTS_RECENT!$D:$D,"Female"))</f>
        <v>-50749</v>
      </c>
      <c r="BJ24" s="73" t="n">
        <f aca="false">SUM(SUMIFS(HTS_RECENT!$AF:$AF,HTS_RECENT!$B:$B,$B24,HTS_RECENT!$C:$C,{"15-19","20-24","25-29","30-34","35-39","40-44","45-49","50+"},HTS_RECENT!$D:$D,"Male"))</f>
        <v>239</v>
      </c>
      <c r="BK24" s="73" t="str">
        <f aca="false">_xlfn.IFNA(INDEX(KP!$AL:$AL,MATCH(($B24&amp;"|"&amp;BK$3),KP!$D:$D,0)),"")</f>
        <v/>
      </c>
      <c r="BL24" s="73" t="str">
        <f aca="false">_xlfn.IFNA(INDEX(KP!$AL:$AL,MATCH(($B24&amp;"|"&amp;BL$3),KP!$D:$D,0)),"")</f>
        <v/>
      </c>
      <c r="BM24" s="73" t="str">
        <f aca="false">_xlfn.IFNA(INDEX(KP!$AL:$AL,MATCH(($B24&amp;"|"&amp;BM$3),KP!$D:$D,0)),"")</f>
        <v/>
      </c>
      <c r="BN24" s="73" t="str">
        <f aca="false">_xlfn.IFNA(INDEX(KP!$AL:$AL,MATCH(($B24&amp;"|"&amp;BN$3),KP!$D:$D,0)),"")</f>
        <v/>
      </c>
      <c r="BO24" s="73" t="str">
        <f aca="false">_xlfn.IFNA(INDEX(KP!$AL:$AL,MATCH(($B24&amp;"|"&amp;BO$3),KP!$D:$D,0)),"")</f>
        <v/>
      </c>
      <c r="BP24" s="73" t="n">
        <f aca="false">SUM(SUMIFS(HTS!$BY:$BY,HTS!$B:$B,$B24,HTS!$C:$C,{"15-19","20-24","25-29","30-34","35-39","40-44","45-49","50+"},HTS!$D:$D,"Female"))</f>
        <v>0</v>
      </c>
      <c r="BQ24" s="73" t="n">
        <f aca="false">SUM(SUMIFS(HTS!$BY:$BY,HTS!$B:$B,$B24,HTS!$C:$C,{"15-19","20-24","25-29","30-34","35-39","40-44","45-49","50+"},HTS!$D:$D,"Male"))</f>
        <v>0</v>
      </c>
      <c r="BR24" s="73" t="n">
        <f aca="false">_xlfn.IFNA(INDEX(KP!$AN:$AN,MATCH(($B24&amp;"|"&amp;BR$3),KP!$D:$D,0)),"")</f>
        <v>0</v>
      </c>
      <c r="BS24" s="73" t="n">
        <f aca="false">_xlfn.IFNA(INDEX(KP!$AN:$AN,MATCH(($B24&amp;"|"&amp;BS$3),KP!$D:$D,0)),"")</f>
        <v>0</v>
      </c>
      <c r="BT24" s="73" t="n">
        <f aca="false">_xlfn.IFNA(INDEX(KP!$AN:$AN,MATCH(($B24&amp;"|"&amp;BT$3),KP!$D:$D,0)),"")</f>
        <v>0</v>
      </c>
      <c r="BU24" s="73" t="n">
        <f aca="false">_xlfn.IFNA(INDEX(KP!$AN:$AN,MATCH(($B24&amp;"|"&amp;BU$3),KP!$D:$D,0)),"")</f>
        <v>0</v>
      </c>
      <c r="BV24" s="73" t="n">
        <f aca="false">_xlfn.IFNA(INDEX(KP!$AN:$AN,MATCH(($B24&amp;"|"&amp;BV$3),KP!$D:$D,0)),"")</f>
        <v>0</v>
      </c>
    </row>
    <row r="25" customFormat="false" ht="15" hidden="false" customHeight="false" outlineLevel="0" collapsed="false">
      <c r="A25" s="53" t="s">
        <v>151</v>
      </c>
      <c r="B25" s="53" t="s">
        <v>101</v>
      </c>
      <c r="C25" s="73" t="n">
        <f aca="false">SUM(SUMIFS(PrEP!$O:$O,PrEP!$B:$B,$B25,PrEP!$C:$C,{"15-19","20-24","25-29","30-34","35-39","40-44","45-49","50+"},PrEP!$D:$D,"Female"))</f>
        <v>0</v>
      </c>
      <c r="D25" s="73" t="n">
        <f aca="false">SUM(SUMIFS(PrEP!$O:$O,PrEP!$B:$B,$B25,PrEP!$C:$C,{"15-19","20-24","25-29"},PrEP!$D:$D,"Female"))</f>
        <v>0</v>
      </c>
      <c r="E25" s="73" t="n">
        <f aca="false">SUM(SUMIFS(PrEP!$O:$O,PrEP!$B:$B,$B25,PrEP!$C:$C,{"15-19","20-24","25-29","30-34","35-39","40-44","45-49","50+"},PrEP!$D:$D,"Male"))</f>
        <v>0</v>
      </c>
      <c r="F25" s="73" t="n">
        <f aca="false">_xlfn.IFNA(INDEX(KP!$I:$I,MATCH(($B25&amp;"|"&amp;F$3),KP!$D:$D,0)),"")</f>
        <v>0</v>
      </c>
      <c r="G25" s="73" t="n">
        <f aca="false">_xlfn.IFNA(INDEX(KP!$I:$I,MATCH(($B25&amp;"|"&amp;G$3),KP!$D:$D,0)),"")</f>
        <v>0</v>
      </c>
      <c r="H25" s="73" t="n">
        <f aca="false">_xlfn.IFNA(INDEX(KP!$I:$I,MATCH(($B25&amp;"|"&amp;H$3),KP!$D:$D,0)),"")</f>
        <v>0</v>
      </c>
      <c r="I25" s="73" t="n">
        <f aca="false">_xlfn.IFNA(INDEX(KP!$I:$I,MATCH(($B25&amp;"|"&amp;I$3),KP!$D:$D,0)),"")</f>
        <v>0</v>
      </c>
      <c r="J25" s="73" t="n">
        <f aca="false">_xlfn.IFNA(INDEX(KP!$I:$I,MATCH(($B25&amp;"|"&amp;J$3),KP!$D:$D,0)),"")</f>
        <v>0</v>
      </c>
      <c r="K25" s="73" t="n">
        <f aca="false">SUM(SUMIFS(PrEP!$L:$L,PrEP!$B:$B,$B25,PrEP!$C:$C,{"15-19","20-24","25-29","30-34","35-39","40-44","45-49","50+"},PrEP!$D:$D,"Female"))</f>
        <v>0</v>
      </c>
      <c r="L25" s="73"/>
      <c r="M25" s="73" t="n">
        <f aca="false">SUM(SUMIFS(PrEP!$L:$L,PrEP!$B:$B,$B25,PrEP!$C:$C,{"15-19","20-24","25-29","30-34","35-39","40-44","45-49","50+"},PrEP!$D:$D,"Male"))</f>
        <v>0</v>
      </c>
      <c r="N25" s="73" t="n">
        <f aca="false">_xlfn.IFNA(INDEX(KP!$K:$K,MATCH(($B25&amp;"|"&amp;N$3),KP!$D:$D,0)),"")</f>
        <v>0</v>
      </c>
      <c r="O25" s="73" t="n">
        <f aca="false">_xlfn.IFNA(INDEX(KP!$K:$K,MATCH(($B25&amp;"|"&amp;O$3),KP!$D:$D,0)),"")</f>
        <v>0</v>
      </c>
      <c r="P25" s="73" t="n">
        <f aca="false">_xlfn.IFNA(INDEX(KP!$K:$K,MATCH(($B25&amp;"|"&amp;P$3),KP!$D:$D,0)),"")</f>
        <v>0</v>
      </c>
      <c r="Q25" s="73" t="n">
        <f aca="false">_xlfn.IFNA(INDEX(KP!$K:$K,MATCH(($B25&amp;"|"&amp;Q$3),KP!$D:$D,0)),"")</f>
        <v>0</v>
      </c>
      <c r="R25" s="73" t="n">
        <f aca="false">_xlfn.IFNA(INDEX(KP!$K:$K,MATCH(($B25&amp;"|"&amp;R$3),KP!$D:$D,0)),"")</f>
        <v>0</v>
      </c>
      <c r="S25" s="73" t="n">
        <f aca="false">SUM(SUMIFS(Cascade!$AE:$AE,Cascade!$B:$B,$B25,Cascade!$C:$C,{"15-19","20-24","25-29","30-34","35-39","40-44","45-49","50+"},Cascade!$D:$D,"Female"))</f>
        <v>53</v>
      </c>
      <c r="T25" s="73" t="n">
        <f aca="false">SUM(SUMIFS(Cascade!$AE:$AE,Cascade!$B:$B,$B25,Cascade!$C:$C,{"15-19","20-24","25-29","30-34","35-39","40-44","45-49","50+"},Cascade!$D:$D,"Male"))</f>
        <v>4</v>
      </c>
      <c r="U25" s="73" t="n">
        <f aca="false">_xlfn.IFNA(INDEX(KP!$P:$P,MATCH(($B25&amp;"|"&amp;U$3),KP!$D:$D,0)),"")</f>
        <v>0</v>
      </c>
      <c r="V25" s="73" t="n">
        <f aca="false">_xlfn.IFNA(INDEX(KP!$P:$P,MATCH(($B25&amp;"|"&amp;V$3),KP!$D:$D,0)),"")</f>
        <v>0</v>
      </c>
      <c r="W25" s="73" t="n">
        <f aca="false">_xlfn.IFNA(INDEX(KP!$P:$P,MATCH(($B25&amp;"|"&amp;W$3),KP!$D:$D,0)),"")</f>
        <v>0</v>
      </c>
      <c r="X25" s="73" t="n">
        <f aca="false">_xlfn.IFNA(INDEX(KP!$P:$P,MATCH(($B25&amp;"|"&amp;X$3),KP!$D:$D,0)),"")</f>
        <v>0</v>
      </c>
      <c r="Y25" s="73" t="n">
        <f aca="false">_xlfn.IFNA(INDEX(KP!$P:$P,MATCH(($B25&amp;"|"&amp;Y$3),KP!$D:$D,0)),"")</f>
        <v>0</v>
      </c>
      <c r="Z25" s="73" t="n">
        <f aca="false">SUM(SUMIFS(Cascade!$AM:$AM,Cascade!$B:$B,$B25,Cascade!$C:$C,{"15-19","20-24","25-29","30-34","35-39","40-44","45-49","50+"},Cascade!$D:$D,"Female"))</f>
        <v>11</v>
      </c>
      <c r="AA25" s="73" t="n">
        <f aca="false">SUM(SUMIFS(Cascade!$AM:$AM,Cascade!$B:$B,$B25,Cascade!$C:$C,{"15-19","20-24","25-29","30-34","35-39","40-44","45-49","50+"},Cascade!$D:$D,"Male"))</f>
        <v>0</v>
      </c>
      <c r="AB25" s="73" t="str">
        <f aca="false">_xlfn.IFNA(INDEX(KP!$V:$V,MATCH(($B25&amp;"|"&amp;AB$3),KP!$D:$D,0)),"")</f>
        <v/>
      </c>
      <c r="AC25" s="73" t="str">
        <f aca="false">_xlfn.IFNA(INDEX(KP!$V:$V,MATCH(($B25&amp;"|"&amp;AC$3),KP!$D:$D,0)),"")</f>
        <v/>
      </c>
      <c r="AD25" s="73" t="str">
        <f aca="false">_xlfn.IFNA(INDEX(KP!$V:$V,MATCH(($B25&amp;"|"&amp;AD$3),KP!$D:$D,0)),"")</f>
        <v/>
      </c>
      <c r="AE25" s="73" t="str">
        <f aca="false">_xlfn.IFNA(INDEX(KP!$V:$V,MATCH(($B25&amp;"|"&amp;AE$3),KP!$D:$D,0)),"")</f>
        <v/>
      </c>
      <c r="AF25" s="73" t="str">
        <f aca="false">_xlfn.IFNA(INDEX(KP!$V:$V,MATCH(($B25&amp;"|"&amp;AF$3),KP!$D:$D,0)),"")</f>
        <v/>
      </c>
      <c r="AG25" s="73" t="n">
        <f aca="false">SUM(SUMIFS(Cascade!$AP:$AP,Cascade!$B:$B,$B25,Cascade!$C:$C,{"15-19","20-24","25-29","30-34","35-39","40-44","45-49","50+"},Cascade!$D:$D,"Female"))</f>
        <v>51</v>
      </c>
      <c r="AH25" s="73" t="n">
        <f aca="false">SUM(SUMIFS(Cascade!$AP:$AP,Cascade!$B:$B,$B25,Cascade!$C:$C,{"15-19","20-24","25-29","30-34","35-39","40-44","45-49","50+"},Cascade!$D:$D,"Male"))</f>
        <v>4</v>
      </c>
      <c r="AI25" s="73" t="str">
        <f aca="false">_xlfn.IFNA(INDEX(KP!$Y:$Y,MATCH(($B25&amp;"|"&amp;AI$3),KP!$D:$D,0)),"")</f>
        <v/>
      </c>
      <c r="AJ25" s="73" t="str">
        <f aca="false">_xlfn.IFNA(INDEX(KP!$Y:$Y,MATCH(($B25&amp;"|"&amp;AJ$3),KP!$D:$D,0)),"")</f>
        <v/>
      </c>
      <c r="AK25" s="73" t="str">
        <f aca="false">_xlfn.IFNA(INDEX(KP!$Y:$Y,MATCH(($B25&amp;"|"&amp;AK$3),KP!$D:$D,0)),"")</f>
        <v/>
      </c>
      <c r="AL25" s="73" t="str">
        <f aca="false">_xlfn.IFNA(INDEX(KP!$Y:$Y,MATCH(($B25&amp;"|"&amp;AL$3),KP!$D:$D,0)),"")</f>
        <v/>
      </c>
      <c r="AM25" s="73" t="str">
        <f aca="false">_xlfn.IFNA(INDEX(KP!$Y:$Y,MATCH(($B25&amp;"|"&amp;AM$3),KP!$D:$D,0)),"")</f>
        <v/>
      </c>
      <c r="AN25" s="73" t="n">
        <f aca="false">SUM(SUMIFS(Cascade!$AT:$AT,Cascade!$B:$B,$B25,Cascade!$C:$C,{"15-19","20-24","25-29","30-34","35-39","40-44","45-49","50+"},Cascade!$D:$D,"Female"))</f>
        <v>48</v>
      </c>
      <c r="AO25" s="73" t="n">
        <f aca="false">SUM(SUMIFS(Cascade!$AT:$AT,Cascade!$B:$B,$B25,Cascade!$C:$C,{"15-19","20-24","25-29","30-34","35-39","40-44","45-49","50+"},Cascade!$D:$D,"Male"))</f>
        <v>4</v>
      </c>
      <c r="AP25" s="73" t="str">
        <f aca="false">_xlfn.IFNA(INDEX(KP!$AA:$AA,MATCH(($B25&amp;"|"&amp;AP$3),KP!$D:$D,0)),"")</f>
        <v/>
      </c>
      <c r="AQ25" s="73" t="str">
        <f aca="false">_xlfn.IFNA(INDEX(KP!$AA:$AA,MATCH(($B25&amp;"|"&amp;AQ$3),KP!$D:$D,0)),"")</f>
        <v/>
      </c>
      <c r="AR25" s="73" t="str">
        <f aca="false">_xlfn.IFNA(INDEX(KP!$AA:$AA,MATCH(($B25&amp;"|"&amp;AR$3),KP!$D:$D,0)),"")</f>
        <v/>
      </c>
      <c r="AS25" s="73" t="str">
        <f aca="false">_xlfn.IFNA(INDEX(KP!$AA:$AA,MATCH(($B25&amp;"|"&amp;AS$3),KP!$D:$D,0)),"")</f>
        <v/>
      </c>
      <c r="AT25" s="73" t="str">
        <f aca="false">_xlfn.IFNA(INDEX(KP!$AA:$AA,MATCH(($B25&amp;"|"&amp;AT$3),KP!$D:$D,0)),"")</f>
        <v/>
      </c>
      <c r="AU25" s="73" t="n">
        <f aca="false">SUM(SUMIFS(HTS!$BN:$BN,HTS!$B:$B,$B25,HTS!$C:$C,{"15-19","20-24","25-29","30-34","35-39","40-44","45-49","50+"},HTS!$D:$D,"Female"))</f>
        <v>-6330</v>
      </c>
      <c r="AV25" s="73" t="n">
        <f aca="false">SUM(SUMIFS(HTS!$BN:$BN,HTS!$B:$B,$B25,HTS!$C:$C,{"15-19","20-24","25-29","30-34","35-39","40-44","45-49","50+"},HTS!$D:$D,"Male"))</f>
        <v>0</v>
      </c>
      <c r="AW25" s="73" t="str">
        <f aca="false">_xlfn.IFNA(INDEX(KP!$AI:$AI,MATCH(($B25&amp;"|"&amp;AW$3),KP!$D:$D,0)),"")</f>
        <v/>
      </c>
      <c r="AX25" s="73" t="str">
        <f aca="false">_xlfn.IFNA(INDEX(KP!$AI:$AI,MATCH(($B25&amp;"|"&amp;AX$3),KP!$D:$D,0)),"")</f>
        <v/>
      </c>
      <c r="AY25" s="73" t="str">
        <f aca="false">_xlfn.IFNA(INDEX(KP!$AI:$AI,MATCH(($B25&amp;"|"&amp;AY$3),KP!$D:$D,0)),"")</f>
        <v/>
      </c>
      <c r="AZ25" s="73" t="str">
        <f aca="false">_xlfn.IFNA(INDEX(KP!$AI:$AI,MATCH(($B25&amp;"|"&amp;AZ$3),KP!$D:$D,0)),"")</f>
        <v/>
      </c>
      <c r="BA25" s="73" t="str">
        <f aca="false">_xlfn.IFNA(INDEX(KP!$AI:$AI,MATCH(($B25&amp;"|"&amp;BA$3),KP!$D:$D,0)),"")</f>
        <v/>
      </c>
      <c r="BB25" s="73" t="n">
        <f aca="false">SUM(SUMIFS(HTS!$BT:$BT,HTS!$B:$B,$B25,HTS!$C:$C,{"15-19","20-24","25-29","30-34","35-39","40-44","45-49","50+"},HTS!$D:$D,"Female"))</f>
        <v>7782</v>
      </c>
      <c r="BC25" s="73" t="n">
        <f aca="false">SUM(SUMIFS(HTS!$BT:$BT,HTS!$B:$B,$B25,HTS!$C:$C,{"15-19","20-24","25-29","30-34","35-39","40-44","45-49","50+"},HTS!$D:$D,"Male"))</f>
        <v>26</v>
      </c>
      <c r="BD25" s="73" t="str">
        <f aca="false">_xlfn.IFNA(INDEX(KP!$AJ:$AJ,MATCH(($B25&amp;"|"&amp;BD$3),KP!$D:$D,0)),"")</f>
        <v/>
      </c>
      <c r="BE25" s="73" t="str">
        <f aca="false">_xlfn.IFNA(INDEX(KP!$AJ:$AJ,MATCH(($B25&amp;"|"&amp;BE$3),KP!$D:$D,0)),"")</f>
        <v/>
      </c>
      <c r="BF25" s="73" t="str">
        <f aca="false">_xlfn.IFNA(INDEX(KP!$AJ:$AJ,MATCH(($B25&amp;"|"&amp;BF$3),KP!$D:$D,0)),"")</f>
        <v/>
      </c>
      <c r="BG25" s="73" t="str">
        <f aca="false">_xlfn.IFNA(INDEX(KP!$AJ:$AJ,MATCH(($B25&amp;"|"&amp;BG$3),KP!$D:$D,0)),"")</f>
        <v/>
      </c>
      <c r="BH25" s="73" t="str">
        <f aca="false">_xlfn.IFNA(INDEX(KP!$AJ:$AJ,MATCH(($B25&amp;"|"&amp;BH$3),KP!$D:$D,0)),"")</f>
        <v/>
      </c>
      <c r="BI25" s="73" t="n">
        <f aca="false">SUM(SUMIFS(HTS_RECENT!$AF:$AF,HTS_RECENT!$B:$B,$B25,HTS_RECENT!$C:$C,{"15-19","20-24","25-29","30-34","35-39","40-44","45-49","50+"},HTS_RECENT!$D:$D,"Female"))</f>
        <v>-6330</v>
      </c>
      <c r="BJ25" s="73" t="n">
        <f aca="false">SUM(SUMIFS(HTS_RECENT!$AF:$AF,HTS_RECENT!$B:$B,$B25,HTS_RECENT!$C:$C,{"15-19","20-24","25-29","30-34","35-39","40-44","45-49","50+"},HTS_RECENT!$D:$D,"Male"))</f>
        <v>0</v>
      </c>
      <c r="BK25" s="73" t="str">
        <f aca="false">_xlfn.IFNA(INDEX(KP!$AL:$AL,MATCH(($B25&amp;"|"&amp;BK$3),KP!$D:$D,0)),"")</f>
        <v/>
      </c>
      <c r="BL25" s="73" t="str">
        <f aca="false">_xlfn.IFNA(INDEX(KP!$AL:$AL,MATCH(($B25&amp;"|"&amp;BL$3),KP!$D:$D,0)),"")</f>
        <v/>
      </c>
      <c r="BM25" s="73" t="str">
        <f aca="false">_xlfn.IFNA(INDEX(KP!$AL:$AL,MATCH(($B25&amp;"|"&amp;BM$3),KP!$D:$D,0)),"")</f>
        <v/>
      </c>
      <c r="BN25" s="73" t="str">
        <f aca="false">_xlfn.IFNA(INDEX(KP!$AL:$AL,MATCH(($B25&amp;"|"&amp;BN$3),KP!$D:$D,0)),"")</f>
        <v/>
      </c>
      <c r="BO25" s="73" t="str">
        <f aca="false">_xlfn.IFNA(INDEX(KP!$AL:$AL,MATCH(($B25&amp;"|"&amp;BO$3),KP!$D:$D,0)),"")</f>
        <v/>
      </c>
      <c r="BP25" s="73" t="n">
        <f aca="false">SUM(SUMIFS(HTS!$BY:$BY,HTS!$B:$B,$B25,HTS!$C:$C,{"15-19","20-24","25-29","30-34","35-39","40-44","45-49","50+"},HTS!$D:$D,"Female"))</f>
        <v>4</v>
      </c>
      <c r="BQ25" s="73" t="n">
        <f aca="false">SUM(SUMIFS(HTS!$BY:$BY,HTS!$B:$B,$B25,HTS!$C:$C,{"15-19","20-24","25-29","30-34","35-39","40-44","45-49","50+"},HTS!$D:$D,"Male"))</f>
        <v>0</v>
      </c>
      <c r="BR25" s="73" t="n">
        <f aca="false">_xlfn.IFNA(INDEX(KP!$AN:$AN,MATCH(($B25&amp;"|"&amp;BR$3),KP!$D:$D,0)),"")</f>
        <v>0</v>
      </c>
      <c r="BS25" s="73" t="n">
        <f aca="false">_xlfn.IFNA(INDEX(KP!$AN:$AN,MATCH(($B25&amp;"|"&amp;BS$3),KP!$D:$D,0)),"")</f>
        <v>0</v>
      </c>
      <c r="BT25" s="73" t="n">
        <f aca="false">_xlfn.IFNA(INDEX(KP!$AN:$AN,MATCH(($B25&amp;"|"&amp;BT$3),KP!$D:$D,0)),"")</f>
        <v>0</v>
      </c>
      <c r="BU25" s="73" t="n">
        <f aca="false">_xlfn.IFNA(INDEX(KP!$AN:$AN,MATCH(($B25&amp;"|"&amp;BU$3),KP!$D:$D,0)),"")</f>
        <v>0</v>
      </c>
      <c r="BV25" s="73" t="n">
        <f aca="false">_xlfn.IFNA(INDEX(KP!$AN:$AN,MATCH(($B25&amp;"|"&amp;BV$3),KP!$D:$D,0)),"")</f>
        <v>0</v>
      </c>
    </row>
  </sheetData>
  <conditionalFormatting sqref="S1:S1048576 U1:U1048576">
    <cfRule type="expression" priority="2" aboveAverage="0" equalAverage="0" bottom="0" percent="0" rank="0" text="" dxfId="0">
      <formula>AND(ROW($U1)&gt;14,SUM($U1)&gt;$S1)</formula>
    </cfRule>
  </conditionalFormatting>
  <conditionalFormatting sqref="T1:T1048576 V1:V1048576">
    <cfRule type="expression" priority="3" aboveAverage="0" equalAverage="0" bottom="0" percent="0" rank="0" text="" dxfId="1">
      <formula>AND(ROW($V1)&gt;14,SUM($V1)&gt;$T1)</formula>
    </cfRule>
  </conditionalFormatting>
  <conditionalFormatting sqref="C1:BV1048576">
    <cfRule type="expression" priority="4" aboveAverage="0" equalAverage="0" bottom="0" percent="0" rank="0" text="" dxfId="2">
      <formula>C1&lt;0</formula>
    </cfRule>
  </conditionalFormatting>
  <conditionalFormatting sqref="S1:T1048576 W1:Y1048576">
    <cfRule type="expression" priority="5" aboveAverage="0" equalAverage="0" bottom="0" percent="0" rank="0" text="" dxfId="3">
      <formula>AND(ISNUMBER(S1),(($S1-$U1)+($T1-$V1))&lt;SUM($W1:$Y1))</formula>
    </cfRule>
  </conditionalFormatting>
  <conditionalFormatting sqref="Z1:Z1048576 AB1:AB1048576">
    <cfRule type="expression" priority="6" aboveAverage="0" equalAverage="0" bottom="0" percent="0" rank="0" text="" dxfId="0">
      <formula>AND(ROW($AB1)&gt;14,SUM($AB1)&gt;$Z1)</formula>
    </cfRule>
  </conditionalFormatting>
  <conditionalFormatting sqref="AA1:AA1048576 AC1:AC1048576">
    <cfRule type="expression" priority="7" aboveAverage="0" equalAverage="0" bottom="0" percent="0" rank="0" text="" dxfId="1">
      <formula>AND(ROW($AC1)&gt;14,SUM($AC1)&gt;$AA1)</formula>
    </cfRule>
  </conditionalFormatting>
  <conditionalFormatting sqref="Z1:AA1048576 AD1:AF1048576">
    <cfRule type="expression" priority="8" aboveAverage="0" equalAverage="0" bottom="0" percent="0" rank="0" text="" dxfId="2">
      <formula>(($Z1-$AB1)+($AA1-$AC1))&lt;SUM($AD1:$AF1)</formula>
    </cfRule>
  </conditionalFormatting>
  <conditionalFormatting sqref="AG1:AG1048576 AI1:AI1048576">
    <cfRule type="expression" priority="9" aboveAverage="0" equalAverage="0" bottom="0" percent="0" rank="0" text="" dxfId="3">
      <formula>AND(ROW($AI1)&gt;14,SUM($AI1)&gt;$AG1)</formula>
    </cfRule>
  </conditionalFormatting>
  <conditionalFormatting sqref="AH1:AH1048576 AJ1:AJ1048576">
    <cfRule type="expression" priority="10" aboveAverage="0" equalAverage="0" bottom="0" percent="0" rank="0" text="" dxfId="4">
      <formula>AND(ROW($AJ1)&gt;14,SUM($AJ1)&gt;$AH1)</formula>
    </cfRule>
  </conditionalFormatting>
  <conditionalFormatting sqref="AG1:AH1048576 AK1:AM1048576">
    <cfRule type="expression" priority="11" aboveAverage="0" equalAverage="0" bottom="0" percent="0" rank="0" text="" dxfId="5">
      <formula>(($AG1-$AI1)+($AH1-$AJ1))&lt;SUM($AK1:$AM1)</formula>
    </cfRule>
  </conditionalFormatting>
  <conditionalFormatting sqref="AP1:AP1048576 AN1:AN1048576">
    <cfRule type="expression" priority="12" aboveAverage="0" equalAverage="0" bottom="0" percent="0" rank="0" text="" dxfId="6">
      <formula>AND(ROW($AP1)&gt;14,SUM($AP1)&gt;$AN1)</formula>
    </cfRule>
  </conditionalFormatting>
  <conditionalFormatting sqref="AQ1:AQ1048576 AO1:AO1048576">
    <cfRule type="expression" priority="13" aboveAverage="0" equalAverage="0" bottom="0" percent="0" rank="0" text="" dxfId="7">
      <formula>AND(ROW($AQ1)&gt;14,SUM($AQ1)&gt;$AO1)</formula>
    </cfRule>
  </conditionalFormatting>
  <conditionalFormatting sqref="AR1:AT1048576 AN1:AO1048576">
    <cfRule type="expression" priority="14" aboveAverage="0" equalAverage="0" bottom="0" percent="0" rank="0" text="" dxfId="8">
      <formula>(($AN1-$AP1)+($AO1-$AQ1))&lt;SUM($AR1:$AT1)</formula>
    </cfRule>
  </conditionalFormatting>
  <conditionalFormatting sqref="AW1:AW1048576 AU1:AU1048576">
    <cfRule type="expression" priority="15" aboveAverage="0" equalAverage="0" bottom="0" percent="0" rank="0" text="" dxfId="9">
      <formula>AND(ROW($AW1)&gt;14,SUM($AW1)&gt;$AU1)</formula>
    </cfRule>
  </conditionalFormatting>
  <conditionalFormatting sqref="AX1:AX1048576 AV1:AV1048576">
    <cfRule type="expression" priority="16" aboveAverage="0" equalAverage="0" bottom="0" percent="0" rank="0" text="" dxfId="10">
      <formula>AND(ROW($AX1)&gt;14,SUM($AX1)&gt;$AV1)</formula>
    </cfRule>
  </conditionalFormatting>
  <conditionalFormatting sqref="AY1:BA1048576 AU1:AV1048576">
    <cfRule type="expression" priority="17" aboveAverage="0" equalAverage="0" bottom="0" percent="0" rank="0" text="" dxfId="11">
      <formula>(($AU1-$AW1)+($AV1-$AX1))&lt;SUM($AY1:$BA1)</formula>
    </cfRule>
  </conditionalFormatting>
  <conditionalFormatting sqref="BB1:BB1048576 BD1:BD1048576">
    <cfRule type="expression" priority="18" aboveAverage="0" equalAverage="0" bottom="0" percent="0" rank="0" text="" dxfId="12">
      <formula>AND(ROW($BD1)&gt;14,SUM($BD1)&gt;$BB1)</formula>
    </cfRule>
  </conditionalFormatting>
  <conditionalFormatting sqref="BC1:BC1048576 BE1:BE1048576">
    <cfRule type="expression" priority="19" aboveAverage="0" equalAverage="0" bottom="0" percent="0" rank="0" text="" dxfId="13">
      <formula>AND(ROW($BE1)&gt;14,SUM($BE1)&gt;$BC1)</formula>
    </cfRule>
  </conditionalFormatting>
  <conditionalFormatting sqref="BB1:BC1048576 BF1:BH1048576">
    <cfRule type="expression" priority="20" aboveAverage="0" equalAverage="0" bottom="0" percent="0" rank="0" text="" dxfId="14">
      <formula>(($BB1-$BD1)+($BC1-$BE1))&lt;SUM($BF1:$BH1)</formula>
    </cfRule>
  </conditionalFormatting>
  <conditionalFormatting sqref="BK1:BK1048576 BI1:BI1048576">
    <cfRule type="expression" priority="21" aboveAverage="0" equalAverage="0" bottom="0" percent="0" rank="0" text="" dxfId="15">
      <formula>AND(ROW($BK1)&gt;14,SUM($BK1)&gt;$BI1)</formula>
    </cfRule>
  </conditionalFormatting>
  <conditionalFormatting sqref="BL1:BL1048576 BJ1:BJ1048576">
    <cfRule type="expression" priority="22" aboveAverage="0" equalAverage="0" bottom="0" percent="0" rank="0" text="" dxfId="16">
      <formula>AND(ROW($BL1)&gt;14,SUM($BL1)&gt;$BJ1)</formula>
    </cfRule>
  </conditionalFormatting>
  <conditionalFormatting sqref="BM1:BO1048576 BI1:BJ1048576">
    <cfRule type="expression" priority="23" aboveAverage="0" equalAverage="0" bottom="0" percent="0" rank="0" text="" dxfId="17">
      <formula>(($BI1-$BK1)+($BJ1-$BL1))&lt;SUM($BM1:$BO1)</formula>
    </cfRule>
  </conditionalFormatting>
  <conditionalFormatting sqref="BR1:BR1048576 BP1:BP1048576">
    <cfRule type="expression" priority="24" aboveAverage="0" equalAverage="0" bottom="0" percent="0" rank="0" text="" dxfId="18">
      <formula>AND(ROW($BR1)&gt;14,SUM($BR1)&gt;$BP1)</formula>
    </cfRule>
  </conditionalFormatting>
  <conditionalFormatting sqref="BS1:BS1048576 BQ1:BQ1048576">
    <cfRule type="expression" priority="25" aboveAverage="0" equalAverage="0" bottom="0" percent="0" rank="0" text="" dxfId="19">
      <formula>AND(ROW($BS1)&gt;14,SUM($BS1)&gt;$BQ1)</formula>
    </cfRule>
  </conditionalFormatting>
  <conditionalFormatting sqref="BT1:BV1048576 BP1:BQ1048576">
    <cfRule type="expression" priority="26" aboveAverage="0" equalAverage="0" bottom="0" percent="0" rank="0" text="" dxfId="20">
      <formula>(($BP1-$BR1)+($BQ1-$BS1))&lt;SUM($BT1:$BV1)</formula>
    </cfRule>
  </conditionalFormatting>
  <conditionalFormatting sqref="C1:D1048576 F1:F1048576">
    <cfRule type="expression" priority="27" aboveAverage="0" equalAverage="0" bottom="0" percent="0" rank="0" text="" dxfId="21">
      <formula>AND(ROW($F1)&gt;14,SUM($F1)&gt;$C1)</formula>
    </cfRule>
  </conditionalFormatting>
  <conditionalFormatting sqref="G1:G1048576 E1:E1048576">
    <cfRule type="expression" priority="28" aboveAverage="0" equalAverage="0" bottom="0" percent="0" rank="0" text="" dxfId="22">
      <formula>AND(ROW($G1)&gt;14,SUM($G1)&gt;$E1)</formula>
    </cfRule>
  </conditionalFormatting>
  <conditionalFormatting sqref="H1:J1048576 C1:E1048576">
    <cfRule type="expression" priority="29" aboveAverage="0" equalAverage="0" bottom="0" percent="0" rank="0" text="" dxfId="23">
      <formula>(($C1-$F1)+($E1-$G1))&lt;SUM($H1:$J1)</formula>
    </cfRule>
  </conditionalFormatting>
  <conditionalFormatting sqref="K1:L1048576 N1:N1048576">
    <cfRule type="expression" priority="30" aboveAverage="0" equalAverage="0" bottom="0" percent="0" rank="0" text="" dxfId="24">
      <formula>AND(ROW($N1)&gt;14,SUM($N1)&gt;$K1)</formula>
    </cfRule>
  </conditionalFormatting>
  <conditionalFormatting sqref="M1:M1048576 O1:O1048576">
    <cfRule type="expression" priority="31" aboveAverage="0" equalAverage="0" bottom="0" percent="0" rank="0" text="" dxfId="0">
      <formula>AND(ROW($O1)&gt;14,SUM($O1)&gt;$M1)</formula>
    </cfRule>
  </conditionalFormatting>
  <conditionalFormatting sqref="K1:M1048576 P1:R1048576">
    <cfRule type="expression" priority="32" aboveAverage="0" equalAverage="0" bottom="0" percent="0" rank="0" text="" dxfId="1">
      <formula>(($K1-$N1)+($M1-$O1))&lt;SUM($P1:$R1)</formula>
    </cfRule>
  </conditionalFormatting>
  <hyperlinks>
    <hyperlink ref="C3" location="PrEP!O:O" display="Female, 15+ (FY22)"/>
    <hyperlink ref="D3" location="PrEP!O:O" display="AGYW, 15+ (FY22)"/>
    <hyperlink ref="E3" location="PrEP!O:O" display="Male, 15+ (FY22)"/>
    <hyperlink ref="F3" location="KP!I:I" display="FSW"/>
    <hyperlink ref="G3" location="KP!I:I" display="MSM"/>
    <hyperlink ref="H3" location="KP!I:I" display="People in prisons and other enclosed settings"/>
    <hyperlink ref="I3" location="KP!I:I" display="PWID"/>
    <hyperlink ref="J3" location="KP!I:I" display="TG"/>
    <hyperlink ref="K3" location="PrEP!L:L" display="Female, 15+ (FY22)"/>
    <hyperlink ref="L3" location="PrEP!L:L" display="AGYW, 15+ (FY22)"/>
    <hyperlink ref="M3" location="PrEP!L:L" display="Male, 15+ (FY22)"/>
    <hyperlink ref="N3" location="KP!K:K" display="FSW"/>
    <hyperlink ref="O3" location="KP!K:K" display="MSM"/>
    <hyperlink ref="P3" location="KP!K:K" display="People in prisons and other enclosed settings"/>
    <hyperlink ref="Q3" location="KP!K:K" display="PWID"/>
    <hyperlink ref="R3" location="KP!K:K" display="TG"/>
    <hyperlink ref="S3" location="Cascade!AE:AE" display="Female, 15+ (FY22)"/>
    <hyperlink ref="T3" location="Cascade!AE:AE" display="Male, 15+ (FY22)"/>
    <hyperlink ref="U3" location="KP!P:P" display="FSW"/>
    <hyperlink ref="V3" location="KP!P:P" display="MSM"/>
    <hyperlink ref="W3" location="KP!P:P" display="People in prisons and other enclosed settings"/>
    <hyperlink ref="X3" location="KP!P:P" display="PWID"/>
    <hyperlink ref="Y3" location="KP!P:P" display="TG"/>
    <hyperlink ref="Z3" location="Cascade!AM:AM" display="Female, 15+ (FY22)"/>
    <hyperlink ref="AA3" location="Cascade!AM:AM" display="Male, 15+ (FY22)"/>
    <hyperlink ref="AB3" location="KP!V:V" display="FSW"/>
    <hyperlink ref="AC3" location="KP!V:V" display="MSM"/>
    <hyperlink ref="AD3" location="KP!V:V" display="People in prisons and other enclosed settings"/>
    <hyperlink ref="AE3" location="KP!V:V" display="PWID"/>
    <hyperlink ref="AF3" location="KP!V:V" display="TG"/>
    <hyperlink ref="AG3" location="Cascade!AP:AP" display="Female, 15+ (FY22)"/>
    <hyperlink ref="AH3" location="Cascade!AP:AP" display="Male, 15+ (FY22)"/>
    <hyperlink ref="AI3" location="KP!Y:Y" display="FSW"/>
    <hyperlink ref="AJ3" location="KP!Y:Y" display="MSM"/>
    <hyperlink ref="AK3" location="KP!Y:Y" display="People in prisons and other enclosed settings"/>
    <hyperlink ref="AL3" location="KP!Y:Y" display="PWID"/>
    <hyperlink ref="AM3" location="KP!Y:Y" display="TG"/>
    <hyperlink ref="AN3" location="Cascade!AT:AT" display="Female, 15+ (FY22)"/>
    <hyperlink ref="AO3" location="Cascade!AT:AT" display="Male, 15+ (FY22)"/>
    <hyperlink ref="AP3" location="KP!AA:AA" display="FSW"/>
    <hyperlink ref="AQ3" location="KP!AA:AA" display="MSM"/>
    <hyperlink ref="AR3" location="KP!AA:AA" display="People in prisons and other enclosed settings"/>
    <hyperlink ref="AS3" location="KP!AA:AA" display="PWID"/>
    <hyperlink ref="AT3" location="KP!AA:AA" display="TG"/>
    <hyperlink ref="AU3" location="HTS!BN:BN" display="Female, 15+ (FY22)"/>
    <hyperlink ref="AV3" location="HTS!BN:BN" display="Male, 15+ (FY22)"/>
    <hyperlink ref="AW3" location="KP!AG:AG" display="FSW"/>
    <hyperlink ref="AX3" location="KP!AG:AG" display="MSM"/>
    <hyperlink ref="AY3" location="KP!AG:AG" display="People in prisons and other enclosed settings"/>
    <hyperlink ref="AZ3" location="KP!AG:AG" display="PWID"/>
    <hyperlink ref="BA3" location="KP!AG:AG" display="TG"/>
    <hyperlink ref="BB3" location="HTS!BT:BT" display="Female, 15+ (FY22)"/>
    <hyperlink ref="BC3" location="HTS!BT:BT" display="Male, 15+ (FY22)"/>
    <hyperlink ref="BD3" location="KP!AH:AH" display="FSW"/>
    <hyperlink ref="BE3" location="KP!AH:AH" display="MSM"/>
    <hyperlink ref="BF3" location="KP!AH:AH" display="People in prisons and other enclosed settings"/>
    <hyperlink ref="BG3" location="KP!AH:AH" display="PWID"/>
    <hyperlink ref="BH3" location="KP!AH:AH" display="TG"/>
    <hyperlink ref="BI3" location="HTS_RECENT!AF:AF" display="Female, 15+ (FY22)"/>
    <hyperlink ref="BJ3" location="HTS_RECENT!AF:AF" display="Male, 15+ (FY22)"/>
    <hyperlink ref="BK3" location="KP!AJ:AJ" display="FSW"/>
    <hyperlink ref="BL3" location="KP!AJ:AJ" display="MSM"/>
    <hyperlink ref="BM3" location="KP!AJ:AJ" display="People in prisons and other enclosed settings"/>
    <hyperlink ref="BN3" location="KP!AJ:AJ" display="PWID"/>
    <hyperlink ref="BO3" location="KP!AJ:AJ" display="TG"/>
    <hyperlink ref="BP3" location="HTS!BY:BY" display="Female, 15+ (FY22)"/>
    <hyperlink ref="BQ3" location="HTS!BY:BY" display="Male, 15+ (FY22)"/>
    <hyperlink ref="BR3" location="KP!AL:AL" display="FSW"/>
    <hyperlink ref="BS3" location="KP!AL:AL" display="MSM"/>
    <hyperlink ref="BT3" location="KP!AL:AL" display="People in prisons and other enclosed settings"/>
    <hyperlink ref="BU3" location="KP!AL:AL" display="PWID"/>
    <hyperlink ref="BV3" location="KP!AL:AL" display="T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K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4" topLeftCell="E15" activePane="bottomRight" state="frozen"/>
      <selection pane="topLeft" activeCell="A1" activeCellId="0" sqref="A1"/>
      <selection pane="topRight" activeCell="E1" activeCellId="0" sqref="E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16.16"/>
    <col collapsed="false" customWidth="true" hidden="false" outlineLevel="0" max="2" min="2" style="0" width="30.83"/>
    <col collapsed="false" customWidth="true" hidden="false" outlineLevel="0" max="3" min="3" style="0" width="7.84"/>
    <col collapsed="false" customWidth="true" hidden="true" outlineLevel="0" max="4" min="4" style="0" width="7.84"/>
    <col collapsed="false" customWidth="true" hidden="false" outlineLevel="0" max="5" min="5" style="0" width="12.33"/>
    <col collapsed="false" customWidth="true" hidden="false" outlineLevel="0" max="11" min="6" style="0" width="11.83"/>
    <col collapsed="false" customWidth="true" hidden="false" outlineLevel="0" max="1025" min="12" style="0" width="10.61"/>
  </cols>
  <sheetData>
    <row r="1" customFormat="false" ht="31" hidden="false" customHeight="true" outlineLevel="0" collapsed="false">
      <c r="A1" s="54" t="s">
        <v>1153</v>
      </c>
      <c r="B1" s="54"/>
      <c r="C1" s="54"/>
      <c r="D1" s="54"/>
      <c r="E1" s="76" t="s">
        <v>1153</v>
      </c>
      <c r="F1" s="76"/>
      <c r="G1" s="81"/>
      <c r="H1" s="81"/>
      <c r="I1" s="81"/>
      <c r="J1" s="76"/>
      <c r="K1" s="76"/>
    </row>
    <row r="2" customFormat="false" ht="19" hidden="false" customHeight="true" outlineLevel="0" collapsed="false">
      <c r="A2" s="57"/>
      <c r="B2" s="57"/>
      <c r="C2" s="57"/>
      <c r="D2" s="57"/>
      <c r="E2" s="89" t="s">
        <v>120</v>
      </c>
      <c r="F2" s="89"/>
      <c r="G2" s="87"/>
      <c r="H2" s="87" t="s">
        <v>156</v>
      </c>
      <c r="I2" s="87"/>
      <c r="J2" s="84" t="s">
        <v>121</v>
      </c>
      <c r="K2" s="84"/>
    </row>
    <row r="3" customFormat="false" ht="117" hidden="false" customHeight="true" outlineLevel="0" collapsed="false">
      <c r="D3" s="186"/>
      <c r="E3" s="206" t="s">
        <v>1154</v>
      </c>
      <c r="F3" s="97" t="s">
        <v>1155</v>
      </c>
      <c r="G3" s="103" t="s">
        <v>1156</v>
      </c>
      <c r="H3" s="99" t="s">
        <v>1157</v>
      </c>
      <c r="I3" s="99" t="s">
        <v>1158</v>
      </c>
      <c r="J3" s="100" t="s">
        <v>1159</v>
      </c>
      <c r="K3" s="100" t="s">
        <v>1160</v>
      </c>
    </row>
    <row r="4" customFormat="false" ht="15" hidden="false" customHeight="false" outlineLevel="0" collapsed="false">
      <c r="A4" s="189"/>
      <c r="B4" s="189"/>
      <c r="C4" s="189" t="s">
        <v>125</v>
      </c>
      <c r="D4" s="189"/>
      <c r="E4" s="110" t="n">
        <f aca="false">SUBTOTAL(109,E$15:INDEX(E:E,COUNTA($B:$B)+14-COUNTA($B$1:$B$14)))</f>
        <v>0</v>
      </c>
      <c r="F4" s="109" t="n">
        <f aca="false">SUBTOTAL(109,F$15:INDEX(F:F,COUNTA($B:$B)+14-COUNTA($B$1:$B$14)))</f>
        <v>0</v>
      </c>
      <c r="G4" s="113"/>
      <c r="H4" s="113"/>
      <c r="I4" s="113"/>
      <c r="J4" s="105" t="n">
        <f aca="false">SUBTOTAL(109,J$15:INDEX(J:J,COUNTA($B:$B)+14-COUNTA($B$1:$B$14)))</f>
        <v>0</v>
      </c>
      <c r="K4" s="105" t="n">
        <f aca="false">SUBTOTAL(109,K$15:INDEX(K:K,COUNTA($B:$B)+14-COUNTA($B$1:$B$14)))</f>
        <v>0</v>
      </c>
    </row>
    <row r="5" customFormat="false" ht="12.8" hidden="false" customHeight="false" outlineLevel="0" collapsed="false">
      <c r="A5" s="53" t="s">
        <v>126</v>
      </c>
      <c r="B5" s="53" t="s">
        <v>126</v>
      </c>
      <c r="C5" s="53" t="s">
        <v>126</v>
      </c>
      <c r="D5" s="53" t="s">
        <v>126</v>
      </c>
      <c r="E5" s="73" t="s">
        <v>224</v>
      </c>
      <c r="F5" s="124" t="s">
        <v>225</v>
      </c>
      <c r="G5" s="123" t="s">
        <v>126</v>
      </c>
      <c r="H5" s="123" t="s">
        <v>126</v>
      </c>
      <c r="I5" s="123" t="s">
        <v>126</v>
      </c>
      <c r="J5" s="115" t="s">
        <v>225</v>
      </c>
      <c r="K5" s="115" t="s">
        <v>224</v>
      </c>
    </row>
    <row r="6" customFormat="false" ht="12.8" hidden="false" customHeight="false" outlineLevel="0" collapsed="false">
      <c r="A6" s="53" t="s">
        <v>128</v>
      </c>
      <c r="B6" s="53" t="s">
        <v>128</v>
      </c>
      <c r="C6" s="53" t="s">
        <v>128</v>
      </c>
      <c r="D6" s="53" t="s">
        <v>128</v>
      </c>
      <c r="E6" s="73" t="s">
        <v>130</v>
      </c>
      <c r="F6" s="124" t="s">
        <v>129</v>
      </c>
      <c r="G6" s="123" t="s">
        <v>131</v>
      </c>
      <c r="H6" s="123" t="s">
        <v>227</v>
      </c>
      <c r="I6" s="123" t="s">
        <v>227</v>
      </c>
      <c r="J6" s="115" t="s">
        <v>130</v>
      </c>
      <c r="K6" s="115" t="s">
        <v>130</v>
      </c>
    </row>
    <row r="7" customFormat="false" ht="12.8" hidden="false" customHeight="false" outlineLevel="0" collapsed="false">
      <c r="A7" s="53" t="s">
        <v>132</v>
      </c>
      <c r="B7" s="53" t="s">
        <v>132</v>
      </c>
      <c r="C7" s="53" t="s">
        <v>132</v>
      </c>
      <c r="D7" s="53" t="s">
        <v>132</v>
      </c>
      <c r="E7" s="73" t="s">
        <v>133</v>
      </c>
      <c r="F7" s="124" t="s">
        <v>133</v>
      </c>
      <c r="G7" s="123" t="s">
        <v>229</v>
      </c>
      <c r="H7" s="123" t="s">
        <v>229</v>
      </c>
      <c r="I7" s="123" t="s">
        <v>229</v>
      </c>
      <c r="J7" s="115" t="s">
        <v>133</v>
      </c>
      <c r="K7" s="115" t="s">
        <v>133</v>
      </c>
    </row>
    <row r="8" customFormat="false" ht="12.8" hidden="false" customHeight="false" outlineLevel="0" collapsed="false">
      <c r="A8" s="53"/>
      <c r="B8" s="53"/>
      <c r="C8" s="53"/>
      <c r="D8" s="53"/>
      <c r="E8" s="73" t="s">
        <v>1161</v>
      </c>
      <c r="F8" s="124" t="s">
        <v>1162</v>
      </c>
      <c r="G8" s="123"/>
      <c r="H8" s="123"/>
      <c r="I8" s="123"/>
      <c r="J8" s="115" t="s">
        <v>1162</v>
      </c>
      <c r="K8" s="115" t="s">
        <v>1161</v>
      </c>
    </row>
    <row r="9" customFormat="false" ht="12.8" hidden="false" customHeight="false" outlineLevel="0" collapsed="false">
      <c r="A9" s="53"/>
      <c r="B9" s="53"/>
      <c r="C9" s="53"/>
      <c r="D9" s="53"/>
      <c r="E9" s="73"/>
      <c r="F9" s="124" t="s">
        <v>1163</v>
      </c>
      <c r="G9" s="123"/>
      <c r="H9" s="123"/>
      <c r="I9" s="123"/>
      <c r="J9" s="115" t="s">
        <v>1163</v>
      </c>
      <c r="K9" s="115"/>
    </row>
    <row r="10" customFormat="false" ht="12.8" hidden="false" customHeight="false" outlineLevel="0" collapsed="false">
      <c r="A10" s="53"/>
      <c r="B10" s="53"/>
      <c r="C10" s="53"/>
      <c r="D10" s="53"/>
      <c r="E10" s="73"/>
      <c r="F10" s="124"/>
      <c r="G10" s="123"/>
      <c r="H10" s="123"/>
      <c r="I10" s="123"/>
      <c r="J10" s="115"/>
      <c r="K10" s="115"/>
    </row>
    <row r="11" customFormat="false" ht="12.8" hidden="false" customHeight="false" outlineLevel="0" collapsed="false">
      <c r="A11" s="53"/>
      <c r="B11" s="53"/>
      <c r="C11" s="53"/>
      <c r="D11" s="53"/>
      <c r="E11" s="73"/>
      <c r="F11" s="124"/>
      <c r="G11" s="123"/>
      <c r="H11" s="123"/>
      <c r="I11" s="123"/>
      <c r="J11" s="115"/>
      <c r="K11" s="115"/>
    </row>
    <row r="12" customFormat="false" ht="12.8" hidden="false" customHeight="false" outlineLevel="0" collapsed="false">
      <c r="A12" s="53"/>
      <c r="B12" s="53"/>
      <c r="C12" s="53"/>
      <c r="D12" s="53"/>
      <c r="E12" s="73" t="s">
        <v>249</v>
      </c>
      <c r="F12" s="124" t="s">
        <v>249</v>
      </c>
      <c r="G12" s="123" t="s">
        <v>249</v>
      </c>
      <c r="H12" s="123" t="s">
        <v>249</v>
      </c>
      <c r="I12" s="123" t="s">
        <v>249</v>
      </c>
      <c r="J12" s="115" t="s">
        <v>249</v>
      </c>
      <c r="K12" s="115" t="s">
        <v>249</v>
      </c>
    </row>
    <row r="13" customFormat="false" ht="12.8" hidden="false" customHeight="false" outlineLevel="0" collapsed="false">
      <c r="A13" s="53"/>
      <c r="B13" s="53"/>
      <c r="C13" s="53"/>
      <c r="D13" s="53"/>
      <c r="E13" s="73"/>
      <c r="F13" s="124"/>
      <c r="G13" s="123"/>
      <c r="H13" s="123"/>
      <c r="I13" s="123"/>
      <c r="J13" s="115"/>
      <c r="K13" s="115"/>
    </row>
    <row r="14" customFormat="false" ht="15" hidden="false" customHeight="false" outlineLevel="0" collapsed="false">
      <c r="A14" s="70" t="s">
        <v>135</v>
      </c>
      <c r="B14" s="70" t="s">
        <v>136</v>
      </c>
      <c r="C14" s="70" t="s">
        <v>253</v>
      </c>
      <c r="D14" s="70" t="s">
        <v>42</v>
      </c>
      <c r="E14" s="131" t="s">
        <v>1164</v>
      </c>
      <c r="F14" s="131" t="s">
        <v>1165</v>
      </c>
      <c r="G14" s="162" t="s">
        <v>1166</v>
      </c>
      <c r="H14" s="162" t="s">
        <v>1167</v>
      </c>
      <c r="I14" s="162" t="s">
        <v>1168</v>
      </c>
      <c r="J14" s="131" t="s">
        <v>1169</v>
      </c>
      <c r="K14" s="131" t="s">
        <v>1170</v>
      </c>
    </row>
    <row r="15" customFormat="false" ht="15" hidden="false" customHeight="false" outlineLevel="0" collapsed="false">
      <c r="A15" s="53" t="s">
        <v>140</v>
      </c>
      <c r="B15" s="53" t="s">
        <v>141</v>
      </c>
      <c r="C15" s="53" t="s">
        <v>56</v>
      </c>
      <c r="D15" s="53" t="str">
        <f aca="false">B15&amp;"|"&amp;C15</f>
        <v>_Military Lesotho [#Military] [dDOqoFnD5Be]|Female</v>
      </c>
      <c r="E15" s="115"/>
      <c r="F15" s="124"/>
      <c r="G15" s="123" t="str">
        <f aca="false">IF(SUM($E15)=0,"",SUM($F15)/$E15)</f>
        <v/>
      </c>
      <c r="H15" s="123" t="str">
        <f aca="false">$G15</f>
        <v/>
      </c>
      <c r="I15" s="123" t="n">
        <f aca="false">0%</f>
        <v>0</v>
      </c>
      <c r="J15" s="115" t="str">
        <f aca="false">IF(SUM($F15)=0,"",$F15*(1+SUM($I15)))</f>
        <v/>
      </c>
      <c r="K15" s="115" t="str">
        <f aca="false">IF(SUM($H15)&lt;=0,"",SUM($J15)/$H15)</f>
        <v/>
      </c>
    </row>
    <row r="16" customFormat="false" ht="15" hidden="false" customHeight="false" outlineLevel="0" collapsed="false">
      <c r="A16" s="0" t="s">
        <v>140</v>
      </c>
      <c r="B16" s="0" t="s">
        <v>141</v>
      </c>
      <c r="C16" s="0" t="s">
        <v>58</v>
      </c>
      <c r="D16" s="0" t="str">
        <f aca="false">B16&amp;"|"&amp;C16</f>
        <v>_Military Lesotho [#Military] [dDOqoFnD5Be]|Male</v>
      </c>
      <c r="E16" s="75"/>
      <c r="F16" s="73"/>
      <c r="G16" s="118" t="str">
        <f aca="false">IF(SUM($E16)=0,"",SUM($F16)/$E16)</f>
        <v/>
      </c>
      <c r="H16" s="118" t="str">
        <f aca="false">$G16</f>
        <v/>
      </c>
      <c r="I16" s="118" t="n">
        <f aca="false">0%</f>
        <v>0</v>
      </c>
      <c r="J16" s="75" t="str">
        <f aca="false">IF(SUM($F16)=0,"",$F16*(1+SUM($I16)))</f>
        <v/>
      </c>
      <c r="K16" s="75" t="str">
        <f aca="false">IF(SUM($H16)&lt;=0,"",SUM($J16)/$H16)</f>
        <v/>
      </c>
    </row>
    <row r="17" customFormat="false" ht="15" hidden="false" customHeight="false" outlineLevel="0" collapsed="false">
      <c r="A17" s="0" t="s">
        <v>142</v>
      </c>
      <c r="B17" s="0" t="s">
        <v>109</v>
      </c>
      <c r="C17" s="0" t="s">
        <v>56</v>
      </c>
      <c r="D17" s="0" t="str">
        <f aca="false">B17&amp;"|"&amp;C17</f>
        <v>Berea [#SNU] [#DREAMS] [wpg5evyl1OL]|Female</v>
      </c>
      <c r="E17" s="75"/>
      <c r="F17" s="73"/>
      <c r="G17" s="118" t="str">
        <f aca="false">IF(SUM($E17)=0,"",SUM($F17)/$E17)</f>
        <v/>
      </c>
      <c r="H17" s="118" t="str">
        <f aca="false">$G17</f>
        <v/>
      </c>
      <c r="I17" s="118" t="n">
        <f aca="false">0%</f>
        <v>0</v>
      </c>
      <c r="J17" s="75" t="str">
        <f aca="false">IF(SUM($F17)=0,"",$F17*(1+SUM($I17)))</f>
        <v/>
      </c>
      <c r="K17" s="75" t="str">
        <f aca="false">IF(SUM($H17)&lt;=0,"",SUM($J17)/$H17)</f>
        <v/>
      </c>
    </row>
    <row r="18" customFormat="false" ht="15" hidden="false" customHeight="false" outlineLevel="0" collapsed="false">
      <c r="A18" s="0" t="s">
        <v>142</v>
      </c>
      <c r="B18" s="0" t="s">
        <v>109</v>
      </c>
      <c r="C18" s="0" t="s">
        <v>58</v>
      </c>
      <c r="D18" s="0" t="str">
        <f aca="false">B18&amp;"|"&amp;C18</f>
        <v>Berea [#SNU] [#DREAMS] [wpg5evyl1OL]|Male</v>
      </c>
      <c r="E18" s="75"/>
      <c r="F18" s="73"/>
      <c r="G18" s="118" t="str">
        <f aca="false">IF(SUM($E18)=0,"",SUM($F18)/$E18)</f>
        <v/>
      </c>
      <c r="H18" s="118" t="str">
        <f aca="false">$G18</f>
        <v/>
      </c>
      <c r="I18" s="118" t="n">
        <f aca="false">0%</f>
        <v>0</v>
      </c>
      <c r="J18" s="75" t="str">
        <f aca="false">IF(SUM($F18)=0,"",$F18*(1+SUM($I18)))</f>
        <v/>
      </c>
      <c r="K18" s="75" t="str">
        <f aca="false">IF(SUM($H18)&lt;=0,"",SUM($J18)/$H18)</f>
        <v/>
      </c>
    </row>
    <row r="19" customFormat="false" ht="15" hidden="false" customHeight="false" outlineLevel="0" collapsed="false">
      <c r="A19" s="0" t="s">
        <v>143</v>
      </c>
      <c r="B19" s="0" t="s">
        <v>115</v>
      </c>
      <c r="C19" s="0" t="s">
        <v>56</v>
      </c>
      <c r="D19" s="0" t="str">
        <f aca="false">B19&amp;"|"&amp;C19</f>
        <v>Butha Buthe [#SNU] [mvPRqBFtVC0]|Female</v>
      </c>
      <c r="E19" s="75"/>
      <c r="F19" s="73"/>
      <c r="G19" s="118" t="str">
        <f aca="false">IF(SUM($E19)=0,"",SUM($F19)/$E19)</f>
        <v/>
      </c>
      <c r="H19" s="118" t="str">
        <f aca="false">$G19</f>
        <v/>
      </c>
      <c r="I19" s="118" t="n">
        <f aca="false">0%</f>
        <v>0</v>
      </c>
      <c r="J19" s="75" t="str">
        <f aca="false">IF(SUM($F19)=0,"",$F19*(1+SUM($I19)))</f>
        <v/>
      </c>
      <c r="K19" s="75" t="str">
        <f aca="false">IF(SUM($H19)&lt;=0,"",SUM($J19)/$H19)</f>
        <v/>
      </c>
    </row>
    <row r="20" customFormat="false" ht="15" hidden="false" customHeight="false" outlineLevel="0" collapsed="false">
      <c r="A20" s="0" t="s">
        <v>143</v>
      </c>
      <c r="B20" s="0" t="s">
        <v>115</v>
      </c>
      <c r="C20" s="0" t="s">
        <v>58</v>
      </c>
      <c r="D20" s="0" t="str">
        <f aca="false">B20&amp;"|"&amp;C20</f>
        <v>Butha Buthe [#SNU] [mvPRqBFtVC0]|Male</v>
      </c>
      <c r="E20" s="75"/>
      <c r="F20" s="73"/>
      <c r="G20" s="118" t="str">
        <f aca="false">IF(SUM($E20)=0,"",SUM($F20)/$E20)</f>
        <v/>
      </c>
      <c r="H20" s="118" t="str">
        <f aca="false">$G20</f>
        <v/>
      </c>
      <c r="I20" s="118" t="n">
        <f aca="false">0%</f>
        <v>0</v>
      </c>
      <c r="J20" s="75" t="str">
        <f aca="false">IF(SUM($F20)=0,"",$F20*(1+SUM($I20)))</f>
        <v/>
      </c>
      <c r="K20" s="75" t="str">
        <f aca="false">IF(SUM($H20)&lt;=0,"",SUM($J20)/$H20)</f>
        <v/>
      </c>
    </row>
    <row r="21" customFormat="false" ht="15" hidden="false" customHeight="false" outlineLevel="0" collapsed="false">
      <c r="A21" s="0" t="s">
        <v>144</v>
      </c>
      <c r="B21" s="0" t="s">
        <v>103</v>
      </c>
      <c r="C21" s="0" t="s">
        <v>56</v>
      </c>
      <c r="D21" s="0" t="str">
        <f aca="false">B21&amp;"|"&amp;C21</f>
        <v>Leribe [#SNU] [FjSmRywOWUp]|Female</v>
      </c>
      <c r="E21" s="75"/>
      <c r="F21" s="73"/>
      <c r="G21" s="118" t="str">
        <f aca="false">IF(SUM($E21)=0,"",SUM($F21)/$E21)</f>
        <v/>
      </c>
      <c r="H21" s="118" t="str">
        <f aca="false">$G21</f>
        <v/>
      </c>
      <c r="I21" s="118" t="n">
        <f aca="false">0%</f>
        <v>0</v>
      </c>
      <c r="J21" s="75" t="str">
        <f aca="false">IF(SUM($F21)=0,"",$F21*(1+SUM($I21)))</f>
        <v/>
      </c>
      <c r="K21" s="75" t="str">
        <f aca="false">IF(SUM($H21)&lt;=0,"",SUM($J21)/$H21)</f>
        <v/>
      </c>
    </row>
    <row r="22" customFormat="false" ht="15" hidden="false" customHeight="false" outlineLevel="0" collapsed="false">
      <c r="A22" s="0" t="s">
        <v>144</v>
      </c>
      <c r="B22" s="0" t="s">
        <v>103</v>
      </c>
      <c r="C22" s="0" t="s">
        <v>58</v>
      </c>
      <c r="D22" s="0" t="str">
        <f aca="false">B22&amp;"|"&amp;C22</f>
        <v>Leribe [#SNU] [FjSmRywOWUp]|Male</v>
      </c>
      <c r="E22" s="75"/>
      <c r="F22" s="73"/>
      <c r="G22" s="118" t="str">
        <f aca="false">IF(SUM($E22)=0,"",SUM($F22)/$E22)</f>
        <v/>
      </c>
      <c r="H22" s="118" t="str">
        <f aca="false">$G22</f>
        <v/>
      </c>
      <c r="I22" s="118" t="n">
        <f aca="false">0%</f>
        <v>0</v>
      </c>
      <c r="J22" s="75" t="str">
        <f aca="false">IF(SUM($F22)=0,"",$F22*(1+SUM($I22)))</f>
        <v/>
      </c>
      <c r="K22" s="75" t="str">
        <f aca="false">IF(SUM($H22)&lt;=0,"",SUM($J22)/$H22)</f>
        <v/>
      </c>
    </row>
    <row r="23" customFormat="false" ht="15" hidden="false" customHeight="false" outlineLevel="0" collapsed="false">
      <c r="A23" s="0" t="s">
        <v>145</v>
      </c>
      <c r="B23" s="0" t="s">
        <v>107</v>
      </c>
      <c r="C23" s="0" t="s">
        <v>56</v>
      </c>
      <c r="D23" s="0" t="str">
        <f aca="false">B23&amp;"|"&amp;C23</f>
        <v>Mafeteng [#SNU] [#DREAMS] [DiFv5WXIHM5]|Female</v>
      </c>
      <c r="E23" s="75"/>
      <c r="F23" s="73"/>
      <c r="G23" s="118" t="str">
        <f aca="false">IF(SUM($E23)=0,"",SUM($F23)/$E23)</f>
        <v/>
      </c>
      <c r="H23" s="118" t="str">
        <f aca="false">$G23</f>
        <v/>
      </c>
      <c r="I23" s="118" t="n">
        <f aca="false">0%</f>
        <v>0</v>
      </c>
      <c r="J23" s="75" t="str">
        <f aca="false">IF(SUM($F23)=0,"",$F23*(1+SUM($I23)))</f>
        <v/>
      </c>
      <c r="K23" s="75" t="str">
        <f aca="false">IF(SUM($H23)&lt;=0,"",SUM($J23)/$H23)</f>
        <v/>
      </c>
    </row>
    <row r="24" customFormat="false" ht="15" hidden="false" customHeight="false" outlineLevel="0" collapsed="false">
      <c r="A24" s="0" t="s">
        <v>145</v>
      </c>
      <c r="B24" s="0" t="s">
        <v>107</v>
      </c>
      <c r="C24" s="0" t="s">
        <v>58</v>
      </c>
      <c r="D24" s="0" t="str">
        <f aca="false">B24&amp;"|"&amp;C24</f>
        <v>Mafeteng [#SNU] [#DREAMS] [DiFv5WXIHM5]|Male</v>
      </c>
      <c r="E24" s="75"/>
      <c r="F24" s="73"/>
      <c r="G24" s="118" t="str">
        <f aca="false">IF(SUM($E24)=0,"",SUM($F24)/$E24)</f>
        <v/>
      </c>
      <c r="H24" s="118" t="str">
        <f aca="false">$G24</f>
        <v/>
      </c>
      <c r="I24" s="118" t="n">
        <f aca="false">0%</f>
        <v>0</v>
      </c>
      <c r="J24" s="75" t="str">
        <f aca="false">IF(SUM($F24)=0,"",$F24*(1+SUM($I24)))</f>
        <v/>
      </c>
      <c r="K24" s="75" t="str">
        <f aca="false">IF(SUM($H24)&lt;=0,"",SUM($J24)/$H24)</f>
        <v/>
      </c>
    </row>
    <row r="25" customFormat="false" ht="15" hidden="false" customHeight="false" outlineLevel="0" collapsed="false">
      <c r="A25" s="0" t="s">
        <v>146</v>
      </c>
      <c r="B25" s="0" t="s">
        <v>45</v>
      </c>
      <c r="C25" s="0" t="s">
        <v>56</v>
      </c>
      <c r="D25" s="0" t="str">
        <f aca="false">B25&amp;"|"&amp;C25</f>
        <v>Maseru [#SNU] [#DREAMS] [tKOXiaNhAyJ]|Female</v>
      </c>
      <c r="E25" s="75"/>
      <c r="F25" s="73"/>
      <c r="G25" s="118" t="str">
        <f aca="false">IF(SUM($E25)=0,"",SUM($F25)/$E25)</f>
        <v/>
      </c>
      <c r="H25" s="118" t="str">
        <f aca="false">$G25</f>
        <v/>
      </c>
      <c r="I25" s="118" t="n">
        <f aca="false">0%</f>
        <v>0</v>
      </c>
      <c r="J25" s="75" t="str">
        <f aca="false">IF(SUM($F25)=0,"",$F25*(1+SUM($I25)))</f>
        <v/>
      </c>
      <c r="K25" s="75" t="str">
        <f aca="false">IF(SUM($H25)&lt;=0,"",SUM($J25)/$H25)</f>
        <v/>
      </c>
    </row>
    <row r="26" customFormat="false" ht="15" hidden="false" customHeight="false" outlineLevel="0" collapsed="false">
      <c r="A26" s="0" t="s">
        <v>146</v>
      </c>
      <c r="B26" s="0" t="s">
        <v>45</v>
      </c>
      <c r="C26" s="0" t="s">
        <v>58</v>
      </c>
      <c r="D26" s="0" t="str">
        <f aca="false">B26&amp;"|"&amp;C26</f>
        <v>Maseru [#SNU] [#DREAMS] [tKOXiaNhAyJ]|Male</v>
      </c>
      <c r="E26" s="75"/>
      <c r="F26" s="73"/>
      <c r="G26" s="118" t="str">
        <f aca="false">IF(SUM($E26)=0,"",SUM($F26)/$E26)</f>
        <v/>
      </c>
      <c r="H26" s="118" t="str">
        <f aca="false">$G26</f>
        <v/>
      </c>
      <c r="I26" s="118" t="n">
        <f aca="false">0%</f>
        <v>0</v>
      </c>
      <c r="J26" s="75" t="str">
        <f aca="false">IF(SUM($F26)=0,"",$F26*(1+SUM($I26)))</f>
        <v/>
      </c>
      <c r="K26" s="75" t="str">
        <f aca="false">IF(SUM($H26)&lt;=0,"",SUM($J26)/$H26)</f>
        <v/>
      </c>
    </row>
    <row r="27" customFormat="false" ht="15" hidden="false" customHeight="false" outlineLevel="0" collapsed="false">
      <c r="A27" s="0" t="s">
        <v>147</v>
      </c>
      <c r="B27" s="0" t="s">
        <v>105</v>
      </c>
      <c r="C27" s="0" t="s">
        <v>56</v>
      </c>
      <c r="D27" s="0" t="str">
        <f aca="false">B27&amp;"|"&amp;C27</f>
        <v>Mohale's Hoek [#SNU] [#DREAMS] [YGI7vISD2kJ]|Female</v>
      </c>
      <c r="E27" s="75"/>
      <c r="F27" s="73"/>
      <c r="G27" s="118" t="str">
        <f aca="false">IF(SUM($E27)=0,"",SUM($F27)/$E27)</f>
        <v/>
      </c>
      <c r="H27" s="118" t="str">
        <f aca="false">$G27</f>
        <v/>
      </c>
      <c r="I27" s="118" t="n">
        <f aca="false">0%</f>
        <v>0</v>
      </c>
      <c r="J27" s="75" t="str">
        <f aca="false">IF(SUM($F27)=0,"",$F27*(1+SUM($I27)))</f>
        <v/>
      </c>
      <c r="K27" s="75" t="str">
        <f aca="false">IF(SUM($H27)&lt;=0,"",SUM($J27)/$H27)</f>
        <v/>
      </c>
    </row>
    <row r="28" customFormat="false" ht="15" hidden="false" customHeight="false" outlineLevel="0" collapsed="false">
      <c r="A28" s="0" t="s">
        <v>147</v>
      </c>
      <c r="B28" s="0" t="s">
        <v>105</v>
      </c>
      <c r="C28" s="0" t="s">
        <v>58</v>
      </c>
      <c r="D28" s="0" t="str">
        <f aca="false">B28&amp;"|"&amp;C28</f>
        <v>Mohale's Hoek [#SNU] [#DREAMS] [YGI7vISD2kJ]|Male</v>
      </c>
      <c r="E28" s="75"/>
      <c r="F28" s="73"/>
      <c r="G28" s="118" t="str">
        <f aca="false">IF(SUM($E28)=0,"",SUM($F28)/$E28)</f>
        <v/>
      </c>
      <c r="H28" s="118" t="str">
        <f aca="false">$G28</f>
        <v/>
      </c>
      <c r="I28" s="118" t="n">
        <f aca="false">0%</f>
        <v>0</v>
      </c>
      <c r="J28" s="75" t="str">
        <f aca="false">IF(SUM($F28)=0,"",$F28*(1+SUM($I28)))</f>
        <v/>
      </c>
      <c r="K28" s="75" t="str">
        <f aca="false">IF(SUM($H28)&lt;=0,"",SUM($J28)/$H28)</f>
        <v/>
      </c>
    </row>
    <row r="29" customFormat="false" ht="15" hidden="false" customHeight="false" outlineLevel="0" collapsed="false">
      <c r="A29" s="0" t="s">
        <v>148</v>
      </c>
      <c r="B29" s="0" t="s">
        <v>113</v>
      </c>
      <c r="C29" s="0" t="s">
        <v>56</v>
      </c>
      <c r="D29" s="0" t="str">
        <f aca="false">B29&amp;"|"&amp;C29</f>
        <v>Mokhotlong [#SNU] [tjhYqc1MlVo]|Female</v>
      </c>
      <c r="E29" s="75"/>
      <c r="F29" s="73"/>
      <c r="G29" s="118" t="str">
        <f aca="false">IF(SUM($E29)=0,"",SUM($F29)/$E29)</f>
        <v/>
      </c>
      <c r="H29" s="118" t="str">
        <f aca="false">$G29</f>
        <v/>
      </c>
      <c r="I29" s="118" t="n">
        <f aca="false">0%</f>
        <v>0</v>
      </c>
      <c r="J29" s="75" t="str">
        <f aca="false">IF(SUM($F29)=0,"",$F29*(1+SUM($I29)))</f>
        <v/>
      </c>
      <c r="K29" s="75" t="str">
        <f aca="false">IF(SUM($H29)&lt;=0,"",SUM($J29)/$H29)</f>
        <v/>
      </c>
    </row>
    <row r="30" customFormat="false" ht="15" hidden="false" customHeight="false" outlineLevel="0" collapsed="false">
      <c r="A30" s="0" t="s">
        <v>148</v>
      </c>
      <c r="B30" s="0" t="s">
        <v>113</v>
      </c>
      <c r="C30" s="0" t="s">
        <v>58</v>
      </c>
      <c r="D30" s="0" t="str">
        <f aca="false">B30&amp;"|"&amp;C30</f>
        <v>Mokhotlong [#SNU] [tjhYqc1MlVo]|Male</v>
      </c>
      <c r="E30" s="75"/>
      <c r="F30" s="73"/>
      <c r="G30" s="118" t="str">
        <f aca="false">IF(SUM($E30)=0,"",SUM($F30)/$E30)</f>
        <v/>
      </c>
      <c r="H30" s="118" t="str">
        <f aca="false">$G30</f>
        <v/>
      </c>
      <c r="I30" s="118" t="n">
        <f aca="false">0%</f>
        <v>0</v>
      </c>
      <c r="J30" s="75" t="str">
        <f aca="false">IF(SUM($F30)=0,"",$F30*(1+SUM($I30)))</f>
        <v/>
      </c>
      <c r="K30" s="75" t="str">
        <f aca="false">IF(SUM($H30)&lt;=0,"",SUM($J30)/$H30)</f>
        <v/>
      </c>
    </row>
    <row r="31" customFormat="false" ht="15" hidden="false" customHeight="false" outlineLevel="0" collapsed="false">
      <c r="A31" s="0" t="s">
        <v>149</v>
      </c>
      <c r="B31" s="0" t="s">
        <v>111</v>
      </c>
      <c r="C31" s="0" t="s">
        <v>56</v>
      </c>
      <c r="D31" s="0" t="str">
        <f aca="false">B31&amp;"|"&amp;C31</f>
        <v>Qacha's Nek [#SNU] [zTaMbxvQtJ6]|Female</v>
      </c>
      <c r="E31" s="75"/>
      <c r="F31" s="73"/>
      <c r="G31" s="118" t="str">
        <f aca="false">IF(SUM($E31)=0,"",SUM($F31)/$E31)</f>
        <v/>
      </c>
      <c r="H31" s="118" t="str">
        <f aca="false">$G31</f>
        <v/>
      </c>
      <c r="I31" s="118" t="n">
        <f aca="false">0%</f>
        <v>0</v>
      </c>
      <c r="J31" s="75" t="str">
        <f aca="false">IF(SUM($F31)=0,"",$F31*(1+SUM($I31)))</f>
        <v/>
      </c>
      <c r="K31" s="75" t="str">
        <f aca="false">IF(SUM($H31)&lt;=0,"",SUM($J31)/$H31)</f>
        <v/>
      </c>
    </row>
    <row r="32" customFormat="false" ht="15" hidden="false" customHeight="false" outlineLevel="0" collapsed="false">
      <c r="A32" s="0" t="s">
        <v>149</v>
      </c>
      <c r="B32" s="0" t="s">
        <v>111</v>
      </c>
      <c r="C32" s="0" t="s">
        <v>58</v>
      </c>
      <c r="D32" s="0" t="str">
        <f aca="false">B32&amp;"|"&amp;C32</f>
        <v>Qacha's Nek [#SNU] [zTaMbxvQtJ6]|Male</v>
      </c>
      <c r="E32" s="75"/>
      <c r="F32" s="73"/>
      <c r="G32" s="118" t="str">
        <f aca="false">IF(SUM($E32)=0,"",SUM($F32)/$E32)</f>
        <v/>
      </c>
      <c r="H32" s="118" t="str">
        <f aca="false">$G32</f>
        <v/>
      </c>
      <c r="I32" s="118" t="n">
        <f aca="false">0%</f>
        <v>0</v>
      </c>
      <c r="J32" s="75" t="str">
        <f aca="false">IF(SUM($F32)=0,"",$F32*(1+SUM($I32)))</f>
        <v/>
      </c>
      <c r="K32" s="75" t="str">
        <f aca="false">IF(SUM($H32)&lt;=0,"",SUM($J32)/$H32)</f>
        <v/>
      </c>
    </row>
    <row r="33" customFormat="false" ht="15" hidden="false" customHeight="false" outlineLevel="0" collapsed="false">
      <c r="A33" s="0" t="s">
        <v>150</v>
      </c>
      <c r="B33" s="0" t="s">
        <v>117</v>
      </c>
      <c r="C33" s="0" t="s">
        <v>56</v>
      </c>
      <c r="D33" s="0" t="str">
        <f aca="false">B33&amp;"|"&amp;C33</f>
        <v>Quthing [#SNU] [HuwCoDZG0FY]|Female</v>
      </c>
      <c r="E33" s="75"/>
      <c r="F33" s="73"/>
      <c r="G33" s="118" t="str">
        <f aca="false">IF(SUM($E33)=0,"",SUM($F33)/$E33)</f>
        <v/>
      </c>
      <c r="H33" s="118" t="str">
        <f aca="false">$G33</f>
        <v/>
      </c>
      <c r="I33" s="118" t="n">
        <f aca="false">0%</f>
        <v>0</v>
      </c>
      <c r="J33" s="75" t="str">
        <f aca="false">IF(SUM($F33)=0,"",$F33*(1+SUM($I33)))</f>
        <v/>
      </c>
      <c r="K33" s="75" t="str">
        <f aca="false">IF(SUM($H33)&lt;=0,"",SUM($J33)/$H33)</f>
        <v/>
      </c>
    </row>
    <row r="34" customFormat="false" ht="15" hidden="false" customHeight="false" outlineLevel="0" collapsed="false">
      <c r="A34" s="0" t="s">
        <v>150</v>
      </c>
      <c r="B34" s="0" t="s">
        <v>117</v>
      </c>
      <c r="C34" s="0" t="s">
        <v>58</v>
      </c>
      <c r="D34" s="0" t="str">
        <f aca="false">B34&amp;"|"&amp;C34</f>
        <v>Quthing [#SNU] [HuwCoDZG0FY]|Male</v>
      </c>
      <c r="E34" s="75"/>
      <c r="F34" s="73"/>
      <c r="G34" s="118" t="str">
        <f aca="false">IF(SUM($E34)=0,"",SUM($F34)/$E34)</f>
        <v/>
      </c>
      <c r="H34" s="118" t="str">
        <f aca="false">$G34</f>
        <v/>
      </c>
      <c r="I34" s="118" t="n">
        <f aca="false">0%</f>
        <v>0</v>
      </c>
      <c r="J34" s="75" t="str">
        <f aca="false">IF(SUM($F34)=0,"",$F34*(1+SUM($I34)))</f>
        <v/>
      </c>
      <c r="K34" s="75" t="str">
        <f aca="false">IF(SUM($H34)&lt;=0,"",SUM($J34)/$H34)</f>
        <v/>
      </c>
    </row>
    <row r="35" customFormat="false" ht="15" hidden="false" customHeight="false" outlineLevel="0" collapsed="false">
      <c r="A35" s="0" t="s">
        <v>151</v>
      </c>
      <c r="B35" s="0" t="s">
        <v>101</v>
      </c>
      <c r="C35" s="0" t="s">
        <v>56</v>
      </c>
      <c r="D35" s="0" t="str">
        <f aca="false">B35&amp;"|"&amp;C35</f>
        <v>Thaba Tseka [#SNU] [jyhIrCoB31x]|Female</v>
      </c>
      <c r="E35" s="75"/>
      <c r="F35" s="73"/>
      <c r="G35" s="118" t="str">
        <f aca="false">IF(SUM($E35)=0,"",SUM($F35)/$E35)</f>
        <v/>
      </c>
      <c r="H35" s="118" t="str">
        <f aca="false">$G35</f>
        <v/>
      </c>
      <c r="I35" s="118" t="n">
        <f aca="false">0%</f>
        <v>0</v>
      </c>
      <c r="J35" s="75" t="str">
        <f aca="false">IF(SUM($F35)=0,"",$F35*(1+SUM($I35)))</f>
        <v/>
      </c>
      <c r="K35" s="75" t="str">
        <f aca="false">IF(SUM($H35)&lt;=0,"",SUM($J35)/$H35)</f>
        <v/>
      </c>
    </row>
    <row r="36" customFormat="false" ht="15" hidden="false" customHeight="false" outlineLevel="0" collapsed="false">
      <c r="A36" s="0" t="s">
        <v>151</v>
      </c>
      <c r="B36" s="0" t="s">
        <v>101</v>
      </c>
      <c r="C36" s="0" t="s">
        <v>58</v>
      </c>
      <c r="D36" s="0" t="str">
        <f aca="false">B36&amp;"|"&amp;C36</f>
        <v>Thaba Tseka [#SNU] [jyhIrCoB31x]|Male</v>
      </c>
      <c r="E36" s="75"/>
      <c r="F36" s="73"/>
      <c r="G36" s="118" t="str">
        <f aca="false">IF(SUM($E36)=0,"",SUM($F36)/$E36)</f>
        <v/>
      </c>
      <c r="H36" s="118" t="str">
        <f aca="false">$G36</f>
        <v/>
      </c>
      <c r="I36" s="118" t="n">
        <f aca="false">0%</f>
        <v>0</v>
      </c>
      <c r="J36" s="75" t="str">
        <f aca="false">IF(SUM($F36)=0,"",$F36*(1+SUM($I36)))</f>
        <v/>
      </c>
      <c r="K36" s="75" t="str">
        <f aca="false">IF(SUM($H36)&lt;=0,"",SUM($J36)/$H36)</f>
        <v/>
      </c>
    </row>
  </sheetData>
  <conditionalFormatting sqref="E1:E1048576 G1:H1048576 K1:K1048576">
    <cfRule type="expression" priority="2" aboveAverage="0" equalAverage="0" bottom="0" percent="0" rank="0" text="" dxfId="0">
      <formula>LEFT($B1,4)="_Mil"</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FS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8" ySplit="14" topLeftCell="I15" activePane="bottomRight" state="frozen"/>
      <selection pane="topLeft" activeCell="A1" activeCellId="0" sqref="A1"/>
      <selection pane="topRight" activeCell="I1" activeCellId="0" sqref="I1"/>
      <selection pane="bottomLeft" activeCell="A15" activeCellId="0" sqref="A15"/>
      <selection pane="bottomRight" activeCell="A1" activeCellId="1" sqref="Q2:Q1432 A1"/>
    </sheetView>
  </sheetViews>
  <sheetFormatPr defaultRowHeight="15" zeroHeight="false" outlineLevelRow="0" outlineLevelCol="0"/>
  <cols>
    <col collapsed="false" customWidth="true" hidden="false" outlineLevel="0" max="1" min="1" style="0" width="30.83"/>
    <col collapsed="false" customWidth="true" hidden="false" outlineLevel="0" max="2" min="2" style="0" width="25.83"/>
    <col collapsed="false" customWidth="true" hidden="false" outlineLevel="0" max="3" min="3" style="0" width="6.83"/>
    <col collapsed="false" customWidth="true" hidden="false" outlineLevel="0" max="4" min="4" style="0" width="7.84"/>
    <col collapsed="false" customWidth="true" hidden="false" outlineLevel="0" max="5" min="5" style="0" width="20.83"/>
    <col collapsed="false" customWidth="true" hidden="false" outlineLevel="0" max="6" min="6" style="0" width="38.83"/>
    <col collapsed="false" customWidth="true" hidden="false" outlineLevel="0" max="8" min="7" style="0" width="12.83"/>
    <col collapsed="false" customWidth="true" hidden="false" outlineLevel="0" max="9" min="9" style="0" width="10.61"/>
    <col collapsed="false" customWidth="true" hidden="false" outlineLevel="0" max="83" min="10" style="0" width="6.16"/>
    <col collapsed="false" customWidth="true" hidden="false" outlineLevel="0" max="86" min="84" style="0" width="11.83"/>
    <col collapsed="false" customWidth="true" hidden="false" outlineLevel="0" max="87" min="87" style="0" width="14.82"/>
    <col collapsed="false" customWidth="true" hidden="false" outlineLevel="0" max="92" min="88" style="0" width="11.83"/>
    <col collapsed="false" customWidth="true" hidden="false" outlineLevel="0" max="93" min="93" style="0" width="14.82"/>
    <col collapsed="false" customWidth="true" hidden="false" outlineLevel="0" max="98" min="94" style="0" width="11.83"/>
    <col collapsed="false" customWidth="true" hidden="false" outlineLevel="0" max="99" min="99" style="0" width="14.82"/>
    <col collapsed="false" customWidth="true" hidden="false" outlineLevel="0" max="100" min="100" style="0" width="11.83"/>
    <col collapsed="false" customWidth="true" hidden="false" outlineLevel="0" max="175" min="101" style="0" width="8.84"/>
    <col collapsed="false" customWidth="true" hidden="false" outlineLevel="0" max="1025" min="176" style="0" width="10.61"/>
  </cols>
  <sheetData>
    <row r="1" customFormat="false" ht="31" hidden="false" customHeight="true" outlineLevel="0" collapsed="false">
      <c r="A1" s="54" t="s">
        <v>1171</v>
      </c>
      <c r="B1" s="54"/>
      <c r="C1" s="207"/>
      <c r="D1" s="207"/>
      <c r="E1" s="207"/>
      <c r="F1" s="46"/>
      <c r="G1" s="208"/>
      <c r="H1" s="209"/>
      <c r="I1" s="81" t="s">
        <v>1172</v>
      </c>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c r="BF1" s="81"/>
      <c r="BG1" s="81"/>
      <c r="BH1" s="81"/>
      <c r="BI1" s="81"/>
      <c r="BJ1" s="81"/>
      <c r="BK1" s="81"/>
      <c r="BL1" s="81"/>
      <c r="BM1" s="81"/>
      <c r="BN1" s="81"/>
      <c r="BO1" s="81"/>
      <c r="BP1" s="81"/>
      <c r="BQ1" s="81"/>
      <c r="BR1" s="81"/>
      <c r="BS1" s="81"/>
      <c r="BT1" s="81"/>
      <c r="BU1" s="81"/>
      <c r="BV1" s="81"/>
      <c r="BW1" s="81"/>
      <c r="BX1" s="81"/>
      <c r="BY1" s="81"/>
      <c r="BZ1" s="81"/>
      <c r="CA1" s="81"/>
      <c r="CB1" s="81"/>
      <c r="CC1" s="81"/>
      <c r="CD1" s="81"/>
      <c r="CE1" s="210"/>
      <c r="CF1" s="76" t="s">
        <v>1173</v>
      </c>
      <c r="CG1" s="76"/>
      <c r="CH1" s="211"/>
      <c r="CI1" s="81"/>
      <c r="CJ1" s="212"/>
      <c r="CK1" s="76"/>
      <c r="CL1" s="76"/>
      <c r="CM1" s="76"/>
      <c r="CN1" s="211"/>
      <c r="CO1" s="81"/>
      <c r="CP1" s="212"/>
      <c r="CQ1" s="76"/>
      <c r="CR1" s="76"/>
      <c r="CS1" s="76"/>
      <c r="CT1" s="211"/>
      <c r="CU1" s="81"/>
      <c r="CV1" s="212"/>
      <c r="CW1" s="76" t="s">
        <v>1174</v>
      </c>
      <c r="CX1" s="76"/>
      <c r="CY1" s="76"/>
      <c r="CZ1" s="76"/>
      <c r="DA1" s="76"/>
      <c r="DB1" s="76"/>
      <c r="DC1" s="76"/>
      <c r="DD1" s="76"/>
      <c r="DE1" s="76"/>
      <c r="DF1" s="76"/>
      <c r="DG1" s="76"/>
      <c r="DH1" s="76"/>
      <c r="DI1" s="76"/>
      <c r="DJ1" s="76"/>
      <c r="DK1" s="76"/>
      <c r="DL1" s="76"/>
      <c r="DM1" s="76"/>
      <c r="DN1" s="76"/>
      <c r="DO1" s="76"/>
      <c r="DP1" s="76"/>
      <c r="DQ1" s="76"/>
      <c r="DR1" s="76"/>
      <c r="DS1" s="76"/>
      <c r="DT1" s="76"/>
      <c r="DU1" s="76"/>
      <c r="DV1" s="76"/>
      <c r="DW1" s="76"/>
      <c r="DX1" s="76"/>
      <c r="DY1" s="76"/>
      <c r="DZ1" s="76"/>
      <c r="EA1" s="76"/>
      <c r="EB1" s="76"/>
      <c r="EC1" s="76"/>
      <c r="ED1" s="76"/>
      <c r="EE1" s="76"/>
      <c r="EF1" s="76"/>
      <c r="EG1" s="76"/>
      <c r="EH1" s="76"/>
      <c r="EI1" s="76"/>
      <c r="EJ1" s="76"/>
      <c r="EK1" s="76"/>
      <c r="EL1" s="76"/>
      <c r="EM1" s="76"/>
      <c r="EN1" s="76"/>
      <c r="EO1" s="76"/>
      <c r="EP1" s="76"/>
      <c r="EQ1" s="76"/>
      <c r="ER1" s="76"/>
      <c r="ES1" s="76"/>
      <c r="ET1" s="76"/>
      <c r="EU1" s="76"/>
      <c r="EV1" s="76"/>
      <c r="EW1" s="76"/>
      <c r="EX1" s="76"/>
      <c r="EY1" s="76"/>
      <c r="EZ1" s="76"/>
      <c r="FA1" s="76"/>
      <c r="FB1" s="76"/>
      <c r="FC1" s="76"/>
      <c r="FD1" s="76"/>
      <c r="FE1" s="76"/>
      <c r="FF1" s="76"/>
      <c r="FG1" s="76"/>
      <c r="FH1" s="76"/>
      <c r="FI1" s="76"/>
      <c r="FJ1" s="76"/>
      <c r="FK1" s="76"/>
      <c r="FL1" s="76"/>
      <c r="FM1" s="76"/>
      <c r="FN1" s="76"/>
      <c r="FO1" s="76"/>
      <c r="FP1" s="76"/>
      <c r="FQ1" s="76"/>
      <c r="FR1" s="76"/>
      <c r="FS1" s="76"/>
    </row>
    <row r="2" customFormat="false" ht="20" hidden="false" customHeight="true" outlineLevel="0" collapsed="false">
      <c r="A2" s="57"/>
      <c r="B2" s="57"/>
      <c r="C2" s="213"/>
      <c r="D2" s="213"/>
      <c r="E2" s="213"/>
      <c r="F2" s="214"/>
      <c r="G2" s="176" t="s">
        <v>120</v>
      </c>
      <c r="H2" s="215"/>
      <c r="I2" s="87" t="s">
        <v>1175</v>
      </c>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c r="AO2" s="87"/>
      <c r="AP2" s="87"/>
      <c r="AQ2" s="87"/>
      <c r="AR2" s="87"/>
      <c r="AS2" s="87"/>
      <c r="AT2" s="87"/>
      <c r="AU2" s="87"/>
      <c r="AV2" s="87"/>
      <c r="AW2" s="87"/>
      <c r="AX2" s="87"/>
      <c r="AY2" s="87"/>
      <c r="AZ2" s="87"/>
      <c r="BA2" s="87"/>
      <c r="BB2" s="87"/>
      <c r="BC2" s="87"/>
      <c r="BD2" s="87"/>
      <c r="BE2" s="87"/>
      <c r="BF2" s="87"/>
      <c r="BG2" s="87"/>
      <c r="BH2" s="87"/>
      <c r="BI2" s="87"/>
      <c r="BJ2" s="87"/>
      <c r="BK2" s="87"/>
      <c r="BL2" s="87"/>
      <c r="BM2" s="87"/>
      <c r="BN2" s="87"/>
      <c r="BO2" s="87"/>
      <c r="BP2" s="87"/>
      <c r="BQ2" s="87"/>
      <c r="BR2" s="87"/>
      <c r="BS2" s="87"/>
      <c r="BT2" s="87"/>
      <c r="BU2" s="87"/>
      <c r="BV2" s="87"/>
      <c r="BW2" s="87"/>
      <c r="BX2" s="87"/>
      <c r="BY2" s="87"/>
      <c r="BZ2" s="87"/>
      <c r="CA2" s="87"/>
      <c r="CB2" s="87"/>
      <c r="CC2" s="87"/>
      <c r="CD2" s="87"/>
      <c r="CE2" s="216"/>
      <c r="CF2" s="89" t="s">
        <v>1176</v>
      </c>
      <c r="CG2" s="89"/>
      <c r="CH2" s="217"/>
      <c r="CI2" s="87"/>
      <c r="CJ2" s="218"/>
      <c r="CK2" s="89" t="s">
        <v>1177</v>
      </c>
      <c r="CL2" s="89"/>
      <c r="CM2" s="89"/>
      <c r="CN2" s="217"/>
      <c r="CO2" s="87"/>
      <c r="CP2" s="218"/>
      <c r="CQ2" s="89" t="s">
        <v>1178</v>
      </c>
      <c r="CR2" s="89"/>
      <c r="CS2" s="89"/>
      <c r="CT2" s="217"/>
      <c r="CU2" s="87"/>
      <c r="CV2" s="218"/>
      <c r="CW2" s="89" t="s">
        <v>1179</v>
      </c>
      <c r="CX2" s="89"/>
      <c r="CY2" s="89"/>
      <c r="CZ2" s="89"/>
      <c r="DA2" s="89"/>
      <c r="DB2" s="89"/>
      <c r="DC2" s="89"/>
      <c r="DD2" s="89"/>
      <c r="DE2" s="89"/>
      <c r="DF2" s="89"/>
      <c r="DG2" s="89"/>
      <c r="DH2" s="89"/>
      <c r="DI2" s="89"/>
      <c r="DJ2" s="89"/>
      <c r="DK2" s="89"/>
      <c r="DL2" s="89"/>
      <c r="DM2" s="89"/>
      <c r="DN2" s="89"/>
      <c r="DO2" s="89"/>
      <c r="DP2" s="89"/>
      <c r="DQ2" s="89"/>
      <c r="DR2" s="89"/>
      <c r="DS2" s="89"/>
      <c r="DT2" s="89"/>
      <c r="DU2" s="89"/>
      <c r="DV2" s="89"/>
      <c r="DW2" s="89"/>
      <c r="DX2" s="89"/>
      <c r="DY2" s="89"/>
      <c r="DZ2" s="89"/>
      <c r="EA2" s="89"/>
      <c r="EB2" s="89"/>
      <c r="EC2" s="89"/>
      <c r="ED2" s="89"/>
      <c r="EE2" s="89"/>
      <c r="EF2" s="89"/>
      <c r="EG2" s="89"/>
      <c r="EH2" s="89"/>
      <c r="EI2" s="89"/>
      <c r="EJ2" s="89"/>
      <c r="EK2" s="89"/>
      <c r="EL2" s="89"/>
      <c r="EM2" s="89"/>
      <c r="EN2" s="89"/>
      <c r="EO2" s="89"/>
      <c r="EP2" s="89"/>
      <c r="EQ2" s="89"/>
      <c r="ER2" s="89"/>
      <c r="ES2" s="89"/>
      <c r="ET2" s="89"/>
      <c r="EU2" s="89"/>
      <c r="EV2" s="89"/>
      <c r="EW2" s="89"/>
      <c r="EX2" s="89"/>
      <c r="EY2" s="89"/>
      <c r="EZ2" s="89"/>
      <c r="FA2" s="89"/>
      <c r="FB2" s="89"/>
      <c r="FC2" s="89"/>
      <c r="FD2" s="89"/>
      <c r="FE2" s="89"/>
      <c r="FF2" s="89"/>
      <c r="FG2" s="89"/>
      <c r="FH2" s="89"/>
      <c r="FI2" s="89"/>
      <c r="FJ2" s="89"/>
      <c r="FK2" s="89"/>
      <c r="FL2" s="89"/>
      <c r="FM2" s="89"/>
      <c r="FN2" s="89"/>
      <c r="FO2" s="89"/>
      <c r="FP2" s="89"/>
      <c r="FQ2" s="89"/>
      <c r="FR2" s="89"/>
      <c r="FS2" s="89"/>
    </row>
    <row r="3" customFormat="false" ht="118" hidden="false" customHeight="true" outlineLevel="0" collapsed="false">
      <c r="A3" s="219" t="s">
        <v>1180</v>
      </c>
      <c r="B3" s="220"/>
      <c r="C3" s="213"/>
      <c r="D3" s="213"/>
      <c r="E3" s="213"/>
      <c r="F3" s="214"/>
      <c r="G3" s="221"/>
      <c r="H3" s="215"/>
      <c r="I3" s="87"/>
      <c r="J3" s="87"/>
      <c r="K3" s="87"/>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7"/>
      <c r="BI3" s="87"/>
      <c r="BJ3" s="87"/>
      <c r="BK3" s="87"/>
      <c r="BL3" s="87"/>
      <c r="BM3" s="87"/>
      <c r="BN3" s="87"/>
      <c r="BO3" s="87"/>
      <c r="BP3" s="87"/>
      <c r="BQ3" s="87"/>
      <c r="BR3" s="87"/>
      <c r="BS3" s="87"/>
      <c r="BT3" s="87"/>
      <c r="BU3" s="87"/>
      <c r="BV3" s="87"/>
      <c r="BW3" s="87"/>
      <c r="BX3" s="87"/>
      <c r="BY3" s="87"/>
      <c r="BZ3" s="87"/>
      <c r="CA3" s="87"/>
      <c r="CB3" s="87"/>
      <c r="CC3" s="87"/>
      <c r="CD3" s="87"/>
      <c r="CE3" s="216"/>
      <c r="CF3" s="89"/>
      <c r="CG3" s="89"/>
      <c r="CH3" s="222" t="s">
        <v>1181</v>
      </c>
      <c r="CI3" s="223" t="s">
        <v>1182</v>
      </c>
      <c r="CJ3" s="218"/>
      <c r="CK3" s="89"/>
      <c r="CL3" s="89"/>
      <c r="CM3" s="89"/>
      <c r="CN3" s="222" t="s">
        <v>1181</v>
      </c>
      <c r="CO3" s="223" t="s">
        <v>1182</v>
      </c>
      <c r="CP3" s="218"/>
      <c r="CQ3" s="89"/>
      <c r="CR3" s="89"/>
      <c r="CS3" s="89"/>
      <c r="CT3" s="222" t="s">
        <v>1181</v>
      </c>
      <c r="CU3" s="223" t="s">
        <v>1182</v>
      </c>
      <c r="CV3" s="218"/>
      <c r="CW3" s="89"/>
      <c r="CX3" s="89"/>
      <c r="CY3" s="89"/>
      <c r="CZ3" s="89"/>
      <c r="DA3" s="89"/>
      <c r="DB3" s="89"/>
      <c r="DC3" s="89"/>
      <c r="DD3" s="89"/>
      <c r="DE3" s="89"/>
      <c r="DF3" s="89"/>
      <c r="DG3" s="89"/>
      <c r="DH3" s="89"/>
      <c r="DI3" s="89"/>
      <c r="DJ3" s="89"/>
      <c r="DK3" s="89"/>
      <c r="DL3" s="89"/>
      <c r="DM3" s="89"/>
      <c r="DN3" s="89"/>
      <c r="DO3" s="89"/>
      <c r="DP3" s="89"/>
      <c r="DQ3" s="89"/>
      <c r="DR3" s="89"/>
      <c r="DS3" s="89"/>
      <c r="DT3" s="89"/>
      <c r="DU3" s="89"/>
      <c r="DV3" s="89"/>
      <c r="DW3" s="89"/>
      <c r="DX3" s="89"/>
      <c r="DY3" s="89"/>
      <c r="DZ3" s="89"/>
      <c r="EA3" s="89"/>
      <c r="EB3" s="89"/>
      <c r="EC3" s="89"/>
      <c r="ED3" s="89"/>
      <c r="EE3" s="89"/>
      <c r="EF3" s="89"/>
      <c r="EG3" s="89"/>
      <c r="EH3" s="89"/>
      <c r="EI3" s="89"/>
      <c r="EJ3" s="89"/>
      <c r="EK3" s="89"/>
      <c r="EL3" s="89"/>
      <c r="EM3" s="89"/>
      <c r="EN3" s="89"/>
      <c r="EO3" s="89"/>
      <c r="EP3" s="89"/>
      <c r="EQ3" s="89"/>
      <c r="ER3" s="89"/>
      <c r="ES3" s="89"/>
      <c r="ET3" s="89"/>
      <c r="EU3" s="89"/>
      <c r="EV3" s="89"/>
      <c r="EW3" s="89"/>
      <c r="EX3" s="89"/>
      <c r="EY3" s="89"/>
      <c r="EZ3" s="89"/>
      <c r="FA3" s="89"/>
      <c r="FB3" s="89"/>
      <c r="FC3" s="89"/>
      <c r="FD3" s="89"/>
      <c r="FE3" s="89"/>
      <c r="FF3" s="89"/>
      <c r="FG3" s="89"/>
      <c r="FH3" s="89"/>
      <c r="FI3" s="89"/>
      <c r="FJ3" s="89"/>
      <c r="FK3" s="89"/>
      <c r="FL3" s="89"/>
      <c r="FM3" s="89"/>
      <c r="FN3" s="89"/>
      <c r="FO3" s="89"/>
      <c r="FP3" s="89"/>
      <c r="FQ3" s="89"/>
      <c r="FR3" s="89"/>
      <c r="FS3" s="89"/>
    </row>
    <row r="4" customFormat="false" ht="15" hidden="false" customHeight="false" outlineLevel="0" collapsed="false">
      <c r="A4" s="224"/>
      <c r="B4" s="224"/>
      <c r="C4" s="224"/>
      <c r="D4" s="224"/>
      <c r="E4" s="224"/>
      <c r="F4" s="225"/>
      <c r="G4" s="226"/>
      <c r="H4" s="227"/>
      <c r="I4" s="159"/>
      <c r="J4" s="159"/>
      <c r="K4" s="159"/>
      <c r="L4" s="159"/>
      <c r="M4" s="159"/>
      <c r="N4" s="159"/>
      <c r="O4" s="159"/>
      <c r="P4" s="159"/>
      <c r="Q4" s="159"/>
      <c r="R4" s="159"/>
      <c r="S4" s="159"/>
      <c r="T4" s="159"/>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228"/>
      <c r="CF4" s="124"/>
      <c r="CG4" s="124"/>
      <c r="CH4" s="229"/>
      <c r="CI4" s="123"/>
      <c r="CJ4" s="230"/>
      <c r="CK4" s="124"/>
      <c r="CL4" s="124"/>
      <c r="CM4" s="124"/>
      <c r="CN4" s="229"/>
      <c r="CO4" s="123"/>
      <c r="CP4" s="230"/>
      <c r="CQ4" s="124"/>
      <c r="CR4" s="124"/>
      <c r="CS4" s="124"/>
      <c r="CT4" s="229"/>
      <c r="CU4" s="123"/>
      <c r="CV4" s="230"/>
      <c r="CW4" s="73"/>
      <c r="CX4" s="73"/>
      <c r="CY4" s="73"/>
      <c r="CZ4" s="73"/>
      <c r="DA4" s="73"/>
      <c r="DB4" s="73"/>
      <c r="DC4" s="73"/>
      <c r="DD4" s="73"/>
      <c r="DE4" s="73"/>
      <c r="DF4" s="73"/>
      <c r="DG4" s="73"/>
      <c r="DH4" s="73"/>
      <c r="DI4" s="73"/>
      <c r="DJ4" s="73"/>
      <c r="DK4" s="73"/>
      <c r="DL4" s="73"/>
      <c r="DM4" s="73"/>
      <c r="DN4" s="73"/>
      <c r="DO4" s="73"/>
      <c r="DP4" s="73"/>
      <c r="DQ4" s="73"/>
      <c r="DR4" s="73"/>
      <c r="DS4" s="73"/>
      <c r="DT4" s="73"/>
      <c r="DU4" s="73"/>
      <c r="DV4" s="73"/>
      <c r="DW4" s="73"/>
      <c r="DX4" s="73"/>
      <c r="DY4" s="73"/>
      <c r="DZ4" s="73"/>
      <c r="EA4" s="73"/>
      <c r="EB4" s="73"/>
      <c r="EC4" s="73"/>
      <c r="ED4" s="73"/>
      <c r="EE4" s="73"/>
      <c r="EF4" s="73"/>
      <c r="EG4" s="73"/>
      <c r="EH4" s="73"/>
      <c r="EI4" s="73"/>
      <c r="EJ4" s="73"/>
      <c r="EK4" s="73"/>
      <c r="EL4" s="73"/>
      <c r="EM4" s="73"/>
      <c r="EN4" s="73"/>
      <c r="EO4" s="73"/>
      <c r="EP4" s="73"/>
      <c r="EQ4" s="73"/>
      <c r="ER4" s="73"/>
      <c r="ES4" s="73"/>
      <c r="ET4" s="73"/>
      <c r="EU4" s="73"/>
      <c r="EV4" s="73"/>
      <c r="EW4" s="73"/>
      <c r="EX4" s="73"/>
      <c r="EY4" s="73"/>
      <c r="EZ4" s="73"/>
      <c r="FA4" s="73"/>
      <c r="FB4" s="73"/>
      <c r="FC4" s="73"/>
      <c r="FD4" s="73"/>
      <c r="FE4" s="73"/>
      <c r="FF4" s="73"/>
      <c r="FG4" s="73"/>
      <c r="FH4" s="73"/>
      <c r="FI4" s="73"/>
      <c r="FJ4" s="73"/>
      <c r="FK4" s="73"/>
      <c r="FL4" s="73"/>
      <c r="FM4" s="73"/>
      <c r="FN4" s="73"/>
      <c r="FO4" s="73"/>
      <c r="FP4" s="73"/>
      <c r="FQ4" s="73"/>
      <c r="FR4" s="73"/>
      <c r="FS4" s="73"/>
    </row>
    <row r="5" customFormat="false" ht="15" hidden="false" customHeight="false" outlineLevel="0" collapsed="false">
      <c r="A5" s="231" t="s">
        <v>126</v>
      </c>
      <c r="B5" s="231" t="s">
        <v>126</v>
      </c>
      <c r="C5" s="231" t="s">
        <v>126</v>
      </c>
      <c r="D5" s="231" t="s">
        <v>126</v>
      </c>
      <c r="E5" s="231" t="s">
        <v>126</v>
      </c>
      <c r="F5" s="232" t="s">
        <v>126</v>
      </c>
      <c r="G5" s="233" t="s">
        <v>126</v>
      </c>
      <c r="H5" s="234" t="s">
        <v>126</v>
      </c>
      <c r="I5" s="235" t="s">
        <v>126</v>
      </c>
      <c r="J5" s="235" t="s">
        <v>126</v>
      </c>
      <c r="K5" s="235" t="s">
        <v>126</v>
      </c>
      <c r="L5" s="235" t="s">
        <v>126</v>
      </c>
      <c r="M5" s="235" t="s">
        <v>126</v>
      </c>
      <c r="N5" s="235" t="s">
        <v>126</v>
      </c>
      <c r="O5" s="235" t="s">
        <v>126</v>
      </c>
      <c r="P5" s="235" t="s">
        <v>126</v>
      </c>
      <c r="Q5" s="235" t="s">
        <v>126</v>
      </c>
      <c r="R5" s="235" t="s">
        <v>126</v>
      </c>
      <c r="S5" s="235" t="s">
        <v>126</v>
      </c>
      <c r="T5" s="235" t="s">
        <v>126</v>
      </c>
      <c r="U5" s="236" t="s">
        <v>126</v>
      </c>
      <c r="V5" s="236" t="s">
        <v>126</v>
      </c>
      <c r="W5" s="236" t="s">
        <v>126</v>
      </c>
      <c r="X5" s="236" t="s">
        <v>126</v>
      </c>
      <c r="Y5" s="236" t="s">
        <v>126</v>
      </c>
      <c r="Z5" s="236" t="s">
        <v>126</v>
      </c>
      <c r="AA5" s="236" t="s">
        <v>126</v>
      </c>
      <c r="AB5" s="236" t="s">
        <v>126</v>
      </c>
      <c r="AC5" s="236" t="s">
        <v>126</v>
      </c>
      <c r="AD5" s="236" t="s">
        <v>126</v>
      </c>
      <c r="AE5" s="236" t="s">
        <v>126</v>
      </c>
      <c r="AF5" s="236" t="s">
        <v>126</v>
      </c>
      <c r="AG5" s="236" t="s">
        <v>126</v>
      </c>
      <c r="AH5" s="236" t="s">
        <v>126</v>
      </c>
      <c r="AI5" s="236" t="s">
        <v>126</v>
      </c>
      <c r="AJ5" s="236" t="s">
        <v>126</v>
      </c>
      <c r="AK5" s="236" t="s">
        <v>126</v>
      </c>
      <c r="AL5" s="236" t="s">
        <v>126</v>
      </c>
      <c r="AM5" s="236" t="s">
        <v>126</v>
      </c>
      <c r="AN5" s="236" t="s">
        <v>126</v>
      </c>
      <c r="AO5" s="236" t="s">
        <v>126</v>
      </c>
      <c r="AP5" s="236" t="s">
        <v>126</v>
      </c>
      <c r="AQ5" s="236" t="s">
        <v>126</v>
      </c>
      <c r="AR5" s="236" t="s">
        <v>126</v>
      </c>
      <c r="AS5" s="236" t="s">
        <v>126</v>
      </c>
      <c r="AT5" s="236" t="s">
        <v>126</v>
      </c>
      <c r="AU5" s="236" t="s">
        <v>126</v>
      </c>
      <c r="AV5" s="236" t="s">
        <v>126</v>
      </c>
      <c r="AW5" s="236" t="s">
        <v>126</v>
      </c>
      <c r="AX5" s="236" t="s">
        <v>126</v>
      </c>
      <c r="AY5" s="236" t="s">
        <v>126</v>
      </c>
      <c r="AZ5" s="236" t="s">
        <v>126</v>
      </c>
      <c r="BA5" s="236" t="s">
        <v>126</v>
      </c>
      <c r="BB5" s="236" t="s">
        <v>126</v>
      </c>
      <c r="BC5" s="236" t="s">
        <v>126</v>
      </c>
      <c r="BD5" s="236" t="s">
        <v>126</v>
      </c>
      <c r="BE5" s="236" t="s">
        <v>126</v>
      </c>
      <c r="BF5" s="236" t="s">
        <v>126</v>
      </c>
      <c r="BG5" s="236" t="s">
        <v>126</v>
      </c>
      <c r="BH5" s="236" t="s">
        <v>126</v>
      </c>
      <c r="BI5" s="236" t="s">
        <v>126</v>
      </c>
      <c r="BJ5" s="236" t="s">
        <v>126</v>
      </c>
      <c r="BK5" s="236" t="s">
        <v>126</v>
      </c>
      <c r="BL5" s="236" t="s">
        <v>126</v>
      </c>
      <c r="BM5" s="236" t="s">
        <v>126</v>
      </c>
      <c r="BN5" s="236" t="s">
        <v>126</v>
      </c>
      <c r="BO5" s="236" t="s">
        <v>126</v>
      </c>
      <c r="BP5" s="236" t="s">
        <v>126</v>
      </c>
      <c r="BQ5" s="236" t="s">
        <v>126</v>
      </c>
      <c r="BR5" s="236" t="s">
        <v>126</v>
      </c>
      <c r="BS5" s="236" t="s">
        <v>126</v>
      </c>
      <c r="BT5" s="236" t="s">
        <v>126</v>
      </c>
      <c r="BU5" s="236" t="s">
        <v>126</v>
      </c>
      <c r="BV5" s="236" t="s">
        <v>126</v>
      </c>
      <c r="BW5" s="236" t="s">
        <v>126</v>
      </c>
      <c r="BX5" s="236" t="s">
        <v>126</v>
      </c>
      <c r="BY5" s="236" t="s">
        <v>126</v>
      </c>
      <c r="BZ5" s="236" t="s">
        <v>126</v>
      </c>
      <c r="CA5" s="236" t="s">
        <v>126</v>
      </c>
      <c r="CB5" s="236" t="s">
        <v>126</v>
      </c>
      <c r="CC5" s="236" t="s">
        <v>126</v>
      </c>
      <c r="CD5" s="236" t="s">
        <v>126</v>
      </c>
      <c r="CE5" s="237" t="s">
        <v>126</v>
      </c>
      <c r="CF5" s="178" t="s">
        <v>126</v>
      </c>
      <c r="CG5" s="178" t="s">
        <v>126</v>
      </c>
      <c r="CH5" s="238" t="s">
        <v>126</v>
      </c>
      <c r="CI5" s="239" t="s">
        <v>126</v>
      </c>
      <c r="CJ5" s="240" t="s">
        <v>225</v>
      </c>
      <c r="CK5" s="178" t="s">
        <v>126</v>
      </c>
      <c r="CL5" s="178" t="s">
        <v>126</v>
      </c>
      <c r="CM5" s="178" t="s">
        <v>126</v>
      </c>
      <c r="CN5" s="238" t="s">
        <v>126</v>
      </c>
      <c r="CO5" s="239" t="s">
        <v>126</v>
      </c>
      <c r="CP5" s="240" t="s">
        <v>225</v>
      </c>
      <c r="CQ5" s="178" t="s">
        <v>126</v>
      </c>
      <c r="CR5" s="178" t="s">
        <v>126</v>
      </c>
      <c r="CS5" s="178" t="s">
        <v>126</v>
      </c>
      <c r="CT5" s="238" t="s">
        <v>126</v>
      </c>
      <c r="CU5" s="239" t="s">
        <v>126</v>
      </c>
      <c r="CV5" s="240" t="s">
        <v>225</v>
      </c>
      <c r="CW5" s="177" t="s">
        <v>225</v>
      </c>
      <c r="CX5" s="177" t="s">
        <v>225</v>
      </c>
      <c r="CY5" s="177" t="s">
        <v>225</v>
      </c>
      <c r="CZ5" s="177" t="s">
        <v>225</v>
      </c>
      <c r="DA5" s="177" t="s">
        <v>225</v>
      </c>
      <c r="DB5" s="177" t="s">
        <v>225</v>
      </c>
      <c r="DC5" s="177" t="s">
        <v>225</v>
      </c>
      <c r="DD5" s="177" t="s">
        <v>225</v>
      </c>
      <c r="DE5" s="177" t="s">
        <v>225</v>
      </c>
      <c r="DF5" s="177" t="s">
        <v>225</v>
      </c>
      <c r="DG5" s="177" t="s">
        <v>225</v>
      </c>
      <c r="DH5" s="177" t="s">
        <v>225</v>
      </c>
      <c r="DI5" s="177" t="s">
        <v>225</v>
      </c>
      <c r="DJ5" s="177" t="s">
        <v>225</v>
      </c>
      <c r="DK5" s="177" t="s">
        <v>225</v>
      </c>
      <c r="DL5" s="177" t="s">
        <v>225</v>
      </c>
      <c r="DM5" s="177" t="s">
        <v>225</v>
      </c>
      <c r="DN5" s="177" t="s">
        <v>225</v>
      </c>
      <c r="DO5" s="177" t="s">
        <v>225</v>
      </c>
      <c r="DP5" s="177" t="s">
        <v>225</v>
      </c>
      <c r="DQ5" s="177" t="s">
        <v>225</v>
      </c>
      <c r="DR5" s="177" t="s">
        <v>225</v>
      </c>
      <c r="DS5" s="177" t="s">
        <v>225</v>
      </c>
      <c r="DT5" s="177" t="s">
        <v>225</v>
      </c>
      <c r="DU5" s="177" t="s">
        <v>225</v>
      </c>
      <c r="DV5" s="177" t="s">
        <v>225</v>
      </c>
      <c r="DW5" s="177" t="s">
        <v>225</v>
      </c>
      <c r="DX5" s="177" t="s">
        <v>225</v>
      </c>
      <c r="DY5" s="177" t="s">
        <v>225</v>
      </c>
      <c r="DZ5" s="177" t="s">
        <v>225</v>
      </c>
      <c r="EA5" s="177" t="s">
        <v>225</v>
      </c>
      <c r="EB5" s="177" t="s">
        <v>225</v>
      </c>
      <c r="EC5" s="177" t="s">
        <v>225</v>
      </c>
      <c r="ED5" s="177" t="s">
        <v>225</v>
      </c>
      <c r="EE5" s="177" t="s">
        <v>225</v>
      </c>
      <c r="EF5" s="177" t="s">
        <v>225</v>
      </c>
      <c r="EG5" s="177" t="s">
        <v>225</v>
      </c>
      <c r="EH5" s="177" t="s">
        <v>225</v>
      </c>
      <c r="EI5" s="177" t="s">
        <v>225</v>
      </c>
      <c r="EJ5" s="177" t="s">
        <v>225</v>
      </c>
      <c r="EK5" s="177" t="s">
        <v>225</v>
      </c>
      <c r="EL5" s="177" t="s">
        <v>225</v>
      </c>
      <c r="EM5" s="177" t="s">
        <v>225</v>
      </c>
      <c r="EN5" s="177" t="s">
        <v>225</v>
      </c>
      <c r="EO5" s="177" t="s">
        <v>225</v>
      </c>
      <c r="EP5" s="177" t="s">
        <v>225</v>
      </c>
      <c r="EQ5" s="177" t="s">
        <v>225</v>
      </c>
      <c r="ER5" s="177" t="s">
        <v>225</v>
      </c>
      <c r="ES5" s="177" t="s">
        <v>225</v>
      </c>
      <c r="ET5" s="177" t="s">
        <v>225</v>
      </c>
      <c r="EU5" s="177" t="s">
        <v>225</v>
      </c>
      <c r="EV5" s="177" t="s">
        <v>225</v>
      </c>
      <c r="EW5" s="177" t="s">
        <v>225</v>
      </c>
      <c r="EX5" s="177" t="s">
        <v>225</v>
      </c>
      <c r="EY5" s="177" t="s">
        <v>225</v>
      </c>
      <c r="EZ5" s="177" t="s">
        <v>225</v>
      </c>
      <c r="FA5" s="177" t="s">
        <v>225</v>
      </c>
      <c r="FB5" s="177" t="s">
        <v>225</v>
      </c>
      <c r="FC5" s="177" t="s">
        <v>225</v>
      </c>
      <c r="FD5" s="177" t="s">
        <v>225</v>
      </c>
      <c r="FE5" s="177" t="s">
        <v>225</v>
      </c>
      <c r="FF5" s="177" t="s">
        <v>225</v>
      </c>
      <c r="FG5" s="177" t="s">
        <v>225</v>
      </c>
      <c r="FH5" s="177" t="s">
        <v>225</v>
      </c>
      <c r="FI5" s="177" t="s">
        <v>225</v>
      </c>
      <c r="FJ5" s="177" t="s">
        <v>225</v>
      </c>
      <c r="FK5" s="177" t="s">
        <v>225</v>
      </c>
      <c r="FL5" s="177" t="s">
        <v>225</v>
      </c>
      <c r="FM5" s="177" t="s">
        <v>225</v>
      </c>
      <c r="FN5" s="177" t="s">
        <v>225</v>
      </c>
      <c r="FO5" s="177" t="s">
        <v>225</v>
      </c>
      <c r="FP5" s="177" t="s">
        <v>225</v>
      </c>
      <c r="FQ5" s="177" t="s">
        <v>225</v>
      </c>
      <c r="FR5" s="177" t="s">
        <v>225</v>
      </c>
      <c r="FS5" s="177" t="s">
        <v>225</v>
      </c>
    </row>
    <row r="6" customFormat="false" ht="15" hidden="false" customHeight="false" outlineLevel="0" collapsed="false">
      <c r="A6" s="231" t="s">
        <v>128</v>
      </c>
      <c r="B6" s="231" t="s">
        <v>128</v>
      </c>
      <c r="C6" s="231" t="s">
        <v>128</v>
      </c>
      <c r="D6" s="231" t="s">
        <v>128</v>
      </c>
      <c r="E6" s="231" t="s">
        <v>128</v>
      </c>
      <c r="F6" s="232" t="s">
        <v>128</v>
      </c>
      <c r="G6" s="233" t="s">
        <v>131</v>
      </c>
      <c r="H6" s="234" t="s">
        <v>131</v>
      </c>
      <c r="I6" s="235" t="s">
        <v>1183</v>
      </c>
      <c r="J6" s="235" t="s">
        <v>1183</v>
      </c>
      <c r="K6" s="235" t="s">
        <v>1183</v>
      </c>
      <c r="L6" s="235" t="s">
        <v>1183</v>
      </c>
      <c r="M6" s="235" t="s">
        <v>1183</v>
      </c>
      <c r="N6" s="235" t="s">
        <v>1183</v>
      </c>
      <c r="O6" s="235" t="s">
        <v>1183</v>
      </c>
      <c r="P6" s="235" t="s">
        <v>1183</v>
      </c>
      <c r="Q6" s="235" t="s">
        <v>1183</v>
      </c>
      <c r="R6" s="235" t="s">
        <v>1183</v>
      </c>
      <c r="S6" s="235" t="s">
        <v>1183</v>
      </c>
      <c r="T6" s="235" t="s">
        <v>1183</v>
      </c>
      <c r="U6" s="236" t="s">
        <v>1183</v>
      </c>
      <c r="V6" s="236" t="s">
        <v>1183</v>
      </c>
      <c r="W6" s="236" t="s">
        <v>1183</v>
      </c>
      <c r="X6" s="236" t="s">
        <v>1183</v>
      </c>
      <c r="Y6" s="236" t="s">
        <v>1183</v>
      </c>
      <c r="Z6" s="236" t="s">
        <v>1183</v>
      </c>
      <c r="AA6" s="236" t="s">
        <v>1183</v>
      </c>
      <c r="AB6" s="236" t="s">
        <v>1183</v>
      </c>
      <c r="AC6" s="236" t="s">
        <v>1183</v>
      </c>
      <c r="AD6" s="236" t="s">
        <v>1183</v>
      </c>
      <c r="AE6" s="236" t="s">
        <v>1183</v>
      </c>
      <c r="AF6" s="236" t="s">
        <v>1183</v>
      </c>
      <c r="AG6" s="236" t="s">
        <v>1183</v>
      </c>
      <c r="AH6" s="236" t="s">
        <v>1183</v>
      </c>
      <c r="AI6" s="236" t="s">
        <v>1183</v>
      </c>
      <c r="AJ6" s="236" t="s">
        <v>1183</v>
      </c>
      <c r="AK6" s="236" t="s">
        <v>1183</v>
      </c>
      <c r="AL6" s="236" t="s">
        <v>1183</v>
      </c>
      <c r="AM6" s="236" t="s">
        <v>1183</v>
      </c>
      <c r="AN6" s="236" t="s">
        <v>1183</v>
      </c>
      <c r="AO6" s="236" t="s">
        <v>1183</v>
      </c>
      <c r="AP6" s="236" t="s">
        <v>1183</v>
      </c>
      <c r="AQ6" s="236" t="s">
        <v>1183</v>
      </c>
      <c r="AR6" s="236" t="s">
        <v>1183</v>
      </c>
      <c r="AS6" s="236" t="s">
        <v>1183</v>
      </c>
      <c r="AT6" s="236" t="s">
        <v>1183</v>
      </c>
      <c r="AU6" s="236" t="s">
        <v>1183</v>
      </c>
      <c r="AV6" s="236" t="s">
        <v>1183</v>
      </c>
      <c r="AW6" s="236" t="s">
        <v>1183</v>
      </c>
      <c r="AX6" s="236" t="s">
        <v>1183</v>
      </c>
      <c r="AY6" s="236" t="s">
        <v>1183</v>
      </c>
      <c r="AZ6" s="236" t="s">
        <v>1183</v>
      </c>
      <c r="BA6" s="236" t="s">
        <v>1183</v>
      </c>
      <c r="BB6" s="236" t="s">
        <v>1183</v>
      </c>
      <c r="BC6" s="236" t="s">
        <v>1183</v>
      </c>
      <c r="BD6" s="236" t="s">
        <v>1183</v>
      </c>
      <c r="BE6" s="236" t="s">
        <v>1183</v>
      </c>
      <c r="BF6" s="236" t="s">
        <v>1183</v>
      </c>
      <c r="BG6" s="236" t="s">
        <v>1183</v>
      </c>
      <c r="BH6" s="236" t="s">
        <v>1183</v>
      </c>
      <c r="BI6" s="236" t="s">
        <v>1183</v>
      </c>
      <c r="BJ6" s="236" t="s">
        <v>1183</v>
      </c>
      <c r="BK6" s="236" t="s">
        <v>1183</v>
      </c>
      <c r="BL6" s="236" t="s">
        <v>1183</v>
      </c>
      <c r="BM6" s="236" t="s">
        <v>1183</v>
      </c>
      <c r="BN6" s="236" t="s">
        <v>1183</v>
      </c>
      <c r="BO6" s="236" t="s">
        <v>1183</v>
      </c>
      <c r="BP6" s="236" t="s">
        <v>1183</v>
      </c>
      <c r="BQ6" s="236" t="s">
        <v>1183</v>
      </c>
      <c r="BR6" s="236" t="s">
        <v>1183</v>
      </c>
      <c r="BS6" s="236" t="s">
        <v>1183</v>
      </c>
      <c r="BT6" s="236" t="s">
        <v>1183</v>
      </c>
      <c r="BU6" s="236" t="s">
        <v>1183</v>
      </c>
      <c r="BV6" s="236" t="s">
        <v>1183</v>
      </c>
      <c r="BW6" s="236" t="s">
        <v>1183</v>
      </c>
      <c r="BX6" s="236" t="s">
        <v>1183</v>
      </c>
      <c r="BY6" s="236" t="s">
        <v>1183</v>
      </c>
      <c r="BZ6" s="236" t="s">
        <v>1183</v>
      </c>
      <c r="CA6" s="236" t="s">
        <v>1183</v>
      </c>
      <c r="CB6" s="236" t="s">
        <v>1183</v>
      </c>
      <c r="CC6" s="236" t="s">
        <v>1183</v>
      </c>
      <c r="CD6" s="236" t="s">
        <v>1183</v>
      </c>
      <c r="CE6" s="237" t="s">
        <v>1183</v>
      </c>
      <c r="CF6" s="178" t="s">
        <v>131</v>
      </c>
      <c r="CG6" s="178" t="s">
        <v>131</v>
      </c>
      <c r="CH6" s="238" t="s">
        <v>227</v>
      </c>
      <c r="CI6" s="239" t="s">
        <v>227</v>
      </c>
      <c r="CJ6" s="240" t="s">
        <v>130</v>
      </c>
      <c r="CK6" s="178" t="s">
        <v>131</v>
      </c>
      <c r="CL6" s="178" t="s">
        <v>131</v>
      </c>
      <c r="CM6" s="178" t="s">
        <v>131</v>
      </c>
      <c r="CN6" s="238" t="s">
        <v>227</v>
      </c>
      <c r="CO6" s="239" t="s">
        <v>227</v>
      </c>
      <c r="CP6" s="240" t="s">
        <v>130</v>
      </c>
      <c r="CQ6" s="178" t="s">
        <v>131</v>
      </c>
      <c r="CR6" s="178" t="s">
        <v>131</v>
      </c>
      <c r="CS6" s="178" t="s">
        <v>131</v>
      </c>
      <c r="CT6" s="238" t="s">
        <v>227</v>
      </c>
      <c r="CU6" s="239" t="s">
        <v>227</v>
      </c>
      <c r="CV6" s="240" t="s">
        <v>130</v>
      </c>
      <c r="CW6" s="177" t="s">
        <v>130</v>
      </c>
      <c r="CX6" s="177" t="s">
        <v>130</v>
      </c>
      <c r="CY6" s="177" t="s">
        <v>130</v>
      </c>
      <c r="CZ6" s="177" t="s">
        <v>130</v>
      </c>
      <c r="DA6" s="177" t="s">
        <v>130</v>
      </c>
      <c r="DB6" s="177" t="s">
        <v>130</v>
      </c>
      <c r="DC6" s="177" t="s">
        <v>130</v>
      </c>
      <c r="DD6" s="177" t="s">
        <v>130</v>
      </c>
      <c r="DE6" s="177" t="s">
        <v>130</v>
      </c>
      <c r="DF6" s="177" t="s">
        <v>130</v>
      </c>
      <c r="DG6" s="177" t="s">
        <v>130</v>
      </c>
      <c r="DH6" s="177" t="s">
        <v>130</v>
      </c>
      <c r="DI6" s="177" t="s">
        <v>130</v>
      </c>
      <c r="DJ6" s="177" t="s">
        <v>130</v>
      </c>
      <c r="DK6" s="177" t="s">
        <v>130</v>
      </c>
      <c r="DL6" s="177" t="s">
        <v>130</v>
      </c>
      <c r="DM6" s="177" t="s">
        <v>130</v>
      </c>
      <c r="DN6" s="177" t="s">
        <v>130</v>
      </c>
      <c r="DO6" s="177" t="s">
        <v>130</v>
      </c>
      <c r="DP6" s="177" t="s">
        <v>130</v>
      </c>
      <c r="DQ6" s="177" t="s">
        <v>130</v>
      </c>
      <c r="DR6" s="177" t="s">
        <v>130</v>
      </c>
      <c r="DS6" s="177" t="s">
        <v>130</v>
      </c>
      <c r="DT6" s="177" t="s">
        <v>130</v>
      </c>
      <c r="DU6" s="177" t="s">
        <v>130</v>
      </c>
      <c r="DV6" s="177" t="s">
        <v>130</v>
      </c>
      <c r="DW6" s="177" t="s">
        <v>130</v>
      </c>
      <c r="DX6" s="177" t="s">
        <v>130</v>
      </c>
      <c r="DY6" s="177" t="s">
        <v>130</v>
      </c>
      <c r="DZ6" s="177" t="s">
        <v>130</v>
      </c>
      <c r="EA6" s="177" t="s">
        <v>130</v>
      </c>
      <c r="EB6" s="177" t="s">
        <v>130</v>
      </c>
      <c r="EC6" s="177" t="s">
        <v>130</v>
      </c>
      <c r="ED6" s="177" t="s">
        <v>130</v>
      </c>
      <c r="EE6" s="177" t="s">
        <v>130</v>
      </c>
      <c r="EF6" s="177" t="s">
        <v>130</v>
      </c>
      <c r="EG6" s="177" t="s">
        <v>130</v>
      </c>
      <c r="EH6" s="177" t="s">
        <v>130</v>
      </c>
      <c r="EI6" s="177" t="s">
        <v>130</v>
      </c>
      <c r="EJ6" s="177" t="s">
        <v>130</v>
      </c>
      <c r="EK6" s="177" t="s">
        <v>130</v>
      </c>
      <c r="EL6" s="177" t="s">
        <v>130</v>
      </c>
      <c r="EM6" s="177" t="s">
        <v>130</v>
      </c>
      <c r="EN6" s="177" t="s">
        <v>130</v>
      </c>
      <c r="EO6" s="177" t="s">
        <v>130</v>
      </c>
      <c r="EP6" s="177" t="s">
        <v>130</v>
      </c>
      <c r="EQ6" s="177" t="s">
        <v>130</v>
      </c>
      <c r="ER6" s="177" t="s">
        <v>130</v>
      </c>
      <c r="ES6" s="177" t="s">
        <v>130</v>
      </c>
      <c r="ET6" s="177" t="s">
        <v>130</v>
      </c>
      <c r="EU6" s="177" t="s">
        <v>130</v>
      </c>
      <c r="EV6" s="177" t="s">
        <v>130</v>
      </c>
      <c r="EW6" s="177" t="s">
        <v>130</v>
      </c>
      <c r="EX6" s="177" t="s">
        <v>130</v>
      </c>
      <c r="EY6" s="177" t="s">
        <v>130</v>
      </c>
      <c r="EZ6" s="177" t="s">
        <v>130</v>
      </c>
      <c r="FA6" s="177" t="s">
        <v>130</v>
      </c>
      <c r="FB6" s="177" t="s">
        <v>130</v>
      </c>
      <c r="FC6" s="177" t="s">
        <v>130</v>
      </c>
      <c r="FD6" s="177" t="s">
        <v>130</v>
      </c>
      <c r="FE6" s="177" t="s">
        <v>130</v>
      </c>
      <c r="FF6" s="177" t="s">
        <v>130</v>
      </c>
      <c r="FG6" s="177" t="s">
        <v>130</v>
      </c>
      <c r="FH6" s="177" t="s">
        <v>130</v>
      </c>
      <c r="FI6" s="177" t="s">
        <v>130</v>
      </c>
      <c r="FJ6" s="177" t="s">
        <v>130</v>
      </c>
      <c r="FK6" s="177" t="s">
        <v>130</v>
      </c>
      <c r="FL6" s="177" t="s">
        <v>130</v>
      </c>
      <c r="FM6" s="177" t="s">
        <v>130</v>
      </c>
      <c r="FN6" s="177" t="s">
        <v>130</v>
      </c>
      <c r="FO6" s="177" t="s">
        <v>130</v>
      </c>
      <c r="FP6" s="177" t="s">
        <v>130</v>
      </c>
      <c r="FQ6" s="177" t="s">
        <v>130</v>
      </c>
      <c r="FR6" s="177" t="s">
        <v>130</v>
      </c>
      <c r="FS6" s="177" t="s">
        <v>130</v>
      </c>
    </row>
    <row r="7" customFormat="false" ht="15" hidden="false" customHeight="false" outlineLevel="0" collapsed="false">
      <c r="A7" s="231" t="s">
        <v>132</v>
      </c>
      <c r="B7" s="231" t="s">
        <v>132</v>
      </c>
      <c r="C7" s="231" t="s">
        <v>132</v>
      </c>
      <c r="D7" s="231" t="s">
        <v>132</v>
      </c>
      <c r="E7" s="231" t="s">
        <v>132</v>
      </c>
      <c r="F7" s="232" t="s">
        <v>132</v>
      </c>
      <c r="G7" s="233" t="s">
        <v>133</v>
      </c>
      <c r="H7" s="234" t="s">
        <v>133</v>
      </c>
      <c r="I7" s="235" t="s">
        <v>229</v>
      </c>
      <c r="J7" s="235" t="s">
        <v>229</v>
      </c>
      <c r="K7" s="235" t="s">
        <v>229</v>
      </c>
      <c r="L7" s="235" t="s">
        <v>229</v>
      </c>
      <c r="M7" s="235" t="s">
        <v>229</v>
      </c>
      <c r="N7" s="235" t="s">
        <v>229</v>
      </c>
      <c r="O7" s="235" t="s">
        <v>229</v>
      </c>
      <c r="P7" s="235" t="s">
        <v>229</v>
      </c>
      <c r="Q7" s="235" t="s">
        <v>229</v>
      </c>
      <c r="R7" s="235" t="s">
        <v>229</v>
      </c>
      <c r="S7" s="235" t="s">
        <v>229</v>
      </c>
      <c r="T7" s="235" t="s">
        <v>229</v>
      </c>
      <c r="U7" s="236" t="s">
        <v>229</v>
      </c>
      <c r="V7" s="236" t="s">
        <v>229</v>
      </c>
      <c r="W7" s="236" t="s">
        <v>229</v>
      </c>
      <c r="X7" s="236" t="s">
        <v>229</v>
      </c>
      <c r="Y7" s="236" t="s">
        <v>229</v>
      </c>
      <c r="Z7" s="236" t="s">
        <v>229</v>
      </c>
      <c r="AA7" s="236" t="s">
        <v>229</v>
      </c>
      <c r="AB7" s="236" t="s">
        <v>229</v>
      </c>
      <c r="AC7" s="236" t="s">
        <v>229</v>
      </c>
      <c r="AD7" s="236" t="s">
        <v>229</v>
      </c>
      <c r="AE7" s="236" t="s">
        <v>229</v>
      </c>
      <c r="AF7" s="236" t="s">
        <v>229</v>
      </c>
      <c r="AG7" s="236" t="s">
        <v>229</v>
      </c>
      <c r="AH7" s="236" t="s">
        <v>229</v>
      </c>
      <c r="AI7" s="236" t="s">
        <v>229</v>
      </c>
      <c r="AJ7" s="236" t="s">
        <v>229</v>
      </c>
      <c r="AK7" s="236" t="s">
        <v>229</v>
      </c>
      <c r="AL7" s="236" t="s">
        <v>229</v>
      </c>
      <c r="AM7" s="236" t="s">
        <v>229</v>
      </c>
      <c r="AN7" s="236" t="s">
        <v>229</v>
      </c>
      <c r="AO7" s="236" t="s">
        <v>229</v>
      </c>
      <c r="AP7" s="236" t="s">
        <v>229</v>
      </c>
      <c r="AQ7" s="236" t="s">
        <v>229</v>
      </c>
      <c r="AR7" s="236" t="s">
        <v>229</v>
      </c>
      <c r="AS7" s="236" t="s">
        <v>229</v>
      </c>
      <c r="AT7" s="236" t="s">
        <v>229</v>
      </c>
      <c r="AU7" s="236" t="s">
        <v>229</v>
      </c>
      <c r="AV7" s="236" t="s">
        <v>229</v>
      </c>
      <c r="AW7" s="236" t="s">
        <v>229</v>
      </c>
      <c r="AX7" s="236" t="s">
        <v>229</v>
      </c>
      <c r="AY7" s="236" t="s">
        <v>229</v>
      </c>
      <c r="AZ7" s="236" t="s">
        <v>229</v>
      </c>
      <c r="BA7" s="236" t="s">
        <v>229</v>
      </c>
      <c r="BB7" s="236" t="s">
        <v>229</v>
      </c>
      <c r="BC7" s="236" t="s">
        <v>229</v>
      </c>
      <c r="BD7" s="236" t="s">
        <v>229</v>
      </c>
      <c r="BE7" s="236" t="s">
        <v>229</v>
      </c>
      <c r="BF7" s="236" t="s">
        <v>229</v>
      </c>
      <c r="BG7" s="236" t="s">
        <v>229</v>
      </c>
      <c r="BH7" s="236" t="s">
        <v>229</v>
      </c>
      <c r="BI7" s="236" t="s">
        <v>229</v>
      </c>
      <c r="BJ7" s="236" t="s">
        <v>229</v>
      </c>
      <c r="BK7" s="236" t="s">
        <v>229</v>
      </c>
      <c r="BL7" s="236" t="s">
        <v>229</v>
      </c>
      <c r="BM7" s="236" t="s">
        <v>229</v>
      </c>
      <c r="BN7" s="236" t="s">
        <v>229</v>
      </c>
      <c r="BO7" s="236" t="s">
        <v>229</v>
      </c>
      <c r="BP7" s="236" t="s">
        <v>229</v>
      </c>
      <c r="BQ7" s="236" t="s">
        <v>229</v>
      </c>
      <c r="BR7" s="236" t="s">
        <v>229</v>
      </c>
      <c r="BS7" s="236" t="s">
        <v>229</v>
      </c>
      <c r="BT7" s="236" t="s">
        <v>229</v>
      </c>
      <c r="BU7" s="236" t="s">
        <v>229</v>
      </c>
      <c r="BV7" s="236" t="s">
        <v>229</v>
      </c>
      <c r="BW7" s="236" t="s">
        <v>229</v>
      </c>
      <c r="BX7" s="236" t="s">
        <v>229</v>
      </c>
      <c r="BY7" s="236" t="s">
        <v>229</v>
      </c>
      <c r="BZ7" s="236" t="s">
        <v>229</v>
      </c>
      <c r="CA7" s="236" t="s">
        <v>229</v>
      </c>
      <c r="CB7" s="236" t="s">
        <v>229</v>
      </c>
      <c r="CC7" s="236" t="s">
        <v>229</v>
      </c>
      <c r="CD7" s="236" t="s">
        <v>229</v>
      </c>
      <c r="CE7" s="237" t="s">
        <v>229</v>
      </c>
      <c r="CF7" s="178" t="s">
        <v>133</v>
      </c>
      <c r="CG7" s="178" t="s">
        <v>133</v>
      </c>
      <c r="CH7" s="238" t="s">
        <v>132</v>
      </c>
      <c r="CI7" s="239" t="s">
        <v>229</v>
      </c>
      <c r="CJ7" s="240" t="s">
        <v>133</v>
      </c>
      <c r="CK7" s="178" t="s">
        <v>133</v>
      </c>
      <c r="CL7" s="178" t="s">
        <v>133</v>
      </c>
      <c r="CM7" s="178" t="s">
        <v>133</v>
      </c>
      <c r="CN7" s="238" t="s">
        <v>132</v>
      </c>
      <c r="CO7" s="239" t="s">
        <v>229</v>
      </c>
      <c r="CP7" s="240" t="s">
        <v>133</v>
      </c>
      <c r="CQ7" s="178" t="s">
        <v>133</v>
      </c>
      <c r="CR7" s="178" t="s">
        <v>133</v>
      </c>
      <c r="CS7" s="178" t="s">
        <v>133</v>
      </c>
      <c r="CT7" s="238" t="s">
        <v>132</v>
      </c>
      <c r="CU7" s="239" t="s">
        <v>229</v>
      </c>
      <c r="CV7" s="240" t="s">
        <v>133</v>
      </c>
      <c r="CW7" s="177" t="s">
        <v>133</v>
      </c>
      <c r="CX7" s="177" t="s">
        <v>133</v>
      </c>
      <c r="CY7" s="177" t="s">
        <v>133</v>
      </c>
      <c r="CZ7" s="177" t="s">
        <v>133</v>
      </c>
      <c r="DA7" s="177" t="s">
        <v>133</v>
      </c>
      <c r="DB7" s="177" t="s">
        <v>133</v>
      </c>
      <c r="DC7" s="177" t="s">
        <v>133</v>
      </c>
      <c r="DD7" s="177" t="s">
        <v>133</v>
      </c>
      <c r="DE7" s="177" t="s">
        <v>133</v>
      </c>
      <c r="DF7" s="177" t="s">
        <v>133</v>
      </c>
      <c r="DG7" s="177" t="s">
        <v>133</v>
      </c>
      <c r="DH7" s="177" t="s">
        <v>133</v>
      </c>
      <c r="DI7" s="177" t="s">
        <v>133</v>
      </c>
      <c r="DJ7" s="177" t="s">
        <v>133</v>
      </c>
      <c r="DK7" s="177" t="s">
        <v>133</v>
      </c>
      <c r="DL7" s="177" t="s">
        <v>133</v>
      </c>
      <c r="DM7" s="177" t="s">
        <v>133</v>
      </c>
      <c r="DN7" s="177" t="s">
        <v>133</v>
      </c>
      <c r="DO7" s="177" t="s">
        <v>133</v>
      </c>
      <c r="DP7" s="177" t="s">
        <v>133</v>
      </c>
      <c r="DQ7" s="177" t="s">
        <v>133</v>
      </c>
      <c r="DR7" s="177" t="s">
        <v>133</v>
      </c>
      <c r="DS7" s="177" t="s">
        <v>133</v>
      </c>
      <c r="DT7" s="177" t="s">
        <v>133</v>
      </c>
      <c r="DU7" s="177" t="s">
        <v>133</v>
      </c>
      <c r="DV7" s="177" t="s">
        <v>133</v>
      </c>
      <c r="DW7" s="177" t="s">
        <v>133</v>
      </c>
      <c r="DX7" s="177" t="s">
        <v>133</v>
      </c>
      <c r="DY7" s="177" t="s">
        <v>133</v>
      </c>
      <c r="DZ7" s="177" t="s">
        <v>133</v>
      </c>
      <c r="EA7" s="177" t="s">
        <v>133</v>
      </c>
      <c r="EB7" s="177" t="s">
        <v>133</v>
      </c>
      <c r="EC7" s="177" t="s">
        <v>133</v>
      </c>
      <c r="ED7" s="177" t="s">
        <v>133</v>
      </c>
      <c r="EE7" s="177" t="s">
        <v>133</v>
      </c>
      <c r="EF7" s="177" t="s">
        <v>133</v>
      </c>
      <c r="EG7" s="177" t="s">
        <v>133</v>
      </c>
      <c r="EH7" s="177" t="s">
        <v>133</v>
      </c>
      <c r="EI7" s="177" t="s">
        <v>133</v>
      </c>
      <c r="EJ7" s="177" t="s">
        <v>133</v>
      </c>
      <c r="EK7" s="177" t="s">
        <v>133</v>
      </c>
      <c r="EL7" s="177" t="s">
        <v>133</v>
      </c>
      <c r="EM7" s="177" t="s">
        <v>133</v>
      </c>
      <c r="EN7" s="177" t="s">
        <v>133</v>
      </c>
      <c r="EO7" s="177" t="s">
        <v>133</v>
      </c>
      <c r="EP7" s="177" t="s">
        <v>133</v>
      </c>
      <c r="EQ7" s="177" t="s">
        <v>133</v>
      </c>
      <c r="ER7" s="177" t="s">
        <v>133</v>
      </c>
      <c r="ES7" s="177" t="s">
        <v>133</v>
      </c>
      <c r="ET7" s="177" t="s">
        <v>133</v>
      </c>
      <c r="EU7" s="177" t="s">
        <v>133</v>
      </c>
      <c r="EV7" s="177" t="s">
        <v>133</v>
      </c>
      <c r="EW7" s="177" t="s">
        <v>133</v>
      </c>
      <c r="EX7" s="177" t="s">
        <v>133</v>
      </c>
      <c r="EY7" s="177" t="s">
        <v>133</v>
      </c>
      <c r="EZ7" s="177" t="s">
        <v>133</v>
      </c>
      <c r="FA7" s="177" t="s">
        <v>133</v>
      </c>
      <c r="FB7" s="177" t="s">
        <v>133</v>
      </c>
      <c r="FC7" s="177" t="s">
        <v>133</v>
      </c>
      <c r="FD7" s="177" t="s">
        <v>133</v>
      </c>
      <c r="FE7" s="177" t="s">
        <v>133</v>
      </c>
      <c r="FF7" s="177" t="s">
        <v>133</v>
      </c>
      <c r="FG7" s="177" t="s">
        <v>133</v>
      </c>
      <c r="FH7" s="177" t="s">
        <v>133</v>
      </c>
      <c r="FI7" s="177" t="s">
        <v>133</v>
      </c>
      <c r="FJ7" s="177" t="s">
        <v>133</v>
      </c>
      <c r="FK7" s="177" t="s">
        <v>133</v>
      </c>
      <c r="FL7" s="177" t="s">
        <v>133</v>
      </c>
      <c r="FM7" s="177" t="s">
        <v>133</v>
      </c>
      <c r="FN7" s="177" t="s">
        <v>133</v>
      </c>
      <c r="FO7" s="177" t="s">
        <v>133</v>
      </c>
      <c r="FP7" s="177" t="s">
        <v>133</v>
      </c>
      <c r="FQ7" s="177" t="s">
        <v>133</v>
      </c>
      <c r="FR7" s="177" t="s">
        <v>133</v>
      </c>
      <c r="FS7" s="177" t="s">
        <v>133</v>
      </c>
    </row>
    <row r="8" customFormat="false" ht="15" hidden="false" customHeight="false" outlineLevel="0" collapsed="false">
      <c r="A8" s="231" t="s">
        <v>47</v>
      </c>
      <c r="B8" s="231" t="s">
        <v>47</v>
      </c>
      <c r="C8" s="231" t="s">
        <v>47</v>
      </c>
      <c r="D8" s="231" t="s">
        <v>47</v>
      </c>
      <c r="E8" s="241" t="s">
        <v>47</v>
      </c>
      <c r="F8" s="232" t="s">
        <v>47</v>
      </c>
      <c r="G8" s="233" t="s">
        <v>47</v>
      </c>
      <c r="H8" s="234" t="s">
        <v>47</v>
      </c>
      <c r="I8" s="235" t="s">
        <v>47</v>
      </c>
      <c r="J8" s="235" t="s">
        <v>47</v>
      </c>
      <c r="K8" s="235" t="s">
        <v>47</v>
      </c>
      <c r="L8" s="235" t="s">
        <v>47</v>
      </c>
      <c r="M8" s="235" t="s">
        <v>47</v>
      </c>
      <c r="N8" s="235" t="s">
        <v>47</v>
      </c>
      <c r="O8" s="235" t="s">
        <v>47</v>
      </c>
      <c r="P8" s="235" t="s">
        <v>47</v>
      </c>
      <c r="Q8" s="235" t="s">
        <v>47</v>
      </c>
      <c r="R8" s="235" t="s">
        <v>47</v>
      </c>
      <c r="S8" s="235" t="s">
        <v>47</v>
      </c>
      <c r="T8" s="235" t="s">
        <v>47</v>
      </c>
      <c r="U8" s="236" t="s">
        <v>47</v>
      </c>
      <c r="V8" s="236" t="s">
        <v>47</v>
      </c>
      <c r="W8" s="236" t="s">
        <v>47</v>
      </c>
      <c r="X8" s="236" t="s">
        <v>47</v>
      </c>
      <c r="Y8" s="236" t="s">
        <v>47</v>
      </c>
      <c r="Z8" s="236" t="s">
        <v>47</v>
      </c>
      <c r="AA8" s="236" t="s">
        <v>47</v>
      </c>
      <c r="AB8" s="236" t="s">
        <v>47</v>
      </c>
      <c r="AC8" s="236" t="s">
        <v>47</v>
      </c>
      <c r="AD8" s="236" t="s">
        <v>47</v>
      </c>
      <c r="AE8" s="236" t="s">
        <v>47</v>
      </c>
      <c r="AF8" s="236" t="s">
        <v>47</v>
      </c>
      <c r="AG8" s="236" t="s">
        <v>47</v>
      </c>
      <c r="AH8" s="236" t="s">
        <v>47</v>
      </c>
      <c r="AI8" s="236" t="s">
        <v>47</v>
      </c>
      <c r="AJ8" s="236" t="s">
        <v>47</v>
      </c>
      <c r="AK8" s="236" t="s">
        <v>47</v>
      </c>
      <c r="AL8" s="236" t="s">
        <v>47</v>
      </c>
      <c r="AM8" s="236" t="s">
        <v>47</v>
      </c>
      <c r="AN8" s="236" t="s">
        <v>47</v>
      </c>
      <c r="AO8" s="236" t="s">
        <v>47</v>
      </c>
      <c r="AP8" s="236" t="s">
        <v>47</v>
      </c>
      <c r="AQ8" s="236" t="s">
        <v>47</v>
      </c>
      <c r="AR8" s="236" t="s">
        <v>47</v>
      </c>
      <c r="AS8" s="236" t="s">
        <v>47</v>
      </c>
      <c r="AT8" s="236" t="s">
        <v>47</v>
      </c>
      <c r="AU8" s="236" t="s">
        <v>47</v>
      </c>
      <c r="AV8" s="236" t="s">
        <v>47</v>
      </c>
      <c r="AW8" s="236" t="s">
        <v>47</v>
      </c>
      <c r="AX8" s="236" t="s">
        <v>47</v>
      </c>
      <c r="AY8" s="236" t="s">
        <v>47</v>
      </c>
      <c r="AZ8" s="236" t="s">
        <v>47</v>
      </c>
      <c r="BA8" s="236" t="s">
        <v>47</v>
      </c>
      <c r="BB8" s="236" t="s">
        <v>47</v>
      </c>
      <c r="BC8" s="236" t="s">
        <v>47</v>
      </c>
      <c r="BD8" s="236" t="s">
        <v>47</v>
      </c>
      <c r="BE8" s="236" t="s">
        <v>47</v>
      </c>
      <c r="BF8" s="236" t="s">
        <v>47</v>
      </c>
      <c r="BG8" s="236" t="s">
        <v>47</v>
      </c>
      <c r="BH8" s="236" t="s">
        <v>47</v>
      </c>
      <c r="BI8" s="236" t="s">
        <v>47</v>
      </c>
      <c r="BJ8" s="236" t="s">
        <v>47</v>
      </c>
      <c r="BK8" s="236" t="s">
        <v>47</v>
      </c>
      <c r="BL8" s="236" t="s">
        <v>47</v>
      </c>
      <c r="BM8" s="236" t="s">
        <v>47</v>
      </c>
      <c r="BN8" s="236" t="s">
        <v>47</v>
      </c>
      <c r="BO8" s="236" t="s">
        <v>47</v>
      </c>
      <c r="BP8" s="236" t="s">
        <v>47</v>
      </c>
      <c r="BQ8" s="236" t="s">
        <v>47</v>
      </c>
      <c r="BR8" s="236" t="s">
        <v>47</v>
      </c>
      <c r="BS8" s="236" t="s">
        <v>47</v>
      </c>
      <c r="BT8" s="236" t="s">
        <v>47</v>
      </c>
      <c r="BU8" s="236" t="s">
        <v>47</v>
      </c>
      <c r="BV8" s="236" t="s">
        <v>47</v>
      </c>
      <c r="BW8" s="236" t="s">
        <v>47</v>
      </c>
      <c r="BX8" s="236" t="s">
        <v>47</v>
      </c>
      <c r="BY8" s="236" t="s">
        <v>47</v>
      </c>
      <c r="BZ8" s="236" t="s">
        <v>47</v>
      </c>
      <c r="CA8" s="236" t="s">
        <v>47</v>
      </c>
      <c r="CB8" s="236" t="s">
        <v>47</v>
      </c>
      <c r="CC8" s="236" t="s">
        <v>47</v>
      </c>
      <c r="CD8" s="236" t="s">
        <v>47</v>
      </c>
      <c r="CE8" s="237" t="s">
        <v>47</v>
      </c>
      <c r="CF8" s="178" t="s">
        <v>47</v>
      </c>
      <c r="CG8" s="178" t="s">
        <v>47</v>
      </c>
      <c r="CH8" s="238" t="s">
        <v>47</v>
      </c>
      <c r="CI8" s="239" t="s">
        <v>47</v>
      </c>
      <c r="CJ8" s="240" t="s">
        <v>47</v>
      </c>
      <c r="CK8" s="178" t="s">
        <v>47</v>
      </c>
      <c r="CL8" s="178" t="s">
        <v>47</v>
      </c>
      <c r="CM8" s="178" t="s">
        <v>47</v>
      </c>
      <c r="CN8" s="238" t="s">
        <v>47</v>
      </c>
      <c r="CO8" s="239" t="s">
        <v>47</v>
      </c>
      <c r="CP8" s="240" t="s">
        <v>47</v>
      </c>
      <c r="CQ8" s="178" t="s">
        <v>47</v>
      </c>
      <c r="CR8" s="178" t="s">
        <v>47</v>
      </c>
      <c r="CS8" s="178" t="s">
        <v>47</v>
      </c>
      <c r="CT8" s="238" t="s">
        <v>47</v>
      </c>
      <c r="CU8" s="239" t="s">
        <v>47</v>
      </c>
      <c r="CV8" s="240" t="s">
        <v>47</v>
      </c>
      <c r="CW8" s="177" t="s">
        <v>47</v>
      </c>
      <c r="CX8" s="177" t="s">
        <v>47</v>
      </c>
      <c r="CY8" s="177" t="s">
        <v>47</v>
      </c>
      <c r="CZ8" s="177" t="s">
        <v>47</v>
      </c>
      <c r="DA8" s="177" t="s">
        <v>47</v>
      </c>
      <c r="DB8" s="177" t="s">
        <v>47</v>
      </c>
      <c r="DC8" s="177" t="s">
        <v>47</v>
      </c>
      <c r="DD8" s="177" t="s">
        <v>47</v>
      </c>
      <c r="DE8" s="177" t="s">
        <v>47</v>
      </c>
      <c r="DF8" s="177" t="s">
        <v>47</v>
      </c>
      <c r="DG8" s="177" t="s">
        <v>47</v>
      </c>
      <c r="DH8" s="177" t="s">
        <v>47</v>
      </c>
      <c r="DI8" s="177" t="s">
        <v>47</v>
      </c>
      <c r="DJ8" s="177" t="s">
        <v>47</v>
      </c>
      <c r="DK8" s="177" t="s">
        <v>47</v>
      </c>
      <c r="DL8" s="177" t="s">
        <v>47</v>
      </c>
      <c r="DM8" s="177" t="s">
        <v>47</v>
      </c>
      <c r="DN8" s="177" t="s">
        <v>47</v>
      </c>
      <c r="DO8" s="177" t="s">
        <v>47</v>
      </c>
      <c r="DP8" s="177" t="s">
        <v>47</v>
      </c>
      <c r="DQ8" s="177" t="s">
        <v>47</v>
      </c>
      <c r="DR8" s="177" t="s">
        <v>47</v>
      </c>
      <c r="DS8" s="177" t="s">
        <v>47</v>
      </c>
      <c r="DT8" s="177" t="s">
        <v>47</v>
      </c>
      <c r="DU8" s="177" t="s">
        <v>47</v>
      </c>
      <c r="DV8" s="177" t="s">
        <v>47</v>
      </c>
      <c r="DW8" s="177" t="s">
        <v>47</v>
      </c>
      <c r="DX8" s="177" t="s">
        <v>47</v>
      </c>
      <c r="DY8" s="177" t="s">
        <v>47</v>
      </c>
      <c r="DZ8" s="177" t="s">
        <v>47</v>
      </c>
      <c r="EA8" s="177" t="s">
        <v>47</v>
      </c>
      <c r="EB8" s="177" t="s">
        <v>47</v>
      </c>
      <c r="EC8" s="177" t="s">
        <v>47</v>
      </c>
      <c r="ED8" s="177" t="s">
        <v>47</v>
      </c>
      <c r="EE8" s="177" t="s">
        <v>47</v>
      </c>
      <c r="EF8" s="177" t="s">
        <v>47</v>
      </c>
      <c r="EG8" s="177" t="s">
        <v>47</v>
      </c>
      <c r="EH8" s="177" t="s">
        <v>47</v>
      </c>
      <c r="EI8" s="177" t="s">
        <v>47</v>
      </c>
      <c r="EJ8" s="177" t="s">
        <v>47</v>
      </c>
      <c r="EK8" s="177" t="s">
        <v>47</v>
      </c>
      <c r="EL8" s="177" t="s">
        <v>47</v>
      </c>
      <c r="EM8" s="177" t="s">
        <v>47</v>
      </c>
      <c r="EN8" s="177" t="s">
        <v>47</v>
      </c>
      <c r="EO8" s="177" t="s">
        <v>47</v>
      </c>
      <c r="EP8" s="177" t="s">
        <v>47</v>
      </c>
      <c r="EQ8" s="177" t="s">
        <v>47</v>
      </c>
      <c r="ER8" s="177" t="s">
        <v>47</v>
      </c>
      <c r="ES8" s="177" t="s">
        <v>47</v>
      </c>
      <c r="ET8" s="177" t="s">
        <v>47</v>
      </c>
      <c r="EU8" s="177" t="s">
        <v>47</v>
      </c>
      <c r="EV8" s="177" t="s">
        <v>47</v>
      </c>
      <c r="EW8" s="177" t="s">
        <v>47</v>
      </c>
      <c r="EX8" s="177" t="s">
        <v>47</v>
      </c>
      <c r="EY8" s="177" t="s">
        <v>47</v>
      </c>
      <c r="EZ8" s="177" t="s">
        <v>47</v>
      </c>
      <c r="FA8" s="177" t="s">
        <v>47</v>
      </c>
      <c r="FB8" s="177" t="s">
        <v>47</v>
      </c>
      <c r="FC8" s="177" t="s">
        <v>47</v>
      </c>
      <c r="FD8" s="177" t="s">
        <v>47</v>
      </c>
      <c r="FE8" s="177" t="s">
        <v>47</v>
      </c>
      <c r="FF8" s="177" t="s">
        <v>47</v>
      </c>
      <c r="FG8" s="177" t="s">
        <v>47</v>
      </c>
      <c r="FH8" s="177" t="s">
        <v>47</v>
      </c>
      <c r="FI8" s="177" t="s">
        <v>47</v>
      </c>
      <c r="FJ8" s="177" t="s">
        <v>47</v>
      </c>
      <c r="FK8" s="177" t="s">
        <v>47</v>
      </c>
      <c r="FL8" s="177" t="s">
        <v>47</v>
      </c>
      <c r="FM8" s="177" t="s">
        <v>47</v>
      </c>
      <c r="FN8" s="177" t="s">
        <v>47</v>
      </c>
      <c r="FO8" s="177" t="s">
        <v>47</v>
      </c>
      <c r="FP8" s="177" t="s">
        <v>47</v>
      </c>
      <c r="FQ8" s="177" t="s">
        <v>47</v>
      </c>
      <c r="FR8" s="177" t="s">
        <v>47</v>
      </c>
      <c r="FS8" s="177" t="s">
        <v>47</v>
      </c>
    </row>
    <row r="9" customFormat="false" ht="15" hidden="false" customHeight="false" outlineLevel="0" collapsed="false">
      <c r="A9" s="231" t="s">
        <v>47</v>
      </c>
      <c r="B9" s="231" t="s">
        <v>47</v>
      </c>
      <c r="C9" s="231" t="s">
        <v>47</v>
      </c>
      <c r="D9" s="231" t="s">
        <v>47</v>
      </c>
      <c r="E9" s="241" t="s">
        <v>47</v>
      </c>
      <c r="F9" s="232" t="s">
        <v>47</v>
      </c>
      <c r="G9" s="233" t="s">
        <v>47</v>
      </c>
      <c r="H9" s="234" t="s">
        <v>47</v>
      </c>
      <c r="I9" s="235" t="s">
        <v>47</v>
      </c>
      <c r="J9" s="235" t="s">
        <v>47</v>
      </c>
      <c r="K9" s="235" t="s">
        <v>47</v>
      </c>
      <c r="L9" s="235" t="s">
        <v>47</v>
      </c>
      <c r="M9" s="235" t="s">
        <v>47</v>
      </c>
      <c r="N9" s="235" t="s">
        <v>47</v>
      </c>
      <c r="O9" s="235" t="s">
        <v>47</v>
      </c>
      <c r="P9" s="235" t="s">
        <v>47</v>
      </c>
      <c r="Q9" s="235" t="s">
        <v>47</v>
      </c>
      <c r="R9" s="235" t="s">
        <v>47</v>
      </c>
      <c r="S9" s="235" t="s">
        <v>47</v>
      </c>
      <c r="T9" s="235" t="s">
        <v>47</v>
      </c>
      <c r="U9" s="236" t="s">
        <v>47</v>
      </c>
      <c r="V9" s="236" t="s">
        <v>47</v>
      </c>
      <c r="W9" s="236" t="s">
        <v>47</v>
      </c>
      <c r="X9" s="236" t="s">
        <v>47</v>
      </c>
      <c r="Y9" s="236" t="s">
        <v>47</v>
      </c>
      <c r="Z9" s="236" t="s">
        <v>47</v>
      </c>
      <c r="AA9" s="236" t="s">
        <v>47</v>
      </c>
      <c r="AB9" s="236" t="s">
        <v>47</v>
      </c>
      <c r="AC9" s="236" t="s">
        <v>47</v>
      </c>
      <c r="AD9" s="236" t="s">
        <v>47</v>
      </c>
      <c r="AE9" s="236" t="s">
        <v>47</v>
      </c>
      <c r="AF9" s="236" t="s">
        <v>47</v>
      </c>
      <c r="AG9" s="236" t="s">
        <v>47</v>
      </c>
      <c r="AH9" s="236" t="s">
        <v>47</v>
      </c>
      <c r="AI9" s="236" t="s">
        <v>47</v>
      </c>
      <c r="AJ9" s="236" t="s">
        <v>47</v>
      </c>
      <c r="AK9" s="236" t="s">
        <v>47</v>
      </c>
      <c r="AL9" s="236" t="s">
        <v>47</v>
      </c>
      <c r="AM9" s="236" t="s">
        <v>47</v>
      </c>
      <c r="AN9" s="236" t="s">
        <v>47</v>
      </c>
      <c r="AO9" s="236" t="s">
        <v>47</v>
      </c>
      <c r="AP9" s="236" t="s">
        <v>47</v>
      </c>
      <c r="AQ9" s="236" t="s">
        <v>47</v>
      </c>
      <c r="AR9" s="236" t="s">
        <v>47</v>
      </c>
      <c r="AS9" s="236" t="s">
        <v>47</v>
      </c>
      <c r="AT9" s="236" t="s">
        <v>47</v>
      </c>
      <c r="AU9" s="236" t="s">
        <v>47</v>
      </c>
      <c r="AV9" s="236" t="s">
        <v>47</v>
      </c>
      <c r="AW9" s="236" t="s">
        <v>47</v>
      </c>
      <c r="AX9" s="236" t="s">
        <v>47</v>
      </c>
      <c r="AY9" s="236" t="s">
        <v>47</v>
      </c>
      <c r="AZ9" s="236" t="s">
        <v>47</v>
      </c>
      <c r="BA9" s="236" t="s">
        <v>47</v>
      </c>
      <c r="BB9" s="236" t="s">
        <v>47</v>
      </c>
      <c r="BC9" s="236" t="s">
        <v>47</v>
      </c>
      <c r="BD9" s="236" t="s">
        <v>47</v>
      </c>
      <c r="BE9" s="236" t="s">
        <v>47</v>
      </c>
      <c r="BF9" s="236" t="s">
        <v>47</v>
      </c>
      <c r="BG9" s="236" t="s">
        <v>47</v>
      </c>
      <c r="BH9" s="236" t="s">
        <v>47</v>
      </c>
      <c r="BI9" s="236" t="s">
        <v>47</v>
      </c>
      <c r="BJ9" s="236" t="s">
        <v>47</v>
      </c>
      <c r="BK9" s="236" t="s">
        <v>47</v>
      </c>
      <c r="BL9" s="236" t="s">
        <v>47</v>
      </c>
      <c r="BM9" s="236" t="s">
        <v>47</v>
      </c>
      <c r="BN9" s="236" t="s">
        <v>47</v>
      </c>
      <c r="BO9" s="236" t="s">
        <v>47</v>
      </c>
      <c r="BP9" s="236" t="s">
        <v>47</v>
      </c>
      <c r="BQ9" s="236" t="s">
        <v>47</v>
      </c>
      <c r="BR9" s="236" t="s">
        <v>47</v>
      </c>
      <c r="BS9" s="236" t="s">
        <v>47</v>
      </c>
      <c r="BT9" s="236" t="s">
        <v>47</v>
      </c>
      <c r="BU9" s="236" t="s">
        <v>47</v>
      </c>
      <c r="BV9" s="236" t="s">
        <v>47</v>
      </c>
      <c r="BW9" s="236" t="s">
        <v>47</v>
      </c>
      <c r="BX9" s="236" t="s">
        <v>47</v>
      </c>
      <c r="BY9" s="236" t="s">
        <v>47</v>
      </c>
      <c r="BZ9" s="236" t="s">
        <v>47</v>
      </c>
      <c r="CA9" s="236" t="s">
        <v>47</v>
      </c>
      <c r="CB9" s="236" t="s">
        <v>47</v>
      </c>
      <c r="CC9" s="236" t="s">
        <v>47</v>
      </c>
      <c r="CD9" s="236" t="s">
        <v>47</v>
      </c>
      <c r="CE9" s="237" t="s">
        <v>47</v>
      </c>
      <c r="CF9" s="178" t="s">
        <v>47</v>
      </c>
      <c r="CG9" s="178" t="s">
        <v>47</v>
      </c>
      <c r="CH9" s="238" t="s">
        <v>47</v>
      </c>
      <c r="CI9" s="239" t="s">
        <v>47</v>
      </c>
      <c r="CJ9" s="240" t="s">
        <v>47</v>
      </c>
      <c r="CK9" s="178" t="s">
        <v>47</v>
      </c>
      <c r="CL9" s="178" t="s">
        <v>47</v>
      </c>
      <c r="CM9" s="178" t="s">
        <v>47</v>
      </c>
      <c r="CN9" s="238" t="s">
        <v>47</v>
      </c>
      <c r="CO9" s="239" t="s">
        <v>47</v>
      </c>
      <c r="CP9" s="240" t="s">
        <v>47</v>
      </c>
      <c r="CQ9" s="178" t="s">
        <v>47</v>
      </c>
      <c r="CR9" s="178" t="s">
        <v>47</v>
      </c>
      <c r="CS9" s="178" t="s">
        <v>47</v>
      </c>
      <c r="CT9" s="238" t="s">
        <v>47</v>
      </c>
      <c r="CU9" s="239" t="s">
        <v>47</v>
      </c>
      <c r="CV9" s="240" t="s">
        <v>47</v>
      </c>
      <c r="CW9" s="177" t="s">
        <v>47</v>
      </c>
      <c r="CX9" s="177" t="s">
        <v>47</v>
      </c>
      <c r="CY9" s="177" t="s">
        <v>47</v>
      </c>
      <c r="CZ9" s="177" t="s">
        <v>47</v>
      </c>
      <c r="DA9" s="177" t="s">
        <v>47</v>
      </c>
      <c r="DB9" s="177" t="s">
        <v>47</v>
      </c>
      <c r="DC9" s="177" t="s">
        <v>47</v>
      </c>
      <c r="DD9" s="177" t="s">
        <v>47</v>
      </c>
      <c r="DE9" s="177" t="s">
        <v>47</v>
      </c>
      <c r="DF9" s="177" t="s">
        <v>47</v>
      </c>
      <c r="DG9" s="177" t="s">
        <v>47</v>
      </c>
      <c r="DH9" s="177" t="s">
        <v>47</v>
      </c>
      <c r="DI9" s="177" t="s">
        <v>47</v>
      </c>
      <c r="DJ9" s="177" t="s">
        <v>47</v>
      </c>
      <c r="DK9" s="177" t="s">
        <v>47</v>
      </c>
      <c r="DL9" s="177" t="s">
        <v>47</v>
      </c>
      <c r="DM9" s="177" t="s">
        <v>47</v>
      </c>
      <c r="DN9" s="177" t="s">
        <v>47</v>
      </c>
      <c r="DO9" s="177" t="s">
        <v>47</v>
      </c>
      <c r="DP9" s="177" t="s">
        <v>47</v>
      </c>
      <c r="DQ9" s="177" t="s">
        <v>47</v>
      </c>
      <c r="DR9" s="177" t="s">
        <v>47</v>
      </c>
      <c r="DS9" s="177" t="s">
        <v>47</v>
      </c>
      <c r="DT9" s="177" t="s">
        <v>47</v>
      </c>
      <c r="DU9" s="177" t="s">
        <v>47</v>
      </c>
      <c r="DV9" s="177" t="s">
        <v>47</v>
      </c>
      <c r="DW9" s="177" t="s">
        <v>47</v>
      </c>
      <c r="DX9" s="177" t="s">
        <v>47</v>
      </c>
      <c r="DY9" s="177" t="s">
        <v>47</v>
      </c>
      <c r="DZ9" s="177" t="s">
        <v>47</v>
      </c>
      <c r="EA9" s="177" t="s">
        <v>47</v>
      </c>
      <c r="EB9" s="177" t="s">
        <v>47</v>
      </c>
      <c r="EC9" s="177" t="s">
        <v>47</v>
      </c>
      <c r="ED9" s="177" t="s">
        <v>47</v>
      </c>
      <c r="EE9" s="177" t="s">
        <v>47</v>
      </c>
      <c r="EF9" s="177" t="s">
        <v>47</v>
      </c>
      <c r="EG9" s="177" t="s">
        <v>47</v>
      </c>
      <c r="EH9" s="177" t="s">
        <v>47</v>
      </c>
      <c r="EI9" s="177" t="s">
        <v>47</v>
      </c>
      <c r="EJ9" s="177" t="s">
        <v>47</v>
      </c>
      <c r="EK9" s="177" t="s">
        <v>47</v>
      </c>
      <c r="EL9" s="177" t="s">
        <v>47</v>
      </c>
      <c r="EM9" s="177" t="s">
        <v>47</v>
      </c>
      <c r="EN9" s="177" t="s">
        <v>47</v>
      </c>
      <c r="EO9" s="177" t="s">
        <v>47</v>
      </c>
      <c r="EP9" s="177" t="s">
        <v>47</v>
      </c>
      <c r="EQ9" s="177" t="s">
        <v>47</v>
      </c>
      <c r="ER9" s="177" t="s">
        <v>47</v>
      </c>
      <c r="ES9" s="177" t="s">
        <v>47</v>
      </c>
      <c r="ET9" s="177" t="s">
        <v>47</v>
      </c>
      <c r="EU9" s="177" t="s">
        <v>47</v>
      </c>
      <c r="EV9" s="177" t="s">
        <v>47</v>
      </c>
      <c r="EW9" s="177" t="s">
        <v>47</v>
      </c>
      <c r="EX9" s="177" t="s">
        <v>47</v>
      </c>
      <c r="EY9" s="177" t="s">
        <v>47</v>
      </c>
      <c r="EZ9" s="177" t="s">
        <v>47</v>
      </c>
      <c r="FA9" s="177" t="s">
        <v>47</v>
      </c>
      <c r="FB9" s="177" t="s">
        <v>47</v>
      </c>
      <c r="FC9" s="177" t="s">
        <v>47</v>
      </c>
      <c r="FD9" s="177" t="s">
        <v>47</v>
      </c>
      <c r="FE9" s="177" t="s">
        <v>47</v>
      </c>
      <c r="FF9" s="177" t="s">
        <v>47</v>
      </c>
      <c r="FG9" s="177" t="s">
        <v>47</v>
      </c>
      <c r="FH9" s="177" t="s">
        <v>47</v>
      </c>
      <c r="FI9" s="177" t="s">
        <v>47</v>
      </c>
      <c r="FJ9" s="177" t="s">
        <v>47</v>
      </c>
      <c r="FK9" s="177" t="s">
        <v>47</v>
      </c>
      <c r="FL9" s="177" t="s">
        <v>47</v>
      </c>
      <c r="FM9" s="177" t="s">
        <v>47</v>
      </c>
      <c r="FN9" s="177" t="s">
        <v>47</v>
      </c>
      <c r="FO9" s="177" t="s">
        <v>47</v>
      </c>
      <c r="FP9" s="177" t="s">
        <v>47</v>
      </c>
      <c r="FQ9" s="177" t="s">
        <v>47</v>
      </c>
      <c r="FR9" s="177" t="s">
        <v>47</v>
      </c>
      <c r="FS9" s="177" t="s">
        <v>47</v>
      </c>
    </row>
    <row r="10" customFormat="false" ht="15" hidden="false" customHeight="false" outlineLevel="0" collapsed="false">
      <c r="A10" s="231" t="s">
        <v>47</v>
      </c>
      <c r="B10" s="231" t="s">
        <v>47</v>
      </c>
      <c r="C10" s="231" t="s">
        <v>47</v>
      </c>
      <c r="D10" s="231" t="s">
        <v>47</v>
      </c>
      <c r="E10" s="241" t="s">
        <v>47</v>
      </c>
      <c r="F10" s="232" t="s">
        <v>47</v>
      </c>
      <c r="G10" s="233" t="s">
        <v>47</v>
      </c>
      <c r="H10" s="234" t="s">
        <v>47</v>
      </c>
      <c r="I10" s="235" t="s">
        <v>47</v>
      </c>
      <c r="J10" s="235" t="s">
        <v>47</v>
      </c>
      <c r="K10" s="235" t="s">
        <v>47</v>
      </c>
      <c r="L10" s="235" t="s">
        <v>47</v>
      </c>
      <c r="M10" s="235" t="s">
        <v>47</v>
      </c>
      <c r="N10" s="235" t="s">
        <v>47</v>
      </c>
      <c r="O10" s="235" t="s">
        <v>47</v>
      </c>
      <c r="P10" s="235" t="s">
        <v>47</v>
      </c>
      <c r="Q10" s="235" t="s">
        <v>47</v>
      </c>
      <c r="R10" s="235" t="s">
        <v>47</v>
      </c>
      <c r="S10" s="235" t="s">
        <v>47</v>
      </c>
      <c r="T10" s="235" t="s">
        <v>47</v>
      </c>
      <c r="U10" s="236" t="s">
        <v>47</v>
      </c>
      <c r="V10" s="236" t="s">
        <v>47</v>
      </c>
      <c r="W10" s="236" t="s">
        <v>47</v>
      </c>
      <c r="X10" s="236" t="s">
        <v>47</v>
      </c>
      <c r="Y10" s="236" t="s">
        <v>47</v>
      </c>
      <c r="Z10" s="236" t="s">
        <v>47</v>
      </c>
      <c r="AA10" s="236" t="s">
        <v>47</v>
      </c>
      <c r="AB10" s="236" t="s">
        <v>47</v>
      </c>
      <c r="AC10" s="236" t="s">
        <v>47</v>
      </c>
      <c r="AD10" s="236" t="s">
        <v>47</v>
      </c>
      <c r="AE10" s="236" t="s">
        <v>47</v>
      </c>
      <c r="AF10" s="236" t="s">
        <v>47</v>
      </c>
      <c r="AG10" s="236" t="s">
        <v>47</v>
      </c>
      <c r="AH10" s="236" t="s">
        <v>47</v>
      </c>
      <c r="AI10" s="236" t="s">
        <v>47</v>
      </c>
      <c r="AJ10" s="236" t="s">
        <v>47</v>
      </c>
      <c r="AK10" s="236" t="s">
        <v>47</v>
      </c>
      <c r="AL10" s="236" t="s">
        <v>47</v>
      </c>
      <c r="AM10" s="236" t="s">
        <v>47</v>
      </c>
      <c r="AN10" s="236" t="s">
        <v>47</v>
      </c>
      <c r="AO10" s="236" t="s">
        <v>47</v>
      </c>
      <c r="AP10" s="236" t="s">
        <v>47</v>
      </c>
      <c r="AQ10" s="236" t="s">
        <v>47</v>
      </c>
      <c r="AR10" s="236" t="s">
        <v>47</v>
      </c>
      <c r="AS10" s="236" t="s">
        <v>47</v>
      </c>
      <c r="AT10" s="236" t="s">
        <v>47</v>
      </c>
      <c r="AU10" s="236" t="s">
        <v>47</v>
      </c>
      <c r="AV10" s="236" t="s">
        <v>47</v>
      </c>
      <c r="AW10" s="236" t="s">
        <v>47</v>
      </c>
      <c r="AX10" s="236" t="s">
        <v>47</v>
      </c>
      <c r="AY10" s="236" t="s">
        <v>47</v>
      </c>
      <c r="AZ10" s="236" t="s">
        <v>47</v>
      </c>
      <c r="BA10" s="236" t="s">
        <v>47</v>
      </c>
      <c r="BB10" s="236" t="s">
        <v>47</v>
      </c>
      <c r="BC10" s="236" t="s">
        <v>47</v>
      </c>
      <c r="BD10" s="236" t="s">
        <v>47</v>
      </c>
      <c r="BE10" s="236" t="s">
        <v>47</v>
      </c>
      <c r="BF10" s="236" t="s">
        <v>47</v>
      </c>
      <c r="BG10" s="236" t="s">
        <v>47</v>
      </c>
      <c r="BH10" s="236" t="s">
        <v>47</v>
      </c>
      <c r="BI10" s="236" t="s">
        <v>47</v>
      </c>
      <c r="BJ10" s="236" t="s">
        <v>47</v>
      </c>
      <c r="BK10" s="236" t="s">
        <v>47</v>
      </c>
      <c r="BL10" s="236" t="s">
        <v>47</v>
      </c>
      <c r="BM10" s="236" t="s">
        <v>47</v>
      </c>
      <c r="BN10" s="236" t="s">
        <v>47</v>
      </c>
      <c r="BO10" s="236" t="s">
        <v>47</v>
      </c>
      <c r="BP10" s="236" t="s">
        <v>47</v>
      </c>
      <c r="BQ10" s="236" t="s">
        <v>47</v>
      </c>
      <c r="BR10" s="236" t="s">
        <v>47</v>
      </c>
      <c r="BS10" s="236" t="s">
        <v>47</v>
      </c>
      <c r="BT10" s="236" t="s">
        <v>47</v>
      </c>
      <c r="BU10" s="236" t="s">
        <v>47</v>
      </c>
      <c r="BV10" s="236" t="s">
        <v>47</v>
      </c>
      <c r="BW10" s="236" t="s">
        <v>47</v>
      </c>
      <c r="BX10" s="236" t="s">
        <v>47</v>
      </c>
      <c r="BY10" s="236" t="s">
        <v>47</v>
      </c>
      <c r="BZ10" s="236" t="s">
        <v>47</v>
      </c>
      <c r="CA10" s="236" t="s">
        <v>47</v>
      </c>
      <c r="CB10" s="236" t="s">
        <v>47</v>
      </c>
      <c r="CC10" s="236" t="s">
        <v>47</v>
      </c>
      <c r="CD10" s="236" t="s">
        <v>47</v>
      </c>
      <c r="CE10" s="237" t="s">
        <v>47</v>
      </c>
      <c r="CF10" s="178" t="s">
        <v>47</v>
      </c>
      <c r="CG10" s="178" t="s">
        <v>47</v>
      </c>
      <c r="CH10" s="238" t="s">
        <v>47</v>
      </c>
      <c r="CI10" s="239" t="s">
        <v>47</v>
      </c>
      <c r="CJ10" s="240" t="s">
        <v>47</v>
      </c>
      <c r="CK10" s="178" t="s">
        <v>47</v>
      </c>
      <c r="CL10" s="178" t="s">
        <v>47</v>
      </c>
      <c r="CM10" s="178" t="s">
        <v>47</v>
      </c>
      <c r="CN10" s="238" t="s">
        <v>47</v>
      </c>
      <c r="CO10" s="239" t="s">
        <v>47</v>
      </c>
      <c r="CP10" s="240" t="s">
        <v>47</v>
      </c>
      <c r="CQ10" s="178" t="s">
        <v>47</v>
      </c>
      <c r="CR10" s="178" t="s">
        <v>47</v>
      </c>
      <c r="CS10" s="178" t="s">
        <v>47</v>
      </c>
      <c r="CT10" s="238" t="s">
        <v>47</v>
      </c>
      <c r="CU10" s="239" t="s">
        <v>47</v>
      </c>
      <c r="CV10" s="240" t="s">
        <v>47</v>
      </c>
      <c r="CW10" s="177" t="s">
        <v>47</v>
      </c>
      <c r="CX10" s="177" t="s">
        <v>47</v>
      </c>
      <c r="CY10" s="177" t="s">
        <v>47</v>
      </c>
      <c r="CZ10" s="177" t="s">
        <v>47</v>
      </c>
      <c r="DA10" s="177" t="s">
        <v>47</v>
      </c>
      <c r="DB10" s="177" t="s">
        <v>47</v>
      </c>
      <c r="DC10" s="177" t="s">
        <v>47</v>
      </c>
      <c r="DD10" s="177" t="s">
        <v>47</v>
      </c>
      <c r="DE10" s="177" t="s">
        <v>47</v>
      </c>
      <c r="DF10" s="177" t="s">
        <v>47</v>
      </c>
      <c r="DG10" s="177" t="s">
        <v>47</v>
      </c>
      <c r="DH10" s="177" t="s">
        <v>47</v>
      </c>
      <c r="DI10" s="177" t="s">
        <v>47</v>
      </c>
      <c r="DJ10" s="177" t="s">
        <v>47</v>
      </c>
      <c r="DK10" s="177" t="s">
        <v>47</v>
      </c>
      <c r="DL10" s="177" t="s">
        <v>47</v>
      </c>
      <c r="DM10" s="177" t="s">
        <v>47</v>
      </c>
      <c r="DN10" s="177" t="s">
        <v>47</v>
      </c>
      <c r="DO10" s="177" t="s">
        <v>47</v>
      </c>
      <c r="DP10" s="177" t="s">
        <v>47</v>
      </c>
      <c r="DQ10" s="177" t="s">
        <v>47</v>
      </c>
      <c r="DR10" s="177" t="s">
        <v>47</v>
      </c>
      <c r="DS10" s="177" t="s">
        <v>47</v>
      </c>
      <c r="DT10" s="177" t="s">
        <v>47</v>
      </c>
      <c r="DU10" s="177" t="s">
        <v>47</v>
      </c>
      <c r="DV10" s="177" t="s">
        <v>47</v>
      </c>
      <c r="DW10" s="177" t="s">
        <v>47</v>
      </c>
      <c r="DX10" s="177" t="s">
        <v>47</v>
      </c>
      <c r="DY10" s="177" t="s">
        <v>47</v>
      </c>
      <c r="DZ10" s="177" t="s">
        <v>47</v>
      </c>
      <c r="EA10" s="177" t="s">
        <v>47</v>
      </c>
      <c r="EB10" s="177" t="s">
        <v>47</v>
      </c>
      <c r="EC10" s="177" t="s">
        <v>47</v>
      </c>
      <c r="ED10" s="177" t="s">
        <v>47</v>
      </c>
      <c r="EE10" s="177" t="s">
        <v>47</v>
      </c>
      <c r="EF10" s="177" t="s">
        <v>47</v>
      </c>
      <c r="EG10" s="177" t="s">
        <v>47</v>
      </c>
      <c r="EH10" s="177" t="s">
        <v>47</v>
      </c>
      <c r="EI10" s="177" t="s">
        <v>47</v>
      </c>
      <c r="EJ10" s="177" t="s">
        <v>47</v>
      </c>
      <c r="EK10" s="177" t="s">
        <v>47</v>
      </c>
      <c r="EL10" s="177" t="s">
        <v>47</v>
      </c>
      <c r="EM10" s="177" t="s">
        <v>47</v>
      </c>
      <c r="EN10" s="177" t="s">
        <v>47</v>
      </c>
      <c r="EO10" s="177" t="s">
        <v>47</v>
      </c>
      <c r="EP10" s="177" t="s">
        <v>47</v>
      </c>
      <c r="EQ10" s="177" t="s">
        <v>47</v>
      </c>
      <c r="ER10" s="177" t="s">
        <v>47</v>
      </c>
      <c r="ES10" s="177" t="s">
        <v>47</v>
      </c>
      <c r="ET10" s="177" t="s">
        <v>47</v>
      </c>
      <c r="EU10" s="177" t="s">
        <v>47</v>
      </c>
      <c r="EV10" s="177" t="s">
        <v>47</v>
      </c>
      <c r="EW10" s="177" t="s">
        <v>47</v>
      </c>
      <c r="EX10" s="177" t="s">
        <v>47</v>
      </c>
      <c r="EY10" s="177" t="s">
        <v>47</v>
      </c>
      <c r="EZ10" s="177" t="s">
        <v>47</v>
      </c>
      <c r="FA10" s="177" t="s">
        <v>47</v>
      </c>
      <c r="FB10" s="177" t="s">
        <v>47</v>
      </c>
      <c r="FC10" s="177" t="s">
        <v>47</v>
      </c>
      <c r="FD10" s="177" t="s">
        <v>47</v>
      </c>
      <c r="FE10" s="177" t="s">
        <v>47</v>
      </c>
      <c r="FF10" s="177" t="s">
        <v>47</v>
      </c>
      <c r="FG10" s="177" t="s">
        <v>47</v>
      </c>
      <c r="FH10" s="177" t="s">
        <v>47</v>
      </c>
      <c r="FI10" s="177" t="s">
        <v>47</v>
      </c>
      <c r="FJ10" s="177" t="s">
        <v>47</v>
      </c>
      <c r="FK10" s="177" t="s">
        <v>47</v>
      </c>
      <c r="FL10" s="177" t="s">
        <v>47</v>
      </c>
      <c r="FM10" s="177" t="s">
        <v>47</v>
      </c>
      <c r="FN10" s="177" t="s">
        <v>47</v>
      </c>
      <c r="FO10" s="177" t="s">
        <v>47</v>
      </c>
      <c r="FP10" s="177" t="s">
        <v>47</v>
      </c>
      <c r="FQ10" s="177" t="s">
        <v>47</v>
      </c>
      <c r="FR10" s="177" t="s">
        <v>47</v>
      </c>
      <c r="FS10" s="177" t="s">
        <v>47</v>
      </c>
    </row>
    <row r="11" customFormat="false" ht="15" hidden="false" customHeight="false" outlineLevel="0" collapsed="false">
      <c r="A11" s="231" t="s">
        <v>47</v>
      </c>
      <c r="B11" s="231" t="s">
        <v>47</v>
      </c>
      <c r="C11" s="231" t="s">
        <v>47</v>
      </c>
      <c r="D11" s="231" t="s">
        <v>47</v>
      </c>
      <c r="E11" s="241" t="s">
        <v>47</v>
      </c>
      <c r="F11" s="232" t="s">
        <v>47</v>
      </c>
      <c r="G11" s="233" t="s">
        <v>47</v>
      </c>
      <c r="H11" s="234" t="s">
        <v>47</v>
      </c>
      <c r="I11" s="235" t="s">
        <v>47</v>
      </c>
      <c r="J11" s="235" t="s">
        <v>47</v>
      </c>
      <c r="K11" s="235" t="s">
        <v>47</v>
      </c>
      <c r="L11" s="235" t="s">
        <v>47</v>
      </c>
      <c r="M11" s="235" t="s">
        <v>47</v>
      </c>
      <c r="N11" s="235" t="s">
        <v>47</v>
      </c>
      <c r="O11" s="235" t="s">
        <v>47</v>
      </c>
      <c r="P11" s="235" t="s">
        <v>47</v>
      </c>
      <c r="Q11" s="235" t="s">
        <v>47</v>
      </c>
      <c r="R11" s="235" t="s">
        <v>47</v>
      </c>
      <c r="S11" s="235" t="s">
        <v>47</v>
      </c>
      <c r="T11" s="235" t="s">
        <v>47</v>
      </c>
      <c r="U11" s="236" t="s">
        <v>47</v>
      </c>
      <c r="V11" s="236" t="s">
        <v>47</v>
      </c>
      <c r="W11" s="236" t="s">
        <v>47</v>
      </c>
      <c r="X11" s="236" t="s">
        <v>47</v>
      </c>
      <c r="Y11" s="236" t="s">
        <v>47</v>
      </c>
      <c r="Z11" s="236" t="s">
        <v>47</v>
      </c>
      <c r="AA11" s="236" t="s">
        <v>47</v>
      </c>
      <c r="AB11" s="236" t="s">
        <v>47</v>
      </c>
      <c r="AC11" s="236" t="s">
        <v>47</v>
      </c>
      <c r="AD11" s="236" t="s">
        <v>47</v>
      </c>
      <c r="AE11" s="236" t="s">
        <v>47</v>
      </c>
      <c r="AF11" s="236" t="s">
        <v>47</v>
      </c>
      <c r="AG11" s="236" t="s">
        <v>47</v>
      </c>
      <c r="AH11" s="236" t="s">
        <v>47</v>
      </c>
      <c r="AI11" s="236" t="s">
        <v>47</v>
      </c>
      <c r="AJ11" s="236" t="s">
        <v>47</v>
      </c>
      <c r="AK11" s="236" t="s">
        <v>47</v>
      </c>
      <c r="AL11" s="236" t="s">
        <v>47</v>
      </c>
      <c r="AM11" s="236" t="s">
        <v>47</v>
      </c>
      <c r="AN11" s="236" t="s">
        <v>47</v>
      </c>
      <c r="AO11" s="236" t="s">
        <v>47</v>
      </c>
      <c r="AP11" s="236" t="s">
        <v>47</v>
      </c>
      <c r="AQ11" s="236" t="s">
        <v>47</v>
      </c>
      <c r="AR11" s="236" t="s">
        <v>47</v>
      </c>
      <c r="AS11" s="236" t="s">
        <v>47</v>
      </c>
      <c r="AT11" s="236" t="s">
        <v>47</v>
      </c>
      <c r="AU11" s="236" t="s">
        <v>47</v>
      </c>
      <c r="AV11" s="236" t="s">
        <v>47</v>
      </c>
      <c r="AW11" s="236" t="s">
        <v>47</v>
      </c>
      <c r="AX11" s="236" t="s">
        <v>47</v>
      </c>
      <c r="AY11" s="236" t="s">
        <v>47</v>
      </c>
      <c r="AZ11" s="236" t="s">
        <v>47</v>
      </c>
      <c r="BA11" s="236" t="s">
        <v>47</v>
      </c>
      <c r="BB11" s="236" t="s">
        <v>47</v>
      </c>
      <c r="BC11" s="236" t="s">
        <v>47</v>
      </c>
      <c r="BD11" s="236" t="s">
        <v>47</v>
      </c>
      <c r="BE11" s="236" t="s">
        <v>47</v>
      </c>
      <c r="BF11" s="236" t="s">
        <v>47</v>
      </c>
      <c r="BG11" s="236" t="s">
        <v>47</v>
      </c>
      <c r="BH11" s="236" t="s">
        <v>47</v>
      </c>
      <c r="BI11" s="236" t="s">
        <v>47</v>
      </c>
      <c r="BJ11" s="236" t="s">
        <v>47</v>
      </c>
      <c r="BK11" s="236" t="s">
        <v>47</v>
      </c>
      <c r="BL11" s="236" t="s">
        <v>47</v>
      </c>
      <c r="BM11" s="236" t="s">
        <v>47</v>
      </c>
      <c r="BN11" s="236" t="s">
        <v>47</v>
      </c>
      <c r="BO11" s="236" t="s">
        <v>47</v>
      </c>
      <c r="BP11" s="236" t="s">
        <v>47</v>
      </c>
      <c r="BQ11" s="236" t="s">
        <v>47</v>
      </c>
      <c r="BR11" s="236" t="s">
        <v>47</v>
      </c>
      <c r="BS11" s="236" t="s">
        <v>47</v>
      </c>
      <c r="BT11" s="236" t="s">
        <v>47</v>
      </c>
      <c r="BU11" s="236" t="s">
        <v>47</v>
      </c>
      <c r="BV11" s="236" t="s">
        <v>47</v>
      </c>
      <c r="BW11" s="236" t="s">
        <v>47</v>
      </c>
      <c r="BX11" s="236" t="s">
        <v>47</v>
      </c>
      <c r="BY11" s="236" t="s">
        <v>47</v>
      </c>
      <c r="BZ11" s="236" t="s">
        <v>47</v>
      </c>
      <c r="CA11" s="236" t="s">
        <v>47</v>
      </c>
      <c r="CB11" s="236" t="s">
        <v>47</v>
      </c>
      <c r="CC11" s="236" t="s">
        <v>47</v>
      </c>
      <c r="CD11" s="236" t="s">
        <v>47</v>
      </c>
      <c r="CE11" s="237" t="s">
        <v>47</v>
      </c>
      <c r="CF11" s="178" t="s">
        <v>47</v>
      </c>
      <c r="CG11" s="178" t="s">
        <v>47</v>
      </c>
      <c r="CH11" s="238" t="s">
        <v>47</v>
      </c>
      <c r="CI11" s="239" t="s">
        <v>47</v>
      </c>
      <c r="CJ11" s="240" t="s">
        <v>47</v>
      </c>
      <c r="CK11" s="178" t="s">
        <v>47</v>
      </c>
      <c r="CL11" s="178" t="s">
        <v>47</v>
      </c>
      <c r="CM11" s="178" t="s">
        <v>47</v>
      </c>
      <c r="CN11" s="238" t="s">
        <v>47</v>
      </c>
      <c r="CO11" s="239" t="s">
        <v>47</v>
      </c>
      <c r="CP11" s="240" t="s">
        <v>47</v>
      </c>
      <c r="CQ11" s="178" t="s">
        <v>47</v>
      </c>
      <c r="CR11" s="178" t="s">
        <v>47</v>
      </c>
      <c r="CS11" s="178" t="s">
        <v>47</v>
      </c>
      <c r="CT11" s="238" t="s">
        <v>47</v>
      </c>
      <c r="CU11" s="239" t="s">
        <v>47</v>
      </c>
      <c r="CV11" s="240" t="s">
        <v>47</v>
      </c>
      <c r="CW11" s="177" t="s">
        <v>47</v>
      </c>
      <c r="CX11" s="177" t="s">
        <v>47</v>
      </c>
      <c r="CY11" s="177" t="s">
        <v>47</v>
      </c>
      <c r="CZ11" s="177" t="s">
        <v>47</v>
      </c>
      <c r="DA11" s="177" t="s">
        <v>47</v>
      </c>
      <c r="DB11" s="177" t="s">
        <v>47</v>
      </c>
      <c r="DC11" s="177" t="s">
        <v>47</v>
      </c>
      <c r="DD11" s="177" t="s">
        <v>47</v>
      </c>
      <c r="DE11" s="177" t="s">
        <v>47</v>
      </c>
      <c r="DF11" s="177" t="s">
        <v>47</v>
      </c>
      <c r="DG11" s="177" t="s">
        <v>47</v>
      </c>
      <c r="DH11" s="177" t="s">
        <v>47</v>
      </c>
      <c r="DI11" s="177" t="s">
        <v>47</v>
      </c>
      <c r="DJ11" s="177" t="s">
        <v>47</v>
      </c>
      <c r="DK11" s="177" t="s">
        <v>47</v>
      </c>
      <c r="DL11" s="177" t="s">
        <v>47</v>
      </c>
      <c r="DM11" s="177" t="s">
        <v>47</v>
      </c>
      <c r="DN11" s="177" t="s">
        <v>47</v>
      </c>
      <c r="DO11" s="177" t="s">
        <v>47</v>
      </c>
      <c r="DP11" s="177" t="s">
        <v>47</v>
      </c>
      <c r="DQ11" s="177" t="s">
        <v>47</v>
      </c>
      <c r="DR11" s="177" t="s">
        <v>47</v>
      </c>
      <c r="DS11" s="177" t="s">
        <v>47</v>
      </c>
      <c r="DT11" s="177" t="s">
        <v>47</v>
      </c>
      <c r="DU11" s="177" t="s">
        <v>47</v>
      </c>
      <c r="DV11" s="177" t="s">
        <v>47</v>
      </c>
      <c r="DW11" s="177" t="s">
        <v>47</v>
      </c>
      <c r="DX11" s="177" t="s">
        <v>47</v>
      </c>
      <c r="DY11" s="177" t="s">
        <v>47</v>
      </c>
      <c r="DZ11" s="177" t="s">
        <v>47</v>
      </c>
      <c r="EA11" s="177" t="s">
        <v>47</v>
      </c>
      <c r="EB11" s="177" t="s">
        <v>47</v>
      </c>
      <c r="EC11" s="177" t="s">
        <v>47</v>
      </c>
      <c r="ED11" s="177" t="s">
        <v>47</v>
      </c>
      <c r="EE11" s="177" t="s">
        <v>47</v>
      </c>
      <c r="EF11" s="177" t="s">
        <v>47</v>
      </c>
      <c r="EG11" s="177" t="s">
        <v>47</v>
      </c>
      <c r="EH11" s="177" t="s">
        <v>47</v>
      </c>
      <c r="EI11" s="177" t="s">
        <v>47</v>
      </c>
      <c r="EJ11" s="177" t="s">
        <v>47</v>
      </c>
      <c r="EK11" s="177" t="s">
        <v>47</v>
      </c>
      <c r="EL11" s="177" t="s">
        <v>47</v>
      </c>
      <c r="EM11" s="177" t="s">
        <v>47</v>
      </c>
      <c r="EN11" s="177" t="s">
        <v>47</v>
      </c>
      <c r="EO11" s="177" t="s">
        <v>47</v>
      </c>
      <c r="EP11" s="177" t="s">
        <v>47</v>
      </c>
      <c r="EQ11" s="177" t="s">
        <v>47</v>
      </c>
      <c r="ER11" s="177" t="s">
        <v>47</v>
      </c>
      <c r="ES11" s="177" t="s">
        <v>47</v>
      </c>
      <c r="ET11" s="177" t="s">
        <v>47</v>
      </c>
      <c r="EU11" s="177" t="s">
        <v>47</v>
      </c>
      <c r="EV11" s="177" t="s">
        <v>47</v>
      </c>
      <c r="EW11" s="177" t="s">
        <v>47</v>
      </c>
      <c r="EX11" s="177" t="s">
        <v>47</v>
      </c>
      <c r="EY11" s="177" t="s">
        <v>47</v>
      </c>
      <c r="EZ11" s="177" t="s">
        <v>47</v>
      </c>
      <c r="FA11" s="177" t="s">
        <v>47</v>
      </c>
      <c r="FB11" s="177" t="s">
        <v>47</v>
      </c>
      <c r="FC11" s="177" t="s">
        <v>47</v>
      </c>
      <c r="FD11" s="177" t="s">
        <v>47</v>
      </c>
      <c r="FE11" s="177" t="s">
        <v>47</v>
      </c>
      <c r="FF11" s="177" t="s">
        <v>47</v>
      </c>
      <c r="FG11" s="177" t="s">
        <v>47</v>
      </c>
      <c r="FH11" s="177" t="s">
        <v>47</v>
      </c>
      <c r="FI11" s="177" t="s">
        <v>47</v>
      </c>
      <c r="FJ11" s="177" t="s">
        <v>47</v>
      </c>
      <c r="FK11" s="177" t="s">
        <v>47</v>
      </c>
      <c r="FL11" s="177" t="s">
        <v>47</v>
      </c>
      <c r="FM11" s="177" t="s">
        <v>47</v>
      </c>
      <c r="FN11" s="177" t="s">
        <v>47</v>
      </c>
      <c r="FO11" s="177" t="s">
        <v>47</v>
      </c>
      <c r="FP11" s="177" t="s">
        <v>47</v>
      </c>
      <c r="FQ11" s="177" t="s">
        <v>47</v>
      </c>
      <c r="FR11" s="177" t="s">
        <v>47</v>
      </c>
      <c r="FS11" s="177" t="s">
        <v>47</v>
      </c>
    </row>
    <row r="12" customFormat="false" ht="15" hidden="false" customHeight="false" outlineLevel="0" collapsed="false">
      <c r="A12" s="231" t="s">
        <v>47</v>
      </c>
      <c r="B12" s="231" t="s">
        <v>47</v>
      </c>
      <c r="C12" s="231" t="s">
        <v>47</v>
      </c>
      <c r="D12" s="231" t="s">
        <v>47</v>
      </c>
      <c r="E12" s="241" t="s">
        <v>47</v>
      </c>
      <c r="F12" s="232" t="s">
        <v>47</v>
      </c>
      <c r="G12" s="233" t="s">
        <v>47</v>
      </c>
      <c r="H12" s="234" t="s">
        <v>47</v>
      </c>
      <c r="I12" s="235" t="s">
        <v>47</v>
      </c>
      <c r="J12" s="235" t="s">
        <v>47</v>
      </c>
      <c r="K12" s="235" t="s">
        <v>47</v>
      </c>
      <c r="L12" s="235" t="s">
        <v>47</v>
      </c>
      <c r="M12" s="235" t="s">
        <v>47</v>
      </c>
      <c r="N12" s="235" t="s">
        <v>47</v>
      </c>
      <c r="O12" s="235" t="s">
        <v>47</v>
      </c>
      <c r="P12" s="235" t="s">
        <v>47</v>
      </c>
      <c r="Q12" s="235" t="s">
        <v>47</v>
      </c>
      <c r="R12" s="235" t="s">
        <v>47</v>
      </c>
      <c r="S12" s="235" t="s">
        <v>47</v>
      </c>
      <c r="T12" s="235" t="s">
        <v>47</v>
      </c>
      <c r="U12" s="236" t="s">
        <v>47</v>
      </c>
      <c r="V12" s="236" t="s">
        <v>47</v>
      </c>
      <c r="W12" s="236" t="s">
        <v>47</v>
      </c>
      <c r="X12" s="236" t="s">
        <v>47</v>
      </c>
      <c r="Y12" s="236" t="s">
        <v>47</v>
      </c>
      <c r="Z12" s="236" t="s">
        <v>47</v>
      </c>
      <c r="AA12" s="236" t="s">
        <v>47</v>
      </c>
      <c r="AB12" s="236" t="s">
        <v>47</v>
      </c>
      <c r="AC12" s="236" t="s">
        <v>47</v>
      </c>
      <c r="AD12" s="236" t="s">
        <v>47</v>
      </c>
      <c r="AE12" s="236" t="s">
        <v>47</v>
      </c>
      <c r="AF12" s="236" t="s">
        <v>47</v>
      </c>
      <c r="AG12" s="236" t="s">
        <v>47</v>
      </c>
      <c r="AH12" s="236" t="s">
        <v>47</v>
      </c>
      <c r="AI12" s="236" t="s">
        <v>47</v>
      </c>
      <c r="AJ12" s="236" t="s">
        <v>47</v>
      </c>
      <c r="AK12" s="236" t="s">
        <v>47</v>
      </c>
      <c r="AL12" s="236" t="s">
        <v>47</v>
      </c>
      <c r="AM12" s="236" t="s">
        <v>47</v>
      </c>
      <c r="AN12" s="236" t="s">
        <v>47</v>
      </c>
      <c r="AO12" s="236" t="s">
        <v>47</v>
      </c>
      <c r="AP12" s="236" t="s">
        <v>47</v>
      </c>
      <c r="AQ12" s="236" t="s">
        <v>47</v>
      </c>
      <c r="AR12" s="236" t="s">
        <v>47</v>
      </c>
      <c r="AS12" s="236" t="s">
        <v>47</v>
      </c>
      <c r="AT12" s="236" t="s">
        <v>47</v>
      </c>
      <c r="AU12" s="236" t="s">
        <v>47</v>
      </c>
      <c r="AV12" s="236" t="s">
        <v>47</v>
      </c>
      <c r="AW12" s="236" t="s">
        <v>47</v>
      </c>
      <c r="AX12" s="236" t="s">
        <v>47</v>
      </c>
      <c r="AY12" s="236" t="s">
        <v>47</v>
      </c>
      <c r="AZ12" s="236" t="s">
        <v>47</v>
      </c>
      <c r="BA12" s="236" t="s">
        <v>47</v>
      </c>
      <c r="BB12" s="236" t="s">
        <v>47</v>
      </c>
      <c r="BC12" s="236" t="s">
        <v>47</v>
      </c>
      <c r="BD12" s="236" t="s">
        <v>47</v>
      </c>
      <c r="BE12" s="236" t="s">
        <v>47</v>
      </c>
      <c r="BF12" s="236" t="s">
        <v>47</v>
      </c>
      <c r="BG12" s="236" t="s">
        <v>47</v>
      </c>
      <c r="BH12" s="236" t="s">
        <v>47</v>
      </c>
      <c r="BI12" s="236" t="s">
        <v>47</v>
      </c>
      <c r="BJ12" s="236" t="s">
        <v>47</v>
      </c>
      <c r="BK12" s="236" t="s">
        <v>47</v>
      </c>
      <c r="BL12" s="236" t="s">
        <v>47</v>
      </c>
      <c r="BM12" s="236" t="s">
        <v>47</v>
      </c>
      <c r="BN12" s="236" t="s">
        <v>47</v>
      </c>
      <c r="BO12" s="236" t="s">
        <v>47</v>
      </c>
      <c r="BP12" s="236" t="s">
        <v>47</v>
      </c>
      <c r="BQ12" s="236" t="s">
        <v>47</v>
      </c>
      <c r="BR12" s="236" t="s">
        <v>47</v>
      </c>
      <c r="BS12" s="236" t="s">
        <v>47</v>
      </c>
      <c r="BT12" s="236" t="s">
        <v>47</v>
      </c>
      <c r="BU12" s="236" t="s">
        <v>47</v>
      </c>
      <c r="BV12" s="236" t="s">
        <v>47</v>
      </c>
      <c r="BW12" s="236" t="s">
        <v>47</v>
      </c>
      <c r="BX12" s="236" t="s">
        <v>47</v>
      </c>
      <c r="BY12" s="236" t="s">
        <v>47</v>
      </c>
      <c r="BZ12" s="236" t="s">
        <v>47</v>
      </c>
      <c r="CA12" s="236" t="s">
        <v>47</v>
      </c>
      <c r="CB12" s="236" t="s">
        <v>47</v>
      </c>
      <c r="CC12" s="236" t="s">
        <v>47</v>
      </c>
      <c r="CD12" s="236" t="s">
        <v>47</v>
      </c>
      <c r="CE12" s="237" t="s">
        <v>47</v>
      </c>
      <c r="CF12" s="178" t="s">
        <v>47</v>
      </c>
      <c r="CG12" s="178" t="s">
        <v>47</v>
      </c>
      <c r="CH12" s="238" t="s">
        <v>47</v>
      </c>
      <c r="CI12" s="239" t="s">
        <v>47</v>
      </c>
      <c r="CJ12" s="240" t="s">
        <v>47</v>
      </c>
      <c r="CK12" s="178" t="s">
        <v>47</v>
      </c>
      <c r="CL12" s="178" t="s">
        <v>47</v>
      </c>
      <c r="CM12" s="178" t="s">
        <v>47</v>
      </c>
      <c r="CN12" s="238" t="s">
        <v>47</v>
      </c>
      <c r="CO12" s="239" t="s">
        <v>47</v>
      </c>
      <c r="CP12" s="240" t="s">
        <v>47</v>
      </c>
      <c r="CQ12" s="178" t="s">
        <v>47</v>
      </c>
      <c r="CR12" s="178" t="s">
        <v>47</v>
      </c>
      <c r="CS12" s="178" t="s">
        <v>47</v>
      </c>
      <c r="CT12" s="238" t="s">
        <v>47</v>
      </c>
      <c r="CU12" s="239" t="s">
        <v>47</v>
      </c>
      <c r="CV12" s="240" t="s">
        <v>47</v>
      </c>
      <c r="CW12" s="177" t="s">
        <v>47</v>
      </c>
      <c r="CX12" s="177" t="s">
        <v>47</v>
      </c>
      <c r="CY12" s="177" t="s">
        <v>47</v>
      </c>
      <c r="CZ12" s="177" t="s">
        <v>47</v>
      </c>
      <c r="DA12" s="177" t="s">
        <v>47</v>
      </c>
      <c r="DB12" s="177" t="s">
        <v>47</v>
      </c>
      <c r="DC12" s="177" t="s">
        <v>47</v>
      </c>
      <c r="DD12" s="177" t="s">
        <v>47</v>
      </c>
      <c r="DE12" s="177" t="s">
        <v>47</v>
      </c>
      <c r="DF12" s="177" t="s">
        <v>47</v>
      </c>
      <c r="DG12" s="177" t="s">
        <v>47</v>
      </c>
      <c r="DH12" s="177" t="s">
        <v>47</v>
      </c>
      <c r="DI12" s="177" t="s">
        <v>47</v>
      </c>
      <c r="DJ12" s="177" t="s">
        <v>47</v>
      </c>
      <c r="DK12" s="177" t="s">
        <v>47</v>
      </c>
      <c r="DL12" s="177" t="s">
        <v>47</v>
      </c>
      <c r="DM12" s="177" t="s">
        <v>47</v>
      </c>
      <c r="DN12" s="177" t="s">
        <v>47</v>
      </c>
      <c r="DO12" s="177" t="s">
        <v>47</v>
      </c>
      <c r="DP12" s="177" t="s">
        <v>47</v>
      </c>
      <c r="DQ12" s="177" t="s">
        <v>47</v>
      </c>
      <c r="DR12" s="177" t="s">
        <v>47</v>
      </c>
      <c r="DS12" s="177" t="s">
        <v>47</v>
      </c>
      <c r="DT12" s="177" t="s">
        <v>47</v>
      </c>
      <c r="DU12" s="177" t="s">
        <v>47</v>
      </c>
      <c r="DV12" s="177" t="s">
        <v>47</v>
      </c>
      <c r="DW12" s="177" t="s">
        <v>47</v>
      </c>
      <c r="DX12" s="177" t="s">
        <v>47</v>
      </c>
      <c r="DY12" s="177" t="s">
        <v>47</v>
      </c>
      <c r="DZ12" s="177" t="s">
        <v>47</v>
      </c>
      <c r="EA12" s="177" t="s">
        <v>47</v>
      </c>
      <c r="EB12" s="177" t="s">
        <v>47</v>
      </c>
      <c r="EC12" s="177" t="s">
        <v>47</v>
      </c>
      <c r="ED12" s="177" t="s">
        <v>47</v>
      </c>
      <c r="EE12" s="177" t="s">
        <v>47</v>
      </c>
      <c r="EF12" s="177" t="s">
        <v>47</v>
      </c>
      <c r="EG12" s="177" t="s">
        <v>47</v>
      </c>
      <c r="EH12" s="177" t="s">
        <v>47</v>
      </c>
      <c r="EI12" s="177" t="s">
        <v>47</v>
      </c>
      <c r="EJ12" s="177" t="s">
        <v>47</v>
      </c>
      <c r="EK12" s="177" t="s">
        <v>47</v>
      </c>
      <c r="EL12" s="177" t="s">
        <v>47</v>
      </c>
      <c r="EM12" s="177" t="s">
        <v>47</v>
      </c>
      <c r="EN12" s="177" t="s">
        <v>47</v>
      </c>
      <c r="EO12" s="177" t="s">
        <v>47</v>
      </c>
      <c r="EP12" s="177" t="s">
        <v>47</v>
      </c>
      <c r="EQ12" s="177" t="s">
        <v>47</v>
      </c>
      <c r="ER12" s="177" t="s">
        <v>47</v>
      </c>
      <c r="ES12" s="177" t="s">
        <v>47</v>
      </c>
      <c r="ET12" s="177" t="s">
        <v>47</v>
      </c>
      <c r="EU12" s="177" t="s">
        <v>47</v>
      </c>
      <c r="EV12" s="177" t="s">
        <v>47</v>
      </c>
      <c r="EW12" s="177" t="s">
        <v>47</v>
      </c>
      <c r="EX12" s="177" t="s">
        <v>47</v>
      </c>
      <c r="EY12" s="177" t="s">
        <v>47</v>
      </c>
      <c r="EZ12" s="177" t="s">
        <v>47</v>
      </c>
      <c r="FA12" s="177" t="s">
        <v>47</v>
      </c>
      <c r="FB12" s="177" t="s">
        <v>47</v>
      </c>
      <c r="FC12" s="177" t="s">
        <v>47</v>
      </c>
      <c r="FD12" s="177" t="s">
        <v>47</v>
      </c>
      <c r="FE12" s="177" t="s">
        <v>47</v>
      </c>
      <c r="FF12" s="177" t="s">
        <v>47</v>
      </c>
      <c r="FG12" s="177" t="s">
        <v>47</v>
      </c>
      <c r="FH12" s="177" t="s">
        <v>47</v>
      </c>
      <c r="FI12" s="177" t="s">
        <v>47</v>
      </c>
      <c r="FJ12" s="177" t="s">
        <v>47</v>
      </c>
      <c r="FK12" s="177" t="s">
        <v>47</v>
      </c>
      <c r="FL12" s="177" t="s">
        <v>47</v>
      </c>
      <c r="FM12" s="177" t="s">
        <v>47</v>
      </c>
      <c r="FN12" s="177" t="s">
        <v>47</v>
      </c>
      <c r="FO12" s="177" t="s">
        <v>47</v>
      </c>
      <c r="FP12" s="177" t="s">
        <v>47</v>
      </c>
      <c r="FQ12" s="177" t="s">
        <v>47</v>
      </c>
      <c r="FR12" s="177" t="s">
        <v>47</v>
      </c>
      <c r="FS12" s="177" t="s">
        <v>47</v>
      </c>
    </row>
    <row r="13" customFormat="false" ht="15" hidden="false" customHeight="false" outlineLevel="0" collapsed="false">
      <c r="A13" s="231" t="s">
        <v>47</v>
      </c>
      <c r="B13" s="231" t="s">
        <v>47</v>
      </c>
      <c r="C13" s="231" t="s">
        <v>47</v>
      </c>
      <c r="D13" s="231" t="s">
        <v>47</v>
      </c>
      <c r="E13" s="241" t="s">
        <v>47</v>
      </c>
      <c r="F13" s="232" t="s">
        <v>47</v>
      </c>
      <c r="G13" s="233" t="s">
        <v>47</v>
      </c>
      <c r="H13" s="234" t="s">
        <v>47</v>
      </c>
      <c r="I13" s="235" t="s">
        <v>47</v>
      </c>
      <c r="J13" s="235" t="s">
        <v>47</v>
      </c>
      <c r="K13" s="235" t="s">
        <v>47</v>
      </c>
      <c r="L13" s="235" t="s">
        <v>47</v>
      </c>
      <c r="M13" s="235" t="s">
        <v>47</v>
      </c>
      <c r="N13" s="235" t="s">
        <v>47</v>
      </c>
      <c r="O13" s="235" t="s">
        <v>47</v>
      </c>
      <c r="P13" s="235" t="s">
        <v>47</v>
      </c>
      <c r="Q13" s="235" t="s">
        <v>47</v>
      </c>
      <c r="R13" s="235" t="s">
        <v>47</v>
      </c>
      <c r="S13" s="235" t="s">
        <v>47</v>
      </c>
      <c r="T13" s="235" t="s">
        <v>47</v>
      </c>
      <c r="U13" s="235" t="s">
        <v>47</v>
      </c>
      <c r="V13" s="235" t="s">
        <v>47</v>
      </c>
      <c r="W13" s="235" t="s">
        <v>47</v>
      </c>
      <c r="X13" s="235" t="s">
        <v>47</v>
      </c>
      <c r="Y13" s="235" t="s">
        <v>47</v>
      </c>
      <c r="Z13" s="235" t="s">
        <v>47</v>
      </c>
      <c r="AA13" s="235" t="s">
        <v>47</v>
      </c>
      <c r="AB13" s="235" t="s">
        <v>47</v>
      </c>
      <c r="AC13" s="235" t="s">
        <v>47</v>
      </c>
      <c r="AD13" s="235" t="s">
        <v>47</v>
      </c>
      <c r="AE13" s="235" t="s">
        <v>47</v>
      </c>
      <c r="AF13" s="235" t="s">
        <v>47</v>
      </c>
      <c r="AG13" s="235" t="s">
        <v>47</v>
      </c>
      <c r="AH13" s="235" t="s">
        <v>47</v>
      </c>
      <c r="AI13" s="235" t="s">
        <v>47</v>
      </c>
      <c r="AJ13" s="235" t="s">
        <v>47</v>
      </c>
      <c r="AK13" s="235" t="s">
        <v>47</v>
      </c>
      <c r="AL13" s="235" t="s">
        <v>47</v>
      </c>
      <c r="AM13" s="235" t="s">
        <v>47</v>
      </c>
      <c r="AN13" s="235" t="s">
        <v>47</v>
      </c>
      <c r="AO13" s="235" t="s">
        <v>47</v>
      </c>
      <c r="AP13" s="235" t="s">
        <v>47</v>
      </c>
      <c r="AQ13" s="235" t="s">
        <v>47</v>
      </c>
      <c r="AR13" s="235" t="s">
        <v>47</v>
      </c>
      <c r="AS13" s="235" t="s">
        <v>47</v>
      </c>
      <c r="AT13" s="235" t="s">
        <v>47</v>
      </c>
      <c r="AU13" s="235" t="s">
        <v>47</v>
      </c>
      <c r="AV13" s="235" t="s">
        <v>47</v>
      </c>
      <c r="AW13" s="235" t="s">
        <v>47</v>
      </c>
      <c r="AX13" s="235" t="s">
        <v>47</v>
      </c>
      <c r="AY13" s="235" t="s">
        <v>47</v>
      </c>
      <c r="AZ13" s="235" t="s">
        <v>47</v>
      </c>
      <c r="BA13" s="235" t="s">
        <v>47</v>
      </c>
      <c r="BB13" s="235" t="s">
        <v>47</v>
      </c>
      <c r="BC13" s="235" t="s">
        <v>47</v>
      </c>
      <c r="BD13" s="235" t="s">
        <v>47</v>
      </c>
      <c r="BE13" s="235" t="s">
        <v>47</v>
      </c>
      <c r="BF13" s="235" t="s">
        <v>47</v>
      </c>
      <c r="BG13" s="235" t="s">
        <v>47</v>
      </c>
      <c r="BH13" s="235" t="s">
        <v>47</v>
      </c>
      <c r="BI13" s="235" t="s">
        <v>47</v>
      </c>
      <c r="BJ13" s="235" t="s">
        <v>47</v>
      </c>
      <c r="BK13" s="235" t="s">
        <v>47</v>
      </c>
      <c r="BL13" s="235" t="s">
        <v>47</v>
      </c>
      <c r="BM13" s="235" t="s">
        <v>47</v>
      </c>
      <c r="BN13" s="235" t="s">
        <v>47</v>
      </c>
      <c r="BO13" s="235" t="s">
        <v>47</v>
      </c>
      <c r="BP13" s="235" t="s">
        <v>47</v>
      </c>
      <c r="BQ13" s="235" t="s">
        <v>47</v>
      </c>
      <c r="BR13" s="235" t="s">
        <v>47</v>
      </c>
      <c r="BS13" s="235" t="s">
        <v>47</v>
      </c>
      <c r="BT13" s="235" t="s">
        <v>47</v>
      </c>
      <c r="BU13" s="235" t="s">
        <v>47</v>
      </c>
      <c r="BV13" s="235" t="s">
        <v>47</v>
      </c>
      <c r="BW13" s="235" t="s">
        <v>47</v>
      </c>
      <c r="BX13" s="235" t="s">
        <v>47</v>
      </c>
      <c r="BY13" s="235" t="s">
        <v>47</v>
      </c>
      <c r="BZ13" s="235" t="s">
        <v>47</v>
      </c>
      <c r="CA13" s="235" t="s">
        <v>47</v>
      </c>
      <c r="CB13" s="235" t="s">
        <v>47</v>
      </c>
      <c r="CC13" s="235" t="s">
        <v>47</v>
      </c>
      <c r="CD13" s="235" t="s">
        <v>47</v>
      </c>
      <c r="CE13" s="242" t="s">
        <v>47</v>
      </c>
      <c r="CF13" s="178" t="s">
        <v>47</v>
      </c>
      <c r="CG13" s="178" t="s">
        <v>47</v>
      </c>
      <c r="CH13" s="238" t="s">
        <v>47</v>
      </c>
      <c r="CI13" s="239" t="s">
        <v>47</v>
      </c>
      <c r="CJ13" s="240" t="s">
        <v>47</v>
      </c>
      <c r="CK13" s="178" t="s">
        <v>47</v>
      </c>
      <c r="CL13" s="178" t="s">
        <v>47</v>
      </c>
      <c r="CM13" s="178" t="s">
        <v>47</v>
      </c>
      <c r="CN13" s="238" t="s">
        <v>47</v>
      </c>
      <c r="CO13" s="239" t="s">
        <v>47</v>
      </c>
      <c r="CP13" s="240" t="s">
        <v>47</v>
      </c>
      <c r="CQ13" s="178" t="s">
        <v>47</v>
      </c>
      <c r="CR13" s="178" t="s">
        <v>47</v>
      </c>
      <c r="CS13" s="178" t="s">
        <v>47</v>
      </c>
      <c r="CT13" s="238" t="s">
        <v>47</v>
      </c>
      <c r="CU13" s="239" t="s">
        <v>47</v>
      </c>
      <c r="CV13" s="240" t="s">
        <v>47</v>
      </c>
      <c r="CW13" s="177" t="s">
        <v>47</v>
      </c>
      <c r="CX13" s="177" t="s">
        <v>47</v>
      </c>
      <c r="CY13" s="177" t="s">
        <v>47</v>
      </c>
      <c r="CZ13" s="177" t="s">
        <v>47</v>
      </c>
      <c r="DA13" s="177" t="s">
        <v>47</v>
      </c>
      <c r="DB13" s="177" t="s">
        <v>47</v>
      </c>
      <c r="DC13" s="177" t="s">
        <v>47</v>
      </c>
      <c r="DD13" s="177" t="s">
        <v>47</v>
      </c>
      <c r="DE13" s="177" t="s">
        <v>47</v>
      </c>
      <c r="DF13" s="177" t="s">
        <v>47</v>
      </c>
      <c r="DG13" s="177" t="s">
        <v>47</v>
      </c>
      <c r="DH13" s="177" t="s">
        <v>47</v>
      </c>
      <c r="DI13" s="177" t="s">
        <v>47</v>
      </c>
      <c r="DJ13" s="177" t="s">
        <v>47</v>
      </c>
      <c r="DK13" s="177" t="s">
        <v>47</v>
      </c>
      <c r="DL13" s="177" t="s">
        <v>47</v>
      </c>
      <c r="DM13" s="177" t="s">
        <v>47</v>
      </c>
      <c r="DN13" s="177" t="s">
        <v>47</v>
      </c>
      <c r="DO13" s="177" t="s">
        <v>47</v>
      </c>
      <c r="DP13" s="177" t="s">
        <v>47</v>
      </c>
      <c r="DQ13" s="177" t="s">
        <v>47</v>
      </c>
      <c r="DR13" s="177" t="s">
        <v>47</v>
      </c>
      <c r="DS13" s="177" t="s">
        <v>47</v>
      </c>
      <c r="DT13" s="177" t="s">
        <v>47</v>
      </c>
      <c r="DU13" s="177" t="s">
        <v>47</v>
      </c>
      <c r="DV13" s="177" t="s">
        <v>47</v>
      </c>
      <c r="DW13" s="177" t="s">
        <v>47</v>
      </c>
      <c r="DX13" s="177" t="s">
        <v>47</v>
      </c>
      <c r="DY13" s="177" t="s">
        <v>47</v>
      </c>
      <c r="DZ13" s="177" t="s">
        <v>47</v>
      </c>
      <c r="EA13" s="177" t="s">
        <v>47</v>
      </c>
      <c r="EB13" s="177" t="s">
        <v>47</v>
      </c>
      <c r="EC13" s="177" t="s">
        <v>47</v>
      </c>
      <c r="ED13" s="177" t="s">
        <v>47</v>
      </c>
      <c r="EE13" s="177" t="s">
        <v>47</v>
      </c>
      <c r="EF13" s="177" t="s">
        <v>47</v>
      </c>
      <c r="EG13" s="177" t="s">
        <v>47</v>
      </c>
      <c r="EH13" s="177" t="s">
        <v>47</v>
      </c>
      <c r="EI13" s="177" t="s">
        <v>47</v>
      </c>
      <c r="EJ13" s="177" t="s">
        <v>47</v>
      </c>
      <c r="EK13" s="177" t="s">
        <v>47</v>
      </c>
      <c r="EL13" s="177" t="s">
        <v>47</v>
      </c>
      <c r="EM13" s="177" t="s">
        <v>47</v>
      </c>
      <c r="EN13" s="177" t="s">
        <v>47</v>
      </c>
      <c r="EO13" s="177" t="s">
        <v>47</v>
      </c>
      <c r="EP13" s="177" t="s">
        <v>47</v>
      </c>
      <c r="EQ13" s="177" t="s">
        <v>47</v>
      </c>
      <c r="ER13" s="177" t="s">
        <v>47</v>
      </c>
      <c r="ES13" s="177" t="s">
        <v>47</v>
      </c>
      <c r="ET13" s="177" t="s">
        <v>47</v>
      </c>
      <c r="EU13" s="177" t="s">
        <v>47</v>
      </c>
      <c r="EV13" s="177" t="s">
        <v>47</v>
      </c>
      <c r="EW13" s="177" t="s">
        <v>47</v>
      </c>
      <c r="EX13" s="177" t="s">
        <v>47</v>
      </c>
      <c r="EY13" s="177" t="s">
        <v>47</v>
      </c>
      <c r="EZ13" s="177" t="s">
        <v>47</v>
      </c>
      <c r="FA13" s="177" t="s">
        <v>47</v>
      </c>
      <c r="FB13" s="177" t="s">
        <v>47</v>
      </c>
      <c r="FC13" s="177" t="s">
        <v>47</v>
      </c>
      <c r="FD13" s="177" t="s">
        <v>47</v>
      </c>
      <c r="FE13" s="177" t="s">
        <v>47</v>
      </c>
      <c r="FF13" s="177" t="s">
        <v>47</v>
      </c>
      <c r="FG13" s="177" t="s">
        <v>47</v>
      </c>
      <c r="FH13" s="177" t="s">
        <v>47</v>
      </c>
      <c r="FI13" s="177" t="s">
        <v>47</v>
      </c>
      <c r="FJ13" s="177" t="s">
        <v>47</v>
      </c>
      <c r="FK13" s="177" t="s">
        <v>47</v>
      </c>
      <c r="FL13" s="177" t="s">
        <v>47</v>
      </c>
      <c r="FM13" s="177" t="s">
        <v>47</v>
      </c>
      <c r="FN13" s="177" t="s">
        <v>47</v>
      </c>
      <c r="FO13" s="177" t="s">
        <v>47</v>
      </c>
      <c r="FP13" s="177" t="s">
        <v>47</v>
      </c>
      <c r="FQ13" s="177" t="s">
        <v>47</v>
      </c>
      <c r="FR13" s="177" t="s">
        <v>47</v>
      </c>
      <c r="FS13" s="177" t="s">
        <v>47</v>
      </c>
    </row>
    <row r="14" customFormat="false" ht="117" hidden="false" customHeight="true" outlineLevel="0" collapsed="false">
      <c r="A14" s="243" t="s">
        <v>136</v>
      </c>
      <c r="B14" s="243" t="s">
        <v>32</v>
      </c>
      <c r="C14" s="243" t="s">
        <v>252</v>
      </c>
      <c r="D14" s="243" t="s">
        <v>253</v>
      </c>
      <c r="E14" s="243" t="s">
        <v>1032</v>
      </c>
      <c r="F14" s="244" t="s">
        <v>42</v>
      </c>
      <c r="G14" s="245" t="s">
        <v>1184</v>
      </c>
      <c r="H14" s="246" t="s">
        <v>1185</v>
      </c>
      <c r="I14" s="247" t="s">
        <v>1186</v>
      </c>
      <c r="J14" s="247"/>
      <c r="K14" s="247"/>
      <c r="L14" s="247"/>
      <c r="M14" s="247"/>
      <c r="N14" s="247"/>
      <c r="O14" s="247"/>
      <c r="P14" s="247"/>
      <c r="Q14" s="247"/>
      <c r="R14" s="247"/>
      <c r="S14" s="247"/>
      <c r="T14" s="247"/>
      <c r="U14" s="247"/>
      <c r="V14" s="247"/>
      <c r="W14" s="247"/>
      <c r="X14" s="247"/>
      <c r="Y14" s="247"/>
      <c r="Z14" s="247"/>
      <c r="AA14" s="247"/>
      <c r="AB14" s="247"/>
      <c r="AC14" s="247"/>
      <c r="AD14" s="247"/>
      <c r="AE14" s="247"/>
      <c r="AF14" s="247"/>
      <c r="AG14" s="247"/>
      <c r="AH14" s="247"/>
      <c r="AI14" s="247"/>
      <c r="AJ14" s="247"/>
      <c r="AK14" s="247"/>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c r="BQ14" s="248"/>
      <c r="BR14" s="248"/>
      <c r="BS14" s="248"/>
      <c r="BT14" s="248"/>
      <c r="BU14" s="248"/>
      <c r="BV14" s="248"/>
      <c r="BW14" s="248"/>
      <c r="BX14" s="248"/>
      <c r="BY14" s="248"/>
      <c r="BZ14" s="248"/>
      <c r="CA14" s="248"/>
      <c r="CB14" s="248"/>
      <c r="CC14" s="248"/>
      <c r="CD14" s="248"/>
      <c r="CE14" s="249"/>
      <c r="CF14" s="97" t="s">
        <v>1187</v>
      </c>
      <c r="CG14" s="97" t="s">
        <v>1188</v>
      </c>
      <c r="CH14" s="250" t="s">
        <v>1189</v>
      </c>
      <c r="CI14" s="99" t="s">
        <v>1190</v>
      </c>
      <c r="CJ14" s="251" t="s">
        <v>1191</v>
      </c>
      <c r="CK14" s="97" t="s">
        <v>1192</v>
      </c>
      <c r="CL14" s="97" t="s">
        <v>1193</v>
      </c>
      <c r="CM14" s="97" t="s">
        <v>1194</v>
      </c>
      <c r="CN14" s="250" t="s">
        <v>1195</v>
      </c>
      <c r="CO14" s="99" t="s">
        <v>1196</v>
      </c>
      <c r="CP14" s="251" t="s">
        <v>1197</v>
      </c>
      <c r="CQ14" s="97" t="s">
        <v>1198</v>
      </c>
      <c r="CR14" s="97" t="s">
        <v>1199</v>
      </c>
      <c r="CS14" s="97" t="s">
        <v>1200</v>
      </c>
      <c r="CT14" s="250" t="s">
        <v>1201</v>
      </c>
      <c r="CU14" s="99" t="s">
        <v>1202</v>
      </c>
      <c r="CV14" s="251" t="s">
        <v>1203</v>
      </c>
      <c r="CW14" s="252" t="str">
        <f aca="false">IF(I14="","",I$14)</f>
        <v>12345_DSD</v>
      </c>
      <c r="CX14" s="252" t="str">
        <f aca="false">IF(J14="","",J$14)</f>
        <v/>
      </c>
      <c r="CY14" s="252" t="str">
        <f aca="false">IF(K14="","",K$14)</f>
        <v/>
      </c>
      <c r="CZ14" s="252" t="str">
        <f aca="false">IF(L14="","",L$14)</f>
        <v/>
      </c>
      <c r="DA14" s="252" t="str">
        <f aca="false">IF(M14="","",M$14)</f>
        <v/>
      </c>
      <c r="DB14" s="252" t="str">
        <f aca="false">IF(N14="","",N$14)</f>
        <v/>
      </c>
      <c r="DC14" s="252" t="str">
        <f aca="false">IF(O14="","",O$14)</f>
        <v/>
      </c>
      <c r="DD14" s="252" t="str">
        <f aca="false">IF(P14="","",P$14)</f>
        <v/>
      </c>
      <c r="DE14" s="252" t="str">
        <f aca="false">IF(Q14="","",Q$14)</f>
        <v/>
      </c>
      <c r="DF14" s="252" t="str">
        <f aca="false">IF(R14="","",R$14)</f>
        <v/>
      </c>
      <c r="DG14" s="252" t="str">
        <f aca="false">IF(S14="","",S$14)</f>
        <v/>
      </c>
      <c r="DH14" s="252" t="str">
        <f aca="false">IF(T14="","",T$14)</f>
        <v/>
      </c>
      <c r="DI14" s="252" t="str">
        <f aca="false">IF(U14="","",U$14)</f>
        <v/>
      </c>
      <c r="DJ14" s="252" t="str">
        <f aca="false">IF(V14="","",V$14)</f>
        <v/>
      </c>
      <c r="DK14" s="252" t="str">
        <f aca="false">IF(W14="","",W$14)</f>
        <v/>
      </c>
      <c r="DL14" s="252" t="str">
        <f aca="false">IF(X14="","",X$14)</f>
        <v/>
      </c>
      <c r="DM14" s="252" t="str">
        <f aca="false">IF(Y14="","",Y$14)</f>
        <v/>
      </c>
      <c r="DN14" s="252" t="str">
        <f aca="false">IF(Z14="","",Z$14)</f>
        <v/>
      </c>
      <c r="DO14" s="252" t="str">
        <f aca="false">IF(AA14="","",AA$14)</f>
        <v/>
      </c>
      <c r="DP14" s="252" t="str">
        <f aca="false">IF(AB14="","",AB$14)</f>
        <v/>
      </c>
      <c r="DQ14" s="252" t="str">
        <f aca="false">IF(AC14="","",AC$14)</f>
        <v/>
      </c>
      <c r="DR14" s="252" t="str">
        <f aca="false">IF(AD14="","",AD$14)</f>
        <v/>
      </c>
      <c r="DS14" s="252" t="str">
        <f aca="false">IF(AE14="","",AE$14)</f>
        <v/>
      </c>
      <c r="DT14" s="252" t="str">
        <f aca="false">IF(AF14="","",AF$14)</f>
        <v/>
      </c>
      <c r="DU14" s="252" t="str">
        <f aca="false">IF(AG14="","",AG$14)</f>
        <v/>
      </c>
      <c r="DV14" s="252" t="str">
        <f aca="false">IF(AH14="","",AH$14)</f>
        <v/>
      </c>
      <c r="DW14" s="252" t="str">
        <f aca="false">IF(AI14="","",AI$14)</f>
        <v/>
      </c>
      <c r="DX14" s="252" t="str">
        <f aca="false">IF(AJ14="","",AJ$14)</f>
        <v/>
      </c>
      <c r="DY14" s="252" t="str">
        <f aca="false">IF(AK14="","",AK$14)</f>
        <v/>
      </c>
      <c r="DZ14" s="252" t="str">
        <f aca="false">IF(AL14="","",AL$14)</f>
        <v/>
      </c>
      <c r="EA14" s="252" t="str">
        <f aca="false">IF(AM14="","",AM$14)</f>
        <v/>
      </c>
      <c r="EB14" s="252" t="str">
        <f aca="false">IF(AN14="","",AN$14)</f>
        <v/>
      </c>
      <c r="EC14" s="252" t="str">
        <f aca="false">IF(AO14="","",AO$14)</f>
        <v/>
      </c>
      <c r="ED14" s="252" t="str">
        <f aca="false">IF(AP14="","",AP$14)</f>
        <v/>
      </c>
      <c r="EE14" s="252" t="str">
        <f aca="false">IF(AQ14="","",AQ$14)</f>
        <v/>
      </c>
      <c r="EF14" s="252" t="str">
        <f aca="false">IF(AR14="","",AR$14)</f>
        <v/>
      </c>
      <c r="EG14" s="252" t="str">
        <f aca="false">IF(AS14="","",AS$14)</f>
        <v/>
      </c>
      <c r="EH14" s="252" t="str">
        <f aca="false">IF(AT14="","",AT$14)</f>
        <v/>
      </c>
      <c r="EI14" s="252" t="str">
        <f aca="false">IF(AU14="","",AU$14)</f>
        <v/>
      </c>
      <c r="EJ14" s="252" t="str">
        <f aca="false">IF(AV14="","",AV$14)</f>
        <v/>
      </c>
      <c r="EK14" s="252" t="str">
        <f aca="false">IF(AW14="","",AW$14)</f>
        <v/>
      </c>
      <c r="EL14" s="252" t="str">
        <f aca="false">IF(AX14="","",AX$14)</f>
        <v/>
      </c>
      <c r="EM14" s="252" t="str">
        <f aca="false">IF(AY14="","",AY$14)</f>
        <v/>
      </c>
      <c r="EN14" s="252" t="str">
        <f aca="false">IF(AZ14="","",AZ$14)</f>
        <v/>
      </c>
      <c r="EO14" s="252" t="str">
        <f aca="false">IF(BA14="","",BA$14)</f>
        <v/>
      </c>
      <c r="EP14" s="252" t="str">
        <f aca="false">IF(BB14="","",BB$14)</f>
        <v/>
      </c>
      <c r="EQ14" s="252" t="str">
        <f aca="false">IF(BC14="","",BC$14)</f>
        <v/>
      </c>
      <c r="ER14" s="252" t="str">
        <f aca="false">IF(BD14="","",BD$14)</f>
        <v/>
      </c>
      <c r="ES14" s="252" t="str">
        <f aca="false">IF(BE14="","",BE$14)</f>
        <v/>
      </c>
      <c r="ET14" s="252" t="str">
        <f aca="false">IF(BF14="","",BF$14)</f>
        <v/>
      </c>
      <c r="EU14" s="252" t="str">
        <f aca="false">IF(BG14="","",BG$14)</f>
        <v/>
      </c>
      <c r="EV14" s="252" t="str">
        <f aca="false">IF(BH14="","",BH$14)</f>
        <v/>
      </c>
      <c r="EW14" s="252" t="str">
        <f aca="false">IF(BI14="","",BI$14)</f>
        <v/>
      </c>
      <c r="EX14" s="252" t="str">
        <f aca="false">IF(BJ14="","",BJ$14)</f>
        <v/>
      </c>
      <c r="EY14" s="252" t="str">
        <f aca="false">IF(BK14="","",BK$14)</f>
        <v/>
      </c>
      <c r="EZ14" s="252" t="str">
        <f aca="false">IF(BL14="","",BL$14)</f>
        <v/>
      </c>
      <c r="FA14" s="252" t="str">
        <f aca="false">IF(BM14="","",BM$14)</f>
        <v/>
      </c>
      <c r="FB14" s="252" t="str">
        <f aca="false">IF(BN14="","",BN$14)</f>
        <v/>
      </c>
      <c r="FC14" s="252" t="str">
        <f aca="false">IF(BO14="","",BO$14)</f>
        <v/>
      </c>
      <c r="FD14" s="252" t="str">
        <f aca="false">IF(BP14="","",BP$14)</f>
        <v/>
      </c>
      <c r="FE14" s="252" t="str">
        <f aca="false">IF(BQ14="","",BQ$14)</f>
        <v/>
      </c>
      <c r="FF14" s="252" t="str">
        <f aca="false">IF(BR14="","",BR$14)</f>
        <v/>
      </c>
      <c r="FG14" s="252" t="str">
        <f aca="false">IF(BS14="","",BS$14)</f>
        <v/>
      </c>
      <c r="FH14" s="252" t="str">
        <f aca="false">IF(BT14="","",BT$14)</f>
        <v/>
      </c>
      <c r="FI14" s="252" t="str">
        <f aca="false">IF(BU14="","",BU$14)</f>
        <v/>
      </c>
      <c r="FJ14" s="252" t="str">
        <f aca="false">IF(BV14="","",BV$14)</f>
        <v/>
      </c>
      <c r="FK14" s="252" t="str">
        <f aca="false">IF(BW14="","",BW$14)</f>
        <v/>
      </c>
      <c r="FL14" s="252" t="str">
        <f aca="false">IF(BX14="","",BX$14)</f>
        <v/>
      </c>
      <c r="FM14" s="252" t="str">
        <f aca="false">IF(BY14="","",BY$14)</f>
        <v/>
      </c>
      <c r="FN14" s="252" t="str">
        <f aca="false">IF(BZ14="","",BZ$14)</f>
        <v/>
      </c>
      <c r="FO14" s="252" t="str">
        <f aca="false">IF(CA14="","",CA$14)</f>
        <v/>
      </c>
      <c r="FP14" s="252" t="str">
        <f aca="false">IF(CB14="","",CB$14)</f>
        <v/>
      </c>
      <c r="FQ14" s="252" t="str">
        <f aca="false">IF(CC14="","",CC$14)</f>
        <v/>
      </c>
      <c r="FR14" s="252" t="str">
        <f aca="false">IF(CD14="","",CD$14)</f>
        <v/>
      </c>
      <c r="FS14" s="252" t="str">
        <f aca="false">IF(CE14="","",CE$14)</f>
        <v/>
      </c>
    </row>
    <row r="15" customFormat="false" ht="15" hidden="false" customHeight="false" outlineLevel="0" collapsed="false">
      <c r="A15" s="69"/>
      <c r="B15" s="69"/>
      <c r="C15" s="69"/>
      <c r="D15" s="69"/>
      <c r="E15" s="69"/>
      <c r="F15" s="5" t="str">
        <f aca="false">$A15&amp;IF($C15&lt;&gt;"","|"&amp;$C15,"")&amp;IF($D15&lt;&gt;"","|"&amp;$D15,"")&amp;IF($E15&lt;&gt;"","|"&amp;$E15,"")</f>
        <v/>
      </c>
      <c r="G15" s="110"/>
      <c r="H15" s="230" t="n">
        <f aca="false">SUM($CJ15)</f>
        <v>0</v>
      </c>
      <c r="I15" s="118"/>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228"/>
      <c r="CF15" s="124" t="n">
        <f aca="false">ROUND(SUM($CP15,$CV15),0)</f>
        <v>0</v>
      </c>
      <c r="CG15" s="124" t="n">
        <f aca="false">ROUND(MAX($CP15,$CV15),0)</f>
        <v>0</v>
      </c>
      <c r="CH15" s="253"/>
      <c r="CI15" s="123"/>
      <c r="CJ15" s="230" t="str">
        <f aca="false">IF(SUM($CF15)=0,"",IF(SUM($CF15)=SUM($CG15),SUM($CF15),IF(UPPER($CH15)="MAX",$CG15,IF(UPPER($CH15)="CUSTOM",MIN(MAX(ROUND($CF15+$G15*($CI15),0),$CG15),$CF15),$CF15))))</f>
        <v/>
      </c>
      <c r="CK15" s="124" t="n">
        <f aca="false">ROUND(SUMIFS($CW15:$FS15,$CW$14:$FS$14,"*DSD*"),0)</f>
        <v>0</v>
      </c>
      <c r="CL15" s="124" t="n">
        <f aca="false" t="array" ref="CL15:CL15">MIN_DSD</f>
        <v>0</v>
      </c>
      <c r="CM15" s="124" t="n">
        <f aca="false">COUNTIFS($CW$14:$FS$14,"*DSD*",$CW15:$FS15,"&gt;0")</f>
        <v>0</v>
      </c>
      <c r="CN15" s="253"/>
      <c r="CO15" s="123"/>
      <c r="CP15" s="230" t="str">
        <f aca="false">IF(SUM($CK15)=0,"",IF(OR(SUM($CK15)=SUM($CL15),AND(SUM($CK15)=SUM($G15),SUM($CQ15)=0)),SUM($CK15),IF(UPPER($CN15)="MAX",$CL15,IF(UPPER($CN15)="CUSTOM",MIN(MAX(ROUND($CK15+$G15*($CO15),0),$CL15),$CK15),$CK15))))</f>
        <v/>
      </c>
      <c r="CQ15" s="124" t="n">
        <f aca="false">ROUND(SUMIFS($CW15:$FS15,$CW$14:$FS$14,"*TA*"),0)</f>
        <v>0</v>
      </c>
      <c r="CR15" s="124" t="n">
        <f aca="false" t="array" ref="CR15:CR15">MIN_TA</f>
        <v>0</v>
      </c>
      <c r="CS15" s="124" t="n">
        <f aca="false">COUNTIFS($CW$14:$FS$14,"*TA*",$CW15:$FS15,"&gt;0")</f>
        <v>0</v>
      </c>
      <c r="CT15" s="253"/>
      <c r="CU15" s="123"/>
      <c r="CV15" s="230" t="str">
        <f aca="false">IF(SUM($CQ15)=0,"",IF(OR(SUM($CQ15)=SUM($CR15),AND(SUM($CQ15)=SUM($G15),SUM($CK15)=0)),SUM($CQ15),IF(UPPER($CT15)="MAX",$CR15,IF(UPPER($CT15)="CUSTOM",MIN(MAX(ROUND($CQ15+$G15*($CU15),0),$CR15),$CQ15),$CQ15))))</f>
        <v/>
      </c>
      <c r="CW15" s="73" t="str">
        <f aca="false">IF(OR(CW$14="",SUM($G15)=0,SUM(I15)=0),"",ROUND($G15*I15,0))</f>
        <v/>
      </c>
      <c r="CX15" s="73" t="str">
        <f aca="false">IF(OR(CX$14="",SUM($G15)=0,SUM(J15)=0),"",ROUND($G15*J15,0))</f>
        <v/>
      </c>
      <c r="CY15" s="73" t="str">
        <f aca="false">IF(OR(CY$14="",SUM($G15)=0,SUM(K15)=0),"",ROUND($G15*K15,0))</f>
        <v/>
      </c>
      <c r="CZ15" s="73" t="str">
        <f aca="false">IF(OR(CZ$14="",SUM($G15)=0,SUM(L15)=0),"",ROUND($G15*L15,0))</f>
        <v/>
      </c>
      <c r="DA15" s="73" t="str">
        <f aca="false">IF(OR(DA$14="",SUM($G15)=0,SUM(M15)=0),"",ROUND($G15*M15,0))</f>
        <v/>
      </c>
      <c r="DB15" s="73" t="str">
        <f aca="false">IF(OR(DB$14="",SUM($G15)=0,SUM(N15)=0),"",ROUND($G15*N15,0))</f>
        <v/>
      </c>
      <c r="DC15" s="73" t="str">
        <f aca="false">IF(OR(DC$14="",SUM($G15)=0,SUM(O15)=0),"",ROUND($G15*O15,0))</f>
        <v/>
      </c>
      <c r="DD15" s="73" t="str">
        <f aca="false">IF(OR(DD$14="",SUM($G15)=0,SUM(P15)=0),"",ROUND($G15*P15,0))</f>
        <v/>
      </c>
      <c r="DE15" s="73" t="str">
        <f aca="false">IF(OR(DE$14="",SUM($G15)=0,SUM(Q15)=0),"",ROUND($G15*Q15,0))</f>
        <v/>
      </c>
      <c r="DF15" s="73" t="str">
        <f aca="false">IF(OR(DF$14="",SUM($G15)=0,SUM(R15)=0),"",ROUND($G15*R15,0))</f>
        <v/>
      </c>
      <c r="DG15" s="73" t="str">
        <f aca="false">IF(OR(DG$14="",SUM($G15)=0,SUM(S15)=0),"",ROUND($G15*S15,0))</f>
        <v/>
      </c>
      <c r="DH15" s="73" t="str">
        <f aca="false">IF(OR(DH$14="",SUM($G15)=0,SUM(T15)=0),"",ROUND($G15*T15,0))</f>
        <v/>
      </c>
      <c r="DI15" s="73" t="str">
        <f aca="false">IF(OR(DI$14="",SUM($G15)=0,SUM(U15)=0),"",ROUND($G15*U15,0))</f>
        <v/>
      </c>
      <c r="DJ15" s="73" t="str">
        <f aca="false">IF(OR(DJ$14="",SUM($G15)=0,SUM(V15)=0),"",ROUND($G15*V15,0))</f>
        <v/>
      </c>
      <c r="DK15" s="73" t="str">
        <f aca="false">IF(OR(DK$14="",SUM($G15)=0,SUM(W15)=0),"",ROUND($G15*W15,0))</f>
        <v/>
      </c>
      <c r="DL15" s="73" t="str">
        <f aca="false">IF(OR(DL$14="",SUM($G15)=0,SUM(X15)=0),"",ROUND($G15*X15,0))</f>
        <v/>
      </c>
      <c r="DM15" s="73" t="str">
        <f aca="false">IF(OR(DM$14="",SUM($G15)=0,SUM(Y15)=0),"",ROUND($G15*Y15,0))</f>
        <v/>
      </c>
      <c r="DN15" s="73" t="str">
        <f aca="false">IF(OR(DN$14="",SUM($G15)=0,SUM(Z15)=0),"",ROUND($G15*Z15,0))</f>
        <v/>
      </c>
      <c r="DO15" s="73" t="str">
        <f aca="false">IF(OR(DO$14="",SUM($G15)=0,SUM(AA15)=0),"",ROUND($G15*AA15,0))</f>
        <v/>
      </c>
      <c r="DP15" s="73" t="str">
        <f aca="false">IF(OR(DP$14="",SUM($G15)=0,SUM(AB15)=0),"",ROUND($G15*AB15,0))</f>
        <v/>
      </c>
      <c r="DQ15" s="73" t="str">
        <f aca="false">IF(OR(DQ$14="",SUM($G15)=0,SUM(AC15)=0),"",ROUND($G15*AC15,0))</f>
        <v/>
      </c>
      <c r="DR15" s="73" t="str">
        <f aca="false">IF(OR(DR$14="",SUM($G15)=0,SUM(AD15)=0),"",ROUND($G15*AD15,0))</f>
        <v/>
      </c>
      <c r="DS15" s="73" t="str">
        <f aca="false">IF(OR(DS$14="",SUM($G15)=0,SUM(AE15)=0),"",ROUND($G15*AE15,0))</f>
        <v/>
      </c>
      <c r="DT15" s="73" t="str">
        <f aca="false">IF(OR(DT$14="",SUM($G15)=0,SUM(AF15)=0),"",ROUND($G15*AF15,0))</f>
        <v/>
      </c>
      <c r="DU15" s="73" t="str">
        <f aca="false">IF(OR(DU$14="",SUM($G15)=0,SUM(AG15)=0),"",ROUND($G15*AG15,0))</f>
        <v/>
      </c>
      <c r="DV15" s="73" t="str">
        <f aca="false">IF(OR(DV$14="",SUM($G15)=0,SUM(AH15)=0),"",ROUND($G15*AH15,0))</f>
        <v/>
      </c>
      <c r="DW15" s="73" t="str">
        <f aca="false">IF(OR(DW$14="",SUM($G15)=0,SUM(AI15)=0),"",ROUND($G15*AI15,0))</f>
        <v/>
      </c>
      <c r="DX15" s="73" t="str">
        <f aca="false">IF(OR(DX$14="",SUM($G15)=0,SUM(AJ15)=0),"",ROUND($G15*AJ15,0))</f>
        <v/>
      </c>
      <c r="DY15" s="73" t="str">
        <f aca="false">IF(OR(DY$14="",SUM($G15)=0,SUM(AK15)=0),"",ROUND($G15*AK15,0))</f>
        <v/>
      </c>
      <c r="DZ15" s="73" t="str">
        <f aca="false">IF(OR(DZ$14="",SUM($G15)=0,SUM(AL15)=0),"",ROUND($G15*AL15,0))</f>
        <v/>
      </c>
      <c r="EA15" s="73" t="str">
        <f aca="false">IF(OR(EA$14="",SUM($G15)=0,SUM(AM15)=0),"",ROUND($G15*AM15,0))</f>
        <v/>
      </c>
      <c r="EB15" s="73" t="str">
        <f aca="false">IF(OR(EB$14="",SUM($G15)=0,SUM(AN15)=0),"",ROUND($G15*AN15,0))</f>
        <v/>
      </c>
      <c r="EC15" s="73" t="str">
        <f aca="false">IF(OR(EC$14="",SUM($G15)=0,SUM(AO15)=0),"",ROUND($G15*AO15,0))</f>
        <v/>
      </c>
      <c r="ED15" s="73" t="str">
        <f aca="false">IF(OR(ED$14="",SUM($G15)=0,SUM(AP15)=0),"",ROUND($G15*AP15,0))</f>
        <v/>
      </c>
      <c r="EE15" s="73" t="str">
        <f aca="false">IF(OR(EE$14="",SUM($G15)=0,SUM(AQ15)=0),"",ROUND($G15*AQ15,0))</f>
        <v/>
      </c>
      <c r="EF15" s="73" t="str">
        <f aca="false">IF(OR(EF$14="",SUM($G15)=0,SUM(AR15)=0),"",ROUND($G15*AR15,0))</f>
        <v/>
      </c>
      <c r="EG15" s="73" t="str">
        <f aca="false">IF(OR(EG$14="",SUM($G15)=0,SUM(AS15)=0),"",ROUND($G15*AS15,0))</f>
        <v/>
      </c>
      <c r="EH15" s="73" t="str">
        <f aca="false">IF(OR(EH$14="",SUM($G15)=0,SUM(AT15)=0),"",ROUND($G15*AT15,0))</f>
        <v/>
      </c>
      <c r="EI15" s="73" t="str">
        <f aca="false">IF(OR(EI$14="",SUM($G15)=0,SUM(AU15)=0),"",ROUND($G15*AU15,0))</f>
        <v/>
      </c>
      <c r="EJ15" s="73" t="str">
        <f aca="false">IF(OR(EJ$14="",SUM($G15)=0,SUM(AV15)=0),"",ROUND($G15*AV15,0))</f>
        <v/>
      </c>
      <c r="EK15" s="73" t="str">
        <f aca="false">IF(OR(EK$14="",SUM($G15)=0,SUM(AW15)=0),"",ROUND($G15*AW15,0))</f>
        <v/>
      </c>
      <c r="EL15" s="73" t="str">
        <f aca="false">IF(OR(EL$14="",SUM($G15)=0,SUM(AX15)=0),"",ROUND($G15*AX15,0))</f>
        <v/>
      </c>
      <c r="EM15" s="73" t="str">
        <f aca="false">IF(OR(EM$14="",SUM($G15)=0,SUM(AY15)=0),"",ROUND($G15*AY15,0))</f>
        <v/>
      </c>
      <c r="EN15" s="73" t="str">
        <f aca="false">IF(OR(EN$14="",SUM($G15)=0,SUM(AZ15)=0),"",ROUND($G15*AZ15,0))</f>
        <v/>
      </c>
      <c r="EO15" s="73" t="str">
        <f aca="false">IF(OR(EO$14="",SUM($G15)=0,SUM(BA15)=0),"",ROUND($G15*BA15,0))</f>
        <v/>
      </c>
      <c r="EP15" s="73" t="str">
        <f aca="false">IF(OR(EP$14="",SUM($G15)=0,SUM(BB15)=0),"",ROUND($G15*BB15,0))</f>
        <v/>
      </c>
      <c r="EQ15" s="73" t="str">
        <f aca="false">IF(OR(EQ$14="",SUM($G15)=0,SUM(BC15)=0),"",ROUND($G15*BC15,0))</f>
        <v/>
      </c>
      <c r="ER15" s="73" t="str">
        <f aca="false">IF(OR(ER$14="",SUM($G15)=0,SUM(BD15)=0),"",ROUND($G15*BD15,0))</f>
        <v/>
      </c>
      <c r="ES15" s="73" t="str">
        <f aca="false">IF(OR(ES$14="",SUM($G15)=0,SUM(BE15)=0),"",ROUND($G15*BE15,0))</f>
        <v/>
      </c>
      <c r="ET15" s="73" t="str">
        <f aca="false">IF(OR(ET$14="",SUM($G15)=0,SUM(BF15)=0),"",ROUND($G15*BF15,0))</f>
        <v/>
      </c>
      <c r="EU15" s="73" t="str">
        <f aca="false">IF(OR(EU$14="",SUM($G15)=0,SUM(BG15)=0),"",ROUND($G15*BG15,0))</f>
        <v/>
      </c>
      <c r="EV15" s="73" t="str">
        <f aca="false">IF(OR(EV$14="",SUM($G15)=0,SUM(BH15)=0),"",ROUND($G15*BH15,0))</f>
        <v/>
      </c>
      <c r="EW15" s="73" t="str">
        <f aca="false">IF(OR(EW$14="",SUM($G15)=0,SUM(BI15)=0),"",ROUND($G15*BI15,0))</f>
        <v/>
      </c>
      <c r="EX15" s="73" t="str">
        <f aca="false">IF(OR(EX$14="",SUM($G15)=0,SUM(BJ15)=0),"",ROUND($G15*BJ15,0))</f>
        <v/>
      </c>
      <c r="EY15" s="73" t="str">
        <f aca="false">IF(OR(EY$14="",SUM($G15)=0,SUM(BK15)=0),"",ROUND($G15*BK15,0))</f>
        <v/>
      </c>
      <c r="EZ15" s="73" t="str">
        <f aca="false">IF(OR(EZ$14="",SUM($G15)=0,SUM(BL15)=0),"",ROUND($G15*BL15,0))</f>
        <v/>
      </c>
      <c r="FA15" s="73" t="str">
        <f aca="false">IF(OR(FA$14="",SUM($G15)=0,SUM(BM15)=0),"",ROUND($G15*BM15,0))</f>
        <v/>
      </c>
      <c r="FB15" s="73" t="str">
        <f aca="false">IF(OR(FB$14="",SUM($G15)=0,SUM(BN15)=0),"",ROUND($G15*BN15,0))</f>
        <v/>
      </c>
      <c r="FC15" s="73" t="str">
        <f aca="false">IF(OR(FC$14="",SUM($G15)=0,SUM(BO15)=0),"",ROUND($G15*BO15,0))</f>
        <v/>
      </c>
      <c r="FD15" s="73" t="str">
        <f aca="false">IF(OR(FD$14="",SUM($G15)=0,SUM(BP15)=0),"",ROUND($G15*BP15,0))</f>
        <v/>
      </c>
      <c r="FE15" s="73" t="str">
        <f aca="false">IF(OR(FE$14="",SUM($G15)=0,SUM(BQ15)=0),"",ROUND($G15*BQ15,0))</f>
        <v/>
      </c>
      <c r="FF15" s="73" t="str">
        <f aca="false">IF(OR(FF$14="",SUM($G15)=0,SUM(BR15)=0),"",ROUND($G15*BR15,0))</f>
        <v/>
      </c>
      <c r="FG15" s="73" t="str">
        <f aca="false">IF(OR(FG$14="",SUM($G15)=0,SUM(BS15)=0),"",ROUND($G15*BS15,0))</f>
        <v/>
      </c>
      <c r="FH15" s="73" t="str">
        <f aca="false">IF(OR(FH$14="",SUM($G15)=0,SUM(BT15)=0),"",ROUND($G15*BT15,0))</f>
        <v/>
      </c>
      <c r="FI15" s="73" t="str">
        <f aca="false">IF(OR(FI$14="",SUM($G15)=0,SUM(BU15)=0),"",ROUND($G15*BU15,0))</f>
        <v/>
      </c>
      <c r="FJ15" s="73" t="str">
        <f aca="false">IF(OR(FJ$14="",SUM($G15)=0,SUM(BV15)=0),"",ROUND($G15*BV15,0))</f>
        <v/>
      </c>
      <c r="FK15" s="73" t="str">
        <f aca="false">IF(OR(FK$14="",SUM($G15)=0,SUM(BW15)=0),"",ROUND($G15*BW15,0))</f>
        <v/>
      </c>
      <c r="FL15" s="73" t="str">
        <f aca="false">IF(OR(FL$14="",SUM($G15)=0,SUM(BX15)=0),"",ROUND($G15*BX15,0))</f>
        <v/>
      </c>
      <c r="FM15" s="73" t="str">
        <f aca="false">IF(OR(FM$14="",SUM($G15)=0,SUM(BY15)=0),"",ROUND($G15*BY15,0))</f>
        <v/>
      </c>
      <c r="FN15" s="73" t="str">
        <f aca="false">IF(OR(FN$14="",SUM($G15)=0,SUM(BZ15)=0),"",ROUND($G15*BZ15,0))</f>
        <v/>
      </c>
      <c r="FO15" s="73" t="str">
        <f aca="false">IF(OR(FO$14="",SUM($G15)=0,SUM(CA15)=0),"",ROUND($G15*CA15,0))</f>
        <v/>
      </c>
      <c r="FP15" s="73" t="str">
        <f aca="false">IF(OR(FP$14="",SUM($G15)=0,SUM(CB15)=0),"",ROUND($G15*CB15,0))</f>
        <v/>
      </c>
      <c r="FQ15" s="73" t="str">
        <f aca="false">IF(OR(FQ$14="",SUM($G15)=0,SUM(CC15)=0),"",ROUND($G15*CC15,0))</f>
        <v/>
      </c>
      <c r="FR15" s="73" t="str">
        <f aca="false">IF(OR(FR$14="",SUM($G15)=0,SUM(CD15)=0),"",ROUND($G15*CD15,0))</f>
        <v/>
      </c>
      <c r="FS15" s="73" t="str">
        <f aca="false">IF(OR(FS$14="",SUM($G15)=0,SUM(CE15)=0),"",ROUND($G15*CE15,0))</f>
        <v/>
      </c>
    </row>
    <row r="16" customFormat="false" ht="15" hidden="false" customHeight="false" outlineLevel="0" collapsed="false">
      <c r="H16" s="230"/>
      <c r="CF16" s="124"/>
      <c r="CG16" s="124"/>
      <c r="CH16" s="253"/>
      <c r="CI16" s="123"/>
      <c r="CJ16" s="230"/>
      <c r="CK16" s="124"/>
      <c r="CL16" s="124"/>
      <c r="CM16" s="124"/>
      <c r="CN16" s="253"/>
      <c r="CO16" s="123"/>
      <c r="CP16" s="230"/>
      <c r="CQ16" s="124"/>
      <c r="CR16" s="124"/>
      <c r="CS16" s="124"/>
      <c r="CT16" s="253"/>
      <c r="CU16" s="123"/>
      <c r="CV16" s="230"/>
      <c r="CW16" s="73"/>
      <c r="CX16" s="73"/>
      <c r="CY16" s="73"/>
      <c r="CZ16" s="73"/>
      <c r="DA16" s="73"/>
    </row>
    <row r="17" customFormat="false" ht="15" hidden="false" customHeight="false" outlineLevel="0" collapsed="false">
      <c r="H17" s="230"/>
      <c r="CF17" s="124"/>
      <c r="CG17" s="124"/>
      <c r="CH17" s="253"/>
      <c r="CI17" s="123"/>
      <c r="CJ17" s="230"/>
      <c r="CK17" s="124"/>
      <c r="CL17" s="124"/>
      <c r="CM17" s="124"/>
      <c r="CN17" s="253"/>
      <c r="CO17" s="123"/>
      <c r="CP17" s="230"/>
      <c r="CQ17" s="124"/>
      <c r="CR17" s="124"/>
      <c r="CS17" s="124"/>
      <c r="CT17" s="253"/>
      <c r="CU17" s="123"/>
      <c r="CV17" s="230"/>
      <c r="CW17" s="73"/>
      <c r="CX17" s="73"/>
      <c r="CY17" s="73"/>
      <c r="CZ17" s="73"/>
      <c r="DA17" s="73"/>
    </row>
    <row r="18" customFormat="false" ht="15" hidden="false" customHeight="false" outlineLevel="0" collapsed="false">
      <c r="H18" s="230"/>
      <c r="CF18" s="124"/>
      <c r="CG18" s="124"/>
      <c r="CH18" s="253"/>
      <c r="CI18" s="123"/>
      <c r="CJ18" s="230"/>
      <c r="CK18" s="124"/>
      <c r="CL18" s="124"/>
      <c r="CM18" s="124"/>
      <c r="CN18" s="253"/>
      <c r="CO18" s="123"/>
      <c r="CP18" s="230"/>
      <c r="CQ18" s="124"/>
      <c r="CR18" s="124"/>
      <c r="CS18" s="124"/>
      <c r="CT18" s="253"/>
      <c r="CU18" s="123"/>
      <c r="CV18" s="230"/>
      <c r="CW18" s="73"/>
      <c r="CX18" s="73"/>
      <c r="CY18" s="73"/>
      <c r="CZ18" s="73"/>
      <c r="DA18" s="73"/>
    </row>
    <row r="19" customFormat="false" ht="15" hidden="false" customHeight="false" outlineLevel="0" collapsed="false">
      <c r="H19" s="230"/>
      <c r="CF19" s="124"/>
      <c r="CG19" s="124"/>
      <c r="CH19" s="253"/>
      <c r="CI19" s="123"/>
      <c r="CJ19" s="230"/>
      <c r="CK19" s="124"/>
      <c r="CL19" s="124"/>
      <c r="CM19" s="124"/>
      <c r="CN19" s="253"/>
      <c r="CO19" s="123"/>
      <c r="CP19" s="230"/>
      <c r="CQ19" s="124"/>
      <c r="CR19" s="124"/>
      <c r="CS19" s="124"/>
      <c r="CT19" s="253"/>
      <c r="CU19" s="123"/>
      <c r="CV19" s="230"/>
      <c r="CW19" s="73"/>
      <c r="CX19" s="73"/>
      <c r="CY19" s="73"/>
      <c r="CZ19" s="73"/>
      <c r="DA19" s="73"/>
    </row>
    <row r="20" customFormat="false" ht="15" hidden="false" customHeight="false" outlineLevel="0" collapsed="false">
      <c r="H20" s="230"/>
      <c r="CF20" s="124"/>
      <c r="CG20" s="124"/>
      <c r="CH20" s="253"/>
      <c r="CI20" s="123"/>
      <c r="CJ20" s="230"/>
      <c r="CK20" s="124"/>
      <c r="CL20" s="124"/>
      <c r="CM20" s="124"/>
      <c r="CN20" s="253"/>
      <c r="CO20" s="123"/>
      <c r="CP20" s="230"/>
      <c r="CQ20" s="124"/>
      <c r="CR20" s="124"/>
      <c r="CS20" s="124"/>
      <c r="CT20" s="253"/>
      <c r="CU20" s="123"/>
      <c r="CV20" s="230"/>
      <c r="CW20" s="73"/>
      <c r="CX20" s="73"/>
      <c r="CY20" s="73"/>
      <c r="CZ20" s="73"/>
      <c r="DA20" s="73"/>
    </row>
    <row r="21" customFormat="false" ht="15" hidden="false" customHeight="false" outlineLevel="0" collapsed="false">
      <c r="H21" s="230"/>
      <c r="CF21" s="124"/>
      <c r="CG21" s="124"/>
      <c r="CH21" s="253"/>
      <c r="CI21" s="123"/>
      <c r="CJ21" s="230"/>
      <c r="CK21" s="124"/>
      <c r="CL21" s="124"/>
      <c r="CM21" s="124"/>
      <c r="CN21" s="253"/>
      <c r="CO21" s="123"/>
      <c r="CP21" s="230"/>
      <c r="CQ21" s="124"/>
      <c r="CR21" s="124"/>
      <c r="CS21" s="124"/>
      <c r="CT21" s="253"/>
      <c r="CU21" s="123"/>
      <c r="CV21" s="230"/>
      <c r="CW21" s="73"/>
      <c r="CX21" s="73"/>
      <c r="CY21" s="73"/>
      <c r="CZ21" s="73"/>
      <c r="DA21" s="73"/>
    </row>
    <row r="22" customFormat="false" ht="15" hidden="false" customHeight="false" outlineLevel="0" collapsed="false">
      <c r="H22" s="230"/>
      <c r="CF22" s="124"/>
      <c r="CG22" s="124"/>
      <c r="CH22" s="253"/>
      <c r="CI22" s="123"/>
      <c r="CJ22" s="230"/>
      <c r="CK22" s="124"/>
      <c r="CL22" s="124"/>
      <c r="CM22" s="124"/>
      <c r="CN22" s="253"/>
      <c r="CO22" s="123"/>
      <c r="CP22" s="230"/>
      <c r="CQ22" s="124"/>
      <c r="CR22" s="124"/>
      <c r="CS22" s="124"/>
      <c r="CT22" s="253"/>
      <c r="CU22" s="123"/>
      <c r="CV22" s="230"/>
      <c r="CW22" s="73"/>
      <c r="CX22" s="73"/>
      <c r="CY22" s="73"/>
      <c r="CZ22" s="73"/>
      <c r="DA22" s="73"/>
    </row>
    <row r="23" customFormat="false" ht="15" hidden="false" customHeight="false" outlineLevel="0" collapsed="false">
      <c r="H23" s="230"/>
      <c r="CF23" s="124"/>
      <c r="CG23" s="124"/>
      <c r="CH23" s="253"/>
      <c r="CI23" s="123"/>
      <c r="CJ23" s="230"/>
      <c r="CK23" s="124"/>
      <c r="CL23" s="124"/>
      <c r="CM23" s="124"/>
      <c r="CN23" s="253"/>
      <c r="CO23" s="123"/>
      <c r="CP23" s="230"/>
      <c r="CQ23" s="124"/>
      <c r="CR23" s="124"/>
      <c r="CS23" s="124"/>
      <c r="CT23" s="253"/>
      <c r="CU23" s="123"/>
      <c r="CV23" s="230"/>
      <c r="CW23" s="73"/>
      <c r="CX23" s="73"/>
      <c r="CY23" s="73"/>
      <c r="CZ23" s="73"/>
      <c r="DA23" s="73"/>
    </row>
  </sheetData>
  <conditionalFormatting sqref="CH1:CH1048576 CN1:CN1048576 CT1:CT1048576">
    <cfRule type="expression" priority="2" aboveAverage="0" equalAverage="0" bottom="0" percent="0" rank="0" text="" dxfId="0">
      <formula>AND(ROW(CH1)&gt;14,UPPER(CH1)&lt;&gt;"CUSTOM",UPPER(CH1)&lt;&gt;"MAX",UPPER(CH1)&lt;&gt;"SUM",CH1&lt;&gt;"")</formula>
    </cfRule>
  </conditionalFormatting>
  <conditionalFormatting sqref="CV1:CV1048576">
    <cfRule type="expression" priority="3" aboveAverage="0" equalAverage="0" bottom="0" percent="0" rank="0" text="" dxfId="1">
      <formula>AND(ROW($CV1)&gt;14,OR(SUM($CV1)&gt;SUM($CQ1),SUM($CV1)&lt;SUM($CR1)))</formula>
    </cfRule>
  </conditionalFormatting>
  <conditionalFormatting sqref="CJ1:CJ1048576">
    <cfRule type="expression" priority="4" aboveAverage="0" equalAverage="0" bottom="0" percent="0" rank="0" text="" dxfId="2">
      <formula>AND(ROW(CJ1)&gt;14,OR(CJ1&gt;CF1,CJ1&lt;CG1))</formula>
    </cfRule>
  </conditionalFormatting>
  <conditionalFormatting sqref="I1:CE1048576">
    <cfRule type="expression" priority="5" aboveAverage="0" equalAverage="0" bottom="0" percent="0" rank="0" text="" dxfId="3">
      <formula>AND(ROW(I1)&gt;14,OR(SUM(I1)&gt;1,SUM(I1)&lt;0))</formula>
    </cfRule>
  </conditionalFormatting>
  <conditionalFormatting sqref="CO1:CO1048576 CU1:CU1048576 CI1:CI1048576">
    <cfRule type="expression" priority="6" aboveAverage="0" equalAverage="0" bottom="0" percent="0" rank="0" text="" dxfId="0">
      <formula>AND(ROW(CI1)&gt;14,SUM(CI1)&gt;0)</formula>
    </cfRule>
  </conditionalFormatting>
  <conditionalFormatting sqref="H1:H1048576">
    <cfRule type="expression" priority="7" aboveAverage="0" equalAverage="0" bottom="0" percent="0" rank="0" text="" dxfId="1">
      <formula>AND(ROW($H1)&gt;14,ABS(ROUND(SUM($H1),0)-ROUND(SUM($G1),0))&gt;2)</formula>
    </cfRule>
    <cfRule type="expression" priority="8" aboveAverage="0" equalAverage="0" bottom="0" percent="0" rank="0" text="" dxfId="2">
      <formula>AND(ROW($H1)&gt;14,ROUND(SUM($H1),0)&lt;&gt;ROUND(SUM($G1),0))</formula>
    </cfRule>
  </conditionalFormatting>
  <conditionalFormatting sqref="CP1:CP1048576">
    <cfRule type="expression" priority="9" aboveAverage="0" equalAverage="0" bottom="0" percent="0" rank="0" text="" dxfId="3">
      <formula>AND(ROW($CP1)&gt;14,OR(SUM($CP1)&gt;SUM($CK1),SUM($CP1)&lt;SUM($CL1)))</formula>
    </cfRule>
  </conditionalFormatting>
  <conditionalFormatting sqref="CQ1:CU1048576">
    <cfRule type="expression" priority="10" aboveAverage="0" equalAverage="0" bottom="0" percent="0" rank="0" text="" dxfId="4">
      <formula>AND(ROW($CQ1)&gt;14,$A1&lt;&gt;"",OR(SUM($CQ1)=0,$CS1&lt;=1,SUM($CQ1)=SUM($CR1),AND(SUM($G1)=SUM($CQ1),SUM($CK1)=0)))</formula>
    </cfRule>
  </conditionalFormatting>
  <conditionalFormatting sqref="CF1:CI1048576">
    <cfRule type="expression" priority="11" aboveAverage="0" equalAverage="0" bottom="0" percent="0" rank="0" text="" dxfId="5">
      <formula>AND(ROW($CF1)&gt;14,$A1&lt;&gt;"",OR(SUM($CP1)=0,SUM($CV1)=0,$CM1=0,$CS1=0,SUM($CF1)=SUM($CG1),SUM($G1)&gt;=SUM($CF1)))</formula>
    </cfRule>
  </conditionalFormatting>
  <conditionalFormatting sqref="CO1:CO1048576">
    <cfRule type="expression" priority="12" aboveAverage="0" equalAverage="0" bottom="0" percent="0" rank="0" text="" dxfId="6">
      <formula>AND(ROW($CO1)&gt;14,$A1&lt;&gt;"",UPPER($CN1)&lt;&gt;"CUSTOM")</formula>
    </cfRule>
  </conditionalFormatting>
  <conditionalFormatting sqref="CK1:CO1048576">
    <cfRule type="expression" priority="13" aboveAverage="0" equalAverage="0" bottom="0" percent="0" rank="0" text="" dxfId="7">
      <formula>AND(ROW($CK1)&gt;14,$A1&lt;&gt;"",OR(SUM($CK1)=0,$CM1&lt;=1,SUM($CK1)=SUM($CL1),AND(SUM($G1)=SUM($CK1),SUM($CQ1)=0)))</formula>
    </cfRule>
  </conditionalFormatting>
  <conditionalFormatting sqref="CU1:CU1048576">
    <cfRule type="expression" priority="14" aboveAverage="0" equalAverage="0" bottom="0" percent="0" rank="0" text="" dxfId="8">
      <formula>AND(ROW($CU1)&gt;14,$A1&lt;&gt;"",UPPER($CT1)&lt;&gt;"CUSTOM")</formula>
    </cfRule>
  </conditionalFormatting>
  <conditionalFormatting sqref="CI1:CI1048576">
    <cfRule type="expression" priority="15" aboveAverage="0" equalAverage="0" bottom="0" percent="0" rank="0" text="" dxfId="9">
      <formula>AND(ROW($CF1)&gt;14,$A1&lt;&gt;"",UPPER($CH1)&lt;&gt;"CUSTOM")</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2018-11-07T14:50:29Z</dcterms:created>
  <dc:creator>Scott Jackson</dc:creator>
  <dc:description/>
  <dc:language>en-US</dc:language>
  <cp:lastModifiedBy/>
  <dcterms:modified xsi:type="dcterms:W3CDTF">2021-05-27T09:36:52Z</dcterms:modified>
  <cp:revision>2</cp:revision>
  <dc:subject/>
  <dc:title/>
</cp:coreProperties>
</file>